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Sayresm\OneDrive - Environmental Protection Agency (EPA)\ESG\NSPS_CTs\NSPS_code\input\"/>
    </mc:Choice>
  </mc:AlternateContent>
  <xr:revisionPtr revIDLastSave="0" documentId="13_ncr:1_{C524B8C8-EEEF-49FB-BE0D-7551F2EEAE3C}" xr6:coauthVersionLast="47" xr6:coauthVersionMax="47" xr10:uidLastSave="{00000000-0000-0000-0000-000000000000}"/>
  <bookViews>
    <workbookView xWindow="-108" yWindow="-108" windowWidth="41496" windowHeight="16776" activeTab="1" xr2:uid="{00000000-000D-0000-FFFF-FFFF00000000}"/>
  </bookViews>
  <sheets>
    <sheet name="CAMD Facility Data 2023" sheetId="2" r:id="rId1"/>
    <sheet name="CAMD Data 2023" sheetId="1" r:id="rId2"/>
  </sheets>
  <definedNames>
    <definedName name="_xlnm._FilterDatabase" localSheetId="1" hidden="1">'CAMD Data 2023'!$A$1:$AE$3758</definedName>
    <definedName name="_xlnm._FilterDatabase" localSheetId="0" hidden="1">'CAMD Facility Data 2023'!$A$1:$AG$3768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2" i="1" l="1"/>
  <c r="AB2" i="1"/>
  <c r="AM10" i="1"/>
  <c r="AM9" i="1"/>
  <c r="AL13" i="1"/>
  <c r="AL10" i="1"/>
  <c r="AL9" i="1"/>
  <c r="AA3758" i="1"/>
  <c r="AA3757" i="1"/>
  <c r="AA3756" i="1"/>
  <c r="AA3755" i="1"/>
  <c r="AA3754" i="1"/>
  <c r="AA3753" i="1"/>
  <c r="AA3752" i="1"/>
  <c r="AA3751" i="1"/>
  <c r="AA3750" i="1"/>
  <c r="AA3749" i="1"/>
  <c r="AA3748" i="1"/>
  <c r="AA3747" i="1"/>
  <c r="AA3746" i="1"/>
  <c r="AA3745" i="1"/>
  <c r="AA3744" i="1"/>
  <c r="AA3743" i="1"/>
  <c r="AA3742" i="1"/>
  <c r="AA3741"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9" i="1"/>
  <c r="AA3718" i="1"/>
  <c r="AA3717" i="1"/>
  <c r="AA3716" i="1"/>
  <c r="AA3715" i="1"/>
  <c r="AA3714" i="1"/>
  <c r="AA3713" i="1"/>
  <c r="AA3712" i="1"/>
  <c r="AA3711" i="1"/>
  <c r="AA3710" i="1"/>
  <c r="AA3709" i="1"/>
  <c r="AA3708" i="1"/>
  <c r="AA3707" i="1"/>
  <c r="AA3706" i="1"/>
  <c r="AA3705" i="1"/>
  <c r="AA3704" i="1"/>
  <c r="AA3703" i="1"/>
  <c r="AA3702" i="1"/>
  <c r="AA3701" i="1"/>
  <c r="AA3700" i="1"/>
  <c r="AA3699" i="1"/>
  <c r="AA3698" i="1"/>
  <c r="AA3697" i="1"/>
  <c r="AA3696" i="1"/>
  <c r="AA3695" i="1"/>
  <c r="AA3694" i="1"/>
  <c r="AA3693" i="1"/>
  <c r="AA3692" i="1"/>
  <c r="AA3691" i="1"/>
  <c r="AA3690" i="1"/>
  <c r="AA3689" i="1"/>
  <c r="AA3688" i="1"/>
  <c r="AA3687" i="1"/>
  <c r="AA3686" i="1"/>
  <c r="AA3685" i="1"/>
  <c r="AA3684" i="1"/>
  <c r="AA3683" i="1"/>
  <c r="AA3682" i="1"/>
  <c r="AA3681" i="1"/>
  <c r="AA3680" i="1"/>
  <c r="AA3679" i="1"/>
  <c r="AA3678" i="1"/>
  <c r="AA3677"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9" i="1"/>
  <c r="AA3628" i="1"/>
  <c r="AA3627" i="1"/>
  <c r="AA3626" i="1"/>
  <c r="AA3625" i="1"/>
  <c r="AA3624" i="1"/>
  <c r="AA3623" i="1"/>
  <c r="AA3622" i="1"/>
  <c r="AA3621" i="1"/>
  <c r="AA3620" i="1"/>
  <c r="AA3619" i="1"/>
  <c r="AA3618" i="1"/>
  <c r="AA3617" i="1"/>
  <c r="AA3616" i="1"/>
  <c r="AA3615"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5"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8" i="1"/>
  <c r="AA3547" i="1"/>
  <c r="AA3546" i="1"/>
  <c r="AA3545" i="1"/>
  <c r="AA3544" i="1"/>
  <c r="AA3543" i="1"/>
  <c r="AA3542" i="1"/>
  <c r="AA3541" i="1"/>
  <c r="AA3540" i="1"/>
  <c r="AA3539" i="1"/>
  <c r="AA3538" i="1"/>
  <c r="AA3537" i="1"/>
  <c r="AA3536" i="1"/>
  <c r="AA3535" i="1"/>
  <c r="AA3534" i="1"/>
  <c r="AA3533" i="1"/>
  <c r="AA3532" i="1"/>
  <c r="AA3531" i="1"/>
  <c r="AA3530" i="1"/>
  <c r="AA3529" i="1"/>
  <c r="AA3528" i="1"/>
  <c r="AA3527" i="1"/>
  <c r="AA3526" i="1"/>
  <c r="AA3525" i="1"/>
  <c r="AA3524" i="1"/>
  <c r="AA3523" i="1"/>
  <c r="AA3522" i="1"/>
  <c r="AA3521" i="1"/>
  <c r="AA3520" i="1"/>
  <c r="AA3519" i="1"/>
  <c r="AA3518" i="1"/>
  <c r="AA3517" i="1"/>
  <c r="AA3516" i="1"/>
  <c r="AA3515" i="1"/>
  <c r="AA3514" i="1"/>
  <c r="AA3513" i="1"/>
  <c r="AA3512" i="1"/>
  <c r="AA3511" i="1"/>
  <c r="AA3510" i="1"/>
  <c r="AA3509" i="1"/>
  <c r="AA3508" i="1"/>
  <c r="AA3507" i="1"/>
  <c r="AA3506" i="1"/>
  <c r="AA3505" i="1"/>
  <c r="AA3504" i="1"/>
  <c r="AA3503" i="1"/>
  <c r="AA3502" i="1"/>
  <c r="AA3501" i="1"/>
  <c r="AA3500" i="1"/>
  <c r="AA3499" i="1"/>
  <c r="AA3498" i="1"/>
  <c r="AA3497" i="1"/>
  <c r="AA3496" i="1"/>
  <c r="AA3495" i="1"/>
  <c r="AA3494" i="1"/>
  <c r="AA3493" i="1"/>
  <c r="AA3492" i="1"/>
  <c r="AA3491" i="1"/>
  <c r="AA3490" i="1"/>
  <c r="AA3489" i="1"/>
  <c r="AA3488" i="1"/>
  <c r="AA3487" i="1"/>
  <c r="AA3486" i="1"/>
  <c r="AA3485" i="1"/>
  <c r="AA3484" i="1"/>
  <c r="AA3483" i="1"/>
  <c r="AA3482" i="1"/>
  <c r="AA3481" i="1"/>
  <c r="AA3480" i="1"/>
  <c r="AA3479" i="1"/>
  <c r="AA3478" i="1"/>
  <c r="AA3477" i="1"/>
  <c r="AA3476" i="1"/>
  <c r="AA3475" i="1"/>
  <c r="AA3474" i="1"/>
  <c r="AA3473" i="1"/>
  <c r="AA3472" i="1"/>
  <c r="AA3471" i="1"/>
  <c r="AA3470" i="1"/>
  <c r="AA3469" i="1"/>
  <c r="AA3468" i="1"/>
  <c r="AA3467" i="1"/>
  <c r="AA3466" i="1"/>
  <c r="AA3465" i="1"/>
  <c r="AA3464" i="1"/>
  <c r="AA3463" i="1"/>
  <c r="AA3462" i="1"/>
  <c r="AA3461" i="1"/>
  <c r="AA3460" i="1"/>
  <c r="AA3459" i="1"/>
  <c r="AA3458" i="1"/>
  <c r="AA3457" i="1"/>
  <c r="AA3456" i="1"/>
  <c r="AA3455" i="1"/>
  <c r="AA3454" i="1"/>
  <c r="AA3453" i="1"/>
  <c r="AA3452"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9" i="1"/>
  <c r="AA3388" i="1"/>
  <c r="AA3387" i="1"/>
  <c r="AA3386"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2" i="1"/>
  <c r="AA3351" i="1"/>
  <c r="AA3350" i="1"/>
  <c r="AA3349" i="1"/>
  <c r="AA3348" i="1"/>
  <c r="AA3347" i="1"/>
  <c r="AA3346" i="1"/>
  <c r="AA3345" i="1"/>
  <c r="AA3344" i="1"/>
  <c r="AA3343" i="1"/>
  <c r="AA3342" i="1"/>
  <c r="AA3341" i="1"/>
  <c r="AA3340" i="1"/>
  <c r="AA3339" i="1"/>
  <c r="AA3338" i="1"/>
  <c r="AA3337" i="1"/>
  <c r="AA3336" i="1"/>
  <c r="AA3335" i="1"/>
  <c r="AA3334" i="1"/>
  <c r="AA3333" i="1"/>
  <c r="AA3332" i="1"/>
  <c r="AA3331" i="1"/>
  <c r="AA3330" i="1"/>
  <c r="AA3329" i="1"/>
  <c r="AA3328" i="1"/>
  <c r="AA3327" i="1"/>
  <c r="AA3326" i="1"/>
  <c r="AA3325" i="1"/>
  <c r="AA3324" i="1"/>
  <c r="AA3323" i="1"/>
  <c r="AA3322" i="1"/>
  <c r="AA3321" i="1"/>
  <c r="AA3320" i="1"/>
  <c r="AA3319" i="1"/>
  <c r="AA3318" i="1"/>
  <c r="AA3317" i="1"/>
  <c r="AA3316" i="1"/>
  <c r="AA3315" i="1"/>
  <c r="AA3314" i="1"/>
  <c r="AA3313" i="1"/>
  <c r="AA3312" i="1"/>
  <c r="AA3311" i="1"/>
  <c r="AA3310" i="1"/>
  <c r="AA3309" i="1"/>
  <c r="AA3308" i="1"/>
  <c r="AA3307" i="1"/>
  <c r="AA3306" i="1"/>
  <c r="AA3305" i="1"/>
  <c r="AA3304" i="1"/>
  <c r="AA3303" i="1"/>
  <c r="AA3302" i="1"/>
  <c r="AA3301" i="1"/>
  <c r="AA3300" i="1"/>
  <c r="AA3299" i="1"/>
  <c r="AA3298" i="1"/>
  <c r="AA3297" i="1"/>
  <c r="AA3296" i="1"/>
  <c r="AA3295" i="1"/>
  <c r="AA3294" i="1"/>
  <c r="AA3293" i="1"/>
  <c r="AA3292" i="1"/>
  <c r="AA3291" i="1"/>
  <c r="AA3290" i="1"/>
  <c r="AA3289" i="1"/>
  <c r="AA3288" i="1"/>
  <c r="AA3287" i="1"/>
  <c r="AA3286" i="1"/>
  <c r="AA3285" i="1"/>
  <c r="AA3284" i="1"/>
  <c r="AA3283" i="1"/>
  <c r="AA3282" i="1"/>
  <c r="AA3281" i="1"/>
  <c r="AA3280" i="1"/>
  <c r="AA3279" i="1"/>
  <c r="AA3278" i="1"/>
  <c r="AA3277" i="1"/>
  <c r="AA3276" i="1"/>
  <c r="AA3275" i="1"/>
  <c r="AA3274" i="1"/>
  <c r="AA3273" i="1"/>
  <c r="AA3272" i="1"/>
  <c r="AA3271" i="1"/>
  <c r="AA3270" i="1"/>
  <c r="AA3269" i="1"/>
  <c r="AA3268"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1" i="1"/>
  <c r="AA3240" i="1"/>
  <c r="AA3239" i="1"/>
  <c r="AA3238" i="1"/>
  <c r="AA3237" i="1"/>
  <c r="AA3236" i="1"/>
  <c r="AA3235" i="1"/>
  <c r="AA3234" i="1"/>
  <c r="AA3233" i="1"/>
  <c r="AA3232" i="1"/>
  <c r="AA3231" i="1"/>
  <c r="AA3230" i="1"/>
  <c r="AA3229" i="1"/>
  <c r="AA3228" i="1"/>
  <c r="AA3227" i="1"/>
  <c r="AA3226" i="1"/>
  <c r="AA3225" i="1"/>
  <c r="AA3224" i="1"/>
  <c r="AA3223" i="1"/>
  <c r="AA3222" i="1"/>
  <c r="AA3221" i="1"/>
  <c r="AA3220" i="1"/>
  <c r="AA3219" i="1"/>
  <c r="AA3218" i="1"/>
  <c r="AA3217" i="1"/>
  <c r="AA3216" i="1"/>
  <c r="AA3215" i="1"/>
  <c r="AA3214" i="1"/>
  <c r="AA3213" i="1"/>
  <c r="AA3212"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5" i="1"/>
  <c r="AA3184" i="1"/>
  <c r="AA3183" i="1"/>
  <c r="AA3182" i="1"/>
  <c r="AA3181" i="1"/>
  <c r="AA3180" i="1"/>
  <c r="AA3179" i="1"/>
  <c r="AA3178" i="1"/>
  <c r="AA3177" i="1"/>
  <c r="AA3176" i="1"/>
  <c r="AA3175" i="1"/>
  <c r="AA3174" i="1"/>
  <c r="AA3173" i="1"/>
  <c r="AA3172" i="1"/>
  <c r="AA3171" i="1"/>
  <c r="AA3170" i="1"/>
  <c r="AA3169" i="1"/>
  <c r="AA3168" i="1"/>
  <c r="AA3167" i="1"/>
  <c r="AA3166" i="1"/>
  <c r="AA3165" i="1"/>
  <c r="AA3164" i="1"/>
  <c r="AA3163" i="1"/>
  <c r="AA3162" i="1"/>
  <c r="AA3161" i="1"/>
  <c r="AA3160" i="1"/>
  <c r="AA3159" i="1"/>
  <c r="AA3158" i="1"/>
  <c r="AA3157" i="1"/>
  <c r="AA3156" i="1"/>
  <c r="AA3155" i="1"/>
  <c r="AA3154" i="1"/>
  <c r="AA3153" i="1"/>
  <c r="AA3152" i="1"/>
  <c r="AA3151" i="1"/>
  <c r="AA3150" i="1"/>
  <c r="AA3149" i="1"/>
  <c r="AA3148" i="1"/>
  <c r="AA3147" i="1"/>
  <c r="AA3146" i="1"/>
  <c r="AA3145" i="1"/>
  <c r="AA3144" i="1"/>
  <c r="AA3143" i="1"/>
  <c r="AA3142" i="1"/>
  <c r="AA3141" i="1"/>
  <c r="AA3140" i="1"/>
  <c r="AA3139" i="1"/>
  <c r="AA3138" i="1"/>
  <c r="AA3137" i="1"/>
  <c r="AA3136" i="1"/>
  <c r="AA3135" i="1"/>
  <c r="AA3134" i="1"/>
  <c r="AA3133" i="1"/>
  <c r="AA3132" i="1"/>
  <c r="AA3131" i="1"/>
  <c r="AA3130" i="1"/>
  <c r="AA3129" i="1"/>
  <c r="AA3128" i="1"/>
  <c r="AA3127" i="1"/>
  <c r="AA3126" i="1"/>
  <c r="AA3125" i="1"/>
  <c r="AA3124" i="1"/>
  <c r="AA3123" i="1"/>
  <c r="AA3122" i="1"/>
  <c r="AA3121" i="1"/>
  <c r="AA3120" i="1"/>
  <c r="AA3119" i="1"/>
  <c r="AA3118" i="1"/>
  <c r="AA3117" i="1"/>
  <c r="AA3116" i="1"/>
  <c r="AA3115" i="1"/>
  <c r="AA3114" i="1"/>
  <c r="AA3113" i="1"/>
  <c r="AA3112" i="1"/>
  <c r="AA3111" i="1"/>
  <c r="AA3110" i="1"/>
  <c r="AA3109" i="1"/>
  <c r="AA3108" i="1"/>
  <c r="AA3107" i="1"/>
  <c r="AA3106" i="1"/>
  <c r="AA3105" i="1"/>
  <c r="AA3104" i="1"/>
  <c r="AA3103" i="1"/>
  <c r="AA3102" i="1"/>
  <c r="AA3101" i="1"/>
  <c r="AA3100" i="1"/>
  <c r="AA3099" i="1"/>
  <c r="AA3098" i="1"/>
  <c r="AA3097" i="1"/>
  <c r="AA3096" i="1"/>
  <c r="AA3095" i="1"/>
  <c r="AA3094" i="1"/>
  <c r="AA3093" i="1"/>
  <c r="AA3092" i="1"/>
  <c r="AA3091" i="1"/>
  <c r="AA3090" i="1"/>
  <c r="AA3089" i="1"/>
  <c r="AA3088" i="1"/>
  <c r="AA3087" i="1"/>
  <c r="AA3086" i="1"/>
  <c r="AA3085" i="1"/>
  <c r="AA3084" i="1"/>
  <c r="AA3083" i="1"/>
  <c r="AA3082" i="1"/>
  <c r="AA3081" i="1"/>
  <c r="AA3080" i="1"/>
  <c r="AA3079" i="1"/>
  <c r="AA3078" i="1"/>
  <c r="AA3077" i="1"/>
  <c r="AA3076" i="1"/>
  <c r="AA3075" i="1"/>
  <c r="AA3074" i="1"/>
  <c r="AA3073" i="1"/>
  <c r="AA3072" i="1"/>
  <c r="AA3071" i="1"/>
  <c r="AA3070" i="1"/>
  <c r="AA3069" i="1"/>
  <c r="AA3068" i="1"/>
  <c r="AA3067" i="1"/>
  <c r="AA3066" i="1"/>
  <c r="AA3065" i="1"/>
  <c r="AA3064" i="1"/>
  <c r="AA3063" i="1"/>
  <c r="AA3062" i="1"/>
  <c r="AA3061" i="1"/>
  <c r="AA3060" i="1"/>
  <c r="AA3059" i="1"/>
  <c r="AA3058" i="1"/>
  <c r="AA3057" i="1"/>
  <c r="AA3056" i="1"/>
  <c r="AA3055" i="1"/>
  <c r="AA3054" i="1"/>
  <c r="AA3053" i="1"/>
  <c r="AA3052" i="1"/>
  <c r="AA3051" i="1"/>
  <c r="AA3050" i="1"/>
  <c r="AA3049" i="1"/>
  <c r="AA3048" i="1"/>
  <c r="AA3047" i="1"/>
  <c r="AA3046" i="1"/>
  <c r="AA3045" i="1"/>
  <c r="AA3044"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2" i="1"/>
  <c r="AA3021" i="1"/>
  <c r="AA3020" i="1"/>
  <c r="AA3019" i="1"/>
  <c r="AA3018" i="1"/>
  <c r="AA3017" i="1"/>
  <c r="AA3016" i="1"/>
  <c r="AA3015" i="1"/>
  <c r="AA3014" i="1"/>
  <c r="AA3013" i="1"/>
  <c r="AA3012" i="1"/>
  <c r="AA3011" i="1"/>
  <c r="AA3010" i="1"/>
  <c r="AA3009" i="1"/>
  <c r="AA3008"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6" i="1"/>
  <c r="AA2985" i="1"/>
  <c r="AA2984" i="1"/>
  <c r="AA2983" i="1"/>
  <c r="AA2982" i="1"/>
  <c r="AA2981" i="1"/>
  <c r="AA2980" i="1"/>
  <c r="AA2979" i="1"/>
  <c r="AA2978"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1"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4" i="1"/>
  <c r="AA2923" i="1"/>
  <c r="AA2922" i="1"/>
  <c r="AA2921" i="1"/>
  <c r="AA2920" i="1"/>
  <c r="AA2919" i="1"/>
  <c r="AA2918" i="1"/>
  <c r="AA2917" i="1"/>
  <c r="AA2916" i="1"/>
  <c r="AA2915" i="1"/>
  <c r="AA2914" i="1"/>
  <c r="AA2913" i="1"/>
  <c r="AA2912" i="1"/>
  <c r="AA2911" i="1"/>
  <c r="AA2910" i="1"/>
  <c r="AA2909" i="1"/>
  <c r="AA2908" i="1"/>
  <c r="AA2907" i="1"/>
  <c r="AA2906" i="1"/>
  <c r="AA2905" i="1"/>
  <c r="AA2904" i="1"/>
  <c r="AA2903" i="1"/>
  <c r="AA2902" i="1"/>
  <c r="AA2901" i="1"/>
  <c r="AA2900" i="1"/>
  <c r="AA2899" i="1"/>
  <c r="AA2898" i="1"/>
  <c r="AA2897" i="1"/>
  <c r="AA2896" i="1"/>
  <c r="AA2895" i="1"/>
  <c r="AA2894" i="1"/>
  <c r="AA2893" i="1"/>
  <c r="AA2892" i="1"/>
  <c r="AA2891" i="1"/>
  <c r="AA2890" i="1"/>
  <c r="AA2889" i="1"/>
  <c r="AA2888" i="1"/>
  <c r="AA2887" i="1"/>
  <c r="AA2886" i="1"/>
  <c r="AA2885" i="1"/>
  <c r="AA2884" i="1"/>
  <c r="AA2883" i="1"/>
  <c r="AA2882" i="1"/>
  <c r="AA2881" i="1"/>
  <c r="AA2880" i="1"/>
  <c r="AA2879" i="1"/>
  <c r="AA2878" i="1"/>
  <c r="AA2877" i="1"/>
  <c r="AA2876" i="1"/>
  <c r="AA2875" i="1"/>
  <c r="AA2874" i="1"/>
  <c r="AA2873" i="1"/>
  <c r="AA2872" i="1"/>
  <c r="AA2871" i="1"/>
  <c r="AA2870" i="1"/>
  <c r="AA2869" i="1"/>
  <c r="AA2868" i="1"/>
  <c r="AA2867" i="1"/>
  <c r="AA2866" i="1"/>
  <c r="AA2865" i="1"/>
  <c r="AA2864" i="1"/>
  <c r="AA2863" i="1"/>
  <c r="AA2862" i="1"/>
  <c r="AA2861" i="1"/>
  <c r="AA2860" i="1"/>
  <c r="AA2859" i="1"/>
  <c r="AA2858" i="1"/>
  <c r="AA2857" i="1"/>
  <c r="AA2856" i="1"/>
  <c r="AA2855" i="1"/>
  <c r="AA2854" i="1"/>
  <c r="AA2853" i="1"/>
  <c r="AA2852" i="1"/>
  <c r="AA2851" i="1"/>
  <c r="AA2850" i="1"/>
  <c r="AA2849" i="1"/>
  <c r="AA2848" i="1"/>
  <c r="AA2847" i="1"/>
  <c r="AA2846" i="1"/>
  <c r="AA2845" i="1"/>
  <c r="AA2844" i="1"/>
  <c r="AA2843" i="1"/>
  <c r="AA2842" i="1"/>
  <c r="AA2841" i="1"/>
  <c r="AA2840" i="1"/>
  <c r="AA2839" i="1"/>
  <c r="AA2838" i="1"/>
  <c r="AA2837" i="1"/>
  <c r="AA2836" i="1"/>
  <c r="AA2835" i="1"/>
  <c r="AA2834" i="1"/>
  <c r="AA2833" i="1"/>
  <c r="AA2832" i="1"/>
  <c r="AA2831" i="1"/>
  <c r="AA2830" i="1"/>
  <c r="AA2829" i="1"/>
  <c r="AA2828" i="1"/>
  <c r="AA2827" i="1"/>
  <c r="AA2826" i="1"/>
  <c r="AA2825" i="1"/>
  <c r="AA2824" i="1"/>
  <c r="AA2823" i="1"/>
  <c r="AA2822" i="1"/>
  <c r="AA2821" i="1"/>
  <c r="AA2820" i="1"/>
  <c r="AA2819" i="1"/>
  <c r="AA2818" i="1"/>
  <c r="AA2817" i="1"/>
  <c r="AA2816" i="1"/>
  <c r="AA2815" i="1"/>
  <c r="AA2814" i="1"/>
  <c r="AA2813" i="1"/>
  <c r="AA2812" i="1"/>
  <c r="AA2811" i="1"/>
  <c r="AA2810" i="1"/>
  <c r="AA2809" i="1"/>
  <c r="AA2808" i="1"/>
  <c r="AA2807" i="1"/>
  <c r="AA2806" i="1"/>
  <c r="AA2805" i="1"/>
  <c r="AA2804" i="1"/>
  <c r="AA2803" i="1"/>
  <c r="AA2802" i="1"/>
  <c r="AA2801" i="1"/>
  <c r="AA2800" i="1"/>
  <c r="AA2799" i="1"/>
  <c r="AA2798" i="1"/>
  <c r="AA2797"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5" i="1"/>
  <c r="AA2774" i="1"/>
  <c r="AA2773" i="1"/>
  <c r="AA2772" i="1"/>
  <c r="AA2771" i="1"/>
  <c r="AA2770" i="1"/>
  <c r="AA2769" i="1"/>
  <c r="AA2768" i="1"/>
  <c r="AA2767" i="1"/>
  <c r="AA2766"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7" i="1"/>
  <c r="AA2736" i="1"/>
  <c r="AA2735" i="1"/>
  <c r="AA2734" i="1"/>
  <c r="AA2733" i="1"/>
  <c r="AA2732" i="1"/>
  <c r="AA2731" i="1"/>
  <c r="AA2730" i="1"/>
  <c r="AA2729" i="1"/>
  <c r="AA2728" i="1"/>
  <c r="AA2727" i="1"/>
  <c r="AA2726" i="1"/>
  <c r="AA2725" i="1"/>
  <c r="AA2724" i="1"/>
  <c r="AA2723" i="1"/>
  <c r="AA2722" i="1"/>
  <c r="AA2721" i="1"/>
  <c r="AA2720" i="1"/>
  <c r="AA2719" i="1"/>
  <c r="AA2718" i="1"/>
  <c r="AA2717" i="1"/>
  <c r="AA2716" i="1"/>
  <c r="AA2715" i="1"/>
  <c r="AA2714" i="1"/>
  <c r="AA2713" i="1"/>
  <c r="AA2712" i="1"/>
  <c r="AA2711" i="1"/>
  <c r="AA2710" i="1"/>
  <c r="AA2709"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3" i="1"/>
  <c r="AA2672" i="1"/>
  <c r="AA2671" i="1"/>
  <c r="AA2670" i="1"/>
  <c r="AA2669" i="1"/>
  <c r="AA2668" i="1"/>
  <c r="AA2667" i="1"/>
  <c r="AA2666" i="1"/>
  <c r="AA2665" i="1"/>
  <c r="AA2664" i="1"/>
  <c r="AA2663" i="1"/>
  <c r="AA2662" i="1"/>
  <c r="AA2661" i="1"/>
  <c r="AA2660" i="1"/>
  <c r="AA2659" i="1"/>
  <c r="AA2658" i="1"/>
  <c r="AA2657" i="1"/>
  <c r="AA2656" i="1"/>
  <c r="AA2655" i="1"/>
  <c r="AA2654" i="1"/>
  <c r="AA2653" i="1"/>
  <c r="AA2652" i="1"/>
  <c r="AA2651" i="1"/>
  <c r="AA2650" i="1"/>
  <c r="AA2649" i="1"/>
  <c r="AA2648" i="1"/>
  <c r="AA2647" i="1"/>
  <c r="AA2646" i="1"/>
  <c r="AA2645" i="1"/>
  <c r="AA2644" i="1"/>
  <c r="AA2643" i="1"/>
  <c r="AA2642" i="1"/>
  <c r="AA2641" i="1"/>
  <c r="AA2640" i="1"/>
  <c r="AA2639" i="1"/>
  <c r="AA2638" i="1"/>
  <c r="AA2637" i="1"/>
  <c r="AA2636" i="1"/>
  <c r="AA2635" i="1"/>
  <c r="AA2634" i="1"/>
  <c r="AA2633" i="1"/>
  <c r="AA2632" i="1"/>
  <c r="AA2631" i="1"/>
  <c r="AA2630" i="1"/>
  <c r="AA2629" i="1"/>
  <c r="AA2628" i="1"/>
  <c r="AA2627" i="1"/>
  <c r="AA2626" i="1"/>
  <c r="AA2625" i="1"/>
  <c r="AA2624" i="1"/>
  <c r="AA2623" i="1"/>
  <c r="AA2622" i="1"/>
  <c r="AA2621" i="1"/>
  <c r="AA2620" i="1"/>
  <c r="AA2619" i="1"/>
  <c r="AA2618" i="1"/>
  <c r="AA2617" i="1"/>
  <c r="AA2616" i="1"/>
  <c r="AA2615" i="1"/>
  <c r="AA2614" i="1"/>
  <c r="AA2613" i="1"/>
  <c r="AA2612" i="1"/>
  <c r="AA2611" i="1"/>
  <c r="AA2610" i="1"/>
  <c r="AA2609" i="1"/>
  <c r="AA2608" i="1"/>
  <c r="AA2607" i="1"/>
  <c r="AA2606" i="1"/>
  <c r="AA2605" i="1"/>
  <c r="AA2604" i="1"/>
  <c r="AA2603" i="1"/>
  <c r="AA2602" i="1"/>
  <c r="AA2601" i="1"/>
  <c r="AA2600"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70" i="1"/>
  <c r="AA2569" i="1"/>
  <c r="AA2568" i="1"/>
  <c r="AA2567" i="1"/>
  <c r="AA2566" i="1"/>
  <c r="AA2565" i="1"/>
  <c r="AA2564" i="1"/>
  <c r="AA2563" i="1"/>
  <c r="AA2562" i="1"/>
  <c r="AA2561" i="1"/>
  <c r="AA2560" i="1"/>
  <c r="AA2559" i="1"/>
  <c r="AA2558" i="1"/>
  <c r="AA2557" i="1"/>
  <c r="AA2556" i="1"/>
  <c r="AA2555" i="1"/>
  <c r="AA2554" i="1"/>
  <c r="AA2553" i="1"/>
  <c r="AA2552" i="1"/>
  <c r="AA2551" i="1"/>
  <c r="AA2550"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1" i="1"/>
  <c r="AA2510" i="1"/>
  <c r="AA2509" i="1"/>
  <c r="AA2508" i="1"/>
  <c r="AA2507" i="1"/>
  <c r="AA2506" i="1"/>
  <c r="AA2505" i="1"/>
  <c r="AA2504" i="1"/>
  <c r="AA2503" i="1"/>
  <c r="AA2502" i="1"/>
  <c r="AA2501" i="1"/>
  <c r="AA2500" i="1"/>
  <c r="AA2499" i="1"/>
  <c r="AA2498" i="1"/>
  <c r="AA2497" i="1"/>
  <c r="AA2496" i="1"/>
  <c r="AA2495" i="1"/>
  <c r="AA2494" i="1"/>
  <c r="AA2493" i="1"/>
  <c r="AA2492" i="1"/>
  <c r="AA2491" i="1"/>
  <c r="AA2490" i="1"/>
  <c r="AA2489" i="1"/>
  <c r="AA2488" i="1"/>
  <c r="AA2487" i="1"/>
  <c r="AA2486" i="1"/>
  <c r="AA2485" i="1"/>
  <c r="AA2484" i="1"/>
  <c r="AA2483" i="1"/>
  <c r="AA2482" i="1"/>
  <c r="AA2481" i="1"/>
  <c r="AA2480" i="1"/>
  <c r="AA2479" i="1"/>
  <c r="AA2478" i="1"/>
  <c r="AA2477" i="1"/>
  <c r="AA2476" i="1"/>
  <c r="AA2475" i="1"/>
  <c r="AA2474" i="1"/>
  <c r="AA2473" i="1"/>
  <c r="AA2472" i="1"/>
  <c r="AA2471" i="1"/>
  <c r="AA2470" i="1"/>
  <c r="AA2469" i="1"/>
  <c r="AA2468" i="1"/>
  <c r="AA2467" i="1"/>
  <c r="AA2466" i="1"/>
  <c r="AA2465" i="1"/>
  <c r="AA2464" i="1"/>
  <c r="AA2463" i="1"/>
  <c r="AA2462" i="1"/>
  <c r="AA2461" i="1"/>
  <c r="AA2460" i="1"/>
  <c r="AA2459" i="1"/>
  <c r="AA2458" i="1"/>
  <c r="AA2457"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2410" i="1"/>
  <c r="AA2409" i="1"/>
  <c r="AA2408" i="1"/>
  <c r="AA2407" i="1"/>
  <c r="AA2406" i="1"/>
  <c r="AA2405" i="1"/>
  <c r="AA2404" i="1"/>
  <c r="AA2403" i="1"/>
  <c r="AA2402" i="1"/>
  <c r="AA2401" i="1"/>
  <c r="AA2400" i="1"/>
  <c r="AA2399" i="1"/>
  <c r="AA2398" i="1"/>
  <c r="AA2397" i="1"/>
  <c r="AA2396" i="1"/>
  <c r="AA2395" i="1"/>
  <c r="AA2394" i="1"/>
  <c r="AA2393" i="1"/>
  <c r="AA2392" i="1"/>
  <c r="AA2391" i="1"/>
  <c r="AA2390" i="1"/>
  <c r="AA2389" i="1"/>
  <c r="AA2388" i="1"/>
  <c r="AA2387" i="1"/>
  <c r="AA2386" i="1"/>
  <c r="AA2385" i="1"/>
  <c r="AA2384" i="1"/>
  <c r="AA2383" i="1"/>
  <c r="AA2382" i="1"/>
  <c r="AA2381" i="1"/>
  <c r="AA2380" i="1"/>
  <c r="AA2379" i="1"/>
  <c r="AA2378" i="1"/>
  <c r="AA2377" i="1"/>
  <c r="AA2376" i="1"/>
  <c r="AA2375" i="1"/>
  <c r="AA2374" i="1"/>
  <c r="AA2373" i="1"/>
  <c r="AA2372" i="1"/>
  <c r="AA2371" i="1"/>
  <c r="AA2370" i="1"/>
  <c r="AA2369" i="1"/>
  <c r="AA2368" i="1"/>
  <c r="AA2367" i="1"/>
  <c r="AA2366" i="1"/>
  <c r="AA2365" i="1"/>
  <c r="AA2364" i="1"/>
  <c r="AA2363" i="1"/>
  <c r="AA2362" i="1"/>
  <c r="AA2361" i="1"/>
  <c r="AA2360" i="1"/>
  <c r="AA2359" i="1"/>
  <c r="AA2358" i="1"/>
  <c r="AA2357" i="1"/>
  <c r="AA2356" i="1"/>
  <c r="AA2355" i="1"/>
  <c r="AA2354" i="1"/>
  <c r="AA2353" i="1"/>
  <c r="AA2352" i="1"/>
  <c r="AA2351" i="1"/>
  <c r="AA2350" i="1"/>
  <c r="AA2349" i="1"/>
  <c r="AA2348" i="1"/>
  <c r="AA2347" i="1"/>
  <c r="AA2346" i="1"/>
  <c r="AA2345" i="1"/>
  <c r="AA2344" i="1"/>
  <c r="AA2343" i="1"/>
  <c r="AA2342" i="1"/>
  <c r="AA2341" i="1"/>
  <c r="AA2340" i="1"/>
  <c r="AA2339" i="1"/>
  <c r="AA2338" i="1"/>
  <c r="AA2337" i="1"/>
  <c r="AA2336" i="1"/>
  <c r="AA2335" i="1"/>
  <c r="AA2334" i="1"/>
  <c r="AA2333" i="1"/>
  <c r="AA2332" i="1"/>
  <c r="AA2331" i="1"/>
  <c r="AA2330" i="1"/>
  <c r="AA2329" i="1"/>
  <c r="AA2328" i="1"/>
  <c r="AA2327" i="1"/>
  <c r="AA2326" i="1"/>
  <c r="AA2325" i="1"/>
  <c r="AA2324" i="1"/>
  <c r="AA2323" i="1"/>
  <c r="AA2322" i="1"/>
  <c r="AA2321" i="1"/>
  <c r="AA2320" i="1"/>
  <c r="AA2319" i="1"/>
  <c r="AA2318" i="1"/>
  <c r="AA2317"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7" i="1"/>
  <c r="AA2266" i="1"/>
  <c r="AA2265" i="1"/>
  <c r="AA2264" i="1"/>
  <c r="AA2263" i="1"/>
  <c r="AA2262"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30" i="1"/>
  <c r="AA2229" i="1"/>
  <c r="AA2228" i="1"/>
  <c r="AA2227" i="1"/>
  <c r="AA2226" i="1"/>
  <c r="AA2225" i="1"/>
  <c r="AA2224" i="1"/>
  <c r="AA2223" i="1"/>
  <c r="AA2222" i="1"/>
  <c r="AA2221" i="1"/>
  <c r="AA2220" i="1"/>
  <c r="AA2219" i="1"/>
  <c r="AA2218" i="1"/>
  <c r="AA2217" i="1"/>
  <c r="AA2216" i="1"/>
  <c r="AA2215" i="1"/>
  <c r="AA2214" i="1"/>
  <c r="AA2213" i="1"/>
  <c r="AA2212" i="1"/>
  <c r="AA2211" i="1"/>
  <c r="AA2210" i="1"/>
  <c r="AA2209" i="1"/>
  <c r="AA2208" i="1"/>
  <c r="AA2207" i="1"/>
  <c r="AA2206" i="1"/>
  <c r="AA2205" i="1"/>
  <c r="AA2204" i="1"/>
  <c r="AA2203" i="1"/>
  <c r="AA2202" i="1"/>
  <c r="AA2201" i="1"/>
  <c r="AA2200" i="1"/>
  <c r="AA2199" i="1"/>
  <c r="AA2198" i="1"/>
  <c r="AA2197" i="1"/>
  <c r="AA2196" i="1"/>
  <c r="AA2195" i="1"/>
  <c r="AA2194" i="1"/>
  <c r="AA2193" i="1"/>
  <c r="AA2192" i="1"/>
  <c r="AA2191" i="1"/>
  <c r="AA2190" i="1"/>
  <c r="AA2189" i="1"/>
  <c r="AA2188" i="1"/>
  <c r="AA2187" i="1"/>
  <c r="AA2186" i="1"/>
  <c r="AA2185" i="1"/>
  <c r="AA2184" i="1"/>
  <c r="AA2183" i="1"/>
  <c r="AA2182" i="1"/>
  <c r="AA2181" i="1"/>
  <c r="AA2180" i="1"/>
  <c r="AA2179" i="1"/>
  <c r="AA2178" i="1"/>
  <c r="AA2177" i="1"/>
  <c r="AA2176" i="1"/>
  <c r="AA2175" i="1"/>
  <c r="AA2174" i="1"/>
  <c r="AA2173" i="1"/>
  <c r="AA2172" i="1"/>
  <c r="AA2171" i="1"/>
  <c r="AA2170" i="1"/>
  <c r="AA2169" i="1"/>
  <c r="AA2168"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AA2136" i="1"/>
  <c r="AA2135" i="1"/>
  <c r="AA2134" i="1"/>
  <c r="AA2133" i="1"/>
  <c r="AA2132" i="1"/>
  <c r="AA2131" i="1"/>
  <c r="AA2130" i="1"/>
  <c r="AA2129" i="1"/>
  <c r="AA2128" i="1"/>
  <c r="AA2127" i="1"/>
  <c r="AA2126" i="1"/>
  <c r="AA2125" i="1"/>
  <c r="AA2124" i="1"/>
  <c r="AA2123" i="1"/>
  <c r="AA2122" i="1"/>
  <c r="AA2121" i="1"/>
  <c r="AA2120" i="1"/>
  <c r="AA2119" i="1"/>
  <c r="AA2118" i="1"/>
  <c r="AA2117" i="1"/>
  <c r="AA2116" i="1"/>
  <c r="AA2115" i="1"/>
  <c r="AA2114" i="1"/>
  <c r="AA2113" i="1"/>
  <c r="AA2112" i="1"/>
  <c r="AA2111" i="1"/>
  <c r="AA2110" i="1"/>
  <c r="AA2109" i="1"/>
  <c r="AA2108" i="1"/>
  <c r="AA2107" i="1"/>
  <c r="AA2106" i="1"/>
  <c r="AA2105" i="1"/>
  <c r="AA2104" i="1"/>
  <c r="AA2103" i="1"/>
  <c r="AA2102" i="1"/>
  <c r="AA2101" i="1"/>
  <c r="AA2100" i="1"/>
  <c r="AA2099" i="1"/>
  <c r="AA2098" i="1"/>
  <c r="AA2097" i="1"/>
  <c r="AA2096" i="1"/>
  <c r="AA2095" i="1"/>
  <c r="AA2094" i="1"/>
  <c r="AA2093" i="1"/>
  <c r="AA2092" i="1"/>
  <c r="AA2091" i="1"/>
  <c r="AA2090" i="1"/>
  <c r="AA2089" i="1"/>
  <c r="AA2088" i="1"/>
  <c r="AA2087" i="1"/>
  <c r="AA2086" i="1"/>
  <c r="AA2085" i="1"/>
  <c r="AA2084" i="1"/>
  <c r="AA2083" i="1"/>
  <c r="AA2082" i="1"/>
  <c r="AA2081" i="1"/>
  <c r="AA2080" i="1"/>
  <c r="AA2079" i="1"/>
  <c r="AA2078" i="1"/>
  <c r="AA2077" i="1"/>
  <c r="AA2076" i="1"/>
  <c r="AA2075" i="1"/>
  <c r="AA2074" i="1"/>
  <c r="AA2073" i="1"/>
  <c r="AA2072" i="1"/>
  <c r="AA2071" i="1"/>
  <c r="AA2070" i="1"/>
  <c r="AA2069" i="1"/>
  <c r="AA2068" i="1"/>
  <c r="AA2067" i="1"/>
  <c r="AA2066" i="1"/>
  <c r="AA2065" i="1"/>
  <c r="AA2064" i="1"/>
  <c r="AA2063" i="1"/>
  <c r="AA2062" i="1"/>
  <c r="AA2061" i="1"/>
  <c r="AA2060" i="1"/>
  <c r="AA2059" i="1"/>
  <c r="AA2058" i="1"/>
  <c r="AA2057" i="1"/>
  <c r="AA2056" i="1"/>
  <c r="AA2055" i="1"/>
  <c r="AA2054" i="1"/>
  <c r="AA2053" i="1"/>
  <c r="AA2052" i="1"/>
  <c r="AA2051" i="1"/>
  <c r="AA2050" i="1"/>
  <c r="AA2049" i="1"/>
  <c r="AA2048" i="1"/>
  <c r="AA2047" i="1"/>
  <c r="AA2046" i="1"/>
  <c r="AA2045" i="1"/>
  <c r="AA2044" i="1"/>
  <c r="AA2043" i="1"/>
  <c r="AA2042" i="1"/>
  <c r="AA2041" i="1"/>
  <c r="AA2040" i="1"/>
  <c r="AA2039" i="1"/>
  <c r="AA2038" i="1"/>
  <c r="AA2037" i="1"/>
  <c r="AA2036" i="1"/>
  <c r="AA2035" i="1"/>
  <c r="AA2034" i="1"/>
  <c r="AA2033" i="1"/>
  <c r="AA2032" i="1"/>
  <c r="AA2031" i="1"/>
  <c r="AA2030" i="1"/>
  <c r="AA2029" i="1"/>
  <c r="AA2028" i="1"/>
  <c r="AA2027" i="1"/>
  <c r="AA2026" i="1"/>
  <c r="AA2025" i="1"/>
  <c r="AA2024" i="1"/>
  <c r="AA2023" i="1"/>
  <c r="AA2022" i="1"/>
  <c r="AA2021" i="1"/>
  <c r="AA2020" i="1"/>
  <c r="AA2019" i="1"/>
  <c r="AA2018" i="1"/>
  <c r="AA2017" i="1"/>
  <c r="AA2016" i="1"/>
  <c r="AA2015" i="1"/>
  <c r="AA2014" i="1"/>
  <c r="AA2013" i="1"/>
  <c r="AA2012" i="1"/>
  <c r="AA2011" i="1"/>
  <c r="AA2010" i="1"/>
  <c r="AA2009" i="1"/>
  <c r="AA2008" i="1"/>
  <c r="AA2007" i="1"/>
  <c r="AA2006" i="1"/>
  <c r="AA2005" i="1"/>
  <c r="AA2004" i="1"/>
  <c r="AA2003" i="1"/>
  <c r="AA2002" i="1"/>
  <c r="AA2001" i="1"/>
  <c r="AA2000" i="1"/>
  <c r="AA1999" i="1"/>
  <c r="AA1998" i="1"/>
  <c r="AA1997" i="1"/>
  <c r="AA1996" i="1"/>
  <c r="AA1995" i="1"/>
  <c r="AA1994" i="1"/>
  <c r="AA1993" i="1"/>
  <c r="AA1992" i="1"/>
  <c r="AA1991" i="1"/>
  <c r="AA1990" i="1"/>
  <c r="AA1989" i="1"/>
  <c r="AA1988" i="1"/>
  <c r="AA1987" i="1"/>
  <c r="AA1986" i="1"/>
  <c r="AA1985" i="1"/>
  <c r="AA1984" i="1"/>
  <c r="AA1983"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60" i="1"/>
  <c r="AA1959" i="1"/>
  <c r="AA1958" i="1"/>
  <c r="AA1957" i="1"/>
  <c r="AA1956" i="1"/>
  <c r="AA1955" i="1"/>
  <c r="AA1954" i="1"/>
  <c r="AA1953" i="1"/>
  <c r="AA1952" i="1"/>
  <c r="AA1951" i="1"/>
  <c r="AA1950" i="1"/>
  <c r="AA1949" i="1"/>
  <c r="AA1948" i="1"/>
  <c r="AA1947" i="1"/>
  <c r="AA1946" i="1"/>
  <c r="AA1945" i="1"/>
  <c r="AA1944" i="1"/>
  <c r="AA1943" i="1"/>
  <c r="AA1942" i="1"/>
  <c r="AA1941" i="1"/>
  <c r="AA1940" i="1"/>
  <c r="AA1939" i="1"/>
  <c r="AA1938" i="1"/>
  <c r="AA1937" i="1"/>
  <c r="AA1936" i="1"/>
  <c r="AA1935" i="1"/>
  <c r="AA1934" i="1"/>
  <c r="AA1933" i="1"/>
  <c r="AA1932" i="1"/>
  <c r="AA1931" i="1"/>
  <c r="AA1930" i="1"/>
  <c r="AA1929" i="1"/>
  <c r="AA1928" i="1"/>
  <c r="AA1927" i="1"/>
  <c r="AA1926" i="1"/>
  <c r="AA1925" i="1"/>
  <c r="AA1924" i="1"/>
  <c r="AA1923" i="1"/>
  <c r="AA1922" i="1"/>
  <c r="AA1921" i="1"/>
  <c r="AA1920" i="1"/>
  <c r="AA1919" i="1"/>
  <c r="AA1918" i="1"/>
  <c r="AA1917" i="1"/>
  <c r="AA1916" i="1"/>
  <c r="AA1915" i="1"/>
  <c r="AA1914" i="1"/>
  <c r="AA1913" i="1"/>
  <c r="AA1912" i="1"/>
  <c r="AA1911" i="1"/>
  <c r="AA1910" i="1"/>
  <c r="AA1909" i="1"/>
  <c r="AA1908" i="1"/>
  <c r="AA1907" i="1"/>
  <c r="AA1906" i="1"/>
  <c r="AA1905" i="1"/>
  <c r="AA1904" i="1"/>
  <c r="AA1903" i="1"/>
  <c r="AA1902" i="1"/>
  <c r="AA1901" i="1"/>
  <c r="AA1900" i="1"/>
  <c r="AA1899" i="1"/>
  <c r="AA1898" i="1"/>
  <c r="AA1897" i="1"/>
  <c r="AA1896" i="1"/>
  <c r="AA1895" i="1"/>
  <c r="AA1894" i="1"/>
  <c r="AA1893" i="1"/>
  <c r="AA1892" i="1"/>
  <c r="AA1891" i="1"/>
  <c r="AA1890" i="1"/>
  <c r="AA1889" i="1"/>
  <c r="AA1888" i="1"/>
  <c r="AA1887" i="1"/>
  <c r="AA1886" i="1"/>
  <c r="AA1885" i="1"/>
  <c r="AA1884" i="1"/>
  <c r="AA1883" i="1"/>
  <c r="AA1882" i="1"/>
  <c r="AA1881" i="1"/>
  <c r="AA1880" i="1"/>
  <c r="AA1879" i="1"/>
  <c r="AA1878" i="1"/>
  <c r="AA1877" i="1"/>
  <c r="AA1876" i="1"/>
  <c r="AA1875" i="1"/>
  <c r="AA1874" i="1"/>
  <c r="AA1873" i="1"/>
  <c r="AA1872" i="1"/>
  <c r="AA1871" i="1"/>
  <c r="AA1870" i="1"/>
  <c r="AA1869" i="1"/>
  <c r="AA1868" i="1"/>
  <c r="AA1867" i="1"/>
  <c r="AA1866" i="1"/>
  <c r="AA1865" i="1"/>
  <c r="AA1864" i="1"/>
  <c r="AA1863" i="1"/>
  <c r="AA1862" i="1"/>
  <c r="AA1861" i="1"/>
  <c r="AA1860" i="1"/>
  <c r="AA1859" i="1"/>
  <c r="AA1858" i="1"/>
  <c r="AA1857" i="1"/>
  <c r="AA1856" i="1"/>
  <c r="AA1855" i="1"/>
  <c r="AA1854" i="1"/>
  <c r="AA1853" i="1"/>
  <c r="AA1852" i="1"/>
  <c r="AA1851" i="1"/>
  <c r="AA1850" i="1"/>
  <c r="AA1849" i="1"/>
  <c r="AA1848" i="1"/>
  <c r="AA1847" i="1"/>
  <c r="AA1846" i="1"/>
  <c r="AA1845" i="1"/>
  <c r="AA1844" i="1"/>
  <c r="AA1843" i="1"/>
  <c r="AA1842" i="1"/>
  <c r="AA1841" i="1"/>
  <c r="AA1840" i="1"/>
  <c r="AA1839" i="1"/>
  <c r="AA1838" i="1"/>
  <c r="AA1837" i="1"/>
  <c r="AA1836" i="1"/>
  <c r="AA1835" i="1"/>
  <c r="AA1834" i="1"/>
  <c r="AA1833" i="1"/>
  <c r="AA1832" i="1"/>
  <c r="AA1831" i="1"/>
  <c r="AA1830" i="1"/>
  <c r="AA1829" i="1"/>
  <c r="AA1828" i="1"/>
  <c r="AA1827" i="1"/>
  <c r="AA1826" i="1"/>
  <c r="AA1825" i="1"/>
  <c r="AA1824" i="1"/>
  <c r="AA1823" i="1"/>
  <c r="AA1822" i="1"/>
  <c r="AA1821" i="1"/>
  <c r="AA1820" i="1"/>
  <c r="AA1819" i="1"/>
  <c r="AA1818" i="1"/>
  <c r="AA1817" i="1"/>
  <c r="AA1816" i="1"/>
  <c r="AA1815" i="1"/>
  <c r="AA1814" i="1"/>
  <c r="AA1813" i="1"/>
  <c r="AA1812" i="1"/>
  <c r="AA1811" i="1"/>
  <c r="AA1810" i="1"/>
  <c r="AA1809" i="1"/>
  <c r="AA1808" i="1"/>
  <c r="AA1807" i="1"/>
  <c r="AA1806" i="1"/>
  <c r="AA1805" i="1"/>
  <c r="AA1804" i="1"/>
  <c r="AA1803" i="1"/>
  <c r="AA1802" i="1"/>
  <c r="AA1801"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6" i="1"/>
  <c r="AA1775" i="1"/>
  <c r="AA1774" i="1"/>
  <c r="AA1773" i="1"/>
  <c r="AA1772" i="1"/>
  <c r="AA1771" i="1"/>
  <c r="AA1770" i="1"/>
  <c r="AA1769" i="1"/>
  <c r="AA1768" i="1"/>
  <c r="AA1767" i="1"/>
  <c r="AA1766" i="1"/>
  <c r="AA1765" i="1"/>
  <c r="AA1764" i="1"/>
  <c r="AA1763" i="1"/>
  <c r="AA1762" i="1"/>
  <c r="AA1761" i="1"/>
  <c r="AA1760" i="1"/>
  <c r="AA1759" i="1"/>
  <c r="AA1758" i="1"/>
  <c r="AA1757" i="1"/>
  <c r="AA1756" i="1"/>
  <c r="AA1755" i="1"/>
  <c r="AA1754" i="1"/>
  <c r="AA1753" i="1"/>
  <c r="AA1752" i="1"/>
  <c r="AA1751" i="1"/>
  <c r="AA1750" i="1"/>
  <c r="AA1749" i="1"/>
  <c r="AA1748" i="1"/>
  <c r="AA1747" i="1"/>
  <c r="AA1746" i="1"/>
  <c r="AA1745" i="1"/>
  <c r="AA1744" i="1"/>
  <c r="AA1743" i="1"/>
  <c r="AA1742" i="1"/>
  <c r="AA1741" i="1"/>
  <c r="AA1740" i="1"/>
  <c r="AA1739" i="1"/>
  <c r="AA1738" i="1"/>
  <c r="AA1737" i="1"/>
  <c r="AA1736" i="1"/>
  <c r="AA1735" i="1"/>
  <c r="AA1734" i="1"/>
  <c r="AA1733" i="1"/>
  <c r="AA1732" i="1"/>
  <c r="AA1731" i="1"/>
  <c r="AA1730" i="1"/>
  <c r="AA1729" i="1"/>
  <c r="AA1728" i="1"/>
  <c r="AA1727" i="1"/>
  <c r="AA1726" i="1"/>
  <c r="AA1725" i="1"/>
  <c r="AA1724" i="1"/>
  <c r="AA1723" i="1"/>
  <c r="AA1722" i="1"/>
  <c r="AA1721" i="1"/>
  <c r="AA1720" i="1"/>
  <c r="AA1719" i="1"/>
  <c r="AA1718" i="1"/>
  <c r="AA1717" i="1"/>
  <c r="AA1716" i="1"/>
  <c r="AA1715" i="1"/>
  <c r="AA1714" i="1"/>
  <c r="AA1713"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9" i="1"/>
  <c r="AA1688" i="1"/>
  <c r="AA1687" i="1"/>
  <c r="AA1686" i="1"/>
  <c r="AA1685" i="1"/>
  <c r="AA1684" i="1"/>
  <c r="AA1683" i="1"/>
  <c r="AA1682" i="1"/>
  <c r="AA1681" i="1"/>
  <c r="AA1680" i="1"/>
  <c r="AA1679" i="1"/>
  <c r="AA1678" i="1"/>
  <c r="AA1677" i="1"/>
  <c r="AA1676" i="1"/>
  <c r="AA1675" i="1"/>
  <c r="AA1674" i="1"/>
  <c r="AA1673" i="1"/>
  <c r="AA1672" i="1"/>
  <c r="AA1671" i="1"/>
  <c r="AA1670" i="1"/>
  <c r="AA1669" i="1"/>
  <c r="AA1668" i="1"/>
  <c r="AA1667" i="1"/>
  <c r="AA1666" i="1"/>
  <c r="AA1665" i="1"/>
  <c r="AA1664" i="1"/>
  <c r="AA1663" i="1"/>
  <c r="AA1662" i="1"/>
  <c r="AA1661" i="1"/>
  <c r="AA1660" i="1"/>
  <c r="AA1659" i="1"/>
  <c r="AA1658" i="1"/>
  <c r="AA1657" i="1"/>
  <c r="AA1656" i="1"/>
  <c r="AA1655" i="1"/>
  <c r="AA1654" i="1"/>
  <c r="AA1653" i="1"/>
  <c r="AA1652" i="1"/>
  <c r="AA1651" i="1"/>
  <c r="AA1650" i="1"/>
  <c r="AA1649" i="1"/>
  <c r="AA1648" i="1"/>
  <c r="AA1647" i="1"/>
  <c r="AA1646" i="1"/>
  <c r="AA1645" i="1"/>
  <c r="AA1644" i="1"/>
  <c r="AA1643" i="1"/>
  <c r="AA1642" i="1"/>
  <c r="AA1641" i="1"/>
  <c r="AA1640" i="1"/>
  <c r="AA1639" i="1"/>
  <c r="AA1638" i="1"/>
  <c r="AA1637" i="1"/>
  <c r="AA1636" i="1"/>
  <c r="AA1635" i="1"/>
  <c r="AA1634" i="1"/>
  <c r="AA1633" i="1"/>
  <c r="AA1632" i="1"/>
  <c r="AA1631" i="1"/>
  <c r="AA1630" i="1"/>
  <c r="AA1629" i="1"/>
  <c r="AA1628" i="1"/>
  <c r="AA1627" i="1"/>
  <c r="AA1626" i="1"/>
  <c r="AA1625" i="1"/>
  <c r="AA1624" i="1"/>
  <c r="AA1623" i="1"/>
  <c r="AA1622" i="1"/>
  <c r="AA1621" i="1"/>
  <c r="AA1620" i="1"/>
  <c r="AA1619" i="1"/>
  <c r="AA1618" i="1"/>
  <c r="AA1617" i="1"/>
  <c r="AA1616" i="1"/>
  <c r="AA1615" i="1"/>
  <c r="AA1614" i="1"/>
  <c r="AA1613" i="1"/>
  <c r="AA1612" i="1"/>
  <c r="AA1611" i="1"/>
  <c r="AA1610" i="1"/>
  <c r="AA1609" i="1"/>
  <c r="AA1608" i="1"/>
  <c r="AA1607" i="1"/>
  <c r="AA1606" i="1"/>
  <c r="AA1605" i="1"/>
  <c r="AA1604" i="1"/>
  <c r="AA1603" i="1"/>
  <c r="AA1602" i="1"/>
  <c r="AA1601" i="1"/>
  <c r="AA1600" i="1"/>
  <c r="AA1599" i="1"/>
  <c r="AA1598" i="1"/>
  <c r="AA1597" i="1"/>
  <c r="AA1596" i="1"/>
  <c r="AA1595" i="1"/>
  <c r="AA1594" i="1"/>
  <c r="AA1593" i="1"/>
  <c r="AA1592" i="1"/>
  <c r="AA1591" i="1"/>
  <c r="AA1590" i="1"/>
  <c r="AA1589" i="1"/>
  <c r="AA1588" i="1"/>
  <c r="AA1587" i="1"/>
  <c r="AA1586" i="1"/>
  <c r="AA1585" i="1"/>
  <c r="AA1584" i="1"/>
  <c r="AA1583" i="1"/>
  <c r="AA1582" i="1"/>
  <c r="AA1581" i="1"/>
  <c r="AA1580" i="1"/>
  <c r="AA1579" i="1"/>
  <c r="AA1578" i="1"/>
  <c r="AA1577" i="1"/>
  <c r="AA1576" i="1"/>
  <c r="AA1575" i="1"/>
  <c r="AA1574" i="1"/>
  <c r="AA1573" i="1"/>
  <c r="AA1572" i="1"/>
  <c r="AA1571" i="1"/>
  <c r="AA1570" i="1"/>
  <c r="AA1569" i="1"/>
  <c r="AA1568" i="1"/>
  <c r="AA1567" i="1"/>
  <c r="AA1566" i="1"/>
  <c r="AA1565" i="1"/>
  <c r="AA1564" i="1"/>
  <c r="AA1563" i="1"/>
  <c r="AA1562" i="1"/>
  <c r="AA1561" i="1"/>
  <c r="AA1560" i="1"/>
  <c r="AA1559" i="1"/>
  <c r="AA1558" i="1"/>
  <c r="AA1557" i="1"/>
  <c r="AA1556" i="1"/>
  <c r="AA1555" i="1"/>
  <c r="AA1554" i="1"/>
  <c r="AA1553" i="1"/>
  <c r="AA1552" i="1"/>
  <c r="AA1551" i="1"/>
  <c r="AA1550" i="1"/>
  <c r="AA1549" i="1"/>
  <c r="AA1548" i="1"/>
  <c r="AA1547" i="1"/>
  <c r="AA1546" i="1"/>
  <c r="AA1545" i="1"/>
  <c r="AA1544" i="1"/>
  <c r="AA1543" i="1"/>
  <c r="AA1542" i="1"/>
  <c r="AA1541" i="1"/>
  <c r="AA1540" i="1"/>
  <c r="AA1539" i="1"/>
  <c r="AA1538" i="1"/>
  <c r="AA1537" i="1"/>
  <c r="AA1536" i="1"/>
  <c r="AA1535" i="1"/>
  <c r="AA1534" i="1"/>
  <c r="AA1533" i="1"/>
  <c r="AA1532" i="1"/>
  <c r="AA1531" i="1"/>
  <c r="AA1530" i="1"/>
  <c r="AA1529" i="1"/>
  <c r="AA1528" i="1"/>
  <c r="AA1527" i="1"/>
  <c r="AA1526" i="1"/>
  <c r="AA1525" i="1"/>
  <c r="AA1524" i="1"/>
  <c r="AA1523" i="1"/>
  <c r="AA1522" i="1"/>
  <c r="AA1521" i="1"/>
  <c r="AA1520" i="1"/>
  <c r="AA1519" i="1"/>
  <c r="AA1518" i="1"/>
  <c r="AA1517" i="1"/>
  <c r="AA1516" i="1"/>
  <c r="AA1515" i="1"/>
  <c r="AA1514" i="1"/>
  <c r="AA1513" i="1"/>
  <c r="AA1512" i="1"/>
  <c r="AA1511" i="1"/>
  <c r="AA1510" i="1"/>
  <c r="AA1509" i="1"/>
  <c r="AA1508" i="1"/>
  <c r="AA1507" i="1"/>
  <c r="AA1506" i="1"/>
  <c r="AA1505" i="1"/>
  <c r="AA1504" i="1"/>
  <c r="AA1503" i="1"/>
  <c r="AA1502" i="1"/>
  <c r="AA1501" i="1"/>
  <c r="AA1500" i="1"/>
  <c r="AA1499" i="1"/>
  <c r="AA1498" i="1"/>
  <c r="AA1497" i="1"/>
  <c r="AA1496" i="1"/>
  <c r="AA1495" i="1"/>
  <c r="AA1494" i="1"/>
  <c r="AA1493" i="1"/>
  <c r="AA1492" i="1"/>
  <c r="AA1491" i="1"/>
  <c r="AA1490" i="1"/>
  <c r="AA1489" i="1"/>
  <c r="AA1488" i="1"/>
  <c r="AA1487" i="1"/>
  <c r="AA1486" i="1"/>
  <c r="AA1485" i="1"/>
  <c r="AA1484" i="1"/>
  <c r="AA1483" i="1"/>
  <c r="AA1482" i="1"/>
  <c r="AA1481" i="1"/>
  <c r="AA1480" i="1"/>
  <c r="AA1479" i="1"/>
  <c r="AA1478" i="1"/>
  <c r="AA1477" i="1"/>
  <c r="AA1476" i="1"/>
  <c r="AA1475" i="1"/>
  <c r="AA1474" i="1"/>
  <c r="AA1473" i="1"/>
  <c r="AA1472" i="1"/>
  <c r="AA1471" i="1"/>
  <c r="AA1470" i="1"/>
  <c r="AA1469" i="1"/>
  <c r="AA1468" i="1"/>
  <c r="AA1467" i="1"/>
  <c r="AA1466" i="1"/>
  <c r="AA1465" i="1"/>
  <c r="AA1464" i="1"/>
  <c r="AA1463" i="1"/>
  <c r="AA1462" i="1"/>
  <c r="AA1461" i="1"/>
  <c r="AA1460" i="1"/>
  <c r="AA1459" i="1"/>
  <c r="AA1458" i="1"/>
  <c r="AA1457" i="1"/>
  <c r="AA1456" i="1"/>
  <c r="AA1455" i="1"/>
  <c r="AA1454" i="1"/>
  <c r="AA1453" i="1"/>
  <c r="AA1452" i="1"/>
  <c r="AA1451" i="1"/>
  <c r="AA1450" i="1"/>
  <c r="AA1449" i="1"/>
  <c r="AA1448" i="1"/>
  <c r="AA1447" i="1"/>
  <c r="AA1446" i="1"/>
  <c r="AA1445" i="1"/>
  <c r="AA1444" i="1"/>
  <c r="AA1443" i="1"/>
  <c r="AA1442" i="1"/>
  <c r="AA1441" i="1"/>
  <c r="AA1440" i="1"/>
  <c r="AA1439" i="1"/>
  <c r="AA1438" i="1"/>
  <c r="AA1437" i="1"/>
  <c r="AA1436" i="1"/>
  <c r="AA1435" i="1"/>
  <c r="AA1434" i="1"/>
  <c r="AA1433" i="1"/>
  <c r="AA1432" i="1"/>
  <c r="AA1431" i="1"/>
  <c r="AA1430" i="1"/>
  <c r="AA1429" i="1"/>
  <c r="AA1428" i="1"/>
  <c r="AA1427" i="1"/>
  <c r="AA1426" i="1"/>
  <c r="AA1425" i="1"/>
  <c r="AA1424" i="1"/>
  <c r="AA1423" i="1"/>
  <c r="AA1422" i="1"/>
  <c r="AA1421" i="1"/>
  <c r="AA1420" i="1"/>
  <c r="AA1419" i="1"/>
  <c r="AA1418" i="1"/>
  <c r="AA1417" i="1"/>
  <c r="AA1416" i="1"/>
  <c r="AA1415" i="1"/>
  <c r="AA1414" i="1"/>
  <c r="AA1413" i="1"/>
  <c r="AA1412" i="1"/>
  <c r="AA1411" i="1"/>
  <c r="AA1410" i="1"/>
  <c r="AA1409" i="1"/>
  <c r="AA1408" i="1"/>
  <c r="AA1407" i="1"/>
  <c r="AA1406" i="1"/>
  <c r="AA1405" i="1"/>
  <c r="AA1404" i="1"/>
  <c r="AA1403"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1" i="1"/>
  <c r="AA1380" i="1"/>
  <c r="AA1379" i="1"/>
  <c r="AA1378" i="1"/>
  <c r="AA1377" i="1"/>
  <c r="AA1376" i="1"/>
  <c r="AA1375" i="1"/>
  <c r="AA1374" i="1"/>
  <c r="AA1373" i="1"/>
  <c r="AA1372" i="1"/>
  <c r="AA1371" i="1"/>
  <c r="AA1370" i="1"/>
  <c r="AA1369" i="1"/>
  <c r="AA1368" i="1"/>
  <c r="AA1367" i="1"/>
  <c r="AA1366" i="1"/>
  <c r="AA1365"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9" i="1"/>
  <c r="AA1308" i="1"/>
  <c r="AA1307" i="1"/>
  <c r="AA1306" i="1"/>
  <c r="AA1305" i="1"/>
  <c r="AA1304" i="1"/>
  <c r="AA1303"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7" i="1"/>
  <c r="AA1266" i="1"/>
  <c r="AA1265" i="1"/>
  <c r="AA1264" i="1"/>
  <c r="AA1263" i="1"/>
  <c r="AA1262" i="1"/>
  <c r="AA1261" i="1"/>
  <c r="AA1260" i="1"/>
  <c r="AA1259" i="1"/>
  <c r="AA1258" i="1"/>
  <c r="AA1257" i="1"/>
  <c r="AA1256" i="1"/>
  <c r="AA1255" i="1"/>
  <c r="AA1254" i="1"/>
  <c r="AA1253" i="1"/>
  <c r="AA1252"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11" i="1"/>
  <c r="AA1210" i="1"/>
  <c r="AA1209" i="1"/>
  <c r="AA1208" i="1"/>
  <c r="AA1207" i="1"/>
  <c r="AA1206" i="1"/>
  <c r="AA1205" i="1"/>
  <c r="AA1204" i="1"/>
  <c r="AA1203" i="1"/>
  <c r="AA1202" i="1"/>
  <c r="AA1201" i="1"/>
  <c r="AA1200" i="1"/>
  <c r="AA1199" i="1"/>
  <c r="AA1198" i="1"/>
  <c r="AA1197" i="1"/>
  <c r="AA1196" i="1"/>
  <c r="AA1195" i="1"/>
  <c r="AA1194" i="1"/>
  <c r="AA1193" i="1"/>
  <c r="AA1192" i="1"/>
  <c r="AA1191" i="1"/>
  <c r="AA1190" i="1"/>
  <c r="AA1189" i="1"/>
  <c r="AA1188" i="1"/>
  <c r="AA1187" i="1"/>
  <c r="AA1186" i="1"/>
  <c r="AA1185" i="1"/>
  <c r="AA1184" i="1"/>
  <c r="AA1183" i="1"/>
  <c r="AA1182" i="1"/>
  <c r="AA1181" i="1"/>
  <c r="AA1180" i="1"/>
  <c r="AA1179" i="1"/>
  <c r="AA1178" i="1"/>
  <c r="AA1177" i="1"/>
  <c r="AA1176" i="1"/>
  <c r="AA1175" i="1"/>
  <c r="AA1174" i="1"/>
  <c r="AA1173" i="1"/>
  <c r="AA1172" i="1"/>
  <c r="AA1171" i="1"/>
  <c r="AA1170" i="1"/>
  <c r="AA1169" i="1"/>
  <c r="AA1168" i="1"/>
  <c r="AA1167" i="1"/>
  <c r="AA1166" i="1"/>
  <c r="AA1165" i="1"/>
  <c r="AA1164" i="1"/>
  <c r="AA1163" i="1"/>
  <c r="AA1162" i="1"/>
  <c r="AA1161" i="1"/>
  <c r="AA1160" i="1"/>
  <c r="AA1159" i="1"/>
  <c r="AA1158" i="1"/>
  <c r="AA1157" i="1"/>
  <c r="AA1156" i="1"/>
  <c r="AA1155" i="1"/>
  <c r="AA1154" i="1"/>
  <c r="AA1153" i="1"/>
  <c r="AA1152" i="1"/>
  <c r="AA1151" i="1"/>
  <c r="AA1150" i="1"/>
  <c r="AA1149" i="1"/>
  <c r="AA1148" i="1"/>
  <c r="AA1147" i="1"/>
  <c r="AA1146" i="1"/>
  <c r="AA1145" i="1"/>
  <c r="AA1144" i="1"/>
  <c r="AA1143" i="1"/>
  <c r="AA1142" i="1"/>
  <c r="AA1141" i="1"/>
  <c r="AA1140" i="1"/>
  <c r="AA1139" i="1"/>
  <c r="AA1138" i="1"/>
  <c r="AA1137" i="1"/>
  <c r="AA1136" i="1"/>
  <c r="AA1135" i="1"/>
  <c r="AA1134" i="1"/>
  <c r="AA1133" i="1"/>
  <c r="AA1132" i="1"/>
  <c r="AA1131" i="1"/>
  <c r="AA1130" i="1"/>
  <c r="AA1129" i="1"/>
  <c r="AA1128" i="1"/>
  <c r="AA1127" i="1"/>
  <c r="AA1126" i="1"/>
  <c r="AA1125" i="1"/>
  <c r="AA1124" i="1"/>
  <c r="AA1123" i="1"/>
  <c r="AA1122" i="1"/>
  <c r="AA1121" i="1"/>
  <c r="AA1120" i="1"/>
  <c r="AA1119"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M7" i="1"/>
  <c r="Z3758" i="1"/>
  <c r="AC3758" i="1" s="1"/>
  <c r="Z3757" i="1"/>
  <c r="AC3757" i="1" s="1"/>
  <c r="Z3756" i="1"/>
  <c r="AC3756" i="1" s="1"/>
  <c r="Z3755" i="1"/>
  <c r="AC3755" i="1" s="1"/>
  <c r="Z3754" i="1"/>
  <c r="AC3754" i="1" s="1"/>
  <c r="AB3753" i="1"/>
  <c r="AE3753" i="1" s="1"/>
  <c r="Z3753" i="1"/>
  <c r="AC3753" i="1" s="1"/>
  <c r="Z3752" i="1"/>
  <c r="AC3752" i="1" s="1"/>
  <c r="Z3751" i="1"/>
  <c r="AC3751" i="1" s="1"/>
  <c r="Z3750" i="1"/>
  <c r="AC3750" i="1" s="1"/>
  <c r="Z3749" i="1"/>
  <c r="Z3748" i="1"/>
  <c r="AB3748" i="1" s="1"/>
  <c r="AE3748" i="1" s="1"/>
  <c r="Z3747" i="1"/>
  <c r="AB3747" i="1" s="1"/>
  <c r="AE3747" i="1" s="1"/>
  <c r="Z3746" i="1"/>
  <c r="AC3746" i="1" s="1"/>
  <c r="Z3745" i="1"/>
  <c r="AC3745" i="1" s="1"/>
  <c r="Z3744" i="1"/>
  <c r="AC3744" i="1" s="1"/>
  <c r="Z3743" i="1"/>
  <c r="AB3743" i="1" s="1"/>
  <c r="AE3743" i="1" s="1"/>
  <c r="Z3742" i="1"/>
  <c r="AB3742" i="1" s="1"/>
  <c r="AE3742" i="1" s="1"/>
  <c r="Z3741" i="1"/>
  <c r="Z3740" i="1"/>
  <c r="AB3740" i="1" s="1"/>
  <c r="AE3740" i="1" s="1"/>
  <c r="Z3739" i="1"/>
  <c r="AB3739" i="1" s="1"/>
  <c r="AE3739" i="1" s="1"/>
  <c r="Z3738" i="1"/>
  <c r="AC3738" i="1" s="1"/>
  <c r="Z3737" i="1"/>
  <c r="AC3737" i="1" s="1"/>
  <c r="Z3736" i="1"/>
  <c r="AB3736" i="1" s="1"/>
  <c r="AE3736" i="1" s="1"/>
  <c r="Z3735" i="1"/>
  <c r="AC3735" i="1" s="1"/>
  <c r="Z3734" i="1"/>
  <c r="AB3734" i="1" s="1"/>
  <c r="AE3734" i="1" s="1"/>
  <c r="Z3733" i="1"/>
  <c r="AB3733" i="1" s="1"/>
  <c r="AE3733" i="1" s="1"/>
  <c r="Z3732" i="1"/>
  <c r="AB3732" i="1" s="1"/>
  <c r="AE3732" i="1" s="1"/>
  <c r="Z3731" i="1"/>
  <c r="AC3731" i="1" s="1"/>
  <c r="Z3730" i="1"/>
  <c r="AC3730" i="1" s="1"/>
  <c r="Z3729" i="1"/>
  <c r="AC3729" i="1" s="1"/>
  <c r="AB3728" i="1"/>
  <c r="AE3728" i="1" s="1"/>
  <c r="Z3728" i="1"/>
  <c r="AC3728" i="1" s="1"/>
  <c r="Z3727" i="1"/>
  <c r="AC3726" i="1"/>
  <c r="AB3726" i="1"/>
  <c r="AE3726" i="1" s="1"/>
  <c r="Z3726" i="1"/>
  <c r="Z3725" i="1"/>
  <c r="Z3724" i="1"/>
  <c r="AB3724" i="1" s="1"/>
  <c r="AE3724" i="1" s="1"/>
  <c r="Z3723" i="1"/>
  <c r="AB3723" i="1" s="1"/>
  <c r="AE3723" i="1" s="1"/>
  <c r="AB3722" i="1"/>
  <c r="AE3722" i="1" s="1"/>
  <c r="Z3722" i="1"/>
  <c r="AC3722" i="1" s="1"/>
  <c r="Z3721" i="1"/>
  <c r="AC3721" i="1" s="1"/>
  <c r="Z3720" i="1"/>
  <c r="AB3720" i="1" s="1"/>
  <c r="AE3720" i="1" s="1"/>
  <c r="Z3719" i="1"/>
  <c r="AC3719" i="1" s="1"/>
  <c r="AC3718" i="1"/>
  <c r="AB3718" i="1"/>
  <c r="AE3718" i="1" s="1"/>
  <c r="Z3718" i="1"/>
  <c r="Z3717" i="1"/>
  <c r="AB3717" i="1" s="1"/>
  <c r="AE3717" i="1" s="1"/>
  <c r="Z3716" i="1"/>
  <c r="AB3716" i="1" s="1"/>
  <c r="AE3716" i="1" s="1"/>
  <c r="AC3715" i="1"/>
  <c r="AB3715" i="1"/>
  <c r="AE3715" i="1" s="1"/>
  <c r="Z3715" i="1"/>
  <c r="Z3714" i="1"/>
  <c r="Z3713" i="1"/>
  <c r="AC3713" i="1" s="1"/>
  <c r="AB3712" i="1"/>
  <c r="AE3712" i="1" s="1"/>
  <c r="Z3712" i="1"/>
  <c r="AC3712" i="1" s="1"/>
  <c r="AC3711" i="1"/>
  <c r="AB3711" i="1"/>
  <c r="AE3711" i="1" s="1"/>
  <c r="Z3711" i="1"/>
  <c r="Z3710" i="1"/>
  <c r="AC3710" i="1" s="1"/>
  <c r="Z3709" i="1"/>
  <c r="Z3708" i="1"/>
  <c r="AB3708" i="1" s="1"/>
  <c r="AE3708" i="1" s="1"/>
  <c r="Z3707" i="1"/>
  <c r="AB3707" i="1" s="1"/>
  <c r="AE3707" i="1" s="1"/>
  <c r="Z3706" i="1"/>
  <c r="AC3706" i="1" s="1"/>
  <c r="Z3705" i="1"/>
  <c r="AC3705" i="1" s="1"/>
  <c r="Z3704" i="1"/>
  <c r="AB3704" i="1" s="1"/>
  <c r="AE3704" i="1" s="1"/>
  <c r="Z3703" i="1"/>
  <c r="AC3703" i="1" s="1"/>
  <c r="AB3702" i="1"/>
  <c r="AE3702" i="1" s="1"/>
  <c r="Z3702" i="1"/>
  <c r="AC3702" i="1" s="1"/>
  <c r="Z3701" i="1"/>
  <c r="AB3701" i="1" s="1"/>
  <c r="AE3701" i="1" s="1"/>
  <c r="Z3700" i="1"/>
  <c r="AB3700" i="1" s="1"/>
  <c r="AE3700" i="1" s="1"/>
  <c r="AC3699" i="1"/>
  <c r="AB3699" i="1"/>
  <c r="AE3699" i="1" s="1"/>
  <c r="Z3699" i="1"/>
  <c r="Z3698" i="1"/>
  <c r="AC3698" i="1" s="1"/>
  <c r="Z3697" i="1"/>
  <c r="AC3697" i="1" s="1"/>
  <c r="AB3696" i="1"/>
  <c r="AE3696" i="1" s="1"/>
  <c r="Z3696" i="1"/>
  <c r="AC3696" i="1" s="1"/>
  <c r="Z3695" i="1"/>
  <c r="AC3695" i="1" s="1"/>
  <c r="Z3694" i="1"/>
  <c r="AB3694" i="1" s="1"/>
  <c r="AE3694" i="1" s="1"/>
  <c r="Z3693" i="1"/>
  <c r="Z3692" i="1"/>
  <c r="AB3692" i="1" s="1"/>
  <c r="AE3692" i="1" s="1"/>
  <c r="Z3691" i="1"/>
  <c r="AB3691" i="1" s="1"/>
  <c r="AE3691" i="1" s="1"/>
  <c r="Z3690" i="1"/>
  <c r="AC3690" i="1" s="1"/>
  <c r="Z3689" i="1"/>
  <c r="AC3689" i="1" s="1"/>
  <c r="AC3688" i="1"/>
  <c r="Z3688" i="1"/>
  <c r="AB3688" i="1" s="1"/>
  <c r="AE3688" i="1" s="1"/>
  <c r="Z3687" i="1"/>
  <c r="AB3687" i="1" s="1"/>
  <c r="AE3687" i="1" s="1"/>
  <c r="AC3686" i="1"/>
  <c r="Z3686" i="1"/>
  <c r="AB3686" i="1" s="1"/>
  <c r="AE3686" i="1" s="1"/>
  <c r="Z3685" i="1"/>
  <c r="AB3685" i="1" s="1"/>
  <c r="AE3685" i="1" s="1"/>
  <c r="Z3684" i="1"/>
  <c r="AB3683" i="1"/>
  <c r="AE3683" i="1" s="1"/>
  <c r="Z3683" i="1"/>
  <c r="AC3683" i="1" s="1"/>
  <c r="Z3682" i="1"/>
  <c r="Z3681" i="1"/>
  <c r="Z3680" i="1"/>
  <c r="AC3680" i="1" s="1"/>
  <c r="AC3679" i="1"/>
  <c r="Z3679" i="1"/>
  <c r="AB3679" i="1" s="1"/>
  <c r="AE3679" i="1" s="1"/>
  <c r="Z3678" i="1"/>
  <c r="AB3678" i="1" s="1"/>
  <c r="AE3678" i="1" s="1"/>
  <c r="Z3677" i="1"/>
  <c r="Z3676" i="1"/>
  <c r="AB3676" i="1" s="1"/>
  <c r="AE3676" i="1" s="1"/>
  <c r="Z3675" i="1"/>
  <c r="AB3675" i="1" s="1"/>
  <c r="AE3675" i="1" s="1"/>
  <c r="Z3674" i="1"/>
  <c r="Z3673" i="1"/>
  <c r="AC3673" i="1" s="1"/>
  <c r="Z3672" i="1"/>
  <c r="AB3672" i="1" s="1"/>
  <c r="AE3672" i="1" s="1"/>
  <c r="AC3671" i="1"/>
  <c r="Z3671" i="1"/>
  <c r="AB3671" i="1" s="1"/>
  <c r="AE3671" i="1" s="1"/>
  <c r="Z3670" i="1"/>
  <c r="Z3669" i="1"/>
  <c r="AB3669" i="1" s="1"/>
  <c r="AE3669" i="1" s="1"/>
  <c r="Z3668" i="1"/>
  <c r="AB3668" i="1" s="1"/>
  <c r="AE3668" i="1" s="1"/>
  <c r="AB3667" i="1"/>
  <c r="AE3667" i="1" s="1"/>
  <c r="Z3667" i="1"/>
  <c r="AC3667" i="1" s="1"/>
  <c r="Z3666" i="1"/>
  <c r="AC3666" i="1" s="1"/>
  <c r="Z3665" i="1"/>
  <c r="AC3665" i="1" s="1"/>
  <c r="Z3664" i="1"/>
  <c r="Z3663" i="1"/>
  <c r="AC3663" i="1" s="1"/>
  <c r="AB3662" i="1"/>
  <c r="AE3662" i="1" s="1"/>
  <c r="Z3662" i="1"/>
  <c r="AC3662" i="1" s="1"/>
  <c r="Z3661" i="1"/>
  <c r="Z3660" i="1"/>
  <c r="Z3659" i="1"/>
  <c r="AB3659" i="1" s="1"/>
  <c r="AE3659" i="1" s="1"/>
  <c r="Z3658" i="1"/>
  <c r="AC3658" i="1" s="1"/>
  <c r="AB3657" i="1"/>
  <c r="AE3657" i="1" s="1"/>
  <c r="Z3657" i="1"/>
  <c r="AC3657" i="1" s="1"/>
  <c r="Z3656" i="1"/>
  <c r="AC3655" i="1"/>
  <c r="AB3655" i="1"/>
  <c r="AE3655" i="1" s="1"/>
  <c r="Z3655" i="1"/>
  <c r="Z3654" i="1"/>
  <c r="AC3654" i="1" s="1"/>
  <c r="Z3653" i="1"/>
  <c r="Z3652" i="1"/>
  <c r="AB3652" i="1" s="1"/>
  <c r="AE3652" i="1" s="1"/>
  <c r="Z3651" i="1"/>
  <c r="Z3650" i="1"/>
  <c r="Z3649" i="1"/>
  <c r="Z3648" i="1"/>
  <c r="AC3647" i="1"/>
  <c r="AB3647" i="1"/>
  <c r="AE3647" i="1" s="1"/>
  <c r="Z3647" i="1"/>
  <c r="Z3646" i="1"/>
  <c r="AC3646" i="1" s="1"/>
  <c r="Z3645" i="1"/>
  <c r="Z3644" i="1"/>
  <c r="AB3644" i="1" s="1"/>
  <c r="AE3644" i="1" s="1"/>
  <c r="Z3643" i="1"/>
  <c r="AB3643" i="1" s="1"/>
  <c r="AE3643" i="1" s="1"/>
  <c r="Z3642" i="1"/>
  <c r="Z3641" i="1"/>
  <c r="AC3641" i="1" s="1"/>
  <c r="Z3640" i="1"/>
  <c r="AB3640" i="1" s="1"/>
  <c r="AE3640" i="1" s="1"/>
  <c r="Z3639" i="1"/>
  <c r="AB3638" i="1"/>
  <c r="AE3638" i="1" s="1"/>
  <c r="Z3638" i="1"/>
  <c r="AC3638" i="1" s="1"/>
  <c r="Z3637" i="1"/>
  <c r="AB3637" i="1" s="1"/>
  <c r="AE3637" i="1" s="1"/>
  <c r="Z3636" i="1"/>
  <c r="AB3636" i="1" s="1"/>
  <c r="AE3636" i="1" s="1"/>
  <c r="Z3635" i="1"/>
  <c r="Z3634" i="1"/>
  <c r="AC3634" i="1" s="1"/>
  <c r="AB3633" i="1"/>
  <c r="AE3633" i="1" s="1"/>
  <c r="Z3633" i="1"/>
  <c r="AC3633" i="1" s="1"/>
  <c r="Z3632" i="1"/>
  <c r="Z3631" i="1"/>
  <c r="AC3631" i="1" s="1"/>
  <c r="Z3630" i="1"/>
  <c r="AC3630" i="1" s="1"/>
  <c r="Z3629" i="1"/>
  <c r="Z3628" i="1"/>
  <c r="AB3628" i="1" s="1"/>
  <c r="AE3628" i="1" s="1"/>
  <c r="Z3627" i="1"/>
  <c r="AB3627" i="1" s="1"/>
  <c r="AE3627" i="1" s="1"/>
  <c r="Z3626" i="1"/>
  <c r="AC3626" i="1" s="1"/>
  <c r="AB3625" i="1"/>
  <c r="AE3625" i="1" s="1"/>
  <c r="Z3625" i="1"/>
  <c r="AC3625" i="1" s="1"/>
  <c r="Z3624" i="1"/>
  <c r="AB3624" i="1" s="1"/>
  <c r="AE3624" i="1" s="1"/>
  <c r="AB3623" i="1"/>
  <c r="AE3623" i="1" s="1"/>
  <c r="Z3623" i="1"/>
  <c r="AC3623" i="1" s="1"/>
  <c r="Z3622" i="1"/>
  <c r="AC3622" i="1" s="1"/>
  <c r="Z3621" i="1"/>
  <c r="AB3621" i="1" s="1"/>
  <c r="AE3621" i="1" s="1"/>
  <c r="Z3620" i="1"/>
  <c r="AB3620" i="1" s="1"/>
  <c r="AE3620" i="1" s="1"/>
  <c r="AC3619" i="1"/>
  <c r="AB3619" i="1"/>
  <c r="AE3619" i="1" s="1"/>
  <c r="Z3619" i="1"/>
  <c r="Z3618" i="1"/>
  <c r="AC3618" i="1" s="1"/>
  <c r="Z3617" i="1"/>
  <c r="AC3617" i="1" s="1"/>
  <c r="Z3616" i="1"/>
  <c r="AC3615" i="1"/>
  <c r="AB3615" i="1"/>
  <c r="AE3615" i="1" s="1"/>
  <c r="Z3615" i="1"/>
  <c r="AC3614" i="1"/>
  <c r="AB3614" i="1"/>
  <c r="AE3614" i="1" s="1"/>
  <c r="Z3614" i="1"/>
  <c r="Z3613" i="1"/>
  <c r="Z3612" i="1"/>
  <c r="AB3612" i="1" s="1"/>
  <c r="AE3612" i="1" s="1"/>
  <c r="Z3611" i="1"/>
  <c r="Z3610" i="1"/>
  <c r="AC3610" i="1" s="1"/>
  <c r="Z3609" i="1"/>
  <c r="AC3609" i="1" s="1"/>
  <c r="AC3608" i="1"/>
  <c r="Z3608" i="1"/>
  <c r="AB3608" i="1" s="1"/>
  <c r="AE3608" i="1" s="1"/>
  <c r="Z3607" i="1"/>
  <c r="Z3606" i="1"/>
  <c r="AC3606" i="1" s="1"/>
  <c r="Z3605" i="1"/>
  <c r="AB3605" i="1" s="1"/>
  <c r="AE3605" i="1" s="1"/>
  <c r="Z3604" i="1"/>
  <c r="Z3603" i="1"/>
  <c r="AC3603" i="1" s="1"/>
  <c r="Z3602" i="1"/>
  <c r="AC3602" i="1" s="1"/>
  <c r="Z3601" i="1"/>
  <c r="AC3600" i="1"/>
  <c r="AB3600" i="1"/>
  <c r="AE3600" i="1" s="1"/>
  <c r="Z3600" i="1"/>
  <c r="Z3599" i="1"/>
  <c r="Z3598" i="1"/>
  <c r="Z3597" i="1"/>
  <c r="Z3596" i="1"/>
  <c r="AB3596" i="1" s="1"/>
  <c r="AE3596" i="1" s="1"/>
  <c r="Z3595" i="1"/>
  <c r="AC3595" i="1" s="1"/>
  <c r="Z3594" i="1"/>
  <c r="AC3594" i="1" s="1"/>
  <c r="Z3593" i="1"/>
  <c r="AC3593" i="1" s="1"/>
  <c r="Z3592" i="1"/>
  <c r="Z3591" i="1"/>
  <c r="AC3591" i="1" s="1"/>
  <c r="Z3590" i="1"/>
  <c r="AB3590" i="1" s="1"/>
  <c r="AE3590" i="1" s="1"/>
  <c r="Z3589" i="1"/>
  <c r="AB3589" i="1" s="1"/>
  <c r="AE3589" i="1" s="1"/>
  <c r="Z3588" i="1"/>
  <c r="AB3588" i="1" s="1"/>
  <c r="AE3588" i="1" s="1"/>
  <c r="Z3587" i="1"/>
  <c r="AC3587" i="1" s="1"/>
  <c r="Z3586" i="1"/>
  <c r="AC3586" i="1" s="1"/>
  <c r="Z3585" i="1"/>
  <c r="AC3585" i="1" s="1"/>
  <c r="Z3584" i="1"/>
  <c r="Z3583" i="1"/>
  <c r="Z3582" i="1"/>
  <c r="AC3582" i="1" s="1"/>
  <c r="Z3581" i="1"/>
  <c r="Z3580" i="1"/>
  <c r="AB3580" i="1" s="1"/>
  <c r="AE3580" i="1" s="1"/>
  <c r="Z3579" i="1"/>
  <c r="AC3579" i="1" s="1"/>
  <c r="Z3578" i="1"/>
  <c r="AC3578" i="1" s="1"/>
  <c r="Z3577" i="1"/>
  <c r="Z3576" i="1"/>
  <c r="AB3576" i="1" s="1"/>
  <c r="AE3576" i="1" s="1"/>
  <c r="Z3575" i="1"/>
  <c r="Z3574" i="1"/>
  <c r="AC3574" i="1" s="1"/>
  <c r="Z3573" i="1"/>
  <c r="AB3573" i="1" s="1"/>
  <c r="AE3573" i="1" s="1"/>
  <c r="Z3572" i="1"/>
  <c r="AB3572" i="1" s="1"/>
  <c r="AE3572" i="1" s="1"/>
  <c r="Z3571" i="1"/>
  <c r="AC3571" i="1" s="1"/>
  <c r="Z3570" i="1"/>
  <c r="AC3570" i="1" s="1"/>
  <c r="Z3569" i="1"/>
  <c r="AC3569" i="1" s="1"/>
  <c r="Z3568" i="1"/>
  <c r="AC3568" i="1" s="1"/>
  <c r="Z3567" i="1"/>
  <c r="AC3567" i="1" s="1"/>
  <c r="Z3566" i="1"/>
  <c r="AC3566" i="1" s="1"/>
  <c r="Z3565" i="1"/>
  <c r="Z3564" i="1"/>
  <c r="Z3563" i="1"/>
  <c r="AB3563" i="1" s="1"/>
  <c r="AE3563" i="1" s="1"/>
  <c r="Z3562" i="1"/>
  <c r="AC3562" i="1" s="1"/>
  <c r="Z3561" i="1"/>
  <c r="AC3561" i="1" s="1"/>
  <c r="Z3560" i="1"/>
  <c r="AB3560" i="1" s="1"/>
  <c r="AE3560" i="1" s="1"/>
  <c r="Z3559" i="1"/>
  <c r="Z3558" i="1"/>
  <c r="AC3558" i="1" s="1"/>
  <c r="Z3557" i="1"/>
  <c r="Z3556" i="1"/>
  <c r="AB3556" i="1" s="1"/>
  <c r="AE3556" i="1" s="1"/>
  <c r="AC3555" i="1"/>
  <c r="AB3555" i="1"/>
  <c r="AE3555" i="1" s="1"/>
  <c r="Z3555" i="1"/>
  <c r="Z3554" i="1"/>
  <c r="Z3553" i="1"/>
  <c r="AC3553" i="1" s="1"/>
  <c r="Z3552" i="1"/>
  <c r="AC3552" i="1" s="1"/>
  <c r="Z3551" i="1"/>
  <c r="AC3551" i="1" s="1"/>
  <c r="AC3550" i="1"/>
  <c r="Z3550" i="1"/>
  <c r="AB3550" i="1" s="1"/>
  <c r="AE3550" i="1" s="1"/>
  <c r="Z3549" i="1"/>
  <c r="Z3548" i="1"/>
  <c r="AB3548" i="1" s="1"/>
  <c r="AE3548" i="1" s="1"/>
  <c r="Z3547" i="1"/>
  <c r="AC3547" i="1" s="1"/>
  <c r="AB3546" i="1"/>
  <c r="AE3546" i="1" s="1"/>
  <c r="Z3546" i="1"/>
  <c r="AC3546" i="1" s="1"/>
  <c r="Z3545" i="1"/>
  <c r="AC3545" i="1" s="1"/>
  <c r="Z3544" i="1"/>
  <c r="AB3544" i="1" s="1"/>
  <c r="AE3544" i="1" s="1"/>
  <c r="Z3543" i="1"/>
  <c r="AC3543" i="1" s="1"/>
  <c r="Z3542" i="1"/>
  <c r="AC3542" i="1" s="1"/>
  <c r="Z3541" i="1"/>
  <c r="AB3541" i="1" s="1"/>
  <c r="AE3541" i="1" s="1"/>
  <c r="Z3540" i="1"/>
  <c r="AB3540" i="1" s="1"/>
  <c r="AE3540" i="1" s="1"/>
  <c r="Z3539" i="1"/>
  <c r="Z3538" i="1"/>
  <c r="AB3537" i="1"/>
  <c r="AE3537" i="1" s="1"/>
  <c r="Z3537" i="1"/>
  <c r="AC3537" i="1" s="1"/>
  <c r="AC3536" i="1"/>
  <c r="Z3536" i="1"/>
  <c r="AB3536" i="1" s="1"/>
  <c r="AE3536" i="1" s="1"/>
  <c r="Z3535" i="1"/>
  <c r="AC3535" i="1" s="1"/>
  <c r="Z3534" i="1"/>
  <c r="AC3534" i="1" s="1"/>
  <c r="Z3533" i="1"/>
  <c r="Z3532" i="1"/>
  <c r="AB3532" i="1" s="1"/>
  <c r="AE3532" i="1" s="1"/>
  <c r="AC3531" i="1"/>
  <c r="Z3531" i="1"/>
  <c r="AB3531" i="1" s="1"/>
  <c r="AE3531" i="1" s="1"/>
  <c r="Z3530" i="1"/>
  <c r="Z3529" i="1"/>
  <c r="AC3529" i="1" s="1"/>
  <c r="AC3528" i="1"/>
  <c r="Z3528" i="1"/>
  <c r="AB3528" i="1" s="1"/>
  <c r="AE3528" i="1" s="1"/>
  <c r="AB3527" i="1"/>
  <c r="AE3527" i="1" s="1"/>
  <c r="Z3527" i="1"/>
  <c r="AC3527" i="1" s="1"/>
  <c r="Z3526" i="1"/>
  <c r="AC3526" i="1" s="1"/>
  <c r="Z3525" i="1"/>
  <c r="AB3525" i="1" s="1"/>
  <c r="AE3525" i="1" s="1"/>
  <c r="AC3524" i="1"/>
  <c r="Z3524" i="1"/>
  <c r="AB3524" i="1" s="1"/>
  <c r="AE3524" i="1" s="1"/>
  <c r="AC3523" i="1"/>
  <c r="Z3523" i="1"/>
  <c r="AB3523" i="1" s="1"/>
  <c r="AE3523" i="1" s="1"/>
  <c r="Z3522" i="1"/>
  <c r="AC3522" i="1" s="1"/>
  <c r="Z3521" i="1"/>
  <c r="AC3521" i="1" s="1"/>
  <c r="Z3520" i="1"/>
  <c r="AC3520" i="1" s="1"/>
  <c r="Z3519" i="1"/>
  <c r="AC3519" i="1" s="1"/>
  <c r="Z3518" i="1"/>
  <c r="Z3517" i="1"/>
  <c r="Z3516" i="1"/>
  <c r="AB3516" i="1" s="1"/>
  <c r="AE3516" i="1" s="1"/>
  <c r="Z3515" i="1"/>
  <c r="AC3515" i="1" s="1"/>
  <c r="Z3514" i="1"/>
  <c r="AC3514" i="1" s="1"/>
  <c r="Z3513" i="1"/>
  <c r="AC3513" i="1" s="1"/>
  <c r="Z3512" i="1"/>
  <c r="AB3512" i="1" s="1"/>
  <c r="AE3512" i="1" s="1"/>
  <c r="Z3511" i="1"/>
  <c r="AC3511" i="1" s="1"/>
  <c r="Z3510" i="1"/>
  <c r="Z3509" i="1"/>
  <c r="AB3509" i="1" s="1"/>
  <c r="AE3509" i="1" s="1"/>
  <c r="Z3508" i="1"/>
  <c r="AB3508" i="1" s="1"/>
  <c r="AE3508" i="1" s="1"/>
  <c r="Z3507" i="1"/>
  <c r="AB3506" i="1"/>
  <c r="AE3506" i="1" s="1"/>
  <c r="Z3506" i="1"/>
  <c r="AC3506" i="1" s="1"/>
  <c r="Z3505" i="1"/>
  <c r="AC3505" i="1" s="1"/>
  <c r="Z3504" i="1"/>
  <c r="AC3504" i="1" s="1"/>
  <c r="Z3503" i="1"/>
  <c r="AC3503" i="1" s="1"/>
  <c r="Z3502" i="1"/>
  <c r="AC3502" i="1" s="1"/>
  <c r="Z3501" i="1"/>
  <c r="Z3500" i="1"/>
  <c r="Z3499" i="1"/>
  <c r="AC3499" i="1" s="1"/>
  <c r="Z3498" i="1"/>
  <c r="AC3498" i="1" s="1"/>
  <c r="Z3497" i="1"/>
  <c r="AC3497" i="1" s="1"/>
  <c r="AC3496" i="1"/>
  <c r="Z3496" i="1"/>
  <c r="AB3496" i="1" s="1"/>
  <c r="AE3496" i="1" s="1"/>
  <c r="Z3495" i="1"/>
  <c r="AC3495" i="1" s="1"/>
  <c r="Z3494" i="1"/>
  <c r="AC3494" i="1" s="1"/>
  <c r="Z3493" i="1"/>
  <c r="AB3493" i="1" s="1"/>
  <c r="AE3493" i="1" s="1"/>
  <c r="Z3492" i="1"/>
  <c r="AB3492" i="1" s="1"/>
  <c r="AE3492" i="1" s="1"/>
  <c r="Z3491" i="1"/>
  <c r="AB3490" i="1"/>
  <c r="AE3490" i="1" s="1"/>
  <c r="Z3490" i="1"/>
  <c r="AC3490" i="1" s="1"/>
  <c r="Z3489" i="1"/>
  <c r="AC3489" i="1" s="1"/>
  <c r="AC3488" i="1"/>
  <c r="Z3488" i="1"/>
  <c r="AB3488" i="1" s="1"/>
  <c r="AE3488" i="1" s="1"/>
  <c r="Z3487" i="1"/>
  <c r="Z3486" i="1"/>
  <c r="Z3485" i="1"/>
  <c r="Z3484" i="1"/>
  <c r="Z3483" i="1"/>
  <c r="Z3482" i="1"/>
  <c r="AC3482" i="1" s="1"/>
  <c r="Z3481" i="1"/>
  <c r="AC3481" i="1" s="1"/>
  <c r="Z3480" i="1"/>
  <c r="AB3480" i="1" s="1"/>
  <c r="AE3480" i="1" s="1"/>
  <c r="Z3479" i="1"/>
  <c r="AC3479" i="1" s="1"/>
  <c r="Z3478" i="1"/>
  <c r="AC3478" i="1" s="1"/>
  <c r="Z3477" i="1"/>
  <c r="AB3477" i="1" s="1"/>
  <c r="AE3477" i="1" s="1"/>
  <c r="Z3476" i="1"/>
  <c r="AC3475" i="1"/>
  <c r="Z3475" i="1"/>
  <c r="AB3475" i="1" s="1"/>
  <c r="AE3475" i="1" s="1"/>
  <c r="Z3474" i="1"/>
  <c r="AC3474" i="1" s="1"/>
  <c r="Z3473" i="1"/>
  <c r="AC3473" i="1" s="1"/>
  <c r="Z3472" i="1"/>
  <c r="AC3472" i="1" s="1"/>
  <c r="Z3471" i="1"/>
  <c r="AB3471" i="1" s="1"/>
  <c r="AE3471" i="1" s="1"/>
  <c r="Z3470" i="1"/>
  <c r="Z3469" i="1"/>
  <c r="AC3468" i="1"/>
  <c r="Z3468" i="1"/>
  <c r="AB3468" i="1" s="1"/>
  <c r="AE3468" i="1" s="1"/>
  <c r="Z3467" i="1"/>
  <c r="Z3466" i="1"/>
  <c r="AC3466" i="1" s="1"/>
  <c r="Z3465" i="1"/>
  <c r="AC3464" i="1"/>
  <c r="Z3464" i="1"/>
  <c r="AB3464" i="1" s="1"/>
  <c r="AE3464" i="1" s="1"/>
  <c r="Z3463" i="1"/>
  <c r="AC3463" i="1" s="1"/>
  <c r="Z3462" i="1"/>
  <c r="AB3462" i="1" s="1"/>
  <c r="AE3462" i="1" s="1"/>
  <c r="Z3461" i="1"/>
  <c r="AB3461" i="1" s="1"/>
  <c r="AE3461" i="1" s="1"/>
  <c r="Z3460" i="1"/>
  <c r="AC3459" i="1"/>
  <c r="Z3459" i="1"/>
  <c r="AB3459" i="1" s="1"/>
  <c r="AE3459" i="1" s="1"/>
  <c r="Z3458" i="1"/>
  <c r="AC3458" i="1" s="1"/>
  <c r="Z3457" i="1"/>
  <c r="AC3456" i="1"/>
  <c r="Z3456" i="1"/>
  <c r="AB3456" i="1" s="1"/>
  <c r="AE3456" i="1" s="1"/>
  <c r="AB3455" i="1"/>
  <c r="AE3455" i="1" s="1"/>
  <c r="Z3455" i="1"/>
  <c r="AC3455" i="1" s="1"/>
  <c r="Z3454" i="1"/>
  <c r="Z3453" i="1"/>
  <c r="Z3452" i="1"/>
  <c r="AB3452" i="1" s="1"/>
  <c r="AE3452" i="1" s="1"/>
  <c r="Z3451" i="1"/>
  <c r="Z3450" i="1"/>
  <c r="AC3450" i="1" s="1"/>
  <c r="Z3449" i="1"/>
  <c r="Z3448" i="1"/>
  <c r="AB3448" i="1" s="1"/>
  <c r="AE3448" i="1" s="1"/>
  <c r="AB3447" i="1"/>
  <c r="AE3447" i="1" s="1"/>
  <c r="Z3447" i="1"/>
  <c r="AC3447" i="1" s="1"/>
  <c r="Z3446" i="1"/>
  <c r="AB3446" i="1" s="1"/>
  <c r="AE3446" i="1" s="1"/>
  <c r="Z3445" i="1"/>
  <c r="AB3445" i="1" s="1"/>
  <c r="AE3445" i="1" s="1"/>
  <c r="Z3444" i="1"/>
  <c r="Z3443" i="1"/>
  <c r="AC3443" i="1" s="1"/>
  <c r="Z3442" i="1"/>
  <c r="Z3441" i="1"/>
  <c r="AC3441" i="1" s="1"/>
  <c r="Z3440" i="1"/>
  <c r="Z3439" i="1"/>
  <c r="Z3438" i="1"/>
  <c r="Z3437" i="1"/>
  <c r="Z3436" i="1"/>
  <c r="AB3436" i="1" s="1"/>
  <c r="AE3436" i="1" s="1"/>
  <c r="Z3435" i="1"/>
  <c r="AB3435" i="1" s="1"/>
  <c r="AE3435" i="1" s="1"/>
  <c r="Z3434" i="1"/>
  <c r="AC3434" i="1" s="1"/>
  <c r="Z3433" i="1"/>
  <c r="AC3432" i="1"/>
  <c r="Z3432" i="1"/>
  <c r="AB3432" i="1" s="1"/>
  <c r="AE3432" i="1" s="1"/>
  <c r="Z3431" i="1"/>
  <c r="Z3430" i="1"/>
  <c r="AC3430" i="1" s="1"/>
  <c r="Z3429" i="1"/>
  <c r="Z3428" i="1"/>
  <c r="AB3428" i="1" s="1"/>
  <c r="AE3428" i="1" s="1"/>
  <c r="Z3427" i="1"/>
  <c r="AC3427" i="1" s="1"/>
  <c r="Z3426" i="1"/>
  <c r="Z3425" i="1"/>
  <c r="AC3425" i="1" s="1"/>
  <c r="Z3424" i="1"/>
  <c r="Z3423" i="1"/>
  <c r="AB3423" i="1" s="1"/>
  <c r="AE3423" i="1" s="1"/>
  <c r="Z3422" i="1"/>
  <c r="AB3422" i="1" s="1"/>
  <c r="AE3422" i="1" s="1"/>
  <c r="Z3421" i="1"/>
  <c r="Z3420" i="1"/>
  <c r="AB3420" i="1" s="1"/>
  <c r="AE3420" i="1" s="1"/>
  <c r="Z3419" i="1"/>
  <c r="AB3418" i="1"/>
  <c r="AE3418" i="1" s="1"/>
  <c r="Z3418" i="1"/>
  <c r="AC3418" i="1" s="1"/>
  <c r="Z3417" i="1"/>
  <c r="Z3416" i="1"/>
  <c r="AB3416" i="1" s="1"/>
  <c r="AE3416" i="1" s="1"/>
  <c r="Z3415" i="1"/>
  <c r="AB3414" i="1"/>
  <c r="AE3414" i="1" s="1"/>
  <c r="Z3414" i="1"/>
  <c r="AC3414" i="1" s="1"/>
  <c r="Z3413" i="1"/>
  <c r="AB3413" i="1" s="1"/>
  <c r="AE3413" i="1" s="1"/>
  <c r="Z3412" i="1"/>
  <c r="AB3412" i="1" s="1"/>
  <c r="AE3412" i="1" s="1"/>
  <c r="Z3411" i="1"/>
  <c r="Z3410" i="1"/>
  <c r="AC3410" i="1" s="1"/>
  <c r="Z3409" i="1"/>
  <c r="AC3409" i="1" s="1"/>
  <c r="Z3408" i="1"/>
  <c r="AC3407" i="1"/>
  <c r="Z3407" i="1"/>
  <c r="AB3407" i="1" s="1"/>
  <c r="AE3407" i="1" s="1"/>
  <c r="Z3406" i="1"/>
  <c r="AB3406" i="1" s="1"/>
  <c r="AE3406" i="1" s="1"/>
  <c r="Z3405" i="1"/>
  <c r="Z3404" i="1"/>
  <c r="AB3404" i="1" s="1"/>
  <c r="AE3404" i="1" s="1"/>
  <c r="Z3403" i="1"/>
  <c r="Z3402" i="1"/>
  <c r="Z3401" i="1"/>
  <c r="AC3401" i="1" s="1"/>
  <c r="Z3400" i="1"/>
  <c r="AB3400" i="1" s="1"/>
  <c r="AE3400" i="1" s="1"/>
  <c r="Z3399" i="1"/>
  <c r="AC3399" i="1" s="1"/>
  <c r="Z3398" i="1"/>
  <c r="Z3397" i="1"/>
  <c r="Z3396" i="1"/>
  <c r="AB3396" i="1" s="1"/>
  <c r="AE3396" i="1" s="1"/>
  <c r="Z3395" i="1"/>
  <c r="AB3394" i="1"/>
  <c r="AE3394" i="1" s="1"/>
  <c r="Z3394" i="1"/>
  <c r="AC3394" i="1" s="1"/>
  <c r="Z3393" i="1"/>
  <c r="Z3392" i="1"/>
  <c r="Z3391" i="1"/>
  <c r="AB3391" i="1" s="1"/>
  <c r="AE3391" i="1" s="1"/>
  <c r="AC3390" i="1"/>
  <c r="AB3390" i="1"/>
  <c r="AE3390" i="1" s="1"/>
  <c r="Z3390" i="1"/>
  <c r="Z3389" i="1"/>
  <c r="Z3388" i="1"/>
  <c r="AB3388" i="1" s="1"/>
  <c r="AE3388" i="1" s="1"/>
  <c r="AC3387" i="1"/>
  <c r="AB3387" i="1"/>
  <c r="AE3387" i="1" s="1"/>
  <c r="Z3387" i="1"/>
  <c r="AB3386" i="1"/>
  <c r="AE3386" i="1" s="1"/>
  <c r="Z3386" i="1"/>
  <c r="AC3386" i="1" s="1"/>
  <c r="Z3385" i="1"/>
  <c r="AC3384" i="1"/>
  <c r="Z3384" i="1"/>
  <c r="AB3384" i="1" s="1"/>
  <c r="AE3384" i="1" s="1"/>
  <c r="AB3383" i="1"/>
  <c r="AE3383" i="1" s="1"/>
  <c r="Z3383" i="1"/>
  <c r="AC3383" i="1" s="1"/>
  <c r="Z3382" i="1"/>
  <c r="Z3381" i="1"/>
  <c r="AB3381" i="1" s="1"/>
  <c r="AE3381" i="1" s="1"/>
  <c r="Z3380" i="1"/>
  <c r="AB3380" i="1" s="1"/>
  <c r="AE3380" i="1" s="1"/>
  <c r="Z3379" i="1"/>
  <c r="AC3379" i="1" s="1"/>
  <c r="Z3378" i="1"/>
  <c r="AC3378" i="1" s="1"/>
  <c r="Z3377" i="1"/>
  <c r="AC3377" i="1" s="1"/>
  <c r="AC3376" i="1"/>
  <c r="Z3376" i="1"/>
  <c r="AB3376" i="1" s="1"/>
  <c r="AE3376" i="1" s="1"/>
  <c r="Z3375" i="1"/>
  <c r="AC3375" i="1" s="1"/>
  <c r="Z3374" i="1"/>
  <c r="AC3374" i="1" s="1"/>
  <c r="Z3373" i="1"/>
  <c r="Z3372" i="1"/>
  <c r="AB3372" i="1" s="1"/>
  <c r="AE3372" i="1" s="1"/>
  <c r="Z3371" i="1"/>
  <c r="Z3370" i="1"/>
  <c r="Z3369" i="1"/>
  <c r="AC3369" i="1" s="1"/>
  <c r="Z3368" i="1"/>
  <c r="AB3368" i="1" s="1"/>
  <c r="AE3368" i="1" s="1"/>
  <c r="AC3367" i="1"/>
  <c r="AB3367" i="1"/>
  <c r="AE3367" i="1" s="1"/>
  <c r="Z3367" i="1"/>
  <c r="Z3366" i="1"/>
  <c r="AC3366" i="1" s="1"/>
  <c r="Z3365" i="1"/>
  <c r="AB3365" i="1" s="1"/>
  <c r="AE3365" i="1" s="1"/>
  <c r="Z3364" i="1"/>
  <c r="Z3363" i="1"/>
  <c r="AC3363" i="1" s="1"/>
  <c r="Z3362" i="1"/>
  <c r="AC3362" i="1" s="1"/>
  <c r="AB3361" i="1"/>
  <c r="AE3361" i="1" s="1"/>
  <c r="Z3361" i="1"/>
  <c r="AC3361" i="1" s="1"/>
  <c r="Z3360" i="1"/>
  <c r="Z3359" i="1"/>
  <c r="AB3359" i="1" s="1"/>
  <c r="AE3359" i="1" s="1"/>
  <c r="Z3358" i="1"/>
  <c r="Z3357" i="1"/>
  <c r="Z3356" i="1"/>
  <c r="AB3356" i="1" s="1"/>
  <c r="AE3356" i="1" s="1"/>
  <c r="Z3355" i="1"/>
  <c r="Z3354" i="1"/>
  <c r="AC3354" i="1" s="1"/>
  <c r="Z3353" i="1"/>
  <c r="AC3352" i="1"/>
  <c r="Z3352" i="1"/>
  <c r="AB3352" i="1" s="1"/>
  <c r="AE3352" i="1" s="1"/>
  <c r="AB3351" i="1"/>
  <c r="AE3351" i="1" s="1"/>
  <c r="Z3351" i="1"/>
  <c r="AC3351" i="1" s="1"/>
  <c r="Z3350" i="1"/>
  <c r="Z3349" i="1"/>
  <c r="AB3349" i="1" s="1"/>
  <c r="AE3349" i="1" s="1"/>
  <c r="Z3348" i="1"/>
  <c r="AB3347" i="1"/>
  <c r="AE3347" i="1" s="1"/>
  <c r="Z3347" i="1"/>
  <c r="AC3347" i="1" s="1"/>
  <c r="Z3346" i="1"/>
  <c r="Z3345" i="1"/>
  <c r="AC3345" i="1" s="1"/>
  <c r="AC3344" i="1"/>
  <c r="Z3344" i="1"/>
  <c r="AB3344" i="1" s="1"/>
  <c r="AE3344" i="1" s="1"/>
  <c r="Z3343" i="1"/>
  <c r="AC3343" i="1" s="1"/>
  <c r="Z3342" i="1"/>
  <c r="Z3341" i="1"/>
  <c r="Z3340" i="1"/>
  <c r="AB3340" i="1" s="1"/>
  <c r="AE3340" i="1" s="1"/>
  <c r="Z3339" i="1"/>
  <c r="AC3339" i="1" s="1"/>
  <c r="Z3338" i="1"/>
  <c r="AC3338" i="1" s="1"/>
  <c r="Z3337" i="1"/>
  <c r="AC3337" i="1" s="1"/>
  <c r="AB3336" i="1"/>
  <c r="AE3336" i="1" s="1"/>
  <c r="Z3336" i="1"/>
  <c r="AC3336" i="1" s="1"/>
  <c r="Z3335" i="1"/>
  <c r="AC3335" i="1" s="1"/>
  <c r="Z3334" i="1"/>
  <c r="AC3334" i="1" s="1"/>
  <c r="Z3333" i="1"/>
  <c r="AC3332" i="1"/>
  <c r="Z3332" i="1"/>
  <c r="AB3332" i="1" s="1"/>
  <c r="AE3332" i="1" s="1"/>
  <c r="Z3331" i="1"/>
  <c r="AC3331" i="1" s="1"/>
  <c r="Z3330" i="1"/>
  <c r="Z3329" i="1"/>
  <c r="AC3329" i="1" s="1"/>
  <c r="Z3328" i="1"/>
  <c r="Z3327" i="1"/>
  <c r="AB3327" i="1" s="1"/>
  <c r="AE3327" i="1" s="1"/>
  <c r="Z3326" i="1"/>
  <c r="Z3325" i="1"/>
  <c r="AB3325" i="1" s="1"/>
  <c r="AE3325" i="1" s="1"/>
  <c r="Z3324" i="1"/>
  <c r="AB3324" i="1" s="1"/>
  <c r="AE3324" i="1" s="1"/>
  <c r="Z3323" i="1"/>
  <c r="AC3323" i="1" s="1"/>
  <c r="Z3322" i="1"/>
  <c r="Z3321" i="1"/>
  <c r="AC3320" i="1"/>
  <c r="Z3320" i="1"/>
  <c r="AB3320" i="1" s="1"/>
  <c r="AE3320" i="1" s="1"/>
  <c r="Z3319" i="1"/>
  <c r="AC3319" i="1" s="1"/>
  <c r="Z3318" i="1"/>
  <c r="AB3318" i="1" s="1"/>
  <c r="AE3318" i="1" s="1"/>
  <c r="Z3317" i="1"/>
  <c r="AB3317" i="1" s="1"/>
  <c r="AE3317" i="1" s="1"/>
  <c r="Z3316" i="1"/>
  <c r="Z3315" i="1"/>
  <c r="AB3315" i="1" s="1"/>
  <c r="AE3315" i="1" s="1"/>
  <c r="Z3314" i="1"/>
  <c r="Z3313" i="1"/>
  <c r="AC3313" i="1" s="1"/>
  <c r="AC3312" i="1"/>
  <c r="Z3312" i="1"/>
  <c r="AB3312" i="1" s="1"/>
  <c r="AE3312" i="1" s="1"/>
  <c r="AB3311" i="1"/>
  <c r="AE3311" i="1" s="1"/>
  <c r="Z3311" i="1"/>
  <c r="AC3311" i="1" s="1"/>
  <c r="Z3310" i="1"/>
  <c r="AC3310" i="1" s="1"/>
  <c r="Z3309" i="1"/>
  <c r="Z3308" i="1"/>
  <c r="AB3308" i="1" s="1"/>
  <c r="AE3308" i="1" s="1"/>
  <c r="Z3307" i="1"/>
  <c r="AC3307" i="1" s="1"/>
  <c r="Z3306" i="1"/>
  <c r="AC3306" i="1" s="1"/>
  <c r="Z3305" i="1"/>
  <c r="Z3304" i="1"/>
  <c r="AB3304" i="1" s="1"/>
  <c r="AE3304" i="1" s="1"/>
  <c r="Z3303" i="1"/>
  <c r="Z3302" i="1"/>
  <c r="AC3302" i="1" s="1"/>
  <c r="Z3301" i="1"/>
  <c r="Z3300" i="1"/>
  <c r="AB3300" i="1" s="1"/>
  <c r="AE3300" i="1" s="1"/>
  <c r="AC3299" i="1"/>
  <c r="AB3299" i="1"/>
  <c r="AE3299" i="1" s="1"/>
  <c r="Z3299" i="1"/>
  <c r="Z3298" i="1"/>
  <c r="Z3297" i="1"/>
  <c r="AC3297" i="1" s="1"/>
  <c r="Z3296" i="1"/>
  <c r="AC3295" i="1"/>
  <c r="Z3295" i="1"/>
  <c r="AB3295" i="1" s="1"/>
  <c r="AE3295" i="1" s="1"/>
  <c r="Z3294" i="1"/>
  <c r="AC3294" i="1" s="1"/>
  <c r="Z3293" i="1"/>
  <c r="AB3293" i="1" s="1"/>
  <c r="AE3293" i="1" s="1"/>
  <c r="Z3292" i="1"/>
  <c r="AB3292" i="1" s="1"/>
  <c r="AE3292" i="1" s="1"/>
  <c r="Z3291" i="1"/>
  <c r="AC3291" i="1" s="1"/>
  <c r="Z3290" i="1"/>
  <c r="Z3289" i="1"/>
  <c r="Z3288" i="1"/>
  <c r="AC3288" i="1" s="1"/>
  <c r="Z3287" i="1"/>
  <c r="Z3286" i="1"/>
  <c r="AB3286" i="1" s="1"/>
  <c r="AE3286" i="1" s="1"/>
  <c r="Z3285" i="1"/>
  <c r="AB3285" i="1" s="1"/>
  <c r="AE3285" i="1" s="1"/>
  <c r="Z3284" i="1"/>
  <c r="AB3284" i="1" s="1"/>
  <c r="AE3284" i="1" s="1"/>
  <c r="Z3283" i="1"/>
  <c r="AB3283" i="1" s="1"/>
  <c r="AE3283" i="1" s="1"/>
  <c r="AB3282" i="1"/>
  <c r="AE3282" i="1" s="1"/>
  <c r="Z3282" i="1"/>
  <c r="AC3282" i="1" s="1"/>
  <c r="Z3281" i="1"/>
  <c r="AC3281" i="1" s="1"/>
  <c r="Z3280" i="1"/>
  <c r="AC3280" i="1" s="1"/>
  <c r="Z3279" i="1"/>
  <c r="AC3278" i="1"/>
  <c r="Z3278" i="1"/>
  <c r="AB3278" i="1" s="1"/>
  <c r="AE3278" i="1" s="1"/>
  <c r="Z3277" i="1"/>
  <c r="AB3277" i="1" s="1"/>
  <c r="AE3277" i="1" s="1"/>
  <c r="Z3276" i="1"/>
  <c r="AB3276" i="1" s="1"/>
  <c r="AE3276" i="1" s="1"/>
  <c r="Z3275" i="1"/>
  <c r="AC3275" i="1" s="1"/>
  <c r="Z3274" i="1"/>
  <c r="AC3274" i="1" s="1"/>
  <c r="Z3273" i="1"/>
  <c r="Z3272" i="1"/>
  <c r="AB3272" i="1" s="1"/>
  <c r="AE3272" i="1" s="1"/>
  <c r="Z3271" i="1"/>
  <c r="AC3271" i="1" s="1"/>
  <c r="Z3270" i="1"/>
  <c r="AC3270" i="1" s="1"/>
  <c r="Z3269" i="1"/>
  <c r="Z3268" i="1"/>
  <c r="Z3267" i="1"/>
  <c r="AC3267" i="1" s="1"/>
  <c r="Z3266" i="1"/>
  <c r="Z3265" i="1"/>
  <c r="AC3264" i="1"/>
  <c r="Z3264" i="1"/>
  <c r="AB3264" i="1" s="1"/>
  <c r="AE3264" i="1" s="1"/>
  <c r="AC3263" i="1"/>
  <c r="Z3263" i="1"/>
  <c r="AB3263" i="1" s="1"/>
  <c r="AE3263" i="1" s="1"/>
  <c r="Z3262" i="1"/>
  <c r="AC3262" i="1" s="1"/>
  <c r="Z3261" i="1"/>
  <c r="Z3260" i="1"/>
  <c r="AB3260" i="1" s="1"/>
  <c r="AE3260" i="1" s="1"/>
  <c r="Z3259" i="1"/>
  <c r="AB3259" i="1" s="1"/>
  <c r="AE3259" i="1" s="1"/>
  <c r="Z3258" i="1"/>
  <c r="AC3258" i="1" s="1"/>
  <c r="Z3257" i="1"/>
  <c r="Z3256" i="1"/>
  <c r="AC3256" i="1" s="1"/>
  <c r="Z3255" i="1"/>
  <c r="AC3255" i="1" s="1"/>
  <c r="Z3254" i="1"/>
  <c r="AB3254" i="1" s="1"/>
  <c r="AE3254" i="1" s="1"/>
  <c r="Z3253" i="1"/>
  <c r="AB3253" i="1" s="1"/>
  <c r="AE3253" i="1" s="1"/>
  <c r="AC3252" i="1"/>
  <c r="Z3252" i="1"/>
  <c r="AB3252" i="1" s="1"/>
  <c r="AE3252" i="1" s="1"/>
  <c r="AC3251" i="1"/>
  <c r="Z3251" i="1"/>
  <c r="AB3251" i="1" s="1"/>
  <c r="AE3251" i="1" s="1"/>
  <c r="Z3250" i="1"/>
  <c r="AC3250" i="1" s="1"/>
  <c r="Z3249" i="1"/>
  <c r="AC3249" i="1" s="1"/>
  <c r="Z3248" i="1"/>
  <c r="AB3248" i="1" s="1"/>
  <c r="AE3248" i="1" s="1"/>
  <c r="Z3247" i="1"/>
  <c r="Z3246" i="1"/>
  <c r="AB3246" i="1" s="1"/>
  <c r="AE3246" i="1" s="1"/>
  <c r="Z3245" i="1"/>
  <c r="AB3245" i="1" s="1"/>
  <c r="AE3245" i="1" s="1"/>
  <c r="Z3244" i="1"/>
  <c r="AB3244" i="1" s="1"/>
  <c r="AE3244" i="1" s="1"/>
  <c r="AB3243" i="1"/>
  <c r="AE3243" i="1" s="1"/>
  <c r="Z3243" i="1"/>
  <c r="AC3243" i="1" s="1"/>
  <c r="Z3242" i="1"/>
  <c r="AC3242" i="1" s="1"/>
  <c r="Z3241" i="1"/>
  <c r="AC3241" i="1" s="1"/>
  <c r="Z3240" i="1"/>
  <c r="AC3239" i="1"/>
  <c r="Z3239" i="1"/>
  <c r="AB3239" i="1" s="1"/>
  <c r="AE3239" i="1" s="1"/>
  <c r="Z3238" i="1"/>
  <c r="AC3238" i="1" s="1"/>
  <c r="Z3237" i="1"/>
  <c r="Z3236" i="1"/>
  <c r="AB3236" i="1" s="1"/>
  <c r="AE3236" i="1" s="1"/>
  <c r="Z3235" i="1"/>
  <c r="Z3234" i="1"/>
  <c r="AC3234" i="1" s="1"/>
  <c r="Z3233" i="1"/>
  <c r="AC3233" i="1" s="1"/>
  <c r="AB3232" i="1"/>
  <c r="AE3232" i="1" s="1"/>
  <c r="Z3232" i="1"/>
  <c r="AC3232" i="1" s="1"/>
  <c r="Z3231" i="1"/>
  <c r="AC3231" i="1" s="1"/>
  <c r="Z3230" i="1"/>
  <c r="AC3230" i="1" s="1"/>
  <c r="Z3229" i="1"/>
  <c r="AB3229" i="1" s="1"/>
  <c r="AE3229" i="1" s="1"/>
  <c r="Z3228" i="1"/>
  <c r="Z3227" i="1"/>
  <c r="AC3227" i="1" s="1"/>
  <c r="Z3226" i="1"/>
  <c r="Z3225" i="1"/>
  <c r="AC3224" i="1"/>
  <c r="Z3224" i="1"/>
  <c r="AB3224" i="1" s="1"/>
  <c r="AE3224" i="1" s="1"/>
  <c r="Z3223" i="1"/>
  <c r="AC3223" i="1" s="1"/>
  <c r="Z3222" i="1"/>
  <c r="AB3222" i="1" s="1"/>
  <c r="AE3222" i="1" s="1"/>
  <c r="Z3221" i="1"/>
  <c r="AC3220" i="1"/>
  <c r="Z3220" i="1"/>
  <c r="AB3220" i="1" s="1"/>
  <c r="AE3220" i="1" s="1"/>
  <c r="AC3219" i="1"/>
  <c r="Z3219" i="1"/>
  <c r="AB3219" i="1" s="1"/>
  <c r="AE3219" i="1" s="1"/>
  <c r="Z3218" i="1"/>
  <c r="Z3217" i="1"/>
  <c r="AC3217" i="1" s="1"/>
  <c r="Z3216" i="1"/>
  <c r="AC3215" i="1"/>
  <c r="Z3215" i="1"/>
  <c r="AB3215" i="1" s="1"/>
  <c r="AE3215" i="1" s="1"/>
  <c r="Z3214" i="1"/>
  <c r="AB3214" i="1" s="1"/>
  <c r="AE3214" i="1" s="1"/>
  <c r="Z3213" i="1"/>
  <c r="AB3213" i="1" s="1"/>
  <c r="AE3213" i="1" s="1"/>
  <c r="Z3212" i="1"/>
  <c r="AB3211" i="1"/>
  <c r="AE3211" i="1" s="1"/>
  <c r="Z3211" i="1"/>
  <c r="AC3211" i="1" s="1"/>
  <c r="Z3210" i="1"/>
  <c r="AB3209" i="1"/>
  <c r="AE3209" i="1" s="1"/>
  <c r="Z3209" i="1"/>
  <c r="AC3209" i="1" s="1"/>
  <c r="AB3208" i="1"/>
  <c r="AE3208" i="1" s="1"/>
  <c r="Z3208" i="1"/>
  <c r="AC3208" i="1" s="1"/>
  <c r="Z3207" i="1"/>
  <c r="AC3207" i="1" s="1"/>
  <c r="Z3206" i="1"/>
  <c r="AC3206" i="1" s="1"/>
  <c r="Z3205" i="1"/>
  <c r="Z3204" i="1"/>
  <c r="AB3204" i="1" s="1"/>
  <c r="AE3204" i="1" s="1"/>
  <c r="Z3203" i="1"/>
  <c r="AB3203" i="1" s="1"/>
  <c r="AE3203" i="1" s="1"/>
  <c r="Z3202" i="1"/>
  <c r="AC3202" i="1" s="1"/>
  <c r="Z3201" i="1"/>
  <c r="AC3201" i="1" s="1"/>
  <c r="AC3200" i="1"/>
  <c r="AB3200" i="1"/>
  <c r="AE3200" i="1" s="1"/>
  <c r="Z3200" i="1"/>
  <c r="Z3199" i="1"/>
  <c r="AC3199" i="1" s="1"/>
  <c r="Z3198" i="1"/>
  <c r="AC3198" i="1" s="1"/>
  <c r="Z3197" i="1"/>
  <c r="AB3197" i="1" s="1"/>
  <c r="AE3197" i="1" s="1"/>
  <c r="Z3196" i="1"/>
  <c r="Z3195" i="1"/>
  <c r="AC3195" i="1" s="1"/>
  <c r="Z3194" i="1"/>
  <c r="Z3193" i="1"/>
  <c r="Z3192" i="1"/>
  <c r="AC3191" i="1"/>
  <c r="Z3191" i="1"/>
  <c r="AB3191" i="1" s="1"/>
  <c r="AE3191" i="1" s="1"/>
  <c r="Z3190" i="1"/>
  <c r="AB3190" i="1" s="1"/>
  <c r="AE3190" i="1" s="1"/>
  <c r="Z3189" i="1"/>
  <c r="AB3189" i="1" s="1"/>
  <c r="AE3189" i="1" s="1"/>
  <c r="Z3188" i="1"/>
  <c r="Z3187" i="1"/>
  <c r="AB3187" i="1" s="1"/>
  <c r="AE3187" i="1" s="1"/>
  <c r="Z3186" i="1"/>
  <c r="AC3186" i="1" s="1"/>
  <c r="Z3185" i="1"/>
  <c r="AC3185" i="1" s="1"/>
  <c r="AB3184" i="1"/>
  <c r="AE3184" i="1" s="1"/>
  <c r="Z3184" i="1"/>
  <c r="AC3184" i="1" s="1"/>
  <c r="Z3183" i="1"/>
  <c r="AC3183" i="1" s="1"/>
  <c r="Z3182" i="1"/>
  <c r="Z3181" i="1"/>
  <c r="AB3181" i="1" s="1"/>
  <c r="AE3181" i="1" s="1"/>
  <c r="Z3180" i="1"/>
  <c r="AB3180" i="1" s="1"/>
  <c r="AE3180" i="1" s="1"/>
  <c r="Z3179" i="1"/>
  <c r="Z3178" i="1"/>
  <c r="AC3178" i="1" s="1"/>
  <c r="Z3177" i="1"/>
  <c r="Z3176" i="1"/>
  <c r="Z3175" i="1"/>
  <c r="Z3174" i="1"/>
  <c r="AC3174" i="1" s="1"/>
  <c r="Z3173" i="1"/>
  <c r="Z3172" i="1"/>
  <c r="AB3172" i="1" s="1"/>
  <c r="AE3172" i="1" s="1"/>
  <c r="Z3171" i="1"/>
  <c r="AB3170" i="1"/>
  <c r="AE3170" i="1" s="1"/>
  <c r="Z3170" i="1"/>
  <c r="AC3170" i="1" s="1"/>
  <c r="Z3169" i="1"/>
  <c r="Z3168" i="1"/>
  <c r="AB3168" i="1" s="1"/>
  <c r="AE3168" i="1" s="1"/>
  <c r="Z3167" i="1"/>
  <c r="Z3166" i="1"/>
  <c r="AC3166" i="1" s="1"/>
  <c r="Z3165" i="1"/>
  <c r="AB3165" i="1" s="1"/>
  <c r="AE3165" i="1" s="1"/>
  <c r="Z3164" i="1"/>
  <c r="Z3163" i="1"/>
  <c r="Z3162" i="1"/>
  <c r="Z3161" i="1"/>
  <c r="Z3160" i="1"/>
  <c r="Z3159" i="1"/>
  <c r="AB3159" i="1" s="1"/>
  <c r="AE3159" i="1" s="1"/>
  <c r="Z3158" i="1"/>
  <c r="AB3158" i="1" s="1"/>
  <c r="AE3158" i="1" s="1"/>
  <c r="AC3157" i="1"/>
  <c r="Z3157" i="1"/>
  <c r="AB3157" i="1" s="1"/>
  <c r="AE3157" i="1" s="1"/>
  <c r="AC3156" i="1"/>
  <c r="Z3156" i="1"/>
  <c r="AB3156" i="1" s="1"/>
  <c r="AE3156" i="1" s="1"/>
  <c r="Z3155" i="1"/>
  <c r="AB3155" i="1" s="1"/>
  <c r="AE3155" i="1" s="1"/>
  <c r="AB3154" i="1"/>
  <c r="AE3154" i="1" s="1"/>
  <c r="Z3154" i="1"/>
  <c r="AC3154" i="1" s="1"/>
  <c r="Z3153" i="1"/>
  <c r="AC3153" i="1" s="1"/>
  <c r="Z3152" i="1"/>
  <c r="AC3152" i="1" s="1"/>
  <c r="Z3151" i="1"/>
  <c r="AC3151" i="1" s="1"/>
  <c r="Z3150" i="1"/>
  <c r="AC3150" i="1" s="1"/>
  <c r="Z3149" i="1"/>
  <c r="AB3149" i="1" s="1"/>
  <c r="AE3149" i="1" s="1"/>
  <c r="AC3148" i="1"/>
  <c r="Z3148" i="1"/>
  <c r="AB3148" i="1" s="1"/>
  <c r="AE3148" i="1" s="1"/>
  <c r="Z3147" i="1"/>
  <c r="AC3147" i="1" s="1"/>
  <c r="Z3146" i="1"/>
  <c r="AC3146" i="1" s="1"/>
  <c r="Z3145" i="1"/>
  <c r="AC3145" i="1" s="1"/>
  <c r="AB3144" i="1"/>
  <c r="AE3144" i="1" s="1"/>
  <c r="Z3144" i="1"/>
  <c r="AC3144" i="1" s="1"/>
  <c r="Z3143" i="1"/>
  <c r="AC3143" i="1" s="1"/>
  <c r="Z3142" i="1"/>
  <c r="Z3141" i="1"/>
  <c r="Z3140" i="1"/>
  <c r="AB3140" i="1" s="1"/>
  <c r="AE3140" i="1" s="1"/>
  <c r="Z3139" i="1"/>
  <c r="AB3139" i="1" s="1"/>
  <c r="AE3139" i="1" s="1"/>
  <c r="Z3138" i="1"/>
  <c r="AC3138" i="1" s="1"/>
  <c r="Z3137" i="1"/>
  <c r="AC3137" i="1" s="1"/>
  <c r="Z3136" i="1"/>
  <c r="AC3136" i="1" s="1"/>
  <c r="Z3135" i="1"/>
  <c r="AC3135" i="1" s="1"/>
  <c r="Z3134" i="1"/>
  <c r="AB3134" i="1" s="1"/>
  <c r="AE3134" i="1" s="1"/>
  <c r="Z3133" i="1"/>
  <c r="AB3133" i="1" s="1"/>
  <c r="AE3133" i="1" s="1"/>
  <c r="Z3132" i="1"/>
  <c r="Z3131" i="1"/>
  <c r="AC3131" i="1" s="1"/>
  <c r="Z3130" i="1"/>
  <c r="Z3129" i="1"/>
  <c r="Z3128" i="1"/>
  <c r="AC3127" i="1"/>
  <c r="Z3127" i="1"/>
  <c r="AB3127" i="1" s="1"/>
  <c r="AE3127" i="1" s="1"/>
  <c r="Z3126" i="1"/>
  <c r="AB3126" i="1" s="1"/>
  <c r="AE3126" i="1" s="1"/>
  <c r="Z3125" i="1"/>
  <c r="AB3125" i="1" s="1"/>
  <c r="AE3125" i="1" s="1"/>
  <c r="Z3124" i="1"/>
  <c r="AB3124" i="1" s="1"/>
  <c r="AE3124" i="1" s="1"/>
  <c r="Z3123" i="1"/>
  <c r="AB3123" i="1" s="1"/>
  <c r="AE3123" i="1" s="1"/>
  <c r="Z3122" i="1"/>
  <c r="Z3121" i="1"/>
  <c r="AC3121" i="1" s="1"/>
  <c r="Z3120" i="1"/>
  <c r="AC3119" i="1"/>
  <c r="Z3119" i="1"/>
  <c r="AB3119" i="1" s="1"/>
  <c r="AE3119" i="1" s="1"/>
  <c r="Z3118" i="1"/>
  <c r="AC3118" i="1" s="1"/>
  <c r="Z3117" i="1"/>
  <c r="Z3116" i="1"/>
  <c r="AB3116" i="1" s="1"/>
  <c r="AE3116" i="1" s="1"/>
  <c r="Z3115" i="1"/>
  <c r="Z3114" i="1"/>
  <c r="Z3113" i="1"/>
  <c r="AC3113" i="1" s="1"/>
  <c r="AB3112" i="1"/>
  <c r="AE3112" i="1" s="1"/>
  <c r="Z3112" i="1"/>
  <c r="AC3112" i="1" s="1"/>
  <c r="Z3111" i="1"/>
  <c r="AC3111" i="1" s="1"/>
  <c r="Z3110" i="1"/>
  <c r="Z3109" i="1"/>
  <c r="Z3108" i="1"/>
  <c r="AB3108" i="1" s="1"/>
  <c r="AE3108" i="1" s="1"/>
  <c r="AC3107" i="1"/>
  <c r="Z3107" i="1"/>
  <c r="AB3107" i="1" s="1"/>
  <c r="AE3107" i="1" s="1"/>
  <c r="Z3106" i="1"/>
  <c r="AC3106" i="1" s="1"/>
  <c r="Z3105" i="1"/>
  <c r="AC3105" i="1" s="1"/>
  <c r="Z3104" i="1"/>
  <c r="AC3104" i="1" s="1"/>
  <c r="Z3103" i="1"/>
  <c r="AC3103" i="1" s="1"/>
  <c r="Z3102" i="1"/>
  <c r="Z3101" i="1"/>
  <c r="AB3101" i="1" s="1"/>
  <c r="AE3101" i="1" s="1"/>
  <c r="Z3100" i="1"/>
  <c r="AC3099" i="1"/>
  <c r="Z3099" i="1"/>
  <c r="AB3099" i="1" s="1"/>
  <c r="AE3099" i="1" s="1"/>
  <c r="AB3098" i="1"/>
  <c r="AE3098" i="1" s="1"/>
  <c r="Z3098" i="1"/>
  <c r="AC3098" i="1" s="1"/>
  <c r="Z3097" i="1"/>
  <c r="Z3096" i="1"/>
  <c r="AC3096" i="1" s="1"/>
  <c r="Z3095" i="1"/>
  <c r="AC3095" i="1" s="1"/>
  <c r="Z3094" i="1"/>
  <c r="AC3093" i="1"/>
  <c r="Z3093" i="1"/>
  <c r="AB3093" i="1" s="1"/>
  <c r="AE3093" i="1" s="1"/>
  <c r="Z3092" i="1"/>
  <c r="Z3091" i="1"/>
  <c r="AB3091" i="1" s="1"/>
  <c r="AE3091" i="1" s="1"/>
  <c r="Z3090" i="1"/>
  <c r="AC3090" i="1" s="1"/>
  <c r="Z3089" i="1"/>
  <c r="AC3089" i="1" s="1"/>
  <c r="AC3088" i="1"/>
  <c r="Z3088" i="1"/>
  <c r="AB3088" i="1" s="1"/>
  <c r="AE3088" i="1" s="1"/>
  <c r="Z3087" i="1"/>
  <c r="AC3087" i="1" s="1"/>
  <c r="AB3086" i="1"/>
  <c r="AE3086" i="1" s="1"/>
  <c r="Z3086" i="1"/>
  <c r="AC3086" i="1" s="1"/>
  <c r="Z3085" i="1"/>
  <c r="AC3084" i="1"/>
  <c r="Z3084" i="1"/>
  <c r="AB3084" i="1" s="1"/>
  <c r="AE3084" i="1" s="1"/>
  <c r="Z3083" i="1"/>
  <c r="AC3083" i="1" s="1"/>
  <c r="Z3082" i="1"/>
  <c r="AB3082" i="1" s="1"/>
  <c r="AE3082" i="1" s="1"/>
  <c r="Z3081" i="1"/>
  <c r="AC3081" i="1" s="1"/>
  <c r="Z3080" i="1"/>
  <c r="AC3080" i="1" s="1"/>
  <c r="Z3079" i="1"/>
  <c r="Z3078" i="1"/>
  <c r="AC3078" i="1" s="1"/>
  <c r="Z3077" i="1"/>
  <c r="AB3077" i="1" s="1"/>
  <c r="AE3077" i="1" s="1"/>
  <c r="Z3076" i="1"/>
  <c r="AC3076" i="1" s="1"/>
  <c r="Z3075" i="1"/>
  <c r="AC3075" i="1" s="1"/>
  <c r="Z3074" i="1"/>
  <c r="AB3074" i="1" s="1"/>
  <c r="AE3074" i="1" s="1"/>
  <c r="Z3073" i="1"/>
  <c r="AB3073" i="1" s="1"/>
  <c r="AE3073" i="1" s="1"/>
  <c r="Z3072" i="1"/>
  <c r="AC3072" i="1" s="1"/>
  <c r="Z3071" i="1"/>
  <c r="AB3071" i="1" s="1"/>
  <c r="AE3071" i="1" s="1"/>
  <c r="AC3070" i="1"/>
  <c r="Z3070" i="1"/>
  <c r="AB3070" i="1" s="1"/>
  <c r="AE3070" i="1" s="1"/>
  <c r="Z3069" i="1"/>
  <c r="AC3069" i="1" s="1"/>
  <c r="Z3068" i="1"/>
  <c r="AC3068" i="1" s="1"/>
  <c r="Z3067" i="1"/>
  <c r="AC3067" i="1" s="1"/>
  <c r="Z3066" i="1"/>
  <c r="AB3066" i="1" s="1"/>
  <c r="AE3066" i="1" s="1"/>
  <c r="Z3065" i="1"/>
  <c r="AB3064" i="1"/>
  <c r="AE3064" i="1" s="1"/>
  <c r="Z3064" i="1"/>
  <c r="AC3064" i="1" s="1"/>
  <c r="Z3063" i="1"/>
  <c r="AC3063" i="1" s="1"/>
  <c r="Z3062" i="1"/>
  <c r="AC3062" i="1" s="1"/>
  <c r="AB3061" i="1"/>
  <c r="AE3061" i="1" s="1"/>
  <c r="Z3061" i="1"/>
  <c r="AC3061" i="1" s="1"/>
  <c r="Z3060" i="1"/>
  <c r="AC3060" i="1" s="1"/>
  <c r="Z3059" i="1"/>
  <c r="Z3058" i="1"/>
  <c r="AB3058" i="1" s="1"/>
  <c r="AE3058" i="1" s="1"/>
  <c r="Z3057" i="1"/>
  <c r="Z3056" i="1"/>
  <c r="AC3056" i="1" s="1"/>
  <c r="Z3055" i="1"/>
  <c r="AB3055" i="1" s="1"/>
  <c r="AE3055" i="1" s="1"/>
  <c r="Z3054" i="1"/>
  <c r="AC3053" i="1"/>
  <c r="Z3053" i="1"/>
  <c r="AB3053" i="1" s="1"/>
  <c r="AE3053" i="1" s="1"/>
  <c r="Z3052" i="1"/>
  <c r="Z3051" i="1"/>
  <c r="AC3051" i="1" s="1"/>
  <c r="Z3050" i="1"/>
  <c r="Z3049" i="1"/>
  <c r="AB3049" i="1" s="1"/>
  <c r="AE3049" i="1" s="1"/>
  <c r="Z3048" i="1"/>
  <c r="AC3048" i="1" s="1"/>
  <c r="Z3047" i="1"/>
  <c r="AC3047" i="1" s="1"/>
  <c r="Z3046" i="1"/>
  <c r="AC3045" i="1"/>
  <c r="AB3045" i="1"/>
  <c r="AE3045" i="1" s="1"/>
  <c r="Z3045" i="1"/>
  <c r="Z3044" i="1"/>
  <c r="AC3044" i="1" s="1"/>
  <c r="Z3043" i="1"/>
  <c r="AC3043" i="1" s="1"/>
  <c r="Z3042" i="1"/>
  <c r="Z3041" i="1"/>
  <c r="AB3041" i="1" s="1"/>
  <c r="AE3041" i="1" s="1"/>
  <c r="Z3040" i="1"/>
  <c r="AB3040" i="1" s="1"/>
  <c r="AE3040" i="1" s="1"/>
  <c r="Z3039" i="1"/>
  <c r="AB3039" i="1" s="1"/>
  <c r="AE3039" i="1" s="1"/>
  <c r="Z3038" i="1"/>
  <c r="AC3038" i="1" s="1"/>
  <c r="Z3037" i="1"/>
  <c r="AC3036" i="1"/>
  <c r="AB3036" i="1"/>
  <c r="AE3036" i="1" s="1"/>
  <c r="Z3036" i="1"/>
  <c r="Z3035" i="1"/>
  <c r="AB3035" i="1" s="1"/>
  <c r="AE3035" i="1" s="1"/>
  <c r="AB3034" i="1"/>
  <c r="AE3034" i="1" s="1"/>
  <c r="Z3034" i="1"/>
  <c r="AC3034" i="1" s="1"/>
  <c r="Z3033" i="1"/>
  <c r="Z3032" i="1"/>
  <c r="AB3032" i="1" s="1"/>
  <c r="AE3032" i="1" s="1"/>
  <c r="Z3031" i="1"/>
  <c r="AC3031" i="1" s="1"/>
  <c r="Z3030" i="1"/>
  <c r="Z3029" i="1"/>
  <c r="AB3029" i="1" s="1"/>
  <c r="AE3029" i="1" s="1"/>
  <c r="Z3028" i="1"/>
  <c r="AC3028" i="1" s="1"/>
  <c r="Z3027" i="1"/>
  <c r="AC3027" i="1" s="1"/>
  <c r="Z3026" i="1"/>
  <c r="AB3026" i="1" s="1"/>
  <c r="AE3026" i="1" s="1"/>
  <c r="Z3025" i="1"/>
  <c r="AB3025" i="1" s="1"/>
  <c r="AE3025" i="1" s="1"/>
  <c r="AB3024" i="1"/>
  <c r="AE3024" i="1" s="1"/>
  <c r="Z3024" i="1"/>
  <c r="AC3024" i="1" s="1"/>
  <c r="Z3023" i="1"/>
  <c r="AB3023" i="1" s="1"/>
  <c r="AE3023" i="1" s="1"/>
  <c r="AB3022" i="1"/>
  <c r="AE3022" i="1" s="1"/>
  <c r="Z3022" i="1"/>
  <c r="AC3022" i="1" s="1"/>
  <c r="Z3021" i="1"/>
  <c r="AC3021" i="1" s="1"/>
  <c r="Z3020" i="1"/>
  <c r="AC3020" i="1" s="1"/>
  <c r="Z3019" i="1"/>
  <c r="AC3019" i="1" s="1"/>
  <c r="Z3018" i="1"/>
  <c r="Z3017" i="1"/>
  <c r="AB3017" i="1" s="1"/>
  <c r="AE3017" i="1" s="1"/>
  <c r="Z3016" i="1"/>
  <c r="Z3015" i="1"/>
  <c r="AC3015" i="1" s="1"/>
  <c r="Z3014" i="1"/>
  <c r="AC3014" i="1" s="1"/>
  <c r="Z3013" i="1"/>
  <c r="AC3013" i="1" s="1"/>
  <c r="Z3012" i="1"/>
  <c r="AC3012" i="1" s="1"/>
  <c r="Z3011" i="1"/>
  <c r="Z3010" i="1"/>
  <c r="Z3009" i="1"/>
  <c r="AB3009" i="1" s="1"/>
  <c r="AE3009" i="1" s="1"/>
  <c r="AB3008" i="1"/>
  <c r="AE3008" i="1" s="1"/>
  <c r="Z3008" i="1"/>
  <c r="AC3008" i="1" s="1"/>
  <c r="Z3007" i="1"/>
  <c r="AB3007" i="1" s="1"/>
  <c r="AE3007" i="1" s="1"/>
  <c r="Z3006" i="1"/>
  <c r="AC3006" i="1" s="1"/>
  <c r="Z3005" i="1"/>
  <c r="AC3005" i="1" s="1"/>
  <c r="AB3004" i="1"/>
  <c r="AE3004" i="1" s="1"/>
  <c r="Z3004" i="1"/>
  <c r="AC3004" i="1" s="1"/>
  <c r="Z3003" i="1"/>
  <c r="AC3003" i="1" s="1"/>
  <c r="Z3002" i="1"/>
  <c r="AC3002" i="1" s="1"/>
  <c r="Z3001" i="1"/>
  <c r="Z3000" i="1"/>
  <c r="Z2999" i="1"/>
  <c r="AC2999" i="1" s="1"/>
  <c r="Z2998" i="1"/>
  <c r="AC2998" i="1" s="1"/>
  <c r="Z2997" i="1"/>
  <c r="AC2997" i="1" s="1"/>
  <c r="Z2996" i="1"/>
  <c r="AC2996" i="1" s="1"/>
  <c r="Z2995" i="1"/>
  <c r="AB2995" i="1" s="1"/>
  <c r="AE2995" i="1" s="1"/>
  <c r="Z2994" i="1"/>
  <c r="AB2994" i="1" s="1"/>
  <c r="AE2994" i="1" s="1"/>
  <c r="Z2993" i="1"/>
  <c r="Z2992" i="1"/>
  <c r="AB2992" i="1" s="1"/>
  <c r="AE2992" i="1" s="1"/>
  <c r="Z2991" i="1"/>
  <c r="AB2991" i="1" s="1"/>
  <c r="AE2991" i="1" s="1"/>
  <c r="Z2990" i="1"/>
  <c r="Z2989" i="1"/>
  <c r="AB2989" i="1" s="1"/>
  <c r="AE2989" i="1" s="1"/>
  <c r="Z2988" i="1"/>
  <c r="AB2987" i="1"/>
  <c r="AE2987" i="1" s="1"/>
  <c r="Z2987" i="1"/>
  <c r="AC2987" i="1" s="1"/>
  <c r="Z2986" i="1"/>
  <c r="AB2986" i="1" s="1"/>
  <c r="AE2986" i="1" s="1"/>
  <c r="Z2985" i="1"/>
  <c r="AC2985" i="1" s="1"/>
  <c r="Z2984" i="1"/>
  <c r="AC2984" i="1" s="1"/>
  <c r="Z2983" i="1"/>
  <c r="AC2983" i="1" s="1"/>
  <c r="Z2982" i="1"/>
  <c r="AC2982" i="1" s="1"/>
  <c r="Z2981" i="1"/>
  <c r="AC2981" i="1" s="1"/>
  <c r="Z2980" i="1"/>
  <c r="AC2980" i="1" s="1"/>
  <c r="Z2979" i="1"/>
  <c r="AC2979" i="1" s="1"/>
  <c r="AC2978" i="1"/>
  <c r="Z2978" i="1"/>
  <c r="AB2978" i="1" s="1"/>
  <c r="AE2978" i="1" s="1"/>
  <c r="Z2977" i="1"/>
  <c r="AB2977" i="1" s="1"/>
  <c r="AE2977" i="1" s="1"/>
  <c r="Z2976" i="1"/>
  <c r="AC2976" i="1" s="1"/>
  <c r="Z2975" i="1"/>
  <c r="Z2974" i="1"/>
  <c r="AB2974" i="1" s="1"/>
  <c r="AE2974" i="1" s="1"/>
  <c r="AC2973" i="1"/>
  <c r="AB2973" i="1"/>
  <c r="AE2973" i="1" s="1"/>
  <c r="Z2973" i="1"/>
  <c r="Z2972" i="1"/>
  <c r="AC2972" i="1" s="1"/>
  <c r="AB2971" i="1"/>
  <c r="AE2971" i="1" s="1"/>
  <c r="Z2971" i="1"/>
  <c r="AC2971" i="1" s="1"/>
  <c r="Z2970" i="1"/>
  <c r="AB2970" i="1" s="1"/>
  <c r="AE2970" i="1" s="1"/>
  <c r="Z2969" i="1"/>
  <c r="AC2969" i="1" s="1"/>
  <c r="Z2968" i="1"/>
  <c r="AC2968" i="1" s="1"/>
  <c r="AB2967" i="1"/>
  <c r="AE2967" i="1" s="1"/>
  <c r="Z2967" i="1"/>
  <c r="AC2967" i="1" s="1"/>
  <c r="Z2966" i="1"/>
  <c r="AC2966" i="1" s="1"/>
  <c r="Z2965" i="1"/>
  <c r="Z2964" i="1"/>
  <c r="AC2964" i="1" s="1"/>
  <c r="Z2963" i="1"/>
  <c r="Z2962" i="1"/>
  <c r="AB2962" i="1" s="1"/>
  <c r="AE2962" i="1" s="1"/>
  <c r="Z2961" i="1"/>
  <c r="AB2961" i="1" s="1"/>
  <c r="AE2961" i="1" s="1"/>
  <c r="Z2960" i="1"/>
  <c r="AC2960" i="1" s="1"/>
  <c r="Z2959" i="1"/>
  <c r="Z2958" i="1"/>
  <c r="AB2958" i="1" s="1"/>
  <c r="AE2958" i="1" s="1"/>
  <c r="Z2957" i="1"/>
  <c r="AC2957" i="1" s="1"/>
  <c r="AB2956" i="1"/>
  <c r="AE2956" i="1" s="1"/>
  <c r="Z2956" i="1"/>
  <c r="AC2956" i="1" s="1"/>
  <c r="Z2955" i="1"/>
  <c r="AB2955" i="1" s="1"/>
  <c r="AE2955" i="1" s="1"/>
  <c r="AB2954" i="1"/>
  <c r="AE2954" i="1" s="1"/>
  <c r="Z2954" i="1"/>
  <c r="AC2954" i="1" s="1"/>
  <c r="Z2953" i="1"/>
  <c r="Z2952" i="1"/>
  <c r="AC2952" i="1" s="1"/>
  <c r="Z2951" i="1"/>
  <c r="Z2950" i="1"/>
  <c r="AC2950" i="1" s="1"/>
  <c r="Z2949" i="1"/>
  <c r="Z2948" i="1"/>
  <c r="Z2947" i="1"/>
  <c r="Z2946" i="1"/>
  <c r="AB2946" i="1" s="1"/>
  <c r="AE2946" i="1" s="1"/>
  <c r="Z2945" i="1"/>
  <c r="AB2945" i="1" s="1"/>
  <c r="AE2945" i="1" s="1"/>
  <c r="Z2944" i="1"/>
  <c r="Z2943" i="1"/>
  <c r="Z2942" i="1"/>
  <c r="Z2941" i="1"/>
  <c r="AB2941" i="1" s="1"/>
  <c r="AE2941" i="1" s="1"/>
  <c r="Z2940" i="1"/>
  <c r="Z2939" i="1"/>
  <c r="AC2939" i="1" s="1"/>
  <c r="Z2938" i="1"/>
  <c r="Z2937" i="1"/>
  <c r="AB2937" i="1" s="1"/>
  <c r="AE2937" i="1" s="1"/>
  <c r="Z2936" i="1"/>
  <c r="Z2935" i="1"/>
  <c r="Z2934" i="1"/>
  <c r="AC2934" i="1" s="1"/>
  <c r="Z2933" i="1"/>
  <c r="AC2933" i="1" s="1"/>
  <c r="AB2932" i="1"/>
  <c r="AE2932" i="1" s="1"/>
  <c r="Z2932" i="1"/>
  <c r="AC2932" i="1" s="1"/>
  <c r="Z2931" i="1"/>
  <c r="AC2931" i="1" s="1"/>
  <c r="Z2930" i="1"/>
  <c r="AB2930" i="1" s="1"/>
  <c r="AE2930" i="1" s="1"/>
  <c r="AC2929" i="1"/>
  <c r="Z2929" i="1"/>
  <c r="AB2929" i="1" s="1"/>
  <c r="AE2929" i="1" s="1"/>
  <c r="Z2928" i="1"/>
  <c r="AC2927" i="1"/>
  <c r="Z2927" i="1"/>
  <c r="AB2927" i="1" s="1"/>
  <c r="AE2927" i="1" s="1"/>
  <c r="Z2926" i="1"/>
  <c r="AB2926" i="1" s="1"/>
  <c r="AE2926" i="1" s="1"/>
  <c r="Z2925" i="1"/>
  <c r="AC2925" i="1" s="1"/>
  <c r="Z2924" i="1"/>
  <c r="AC2924" i="1" s="1"/>
  <c r="AB2923" i="1"/>
  <c r="AE2923" i="1" s="1"/>
  <c r="Z2923" i="1"/>
  <c r="AC2923" i="1" s="1"/>
  <c r="Z2922" i="1"/>
  <c r="Z2921" i="1"/>
  <c r="AB2921" i="1" s="1"/>
  <c r="AE2921" i="1" s="1"/>
  <c r="Z2920" i="1"/>
  <c r="AC2919" i="1"/>
  <c r="Z2919" i="1"/>
  <c r="AB2919" i="1" s="1"/>
  <c r="AE2919" i="1" s="1"/>
  <c r="Z2918" i="1"/>
  <c r="Z2917" i="1"/>
  <c r="Z2916" i="1"/>
  <c r="AC2916" i="1" s="1"/>
  <c r="AC2915" i="1"/>
  <c r="Z2915" i="1"/>
  <c r="AB2915" i="1" s="1"/>
  <c r="AE2915" i="1" s="1"/>
  <c r="Z2914" i="1"/>
  <c r="AC2914" i="1" s="1"/>
  <c r="Z2913" i="1"/>
  <c r="AB2913" i="1" s="1"/>
  <c r="AE2913" i="1" s="1"/>
  <c r="Z2912" i="1"/>
  <c r="Z2911" i="1"/>
  <c r="Z2910" i="1"/>
  <c r="AB2910" i="1" s="1"/>
  <c r="AE2910" i="1" s="1"/>
  <c r="Z2909" i="1"/>
  <c r="AC2908" i="1"/>
  <c r="Z2908" i="1"/>
  <c r="AB2908" i="1" s="1"/>
  <c r="AE2908" i="1" s="1"/>
  <c r="Z2907" i="1"/>
  <c r="Z2906" i="1"/>
  <c r="AB2906" i="1" s="1"/>
  <c r="AE2906" i="1" s="1"/>
  <c r="Z2905" i="1"/>
  <c r="Z2904" i="1"/>
  <c r="Z2903" i="1"/>
  <c r="AC2903" i="1" s="1"/>
  <c r="Z2902" i="1"/>
  <c r="Z2901" i="1"/>
  <c r="Z2900" i="1"/>
  <c r="AC2900" i="1" s="1"/>
  <c r="Z2899" i="1"/>
  <c r="AC2899" i="1" s="1"/>
  <c r="Z2898" i="1"/>
  <c r="Z2897" i="1"/>
  <c r="Z2896" i="1"/>
  <c r="Z2895" i="1"/>
  <c r="AB2895" i="1" s="1"/>
  <c r="AE2895" i="1" s="1"/>
  <c r="AB2894" i="1"/>
  <c r="AE2894" i="1" s="1"/>
  <c r="Z2894" i="1"/>
  <c r="AC2894" i="1" s="1"/>
  <c r="AC2893" i="1"/>
  <c r="Z2893" i="1"/>
  <c r="AB2893" i="1" s="1"/>
  <c r="AE2893" i="1" s="1"/>
  <c r="Z2892" i="1"/>
  <c r="Z2891" i="1"/>
  <c r="AC2891" i="1" s="1"/>
  <c r="AB2890" i="1"/>
  <c r="AE2890" i="1" s="1"/>
  <c r="Z2890" i="1"/>
  <c r="AC2890" i="1" s="1"/>
  <c r="Z2889" i="1"/>
  <c r="Z2888" i="1"/>
  <c r="Z2887" i="1"/>
  <c r="AC2887" i="1" s="1"/>
  <c r="Z2886" i="1"/>
  <c r="AC2886" i="1" s="1"/>
  <c r="AC2885" i="1"/>
  <c r="Z2885" i="1"/>
  <c r="AB2885" i="1" s="1"/>
  <c r="AE2885" i="1" s="1"/>
  <c r="Z2884" i="1"/>
  <c r="Z2883" i="1"/>
  <c r="Z2882" i="1"/>
  <c r="Z2881" i="1"/>
  <c r="Z2880" i="1"/>
  <c r="AC2880" i="1" s="1"/>
  <c r="Z2879" i="1"/>
  <c r="AB2879" i="1" s="1"/>
  <c r="AE2879" i="1" s="1"/>
  <c r="Z2878" i="1"/>
  <c r="AC2878" i="1" s="1"/>
  <c r="Z2877" i="1"/>
  <c r="Z2876" i="1"/>
  <c r="AC2876" i="1" s="1"/>
  <c r="Z2875" i="1"/>
  <c r="AC2875" i="1" s="1"/>
  <c r="AC2874" i="1"/>
  <c r="AB2874" i="1"/>
  <c r="AE2874" i="1" s="1"/>
  <c r="Z2874" i="1"/>
  <c r="Z2873" i="1"/>
  <c r="AB2873" i="1" s="1"/>
  <c r="AE2873" i="1" s="1"/>
  <c r="AC2872" i="1"/>
  <c r="Z2872" i="1"/>
  <c r="AB2872" i="1" s="1"/>
  <c r="AE2872" i="1" s="1"/>
  <c r="Z2871" i="1"/>
  <c r="AC2871" i="1" s="1"/>
  <c r="Z2870" i="1"/>
  <c r="AC2870" i="1" s="1"/>
  <c r="Z2869" i="1"/>
  <c r="AB2869" i="1" s="1"/>
  <c r="AE2869" i="1" s="1"/>
  <c r="Z2868" i="1"/>
  <c r="Z2867" i="1"/>
  <c r="AB2867" i="1" s="1"/>
  <c r="AE2867" i="1" s="1"/>
  <c r="AC2866" i="1"/>
  <c r="AB2866" i="1"/>
  <c r="AE2866" i="1" s="1"/>
  <c r="Z2866" i="1"/>
  <c r="Z2865" i="1"/>
  <c r="AC2864" i="1"/>
  <c r="AB2864" i="1"/>
  <c r="AE2864" i="1" s="1"/>
  <c r="Z2864" i="1"/>
  <c r="Z2863" i="1"/>
  <c r="AB2863" i="1" s="1"/>
  <c r="AE2863" i="1" s="1"/>
  <c r="Z2862" i="1"/>
  <c r="AB2862" i="1" s="1"/>
  <c r="AE2862" i="1" s="1"/>
  <c r="Z2861" i="1"/>
  <c r="AB2861" i="1" s="1"/>
  <c r="AE2861" i="1" s="1"/>
  <c r="Z2860" i="1"/>
  <c r="AC2860" i="1" s="1"/>
  <c r="Z2859" i="1"/>
  <c r="AC2858" i="1"/>
  <c r="Z2858" i="1"/>
  <c r="AB2858" i="1" s="1"/>
  <c r="AE2858" i="1" s="1"/>
  <c r="AC2857" i="1"/>
  <c r="AB2857" i="1"/>
  <c r="AE2857" i="1" s="1"/>
  <c r="Z2857" i="1"/>
  <c r="Z2856" i="1"/>
  <c r="AC2856" i="1" s="1"/>
  <c r="Z2855" i="1"/>
  <c r="AB2855" i="1" s="1"/>
  <c r="AE2855" i="1" s="1"/>
  <c r="Z2854" i="1"/>
  <c r="Z2853" i="1"/>
  <c r="AB2853" i="1" s="1"/>
  <c r="AE2853" i="1" s="1"/>
  <c r="Z2852" i="1"/>
  <c r="Z2851" i="1"/>
  <c r="AC2851" i="1" s="1"/>
  <c r="Z2850" i="1"/>
  <c r="Z2849" i="1"/>
  <c r="AB2849" i="1" s="1"/>
  <c r="AE2849" i="1" s="1"/>
  <c r="Z2848" i="1"/>
  <c r="AB2848" i="1" s="1"/>
  <c r="AE2848" i="1" s="1"/>
  <c r="Z2847" i="1"/>
  <c r="Z2846" i="1"/>
  <c r="AB2846" i="1" s="1"/>
  <c r="AE2846" i="1" s="1"/>
  <c r="AC2845" i="1"/>
  <c r="Z2845" i="1"/>
  <c r="AB2845" i="1" s="1"/>
  <c r="AE2845" i="1" s="1"/>
  <c r="Z2844" i="1"/>
  <c r="Z2843" i="1"/>
  <c r="AC2842" i="1"/>
  <c r="Z2842" i="1"/>
  <c r="AB2842" i="1" s="1"/>
  <c r="AE2842" i="1" s="1"/>
  <c r="Z2841" i="1"/>
  <c r="Z2840" i="1"/>
  <c r="AB2840" i="1" s="1"/>
  <c r="AE2840" i="1" s="1"/>
  <c r="Z2839" i="1"/>
  <c r="AC2839" i="1" s="1"/>
  <c r="Z2838" i="1"/>
  <c r="Z2837" i="1"/>
  <c r="AC2837" i="1" s="1"/>
  <c r="Z2836" i="1"/>
  <c r="AC2836" i="1" s="1"/>
  <c r="AB2835" i="1"/>
  <c r="AE2835" i="1" s="1"/>
  <c r="Z2835" i="1"/>
  <c r="AC2835" i="1" s="1"/>
  <c r="Z2834" i="1"/>
  <c r="AB2834" i="1" s="1"/>
  <c r="AE2834" i="1" s="1"/>
  <c r="Z2833" i="1"/>
  <c r="Z2832" i="1"/>
  <c r="Z2831" i="1"/>
  <c r="AB2831" i="1" s="1"/>
  <c r="AE2831" i="1" s="1"/>
  <c r="Z2830" i="1"/>
  <c r="AC2829" i="1"/>
  <c r="Z2829" i="1"/>
  <c r="AB2829" i="1" s="1"/>
  <c r="AE2829" i="1" s="1"/>
  <c r="AB2828" i="1"/>
  <c r="AE2828" i="1" s="1"/>
  <c r="Z2828" i="1"/>
  <c r="AC2828" i="1" s="1"/>
  <c r="Z2827" i="1"/>
  <c r="Z2826" i="1"/>
  <c r="AB2826" i="1" s="1"/>
  <c r="AE2826" i="1" s="1"/>
  <c r="Z2825" i="1"/>
  <c r="AB2825" i="1" s="1"/>
  <c r="AE2825" i="1" s="1"/>
  <c r="Z2824" i="1"/>
  <c r="Z2823" i="1"/>
  <c r="AC2823" i="1" s="1"/>
  <c r="Z2822" i="1"/>
  <c r="AC2822" i="1" s="1"/>
  <c r="Z2821" i="1"/>
  <c r="Z2820" i="1"/>
  <c r="AC2820" i="1" s="1"/>
  <c r="AC2819" i="1"/>
  <c r="Z2819" i="1"/>
  <c r="AB2819" i="1" s="1"/>
  <c r="AE2819" i="1" s="1"/>
  <c r="Z2818" i="1"/>
  <c r="AB2818" i="1" s="1"/>
  <c r="AE2818" i="1" s="1"/>
  <c r="Z2817" i="1"/>
  <c r="Z2816" i="1"/>
  <c r="AC2816" i="1" s="1"/>
  <c r="Z2815" i="1"/>
  <c r="AB2815" i="1" s="1"/>
  <c r="AE2815" i="1" s="1"/>
  <c r="Z2814" i="1"/>
  <c r="AC2814" i="1" s="1"/>
  <c r="Z2813" i="1"/>
  <c r="AB2813" i="1" s="1"/>
  <c r="AE2813" i="1" s="1"/>
  <c r="Z2812" i="1"/>
  <c r="AB2812" i="1" s="1"/>
  <c r="AE2812" i="1" s="1"/>
  <c r="Z2811" i="1"/>
  <c r="Z2810" i="1"/>
  <c r="AB2810" i="1" s="1"/>
  <c r="AE2810" i="1" s="1"/>
  <c r="Z2809" i="1"/>
  <c r="Z2808" i="1"/>
  <c r="AC2808" i="1" s="1"/>
  <c r="Z2807" i="1"/>
  <c r="AB2807" i="1" s="1"/>
  <c r="AE2807" i="1" s="1"/>
  <c r="Z2806" i="1"/>
  <c r="AC2806" i="1" s="1"/>
  <c r="Z2805" i="1"/>
  <c r="Z2804" i="1"/>
  <c r="Z2803" i="1"/>
  <c r="AB2802" i="1"/>
  <c r="AE2802" i="1" s="1"/>
  <c r="Z2802" i="1"/>
  <c r="AC2802" i="1" s="1"/>
  <c r="Z2801" i="1"/>
  <c r="AB2801" i="1" s="1"/>
  <c r="AE2801" i="1" s="1"/>
  <c r="Z2800" i="1"/>
  <c r="AC2800" i="1" s="1"/>
  <c r="Z2799" i="1"/>
  <c r="AC2798" i="1"/>
  <c r="Z2798" i="1"/>
  <c r="AB2798" i="1" s="1"/>
  <c r="AE2798" i="1" s="1"/>
  <c r="Z2797" i="1"/>
  <c r="AB2797" i="1" s="1"/>
  <c r="AE2797" i="1" s="1"/>
  <c r="AB2796" i="1"/>
  <c r="AE2796" i="1" s="1"/>
  <c r="Z2796" i="1"/>
  <c r="AC2796" i="1" s="1"/>
  <c r="AB2795" i="1"/>
  <c r="AE2795" i="1" s="1"/>
  <c r="Z2795" i="1"/>
  <c r="AC2795" i="1" s="1"/>
  <c r="Z2794" i="1"/>
  <c r="AC2794" i="1" s="1"/>
  <c r="AB2793" i="1"/>
  <c r="AE2793" i="1" s="1"/>
  <c r="Z2793" i="1"/>
  <c r="AC2793" i="1" s="1"/>
  <c r="AC2792" i="1"/>
  <c r="Z2792" i="1"/>
  <c r="AB2792" i="1" s="1"/>
  <c r="AE2792" i="1" s="1"/>
  <c r="Z2791" i="1"/>
  <c r="Z2790" i="1"/>
  <c r="AC2789" i="1"/>
  <c r="Z2789" i="1"/>
  <c r="AB2789" i="1" s="1"/>
  <c r="AE2789" i="1" s="1"/>
  <c r="Z2788" i="1"/>
  <c r="Z2787" i="1"/>
  <c r="Z2786" i="1"/>
  <c r="Z2785" i="1"/>
  <c r="Z2784" i="1"/>
  <c r="AB2784" i="1" s="1"/>
  <c r="AE2784" i="1" s="1"/>
  <c r="Z2783" i="1"/>
  <c r="AB2783" i="1" s="1"/>
  <c r="AE2783" i="1" s="1"/>
  <c r="Z2782" i="1"/>
  <c r="AB2782" i="1" s="1"/>
  <c r="AE2782" i="1" s="1"/>
  <c r="AC2781" i="1"/>
  <c r="Z2781" i="1"/>
  <c r="AB2781" i="1" s="1"/>
  <c r="AE2781" i="1" s="1"/>
  <c r="Z2780" i="1"/>
  <c r="AC2780" i="1" s="1"/>
  <c r="Z2779" i="1"/>
  <c r="AC2779" i="1" s="1"/>
  <c r="Z2778" i="1"/>
  <c r="Z2777" i="1"/>
  <c r="AC2777" i="1" s="1"/>
  <c r="Z2776" i="1"/>
  <c r="AB2776" i="1" s="1"/>
  <c r="AE2776" i="1" s="1"/>
  <c r="Z2775" i="1"/>
  <c r="AC2775" i="1" s="1"/>
  <c r="Z2774" i="1"/>
  <c r="AB2773" i="1"/>
  <c r="AE2773" i="1" s="1"/>
  <c r="Z2773" i="1"/>
  <c r="AC2773" i="1" s="1"/>
  <c r="Z2772" i="1"/>
  <c r="Z2771" i="1"/>
  <c r="AC2771" i="1" s="1"/>
  <c r="Z2770" i="1"/>
  <c r="AC2770" i="1" s="1"/>
  <c r="Z2769" i="1"/>
  <c r="Z2768" i="1"/>
  <c r="AB2768" i="1" s="1"/>
  <c r="AE2768" i="1" s="1"/>
  <c r="Z2767" i="1"/>
  <c r="AB2767" i="1" s="1"/>
  <c r="AE2767" i="1" s="1"/>
  <c r="Z2766" i="1"/>
  <c r="AC2765" i="1"/>
  <c r="Z2765" i="1"/>
  <c r="AB2765" i="1" s="1"/>
  <c r="AE2765" i="1" s="1"/>
  <c r="Z2764" i="1"/>
  <c r="Z2763" i="1"/>
  <c r="Z2762" i="1"/>
  <c r="Z2761" i="1"/>
  <c r="AB2761" i="1" s="1"/>
  <c r="AE2761" i="1" s="1"/>
  <c r="Z2760" i="1"/>
  <c r="AC2760" i="1" s="1"/>
  <c r="Z2759" i="1"/>
  <c r="AB2758" i="1"/>
  <c r="AE2758" i="1" s="1"/>
  <c r="Z2758" i="1"/>
  <c r="AC2758" i="1" s="1"/>
  <c r="AB2757" i="1"/>
  <c r="AE2757" i="1" s="1"/>
  <c r="Z2757" i="1"/>
  <c r="AC2757" i="1" s="1"/>
  <c r="Z2756" i="1"/>
  <c r="Z2755" i="1"/>
  <c r="AB2755" i="1" s="1"/>
  <c r="AE2755" i="1" s="1"/>
  <c r="Z2754" i="1"/>
  <c r="AB2754" i="1" s="1"/>
  <c r="AE2754" i="1" s="1"/>
  <c r="Z2753" i="1"/>
  <c r="Z2752" i="1"/>
  <c r="Z2751" i="1"/>
  <c r="AB2751" i="1" s="1"/>
  <c r="AE2751" i="1" s="1"/>
  <c r="Z2750" i="1"/>
  <c r="Z2749" i="1"/>
  <c r="Z2748" i="1"/>
  <c r="AB2747" i="1"/>
  <c r="AE2747" i="1" s="1"/>
  <c r="Z2747" i="1"/>
  <c r="AC2747" i="1" s="1"/>
  <c r="Z2746" i="1"/>
  <c r="AC2746" i="1" s="1"/>
  <c r="Z2745" i="1"/>
  <c r="AB2745" i="1" s="1"/>
  <c r="AE2745" i="1" s="1"/>
  <c r="Z2744" i="1"/>
  <c r="AC2744" i="1" s="1"/>
  <c r="Z2743" i="1"/>
  <c r="AB2743" i="1" s="1"/>
  <c r="AE2743" i="1" s="1"/>
  <c r="Z2742" i="1"/>
  <c r="AC2742" i="1" s="1"/>
  <c r="Z2741" i="1"/>
  <c r="Z2740" i="1"/>
  <c r="Z2739" i="1"/>
  <c r="AB2739" i="1" s="1"/>
  <c r="AE2739" i="1" s="1"/>
  <c r="Z2738" i="1"/>
  <c r="Z2737" i="1"/>
  <c r="AB2737" i="1" s="1"/>
  <c r="AE2737" i="1" s="1"/>
  <c r="AB2736" i="1"/>
  <c r="AE2736" i="1" s="1"/>
  <c r="Z2736" i="1"/>
  <c r="AC2736" i="1" s="1"/>
  <c r="Z2735" i="1"/>
  <c r="Z2734" i="1"/>
  <c r="AB2734" i="1" s="1"/>
  <c r="AE2734" i="1" s="1"/>
  <c r="Z2733" i="1"/>
  <c r="AB2733" i="1" s="1"/>
  <c r="AE2733" i="1" s="1"/>
  <c r="AC2732" i="1"/>
  <c r="AB2732" i="1"/>
  <c r="AE2732" i="1" s="1"/>
  <c r="Z2732" i="1"/>
  <c r="Z2731" i="1"/>
  <c r="AC2731" i="1" s="1"/>
  <c r="Z2730" i="1"/>
  <c r="AC2730" i="1" s="1"/>
  <c r="AC2729" i="1"/>
  <c r="Z2729" i="1"/>
  <c r="AB2729" i="1" s="1"/>
  <c r="AE2729" i="1" s="1"/>
  <c r="AC2728" i="1"/>
  <c r="Z2728" i="1"/>
  <c r="AB2728" i="1" s="1"/>
  <c r="AE2728" i="1" s="1"/>
  <c r="Z2727" i="1"/>
  <c r="Z2726" i="1"/>
  <c r="Z2725" i="1"/>
  <c r="AC2725" i="1" s="1"/>
  <c r="Z2724" i="1"/>
  <c r="Z2723" i="1"/>
  <c r="Z2722" i="1"/>
  <c r="AB2722" i="1" s="1"/>
  <c r="AE2722" i="1" s="1"/>
  <c r="AC2721" i="1"/>
  <c r="Z2721" i="1"/>
  <c r="AB2721" i="1" s="1"/>
  <c r="AE2721" i="1" s="1"/>
  <c r="Z2720" i="1"/>
  <c r="AC2720" i="1" s="1"/>
  <c r="Z2719" i="1"/>
  <c r="Z2718" i="1"/>
  <c r="AC2718" i="1" s="1"/>
  <c r="Z2717" i="1"/>
  <c r="Z2716" i="1"/>
  <c r="AC2716" i="1" s="1"/>
  <c r="Z2715" i="1"/>
  <c r="AB2715" i="1" s="1"/>
  <c r="AE2715" i="1" s="1"/>
  <c r="Z2714" i="1"/>
  <c r="AB2714" i="1" s="1"/>
  <c r="AE2714" i="1" s="1"/>
  <c r="AB2713" i="1"/>
  <c r="AE2713" i="1" s="1"/>
  <c r="Z2713" i="1"/>
  <c r="AC2713" i="1" s="1"/>
  <c r="Z2712" i="1"/>
  <c r="AB2712" i="1" s="1"/>
  <c r="AE2712" i="1" s="1"/>
  <c r="Z2711" i="1"/>
  <c r="AB2711" i="1" s="1"/>
  <c r="AE2711" i="1" s="1"/>
  <c r="Z2710" i="1"/>
  <c r="Z2709" i="1"/>
  <c r="AC2708" i="1"/>
  <c r="AB2708" i="1"/>
  <c r="AE2708" i="1" s="1"/>
  <c r="Z2708" i="1"/>
  <c r="Z2707" i="1"/>
  <c r="AB2707" i="1" s="1"/>
  <c r="AE2707" i="1" s="1"/>
  <c r="Z2706" i="1"/>
  <c r="Z2705" i="1"/>
  <c r="Z2704" i="1"/>
  <c r="AB2704" i="1" s="1"/>
  <c r="AE2704" i="1" s="1"/>
  <c r="Z2703" i="1"/>
  <c r="AC2703" i="1" s="1"/>
  <c r="Z2702" i="1"/>
  <c r="AB2702" i="1" s="1"/>
  <c r="AE2702" i="1" s="1"/>
  <c r="Z2701" i="1"/>
  <c r="AC2701" i="1" s="1"/>
  <c r="Z2700" i="1"/>
  <c r="AC2700" i="1" s="1"/>
  <c r="Z2699" i="1"/>
  <c r="AC2699" i="1" s="1"/>
  <c r="AB2698" i="1"/>
  <c r="AE2698" i="1" s="1"/>
  <c r="Z2698" i="1"/>
  <c r="AC2698" i="1" s="1"/>
  <c r="AC2697" i="1"/>
  <c r="Z2697" i="1"/>
  <c r="AB2697" i="1" s="1"/>
  <c r="AE2697" i="1" s="1"/>
  <c r="AC2696" i="1"/>
  <c r="Z2696" i="1"/>
  <c r="AB2696" i="1" s="1"/>
  <c r="AE2696" i="1" s="1"/>
  <c r="Z2695" i="1"/>
  <c r="Z2694" i="1"/>
  <c r="Z2693" i="1"/>
  <c r="AC2693" i="1" s="1"/>
  <c r="Z2692" i="1"/>
  <c r="Z2691" i="1"/>
  <c r="AB2691" i="1" s="1"/>
  <c r="AE2691" i="1" s="1"/>
  <c r="Z2690" i="1"/>
  <c r="AC2690" i="1" s="1"/>
  <c r="Z2689" i="1"/>
  <c r="AB2689" i="1" s="1"/>
  <c r="AE2689" i="1" s="1"/>
  <c r="AB2688" i="1"/>
  <c r="AE2688" i="1" s="1"/>
  <c r="Z2688" i="1"/>
  <c r="AC2688" i="1" s="1"/>
  <c r="Z2687" i="1"/>
  <c r="AB2687" i="1" s="1"/>
  <c r="AE2687" i="1" s="1"/>
  <c r="Z2686" i="1"/>
  <c r="Z2685" i="1"/>
  <c r="Z2684" i="1"/>
  <c r="AC2684" i="1" s="1"/>
  <c r="Z2683" i="1"/>
  <c r="Z2682" i="1"/>
  <c r="AB2682" i="1" s="1"/>
  <c r="AE2682" i="1" s="1"/>
  <c r="Z2681" i="1"/>
  <c r="AB2681" i="1" s="1"/>
  <c r="AE2681" i="1" s="1"/>
  <c r="Z2680" i="1"/>
  <c r="AC2679" i="1"/>
  <c r="Z2679" i="1"/>
  <c r="AB2679" i="1" s="1"/>
  <c r="AE2679" i="1" s="1"/>
  <c r="Z2678" i="1"/>
  <c r="AC2678" i="1" s="1"/>
  <c r="AB2677" i="1"/>
  <c r="AE2677" i="1" s="1"/>
  <c r="Z2677" i="1"/>
  <c r="AC2677" i="1" s="1"/>
  <c r="Z2676" i="1"/>
  <c r="AB2676" i="1" s="1"/>
  <c r="AE2676" i="1" s="1"/>
  <c r="Z2675" i="1"/>
  <c r="AC2675" i="1" s="1"/>
  <c r="Z2674" i="1"/>
  <c r="AC2674" i="1" s="1"/>
  <c r="Z2673" i="1"/>
  <c r="AB2673" i="1" s="1"/>
  <c r="AE2673" i="1" s="1"/>
  <c r="Z2672" i="1"/>
  <c r="AB2672" i="1" s="1"/>
  <c r="AE2672" i="1" s="1"/>
  <c r="Z2671" i="1"/>
  <c r="Z2670" i="1"/>
  <c r="AB2670" i="1" s="1"/>
  <c r="AE2670" i="1" s="1"/>
  <c r="Z2669" i="1"/>
  <c r="AC2668" i="1"/>
  <c r="Z2668" i="1"/>
  <c r="AB2668" i="1" s="1"/>
  <c r="AE2668" i="1" s="1"/>
  <c r="Z2667" i="1"/>
  <c r="Z2666" i="1"/>
  <c r="Z2665" i="1"/>
  <c r="AC2665" i="1" s="1"/>
  <c r="AC2664" i="1"/>
  <c r="Z2664" i="1"/>
  <c r="AB2664" i="1" s="1"/>
  <c r="AE2664" i="1" s="1"/>
  <c r="AC2663" i="1"/>
  <c r="Z2663" i="1"/>
  <c r="AB2663" i="1" s="1"/>
  <c r="AE2663" i="1" s="1"/>
  <c r="Z2662" i="1"/>
  <c r="AC2662" i="1" s="1"/>
  <c r="Z2661" i="1"/>
  <c r="AC2661" i="1" s="1"/>
  <c r="Z2660" i="1"/>
  <c r="AB2660" i="1" s="1"/>
  <c r="AE2660" i="1" s="1"/>
  <c r="Z2659" i="1"/>
  <c r="AC2659" i="1" s="1"/>
  <c r="Z2658" i="1"/>
  <c r="Z2657" i="1"/>
  <c r="Z2656" i="1"/>
  <c r="AB2656" i="1" s="1"/>
  <c r="AE2656" i="1" s="1"/>
  <c r="AC2655" i="1"/>
  <c r="Z2655" i="1"/>
  <c r="AB2655" i="1" s="1"/>
  <c r="AE2655" i="1" s="1"/>
  <c r="AB2654" i="1"/>
  <c r="AE2654" i="1" s="1"/>
  <c r="Z2654" i="1"/>
  <c r="AC2654" i="1" s="1"/>
  <c r="Z2653" i="1"/>
  <c r="AB2653" i="1" s="1"/>
  <c r="AE2653" i="1" s="1"/>
  <c r="AB2652" i="1"/>
  <c r="AE2652" i="1" s="1"/>
  <c r="Z2652" i="1"/>
  <c r="AC2652" i="1" s="1"/>
  <c r="Z2651" i="1"/>
  <c r="AC2651" i="1" s="1"/>
  <c r="Z2650" i="1"/>
  <c r="Z2649" i="1"/>
  <c r="AC2649" i="1" s="1"/>
  <c r="Z2648" i="1"/>
  <c r="AB2648" i="1" s="1"/>
  <c r="AE2648" i="1" s="1"/>
  <c r="Z2647" i="1"/>
  <c r="Z2646" i="1"/>
  <c r="AC2646" i="1" s="1"/>
  <c r="Z2645" i="1"/>
  <c r="AC2645" i="1" s="1"/>
  <c r="Z2644" i="1"/>
  <c r="AB2644" i="1" s="1"/>
  <c r="AE2644" i="1" s="1"/>
  <c r="AB2643" i="1"/>
  <c r="AE2643" i="1" s="1"/>
  <c r="Z2643" i="1"/>
  <c r="AC2643" i="1" s="1"/>
  <c r="Z2642" i="1"/>
  <c r="AC2642" i="1" s="1"/>
  <c r="Z2641" i="1"/>
  <c r="AB2641" i="1" s="1"/>
  <c r="AE2641" i="1" s="1"/>
  <c r="Z2640" i="1"/>
  <c r="AB2640" i="1" s="1"/>
  <c r="AE2640" i="1" s="1"/>
  <c r="AC2639" i="1"/>
  <c r="Z2639" i="1"/>
  <c r="AB2639" i="1" s="1"/>
  <c r="AE2639" i="1" s="1"/>
  <c r="Z2638" i="1"/>
  <c r="AB2638" i="1" s="1"/>
  <c r="AE2638" i="1" s="1"/>
  <c r="Z2637" i="1"/>
  <c r="Z2636" i="1"/>
  <c r="AC2635" i="1"/>
  <c r="Z2635" i="1"/>
  <c r="AB2635" i="1" s="1"/>
  <c r="AE2635" i="1" s="1"/>
  <c r="Z2634" i="1"/>
  <c r="Z2633" i="1"/>
  <c r="AC2633" i="1" s="1"/>
  <c r="AC2632" i="1"/>
  <c r="AB2632" i="1"/>
  <c r="AE2632" i="1" s="1"/>
  <c r="Z2632" i="1"/>
  <c r="AC2631" i="1"/>
  <c r="Z2631" i="1"/>
  <c r="AB2631" i="1" s="1"/>
  <c r="AE2631" i="1" s="1"/>
  <c r="Z2630" i="1"/>
  <c r="Z2629" i="1"/>
  <c r="AC2629" i="1" s="1"/>
  <c r="Z2628" i="1"/>
  <c r="AB2628" i="1" s="1"/>
  <c r="AE2628" i="1" s="1"/>
  <c r="AB2627" i="1"/>
  <c r="AE2627" i="1" s="1"/>
  <c r="Z2627" i="1"/>
  <c r="AC2627" i="1" s="1"/>
  <c r="Z2626" i="1"/>
  <c r="Z2625" i="1"/>
  <c r="Z2624" i="1"/>
  <c r="AB2624" i="1" s="1"/>
  <c r="AE2624" i="1" s="1"/>
  <c r="Z2623" i="1"/>
  <c r="AB2623" i="1" s="1"/>
  <c r="AE2623" i="1" s="1"/>
  <c r="Z2622" i="1"/>
  <c r="AB2622" i="1" s="1"/>
  <c r="AE2622" i="1" s="1"/>
  <c r="Z2621" i="1"/>
  <c r="AB2621" i="1" s="1"/>
  <c r="AE2621" i="1" s="1"/>
  <c r="AC2620" i="1"/>
  <c r="Z2620" i="1"/>
  <c r="AB2620" i="1" s="1"/>
  <c r="AE2620" i="1" s="1"/>
  <c r="AC2619" i="1"/>
  <c r="AB2619" i="1"/>
  <c r="AE2619" i="1" s="1"/>
  <c r="Z2619" i="1"/>
  <c r="Z2618" i="1"/>
  <c r="AB2618" i="1" s="1"/>
  <c r="AE2618" i="1" s="1"/>
  <c r="Z2617" i="1"/>
  <c r="Z2616" i="1"/>
  <c r="AC2616" i="1" s="1"/>
  <c r="Z2615" i="1"/>
  <c r="Z2614" i="1"/>
  <c r="AC2614" i="1" s="1"/>
  <c r="Z2613" i="1"/>
  <c r="AC2613" i="1" s="1"/>
  <c r="Z2612" i="1"/>
  <c r="Z2611" i="1"/>
  <c r="Z2610" i="1"/>
  <c r="AC2610" i="1" s="1"/>
  <c r="Z2609" i="1"/>
  <c r="AB2609" i="1" s="1"/>
  <c r="AE2609" i="1" s="1"/>
  <c r="Z2608" i="1"/>
  <c r="AB2608" i="1" s="1"/>
  <c r="AE2608" i="1" s="1"/>
  <c r="Z2607" i="1"/>
  <c r="AC2607" i="1" s="1"/>
  <c r="Z2606" i="1"/>
  <c r="AB2606" i="1" s="1"/>
  <c r="AE2606" i="1" s="1"/>
  <c r="AC2605" i="1"/>
  <c r="Z2605" i="1"/>
  <c r="AB2605" i="1" s="1"/>
  <c r="AE2605" i="1" s="1"/>
  <c r="Z2604" i="1"/>
  <c r="AC2604" i="1" s="1"/>
  <c r="Z2603" i="1"/>
  <c r="Z2602" i="1"/>
  <c r="Z2601" i="1"/>
  <c r="AC2601" i="1" s="1"/>
  <c r="Z2600" i="1"/>
  <c r="AC2600" i="1" s="1"/>
  <c r="Z2599" i="1"/>
  <c r="AB2599" i="1" s="1"/>
  <c r="AE2599" i="1" s="1"/>
  <c r="Z2598" i="1"/>
  <c r="Z2597" i="1"/>
  <c r="AC2597" i="1" s="1"/>
  <c r="Z2596" i="1"/>
  <c r="AB2596" i="1" s="1"/>
  <c r="AE2596" i="1" s="1"/>
  <c r="Z2595" i="1"/>
  <c r="AC2595" i="1" s="1"/>
  <c r="Z2594" i="1"/>
  <c r="Z2593" i="1"/>
  <c r="Z2592" i="1"/>
  <c r="AB2592" i="1" s="1"/>
  <c r="AE2592" i="1" s="1"/>
  <c r="Z2591" i="1"/>
  <c r="AC2591" i="1" s="1"/>
  <c r="Z2590" i="1"/>
  <c r="AC2590" i="1" s="1"/>
  <c r="Z2589" i="1"/>
  <c r="AB2589" i="1" s="1"/>
  <c r="AE2589" i="1" s="1"/>
  <c r="Z2588" i="1"/>
  <c r="AC2587" i="1"/>
  <c r="AB2587" i="1"/>
  <c r="AE2587" i="1" s="1"/>
  <c r="Z2587" i="1"/>
  <c r="Z2586" i="1"/>
  <c r="AB2585" i="1"/>
  <c r="AE2585" i="1" s="1"/>
  <c r="Z2585" i="1"/>
  <c r="AC2585" i="1" s="1"/>
  <c r="Z2584" i="1"/>
  <c r="AC2584" i="1" s="1"/>
  <c r="Z2583" i="1"/>
  <c r="Z2582" i="1"/>
  <c r="AC2582" i="1" s="1"/>
  <c r="Z2581" i="1"/>
  <c r="AC2581" i="1" s="1"/>
  <c r="Z2580" i="1"/>
  <c r="AB2580" i="1" s="1"/>
  <c r="AE2580" i="1" s="1"/>
  <c r="Z2579" i="1"/>
  <c r="AC2579" i="1" s="1"/>
  <c r="Z2578" i="1"/>
  <c r="AC2578" i="1" s="1"/>
  <c r="Z2577" i="1"/>
  <c r="AB2577" i="1" s="1"/>
  <c r="AE2577" i="1" s="1"/>
  <c r="Z2576" i="1"/>
  <c r="AB2576" i="1" s="1"/>
  <c r="AE2576" i="1" s="1"/>
  <c r="Z2575" i="1"/>
  <c r="AB2575" i="1" s="1"/>
  <c r="AE2575" i="1" s="1"/>
  <c r="Z2574" i="1"/>
  <c r="AB2574" i="1" s="1"/>
  <c r="AE2574" i="1" s="1"/>
  <c r="Z2573" i="1"/>
  <c r="AB2572" i="1"/>
  <c r="AE2572" i="1" s="1"/>
  <c r="Z2572" i="1"/>
  <c r="AC2572" i="1" s="1"/>
  <c r="AB2571" i="1"/>
  <c r="AE2571" i="1" s="1"/>
  <c r="Z2571" i="1"/>
  <c r="AC2571" i="1" s="1"/>
  <c r="Z2570" i="1"/>
  <c r="Z2569" i="1"/>
  <c r="AC2569" i="1" s="1"/>
  <c r="Z2568" i="1"/>
  <c r="AC2568" i="1" s="1"/>
  <c r="Z2567" i="1"/>
  <c r="AB2567" i="1" s="1"/>
  <c r="AE2567" i="1" s="1"/>
  <c r="Z2566" i="1"/>
  <c r="AC2566" i="1" s="1"/>
  <c r="Z2565" i="1"/>
  <c r="Z2564" i="1"/>
  <c r="AB2564" i="1" s="1"/>
  <c r="AE2564" i="1" s="1"/>
  <c r="Z2563" i="1"/>
  <c r="AC2563" i="1" s="1"/>
  <c r="Z2562" i="1"/>
  <c r="Z2561" i="1"/>
  <c r="AC2560" i="1"/>
  <c r="Z2560" i="1"/>
  <c r="AB2560" i="1" s="1"/>
  <c r="AE2560" i="1" s="1"/>
  <c r="Z2559" i="1"/>
  <c r="AC2559" i="1" s="1"/>
  <c r="Z2558" i="1"/>
  <c r="AC2558" i="1" s="1"/>
  <c r="Z2557" i="1"/>
  <c r="AB2557" i="1" s="1"/>
  <c r="AE2557" i="1" s="1"/>
  <c r="AB2556" i="1"/>
  <c r="AE2556" i="1" s="1"/>
  <c r="Z2556" i="1"/>
  <c r="AC2556" i="1" s="1"/>
  <c r="Z2555" i="1"/>
  <c r="AB2555" i="1" s="1"/>
  <c r="AE2555" i="1" s="1"/>
  <c r="Z2554" i="1"/>
  <c r="AB2554" i="1" s="1"/>
  <c r="AE2554" i="1" s="1"/>
  <c r="Z2553" i="1"/>
  <c r="AC2553" i="1" s="1"/>
  <c r="AB2552" i="1"/>
  <c r="AE2552" i="1" s="1"/>
  <c r="Z2552" i="1"/>
  <c r="AC2552" i="1" s="1"/>
  <c r="Z2551" i="1"/>
  <c r="Z2550" i="1"/>
  <c r="AC2550" i="1" s="1"/>
  <c r="Z2549" i="1"/>
  <c r="AC2549" i="1" s="1"/>
  <c r="AC2548" i="1"/>
  <c r="Z2548" i="1"/>
  <c r="AB2548" i="1" s="1"/>
  <c r="AE2548" i="1" s="1"/>
  <c r="Z2547" i="1"/>
  <c r="Z2546" i="1"/>
  <c r="AC2546" i="1" s="1"/>
  <c r="Z2545" i="1"/>
  <c r="Z2544" i="1"/>
  <c r="AB2544" i="1" s="1"/>
  <c r="AE2544" i="1" s="1"/>
  <c r="Z2543" i="1"/>
  <c r="AB2543" i="1" s="1"/>
  <c r="AE2543" i="1" s="1"/>
  <c r="Z2542" i="1"/>
  <c r="AB2542" i="1" s="1"/>
  <c r="AE2542" i="1" s="1"/>
  <c r="AC2541" i="1"/>
  <c r="Z2541" i="1"/>
  <c r="AB2541" i="1" s="1"/>
  <c r="AE2541" i="1" s="1"/>
  <c r="Z2540" i="1"/>
  <c r="AC2540" i="1" s="1"/>
  <c r="Z2539" i="1"/>
  <c r="AC2539" i="1" s="1"/>
  <c r="Z2538" i="1"/>
  <c r="Z2537" i="1"/>
  <c r="AC2537" i="1" s="1"/>
  <c r="Z2536" i="1"/>
  <c r="AC2536" i="1" s="1"/>
  <c r="Z2535" i="1"/>
  <c r="AB2535" i="1" s="1"/>
  <c r="AE2535" i="1" s="1"/>
  <c r="Z2534" i="1"/>
  <c r="Z2533" i="1"/>
  <c r="AC2533" i="1" s="1"/>
  <c r="Z2532" i="1"/>
  <c r="AB2532" i="1" s="1"/>
  <c r="AE2532" i="1" s="1"/>
  <c r="Z2531" i="1"/>
  <c r="AB2531" i="1" s="1"/>
  <c r="AE2531" i="1" s="1"/>
  <c r="AB2530" i="1"/>
  <c r="AE2530" i="1" s="1"/>
  <c r="Z2530" i="1"/>
  <c r="AC2530" i="1" s="1"/>
  <c r="Z2529" i="1"/>
  <c r="Z2528" i="1"/>
  <c r="Z2527" i="1"/>
  <c r="Z2526" i="1"/>
  <c r="AC2526" i="1" s="1"/>
  <c r="Z2525" i="1"/>
  <c r="AB2525" i="1" s="1"/>
  <c r="AE2525" i="1" s="1"/>
  <c r="Z2524" i="1"/>
  <c r="AC2524" i="1" s="1"/>
  <c r="Z2523" i="1"/>
  <c r="AC2523" i="1" s="1"/>
  <c r="Z2522" i="1"/>
  <c r="AC2522" i="1" s="1"/>
  <c r="Z2521" i="1"/>
  <c r="Z2520" i="1"/>
  <c r="AC2519" i="1"/>
  <c r="Z2519" i="1"/>
  <c r="AB2519" i="1" s="1"/>
  <c r="AE2519" i="1" s="1"/>
  <c r="Z2518" i="1"/>
  <c r="AC2518" i="1" s="1"/>
  <c r="Z2517" i="1"/>
  <c r="Z2516" i="1"/>
  <c r="AB2516" i="1" s="1"/>
  <c r="AE2516" i="1" s="1"/>
  <c r="Z2515" i="1"/>
  <c r="Z2514" i="1"/>
  <c r="AC2514" i="1" s="1"/>
  <c r="Z2513" i="1"/>
  <c r="Z2512" i="1"/>
  <c r="Z2511" i="1"/>
  <c r="AB2510" i="1"/>
  <c r="AE2510" i="1" s="1"/>
  <c r="Z2510" i="1"/>
  <c r="AC2510" i="1" s="1"/>
  <c r="Z2509" i="1"/>
  <c r="AB2509" i="1" s="1"/>
  <c r="AE2509" i="1" s="1"/>
  <c r="Z2508" i="1"/>
  <c r="AC2508" i="1" s="1"/>
  <c r="AC2507" i="1"/>
  <c r="Z2507" i="1"/>
  <c r="AB2507" i="1" s="1"/>
  <c r="AE2507" i="1" s="1"/>
  <c r="Z2506" i="1"/>
  <c r="AC2506" i="1" s="1"/>
  <c r="Z2505" i="1"/>
  <c r="Z2504" i="1"/>
  <c r="Z2503" i="1"/>
  <c r="Z2502" i="1"/>
  <c r="AC2502" i="1" s="1"/>
  <c r="Z2501" i="1"/>
  <c r="AC2501" i="1" s="1"/>
  <c r="Z2500" i="1"/>
  <c r="Z2499" i="1"/>
  <c r="AC2499" i="1" s="1"/>
  <c r="Z2498" i="1"/>
  <c r="Z2497" i="1"/>
  <c r="AB2497" i="1" s="1"/>
  <c r="AE2497" i="1" s="1"/>
  <c r="Z2496" i="1"/>
  <c r="AB2496" i="1" s="1"/>
  <c r="AE2496" i="1" s="1"/>
  <c r="Z2495" i="1"/>
  <c r="AC2495" i="1" s="1"/>
  <c r="Z2494" i="1"/>
  <c r="Z2493" i="1"/>
  <c r="Z2492" i="1"/>
  <c r="AC2492" i="1" s="1"/>
  <c r="AC2491" i="1"/>
  <c r="Z2491" i="1"/>
  <c r="AB2491" i="1" s="1"/>
  <c r="AE2491" i="1" s="1"/>
  <c r="Z2490" i="1"/>
  <c r="Z2489" i="1"/>
  <c r="AC2489" i="1" s="1"/>
  <c r="Z2488" i="1"/>
  <c r="AB2488" i="1" s="1"/>
  <c r="AE2488" i="1" s="1"/>
  <c r="Z2487" i="1"/>
  <c r="AC2487" i="1" s="1"/>
  <c r="Z2486" i="1"/>
  <c r="Z2485" i="1"/>
  <c r="AB2485" i="1" s="1"/>
  <c r="AE2485" i="1" s="1"/>
  <c r="Z2484" i="1"/>
  <c r="AB2483" i="1"/>
  <c r="AE2483" i="1" s="1"/>
  <c r="Z2483" i="1"/>
  <c r="AC2483" i="1" s="1"/>
  <c r="Z2482" i="1"/>
  <c r="AC2482" i="1" s="1"/>
  <c r="Z2481" i="1"/>
  <c r="Z2480" i="1"/>
  <c r="AC2480" i="1" s="1"/>
  <c r="AB2479" i="1"/>
  <c r="AE2479" i="1" s="1"/>
  <c r="Z2479" i="1"/>
  <c r="AC2479" i="1" s="1"/>
  <c r="Z2478" i="1"/>
  <c r="AC2478" i="1" s="1"/>
  <c r="Z2477" i="1"/>
  <c r="AC2476" i="1"/>
  <c r="Z2476" i="1"/>
  <c r="AB2476" i="1" s="1"/>
  <c r="AE2476" i="1" s="1"/>
  <c r="Z2475" i="1"/>
  <c r="AB2475" i="1" s="1"/>
  <c r="AE2475" i="1" s="1"/>
  <c r="Z2474" i="1"/>
  <c r="AB2474" i="1" s="1"/>
  <c r="AE2474" i="1" s="1"/>
  <c r="Z2473" i="1"/>
  <c r="AC2473" i="1" s="1"/>
  <c r="Z2472" i="1"/>
  <c r="Z2471" i="1"/>
  <c r="AC2471" i="1" s="1"/>
  <c r="Z2470" i="1"/>
  <c r="Z2469" i="1"/>
  <c r="Z2468" i="1"/>
  <c r="Z2467" i="1"/>
  <c r="AB2467" i="1" s="1"/>
  <c r="AE2467" i="1" s="1"/>
  <c r="Z2466" i="1"/>
  <c r="AC2466" i="1" s="1"/>
  <c r="Z2465" i="1"/>
  <c r="AC2465" i="1" s="1"/>
  <c r="Z2464" i="1"/>
  <c r="Z2463" i="1"/>
  <c r="AC2463" i="1" s="1"/>
  <c r="Z2462" i="1"/>
  <c r="AC2462" i="1" s="1"/>
  <c r="Z2461" i="1"/>
  <c r="Z2460" i="1"/>
  <c r="AB2460" i="1" s="1"/>
  <c r="AE2460" i="1" s="1"/>
  <c r="Z2459" i="1"/>
  <c r="AC2459" i="1" s="1"/>
  <c r="AB2458" i="1"/>
  <c r="AE2458" i="1" s="1"/>
  <c r="Z2458" i="1"/>
  <c r="AC2458" i="1" s="1"/>
  <c r="AB2457" i="1"/>
  <c r="AE2457" i="1" s="1"/>
  <c r="Z2457" i="1"/>
  <c r="AC2457" i="1" s="1"/>
  <c r="Z2456" i="1"/>
  <c r="AC2456" i="1" s="1"/>
  <c r="Z2455" i="1"/>
  <c r="AC2455" i="1" s="1"/>
  <c r="Z2454" i="1"/>
  <c r="Z2453" i="1"/>
  <c r="Z2452" i="1"/>
  <c r="AB2452" i="1" s="1"/>
  <c r="AE2452" i="1" s="1"/>
  <c r="Z2451" i="1"/>
  <c r="Z2450" i="1"/>
  <c r="AC2450" i="1" s="1"/>
  <c r="Z2449" i="1"/>
  <c r="AC2449" i="1" s="1"/>
  <c r="Z2448" i="1"/>
  <c r="Z2447" i="1"/>
  <c r="AB2447" i="1" s="1"/>
  <c r="AE2447" i="1" s="1"/>
  <c r="Z2446" i="1"/>
  <c r="AB2446" i="1" s="1"/>
  <c r="AE2446" i="1" s="1"/>
  <c r="AC2445" i="1"/>
  <c r="Z2445" i="1"/>
  <c r="AB2445" i="1" s="1"/>
  <c r="AE2445" i="1" s="1"/>
  <c r="Z2444" i="1"/>
  <c r="AC2444" i="1" s="1"/>
  <c r="Z2443" i="1"/>
  <c r="AC2443" i="1" s="1"/>
  <c r="Z2442" i="1"/>
  <c r="AC2442" i="1" s="1"/>
  <c r="Z2441" i="1"/>
  <c r="AC2441" i="1" s="1"/>
  <c r="Z2440" i="1"/>
  <c r="AB2440" i="1" s="1"/>
  <c r="AE2440" i="1" s="1"/>
  <c r="Z2439" i="1"/>
  <c r="AC2438" i="1"/>
  <c r="Z2438" i="1"/>
  <c r="AB2438" i="1" s="1"/>
  <c r="AE2438" i="1" s="1"/>
  <c r="AC2437" i="1"/>
  <c r="Z2437" i="1"/>
  <c r="AB2437" i="1" s="1"/>
  <c r="AE2437" i="1" s="1"/>
  <c r="Z2436" i="1"/>
  <c r="AB2436" i="1" s="1"/>
  <c r="AE2436" i="1" s="1"/>
  <c r="Z2435" i="1"/>
  <c r="Z2434" i="1"/>
  <c r="Z2433" i="1"/>
  <c r="AC2433" i="1" s="1"/>
  <c r="Z2432" i="1"/>
  <c r="AB2432" i="1" s="1"/>
  <c r="AE2432" i="1" s="1"/>
  <c r="Z2431" i="1"/>
  <c r="AC2430" i="1"/>
  <c r="Z2430" i="1"/>
  <c r="AB2430" i="1" s="1"/>
  <c r="AE2430" i="1" s="1"/>
  <c r="Z2429" i="1"/>
  <c r="Z2428" i="1"/>
  <c r="AC2428" i="1" s="1"/>
  <c r="Z2427" i="1"/>
  <c r="AB2427" i="1" s="1"/>
  <c r="AE2427" i="1" s="1"/>
  <c r="Z2426" i="1"/>
  <c r="AC2426" i="1" s="1"/>
  <c r="Z2425" i="1"/>
  <c r="AC2425" i="1" s="1"/>
  <c r="Z2424" i="1"/>
  <c r="Z2423" i="1"/>
  <c r="AC2423" i="1" s="1"/>
  <c r="AC2422" i="1"/>
  <c r="Z2422" i="1"/>
  <c r="AB2422" i="1" s="1"/>
  <c r="AE2422" i="1" s="1"/>
  <c r="AC2421" i="1"/>
  <c r="AB2421" i="1"/>
  <c r="AE2421" i="1" s="1"/>
  <c r="Z2421" i="1"/>
  <c r="Z2420" i="1"/>
  <c r="AB2420" i="1" s="1"/>
  <c r="AE2420" i="1" s="1"/>
  <c r="Z2419" i="1"/>
  <c r="AB2418" i="1"/>
  <c r="AE2418" i="1" s="1"/>
  <c r="Z2418" i="1"/>
  <c r="AC2418" i="1" s="1"/>
  <c r="Z2417" i="1"/>
  <c r="Z2416" i="1"/>
  <c r="AB2416" i="1" s="1"/>
  <c r="AE2416" i="1" s="1"/>
  <c r="AC2415" i="1"/>
  <c r="AB2415" i="1"/>
  <c r="AE2415" i="1" s="1"/>
  <c r="Z2415" i="1"/>
  <c r="AB2414" i="1"/>
  <c r="AE2414" i="1" s="1"/>
  <c r="Z2414" i="1"/>
  <c r="AC2414" i="1" s="1"/>
  <c r="Z2413" i="1"/>
  <c r="Z2412" i="1"/>
  <c r="Z2411" i="1"/>
  <c r="AB2411" i="1" s="1"/>
  <c r="AE2411" i="1" s="1"/>
  <c r="Z2410" i="1"/>
  <c r="Z2409" i="1"/>
  <c r="AC2408" i="1"/>
  <c r="AB2408" i="1"/>
  <c r="AE2408" i="1" s="1"/>
  <c r="Z2408" i="1"/>
  <c r="Z2407" i="1"/>
  <c r="AC2407" i="1" s="1"/>
  <c r="Z2406" i="1"/>
  <c r="Z2405" i="1"/>
  <c r="AC2405" i="1" s="1"/>
  <c r="Z2404" i="1"/>
  <c r="AB2404" i="1" s="1"/>
  <c r="AE2404" i="1" s="1"/>
  <c r="Z2403" i="1"/>
  <c r="AB2403" i="1" s="1"/>
  <c r="AE2403" i="1" s="1"/>
  <c r="Z2402" i="1"/>
  <c r="Z2401" i="1"/>
  <c r="AC2401" i="1" s="1"/>
  <c r="Z2400" i="1"/>
  <c r="Z2399" i="1"/>
  <c r="AC2399" i="1" s="1"/>
  <c r="Z2398" i="1"/>
  <c r="AC2398" i="1" s="1"/>
  <c r="Z2397" i="1"/>
  <c r="AC2396" i="1"/>
  <c r="Z2396" i="1"/>
  <c r="AB2396" i="1" s="1"/>
  <c r="AE2396" i="1" s="1"/>
  <c r="AC2395" i="1"/>
  <c r="AB2395" i="1"/>
  <c r="AE2395" i="1" s="1"/>
  <c r="Z2395" i="1"/>
  <c r="Z2394" i="1"/>
  <c r="Z2393" i="1"/>
  <c r="AC2393" i="1" s="1"/>
  <c r="Z2392" i="1"/>
  <c r="Z2391" i="1"/>
  <c r="AC2391" i="1" s="1"/>
  <c r="Z2390" i="1"/>
  <c r="Z2389" i="1"/>
  <c r="AB2389" i="1" s="1"/>
  <c r="AE2389" i="1" s="1"/>
  <c r="Z2388" i="1"/>
  <c r="AC2387" i="1"/>
  <c r="AB2387" i="1"/>
  <c r="AE2387" i="1" s="1"/>
  <c r="Z2387" i="1"/>
  <c r="Z2386" i="1"/>
  <c r="Z2385" i="1"/>
  <c r="AC2385" i="1" s="1"/>
  <c r="Z2384" i="1"/>
  <c r="Z2383" i="1"/>
  <c r="Z2382" i="1"/>
  <c r="AB2382" i="1" s="1"/>
  <c r="AE2382" i="1" s="1"/>
  <c r="AC2381" i="1"/>
  <c r="Z2381" i="1"/>
  <c r="AB2381" i="1" s="1"/>
  <c r="AE2381" i="1" s="1"/>
  <c r="AB2380" i="1"/>
  <c r="AE2380" i="1" s="1"/>
  <c r="Z2380" i="1"/>
  <c r="AC2380" i="1" s="1"/>
  <c r="AC2379" i="1"/>
  <c r="Z2379" i="1"/>
  <c r="AB2379" i="1" s="1"/>
  <c r="AE2379" i="1" s="1"/>
  <c r="Z2378" i="1"/>
  <c r="AC2378" i="1" s="1"/>
  <c r="Z2377" i="1"/>
  <c r="Z2376" i="1"/>
  <c r="AC2376" i="1" s="1"/>
  <c r="Z2375" i="1"/>
  <c r="AC2375" i="1" s="1"/>
  <c r="Z2374" i="1"/>
  <c r="AB2374" i="1" s="1"/>
  <c r="AE2374" i="1" s="1"/>
  <c r="Z2373" i="1"/>
  <c r="AB2373" i="1" s="1"/>
  <c r="AE2373" i="1" s="1"/>
  <c r="Z2372" i="1"/>
  <c r="AB2372" i="1" s="1"/>
  <c r="AE2372" i="1" s="1"/>
  <c r="Z2371" i="1"/>
  <c r="Z2370" i="1"/>
  <c r="Z2369" i="1"/>
  <c r="AB2369" i="1" s="1"/>
  <c r="AE2369" i="1" s="1"/>
  <c r="Z2368" i="1"/>
  <c r="AC2367" i="1"/>
  <c r="Z2367" i="1"/>
  <c r="AB2367" i="1" s="1"/>
  <c r="AE2367" i="1" s="1"/>
  <c r="Z2366" i="1"/>
  <c r="AC2366" i="1" s="1"/>
  <c r="Z2365" i="1"/>
  <c r="AB2365" i="1" s="1"/>
  <c r="AE2365" i="1" s="1"/>
  <c r="AB2364" i="1"/>
  <c r="AE2364" i="1" s="1"/>
  <c r="Z2364" i="1"/>
  <c r="AC2364" i="1" s="1"/>
  <c r="Z2363" i="1"/>
  <c r="AC2363" i="1" s="1"/>
  <c r="Z2362" i="1"/>
  <c r="AC2362" i="1" s="1"/>
  <c r="Z2361" i="1"/>
  <c r="AC2361" i="1" s="1"/>
  <c r="AC2360" i="1"/>
  <c r="AB2360" i="1"/>
  <c r="AE2360" i="1" s="1"/>
  <c r="Z2360" i="1"/>
  <c r="Z2359" i="1"/>
  <c r="Z2358" i="1"/>
  <c r="AC2358" i="1" s="1"/>
  <c r="Z2357" i="1"/>
  <c r="AB2357" i="1" s="1"/>
  <c r="AE2357" i="1" s="1"/>
  <c r="Z2356" i="1"/>
  <c r="AB2356" i="1" s="1"/>
  <c r="AE2356" i="1" s="1"/>
  <c r="Z2355" i="1"/>
  <c r="Z2354" i="1"/>
  <c r="AC2354" i="1" s="1"/>
  <c r="Z2353" i="1"/>
  <c r="AC2353" i="1" s="1"/>
  <c r="Z2352" i="1"/>
  <c r="AB2352" i="1" s="1"/>
  <c r="AE2352" i="1" s="1"/>
  <c r="Z2351" i="1"/>
  <c r="AC2351" i="1" s="1"/>
  <c r="AC2350" i="1"/>
  <c r="AB2350" i="1"/>
  <c r="AE2350" i="1" s="1"/>
  <c r="Z2350" i="1"/>
  <c r="Z2349" i="1"/>
  <c r="AC2349" i="1" s="1"/>
  <c r="Z2348" i="1"/>
  <c r="AC2348" i="1" s="1"/>
  <c r="Z2347" i="1"/>
  <c r="AC2347" i="1" s="1"/>
  <c r="Z2346" i="1"/>
  <c r="AC2346" i="1" s="1"/>
  <c r="Z2345" i="1"/>
  <c r="Z2344" i="1"/>
  <c r="AC2343" i="1"/>
  <c r="Z2343" i="1"/>
  <c r="AB2343" i="1" s="1"/>
  <c r="AE2343" i="1" s="1"/>
  <c r="AC2342" i="1"/>
  <c r="Z2342" i="1"/>
  <c r="AB2342" i="1" s="1"/>
  <c r="AE2342" i="1" s="1"/>
  <c r="Z2341" i="1"/>
  <c r="Z2340" i="1"/>
  <c r="AB2340" i="1" s="1"/>
  <c r="AE2340" i="1" s="1"/>
  <c r="Z2339" i="1"/>
  <c r="AC2339" i="1" s="1"/>
  <c r="Z2338" i="1"/>
  <c r="Z2337" i="1"/>
  <c r="AB2337" i="1" s="1"/>
  <c r="AE2337" i="1" s="1"/>
  <c r="Z2336" i="1"/>
  <c r="AB2336" i="1" s="1"/>
  <c r="AE2336" i="1" s="1"/>
  <c r="Z2335" i="1"/>
  <c r="AC2335" i="1" s="1"/>
  <c r="Z2334" i="1"/>
  <c r="AB2334" i="1" s="1"/>
  <c r="AE2334" i="1" s="1"/>
  <c r="Z2333" i="1"/>
  <c r="AB2332" i="1"/>
  <c r="AE2332" i="1" s="1"/>
  <c r="Z2332" i="1"/>
  <c r="AC2332" i="1" s="1"/>
  <c r="Z2331" i="1"/>
  <c r="Z2330" i="1"/>
  <c r="Z2329" i="1"/>
  <c r="Z2328" i="1"/>
  <c r="AC2328" i="1" s="1"/>
  <c r="Z2327" i="1"/>
  <c r="Z2326" i="1"/>
  <c r="AC2325" i="1"/>
  <c r="Z2325" i="1"/>
  <c r="AB2325" i="1" s="1"/>
  <c r="AE2325" i="1" s="1"/>
  <c r="AC2324" i="1"/>
  <c r="Z2324" i="1"/>
  <c r="AB2324" i="1" s="1"/>
  <c r="AE2324" i="1" s="1"/>
  <c r="AC2323" i="1"/>
  <c r="Z2323" i="1"/>
  <c r="AB2323" i="1" s="1"/>
  <c r="AE2323" i="1" s="1"/>
  <c r="AC2322" i="1"/>
  <c r="AB2322" i="1"/>
  <c r="AE2322" i="1" s="1"/>
  <c r="Z2322" i="1"/>
  <c r="Z2321" i="1"/>
  <c r="AC2321" i="1" s="1"/>
  <c r="Z2320" i="1"/>
  <c r="Z2319" i="1"/>
  <c r="AC2319" i="1" s="1"/>
  <c r="Z2318" i="1"/>
  <c r="Z2317" i="1"/>
  <c r="AC2317" i="1" s="1"/>
  <c r="Z2316" i="1"/>
  <c r="Z2315" i="1"/>
  <c r="AB2315" i="1" s="1"/>
  <c r="AE2315" i="1" s="1"/>
  <c r="Z2314" i="1"/>
  <c r="AB2314" i="1" s="1"/>
  <c r="AE2314" i="1" s="1"/>
  <c r="Z2313" i="1"/>
  <c r="AC2313" i="1" s="1"/>
  <c r="Z2312" i="1"/>
  <c r="Z2311" i="1"/>
  <c r="AB2310" i="1"/>
  <c r="AE2310" i="1" s="1"/>
  <c r="Z2310" i="1"/>
  <c r="AC2310" i="1" s="1"/>
  <c r="Z2309" i="1"/>
  <c r="AC2309" i="1" s="1"/>
  <c r="Z2308" i="1"/>
  <c r="Z2307" i="1"/>
  <c r="AC2307" i="1" s="1"/>
  <c r="Z2306" i="1"/>
  <c r="AB2306" i="1" s="1"/>
  <c r="AE2306" i="1" s="1"/>
  <c r="Z2305" i="1"/>
  <c r="AB2305" i="1" s="1"/>
  <c r="AE2305" i="1" s="1"/>
  <c r="Z2304" i="1"/>
  <c r="Z2303" i="1"/>
  <c r="AC2303" i="1" s="1"/>
  <c r="Z2302" i="1"/>
  <c r="AB2302" i="1" s="1"/>
  <c r="AE2302" i="1" s="1"/>
  <c r="AB2301" i="1"/>
  <c r="AE2301" i="1" s="1"/>
  <c r="Z2301" i="1"/>
  <c r="AC2301" i="1" s="1"/>
  <c r="Z2300" i="1"/>
  <c r="AC2300" i="1" s="1"/>
  <c r="Z2299" i="1"/>
  <c r="AC2299" i="1" s="1"/>
  <c r="Z2298" i="1"/>
  <c r="AC2298" i="1" s="1"/>
  <c r="Z2297" i="1"/>
  <c r="Z2296" i="1"/>
  <c r="AC2296" i="1" s="1"/>
  <c r="Z2295" i="1"/>
  <c r="AB2295" i="1" s="1"/>
  <c r="AE2295" i="1" s="1"/>
  <c r="Z2294" i="1"/>
  <c r="AC2294" i="1" s="1"/>
  <c r="Z2293" i="1"/>
  <c r="AB2293" i="1" s="1"/>
  <c r="AE2293" i="1" s="1"/>
  <c r="Z2292" i="1"/>
  <c r="AB2292" i="1" s="1"/>
  <c r="AE2292" i="1" s="1"/>
  <c r="Z2291" i="1"/>
  <c r="AC2291" i="1" s="1"/>
  <c r="Z2290" i="1"/>
  <c r="AC2290" i="1" s="1"/>
  <c r="Z2289" i="1"/>
  <c r="AC2289" i="1" s="1"/>
  <c r="AC2288" i="1"/>
  <c r="Z2288" i="1"/>
  <c r="AB2288" i="1" s="1"/>
  <c r="AE2288" i="1" s="1"/>
  <c r="AC2287" i="1"/>
  <c r="AB2287" i="1"/>
  <c r="AE2287" i="1" s="1"/>
  <c r="Z2287" i="1"/>
  <c r="Z2286" i="1"/>
  <c r="AC2285" i="1"/>
  <c r="Z2285" i="1"/>
  <c r="AB2285" i="1" s="1"/>
  <c r="AE2285" i="1" s="1"/>
  <c r="Z2284" i="1"/>
  <c r="AB2284" i="1" s="1"/>
  <c r="AE2284" i="1" s="1"/>
  <c r="AB2283" i="1"/>
  <c r="AE2283" i="1" s="1"/>
  <c r="Z2283" i="1"/>
  <c r="AC2283" i="1" s="1"/>
  <c r="AC2282" i="1"/>
  <c r="Z2282" i="1"/>
  <c r="AB2282" i="1" s="1"/>
  <c r="AE2282" i="1" s="1"/>
  <c r="Z2281" i="1"/>
  <c r="AC2280" i="1"/>
  <c r="Z2280" i="1"/>
  <c r="AB2280" i="1" s="1"/>
  <c r="AE2280" i="1" s="1"/>
  <c r="Z2279" i="1"/>
  <c r="Z2278" i="1"/>
  <c r="AC2278" i="1" s="1"/>
  <c r="Z2277" i="1"/>
  <c r="Z2276" i="1"/>
  <c r="Z2275" i="1"/>
  <c r="AC2275" i="1" s="1"/>
  <c r="Z2274" i="1"/>
  <c r="AC2273" i="1"/>
  <c r="Z2273" i="1"/>
  <c r="AB2273" i="1" s="1"/>
  <c r="AE2273" i="1" s="1"/>
  <c r="Z2272" i="1"/>
  <c r="AC2272" i="1" s="1"/>
  <c r="AC2271" i="1"/>
  <c r="AB2271" i="1"/>
  <c r="AE2271" i="1" s="1"/>
  <c r="Z2271" i="1"/>
  <c r="Z2270" i="1"/>
  <c r="AC2270" i="1" s="1"/>
  <c r="Z2269" i="1"/>
  <c r="AC2268" i="1"/>
  <c r="AB2268" i="1"/>
  <c r="AE2268" i="1" s="1"/>
  <c r="Z2268" i="1"/>
  <c r="Z2267" i="1"/>
  <c r="AC2267" i="1" s="1"/>
  <c r="Z2266" i="1"/>
  <c r="AB2266" i="1" s="1"/>
  <c r="AE2266" i="1" s="1"/>
  <c r="Z2265" i="1"/>
  <c r="AB2265" i="1" s="1"/>
  <c r="AE2265" i="1" s="1"/>
  <c r="AB2264" i="1"/>
  <c r="AE2264" i="1" s="1"/>
  <c r="Z2264" i="1"/>
  <c r="AC2264" i="1" s="1"/>
  <c r="Z2263" i="1"/>
  <c r="AC2263" i="1" s="1"/>
  <c r="Z2262" i="1"/>
  <c r="AC2261" i="1"/>
  <c r="Z2261" i="1"/>
  <c r="AB2261" i="1" s="1"/>
  <c r="AE2261" i="1" s="1"/>
  <c r="AC2260" i="1"/>
  <c r="AB2260" i="1"/>
  <c r="AE2260" i="1" s="1"/>
  <c r="Z2260" i="1"/>
  <c r="AC2259" i="1"/>
  <c r="AB2259" i="1"/>
  <c r="AE2259" i="1" s="1"/>
  <c r="Z2259" i="1"/>
  <c r="Z2258" i="1"/>
  <c r="Z2257" i="1"/>
  <c r="AB2257" i="1" s="1"/>
  <c r="AE2257" i="1" s="1"/>
  <c r="Z2256" i="1"/>
  <c r="AC2256" i="1" s="1"/>
  <c r="Z2255" i="1"/>
  <c r="AC2255" i="1" s="1"/>
  <c r="Z2254" i="1"/>
  <c r="AC2254" i="1" s="1"/>
  <c r="Z2253" i="1"/>
  <c r="AC2253" i="1" s="1"/>
  <c r="AC2252" i="1"/>
  <c r="Z2252" i="1"/>
  <c r="AB2252" i="1" s="1"/>
  <c r="AE2252" i="1" s="1"/>
  <c r="Z2251" i="1"/>
  <c r="Z2250" i="1"/>
  <c r="Z2249" i="1"/>
  <c r="AB2249" i="1" s="1"/>
  <c r="AE2249" i="1" s="1"/>
  <c r="Z2248" i="1"/>
  <c r="AC2248" i="1" s="1"/>
  <c r="AC2247" i="1"/>
  <c r="AB2247" i="1"/>
  <c r="AE2247" i="1" s="1"/>
  <c r="Z2247" i="1"/>
  <c r="Z2246" i="1"/>
  <c r="AB2246" i="1" s="1"/>
  <c r="AE2246" i="1" s="1"/>
  <c r="AC2245" i="1"/>
  <c r="AB2245" i="1"/>
  <c r="AE2245" i="1" s="1"/>
  <c r="Z2245" i="1"/>
  <c r="AB2244" i="1"/>
  <c r="AE2244" i="1" s="1"/>
  <c r="Z2244" i="1"/>
  <c r="AC2244" i="1" s="1"/>
  <c r="Z2243" i="1"/>
  <c r="AB2243" i="1" s="1"/>
  <c r="AE2243" i="1" s="1"/>
  <c r="Z2242" i="1"/>
  <c r="Z2241" i="1"/>
  <c r="AB2241" i="1" s="1"/>
  <c r="AE2241" i="1" s="1"/>
  <c r="Z2240" i="1"/>
  <c r="AB2240" i="1" s="1"/>
  <c r="AE2240" i="1" s="1"/>
  <c r="Z2239" i="1"/>
  <c r="AC2239" i="1" s="1"/>
  <c r="Z2238" i="1"/>
  <c r="Z2237" i="1"/>
  <c r="Z2236" i="1"/>
  <c r="AB2236" i="1" s="1"/>
  <c r="AE2236" i="1" s="1"/>
  <c r="Z2235" i="1"/>
  <c r="AC2235" i="1" s="1"/>
  <c r="Z2234" i="1"/>
  <c r="AB2234" i="1" s="1"/>
  <c r="AE2234" i="1" s="1"/>
  <c r="Z2233" i="1"/>
  <c r="AB2233" i="1" s="1"/>
  <c r="AE2233" i="1" s="1"/>
  <c r="AB2232" i="1"/>
  <c r="AE2232" i="1" s="1"/>
  <c r="Z2232" i="1"/>
  <c r="AC2232" i="1" s="1"/>
  <c r="Z2231" i="1"/>
  <c r="AC2231" i="1" s="1"/>
  <c r="Z2230" i="1"/>
  <c r="AB2230" i="1" s="1"/>
  <c r="AE2230" i="1" s="1"/>
  <c r="Z2229" i="1"/>
  <c r="AC2229" i="1" s="1"/>
  <c r="Z2228" i="1"/>
  <c r="AC2228" i="1" s="1"/>
  <c r="Z2227" i="1"/>
  <c r="Z2226" i="1"/>
  <c r="AB2225" i="1"/>
  <c r="AE2225" i="1" s="1"/>
  <c r="Z2225" i="1"/>
  <c r="AC2225" i="1" s="1"/>
  <c r="Z2224" i="1"/>
  <c r="AC2223" i="1"/>
  <c r="AB2223" i="1"/>
  <c r="AE2223" i="1" s="1"/>
  <c r="Z2223" i="1"/>
  <c r="Z2222" i="1"/>
  <c r="Z2221" i="1"/>
  <c r="Z2220" i="1"/>
  <c r="AC2220" i="1" s="1"/>
  <c r="Z2219" i="1"/>
  <c r="AC2219" i="1" s="1"/>
  <c r="AC2218" i="1"/>
  <c r="Z2218" i="1"/>
  <c r="AB2218" i="1" s="1"/>
  <c r="AE2218" i="1" s="1"/>
  <c r="Z2217" i="1"/>
  <c r="AB2217" i="1" s="1"/>
  <c r="AE2217" i="1" s="1"/>
  <c r="AB2216" i="1"/>
  <c r="AE2216" i="1" s="1"/>
  <c r="Z2216" i="1"/>
  <c r="AC2216" i="1" s="1"/>
  <c r="Z2215" i="1"/>
  <c r="AC2215" i="1" s="1"/>
  <c r="Z2214" i="1"/>
  <c r="Z2213" i="1"/>
  <c r="AB2213" i="1" s="1"/>
  <c r="AE2213" i="1" s="1"/>
  <c r="AB2212" i="1"/>
  <c r="AE2212" i="1" s="1"/>
  <c r="Z2212" i="1"/>
  <c r="AC2212" i="1" s="1"/>
  <c r="Z2211" i="1"/>
  <c r="AC2210" i="1"/>
  <c r="Z2210" i="1"/>
  <c r="AB2210" i="1" s="1"/>
  <c r="AE2210" i="1" s="1"/>
  <c r="Z2209" i="1"/>
  <c r="AB2209" i="1" s="1"/>
  <c r="AE2209" i="1" s="1"/>
  <c r="AB2208" i="1"/>
  <c r="AE2208" i="1" s="1"/>
  <c r="Z2208" i="1"/>
  <c r="AC2208" i="1" s="1"/>
  <c r="AB2207" i="1"/>
  <c r="AE2207" i="1" s="1"/>
  <c r="Z2207" i="1"/>
  <c r="AC2207" i="1" s="1"/>
  <c r="Z2206" i="1"/>
  <c r="Z2205" i="1"/>
  <c r="Z2204" i="1"/>
  <c r="Z2203" i="1"/>
  <c r="AC2203" i="1" s="1"/>
  <c r="AB2202" i="1"/>
  <c r="AE2202" i="1" s="1"/>
  <c r="Z2202" i="1"/>
  <c r="AC2202" i="1" s="1"/>
  <c r="Z2201" i="1"/>
  <c r="Z2200" i="1"/>
  <c r="Z2199" i="1"/>
  <c r="AC2198" i="1"/>
  <c r="Z2198" i="1"/>
  <c r="AB2198" i="1" s="1"/>
  <c r="AE2198" i="1" s="1"/>
  <c r="AB2197" i="1"/>
  <c r="AE2197" i="1" s="1"/>
  <c r="Z2197" i="1"/>
  <c r="AC2197" i="1" s="1"/>
  <c r="Z2196" i="1"/>
  <c r="AC2196" i="1" s="1"/>
  <c r="Z2195" i="1"/>
  <c r="AB2195" i="1" s="1"/>
  <c r="AE2195" i="1" s="1"/>
  <c r="AC2194" i="1"/>
  <c r="AB2194" i="1"/>
  <c r="AE2194" i="1" s="1"/>
  <c r="Z2194" i="1"/>
  <c r="AC2193" i="1"/>
  <c r="Z2193" i="1"/>
  <c r="AB2193" i="1" s="1"/>
  <c r="AE2193" i="1" s="1"/>
  <c r="Z2192" i="1"/>
  <c r="AC2192" i="1" s="1"/>
  <c r="AB2191" i="1"/>
  <c r="AE2191" i="1" s="1"/>
  <c r="Z2191" i="1"/>
  <c r="AC2191" i="1" s="1"/>
  <c r="Z2190" i="1"/>
  <c r="Z2189" i="1"/>
  <c r="AB2189" i="1" s="1"/>
  <c r="AE2189" i="1" s="1"/>
  <c r="Z2188" i="1"/>
  <c r="Z2187" i="1"/>
  <c r="AC2187" i="1" s="1"/>
  <c r="Z2186" i="1"/>
  <c r="Z2185" i="1"/>
  <c r="Z2184" i="1"/>
  <c r="AB2184" i="1" s="1"/>
  <c r="AE2184" i="1" s="1"/>
  <c r="Z2183" i="1"/>
  <c r="AB2183" i="1" s="1"/>
  <c r="AE2183" i="1" s="1"/>
  <c r="Z2182" i="1"/>
  <c r="AB2182" i="1" s="1"/>
  <c r="AE2182" i="1" s="1"/>
  <c r="Z2181" i="1"/>
  <c r="AC2181" i="1" s="1"/>
  <c r="AB2180" i="1"/>
  <c r="AE2180" i="1" s="1"/>
  <c r="Z2180" i="1"/>
  <c r="AC2180" i="1" s="1"/>
  <c r="Z2179" i="1"/>
  <c r="AC2179" i="1" s="1"/>
  <c r="AB2178" i="1"/>
  <c r="AE2178" i="1" s="1"/>
  <c r="Z2178" i="1"/>
  <c r="AC2178" i="1" s="1"/>
  <c r="Z2177" i="1"/>
  <c r="Z2176" i="1"/>
  <c r="Z2175" i="1"/>
  <c r="Z2174" i="1"/>
  <c r="Z2173" i="1"/>
  <c r="AB2173" i="1" s="1"/>
  <c r="AE2173" i="1" s="1"/>
  <c r="Z2172" i="1"/>
  <c r="AB2172" i="1" s="1"/>
  <c r="AE2172" i="1" s="1"/>
  <c r="Z2171" i="1"/>
  <c r="Z2170" i="1"/>
  <c r="AC2170" i="1" s="1"/>
  <c r="Z2169" i="1"/>
  <c r="AC2169" i="1" s="1"/>
  <c r="Z2168" i="1"/>
  <c r="Z2167" i="1"/>
  <c r="Z2166" i="1"/>
  <c r="AB2166" i="1" s="1"/>
  <c r="AE2166" i="1" s="1"/>
  <c r="Z2165" i="1"/>
  <c r="AC2165" i="1" s="1"/>
  <c r="Z2164" i="1"/>
  <c r="AC2164" i="1" s="1"/>
  <c r="Z2163" i="1"/>
  <c r="AC2163" i="1" s="1"/>
  <c r="AC2162" i="1"/>
  <c r="AB2162" i="1"/>
  <c r="AE2162" i="1" s="1"/>
  <c r="Z2162" i="1"/>
  <c r="Z2161" i="1"/>
  <c r="AB2161" i="1" s="1"/>
  <c r="AE2161" i="1" s="1"/>
  <c r="Z2160" i="1"/>
  <c r="Z2159" i="1"/>
  <c r="AC2159" i="1" s="1"/>
  <c r="Z2158" i="1"/>
  <c r="AC2158" i="1" s="1"/>
  <c r="Z2157" i="1"/>
  <c r="AC2157" i="1" s="1"/>
  <c r="Z2156" i="1"/>
  <c r="AC2156" i="1" s="1"/>
  <c r="Z2155" i="1"/>
  <c r="Z2154" i="1"/>
  <c r="AC2154" i="1" s="1"/>
  <c r="Z2153" i="1"/>
  <c r="AC2153" i="1" s="1"/>
  <c r="Z2152" i="1"/>
  <c r="AC2151" i="1"/>
  <c r="AB2151" i="1"/>
  <c r="AE2151" i="1" s="1"/>
  <c r="Z2151" i="1"/>
  <c r="Z2150" i="1"/>
  <c r="AB2150" i="1" s="1"/>
  <c r="AE2150" i="1" s="1"/>
  <c r="AB2149" i="1"/>
  <c r="AE2149" i="1" s="1"/>
  <c r="Z2149" i="1"/>
  <c r="AC2149" i="1" s="1"/>
  <c r="Z2148" i="1"/>
  <c r="Z2147" i="1"/>
  <c r="AB2147" i="1" s="1"/>
  <c r="AE2147" i="1" s="1"/>
  <c r="Z2146" i="1"/>
  <c r="Z2145" i="1"/>
  <c r="AC2145" i="1" s="1"/>
  <c r="Z2144" i="1"/>
  <c r="AB2144" i="1" s="1"/>
  <c r="AE2144" i="1" s="1"/>
  <c r="Z2143" i="1"/>
  <c r="Z2142" i="1"/>
  <c r="AB2142" i="1" s="1"/>
  <c r="AE2142" i="1" s="1"/>
  <c r="Z2141" i="1"/>
  <c r="AC2141" i="1" s="1"/>
  <c r="Z2140" i="1"/>
  <c r="AC2140" i="1" s="1"/>
  <c r="Z2139" i="1"/>
  <c r="Z2138" i="1"/>
  <c r="AC2138" i="1" s="1"/>
  <c r="Z2137" i="1"/>
  <c r="AB2137" i="1" s="1"/>
  <c r="AE2137" i="1" s="1"/>
  <c r="Z2136" i="1"/>
  <c r="AB2136" i="1" s="1"/>
  <c r="AE2136" i="1" s="1"/>
  <c r="Z2135" i="1"/>
  <c r="Z2134" i="1"/>
  <c r="AB2134" i="1" s="1"/>
  <c r="AE2134" i="1" s="1"/>
  <c r="Z2133" i="1"/>
  <c r="AC2133" i="1" s="1"/>
  <c r="Z2132" i="1"/>
  <c r="Z2131" i="1"/>
  <c r="AC2131" i="1" s="1"/>
  <c r="Z2130" i="1"/>
  <c r="AC2129" i="1"/>
  <c r="Z2129" i="1"/>
  <c r="AB2129" i="1" s="1"/>
  <c r="AE2129" i="1" s="1"/>
  <c r="Z2128" i="1"/>
  <c r="AC2128" i="1" s="1"/>
  <c r="Z2127" i="1"/>
  <c r="AC2127" i="1" s="1"/>
  <c r="Z2126" i="1"/>
  <c r="AB2126" i="1" s="1"/>
  <c r="AE2126" i="1" s="1"/>
  <c r="Z2125" i="1"/>
  <c r="Z2124" i="1"/>
  <c r="AB2123" i="1"/>
  <c r="AE2123" i="1" s="1"/>
  <c r="Z2123" i="1"/>
  <c r="AC2123" i="1" s="1"/>
  <c r="Z2122" i="1"/>
  <c r="Z2121" i="1"/>
  <c r="AC2121" i="1" s="1"/>
  <c r="AB2120" i="1"/>
  <c r="AE2120" i="1" s="1"/>
  <c r="Z2120" i="1"/>
  <c r="AC2120" i="1" s="1"/>
  <c r="Z2119" i="1"/>
  <c r="AC2119" i="1" s="1"/>
  <c r="Z2118" i="1"/>
  <c r="Z2117" i="1"/>
  <c r="Z2116" i="1"/>
  <c r="Z2115" i="1"/>
  <c r="AB2115" i="1" s="1"/>
  <c r="AE2115" i="1" s="1"/>
  <c r="Z2114" i="1"/>
  <c r="Z2113" i="1"/>
  <c r="AC2113" i="1" s="1"/>
  <c r="Z2112" i="1"/>
  <c r="AC2112" i="1" s="1"/>
  <c r="AC2111" i="1"/>
  <c r="Z2111" i="1"/>
  <c r="AB2111" i="1" s="1"/>
  <c r="AE2111" i="1" s="1"/>
  <c r="Z2110" i="1"/>
  <c r="AB2110" i="1" s="1"/>
  <c r="AE2110" i="1" s="1"/>
  <c r="Z2109" i="1"/>
  <c r="AC2109" i="1" s="1"/>
  <c r="Z2108" i="1"/>
  <c r="AC2108" i="1" s="1"/>
  <c r="Z2107" i="1"/>
  <c r="Z2106" i="1"/>
  <c r="Z2105" i="1"/>
  <c r="Z2104" i="1"/>
  <c r="AC2104" i="1" s="1"/>
  <c r="Z2103" i="1"/>
  <c r="AC2103" i="1" s="1"/>
  <c r="Z2102" i="1"/>
  <c r="AB2102" i="1" s="1"/>
  <c r="AE2102" i="1" s="1"/>
  <c r="Z2101" i="1"/>
  <c r="AC2101" i="1" s="1"/>
  <c r="AB2100" i="1"/>
  <c r="AE2100" i="1" s="1"/>
  <c r="Z2100" i="1"/>
  <c r="AC2100" i="1" s="1"/>
  <c r="Z2099" i="1"/>
  <c r="AC2099" i="1" s="1"/>
  <c r="Z2098" i="1"/>
  <c r="AB2098" i="1" s="1"/>
  <c r="AE2098" i="1" s="1"/>
  <c r="AC2097" i="1"/>
  <c r="AB2097" i="1"/>
  <c r="AE2097" i="1" s="1"/>
  <c r="Z2097" i="1"/>
  <c r="Z2096" i="1"/>
  <c r="Z2095" i="1"/>
  <c r="AB2095" i="1" s="1"/>
  <c r="AE2095" i="1" s="1"/>
  <c r="Z2094" i="1"/>
  <c r="AB2094" i="1" s="1"/>
  <c r="AE2094" i="1" s="1"/>
  <c r="Z2093" i="1"/>
  <c r="Z2092" i="1"/>
  <c r="AB2092" i="1" s="1"/>
  <c r="AE2092" i="1" s="1"/>
  <c r="Z2091" i="1"/>
  <c r="AC2091" i="1" s="1"/>
  <c r="Z2090" i="1"/>
  <c r="AB2089" i="1"/>
  <c r="AE2089" i="1" s="1"/>
  <c r="Z2089" i="1"/>
  <c r="AC2089" i="1" s="1"/>
  <c r="Z2088" i="1"/>
  <c r="AC2088" i="1" s="1"/>
  <c r="Z2087" i="1"/>
  <c r="AB2087" i="1" s="1"/>
  <c r="AE2087" i="1" s="1"/>
  <c r="Z2086" i="1"/>
  <c r="AC2085" i="1"/>
  <c r="AB2085" i="1"/>
  <c r="AE2085" i="1" s="1"/>
  <c r="Z2085" i="1"/>
  <c r="AB2084" i="1"/>
  <c r="AE2084" i="1" s="1"/>
  <c r="Z2084" i="1"/>
  <c r="AC2084" i="1" s="1"/>
  <c r="Z2083" i="1"/>
  <c r="Z2082" i="1"/>
  <c r="AB2082" i="1" s="1"/>
  <c r="AE2082" i="1" s="1"/>
  <c r="Z2081" i="1"/>
  <c r="AC2081" i="1" s="1"/>
  <c r="AB2080" i="1"/>
  <c r="AE2080" i="1" s="1"/>
  <c r="Z2080" i="1"/>
  <c r="AC2080" i="1" s="1"/>
  <c r="Z2079" i="1"/>
  <c r="AC2079" i="1" s="1"/>
  <c r="AB2078" i="1"/>
  <c r="AE2078" i="1" s="1"/>
  <c r="Z2078" i="1"/>
  <c r="AC2078" i="1" s="1"/>
  <c r="Z2077" i="1"/>
  <c r="Z2076" i="1"/>
  <c r="AB2076" i="1" s="1"/>
  <c r="AE2076" i="1" s="1"/>
  <c r="Z2075" i="1"/>
  <c r="AC2074" i="1"/>
  <c r="Z2074" i="1"/>
  <c r="AB2074" i="1" s="1"/>
  <c r="AE2074" i="1" s="1"/>
  <c r="Z2073" i="1"/>
  <c r="AB2072" i="1"/>
  <c r="AE2072" i="1" s="1"/>
  <c r="Z2072" i="1"/>
  <c r="AC2072" i="1" s="1"/>
  <c r="Z2071" i="1"/>
  <c r="Z2070" i="1"/>
  <c r="Z2069" i="1"/>
  <c r="AB2069" i="1" s="1"/>
  <c r="AE2069" i="1" s="1"/>
  <c r="Z2068" i="1"/>
  <c r="AB2068" i="1" s="1"/>
  <c r="AE2068" i="1" s="1"/>
  <c r="Z2067" i="1"/>
  <c r="AB2067" i="1" s="1"/>
  <c r="AE2067" i="1" s="1"/>
  <c r="Z2066" i="1"/>
  <c r="AB2066" i="1" s="1"/>
  <c r="AE2066" i="1" s="1"/>
  <c r="AB2065" i="1"/>
  <c r="AE2065" i="1" s="1"/>
  <c r="Z2065" i="1"/>
  <c r="AC2065" i="1" s="1"/>
  <c r="Z2064" i="1"/>
  <c r="AC2064" i="1" s="1"/>
  <c r="Z2063" i="1"/>
  <c r="AB2063" i="1" s="1"/>
  <c r="AE2063" i="1" s="1"/>
  <c r="AB2062" i="1"/>
  <c r="AE2062" i="1" s="1"/>
  <c r="Z2062" i="1"/>
  <c r="AC2062" i="1" s="1"/>
  <c r="Z2061" i="1"/>
  <c r="AC2061" i="1" s="1"/>
  <c r="Z2060" i="1"/>
  <c r="AB2060" i="1" s="1"/>
  <c r="AE2060" i="1" s="1"/>
  <c r="Z2059" i="1"/>
  <c r="Z2058" i="1"/>
  <c r="AC2057" i="1"/>
  <c r="Z2057" i="1"/>
  <c r="AB2057" i="1" s="1"/>
  <c r="AE2057" i="1" s="1"/>
  <c r="Z2056" i="1"/>
  <c r="AB2056" i="1" s="1"/>
  <c r="AE2056" i="1" s="1"/>
  <c r="Z2055" i="1"/>
  <c r="AB2055" i="1" s="1"/>
  <c r="AE2055" i="1" s="1"/>
  <c r="Z2054" i="1"/>
  <c r="AB2053" i="1"/>
  <c r="AE2053" i="1" s="1"/>
  <c r="Z2053" i="1"/>
  <c r="AC2053" i="1" s="1"/>
  <c r="Z2052" i="1"/>
  <c r="Z2051" i="1"/>
  <c r="AC2051" i="1" s="1"/>
  <c r="Z2050" i="1"/>
  <c r="AC2050" i="1" s="1"/>
  <c r="Z2049" i="1"/>
  <c r="AC2049" i="1" s="1"/>
  <c r="Z2048" i="1"/>
  <c r="Z2047" i="1"/>
  <c r="AB2047" i="1" s="1"/>
  <c r="AE2047" i="1" s="1"/>
  <c r="Z2046" i="1"/>
  <c r="AB2046" i="1" s="1"/>
  <c r="AE2046" i="1" s="1"/>
  <c r="Z2045" i="1"/>
  <c r="AB2045" i="1" s="1"/>
  <c r="AE2045" i="1" s="1"/>
  <c r="Z2044" i="1"/>
  <c r="AB2044" i="1" s="1"/>
  <c r="AE2044" i="1" s="1"/>
  <c r="Z2043" i="1"/>
  <c r="AC2043" i="1" s="1"/>
  <c r="Z2042" i="1"/>
  <c r="Z2041" i="1"/>
  <c r="Z2040" i="1"/>
  <c r="AC2040" i="1" s="1"/>
  <c r="Z2039" i="1"/>
  <c r="AC2039" i="1" s="1"/>
  <c r="Z2038" i="1"/>
  <c r="AC2037" i="1"/>
  <c r="AB2037" i="1"/>
  <c r="AE2037" i="1" s="1"/>
  <c r="Z2037" i="1"/>
  <c r="AC2036" i="1"/>
  <c r="Z2036" i="1"/>
  <c r="AB2036" i="1" s="1"/>
  <c r="AE2036" i="1" s="1"/>
  <c r="AC2035" i="1"/>
  <c r="AB2035" i="1"/>
  <c r="AE2035" i="1" s="1"/>
  <c r="Z2035" i="1"/>
  <c r="Z2034" i="1"/>
  <c r="AC2034" i="1" s="1"/>
  <c r="Z2033" i="1"/>
  <c r="AC2033" i="1" s="1"/>
  <c r="Z2032" i="1"/>
  <c r="AC2032" i="1" s="1"/>
  <c r="Z2031" i="1"/>
  <c r="AC2031" i="1" s="1"/>
  <c r="AB2030" i="1"/>
  <c r="AE2030" i="1" s="1"/>
  <c r="Z2030" i="1"/>
  <c r="AC2030" i="1" s="1"/>
  <c r="Z2029" i="1"/>
  <c r="AB2028" i="1"/>
  <c r="AE2028" i="1" s="1"/>
  <c r="Z2028" i="1"/>
  <c r="AC2028" i="1" s="1"/>
  <c r="Z2027" i="1"/>
  <c r="Z2026" i="1"/>
  <c r="AC2026" i="1" s="1"/>
  <c r="Z2025" i="1"/>
  <c r="AC2025" i="1" s="1"/>
  <c r="AC2024" i="1"/>
  <c r="AB2024" i="1"/>
  <c r="AE2024" i="1" s="1"/>
  <c r="Z2024" i="1"/>
  <c r="Z2023" i="1"/>
  <c r="Z2022" i="1"/>
  <c r="AB2022" i="1" s="1"/>
  <c r="AE2022" i="1" s="1"/>
  <c r="Z2021" i="1"/>
  <c r="Z2020" i="1"/>
  <c r="Z2019" i="1"/>
  <c r="Z2018" i="1"/>
  <c r="AB2018" i="1" s="1"/>
  <c r="AE2018" i="1" s="1"/>
  <c r="Z2017" i="1"/>
  <c r="Z2016" i="1"/>
  <c r="AB2016" i="1" s="1"/>
  <c r="AE2016" i="1" s="1"/>
  <c r="AB2015" i="1"/>
  <c r="AE2015" i="1" s="1"/>
  <c r="Z2015" i="1"/>
  <c r="AC2015" i="1" s="1"/>
  <c r="Z2014" i="1"/>
  <c r="Z2013" i="1"/>
  <c r="Z2012" i="1"/>
  <c r="AC2012" i="1" s="1"/>
  <c r="Z2011" i="1"/>
  <c r="AC2011" i="1" s="1"/>
  <c r="Z2010" i="1"/>
  <c r="AC2010" i="1" s="1"/>
  <c r="Z2009" i="1"/>
  <c r="Z2008" i="1"/>
  <c r="Z2007" i="1"/>
  <c r="AB2007" i="1" s="1"/>
  <c r="AE2007" i="1" s="1"/>
  <c r="Z2006" i="1"/>
  <c r="AC2005" i="1"/>
  <c r="Z2005" i="1"/>
  <c r="AB2005" i="1" s="1"/>
  <c r="AE2005" i="1" s="1"/>
  <c r="Z2004" i="1"/>
  <c r="AC2004" i="1" s="1"/>
  <c r="Z2003" i="1"/>
  <c r="AC2003" i="1" s="1"/>
  <c r="Z2002" i="1"/>
  <c r="AC2001" i="1"/>
  <c r="Z2001" i="1"/>
  <c r="AB2001" i="1" s="1"/>
  <c r="AE2001" i="1" s="1"/>
  <c r="AB2000" i="1"/>
  <c r="AE2000" i="1" s="1"/>
  <c r="Z2000" i="1"/>
  <c r="AC2000" i="1" s="1"/>
  <c r="Z1999" i="1"/>
  <c r="Z1998" i="1"/>
  <c r="Z1997" i="1"/>
  <c r="AB1997" i="1" s="1"/>
  <c r="AE1997" i="1" s="1"/>
  <c r="Z1996" i="1"/>
  <c r="Z1995" i="1"/>
  <c r="AC1995" i="1" s="1"/>
  <c r="Z1994" i="1"/>
  <c r="AC1994" i="1" s="1"/>
  <c r="AC1993" i="1"/>
  <c r="Z1993" i="1"/>
  <c r="AB1993" i="1" s="1"/>
  <c r="AE1993" i="1" s="1"/>
  <c r="Z1992" i="1"/>
  <c r="Z1991" i="1"/>
  <c r="AC1991" i="1" s="1"/>
  <c r="Z1990" i="1"/>
  <c r="AC1989" i="1"/>
  <c r="Z1989" i="1"/>
  <c r="AB1989" i="1" s="1"/>
  <c r="AE1989" i="1" s="1"/>
  <c r="Z1988" i="1"/>
  <c r="AB1988" i="1" s="1"/>
  <c r="AE1988" i="1" s="1"/>
  <c r="Z1987" i="1"/>
  <c r="AC1987" i="1" s="1"/>
  <c r="Z1986" i="1"/>
  <c r="AC1986" i="1" s="1"/>
  <c r="Z1985" i="1"/>
  <c r="Z1984" i="1"/>
  <c r="AB1984" i="1" s="1"/>
  <c r="AE1984" i="1" s="1"/>
  <c r="Z1983" i="1"/>
  <c r="Z1982" i="1"/>
  <c r="AC1982" i="1" s="1"/>
  <c r="Z1981" i="1"/>
  <c r="AC1981" i="1" s="1"/>
  <c r="Z1980" i="1"/>
  <c r="AC1980" i="1" s="1"/>
  <c r="Z1979" i="1"/>
  <c r="Z1978" i="1"/>
  <c r="Z1977" i="1"/>
  <c r="AC1976" i="1"/>
  <c r="AB1976" i="1"/>
  <c r="AE1976" i="1" s="1"/>
  <c r="Z1976" i="1"/>
  <c r="Z1975" i="1"/>
  <c r="AC1975" i="1" s="1"/>
  <c r="Z1974" i="1"/>
  <c r="AB1974" i="1" s="1"/>
  <c r="AE1974" i="1" s="1"/>
  <c r="Z1973" i="1"/>
  <c r="Z1972" i="1"/>
  <c r="AC1972" i="1" s="1"/>
  <c r="Z1971" i="1"/>
  <c r="Z1970" i="1"/>
  <c r="AB1970" i="1" s="1"/>
  <c r="AE1970" i="1" s="1"/>
  <c r="AC1969" i="1"/>
  <c r="AB1969" i="1"/>
  <c r="AE1969" i="1" s="1"/>
  <c r="Z1969" i="1"/>
  <c r="Z1968" i="1"/>
  <c r="Z1967" i="1"/>
  <c r="Z1966" i="1"/>
  <c r="Z1965" i="1"/>
  <c r="Z1964" i="1"/>
  <c r="Z1963" i="1"/>
  <c r="Z1962" i="1"/>
  <c r="AC1962" i="1" s="1"/>
  <c r="Z1961" i="1"/>
  <c r="AC1961" i="1" s="1"/>
  <c r="Z1960" i="1"/>
  <c r="AC1960" i="1" s="1"/>
  <c r="Z1959" i="1"/>
  <c r="Z1958" i="1"/>
  <c r="AB1958" i="1" s="1"/>
  <c r="AE1958" i="1" s="1"/>
  <c r="Z1957" i="1"/>
  <c r="Z1956" i="1"/>
  <c r="AC1955" i="1"/>
  <c r="Z1955" i="1"/>
  <c r="AB1955" i="1" s="1"/>
  <c r="AE1955" i="1" s="1"/>
  <c r="Z1954" i="1"/>
  <c r="AB1954" i="1" s="1"/>
  <c r="AE1954" i="1" s="1"/>
  <c r="Z1953" i="1"/>
  <c r="AC1953" i="1" s="1"/>
  <c r="Z1952" i="1"/>
  <c r="AC1952" i="1" s="1"/>
  <c r="Z1951" i="1"/>
  <c r="Z1950" i="1"/>
  <c r="AC1950" i="1" s="1"/>
  <c r="Z1949" i="1"/>
  <c r="Z1948" i="1"/>
  <c r="Z1947" i="1"/>
  <c r="Z1946" i="1"/>
  <c r="Z1945" i="1"/>
  <c r="AB1945" i="1" s="1"/>
  <c r="AE1945" i="1" s="1"/>
  <c r="Z1944" i="1"/>
  <c r="AB1944" i="1" s="1"/>
  <c r="AE1944" i="1" s="1"/>
  <c r="Z1943" i="1"/>
  <c r="AB1943" i="1" s="1"/>
  <c r="AE1943" i="1" s="1"/>
  <c r="Z1942" i="1"/>
  <c r="AC1941" i="1"/>
  <c r="AB1941" i="1"/>
  <c r="AE1941" i="1" s="1"/>
  <c r="Z1941" i="1"/>
  <c r="AB1940" i="1"/>
  <c r="AE1940" i="1" s="1"/>
  <c r="Z1940" i="1"/>
  <c r="AC1940" i="1" s="1"/>
  <c r="AB1939" i="1"/>
  <c r="AE1939" i="1" s="1"/>
  <c r="Z1939" i="1"/>
  <c r="AC1939" i="1" s="1"/>
  <c r="AC1938" i="1"/>
  <c r="AB1938" i="1"/>
  <c r="AE1938" i="1" s="1"/>
  <c r="Z1938" i="1"/>
  <c r="Z1937" i="1"/>
  <c r="AC1937" i="1" s="1"/>
  <c r="Z1936" i="1"/>
  <c r="Z1935" i="1"/>
  <c r="Z1934" i="1"/>
  <c r="Z1933" i="1"/>
  <c r="AC1933" i="1" s="1"/>
  <c r="Z1932" i="1"/>
  <c r="AB1932" i="1" s="1"/>
  <c r="AE1932" i="1" s="1"/>
  <c r="Z1931" i="1"/>
  <c r="AB1931" i="1" s="1"/>
  <c r="AE1931" i="1" s="1"/>
  <c r="Z1930" i="1"/>
  <c r="Z1929" i="1"/>
  <c r="Z1928" i="1"/>
  <c r="Z1927" i="1"/>
  <c r="AB1927" i="1" s="1"/>
  <c r="AE1927" i="1" s="1"/>
  <c r="AC1926" i="1"/>
  <c r="AB1926" i="1"/>
  <c r="AE1926" i="1" s="1"/>
  <c r="Z1926" i="1"/>
  <c r="AB1925" i="1"/>
  <c r="AE1925" i="1" s="1"/>
  <c r="Z1925" i="1"/>
  <c r="AC1925" i="1" s="1"/>
  <c r="Z1924" i="1"/>
  <c r="AC1924" i="1" s="1"/>
  <c r="Z1923" i="1"/>
  <c r="AC1923" i="1" s="1"/>
  <c r="AC1922" i="1"/>
  <c r="Z1922" i="1"/>
  <c r="AB1922" i="1" s="1"/>
  <c r="AE1922" i="1" s="1"/>
  <c r="Z1921" i="1"/>
  <c r="AC1921" i="1" s="1"/>
  <c r="Z1920" i="1"/>
  <c r="Z1919" i="1"/>
  <c r="Z1918" i="1"/>
  <c r="Z1917" i="1"/>
  <c r="AC1917" i="1" s="1"/>
  <c r="Z1916" i="1"/>
  <c r="AB1916" i="1" s="1"/>
  <c r="AE1916" i="1" s="1"/>
  <c r="Z1915" i="1"/>
  <c r="Z1914" i="1"/>
  <c r="Z1913" i="1"/>
  <c r="AB1913" i="1" s="1"/>
  <c r="AE1913" i="1" s="1"/>
  <c r="Z1912" i="1"/>
  <c r="Z1911" i="1"/>
  <c r="AC1911" i="1" s="1"/>
  <c r="Z1910" i="1"/>
  <c r="Z1909" i="1"/>
  <c r="Z1908" i="1"/>
  <c r="AC1908" i="1" s="1"/>
  <c r="AB1907" i="1"/>
  <c r="AE1907" i="1" s="1"/>
  <c r="Z1907" i="1"/>
  <c r="AC1907" i="1" s="1"/>
  <c r="Z1906" i="1"/>
  <c r="Z1905" i="1"/>
  <c r="AC1905" i="1" s="1"/>
  <c r="AB1904" i="1"/>
  <c r="AE1904" i="1" s="1"/>
  <c r="Z1904" i="1"/>
  <c r="AC1904" i="1" s="1"/>
  <c r="Z1903" i="1"/>
  <c r="AC1903" i="1" s="1"/>
  <c r="Z1902" i="1"/>
  <c r="Z1901" i="1"/>
  <c r="AC1901" i="1" s="1"/>
  <c r="Z1900" i="1"/>
  <c r="AC1899" i="1"/>
  <c r="Z1899" i="1"/>
  <c r="AB1899" i="1" s="1"/>
  <c r="AE1899" i="1" s="1"/>
  <c r="Z1898" i="1"/>
  <c r="Z1897" i="1"/>
  <c r="Z1896" i="1"/>
  <c r="AB1896" i="1" s="1"/>
  <c r="AE1896" i="1" s="1"/>
  <c r="Z1895" i="1"/>
  <c r="AC1895" i="1" s="1"/>
  <c r="Z1894" i="1"/>
  <c r="AC1894" i="1" s="1"/>
  <c r="Z1893" i="1"/>
  <c r="AC1893" i="1" s="1"/>
  <c r="AC1892" i="1"/>
  <c r="AB1892" i="1"/>
  <c r="AE1892" i="1" s="1"/>
  <c r="Z1892" i="1"/>
  <c r="Z1891" i="1"/>
  <c r="Z1890" i="1"/>
  <c r="AC1890" i="1" s="1"/>
  <c r="Z1889" i="1"/>
  <c r="Z1888" i="1"/>
  <c r="AC1888" i="1" s="1"/>
  <c r="Z1887" i="1"/>
  <c r="AC1887" i="1" s="1"/>
  <c r="Z1886" i="1"/>
  <c r="Z1885" i="1"/>
  <c r="AC1885" i="1" s="1"/>
  <c r="Z1884" i="1"/>
  <c r="AC1883" i="1"/>
  <c r="Z1883" i="1"/>
  <c r="AB1883" i="1" s="1"/>
  <c r="AE1883" i="1" s="1"/>
  <c r="Z1882" i="1"/>
  <c r="AB1882" i="1" s="1"/>
  <c r="AE1882" i="1" s="1"/>
  <c r="Z1881" i="1"/>
  <c r="Z1880" i="1"/>
  <c r="AB1880" i="1" s="1"/>
  <c r="AE1880" i="1" s="1"/>
  <c r="Z1879" i="1"/>
  <c r="AB1879" i="1" s="1"/>
  <c r="AE1879" i="1" s="1"/>
  <c r="AB1878" i="1"/>
  <c r="AE1878" i="1" s="1"/>
  <c r="Z1878" i="1"/>
  <c r="AC1878" i="1" s="1"/>
  <c r="Z1877" i="1"/>
  <c r="AC1877" i="1" s="1"/>
  <c r="Z1876" i="1"/>
  <c r="Z1875" i="1"/>
  <c r="AC1875" i="1" s="1"/>
  <c r="AC1874" i="1"/>
  <c r="AB1874" i="1"/>
  <c r="AE1874" i="1" s="1"/>
  <c r="Z1874" i="1"/>
  <c r="Z1873" i="1"/>
  <c r="AC1873" i="1" s="1"/>
  <c r="Z1872" i="1"/>
  <c r="AC1872" i="1" s="1"/>
  <c r="AB1871" i="1"/>
  <c r="AE1871" i="1" s="1"/>
  <c r="Z1871" i="1"/>
  <c r="AC1871" i="1" s="1"/>
  <c r="Z1870" i="1"/>
  <c r="AC1870" i="1" s="1"/>
  <c r="Z1869" i="1"/>
  <c r="AC1869" i="1" s="1"/>
  <c r="Z1868" i="1"/>
  <c r="Z1867" i="1"/>
  <c r="Z1866" i="1"/>
  <c r="AB1866" i="1" s="1"/>
  <c r="AE1866" i="1" s="1"/>
  <c r="Z1865" i="1"/>
  <c r="AB1865" i="1" s="1"/>
  <c r="AE1865" i="1" s="1"/>
  <c r="AC1864" i="1"/>
  <c r="Z1864" i="1"/>
  <c r="AB1864" i="1" s="1"/>
  <c r="AE1864" i="1" s="1"/>
  <c r="Z1863" i="1"/>
  <c r="AB1863" i="1" s="1"/>
  <c r="AE1863" i="1" s="1"/>
  <c r="AC1862" i="1"/>
  <c r="Z1862" i="1"/>
  <c r="AB1862" i="1" s="1"/>
  <c r="AE1862" i="1" s="1"/>
  <c r="Z1861" i="1"/>
  <c r="AC1861" i="1" s="1"/>
  <c r="AC1860" i="1"/>
  <c r="AB1860" i="1"/>
  <c r="AE1860" i="1" s="1"/>
  <c r="Z1860" i="1"/>
  <c r="Z1859" i="1"/>
  <c r="AB1859" i="1" s="1"/>
  <c r="AE1859" i="1" s="1"/>
  <c r="AB1858" i="1"/>
  <c r="AE1858" i="1" s="1"/>
  <c r="Z1858" i="1"/>
  <c r="AC1858" i="1" s="1"/>
  <c r="Z1857" i="1"/>
  <c r="Z1856" i="1"/>
  <c r="Z1855" i="1"/>
  <c r="Z1854" i="1"/>
  <c r="AC1854" i="1" s="1"/>
  <c r="Z1853" i="1"/>
  <c r="AC1853" i="1" s="1"/>
  <c r="Z1852" i="1"/>
  <c r="AB1852" i="1" s="1"/>
  <c r="AE1852" i="1" s="1"/>
  <c r="Z1851" i="1"/>
  <c r="AB1851" i="1" s="1"/>
  <c r="AE1851" i="1" s="1"/>
  <c r="Z1850" i="1"/>
  <c r="AB1850" i="1" s="1"/>
  <c r="AE1850" i="1" s="1"/>
  <c r="Z1849" i="1"/>
  <c r="Z1848" i="1"/>
  <c r="AB1848" i="1" s="1"/>
  <c r="AE1848" i="1" s="1"/>
  <c r="AC1847" i="1"/>
  <c r="AB1847" i="1"/>
  <c r="AE1847" i="1" s="1"/>
  <c r="Z1847" i="1"/>
  <c r="Z1846" i="1"/>
  <c r="Z1845" i="1"/>
  <c r="AC1845" i="1" s="1"/>
  <c r="Z1844" i="1"/>
  <c r="AC1844" i="1" s="1"/>
  <c r="AB1843" i="1"/>
  <c r="AE1843" i="1" s="1"/>
  <c r="Z1843" i="1"/>
  <c r="AC1843" i="1" s="1"/>
  <c r="AC1842" i="1"/>
  <c r="Z1842" i="1"/>
  <c r="AB1842" i="1" s="1"/>
  <c r="AE1842" i="1" s="1"/>
  <c r="AB1841" i="1"/>
  <c r="AE1841" i="1" s="1"/>
  <c r="Z1841" i="1"/>
  <c r="AC1841" i="1" s="1"/>
  <c r="Z1840" i="1"/>
  <c r="Z1839" i="1"/>
  <c r="AC1839" i="1" s="1"/>
  <c r="Z1838" i="1"/>
  <c r="AC1838" i="1" s="1"/>
  <c r="Z1837" i="1"/>
  <c r="AC1837" i="1" s="1"/>
  <c r="Z1836" i="1"/>
  <c r="AB1836" i="1" s="1"/>
  <c r="AE1836" i="1" s="1"/>
  <c r="Z1835" i="1"/>
  <c r="Z1834" i="1"/>
  <c r="Z1833" i="1"/>
  <c r="AB1833" i="1" s="1"/>
  <c r="AE1833" i="1" s="1"/>
  <c r="Z1832" i="1"/>
  <c r="AB1832" i="1" s="1"/>
  <c r="AE1832" i="1" s="1"/>
  <c r="Z1831" i="1"/>
  <c r="AB1831" i="1" s="1"/>
  <c r="AE1831" i="1" s="1"/>
  <c r="AB1830" i="1"/>
  <c r="AE1830" i="1" s="1"/>
  <c r="Z1830" i="1"/>
  <c r="AC1830" i="1" s="1"/>
  <c r="AC1829" i="1"/>
  <c r="Z1829" i="1"/>
  <c r="AB1829" i="1" s="1"/>
  <c r="AE1829" i="1" s="1"/>
  <c r="AB1828" i="1"/>
  <c r="AE1828" i="1" s="1"/>
  <c r="Z1828" i="1"/>
  <c r="AC1828" i="1" s="1"/>
  <c r="Z1827" i="1"/>
  <c r="AC1827" i="1" s="1"/>
  <c r="Z1826" i="1"/>
  <c r="AB1826" i="1" s="1"/>
  <c r="AE1826" i="1" s="1"/>
  <c r="Z1825" i="1"/>
  <c r="Z1824" i="1"/>
  <c r="Z1823" i="1"/>
  <c r="Z1822" i="1"/>
  <c r="AB1821" i="1"/>
  <c r="AE1821" i="1" s="1"/>
  <c r="Z1821" i="1"/>
  <c r="AC1821" i="1" s="1"/>
  <c r="Z1820" i="1"/>
  <c r="AB1820" i="1" s="1"/>
  <c r="AE1820" i="1" s="1"/>
  <c r="Z1819" i="1"/>
  <c r="Z1818" i="1"/>
  <c r="AB1818" i="1" s="1"/>
  <c r="AE1818" i="1" s="1"/>
  <c r="Z1817" i="1"/>
  <c r="AB1817" i="1" s="1"/>
  <c r="AE1817" i="1" s="1"/>
  <c r="Z1816" i="1"/>
  <c r="AB1816" i="1" s="1"/>
  <c r="AE1816" i="1" s="1"/>
  <c r="Z1815" i="1"/>
  <c r="AB1815" i="1" s="1"/>
  <c r="AE1815" i="1" s="1"/>
  <c r="AC1814" i="1"/>
  <c r="AB1814" i="1"/>
  <c r="AE1814" i="1" s="1"/>
  <c r="Z1814" i="1"/>
  <c r="Z1813" i="1"/>
  <c r="AB1813" i="1" s="1"/>
  <c r="AE1813" i="1" s="1"/>
  <c r="Z1812" i="1"/>
  <c r="AB1812" i="1" s="1"/>
  <c r="AE1812" i="1" s="1"/>
  <c r="AC1811" i="1"/>
  <c r="Z1811" i="1"/>
  <c r="AB1811" i="1" s="1"/>
  <c r="AE1811" i="1" s="1"/>
  <c r="Z1810" i="1"/>
  <c r="AB1810" i="1" s="1"/>
  <c r="AE1810" i="1" s="1"/>
  <c r="Z1809" i="1"/>
  <c r="AC1808" i="1"/>
  <c r="Z1808" i="1"/>
  <c r="AB1808" i="1" s="1"/>
  <c r="AE1808" i="1" s="1"/>
  <c r="Z1807" i="1"/>
  <c r="AC1807" i="1" s="1"/>
  <c r="Z1806" i="1"/>
  <c r="AC1806" i="1" s="1"/>
  <c r="Z1805" i="1"/>
  <c r="Z1804" i="1"/>
  <c r="Z1803" i="1"/>
  <c r="AB1803" i="1" s="1"/>
  <c r="AE1803" i="1" s="1"/>
  <c r="Z1802" i="1"/>
  <c r="AB1802" i="1" s="1"/>
  <c r="AE1802" i="1" s="1"/>
  <c r="Z1801" i="1"/>
  <c r="AB1801" i="1" s="1"/>
  <c r="AE1801" i="1" s="1"/>
  <c r="Z1800" i="1"/>
  <c r="AC1800" i="1" s="1"/>
  <c r="Z1799" i="1"/>
  <c r="AB1799" i="1" s="1"/>
  <c r="AE1799" i="1" s="1"/>
  <c r="Z1798" i="1"/>
  <c r="Z1797" i="1"/>
  <c r="Z1796" i="1"/>
  <c r="Z1795" i="1"/>
  <c r="AB1795" i="1" s="1"/>
  <c r="AE1795" i="1" s="1"/>
  <c r="Z1794" i="1"/>
  <c r="AC1794" i="1" s="1"/>
  <c r="Z1793" i="1"/>
  <c r="AC1793" i="1" s="1"/>
  <c r="AB1792" i="1"/>
  <c r="AE1792" i="1" s="1"/>
  <c r="Z1792" i="1"/>
  <c r="AC1792" i="1" s="1"/>
  <c r="Z1791" i="1"/>
  <c r="AB1790" i="1"/>
  <c r="AE1790" i="1" s="1"/>
  <c r="Z1790" i="1"/>
  <c r="AC1790" i="1" s="1"/>
  <c r="Z1789" i="1"/>
  <c r="AC1789" i="1" s="1"/>
  <c r="Z1788" i="1"/>
  <c r="AB1788" i="1" s="1"/>
  <c r="AE1788" i="1" s="1"/>
  <c r="Z1787" i="1"/>
  <c r="Z1786" i="1"/>
  <c r="AB1785" i="1"/>
  <c r="AE1785" i="1" s="1"/>
  <c r="Z1785" i="1"/>
  <c r="AC1785" i="1" s="1"/>
  <c r="Z1784" i="1"/>
  <c r="AC1784" i="1" s="1"/>
  <c r="Z1783" i="1"/>
  <c r="AB1783" i="1" s="1"/>
  <c r="AE1783" i="1" s="1"/>
  <c r="Z1782" i="1"/>
  <c r="AC1782" i="1" s="1"/>
  <c r="AC1781" i="1"/>
  <c r="AB1781" i="1"/>
  <c r="AE1781" i="1" s="1"/>
  <c r="Z1781" i="1"/>
  <c r="Z1780" i="1"/>
  <c r="AC1780" i="1" s="1"/>
  <c r="AB1779" i="1"/>
  <c r="AE1779" i="1" s="1"/>
  <c r="Z1779" i="1"/>
  <c r="AC1779" i="1" s="1"/>
  <c r="Z1778" i="1"/>
  <c r="AB1778" i="1" s="1"/>
  <c r="AE1778" i="1" s="1"/>
  <c r="Z1777" i="1"/>
  <c r="AC1777" i="1" s="1"/>
  <c r="Z1776" i="1"/>
  <c r="AC1776" i="1" s="1"/>
  <c r="Z1775" i="1"/>
  <c r="AC1775" i="1" s="1"/>
  <c r="Z1774" i="1"/>
  <c r="AC1774" i="1" s="1"/>
  <c r="Z1773" i="1"/>
  <c r="AC1773" i="1" s="1"/>
  <c r="AC1772" i="1"/>
  <c r="Z1772" i="1"/>
  <c r="AB1772" i="1" s="1"/>
  <c r="AE1772" i="1" s="1"/>
  <c r="Z1771" i="1"/>
  <c r="AC1771" i="1" s="1"/>
  <c r="AC1770" i="1"/>
  <c r="Z1770" i="1"/>
  <c r="AB1770" i="1" s="1"/>
  <c r="AE1770" i="1" s="1"/>
  <c r="Z1769" i="1"/>
  <c r="AC1769" i="1" s="1"/>
  <c r="Z1768" i="1"/>
  <c r="AC1768" i="1" s="1"/>
  <c r="Z1767" i="1"/>
  <c r="Z1766" i="1"/>
  <c r="AC1766" i="1" s="1"/>
  <c r="Z1765" i="1"/>
  <c r="Z1764" i="1"/>
  <c r="Z1763" i="1"/>
  <c r="AB1763" i="1" s="1"/>
  <c r="AE1763" i="1" s="1"/>
  <c r="Z1762" i="1"/>
  <c r="AB1762" i="1" s="1"/>
  <c r="AE1762" i="1" s="1"/>
  <c r="Z1761" i="1"/>
  <c r="AC1761" i="1" s="1"/>
  <c r="Z1760" i="1"/>
  <c r="AC1760" i="1" s="1"/>
  <c r="Z1759" i="1"/>
  <c r="AC1759" i="1" s="1"/>
  <c r="Z1758" i="1"/>
  <c r="AB1758" i="1" s="1"/>
  <c r="AE1758" i="1" s="1"/>
  <c r="Z1757" i="1"/>
  <c r="Z1756" i="1"/>
  <c r="AB1756" i="1" s="1"/>
  <c r="AE1756" i="1" s="1"/>
  <c r="AB1755" i="1"/>
  <c r="AE1755" i="1" s="1"/>
  <c r="Z1755" i="1"/>
  <c r="AC1755" i="1" s="1"/>
  <c r="AC1754" i="1"/>
  <c r="Z1754" i="1"/>
  <c r="AB1754" i="1" s="1"/>
  <c r="AE1754" i="1" s="1"/>
  <c r="Z1753" i="1"/>
  <c r="AB1753" i="1" s="1"/>
  <c r="AE1753" i="1" s="1"/>
  <c r="AC1752" i="1"/>
  <c r="Z1752" i="1"/>
  <c r="AB1752" i="1" s="1"/>
  <c r="AE1752" i="1" s="1"/>
  <c r="Z1751" i="1"/>
  <c r="AC1751" i="1" s="1"/>
  <c r="Z1750" i="1"/>
  <c r="AB1750" i="1" s="1"/>
  <c r="AE1750" i="1" s="1"/>
  <c r="Z1749" i="1"/>
  <c r="AC1749" i="1" s="1"/>
  <c r="AC1748" i="1"/>
  <c r="Z1748" i="1"/>
  <c r="AB1748" i="1" s="1"/>
  <c r="AE1748" i="1" s="1"/>
  <c r="AC1747" i="1"/>
  <c r="Z1747" i="1"/>
  <c r="AB1747" i="1" s="1"/>
  <c r="AE1747" i="1" s="1"/>
  <c r="AC1746" i="1"/>
  <c r="Z1746" i="1"/>
  <c r="AB1746" i="1" s="1"/>
  <c r="AE1746" i="1" s="1"/>
  <c r="Z1745" i="1"/>
  <c r="Z1744" i="1"/>
  <c r="AC1744" i="1" s="1"/>
  <c r="Z1743" i="1"/>
  <c r="AC1743" i="1" s="1"/>
  <c r="AB1742" i="1"/>
  <c r="AE1742" i="1" s="1"/>
  <c r="Z1742" i="1"/>
  <c r="AC1742" i="1" s="1"/>
  <c r="Z1741" i="1"/>
  <c r="AC1741" i="1" s="1"/>
  <c r="Z1740" i="1"/>
  <c r="AB1740" i="1" s="1"/>
  <c r="AE1740" i="1" s="1"/>
  <c r="Z1739" i="1"/>
  <c r="AC1739" i="1" s="1"/>
  <c r="Z1738" i="1"/>
  <c r="Z1737" i="1"/>
  <c r="AB1736" i="1"/>
  <c r="AE1736" i="1" s="1"/>
  <c r="Z1736" i="1"/>
  <c r="AC1736" i="1" s="1"/>
  <c r="Z1735" i="1"/>
  <c r="Z1734" i="1"/>
  <c r="AB1733" i="1"/>
  <c r="AE1733" i="1" s="1"/>
  <c r="Z1733" i="1"/>
  <c r="AC1733" i="1" s="1"/>
  <c r="Z1732" i="1"/>
  <c r="Z1731" i="1"/>
  <c r="AB1731" i="1" s="1"/>
  <c r="AE1731" i="1" s="1"/>
  <c r="AB1730" i="1"/>
  <c r="AE1730" i="1" s="1"/>
  <c r="Z1730" i="1"/>
  <c r="AC1730" i="1" s="1"/>
  <c r="Z1729" i="1"/>
  <c r="AC1729" i="1" s="1"/>
  <c r="Z1728" i="1"/>
  <c r="AB1728" i="1" s="1"/>
  <c r="AE1728" i="1" s="1"/>
  <c r="Z1727" i="1"/>
  <c r="AB1726" i="1"/>
  <c r="AE1726" i="1" s="1"/>
  <c r="Z1726" i="1"/>
  <c r="AC1726" i="1" s="1"/>
  <c r="AC1725" i="1"/>
  <c r="Z1725" i="1"/>
  <c r="AB1725" i="1" s="1"/>
  <c r="AE1725" i="1" s="1"/>
  <c r="AC1724" i="1"/>
  <c r="Z1724" i="1"/>
  <c r="AB1724" i="1" s="1"/>
  <c r="AE1724" i="1" s="1"/>
  <c r="Z1723" i="1"/>
  <c r="AB1723" i="1" s="1"/>
  <c r="AE1723" i="1" s="1"/>
  <c r="Z1722" i="1"/>
  <c r="AB1722" i="1" s="1"/>
  <c r="AE1722" i="1" s="1"/>
  <c r="Z1721" i="1"/>
  <c r="AC1721" i="1" s="1"/>
  <c r="AC1720" i="1"/>
  <c r="AB1720" i="1"/>
  <c r="AE1720" i="1" s="1"/>
  <c r="Z1720" i="1"/>
  <c r="AB1719" i="1"/>
  <c r="AE1719" i="1" s="1"/>
  <c r="Z1719" i="1"/>
  <c r="AC1719" i="1" s="1"/>
  <c r="Z1718" i="1"/>
  <c r="AC1718" i="1" s="1"/>
  <c r="AB1717" i="1"/>
  <c r="AE1717" i="1" s="1"/>
  <c r="Z1717" i="1"/>
  <c r="AC1717" i="1" s="1"/>
  <c r="Z1716" i="1"/>
  <c r="AC1716" i="1" s="1"/>
  <c r="Z1715" i="1"/>
  <c r="AC1715" i="1" s="1"/>
  <c r="AB1714" i="1"/>
  <c r="AE1714" i="1" s="1"/>
  <c r="Z1714" i="1"/>
  <c r="AC1714" i="1" s="1"/>
  <c r="Z1713" i="1"/>
  <c r="Z1712" i="1"/>
  <c r="AC1712" i="1" s="1"/>
  <c r="Z1711" i="1"/>
  <c r="AC1711" i="1" s="1"/>
  <c r="Z1710" i="1"/>
  <c r="AC1710" i="1" s="1"/>
  <c r="Z1709" i="1"/>
  <c r="AC1709" i="1" s="1"/>
  <c r="Z1708" i="1"/>
  <c r="Z1707" i="1"/>
  <c r="AC1707" i="1" s="1"/>
  <c r="AC1706" i="1"/>
  <c r="Z1706" i="1"/>
  <c r="AB1706" i="1" s="1"/>
  <c r="AE1706" i="1" s="1"/>
  <c r="Z1705" i="1"/>
  <c r="Z1704" i="1"/>
  <c r="AC1703" i="1"/>
  <c r="Z1703" i="1"/>
  <c r="AB1703" i="1" s="1"/>
  <c r="AE1703" i="1" s="1"/>
  <c r="Z1702" i="1"/>
  <c r="AB1702" i="1" s="1"/>
  <c r="AE1702" i="1" s="1"/>
  <c r="AC1701" i="1"/>
  <c r="Z1701" i="1"/>
  <c r="AB1701" i="1" s="1"/>
  <c r="AE1701" i="1" s="1"/>
  <c r="Z1700" i="1"/>
  <c r="AC1700" i="1" s="1"/>
  <c r="Z1699" i="1"/>
  <c r="Z1698" i="1"/>
  <c r="Z1697" i="1"/>
  <c r="Z1696" i="1"/>
  <c r="AC1696" i="1" s="1"/>
  <c r="Z1695" i="1"/>
  <c r="Z1694" i="1"/>
  <c r="Z1693" i="1"/>
  <c r="AC1693" i="1" s="1"/>
  <c r="Z1692" i="1"/>
  <c r="Z1691" i="1"/>
  <c r="AB1691" i="1" s="1"/>
  <c r="AE1691" i="1" s="1"/>
  <c r="Z1690" i="1"/>
  <c r="AB1690" i="1" s="1"/>
  <c r="AE1690" i="1" s="1"/>
  <c r="Z1689" i="1"/>
  <c r="Z1688" i="1"/>
  <c r="AC1688" i="1" s="1"/>
  <c r="AB1687" i="1"/>
  <c r="AE1687" i="1" s="1"/>
  <c r="Z1687" i="1"/>
  <c r="AC1687" i="1" s="1"/>
  <c r="Z1686" i="1"/>
  <c r="AC1685" i="1"/>
  <c r="AB1685" i="1"/>
  <c r="AE1685" i="1" s="1"/>
  <c r="Z1685" i="1"/>
  <c r="Z1684" i="1"/>
  <c r="AC1684" i="1" s="1"/>
  <c r="Z1683" i="1"/>
  <c r="Z1682" i="1"/>
  <c r="AC1682" i="1" s="1"/>
  <c r="Z1681" i="1"/>
  <c r="Z1680" i="1"/>
  <c r="AC1680" i="1" s="1"/>
  <c r="Z1679" i="1"/>
  <c r="Z1678" i="1"/>
  <c r="AC1678" i="1" s="1"/>
  <c r="Z1677" i="1"/>
  <c r="AC1677" i="1" s="1"/>
  <c r="Z1676" i="1"/>
  <c r="Z1675" i="1"/>
  <c r="AC1675" i="1" s="1"/>
  <c r="Z1674" i="1"/>
  <c r="AC1674" i="1" s="1"/>
  <c r="Z1673" i="1"/>
  <c r="Z1672" i="1"/>
  <c r="AC1672" i="1" s="1"/>
  <c r="AC1671" i="1"/>
  <c r="Z1671" i="1"/>
  <c r="AB1671" i="1" s="1"/>
  <c r="AE1671" i="1" s="1"/>
  <c r="Z1670" i="1"/>
  <c r="Z1669" i="1"/>
  <c r="Z1668" i="1"/>
  <c r="AC1668" i="1" s="1"/>
  <c r="Z1667" i="1"/>
  <c r="AB1667" i="1" s="1"/>
  <c r="AE1667" i="1" s="1"/>
  <c r="Z1666" i="1"/>
  <c r="AC1666" i="1" s="1"/>
  <c r="Z1665" i="1"/>
  <c r="AC1665" i="1" s="1"/>
  <c r="Z1664" i="1"/>
  <c r="Z1663" i="1"/>
  <c r="AB1662" i="1"/>
  <c r="AE1662" i="1" s="1"/>
  <c r="Z1662" i="1"/>
  <c r="AC1662" i="1" s="1"/>
  <c r="AC1661" i="1"/>
  <c r="AB1661" i="1"/>
  <c r="AE1661" i="1" s="1"/>
  <c r="Z1661" i="1"/>
  <c r="Z1660" i="1"/>
  <c r="AB1660" i="1" s="1"/>
  <c r="AE1660" i="1" s="1"/>
  <c r="Z1659" i="1"/>
  <c r="AC1659" i="1" s="1"/>
  <c r="Z1658" i="1"/>
  <c r="AC1658" i="1" s="1"/>
  <c r="Z1657" i="1"/>
  <c r="Z1656" i="1"/>
  <c r="Z1655" i="1"/>
  <c r="Z1654" i="1"/>
  <c r="AC1654" i="1" s="1"/>
  <c r="AB1653" i="1"/>
  <c r="AE1653" i="1" s="1"/>
  <c r="Z1653" i="1"/>
  <c r="AC1653" i="1" s="1"/>
  <c r="Z1652" i="1"/>
  <c r="Z1651" i="1"/>
  <c r="AC1651" i="1" s="1"/>
  <c r="Z1650" i="1"/>
  <c r="AB1650" i="1" s="1"/>
  <c r="AE1650" i="1" s="1"/>
  <c r="Z1649" i="1"/>
  <c r="Z1648" i="1"/>
  <c r="AC1648" i="1" s="1"/>
  <c r="Z1647" i="1"/>
  <c r="AC1647" i="1" s="1"/>
  <c r="Z1646" i="1"/>
  <c r="AC1646" i="1" s="1"/>
  <c r="Z1645" i="1"/>
  <c r="AC1645" i="1" s="1"/>
  <c r="Z1644" i="1"/>
  <c r="AB1644" i="1" s="1"/>
  <c r="AE1644" i="1" s="1"/>
  <c r="Z1643" i="1"/>
  <c r="AB1643" i="1" s="1"/>
  <c r="AE1643" i="1" s="1"/>
  <c r="Z1642" i="1"/>
  <c r="AB1642" i="1" s="1"/>
  <c r="AE1642" i="1" s="1"/>
  <c r="Z1641" i="1"/>
  <c r="Z1640" i="1"/>
  <c r="Z1639" i="1"/>
  <c r="AC1639" i="1" s="1"/>
  <c r="Z1638" i="1"/>
  <c r="AC1638" i="1" s="1"/>
  <c r="AC1637" i="1"/>
  <c r="AB1637" i="1"/>
  <c r="AE1637" i="1" s="1"/>
  <c r="Z1637" i="1"/>
  <c r="Z1636" i="1"/>
  <c r="AB1636" i="1" s="1"/>
  <c r="AE1636" i="1" s="1"/>
  <c r="Z1635" i="1"/>
  <c r="Z1634" i="1"/>
  <c r="AB1634" i="1" s="1"/>
  <c r="AE1634" i="1" s="1"/>
  <c r="AB1633" i="1"/>
  <c r="AE1633" i="1" s="1"/>
  <c r="Z1633" i="1"/>
  <c r="AC1633" i="1" s="1"/>
  <c r="Z1632" i="1"/>
  <c r="Z1631" i="1"/>
  <c r="AC1631" i="1" s="1"/>
  <c r="Z1630" i="1"/>
  <c r="Z1629" i="1"/>
  <c r="Z1628" i="1"/>
  <c r="Z1627" i="1"/>
  <c r="Z1626" i="1"/>
  <c r="AB1626" i="1" s="1"/>
  <c r="AE1626" i="1" s="1"/>
  <c r="Z1625" i="1"/>
  <c r="AB1625" i="1" s="1"/>
  <c r="AE1625" i="1" s="1"/>
  <c r="Z1624" i="1"/>
  <c r="AB1624" i="1" s="1"/>
  <c r="AE1624" i="1" s="1"/>
  <c r="Z1623" i="1"/>
  <c r="Z1622" i="1"/>
  <c r="Z1621" i="1"/>
  <c r="AB1621" i="1" s="1"/>
  <c r="AE1621" i="1" s="1"/>
  <c r="Z1620" i="1"/>
  <c r="AB1620" i="1" s="1"/>
  <c r="AE1620" i="1" s="1"/>
  <c r="AC1619" i="1"/>
  <c r="AB1619" i="1"/>
  <c r="AE1619" i="1" s="1"/>
  <c r="Z1619" i="1"/>
  <c r="Z1618" i="1"/>
  <c r="AB1618" i="1" s="1"/>
  <c r="AE1618" i="1" s="1"/>
  <c r="Z1617" i="1"/>
  <c r="AC1617" i="1" s="1"/>
  <c r="Z1616" i="1"/>
  <c r="AC1616" i="1" s="1"/>
  <c r="Z1615" i="1"/>
  <c r="AC1615" i="1" s="1"/>
  <c r="Z1614" i="1"/>
  <c r="AC1614" i="1" s="1"/>
  <c r="AC1613" i="1"/>
  <c r="Z1613" i="1"/>
  <c r="AB1613" i="1" s="1"/>
  <c r="AE1613" i="1" s="1"/>
  <c r="Z1612" i="1"/>
  <c r="Z1611" i="1"/>
  <c r="AB1611" i="1" s="1"/>
  <c r="AE1611" i="1" s="1"/>
  <c r="AC1610" i="1"/>
  <c r="Z1610" i="1"/>
  <c r="AB1610" i="1" s="1"/>
  <c r="AE1610" i="1" s="1"/>
  <c r="AC1609" i="1"/>
  <c r="AB1609" i="1"/>
  <c r="AE1609" i="1" s="1"/>
  <c r="Z1609" i="1"/>
  <c r="Z1608" i="1"/>
  <c r="AC1608" i="1" s="1"/>
  <c r="AC1607" i="1"/>
  <c r="AB1607" i="1"/>
  <c r="AE1607" i="1" s="1"/>
  <c r="Z1607" i="1"/>
  <c r="Z1606" i="1"/>
  <c r="Z1605" i="1"/>
  <c r="AC1605" i="1" s="1"/>
  <c r="Z1604" i="1"/>
  <c r="Z1603" i="1"/>
  <c r="Z1602" i="1"/>
  <c r="Z1601" i="1"/>
  <c r="Z1600" i="1"/>
  <c r="Z1599" i="1"/>
  <c r="Z1598" i="1"/>
  <c r="Z1597" i="1"/>
  <c r="Z1596" i="1"/>
  <c r="Z1595" i="1"/>
  <c r="Z1594" i="1"/>
  <c r="AC1593" i="1"/>
  <c r="AB1593" i="1"/>
  <c r="AE1593" i="1" s="1"/>
  <c r="Z1593" i="1"/>
  <c r="Z1592" i="1"/>
  <c r="Z1591" i="1"/>
  <c r="Z1590" i="1"/>
  <c r="AC1590" i="1" s="1"/>
  <c r="AB1589" i="1"/>
  <c r="AE1589" i="1" s="1"/>
  <c r="Z1589" i="1"/>
  <c r="AC1589" i="1" s="1"/>
  <c r="Z1588" i="1"/>
  <c r="AC1588" i="1" s="1"/>
  <c r="Z1587" i="1"/>
  <c r="Z1586" i="1"/>
  <c r="Z1585" i="1"/>
  <c r="AB1585" i="1" s="1"/>
  <c r="AE1585" i="1" s="1"/>
  <c r="Z1584" i="1"/>
  <c r="AC1584" i="1" s="1"/>
  <c r="Z1583" i="1"/>
  <c r="AC1583" i="1" s="1"/>
  <c r="Z1582" i="1"/>
  <c r="AC1582" i="1" s="1"/>
  <c r="AC1581" i="1"/>
  <c r="Z1581" i="1"/>
  <c r="AB1581" i="1" s="1"/>
  <c r="AE1581" i="1" s="1"/>
  <c r="AC1580" i="1"/>
  <c r="Z1580" i="1"/>
  <c r="AB1580" i="1" s="1"/>
  <c r="AE1580" i="1" s="1"/>
  <c r="Z1579" i="1"/>
  <c r="AB1579" i="1" s="1"/>
  <c r="AE1579" i="1" s="1"/>
  <c r="Z1578" i="1"/>
  <c r="Z1577" i="1"/>
  <c r="AC1577" i="1" s="1"/>
  <c r="Z1576" i="1"/>
  <c r="AC1576" i="1" s="1"/>
  <c r="AC1575" i="1"/>
  <c r="Z1575" i="1"/>
  <c r="AB1575" i="1" s="1"/>
  <c r="AE1575" i="1" s="1"/>
  <c r="AB1574" i="1"/>
  <c r="AE1574" i="1" s="1"/>
  <c r="Z1574" i="1"/>
  <c r="AC1574" i="1" s="1"/>
  <c r="AC1573" i="1"/>
  <c r="AB1573" i="1"/>
  <c r="AE1573" i="1" s="1"/>
  <c r="Z1573" i="1"/>
  <c r="Z1572" i="1"/>
  <c r="Z1571" i="1"/>
  <c r="AB1570" i="1"/>
  <c r="AE1570" i="1" s="1"/>
  <c r="Z1570" i="1"/>
  <c r="AC1570" i="1" s="1"/>
  <c r="Z1569" i="1"/>
  <c r="AC1569" i="1" s="1"/>
  <c r="Z1568" i="1"/>
  <c r="AB1567" i="1"/>
  <c r="AE1567" i="1" s="1"/>
  <c r="Z1567" i="1"/>
  <c r="AC1567" i="1" s="1"/>
  <c r="Z1566" i="1"/>
  <c r="AB1566" i="1" s="1"/>
  <c r="AE1566" i="1" s="1"/>
  <c r="Z1565" i="1"/>
  <c r="AB1564" i="1"/>
  <c r="AE1564" i="1" s="1"/>
  <c r="Z1564" i="1"/>
  <c r="AC1564" i="1" s="1"/>
  <c r="Z1563" i="1"/>
  <c r="AC1562" i="1"/>
  <c r="Z1562" i="1"/>
  <c r="AB1562" i="1" s="1"/>
  <c r="AE1562" i="1" s="1"/>
  <c r="Z1561" i="1"/>
  <c r="Z1560" i="1"/>
  <c r="Z1559" i="1"/>
  <c r="AB1559" i="1" s="1"/>
  <c r="AE1559" i="1" s="1"/>
  <c r="Z1558" i="1"/>
  <c r="AC1558" i="1" s="1"/>
  <c r="Z1557" i="1"/>
  <c r="AB1556" i="1"/>
  <c r="AE1556" i="1" s="1"/>
  <c r="Z1556" i="1"/>
  <c r="AC1556" i="1" s="1"/>
  <c r="AC1555" i="1"/>
  <c r="AB1555" i="1"/>
  <c r="AE1555" i="1" s="1"/>
  <c r="Z1555" i="1"/>
  <c r="AB1554" i="1"/>
  <c r="AE1554" i="1" s="1"/>
  <c r="Z1554" i="1"/>
  <c r="AC1554" i="1" s="1"/>
  <c r="Z1553" i="1"/>
  <c r="Z1552" i="1"/>
  <c r="AC1552" i="1" s="1"/>
  <c r="Z1551" i="1"/>
  <c r="AC1551" i="1" s="1"/>
  <c r="Z1550" i="1"/>
  <c r="AC1550" i="1" s="1"/>
  <c r="Z1549" i="1"/>
  <c r="AC1549" i="1" s="1"/>
  <c r="Z1548" i="1"/>
  <c r="AC1547" i="1"/>
  <c r="Z1547" i="1"/>
  <c r="AB1547" i="1" s="1"/>
  <c r="AE1547" i="1" s="1"/>
  <c r="Z1546" i="1"/>
  <c r="AB1546" i="1" s="1"/>
  <c r="AE1546" i="1" s="1"/>
  <c r="Z1545" i="1"/>
  <c r="AC1545" i="1" s="1"/>
  <c r="AB1544" i="1"/>
  <c r="AE1544" i="1" s="1"/>
  <c r="Z1544" i="1"/>
  <c r="AC1544" i="1" s="1"/>
  <c r="AC1543" i="1"/>
  <c r="Z1543" i="1"/>
  <c r="AB1543" i="1" s="1"/>
  <c r="AE1543" i="1" s="1"/>
  <c r="AB1542" i="1"/>
  <c r="AE1542" i="1" s="1"/>
  <c r="Z1542" i="1"/>
  <c r="AC1542" i="1" s="1"/>
  <c r="Z1541" i="1"/>
  <c r="AC1541" i="1" s="1"/>
  <c r="Z1540" i="1"/>
  <c r="Z1539" i="1"/>
  <c r="AB1539" i="1" s="1"/>
  <c r="AE1539" i="1" s="1"/>
  <c r="Z1538" i="1"/>
  <c r="Z1537" i="1"/>
  <c r="AC1537" i="1" s="1"/>
  <c r="Z1536" i="1"/>
  <c r="AB1535" i="1"/>
  <c r="AE1535" i="1" s="1"/>
  <c r="Z1535" i="1"/>
  <c r="AC1535" i="1" s="1"/>
  <c r="Z1534" i="1"/>
  <c r="Z1533" i="1"/>
  <c r="AB1532" i="1"/>
  <c r="AE1532" i="1" s="1"/>
  <c r="Z1532" i="1"/>
  <c r="AC1532" i="1" s="1"/>
  <c r="Z1531" i="1"/>
  <c r="AC1530" i="1"/>
  <c r="Z1530" i="1"/>
  <c r="AB1530" i="1" s="1"/>
  <c r="AE1530" i="1" s="1"/>
  <c r="Z1529" i="1"/>
  <c r="Z1528" i="1"/>
  <c r="Z1527" i="1"/>
  <c r="Z1526" i="1"/>
  <c r="AB1526" i="1" s="1"/>
  <c r="AE1526" i="1" s="1"/>
  <c r="AC1525" i="1"/>
  <c r="Z1525" i="1"/>
  <c r="AB1525" i="1" s="1"/>
  <c r="AE1525" i="1" s="1"/>
  <c r="Z1524" i="1"/>
  <c r="AC1524" i="1" s="1"/>
  <c r="Z1523" i="1"/>
  <c r="AC1522" i="1"/>
  <c r="AB1522" i="1"/>
  <c r="AE1522" i="1" s="1"/>
  <c r="Z1522" i="1"/>
  <c r="AC1521" i="1"/>
  <c r="Z1521" i="1"/>
  <c r="AB1521" i="1" s="1"/>
  <c r="AE1521" i="1" s="1"/>
  <c r="Z1520" i="1"/>
  <c r="AC1520" i="1" s="1"/>
  <c r="AB1519" i="1"/>
  <c r="AE1519" i="1" s="1"/>
  <c r="Z1519" i="1"/>
  <c r="AC1519" i="1" s="1"/>
  <c r="Z1518" i="1"/>
  <c r="AC1518" i="1" s="1"/>
  <c r="Z1517" i="1"/>
  <c r="AB1517" i="1" s="1"/>
  <c r="AE1517" i="1" s="1"/>
  <c r="AC1516" i="1"/>
  <c r="AB1516" i="1"/>
  <c r="AE1516" i="1" s="1"/>
  <c r="Z1516" i="1"/>
  <c r="Z1515" i="1"/>
  <c r="AB1515" i="1" s="1"/>
  <c r="AE1515" i="1" s="1"/>
  <c r="AC1514" i="1"/>
  <c r="Z1514" i="1"/>
  <c r="AB1514" i="1" s="1"/>
  <c r="AE1514" i="1" s="1"/>
  <c r="Z1513" i="1"/>
  <c r="AB1512" i="1"/>
  <c r="AE1512" i="1" s="1"/>
  <c r="Z1512" i="1"/>
  <c r="AC1512" i="1" s="1"/>
  <c r="Z1511" i="1"/>
  <c r="AB1511" i="1" s="1"/>
  <c r="AE1511" i="1" s="1"/>
  <c r="AB1510" i="1"/>
  <c r="AE1510" i="1" s="1"/>
  <c r="Z1510" i="1"/>
  <c r="AC1510" i="1" s="1"/>
  <c r="Z1509" i="1"/>
  <c r="AC1509" i="1" s="1"/>
  <c r="Z1508" i="1"/>
  <c r="AB1508" i="1" s="1"/>
  <c r="AE1508" i="1" s="1"/>
  <c r="AC1507" i="1"/>
  <c r="Z1507" i="1"/>
  <c r="AB1507" i="1" s="1"/>
  <c r="AE1507" i="1" s="1"/>
  <c r="Z1506" i="1"/>
  <c r="Z1505" i="1"/>
  <c r="Z1504" i="1"/>
  <c r="Z1503" i="1"/>
  <c r="AC1503" i="1" s="1"/>
  <c r="Z1502" i="1"/>
  <c r="AB1502" i="1" s="1"/>
  <c r="AE1502" i="1" s="1"/>
  <c r="AC1501" i="1"/>
  <c r="Z1501" i="1"/>
  <c r="AB1501" i="1" s="1"/>
  <c r="AE1501" i="1" s="1"/>
  <c r="Z1500" i="1"/>
  <c r="AC1500" i="1" s="1"/>
  <c r="Z1499" i="1"/>
  <c r="Z1498" i="1"/>
  <c r="Z1497" i="1"/>
  <c r="AC1497" i="1" s="1"/>
  <c r="Z1496" i="1"/>
  <c r="AB1496" i="1" s="1"/>
  <c r="AE1496" i="1" s="1"/>
  <c r="Z1495" i="1"/>
  <c r="AB1495" i="1" s="1"/>
  <c r="AE1495" i="1" s="1"/>
  <c r="Z1494" i="1"/>
  <c r="AB1494" i="1" s="1"/>
  <c r="AE1494" i="1" s="1"/>
  <c r="Z1493" i="1"/>
  <c r="AB1493" i="1" s="1"/>
  <c r="AE1493" i="1" s="1"/>
  <c r="Z1492" i="1"/>
  <c r="Z1491" i="1"/>
  <c r="Z1490" i="1"/>
  <c r="AC1490" i="1" s="1"/>
  <c r="Z1489" i="1"/>
  <c r="AB1489" i="1" s="1"/>
  <c r="AE1489" i="1" s="1"/>
  <c r="Z1488" i="1"/>
  <c r="AC1488" i="1" s="1"/>
  <c r="Z1487" i="1"/>
  <c r="Z1486" i="1"/>
  <c r="Z1485" i="1"/>
  <c r="Z1484" i="1"/>
  <c r="AC1484" i="1" s="1"/>
  <c r="Z1483" i="1"/>
  <c r="AB1483" i="1" s="1"/>
  <c r="AE1483" i="1" s="1"/>
  <c r="Z1482" i="1"/>
  <c r="AC1481" i="1"/>
  <c r="AB1481" i="1"/>
  <c r="AE1481" i="1" s="1"/>
  <c r="Z1481" i="1"/>
  <c r="Z1480" i="1"/>
  <c r="Z1479" i="1"/>
  <c r="AB1479" i="1" s="1"/>
  <c r="AE1479" i="1" s="1"/>
  <c r="AC1478" i="1"/>
  <c r="Z1478" i="1"/>
  <c r="AB1478" i="1" s="1"/>
  <c r="AE1478" i="1" s="1"/>
  <c r="Z1477" i="1"/>
  <c r="AC1477" i="1" s="1"/>
  <c r="AB1476" i="1"/>
  <c r="AE1476" i="1" s="1"/>
  <c r="Z1476" i="1"/>
  <c r="AC1476" i="1" s="1"/>
  <c r="Z1475" i="1"/>
  <c r="Z1474" i="1"/>
  <c r="AC1474" i="1" s="1"/>
  <c r="AB1473" i="1"/>
  <c r="AE1473" i="1" s="1"/>
  <c r="Z1473" i="1"/>
  <c r="AC1473" i="1" s="1"/>
  <c r="Z1472" i="1"/>
  <c r="Z1471" i="1"/>
  <c r="Z1470" i="1"/>
  <c r="AC1470" i="1" s="1"/>
  <c r="Z1469" i="1"/>
  <c r="AB1469" i="1" s="1"/>
  <c r="AE1469" i="1" s="1"/>
  <c r="Z1468" i="1"/>
  <c r="AB1468" i="1" s="1"/>
  <c r="AE1468" i="1" s="1"/>
  <c r="Z1467" i="1"/>
  <c r="Z1466" i="1"/>
  <c r="Z1465" i="1"/>
  <c r="AC1465" i="1" s="1"/>
  <c r="Z1464" i="1"/>
  <c r="Z1463" i="1"/>
  <c r="AB1463" i="1" s="1"/>
  <c r="AE1463" i="1" s="1"/>
  <c r="Z1462" i="1"/>
  <c r="AB1462" i="1" s="1"/>
  <c r="AE1462" i="1" s="1"/>
  <c r="Z1461" i="1"/>
  <c r="AB1461" i="1" s="1"/>
  <c r="AE1461" i="1" s="1"/>
  <c r="AB1460" i="1"/>
  <c r="AE1460" i="1" s="1"/>
  <c r="Z1460" i="1"/>
  <c r="AC1460" i="1" s="1"/>
  <c r="Z1459" i="1"/>
  <c r="AB1459" i="1" s="1"/>
  <c r="AE1459" i="1" s="1"/>
  <c r="Z1458" i="1"/>
  <c r="AB1458" i="1" s="1"/>
  <c r="AE1458" i="1" s="1"/>
  <c r="Z1457" i="1"/>
  <c r="AC1457" i="1" s="1"/>
  <c r="Z1456" i="1"/>
  <c r="AC1456" i="1" s="1"/>
  <c r="Z1455" i="1"/>
  <c r="Z1454" i="1"/>
  <c r="AC1454" i="1" s="1"/>
  <c r="Z1453" i="1"/>
  <c r="AC1452" i="1"/>
  <c r="AB1452" i="1"/>
  <c r="AE1452" i="1" s="1"/>
  <c r="Z1452" i="1"/>
  <c r="Z1451" i="1"/>
  <c r="Z1450" i="1"/>
  <c r="Z1449" i="1"/>
  <c r="AC1449" i="1" s="1"/>
  <c r="Z1448" i="1"/>
  <c r="AC1448" i="1" s="1"/>
  <c r="Z1447" i="1"/>
  <c r="Z1446" i="1"/>
  <c r="AB1446" i="1" s="1"/>
  <c r="AE1446" i="1" s="1"/>
  <c r="Z1445" i="1"/>
  <c r="AB1445" i="1" s="1"/>
  <c r="AE1445" i="1" s="1"/>
  <c r="Z1444" i="1"/>
  <c r="Z1443" i="1"/>
  <c r="AB1443" i="1" s="1"/>
  <c r="AE1443" i="1" s="1"/>
  <c r="AB1442" i="1"/>
  <c r="AE1442" i="1" s="1"/>
  <c r="Z1442" i="1"/>
  <c r="AC1442" i="1" s="1"/>
  <c r="Z1441" i="1"/>
  <c r="AC1441" i="1" s="1"/>
  <c r="Z1440" i="1"/>
  <c r="AB1439" i="1"/>
  <c r="AE1439" i="1" s="1"/>
  <c r="Z1439" i="1"/>
  <c r="AC1439" i="1" s="1"/>
  <c r="Z1438" i="1"/>
  <c r="AB1438" i="1" s="1"/>
  <c r="AE1438" i="1" s="1"/>
  <c r="Z1437" i="1"/>
  <c r="AB1436" i="1"/>
  <c r="AE1436" i="1" s="1"/>
  <c r="Z1436" i="1"/>
  <c r="AC1436" i="1" s="1"/>
  <c r="Z1435" i="1"/>
  <c r="AB1435" i="1" s="1"/>
  <c r="AE1435" i="1" s="1"/>
  <c r="Z1434" i="1"/>
  <c r="Z1433" i="1"/>
  <c r="AC1432" i="1"/>
  <c r="Z1432" i="1"/>
  <c r="AB1432" i="1" s="1"/>
  <c r="AE1432" i="1" s="1"/>
  <c r="Z1431" i="1"/>
  <c r="AB1431" i="1" s="1"/>
  <c r="AE1431" i="1" s="1"/>
  <c r="AC1430" i="1"/>
  <c r="AB1430" i="1"/>
  <c r="AE1430" i="1" s="1"/>
  <c r="Z1430" i="1"/>
  <c r="AC1429" i="1"/>
  <c r="AB1429" i="1"/>
  <c r="AE1429" i="1" s="1"/>
  <c r="Z1429" i="1"/>
  <c r="Z1428" i="1"/>
  <c r="Z1427" i="1"/>
  <c r="AB1426" i="1"/>
  <c r="AE1426" i="1" s="1"/>
  <c r="Z1426" i="1"/>
  <c r="AC1426" i="1" s="1"/>
  <c r="AB1425" i="1"/>
  <c r="AE1425" i="1" s="1"/>
  <c r="Z1425" i="1"/>
  <c r="AC1425" i="1" s="1"/>
  <c r="Z1424" i="1"/>
  <c r="Z1423" i="1"/>
  <c r="Z1422" i="1"/>
  <c r="AC1422" i="1" s="1"/>
  <c r="AC1421" i="1"/>
  <c r="AB1421" i="1"/>
  <c r="AE1421" i="1" s="1"/>
  <c r="Z1421" i="1"/>
  <c r="Z1420" i="1"/>
  <c r="AC1420" i="1" s="1"/>
  <c r="Z1419" i="1"/>
  <c r="AB1419" i="1" s="1"/>
  <c r="AE1419" i="1" s="1"/>
  <c r="Z1418" i="1"/>
  <c r="AB1418" i="1" s="1"/>
  <c r="AE1418" i="1" s="1"/>
  <c r="Z1417" i="1"/>
  <c r="AB1417" i="1" s="1"/>
  <c r="AE1417" i="1" s="1"/>
  <c r="Z1416" i="1"/>
  <c r="AC1415" i="1"/>
  <c r="AB1415" i="1"/>
  <c r="AE1415" i="1" s="1"/>
  <c r="Z1415" i="1"/>
  <c r="AC1414" i="1"/>
  <c r="Z1414" i="1"/>
  <c r="AB1414" i="1" s="1"/>
  <c r="AE1414" i="1" s="1"/>
  <c r="AB1413" i="1"/>
  <c r="AE1413" i="1" s="1"/>
  <c r="Z1413" i="1"/>
  <c r="AC1413" i="1" s="1"/>
  <c r="Z1412" i="1"/>
  <c r="AC1412" i="1" s="1"/>
  <c r="Z1411" i="1"/>
  <c r="AB1411" i="1" s="1"/>
  <c r="AE1411" i="1" s="1"/>
  <c r="AB1410" i="1"/>
  <c r="AE1410" i="1" s="1"/>
  <c r="Z1410" i="1"/>
  <c r="AC1410" i="1" s="1"/>
  <c r="Z1409" i="1"/>
  <c r="AC1409" i="1" s="1"/>
  <c r="Z1408" i="1"/>
  <c r="Z1407" i="1"/>
  <c r="AC1407" i="1" s="1"/>
  <c r="Z1406" i="1"/>
  <c r="AC1406" i="1" s="1"/>
  <c r="Z1405" i="1"/>
  <c r="Z1404" i="1"/>
  <c r="AC1404" i="1" s="1"/>
  <c r="Z1403" i="1"/>
  <c r="Z1402" i="1"/>
  <c r="AC1401" i="1"/>
  <c r="Z1401" i="1"/>
  <c r="AB1401" i="1" s="1"/>
  <c r="AE1401" i="1" s="1"/>
  <c r="Z1400" i="1"/>
  <c r="AC1400" i="1" s="1"/>
  <c r="Z1399" i="1"/>
  <c r="AB1399" i="1" s="1"/>
  <c r="AE1399" i="1" s="1"/>
  <c r="Z1398" i="1"/>
  <c r="AC1398" i="1" s="1"/>
  <c r="AB1397" i="1"/>
  <c r="AE1397" i="1" s="1"/>
  <c r="Z1397" i="1"/>
  <c r="AC1397" i="1" s="1"/>
  <c r="Z1396" i="1"/>
  <c r="Z1395" i="1"/>
  <c r="Z1394" i="1"/>
  <c r="AC1394" i="1" s="1"/>
  <c r="Z1393" i="1"/>
  <c r="AC1393" i="1" s="1"/>
  <c r="Z1392" i="1"/>
  <c r="AC1392" i="1" s="1"/>
  <c r="Z1391" i="1"/>
  <c r="Z1390" i="1"/>
  <c r="AC1390" i="1" s="1"/>
  <c r="Z1389" i="1"/>
  <c r="AC1388" i="1"/>
  <c r="AB1388" i="1"/>
  <c r="AE1388" i="1" s="1"/>
  <c r="Z1388" i="1"/>
  <c r="Z1387" i="1"/>
  <c r="Z1386" i="1"/>
  <c r="AB1386" i="1" s="1"/>
  <c r="AE1386" i="1" s="1"/>
  <c r="Z1385" i="1"/>
  <c r="AC1385" i="1" s="1"/>
  <c r="Z1384" i="1"/>
  <c r="AC1384" i="1" s="1"/>
  <c r="Z1383" i="1"/>
  <c r="AB1383" i="1" s="1"/>
  <c r="AE1383" i="1" s="1"/>
  <c r="Z1382" i="1"/>
  <c r="AB1382" i="1" s="1"/>
  <c r="AE1382" i="1" s="1"/>
  <c r="Z1381" i="1"/>
  <c r="AC1380" i="1"/>
  <c r="Z1380" i="1"/>
  <c r="AB1380" i="1" s="1"/>
  <c r="AE1380" i="1" s="1"/>
  <c r="Z1379" i="1"/>
  <c r="Z1378" i="1"/>
  <c r="AB1378" i="1" s="1"/>
  <c r="AE1378" i="1" s="1"/>
  <c r="Z1377" i="1"/>
  <c r="Z1376" i="1"/>
  <c r="Z1375" i="1"/>
  <c r="Z1374" i="1"/>
  <c r="AB1374" i="1" s="1"/>
  <c r="AE1374" i="1" s="1"/>
  <c r="Z1373" i="1"/>
  <c r="AB1373" i="1" s="1"/>
  <c r="AE1373" i="1" s="1"/>
  <c r="Z1372" i="1"/>
  <c r="AC1372" i="1" s="1"/>
  <c r="Z1371" i="1"/>
  <c r="AB1371" i="1" s="1"/>
  <c r="AE1371" i="1" s="1"/>
  <c r="Z1370" i="1"/>
  <c r="Z1369" i="1"/>
  <c r="Z1368" i="1"/>
  <c r="AC1367" i="1"/>
  <c r="Z1367" i="1"/>
  <c r="AB1367" i="1" s="1"/>
  <c r="AE1367" i="1" s="1"/>
  <c r="AB1366" i="1"/>
  <c r="AE1366" i="1" s="1"/>
  <c r="Z1366" i="1"/>
  <c r="AC1366" i="1" s="1"/>
  <c r="Z1365" i="1"/>
  <c r="AB1365" i="1" s="1"/>
  <c r="AE1365" i="1" s="1"/>
  <c r="Z1364" i="1"/>
  <c r="Z1363" i="1"/>
  <c r="AC1363" i="1" s="1"/>
  <c r="Z1362" i="1"/>
  <c r="Z1361" i="1"/>
  <c r="AC1361" i="1" s="1"/>
  <c r="Z1360" i="1"/>
  <c r="Z1359" i="1"/>
  <c r="AB1358" i="1"/>
  <c r="AE1358" i="1" s="1"/>
  <c r="Z1358" i="1"/>
  <c r="AC1358" i="1" s="1"/>
  <c r="AB1357" i="1"/>
  <c r="AE1357" i="1" s="1"/>
  <c r="Z1357" i="1"/>
  <c r="AC1357" i="1" s="1"/>
  <c r="Z1356" i="1"/>
  <c r="AC1356" i="1" s="1"/>
  <c r="Z1355" i="1"/>
  <c r="AB1355" i="1" s="1"/>
  <c r="AE1355" i="1" s="1"/>
  <c r="AC1354" i="1"/>
  <c r="Z1354" i="1"/>
  <c r="AB1354" i="1" s="1"/>
  <c r="AE1354" i="1" s="1"/>
  <c r="Z1353" i="1"/>
  <c r="AC1353" i="1" s="1"/>
  <c r="Z1352" i="1"/>
  <c r="AC1352" i="1" s="1"/>
  <c r="AC1351" i="1"/>
  <c r="AB1351" i="1"/>
  <c r="AE1351" i="1" s="1"/>
  <c r="Z1351" i="1"/>
  <c r="AC1350" i="1"/>
  <c r="Z1350" i="1"/>
  <c r="AB1350" i="1" s="1"/>
  <c r="AE1350" i="1" s="1"/>
  <c r="Z1349" i="1"/>
  <c r="AC1349" i="1" s="1"/>
  <c r="Z1348" i="1"/>
  <c r="Z1347" i="1"/>
  <c r="AB1347" i="1" s="1"/>
  <c r="AE1347" i="1" s="1"/>
  <c r="Z1346" i="1"/>
  <c r="Z1345" i="1"/>
  <c r="AC1345" i="1" s="1"/>
  <c r="Z1344" i="1"/>
  <c r="Z1343" i="1"/>
  <c r="AB1342" i="1"/>
  <c r="AE1342" i="1" s="1"/>
  <c r="Z1342" i="1"/>
  <c r="AC1342" i="1" s="1"/>
  <c r="Z1341" i="1"/>
  <c r="AB1341" i="1" s="1"/>
  <c r="AE1341" i="1" s="1"/>
  <c r="Z1340" i="1"/>
  <c r="AC1340" i="1" s="1"/>
  <c r="Z1339" i="1"/>
  <c r="AC1338" i="1"/>
  <c r="Z1338" i="1"/>
  <c r="AB1338" i="1" s="1"/>
  <c r="AE1338" i="1" s="1"/>
  <c r="Z1337" i="1"/>
  <c r="Z1336" i="1"/>
  <c r="Z1335" i="1"/>
  <c r="AB1335" i="1" s="1"/>
  <c r="AE1335" i="1" s="1"/>
  <c r="Z1334" i="1"/>
  <c r="AC1334" i="1" s="1"/>
  <c r="AB1333" i="1"/>
  <c r="AE1333" i="1" s="1"/>
  <c r="Z1333" i="1"/>
  <c r="AC1333" i="1" s="1"/>
  <c r="Z1332" i="1"/>
  <c r="AC1331" i="1"/>
  <c r="Z1331" i="1"/>
  <c r="AB1331" i="1" s="1"/>
  <c r="AE1331" i="1" s="1"/>
  <c r="Z1330" i="1"/>
  <c r="Z1329" i="1"/>
  <c r="AC1329" i="1" s="1"/>
  <c r="AB1328" i="1"/>
  <c r="AE1328" i="1" s="1"/>
  <c r="Z1328" i="1"/>
  <c r="AC1328" i="1" s="1"/>
  <c r="Z1327" i="1"/>
  <c r="Z1326" i="1"/>
  <c r="AC1326" i="1" s="1"/>
  <c r="Z1325" i="1"/>
  <c r="Z1324" i="1"/>
  <c r="AC1324" i="1" s="1"/>
  <c r="Z1323" i="1"/>
  <c r="Z1322" i="1"/>
  <c r="AB1322" i="1" s="1"/>
  <c r="AE1322" i="1" s="1"/>
  <c r="Z1321" i="1"/>
  <c r="AC1321" i="1" s="1"/>
  <c r="Z1320" i="1"/>
  <c r="AC1320" i="1" s="1"/>
  <c r="AC1319" i="1"/>
  <c r="Z1319" i="1"/>
  <c r="AB1319" i="1" s="1"/>
  <c r="AE1319" i="1" s="1"/>
  <c r="Z1318" i="1"/>
  <c r="AC1318" i="1" s="1"/>
  <c r="Z1317" i="1"/>
  <c r="AB1317" i="1" s="1"/>
  <c r="AE1317" i="1" s="1"/>
  <c r="Z1316" i="1"/>
  <c r="AB1316" i="1" s="1"/>
  <c r="AE1316" i="1" s="1"/>
  <c r="Z1315" i="1"/>
  <c r="AC1315" i="1" s="1"/>
  <c r="AB1314" i="1"/>
  <c r="AE1314" i="1" s="1"/>
  <c r="Z1314" i="1"/>
  <c r="AC1314" i="1" s="1"/>
  <c r="Z1313" i="1"/>
  <c r="Z1312" i="1"/>
  <c r="Z1311" i="1"/>
  <c r="Z1310" i="1"/>
  <c r="AB1310" i="1" s="1"/>
  <c r="AE1310" i="1" s="1"/>
  <c r="Z1309" i="1"/>
  <c r="Z1308" i="1"/>
  <c r="AC1308" i="1" s="1"/>
  <c r="Z1307" i="1"/>
  <c r="AB1307" i="1" s="1"/>
  <c r="AE1307" i="1" s="1"/>
  <c r="Z1306" i="1"/>
  <c r="AC1305" i="1"/>
  <c r="AB1305" i="1"/>
  <c r="AE1305" i="1" s="1"/>
  <c r="Z1305" i="1"/>
  <c r="Z1304" i="1"/>
  <c r="AB1304" i="1" s="1"/>
  <c r="AE1304" i="1" s="1"/>
  <c r="Z1303" i="1"/>
  <c r="AC1303" i="1" s="1"/>
  <c r="AC1302" i="1"/>
  <c r="Z1302" i="1"/>
  <c r="AB1302" i="1" s="1"/>
  <c r="AE1302" i="1" s="1"/>
  <c r="Z1301" i="1"/>
  <c r="AB1301" i="1" s="1"/>
  <c r="AE1301" i="1" s="1"/>
  <c r="Z1300" i="1"/>
  <c r="Z1299" i="1"/>
  <c r="AC1299" i="1" s="1"/>
  <c r="AB1298" i="1"/>
  <c r="AE1298" i="1" s="1"/>
  <c r="Z1298" i="1"/>
  <c r="AC1298" i="1" s="1"/>
  <c r="AB1297" i="1"/>
  <c r="AE1297" i="1" s="1"/>
  <c r="Z1297" i="1"/>
  <c r="AC1297" i="1" s="1"/>
  <c r="Z1296" i="1"/>
  <c r="AB1295" i="1"/>
  <c r="AE1295" i="1" s="1"/>
  <c r="Z1295" i="1"/>
  <c r="AC1295" i="1" s="1"/>
  <c r="Z1294" i="1"/>
  <c r="AC1293" i="1"/>
  <c r="Z1293" i="1"/>
  <c r="AB1293" i="1" s="1"/>
  <c r="AE1293" i="1" s="1"/>
  <c r="Z1292" i="1"/>
  <c r="Z1291" i="1"/>
  <c r="AC1290" i="1"/>
  <c r="Z1290" i="1"/>
  <c r="AB1290" i="1" s="1"/>
  <c r="AE1290" i="1" s="1"/>
  <c r="Z1289" i="1"/>
  <c r="Z1288" i="1"/>
  <c r="AC1288" i="1" s="1"/>
  <c r="AC1287" i="1"/>
  <c r="AB1287" i="1"/>
  <c r="AE1287" i="1" s="1"/>
  <c r="Z1287" i="1"/>
  <c r="Z1286" i="1"/>
  <c r="AC1286" i="1" s="1"/>
  <c r="Z1285" i="1"/>
  <c r="AC1285" i="1" s="1"/>
  <c r="Z1284" i="1"/>
  <c r="Z1283" i="1"/>
  <c r="Z1282" i="1"/>
  <c r="AC1282" i="1" s="1"/>
  <c r="Z1281" i="1"/>
  <c r="AC1281" i="1" s="1"/>
  <c r="Z1280" i="1"/>
  <c r="Z1279" i="1"/>
  <c r="Z1278" i="1"/>
  <c r="Z1277" i="1"/>
  <c r="AB1276" i="1"/>
  <c r="AE1276" i="1" s="1"/>
  <c r="Z1276" i="1"/>
  <c r="AC1276" i="1" s="1"/>
  <c r="Z1275" i="1"/>
  <c r="Z1274" i="1"/>
  <c r="Z1273" i="1"/>
  <c r="AB1272" i="1"/>
  <c r="AE1272" i="1" s="1"/>
  <c r="Z1272" i="1"/>
  <c r="AC1272" i="1" s="1"/>
  <c r="Z1271" i="1"/>
  <c r="AC1270" i="1"/>
  <c r="AB1270" i="1"/>
  <c r="AE1270" i="1" s="1"/>
  <c r="Z1270" i="1"/>
  <c r="AC1269" i="1"/>
  <c r="AB1269" i="1"/>
  <c r="AE1269" i="1" s="1"/>
  <c r="Z1269" i="1"/>
  <c r="Z1268" i="1"/>
  <c r="Z1267" i="1"/>
  <c r="AB1267" i="1" s="1"/>
  <c r="AE1267" i="1" s="1"/>
  <c r="AC1266" i="1"/>
  <c r="Z1266" i="1"/>
  <c r="AB1266" i="1" s="1"/>
  <c r="AE1266" i="1" s="1"/>
  <c r="Z1265" i="1"/>
  <c r="Z1264" i="1"/>
  <c r="AC1264" i="1" s="1"/>
  <c r="Z1263" i="1"/>
  <c r="AC1263" i="1" s="1"/>
  <c r="Z1262" i="1"/>
  <c r="AC1262" i="1" s="1"/>
  <c r="Z1261" i="1"/>
  <c r="AB1261" i="1" s="1"/>
  <c r="AE1261" i="1" s="1"/>
  <c r="AC1260" i="1"/>
  <c r="AB1260" i="1"/>
  <c r="AE1260" i="1" s="1"/>
  <c r="Z1260" i="1"/>
  <c r="Z1259" i="1"/>
  <c r="AC1258" i="1"/>
  <c r="Z1258" i="1"/>
  <c r="AB1258" i="1" s="1"/>
  <c r="AE1258" i="1" s="1"/>
  <c r="Z1257" i="1"/>
  <c r="Z1256" i="1"/>
  <c r="AC1256" i="1" s="1"/>
  <c r="Z1255" i="1"/>
  <c r="Z1254" i="1"/>
  <c r="AC1254" i="1" s="1"/>
  <c r="Z1253" i="1"/>
  <c r="AC1253" i="1" s="1"/>
  <c r="Z1252" i="1"/>
  <c r="Z1251" i="1"/>
  <c r="AB1251" i="1" s="1"/>
  <c r="AE1251" i="1" s="1"/>
  <c r="AB1250" i="1"/>
  <c r="AE1250" i="1" s="1"/>
  <c r="Z1250" i="1"/>
  <c r="AC1250" i="1" s="1"/>
  <c r="Z1249" i="1"/>
  <c r="Z1248" i="1"/>
  <c r="AC1248" i="1" s="1"/>
  <c r="Z1247" i="1"/>
  <c r="Z1246" i="1"/>
  <c r="AC1246" i="1" s="1"/>
  <c r="Z1245" i="1"/>
  <c r="AC1245" i="1" s="1"/>
  <c r="Z1244" i="1"/>
  <c r="Z1243" i="1"/>
  <c r="AC1243" i="1" s="1"/>
  <c r="Z1242" i="1"/>
  <c r="AB1241" i="1"/>
  <c r="AE1241" i="1" s="1"/>
  <c r="Z1241" i="1"/>
  <c r="AC1241" i="1" s="1"/>
  <c r="Z1240" i="1"/>
  <c r="AB1240" i="1" s="1"/>
  <c r="AE1240" i="1" s="1"/>
  <c r="AB1239" i="1"/>
  <c r="AE1239" i="1" s="1"/>
  <c r="Z1239" i="1"/>
  <c r="AC1239" i="1" s="1"/>
  <c r="Z1238" i="1"/>
  <c r="Z1237" i="1"/>
  <c r="AB1237" i="1" s="1"/>
  <c r="AE1237" i="1" s="1"/>
  <c r="Z1236" i="1"/>
  <c r="AB1236" i="1" s="1"/>
  <c r="AE1236" i="1" s="1"/>
  <c r="Z1235" i="1"/>
  <c r="AC1235" i="1" s="1"/>
  <c r="AB1234" i="1"/>
  <c r="AE1234" i="1" s="1"/>
  <c r="Z1234" i="1"/>
  <c r="AC1234" i="1" s="1"/>
  <c r="Z1233" i="1"/>
  <c r="AB1233" i="1" s="1"/>
  <c r="AE1233" i="1" s="1"/>
  <c r="AB1232" i="1"/>
  <c r="AE1232" i="1" s="1"/>
  <c r="Z1232" i="1"/>
  <c r="AC1232" i="1" s="1"/>
  <c r="AB1231" i="1"/>
  <c r="AE1231" i="1" s="1"/>
  <c r="Z1231" i="1"/>
  <c r="AC1231" i="1" s="1"/>
  <c r="AB1230" i="1"/>
  <c r="AE1230" i="1" s="1"/>
  <c r="Z1230" i="1"/>
  <c r="AC1230" i="1" s="1"/>
  <c r="Z1229" i="1"/>
  <c r="Z1228" i="1"/>
  <c r="AC1228" i="1" s="1"/>
  <c r="Z1227" i="1"/>
  <c r="Z1226" i="1"/>
  <c r="Z1225" i="1"/>
  <c r="Z1224" i="1"/>
  <c r="AB1224" i="1" s="1"/>
  <c r="AE1224" i="1" s="1"/>
  <c r="Z1223" i="1"/>
  <c r="Z1222" i="1"/>
  <c r="AB1221" i="1"/>
  <c r="AE1221" i="1" s="1"/>
  <c r="Z1221" i="1"/>
  <c r="AC1221" i="1" s="1"/>
  <c r="Z1220" i="1"/>
  <c r="Z1219" i="1"/>
  <c r="AC1219" i="1" s="1"/>
  <c r="AB1218" i="1"/>
  <c r="AE1218" i="1" s="1"/>
  <c r="Z1218" i="1"/>
  <c r="AC1218" i="1" s="1"/>
  <c r="Z1217" i="1"/>
  <c r="AC1217" i="1" s="1"/>
  <c r="Z1216" i="1"/>
  <c r="AC1216" i="1" s="1"/>
  <c r="Z1215" i="1"/>
  <c r="Z1214" i="1"/>
  <c r="AB1214" i="1" s="1"/>
  <c r="AE1214" i="1" s="1"/>
  <c r="Z1213" i="1"/>
  <c r="Z1212" i="1"/>
  <c r="AB1212" i="1" s="1"/>
  <c r="AE1212" i="1" s="1"/>
  <c r="Z1211" i="1"/>
  <c r="AB1211" i="1" s="1"/>
  <c r="AE1211" i="1" s="1"/>
  <c r="Z1210" i="1"/>
  <c r="Z1209" i="1"/>
  <c r="AB1209" i="1" s="1"/>
  <c r="AE1209" i="1" s="1"/>
  <c r="AC1208" i="1"/>
  <c r="AB1208" i="1"/>
  <c r="AE1208" i="1" s="1"/>
  <c r="Z1208" i="1"/>
  <c r="AB1207" i="1"/>
  <c r="AE1207" i="1" s="1"/>
  <c r="Z1207" i="1"/>
  <c r="AC1207" i="1" s="1"/>
  <c r="Z1206" i="1"/>
  <c r="AC1206" i="1" s="1"/>
  <c r="Z1205" i="1"/>
  <c r="Z1204" i="1"/>
  <c r="Z1203" i="1"/>
  <c r="Z1202" i="1"/>
  <c r="AB1202" i="1" s="1"/>
  <c r="AE1202" i="1" s="1"/>
  <c r="Z1201" i="1"/>
  <c r="AC1201" i="1" s="1"/>
  <c r="AC1200" i="1"/>
  <c r="AB1200" i="1"/>
  <c r="AE1200" i="1" s="1"/>
  <c r="Z1200" i="1"/>
  <c r="Z1199" i="1"/>
  <c r="AC1199" i="1" s="1"/>
  <c r="Z1198" i="1"/>
  <c r="Z1197" i="1"/>
  <c r="AB1197" i="1" s="1"/>
  <c r="AE1197" i="1" s="1"/>
  <c r="Z1196" i="1"/>
  <c r="AC1196" i="1" s="1"/>
  <c r="Z1195" i="1"/>
  <c r="Z1194" i="1"/>
  <c r="AB1194" i="1" s="1"/>
  <c r="AE1194" i="1" s="1"/>
  <c r="Z1193" i="1"/>
  <c r="AC1193" i="1" s="1"/>
  <c r="Z1192" i="1"/>
  <c r="AC1192" i="1" s="1"/>
  <c r="Z1191" i="1"/>
  <c r="AC1191" i="1" s="1"/>
  <c r="AB1190" i="1"/>
  <c r="AE1190" i="1" s="1"/>
  <c r="Z1190" i="1"/>
  <c r="AC1190" i="1" s="1"/>
  <c r="Z1189" i="1"/>
  <c r="AC1189" i="1" s="1"/>
  <c r="Z1188" i="1"/>
  <c r="Z1187" i="1"/>
  <c r="Z1186" i="1"/>
  <c r="Z1185" i="1"/>
  <c r="Z1184" i="1"/>
  <c r="AB1183" i="1"/>
  <c r="AE1183" i="1" s="1"/>
  <c r="Z1183" i="1"/>
  <c r="AC1183" i="1" s="1"/>
  <c r="Z1182" i="1"/>
  <c r="AB1182" i="1" s="1"/>
  <c r="AE1182" i="1" s="1"/>
  <c r="Z1181" i="1"/>
  <c r="AC1181" i="1" s="1"/>
  <c r="Z1180" i="1"/>
  <c r="AB1180" i="1" s="1"/>
  <c r="AE1180" i="1" s="1"/>
  <c r="Z1179" i="1"/>
  <c r="AC1178" i="1"/>
  <c r="Z1178" i="1"/>
  <c r="AB1178" i="1" s="1"/>
  <c r="AE1178" i="1" s="1"/>
  <c r="Z1177" i="1"/>
  <c r="AB1177" i="1" s="1"/>
  <c r="AE1177" i="1" s="1"/>
  <c r="AB1176" i="1"/>
  <c r="AE1176" i="1" s="1"/>
  <c r="Z1176" i="1"/>
  <c r="AC1176" i="1" s="1"/>
  <c r="AC1175" i="1"/>
  <c r="Z1175" i="1"/>
  <c r="AB1175" i="1" s="1"/>
  <c r="AE1175" i="1" s="1"/>
  <c r="Z1174" i="1"/>
  <c r="AB1174" i="1" s="1"/>
  <c r="AE1174" i="1" s="1"/>
  <c r="Z1173" i="1"/>
  <c r="Z1172" i="1"/>
  <c r="AB1172" i="1" s="1"/>
  <c r="AE1172" i="1" s="1"/>
  <c r="Z1171" i="1"/>
  <c r="AC1171" i="1" s="1"/>
  <c r="Z1170" i="1"/>
  <c r="AC1170" i="1" s="1"/>
  <c r="Z1169" i="1"/>
  <c r="AB1169" i="1" s="1"/>
  <c r="AE1169" i="1" s="1"/>
  <c r="AB1168" i="1"/>
  <c r="AE1168" i="1" s="1"/>
  <c r="Z1168" i="1"/>
  <c r="AC1168" i="1" s="1"/>
  <c r="Z1167" i="1"/>
  <c r="Z1166" i="1"/>
  <c r="Z1165" i="1"/>
  <c r="AB1165" i="1" s="1"/>
  <c r="AE1165" i="1" s="1"/>
  <c r="Z1164" i="1"/>
  <c r="AC1164" i="1" s="1"/>
  <c r="Z1163" i="1"/>
  <c r="AC1162" i="1"/>
  <c r="Z1162" i="1"/>
  <c r="AB1162" i="1" s="1"/>
  <c r="AE1162" i="1" s="1"/>
  <c r="Z1161" i="1"/>
  <c r="AB1161" i="1" s="1"/>
  <c r="AE1161" i="1" s="1"/>
  <c r="AC1160" i="1"/>
  <c r="AB1160" i="1"/>
  <c r="AE1160" i="1" s="1"/>
  <c r="Z1160" i="1"/>
  <c r="Z1159" i="1"/>
  <c r="Z1158" i="1"/>
  <c r="Z1157" i="1"/>
  <c r="AB1157" i="1" s="1"/>
  <c r="AE1157" i="1" s="1"/>
  <c r="Z1156" i="1"/>
  <c r="AB1156" i="1" s="1"/>
  <c r="AE1156" i="1" s="1"/>
  <c r="AB1155" i="1"/>
  <c r="AE1155" i="1" s="1"/>
  <c r="Z1155" i="1"/>
  <c r="AC1155" i="1" s="1"/>
  <c r="Z1154" i="1"/>
  <c r="AC1153" i="1"/>
  <c r="Z1153" i="1"/>
  <c r="AB1153" i="1" s="1"/>
  <c r="AE1153" i="1" s="1"/>
  <c r="Z1152" i="1"/>
  <c r="AC1151" i="1"/>
  <c r="Z1151" i="1"/>
  <c r="AB1151" i="1" s="1"/>
  <c r="AE1151" i="1" s="1"/>
  <c r="Z1150" i="1"/>
  <c r="AB1150" i="1" s="1"/>
  <c r="AE1150" i="1" s="1"/>
  <c r="AC1149" i="1"/>
  <c r="Z1149" i="1"/>
  <c r="AB1149" i="1" s="1"/>
  <c r="AE1149" i="1" s="1"/>
  <c r="Z1148" i="1"/>
  <c r="AB1148" i="1" s="1"/>
  <c r="AE1148" i="1" s="1"/>
  <c r="Z1147" i="1"/>
  <c r="AC1147" i="1" s="1"/>
  <c r="AB1146" i="1"/>
  <c r="AE1146" i="1" s="1"/>
  <c r="Z1146" i="1"/>
  <c r="AC1146" i="1" s="1"/>
  <c r="Z1145" i="1"/>
  <c r="AC1145" i="1" s="1"/>
  <c r="Z1144" i="1"/>
  <c r="AB1144" i="1" s="1"/>
  <c r="AE1144" i="1" s="1"/>
  <c r="Z1143" i="1"/>
  <c r="Z1142" i="1"/>
  <c r="AB1142" i="1" s="1"/>
  <c r="AE1142" i="1" s="1"/>
  <c r="Z1141" i="1"/>
  <c r="Z1140" i="1"/>
  <c r="AC1140" i="1" s="1"/>
  <c r="Z1139" i="1"/>
  <c r="Z1138" i="1"/>
  <c r="AC1138" i="1" s="1"/>
  <c r="Z1137" i="1"/>
  <c r="AC1137" i="1" s="1"/>
  <c r="Z1136" i="1"/>
  <c r="AB1136" i="1" s="1"/>
  <c r="AE1136" i="1" s="1"/>
  <c r="AC1135" i="1"/>
  <c r="Z1135" i="1"/>
  <c r="AB1135" i="1" s="1"/>
  <c r="AE1135" i="1" s="1"/>
  <c r="Z1134" i="1"/>
  <c r="AC1134" i="1" s="1"/>
  <c r="Z1133" i="1"/>
  <c r="Z1132" i="1"/>
  <c r="AB1132" i="1" s="1"/>
  <c r="AE1132" i="1" s="1"/>
  <c r="Z1131" i="1"/>
  <c r="Z1130" i="1"/>
  <c r="Z1129" i="1"/>
  <c r="AB1129" i="1" s="1"/>
  <c r="AE1129" i="1" s="1"/>
  <c r="Z1128" i="1"/>
  <c r="AC1128" i="1" s="1"/>
  <c r="AC1127" i="1"/>
  <c r="Z1127" i="1"/>
  <c r="AB1127" i="1" s="1"/>
  <c r="AE1127" i="1" s="1"/>
  <c r="Z1126" i="1"/>
  <c r="Z1125" i="1"/>
  <c r="AC1125" i="1" s="1"/>
  <c r="Z1124" i="1"/>
  <c r="Z1123" i="1"/>
  <c r="AC1123" i="1" s="1"/>
  <c r="Z1122" i="1"/>
  <c r="AC1122" i="1" s="1"/>
  <c r="Z1121" i="1"/>
  <c r="AB1121" i="1" s="1"/>
  <c r="AE1121" i="1" s="1"/>
  <c r="Z1120" i="1"/>
  <c r="Z1119" i="1"/>
  <c r="AC1119" i="1" s="1"/>
  <c r="Z1118" i="1"/>
  <c r="AC1118" i="1" s="1"/>
  <c r="AC1117" i="1"/>
  <c r="Z1117" i="1"/>
  <c r="AB1117" i="1" s="1"/>
  <c r="AE1117" i="1" s="1"/>
  <c r="AB1116" i="1"/>
  <c r="AE1116" i="1" s="1"/>
  <c r="Z1116" i="1"/>
  <c r="AC1116" i="1" s="1"/>
  <c r="Z1115" i="1"/>
  <c r="Z1114" i="1"/>
  <c r="Z1113" i="1"/>
  <c r="AC1112" i="1"/>
  <c r="AB1112" i="1"/>
  <c r="AE1112" i="1" s="1"/>
  <c r="Z1112" i="1"/>
  <c r="Z1111" i="1"/>
  <c r="AC1111" i="1" s="1"/>
  <c r="Z1110" i="1"/>
  <c r="AC1109" i="1"/>
  <c r="Z1109" i="1"/>
  <c r="AB1109" i="1" s="1"/>
  <c r="AE1109" i="1" s="1"/>
  <c r="Z1108" i="1"/>
  <c r="AB1108" i="1" s="1"/>
  <c r="AE1108" i="1" s="1"/>
  <c r="AC1107" i="1"/>
  <c r="Z1107" i="1"/>
  <c r="AB1107" i="1" s="1"/>
  <c r="AE1107" i="1" s="1"/>
  <c r="AB1106" i="1"/>
  <c r="AE1106" i="1" s="1"/>
  <c r="Z1106" i="1"/>
  <c r="AC1106" i="1" s="1"/>
  <c r="AC1105" i="1"/>
  <c r="Z1105" i="1"/>
  <c r="AB1105" i="1" s="1"/>
  <c r="AE1105" i="1" s="1"/>
  <c r="Z1104" i="1"/>
  <c r="AC1104" i="1" s="1"/>
  <c r="AC1103" i="1"/>
  <c r="Z1103" i="1"/>
  <c r="AB1103" i="1" s="1"/>
  <c r="AE1103" i="1" s="1"/>
  <c r="Z1102" i="1"/>
  <c r="Z1101" i="1"/>
  <c r="Z1100" i="1"/>
  <c r="Z1099" i="1"/>
  <c r="AC1099" i="1" s="1"/>
  <c r="Z1098" i="1"/>
  <c r="AC1098" i="1" s="1"/>
  <c r="Z1097" i="1"/>
  <c r="AB1097" i="1" s="1"/>
  <c r="AE1097" i="1" s="1"/>
  <c r="AB1096" i="1"/>
  <c r="AE1096" i="1" s="1"/>
  <c r="Z1096" i="1"/>
  <c r="AC1096" i="1" s="1"/>
  <c r="AB1095" i="1"/>
  <c r="AE1095" i="1" s="1"/>
  <c r="Z1095" i="1"/>
  <c r="AC1095" i="1" s="1"/>
  <c r="Z1094" i="1"/>
  <c r="AB1093" i="1"/>
  <c r="AE1093" i="1" s="1"/>
  <c r="Z1093" i="1"/>
  <c r="AC1093" i="1" s="1"/>
  <c r="Z1092" i="1"/>
  <c r="AB1091" i="1"/>
  <c r="AE1091" i="1" s="1"/>
  <c r="Z1091" i="1"/>
  <c r="AC1091" i="1" s="1"/>
  <c r="Z1090" i="1"/>
  <c r="AC1090" i="1" s="1"/>
  <c r="Z1089" i="1"/>
  <c r="AB1089" i="1" s="1"/>
  <c r="AE1089" i="1" s="1"/>
  <c r="Z1088" i="1"/>
  <c r="AC1088" i="1" s="1"/>
  <c r="Z1087" i="1"/>
  <c r="AC1087" i="1" s="1"/>
  <c r="AC1086" i="1"/>
  <c r="Z1086" i="1"/>
  <c r="AB1086" i="1" s="1"/>
  <c r="AE1086" i="1" s="1"/>
  <c r="AC1085" i="1"/>
  <c r="Z1085" i="1"/>
  <c r="AB1085" i="1" s="1"/>
  <c r="AE1085" i="1" s="1"/>
  <c r="AB1084" i="1"/>
  <c r="AE1084" i="1" s="1"/>
  <c r="Z1084" i="1"/>
  <c r="AC1084" i="1" s="1"/>
  <c r="Z1083" i="1"/>
  <c r="AC1083" i="1" s="1"/>
  <c r="Z1082" i="1"/>
  <c r="AC1082" i="1" s="1"/>
  <c r="Z1081" i="1"/>
  <c r="Z1080" i="1"/>
  <c r="AC1080" i="1" s="1"/>
  <c r="Z1079" i="1"/>
  <c r="AB1079" i="1" s="1"/>
  <c r="AE1079" i="1" s="1"/>
  <c r="Z1078" i="1"/>
  <c r="AB1078" i="1" s="1"/>
  <c r="AE1078" i="1" s="1"/>
  <c r="AC1077" i="1"/>
  <c r="AB1077" i="1"/>
  <c r="AE1077" i="1" s="1"/>
  <c r="Z1077" i="1"/>
  <c r="Z1076" i="1"/>
  <c r="AC1076" i="1" s="1"/>
  <c r="Z1075" i="1"/>
  <c r="AC1075" i="1" s="1"/>
  <c r="Z1074" i="1"/>
  <c r="AC1074" i="1" s="1"/>
  <c r="AC1073" i="1"/>
  <c r="AB1073" i="1"/>
  <c r="AE1073" i="1" s="1"/>
  <c r="Z1073" i="1"/>
  <c r="Z1072" i="1"/>
  <c r="AB1072" i="1" s="1"/>
  <c r="AE1072" i="1" s="1"/>
  <c r="Z1071" i="1"/>
  <c r="AB1071" i="1" s="1"/>
  <c r="AE1071" i="1" s="1"/>
  <c r="Z1070" i="1"/>
  <c r="Z1069" i="1"/>
  <c r="Z1068" i="1"/>
  <c r="AC1068" i="1" s="1"/>
  <c r="Z1067" i="1"/>
  <c r="Z1066" i="1"/>
  <c r="AB1066" i="1" s="1"/>
  <c r="AE1066" i="1" s="1"/>
  <c r="Z1065" i="1"/>
  <c r="AB1065" i="1" s="1"/>
  <c r="AE1065" i="1" s="1"/>
  <c r="Z1064" i="1"/>
  <c r="AC1064" i="1" s="1"/>
  <c r="Z1063" i="1"/>
  <c r="AB1063" i="1" s="1"/>
  <c r="AE1063" i="1" s="1"/>
  <c r="Z1062" i="1"/>
  <c r="AB1062" i="1" s="1"/>
  <c r="AE1062" i="1" s="1"/>
  <c r="Z1061" i="1"/>
  <c r="AB1060" i="1"/>
  <c r="AE1060" i="1" s="1"/>
  <c r="Z1060" i="1"/>
  <c r="AC1060" i="1" s="1"/>
  <c r="Z1059" i="1"/>
  <c r="AC1059" i="1" s="1"/>
  <c r="Z1058" i="1"/>
  <c r="AC1058" i="1" s="1"/>
  <c r="Z1057" i="1"/>
  <c r="AC1057" i="1" s="1"/>
  <c r="AC1056" i="1"/>
  <c r="AB1056" i="1"/>
  <c r="AE1056" i="1" s="1"/>
  <c r="Z1056" i="1"/>
  <c r="Z1055" i="1"/>
  <c r="AC1055" i="1" s="1"/>
  <c r="Z1054" i="1"/>
  <c r="Z1053" i="1"/>
  <c r="AB1053" i="1" s="1"/>
  <c r="AE1053" i="1" s="1"/>
  <c r="Z1052" i="1"/>
  <c r="Z1051" i="1"/>
  <c r="AC1051" i="1" s="1"/>
  <c r="Z1050" i="1"/>
  <c r="AC1050" i="1" s="1"/>
  <c r="AB1049" i="1"/>
  <c r="AE1049" i="1" s="1"/>
  <c r="Z1049" i="1"/>
  <c r="AC1049" i="1" s="1"/>
  <c r="Z1048" i="1"/>
  <c r="AB1048" i="1" s="1"/>
  <c r="AE1048" i="1" s="1"/>
  <c r="Z1047" i="1"/>
  <c r="AC1047" i="1" s="1"/>
  <c r="Z1046" i="1"/>
  <c r="AB1046" i="1" s="1"/>
  <c r="AE1046" i="1" s="1"/>
  <c r="Z1045" i="1"/>
  <c r="AC1045" i="1" s="1"/>
  <c r="Z1044" i="1"/>
  <c r="AC1043" i="1"/>
  <c r="Z1043" i="1"/>
  <c r="AB1043" i="1" s="1"/>
  <c r="AE1043" i="1" s="1"/>
  <c r="AB1042" i="1"/>
  <c r="AE1042" i="1" s="1"/>
  <c r="Z1042" i="1"/>
  <c r="AC1042" i="1" s="1"/>
  <c r="Z1041" i="1"/>
  <c r="AC1041" i="1" s="1"/>
  <c r="Z1040" i="1"/>
  <c r="AC1040" i="1" s="1"/>
  <c r="Z1039" i="1"/>
  <c r="AC1039" i="1" s="1"/>
  <c r="Z1038" i="1"/>
  <c r="AC1038" i="1" s="1"/>
  <c r="Z1037" i="1"/>
  <c r="Z1036" i="1"/>
  <c r="Z1035" i="1"/>
  <c r="AC1034" i="1"/>
  <c r="AB1034" i="1"/>
  <c r="AE1034" i="1" s="1"/>
  <c r="Z1034" i="1"/>
  <c r="Z1033" i="1"/>
  <c r="AC1033" i="1" s="1"/>
  <c r="AB1032" i="1"/>
  <c r="AE1032" i="1" s="1"/>
  <c r="Z1032" i="1"/>
  <c r="AC1032" i="1" s="1"/>
  <c r="Z1031" i="1"/>
  <c r="AC1031" i="1" s="1"/>
  <c r="Z1030" i="1"/>
  <c r="Z1029" i="1"/>
  <c r="Z1028" i="1"/>
  <c r="AC1028" i="1" s="1"/>
  <c r="AC1027" i="1"/>
  <c r="Z1027" i="1"/>
  <c r="AB1027" i="1" s="1"/>
  <c r="AE1027" i="1" s="1"/>
  <c r="Z1026" i="1"/>
  <c r="AC1026" i="1" s="1"/>
  <c r="Z1025" i="1"/>
  <c r="AB1025" i="1" s="1"/>
  <c r="AE1025" i="1" s="1"/>
  <c r="Z1024" i="1"/>
  <c r="Z1023" i="1"/>
  <c r="AB1023" i="1" s="1"/>
  <c r="AE1023" i="1" s="1"/>
  <c r="Z1022" i="1"/>
  <c r="Z1021" i="1"/>
  <c r="Z1020" i="1"/>
  <c r="AC1020" i="1" s="1"/>
  <c r="Z1019" i="1"/>
  <c r="AC1019" i="1" s="1"/>
  <c r="AB1018" i="1"/>
  <c r="AE1018" i="1" s="1"/>
  <c r="Z1018" i="1"/>
  <c r="AC1018" i="1" s="1"/>
  <c r="AC1017" i="1"/>
  <c r="AB1017" i="1"/>
  <c r="AE1017" i="1" s="1"/>
  <c r="Z1017" i="1"/>
  <c r="Z1016" i="1"/>
  <c r="AC1016" i="1" s="1"/>
  <c r="Z1015" i="1"/>
  <c r="Z1014" i="1"/>
  <c r="Z1013" i="1"/>
  <c r="AC1012" i="1"/>
  <c r="AB1012" i="1"/>
  <c r="AE1012" i="1" s="1"/>
  <c r="Z1012" i="1"/>
  <c r="AC1011" i="1"/>
  <c r="Z1011" i="1"/>
  <c r="AB1011" i="1" s="1"/>
  <c r="AE1011" i="1" s="1"/>
  <c r="Z1010" i="1"/>
  <c r="AC1010" i="1" s="1"/>
  <c r="Z1009" i="1"/>
  <c r="Z1008" i="1"/>
  <c r="AC1008" i="1" s="1"/>
  <c r="Z1007" i="1"/>
  <c r="Z1006" i="1"/>
  <c r="AC1006" i="1" s="1"/>
  <c r="Z1005" i="1"/>
  <c r="AC1005" i="1" s="1"/>
  <c r="Z1004" i="1"/>
  <c r="AB1004" i="1" s="1"/>
  <c r="AE1004" i="1" s="1"/>
  <c r="Z1003" i="1"/>
  <c r="Z1002" i="1"/>
  <c r="AC1002" i="1" s="1"/>
  <c r="Z1001" i="1"/>
  <c r="Z1000" i="1"/>
  <c r="AB1000" i="1" s="1"/>
  <c r="AE1000" i="1" s="1"/>
  <c r="Z999" i="1"/>
  <c r="AC999" i="1" s="1"/>
  <c r="Z998" i="1"/>
  <c r="Z997" i="1"/>
  <c r="AB997" i="1" s="1"/>
  <c r="AE997" i="1" s="1"/>
  <c r="Z996" i="1"/>
  <c r="AB996" i="1" s="1"/>
  <c r="AE996" i="1" s="1"/>
  <c r="Z995" i="1"/>
  <c r="AC995" i="1" s="1"/>
  <c r="Z994" i="1"/>
  <c r="AC994" i="1" s="1"/>
  <c r="Z993" i="1"/>
  <c r="AC993" i="1" s="1"/>
  <c r="Z992" i="1"/>
  <c r="AC992" i="1" s="1"/>
  <c r="Z991" i="1"/>
  <c r="AB991" i="1" s="1"/>
  <c r="AE991" i="1" s="1"/>
  <c r="Z990" i="1"/>
  <c r="AC990" i="1" s="1"/>
  <c r="Z989" i="1"/>
  <c r="AB988" i="1"/>
  <c r="AE988" i="1" s="1"/>
  <c r="Z988" i="1"/>
  <c r="AC988" i="1" s="1"/>
  <c r="Z987" i="1"/>
  <c r="Z986" i="1"/>
  <c r="Z985" i="1"/>
  <c r="AB985" i="1" s="1"/>
  <c r="AE985" i="1" s="1"/>
  <c r="AB984" i="1"/>
  <c r="AE984" i="1" s="1"/>
  <c r="Z984" i="1"/>
  <c r="AC984" i="1" s="1"/>
  <c r="Z983" i="1"/>
  <c r="AC983" i="1" s="1"/>
  <c r="Z982" i="1"/>
  <c r="Z981" i="1"/>
  <c r="AC981" i="1" s="1"/>
  <c r="Z980" i="1"/>
  <c r="Z979" i="1"/>
  <c r="AC979" i="1" s="1"/>
  <c r="Z978" i="1"/>
  <c r="Z977" i="1"/>
  <c r="AC977" i="1" s="1"/>
  <c r="Z976" i="1"/>
  <c r="AB976" i="1" s="1"/>
  <c r="AE976" i="1" s="1"/>
  <c r="Z975" i="1"/>
  <c r="Z974" i="1"/>
  <c r="AB974" i="1" s="1"/>
  <c r="AE974" i="1" s="1"/>
  <c r="Z973" i="1"/>
  <c r="Z972" i="1"/>
  <c r="AC972" i="1" s="1"/>
  <c r="Z971" i="1"/>
  <c r="AC971" i="1" s="1"/>
  <c r="Z970" i="1"/>
  <c r="AC970" i="1" s="1"/>
  <c r="Z969" i="1"/>
  <c r="AC969" i="1" s="1"/>
  <c r="Z968" i="1"/>
  <c r="Z967" i="1"/>
  <c r="AC967" i="1" s="1"/>
  <c r="Z966" i="1"/>
  <c r="AB966" i="1" s="1"/>
  <c r="AE966" i="1" s="1"/>
  <c r="Z965" i="1"/>
  <c r="AB965" i="1" s="1"/>
  <c r="AE965" i="1" s="1"/>
  <c r="Z964" i="1"/>
  <c r="AB963" i="1"/>
  <c r="AE963" i="1" s="1"/>
  <c r="Z963" i="1"/>
  <c r="AC963" i="1" s="1"/>
  <c r="Z962" i="1"/>
  <c r="AC962" i="1" s="1"/>
  <c r="AC961" i="1"/>
  <c r="AB961" i="1"/>
  <c r="AE961" i="1" s="1"/>
  <c r="Z961" i="1"/>
  <c r="Z960" i="1"/>
  <c r="AC960" i="1" s="1"/>
  <c r="AB959" i="1"/>
  <c r="AE959" i="1" s="1"/>
  <c r="Z959" i="1"/>
  <c r="AC959" i="1" s="1"/>
  <c r="Z958" i="1"/>
  <c r="AC958" i="1" s="1"/>
  <c r="AB957" i="1"/>
  <c r="AE957" i="1" s="1"/>
  <c r="Z957" i="1"/>
  <c r="AC957" i="1" s="1"/>
  <c r="Z956" i="1"/>
  <c r="Z955" i="1"/>
  <c r="AC954" i="1"/>
  <c r="Z954" i="1"/>
  <c r="AB954" i="1" s="1"/>
  <c r="AE954" i="1" s="1"/>
  <c r="Z953" i="1"/>
  <c r="AB953" i="1" s="1"/>
  <c r="AE953" i="1" s="1"/>
  <c r="AB952" i="1"/>
  <c r="AE952" i="1" s="1"/>
  <c r="Z952" i="1"/>
  <c r="AC952" i="1" s="1"/>
  <c r="Z951" i="1"/>
  <c r="AC951" i="1" s="1"/>
  <c r="Z950" i="1"/>
  <c r="AC950" i="1" s="1"/>
  <c r="Z949" i="1"/>
  <c r="AB949" i="1" s="1"/>
  <c r="AE949" i="1" s="1"/>
  <c r="Z948" i="1"/>
  <c r="Z947" i="1"/>
  <c r="AC947" i="1" s="1"/>
  <c r="AB946" i="1"/>
  <c r="AE946" i="1" s="1"/>
  <c r="Z946" i="1"/>
  <c r="AC946" i="1" s="1"/>
  <c r="Z945" i="1"/>
  <c r="AC945" i="1" s="1"/>
  <c r="Z944" i="1"/>
  <c r="AC943" i="1"/>
  <c r="Z943" i="1"/>
  <c r="AB943" i="1" s="1"/>
  <c r="AE943" i="1" s="1"/>
  <c r="Z942" i="1"/>
  <c r="Z941" i="1"/>
  <c r="AB941" i="1" s="1"/>
  <c r="AE941" i="1" s="1"/>
  <c r="Z940" i="1"/>
  <c r="AC940" i="1" s="1"/>
  <c r="Z939" i="1"/>
  <c r="AB939" i="1" s="1"/>
  <c r="AE939" i="1" s="1"/>
  <c r="Z938" i="1"/>
  <c r="AB937" i="1"/>
  <c r="AE937" i="1" s="1"/>
  <c r="Z937" i="1"/>
  <c r="AC937" i="1" s="1"/>
  <c r="AC936" i="1"/>
  <c r="Z936" i="1"/>
  <c r="AB936" i="1" s="1"/>
  <c r="AE936" i="1" s="1"/>
  <c r="Z935" i="1"/>
  <c r="AC935" i="1" s="1"/>
  <c r="AB934" i="1"/>
  <c r="AE934" i="1" s="1"/>
  <c r="Z934" i="1"/>
  <c r="AC934" i="1" s="1"/>
  <c r="Z933" i="1"/>
  <c r="AC933" i="1" s="1"/>
  <c r="Z932" i="1"/>
  <c r="Z931" i="1"/>
  <c r="AC931" i="1" s="1"/>
  <c r="Z930" i="1"/>
  <c r="Z929" i="1"/>
  <c r="AC929" i="1" s="1"/>
  <c r="AB928" i="1"/>
  <c r="AE928" i="1" s="1"/>
  <c r="Z928" i="1"/>
  <c r="AC928" i="1" s="1"/>
  <c r="Z927" i="1"/>
  <c r="AB927" i="1" s="1"/>
  <c r="AE927" i="1" s="1"/>
  <c r="Z926" i="1"/>
  <c r="AB926" i="1" s="1"/>
  <c r="AE926" i="1" s="1"/>
  <c r="Z925" i="1"/>
  <c r="Z924" i="1"/>
  <c r="AC924" i="1" s="1"/>
  <c r="Z923" i="1"/>
  <c r="AC923" i="1" s="1"/>
  <c r="AC922" i="1"/>
  <c r="Z922" i="1"/>
  <c r="AB922" i="1" s="1"/>
  <c r="AE922" i="1" s="1"/>
  <c r="AC921" i="1"/>
  <c r="Z921" i="1"/>
  <c r="AB921" i="1" s="1"/>
  <c r="AE921" i="1" s="1"/>
  <c r="Z920" i="1"/>
  <c r="Z919" i="1"/>
  <c r="AB918" i="1"/>
  <c r="AE918" i="1" s="1"/>
  <c r="Z918" i="1"/>
  <c r="AC918" i="1" s="1"/>
  <c r="AC917" i="1"/>
  <c r="AB917" i="1"/>
  <c r="AE917" i="1" s="1"/>
  <c r="Z917" i="1"/>
  <c r="Z916" i="1"/>
  <c r="AC916" i="1" s="1"/>
  <c r="Z915" i="1"/>
  <c r="AC915" i="1" s="1"/>
  <c r="Z914" i="1"/>
  <c r="AC914" i="1" s="1"/>
  <c r="AB913" i="1"/>
  <c r="AE913" i="1" s="1"/>
  <c r="Z913" i="1"/>
  <c r="AC913" i="1" s="1"/>
  <c r="Z912" i="1"/>
  <c r="AB912" i="1" s="1"/>
  <c r="AE912" i="1" s="1"/>
  <c r="Z911" i="1"/>
  <c r="AB911" i="1" s="1"/>
  <c r="AE911" i="1" s="1"/>
  <c r="Z910" i="1"/>
  <c r="AB910" i="1" s="1"/>
  <c r="AE910" i="1" s="1"/>
  <c r="Z909" i="1"/>
  <c r="Z908" i="1"/>
  <c r="Z907" i="1"/>
  <c r="AC906" i="1"/>
  <c r="Z906" i="1"/>
  <c r="AB906" i="1" s="1"/>
  <c r="AE906" i="1" s="1"/>
  <c r="Z905" i="1"/>
  <c r="AB904" i="1"/>
  <c r="AE904" i="1" s="1"/>
  <c r="Z904" i="1"/>
  <c r="AC904" i="1" s="1"/>
  <c r="AC903" i="1"/>
  <c r="Z903" i="1"/>
  <c r="AB903" i="1" s="1"/>
  <c r="AE903" i="1" s="1"/>
  <c r="AC902" i="1"/>
  <c r="AB902" i="1"/>
  <c r="AE902" i="1" s="1"/>
  <c r="Z902" i="1"/>
  <c r="AC901" i="1"/>
  <c r="AB901" i="1"/>
  <c r="AE901" i="1" s="1"/>
  <c r="Z901" i="1"/>
  <c r="Z900" i="1"/>
  <c r="Z899" i="1"/>
  <c r="AC899" i="1" s="1"/>
  <c r="Z898" i="1"/>
  <c r="AC898" i="1" s="1"/>
  <c r="AB897" i="1"/>
  <c r="AE897" i="1" s="1"/>
  <c r="Z897" i="1"/>
  <c r="AC897" i="1" s="1"/>
  <c r="Z896" i="1"/>
  <c r="Z895" i="1"/>
  <c r="Z894" i="1"/>
  <c r="AB894" i="1" s="1"/>
  <c r="AE894" i="1" s="1"/>
  <c r="Z893" i="1"/>
  <c r="Z892" i="1"/>
  <c r="Z891" i="1"/>
  <c r="AB891" i="1" s="1"/>
  <c r="AE891" i="1" s="1"/>
  <c r="Z890" i="1"/>
  <c r="AC890" i="1" s="1"/>
  <c r="Z889" i="1"/>
  <c r="AC889" i="1" s="1"/>
  <c r="Z888" i="1"/>
  <c r="AB888" i="1" s="1"/>
  <c r="AE888" i="1" s="1"/>
  <c r="Z887" i="1"/>
  <c r="AC887" i="1" s="1"/>
  <c r="Z886" i="1"/>
  <c r="AC886" i="1" s="1"/>
  <c r="Z885" i="1"/>
  <c r="Z884" i="1"/>
  <c r="Z883" i="1"/>
  <c r="Z882" i="1"/>
  <c r="AC882" i="1" s="1"/>
  <c r="Z881" i="1"/>
  <c r="AC881" i="1" s="1"/>
  <c r="Z880" i="1"/>
  <c r="Z879" i="1"/>
  <c r="AB879" i="1" s="1"/>
  <c r="AE879" i="1" s="1"/>
  <c r="Z878" i="1"/>
  <c r="AB878" i="1" s="1"/>
  <c r="AE878" i="1" s="1"/>
  <c r="Z877" i="1"/>
  <c r="Z876" i="1"/>
  <c r="AC876" i="1" s="1"/>
  <c r="Z875" i="1"/>
  <c r="AB875" i="1" s="1"/>
  <c r="AE875" i="1" s="1"/>
  <c r="Z874" i="1"/>
  <c r="AB874" i="1" s="1"/>
  <c r="AE874" i="1" s="1"/>
  <c r="Z873" i="1"/>
  <c r="AC873" i="1" s="1"/>
  <c r="Z872" i="1"/>
  <c r="AC872" i="1" s="1"/>
  <c r="Z871" i="1"/>
  <c r="AB870" i="1"/>
  <c r="AE870" i="1" s="1"/>
  <c r="Z870" i="1"/>
  <c r="AC870" i="1" s="1"/>
  <c r="Z869" i="1"/>
  <c r="AC869" i="1" s="1"/>
  <c r="Z868" i="1"/>
  <c r="AC868" i="1" s="1"/>
  <c r="Z867" i="1"/>
  <c r="AC867" i="1" s="1"/>
  <c r="Z866" i="1"/>
  <c r="AC865" i="1"/>
  <c r="AB865" i="1"/>
  <c r="AE865" i="1" s="1"/>
  <c r="Z865" i="1"/>
  <c r="Z864" i="1"/>
  <c r="AC864" i="1" s="1"/>
  <c r="Z863" i="1"/>
  <c r="Z862" i="1"/>
  <c r="AB862" i="1" s="1"/>
  <c r="AE862" i="1" s="1"/>
  <c r="Z861" i="1"/>
  <c r="AB861" i="1" s="1"/>
  <c r="AE861" i="1" s="1"/>
  <c r="Z860" i="1"/>
  <c r="AC860" i="1" s="1"/>
  <c r="Z859" i="1"/>
  <c r="AB859" i="1" s="1"/>
  <c r="AE859" i="1" s="1"/>
  <c r="AB858" i="1"/>
  <c r="AE858" i="1" s="1"/>
  <c r="Z858" i="1"/>
  <c r="AC858" i="1" s="1"/>
  <c r="AC857" i="1"/>
  <c r="AB857" i="1"/>
  <c r="AE857" i="1" s="1"/>
  <c r="Z857" i="1"/>
  <c r="Z856" i="1"/>
  <c r="Z855" i="1"/>
  <c r="Z854" i="1"/>
  <c r="Z853" i="1"/>
  <c r="Z852" i="1"/>
  <c r="AC852" i="1" s="1"/>
  <c r="Z851" i="1"/>
  <c r="Z850" i="1"/>
  <c r="AC849" i="1"/>
  <c r="Z849" i="1"/>
  <c r="AB849" i="1" s="1"/>
  <c r="AE849" i="1" s="1"/>
  <c r="Z848" i="1"/>
  <c r="AB848" i="1" s="1"/>
  <c r="AE848" i="1" s="1"/>
  <c r="Z847" i="1"/>
  <c r="Z846" i="1"/>
  <c r="Z845" i="1"/>
  <c r="AB844" i="1"/>
  <c r="AE844" i="1" s="1"/>
  <c r="Z844" i="1"/>
  <c r="AC844" i="1" s="1"/>
  <c r="Z843" i="1"/>
  <c r="AB843" i="1" s="1"/>
  <c r="AE843" i="1" s="1"/>
  <c r="Z842" i="1"/>
  <c r="AC842" i="1" s="1"/>
  <c r="AB841" i="1"/>
  <c r="AE841" i="1" s="1"/>
  <c r="Z841" i="1"/>
  <c r="AC841" i="1" s="1"/>
  <c r="Z840" i="1"/>
  <c r="AB840" i="1" s="1"/>
  <c r="AE840" i="1" s="1"/>
  <c r="Z839" i="1"/>
  <c r="Z838" i="1"/>
  <c r="AC838" i="1" s="1"/>
  <c r="Z837" i="1"/>
  <c r="AC837" i="1" s="1"/>
  <c r="Z836" i="1"/>
  <c r="Z835" i="1"/>
  <c r="Z834" i="1"/>
  <c r="AC833" i="1"/>
  <c r="AB833" i="1"/>
  <c r="AE833" i="1" s="1"/>
  <c r="Z833" i="1"/>
  <c r="Z832" i="1"/>
  <c r="AC832" i="1" s="1"/>
  <c r="Z831" i="1"/>
  <c r="AB831" i="1" s="1"/>
  <c r="AE831" i="1" s="1"/>
  <c r="AC830" i="1"/>
  <c r="Z830" i="1"/>
  <c r="AB830" i="1" s="1"/>
  <c r="AE830" i="1" s="1"/>
  <c r="Z829" i="1"/>
  <c r="Z828" i="1"/>
  <c r="AB828" i="1" s="1"/>
  <c r="AE828" i="1" s="1"/>
  <c r="Z827" i="1"/>
  <c r="Z826" i="1"/>
  <c r="AC826" i="1" s="1"/>
  <c r="Z825" i="1"/>
  <c r="AC825" i="1" s="1"/>
  <c r="Z824" i="1"/>
  <c r="AC824" i="1" s="1"/>
  <c r="Z823" i="1"/>
  <c r="AB823" i="1" s="1"/>
  <c r="AE823" i="1" s="1"/>
  <c r="AB822" i="1"/>
  <c r="AE822" i="1" s="1"/>
  <c r="Z822" i="1"/>
  <c r="AC822" i="1" s="1"/>
  <c r="AC821" i="1"/>
  <c r="Z821" i="1"/>
  <c r="AB821" i="1" s="1"/>
  <c r="AE821" i="1" s="1"/>
  <c r="Z820" i="1"/>
  <c r="AC820" i="1" s="1"/>
  <c r="Z819" i="1"/>
  <c r="AC819" i="1" s="1"/>
  <c r="Z818" i="1"/>
  <c r="AC818" i="1" s="1"/>
  <c r="Z817" i="1"/>
  <c r="AC817" i="1" s="1"/>
  <c r="Z816" i="1"/>
  <c r="Z815" i="1"/>
  <c r="AB815" i="1" s="1"/>
  <c r="AE815" i="1" s="1"/>
  <c r="Z814" i="1"/>
  <c r="Z813" i="1"/>
  <c r="AB813" i="1" s="1"/>
  <c r="AE813" i="1" s="1"/>
  <c r="Z812" i="1"/>
  <c r="AB812" i="1" s="1"/>
  <c r="AE812" i="1" s="1"/>
  <c r="Z811" i="1"/>
  <c r="AB811" i="1" s="1"/>
  <c r="AE811" i="1" s="1"/>
  <c r="Z810" i="1"/>
  <c r="AB810" i="1" s="1"/>
  <c r="AE810" i="1" s="1"/>
  <c r="Z809" i="1"/>
  <c r="AC809" i="1" s="1"/>
  <c r="Z808" i="1"/>
  <c r="AC808" i="1" s="1"/>
  <c r="Z807" i="1"/>
  <c r="AC807" i="1" s="1"/>
  <c r="AC806" i="1"/>
  <c r="AB806" i="1"/>
  <c r="AE806" i="1" s="1"/>
  <c r="Z806" i="1"/>
  <c r="Z805" i="1"/>
  <c r="AB805" i="1" s="1"/>
  <c r="AE805" i="1" s="1"/>
  <c r="Z804" i="1"/>
  <c r="Z803" i="1"/>
  <c r="Z802" i="1"/>
  <c r="AC801" i="1"/>
  <c r="Z801" i="1"/>
  <c r="AB801" i="1" s="1"/>
  <c r="AE801" i="1" s="1"/>
  <c r="Z800" i="1"/>
  <c r="AC800" i="1" s="1"/>
  <c r="Z799" i="1"/>
  <c r="Z798" i="1"/>
  <c r="Z797" i="1"/>
  <c r="AC796" i="1"/>
  <c r="AB796" i="1"/>
  <c r="AE796" i="1" s="1"/>
  <c r="Z796" i="1"/>
  <c r="Z795" i="1"/>
  <c r="AC795" i="1" s="1"/>
  <c r="AB794" i="1"/>
  <c r="AE794" i="1" s="1"/>
  <c r="Z794" i="1"/>
  <c r="AC794" i="1" s="1"/>
  <c r="AC793" i="1"/>
  <c r="Z793" i="1"/>
  <c r="AB793" i="1" s="1"/>
  <c r="AE793" i="1" s="1"/>
  <c r="AC792" i="1"/>
  <c r="Z792" i="1"/>
  <c r="AB792" i="1" s="1"/>
  <c r="AE792" i="1" s="1"/>
  <c r="Z791" i="1"/>
  <c r="AC791" i="1" s="1"/>
  <c r="Z790" i="1"/>
  <c r="AC790" i="1" s="1"/>
  <c r="Z789" i="1"/>
  <c r="Z788" i="1"/>
  <c r="Z787" i="1"/>
  <c r="Z786" i="1"/>
  <c r="Z785" i="1"/>
  <c r="AC785" i="1" s="1"/>
  <c r="Z784" i="1"/>
  <c r="AB784" i="1" s="1"/>
  <c r="AE784" i="1" s="1"/>
  <c r="Z783" i="1"/>
  <c r="AB783" i="1" s="1"/>
  <c r="AE783" i="1" s="1"/>
  <c r="AC782" i="1"/>
  <c r="Z782" i="1"/>
  <c r="AB782" i="1" s="1"/>
  <c r="AE782" i="1" s="1"/>
  <c r="Z781" i="1"/>
  <c r="Z780" i="1"/>
  <c r="AC780" i="1" s="1"/>
  <c r="AC779" i="1"/>
  <c r="Z779" i="1"/>
  <c r="AB779" i="1" s="1"/>
  <c r="AE779" i="1" s="1"/>
  <c r="Z778" i="1"/>
  <c r="AC778" i="1" s="1"/>
  <c r="Z777" i="1"/>
  <c r="AB777" i="1" s="1"/>
  <c r="AE777" i="1" s="1"/>
  <c r="Z776" i="1"/>
  <c r="AC776" i="1" s="1"/>
  <c r="Z775" i="1"/>
  <c r="AB775" i="1" s="1"/>
  <c r="AE775" i="1" s="1"/>
  <c r="AC774" i="1"/>
  <c r="Z774" i="1"/>
  <c r="AB774" i="1" s="1"/>
  <c r="AE774" i="1" s="1"/>
  <c r="AC773" i="1"/>
  <c r="AB773" i="1"/>
  <c r="AE773" i="1" s="1"/>
  <c r="Z773" i="1"/>
  <c r="Z772" i="1"/>
  <c r="Z771" i="1"/>
  <c r="AC771" i="1" s="1"/>
  <c r="Z770" i="1"/>
  <c r="AC770" i="1" s="1"/>
  <c r="AC769" i="1"/>
  <c r="Z769" i="1"/>
  <c r="AB769" i="1" s="1"/>
  <c r="AE769" i="1" s="1"/>
  <c r="Z768" i="1"/>
  <c r="AB768" i="1" s="1"/>
  <c r="AE768" i="1" s="1"/>
  <c r="Z767" i="1"/>
  <c r="AC766" i="1"/>
  <c r="Z766" i="1"/>
  <c r="AB766" i="1" s="1"/>
  <c r="AE766" i="1" s="1"/>
  <c r="Z765" i="1"/>
  <c r="Z764" i="1"/>
  <c r="AC764" i="1" s="1"/>
  <c r="AB763" i="1"/>
  <c r="AE763" i="1" s="1"/>
  <c r="Z763" i="1"/>
  <c r="AC763" i="1" s="1"/>
  <c r="AB762" i="1"/>
  <c r="AE762" i="1" s="1"/>
  <c r="Z762" i="1"/>
  <c r="AC762" i="1" s="1"/>
  <c r="AB761" i="1"/>
  <c r="AE761" i="1" s="1"/>
  <c r="Z761" i="1"/>
  <c r="AC761" i="1" s="1"/>
  <c r="Z760" i="1"/>
  <c r="AB760" i="1" s="1"/>
  <c r="AE760" i="1" s="1"/>
  <c r="Z759" i="1"/>
  <c r="AC759" i="1" s="1"/>
  <c r="AC758" i="1"/>
  <c r="Z758" i="1"/>
  <c r="AB758" i="1" s="1"/>
  <c r="AE758" i="1" s="1"/>
  <c r="Z757" i="1"/>
  <c r="AB757" i="1" s="1"/>
  <c r="AE757" i="1" s="1"/>
  <c r="Z756" i="1"/>
  <c r="AB756" i="1" s="1"/>
  <c r="AE756" i="1" s="1"/>
  <c r="Z755" i="1"/>
  <c r="AC755" i="1" s="1"/>
  <c r="Z754" i="1"/>
  <c r="AC754" i="1" s="1"/>
  <c r="AC753" i="1"/>
  <c r="Z753" i="1"/>
  <c r="AB753" i="1" s="1"/>
  <c r="AE753" i="1" s="1"/>
  <c r="Z752" i="1"/>
  <c r="AC752" i="1" s="1"/>
  <c r="Z751" i="1"/>
  <c r="AB751" i="1" s="1"/>
  <c r="AE751" i="1" s="1"/>
  <c r="Z750" i="1"/>
  <c r="Z749" i="1"/>
  <c r="AC748" i="1"/>
  <c r="Z748" i="1"/>
  <c r="AB748" i="1" s="1"/>
  <c r="AE748" i="1" s="1"/>
  <c r="Z747" i="1"/>
  <c r="Z746" i="1"/>
  <c r="AC746" i="1" s="1"/>
  <c r="AC745" i="1"/>
  <c r="Z745" i="1"/>
  <c r="AB745" i="1" s="1"/>
  <c r="AE745" i="1" s="1"/>
  <c r="AC744" i="1"/>
  <c r="Z744" i="1"/>
  <c r="AB744" i="1" s="1"/>
  <c r="AE744" i="1" s="1"/>
  <c r="Z743" i="1"/>
  <c r="AC743" i="1" s="1"/>
  <c r="AB742" i="1"/>
  <c r="AE742" i="1" s="1"/>
  <c r="Z742" i="1"/>
  <c r="AC742" i="1" s="1"/>
  <c r="Z741" i="1"/>
  <c r="AC741" i="1" s="1"/>
  <c r="AC740" i="1"/>
  <c r="Z740" i="1"/>
  <c r="AB740" i="1" s="1"/>
  <c r="AE740" i="1" s="1"/>
  <c r="Z739" i="1"/>
  <c r="AC739" i="1" s="1"/>
  <c r="Z738" i="1"/>
  <c r="AC738" i="1" s="1"/>
  <c r="Z737" i="1"/>
  <c r="AC737" i="1" s="1"/>
  <c r="Z736" i="1"/>
  <c r="AC736" i="1" s="1"/>
  <c r="Z735" i="1"/>
  <c r="AC734" i="1"/>
  <c r="Z734" i="1"/>
  <c r="AB734" i="1" s="1"/>
  <c r="AE734" i="1" s="1"/>
  <c r="Z733" i="1"/>
  <c r="AC732" i="1"/>
  <c r="Z732" i="1"/>
  <c r="AB732" i="1" s="1"/>
  <c r="AE732" i="1" s="1"/>
  <c r="Z731" i="1"/>
  <c r="Z730" i="1"/>
  <c r="Z729" i="1"/>
  <c r="AC729" i="1" s="1"/>
  <c r="AC728" i="1"/>
  <c r="Z728" i="1"/>
  <c r="AB728" i="1" s="1"/>
  <c r="AE728" i="1" s="1"/>
  <c r="Z727" i="1"/>
  <c r="AB727" i="1" s="1"/>
  <c r="AE727" i="1" s="1"/>
  <c r="Z726" i="1"/>
  <c r="AC726" i="1" s="1"/>
  <c r="AC725" i="1"/>
  <c r="Z725" i="1"/>
  <c r="AB725" i="1" s="1"/>
  <c r="AE725" i="1" s="1"/>
  <c r="Z724" i="1"/>
  <c r="Z723" i="1"/>
  <c r="AC723" i="1" s="1"/>
  <c r="Z722" i="1"/>
  <c r="AC722" i="1" s="1"/>
  <c r="Z721" i="1"/>
  <c r="Z720" i="1"/>
  <c r="AC720" i="1" s="1"/>
  <c r="AC719" i="1"/>
  <c r="Z719" i="1"/>
  <c r="AB719" i="1" s="1"/>
  <c r="AE719" i="1" s="1"/>
  <c r="Z718" i="1"/>
  <c r="AB718" i="1" s="1"/>
  <c r="AE718" i="1" s="1"/>
  <c r="Z717" i="1"/>
  <c r="AB717" i="1" s="1"/>
  <c r="AE717" i="1" s="1"/>
  <c r="AC716" i="1"/>
  <c r="Z716" i="1"/>
  <c r="AB716" i="1" s="1"/>
  <c r="AE716" i="1" s="1"/>
  <c r="Z715" i="1"/>
  <c r="AB715" i="1" s="1"/>
  <c r="AE715" i="1" s="1"/>
  <c r="Z714" i="1"/>
  <c r="AC714" i="1" s="1"/>
  <c r="AC713" i="1"/>
  <c r="Z713" i="1"/>
  <c r="AB713" i="1" s="1"/>
  <c r="AE713" i="1" s="1"/>
  <c r="Z712" i="1"/>
  <c r="AC712" i="1" s="1"/>
  <c r="Z711" i="1"/>
  <c r="AC711" i="1" s="1"/>
  <c r="AB710" i="1"/>
  <c r="AE710" i="1" s="1"/>
  <c r="Z710" i="1"/>
  <c r="AC710" i="1" s="1"/>
  <c r="Z709" i="1"/>
  <c r="AB709" i="1" s="1"/>
  <c r="AE709" i="1" s="1"/>
  <c r="AB708" i="1"/>
  <c r="AE708" i="1" s="1"/>
  <c r="Z708" i="1"/>
  <c r="AC708" i="1" s="1"/>
  <c r="Z707" i="1"/>
  <c r="AC707" i="1" s="1"/>
  <c r="Z706" i="1"/>
  <c r="Z705" i="1"/>
  <c r="AC705" i="1" s="1"/>
  <c r="AB704" i="1"/>
  <c r="AE704" i="1" s="1"/>
  <c r="Z704" i="1"/>
  <c r="AC704" i="1" s="1"/>
  <c r="Z703" i="1"/>
  <c r="AB703" i="1" s="1"/>
  <c r="AE703" i="1" s="1"/>
  <c r="Z702" i="1"/>
  <c r="AB702" i="1" s="1"/>
  <c r="AE702" i="1" s="1"/>
  <c r="Z701" i="1"/>
  <c r="Z700" i="1"/>
  <c r="AC699" i="1"/>
  <c r="AB699" i="1"/>
  <c r="AE699" i="1" s="1"/>
  <c r="Z699" i="1"/>
  <c r="Z698" i="1"/>
  <c r="AC698" i="1" s="1"/>
  <c r="Z697" i="1"/>
  <c r="AB697" i="1" s="1"/>
  <c r="AE697" i="1" s="1"/>
  <c r="Z696" i="1"/>
  <c r="AB696" i="1" s="1"/>
  <c r="AE696" i="1" s="1"/>
  <c r="Z695" i="1"/>
  <c r="AC695" i="1" s="1"/>
  <c r="Z694" i="1"/>
  <c r="AC694" i="1" s="1"/>
  <c r="AC693" i="1"/>
  <c r="Z693" i="1"/>
  <c r="AB693" i="1" s="1"/>
  <c r="AE693" i="1" s="1"/>
  <c r="Z692" i="1"/>
  <c r="AB692" i="1" s="1"/>
  <c r="AE692" i="1" s="1"/>
  <c r="Z691" i="1"/>
  <c r="AC691" i="1" s="1"/>
  <c r="Z690" i="1"/>
  <c r="AC690" i="1" s="1"/>
  <c r="Z689" i="1"/>
  <c r="AC689" i="1" s="1"/>
  <c r="Z688" i="1"/>
  <c r="Z687" i="1"/>
  <c r="Z686" i="1"/>
  <c r="Z685" i="1"/>
  <c r="Z684" i="1"/>
  <c r="AB684" i="1" s="1"/>
  <c r="AE684" i="1" s="1"/>
  <c r="Z683" i="1"/>
  <c r="AB683" i="1" s="1"/>
  <c r="AE683" i="1" s="1"/>
  <c r="Z682" i="1"/>
  <c r="AC682" i="1" s="1"/>
  <c r="Z681" i="1"/>
  <c r="AB681" i="1" s="1"/>
  <c r="AE681" i="1" s="1"/>
  <c r="Z680" i="1"/>
  <c r="Z679" i="1"/>
  <c r="AC679" i="1" s="1"/>
  <c r="Z678" i="1"/>
  <c r="AC678" i="1" s="1"/>
  <c r="AB677" i="1"/>
  <c r="AE677" i="1" s="1"/>
  <c r="Z677" i="1"/>
  <c r="AC677" i="1" s="1"/>
  <c r="Z676" i="1"/>
  <c r="AB676" i="1" s="1"/>
  <c r="AE676" i="1" s="1"/>
  <c r="AB675" i="1"/>
  <c r="AE675" i="1" s="1"/>
  <c r="Z675" i="1"/>
  <c r="AC675" i="1" s="1"/>
  <c r="Z674" i="1"/>
  <c r="AC674" i="1" s="1"/>
  <c r="AC673" i="1"/>
  <c r="Z673" i="1"/>
  <c r="AB673" i="1" s="1"/>
  <c r="AE673" i="1" s="1"/>
  <c r="Z672" i="1"/>
  <c r="AC672" i="1" s="1"/>
  <c r="AC671" i="1"/>
  <c r="Z671" i="1"/>
  <c r="AB671" i="1" s="1"/>
  <c r="AE671" i="1" s="1"/>
  <c r="Z670" i="1"/>
  <c r="AB670" i="1" s="1"/>
  <c r="AE670" i="1" s="1"/>
  <c r="Z669" i="1"/>
  <c r="AB668" i="1"/>
  <c r="AE668" i="1" s="1"/>
  <c r="Z668" i="1"/>
  <c r="AC668" i="1" s="1"/>
  <c r="Z667" i="1"/>
  <c r="AB667" i="1" s="1"/>
  <c r="AE667" i="1" s="1"/>
  <c r="AB666" i="1"/>
  <c r="AE666" i="1" s="1"/>
  <c r="Z666" i="1"/>
  <c r="AC666" i="1" s="1"/>
  <c r="Z665" i="1"/>
  <c r="AB664" i="1"/>
  <c r="AE664" i="1" s="1"/>
  <c r="Z664" i="1"/>
  <c r="AC664" i="1" s="1"/>
  <c r="Z663" i="1"/>
  <c r="AB663" i="1" s="1"/>
  <c r="AE663" i="1" s="1"/>
  <c r="Z662" i="1"/>
  <c r="AC662" i="1" s="1"/>
  <c r="AC661" i="1"/>
  <c r="Z661" i="1"/>
  <c r="AB661" i="1" s="1"/>
  <c r="AE661" i="1" s="1"/>
  <c r="AC660" i="1"/>
  <c r="AB660" i="1"/>
  <c r="AE660" i="1" s="1"/>
  <c r="Z660" i="1"/>
  <c r="Z659" i="1"/>
  <c r="AC659" i="1" s="1"/>
  <c r="Z658" i="1"/>
  <c r="AC658" i="1" s="1"/>
  <c r="Z657" i="1"/>
  <c r="AB657" i="1" s="1"/>
  <c r="AE657" i="1" s="1"/>
  <c r="Z656" i="1"/>
  <c r="AC656" i="1" s="1"/>
  <c r="AC655" i="1"/>
  <c r="Z655" i="1"/>
  <c r="AB655" i="1" s="1"/>
  <c r="AE655" i="1" s="1"/>
  <c r="Z654" i="1"/>
  <c r="Z653" i="1"/>
  <c r="Z652" i="1"/>
  <c r="AC652" i="1" s="1"/>
  <c r="Z651" i="1"/>
  <c r="AB651" i="1" s="1"/>
  <c r="AE651" i="1" s="1"/>
  <c r="Z650" i="1"/>
  <c r="AC649" i="1"/>
  <c r="AB649" i="1"/>
  <c r="AE649" i="1" s="1"/>
  <c r="Z649" i="1"/>
  <c r="AC648" i="1"/>
  <c r="Z648" i="1"/>
  <c r="AB648" i="1" s="1"/>
  <c r="AE648" i="1" s="1"/>
  <c r="Z647" i="1"/>
  <c r="AB647" i="1" s="1"/>
  <c r="AE647" i="1" s="1"/>
  <c r="AB646" i="1"/>
  <c r="AE646" i="1" s="1"/>
  <c r="Z646" i="1"/>
  <c r="AC646" i="1" s="1"/>
  <c r="Z645" i="1"/>
  <c r="AB645" i="1" s="1"/>
  <c r="AE645" i="1" s="1"/>
  <c r="AC644" i="1"/>
  <c r="Z644" i="1"/>
  <c r="AB644" i="1" s="1"/>
  <c r="AE644" i="1" s="1"/>
  <c r="Z643" i="1"/>
  <c r="AC643" i="1" s="1"/>
  <c r="Z642" i="1"/>
  <c r="AC642" i="1" s="1"/>
  <c r="Z641" i="1"/>
  <c r="Z640" i="1"/>
  <c r="Z639" i="1"/>
  <c r="Z638" i="1"/>
  <c r="AB638" i="1" s="1"/>
  <c r="AE638" i="1" s="1"/>
  <c r="Z637" i="1"/>
  <c r="AC637" i="1" s="1"/>
  <c r="Z636" i="1"/>
  <c r="AC636" i="1" s="1"/>
  <c r="AC635" i="1"/>
  <c r="Z635" i="1"/>
  <c r="AB635" i="1" s="1"/>
  <c r="AE635" i="1" s="1"/>
  <c r="Z634" i="1"/>
  <c r="Z633" i="1"/>
  <c r="AC633" i="1" s="1"/>
  <c r="Z632" i="1"/>
  <c r="Z631" i="1"/>
  <c r="AC631" i="1" s="1"/>
  <c r="Z630" i="1"/>
  <c r="AB630" i="1" s="1"/>
  <c r="AE630" i="1" s="1"/>
  <c r="AB629" i="1"/>
  <c r="AE629" i="1" s="1"/>
  <c r="Z629" i="1"/>
  <c r="AC629" i="1" s="1"/>
  <c r="Z628" i="1"/>
  <c r="AB628" i="1" s="1"/>
  <c r="AE628" i="1" s="1"/>
  <c r="Z627" i="1"/>
  <c r="AC627" i="1" s="1"/>
  <c r="Z626" i="1"/>
  <c r="AC626" i="1" s="1"/>
  <c r="Z625" i="1"/>
  <c r="AC625" i="1" s="1"/>
  <c r="Z624" i="1"/>
  <c r="AC624" i="1" s="1"/>
  <c r="Z623" i="1"/>
  <c r="Z622" i="1"/>
  <c r="Z621" i="1"/>
  <c r="AB621" i="1" s="1"/>
  <c r="AE621" i="1" s="1"/>
  <c r="Z620" i="1"/>
  <c r="AC620" i="1" s="1"/>
  <c r="AC619" i="1"/>
  <c r="AB619" i="1"/>
  <c r="AE619" i="1" s="1"/>
  <c r="Z619" i="1"/>
  <c r="Z618" i="1"/>
  <c r="AB618" i="1" s="1"/>
  <c r="AE618" i="1" s="1"/>
  <c r="Z617" i="1"/>
  <c r="AB617" i="1" s="1"/>
  <c r="AE617" i="1" s="1"/>
  <c r="Z616" i="1"/>
  <c r="AC616" i="1" s="1"/>
  <c r="Z615" i="1"/>
  <c r="AC615" i="1" s="1"/>
  <c r="Z614" i="1"/>
  <c r="AB614" i="1" s="1"/>
  <c r="AE614" i="1" s="1"/>
  <c r="AC613" i="1"/>
  <c r="Z613" i="1"/>
  <c r="AB613" i="1" s="1"/>
  <c r="AE613" i="1" s="1"/>
  <c r="Z612" i="1"/>
  <c r="AB612" i="1" s="1"/>
  <c r="AE612" i="1" s="1"/>
  <c r="Z611" i="1"/>
  <c r="Z610" i="1"/>
  <c r="AC610" i="1" s="1"/>
  <c r="Z609" i="1"/>
  <c r="AC609" i="1" s="1"/>
  <c r="Z608" i="1"/>
  <c r="AC608" i="1" s="1"/>
  <c r="Z607" i="1"/>
  <c r="Z606" i="1"/>
  <c r="Z605" i="1"/>
  <c r="AC605" i="1" s="1"/>
  <c r="Z604" i="1"/>
  <c r="AB604" i="1" s="1"/>
  <c r="AE604" i="1" s="1"/>
  <c r="Z603" i="1"/>
  <c r="AC603" i="1" s="1"/>
  <c r="Z602" i="1"/>
  <c r="AC602" i="1" s="1"/>
  <c r="AC601" i="1"/>
  <c r="Z601" i="1"/>
  <c r="AB601" i="1" s="1"/>
  <c r="AE601" i="1" s="1"/>
  <c r="Z600" i="1"/>
  <c r="AB600" i="1" s="1"/>
  <c r="AE600" i="1" s="1"/>
  <c r="AC599" i="1"/>
  <c r="Z599" i="1"/>
  <c r="AB599" i="1" s="1"/>
  <c r="AE599" i="1" s="1"/>
  <c r="Z598" i="1"/>
  <c r="Z597" i="1"/>
  <c r="AC597" i="1" s="1"/>
  <c r="Z596" i="1"/>
  <c r="AB596" i="1" s="1"/>
  <c r="AE596" i="1" s="1"/>
  <c r="Z595" i="1"/>
  <c r="Z594" i="1"/>
  <c r="AC594" i="1" s="1"/>
  <c r="AC593" i="1"/>
  <c r="Z593" i="1"/>
  <c r="AB593" i="1" s="1"/>
  <c r="AE593" i="1" s="1"/>
  <c r="Z592" i="1"/>
  <c r="AC592" i="1" s="1"/>
  <c r="Z591" i="1"/>
  <c r="AC591" i="1" s="1"/>
  <c r="Z590" i="1"/>
  <c r="Z589" i="1"/>
  <c r="AC589" i="1" s="1"/>
  <c r="Z588" i="1"/>
  <c r="Z587" i="1"/>
  <c r="AC587" i="1" s="1"/>
  <c r="AC586" i="1"/>
  <c r="AB586" i="1"/>
  <c r="AE586" i="1" s="1"/>
  <c r="Z586" i="1"/>
  <c r="AB585" i="1"/>
  <c r="AE585" i="1" s="1"/>
  <c r="Z585" i="1"/>
  <c r="AC585" i="1" s="1"/>
  <c r="Z584" i="1"/>
  <c r="AB584" i="1" s="1"/>
  <c r="AE584" i="1" s="1"/>
  <c r="Z583" i="1"/>
  <c r="AC583" i="1" s="1"/>
  <c r="Z582" i="1"/>
  <c r="AB582" i="1" s="1"/>
  <c r="AE582" i="1" s="1"/>
  <c r="Z581" i="1"/>
  <c r="AB581" i="1" s="1"/>
  <c r="AE581" i="1" s="1"/>
  <c r="Z580" i="1"/>
  <c r="AC580" i="1" s="1"/>
  <c r="Z579" i="1"/>
  <c r="Z578" i="1"/>
  <c r="AB578" i="1" s="1"/>
  <c r="AE578" i="1" s="1"/>
  <c r="Z577" i="1"/>
  <c r="AC577" i="1" s="1"/>
  <c r="AB576" i="1"/>
  <c r="AE576" i="1" s="1"/>
  <c r="Z576" i="1"/>
  <c r="AC576" i="1" s="1"/>
  <c r="Z575" i="1"/>
  <c r="AC575" i="1" s="1"/>
  <c r="AC574" i="1"/>
  <c r="Z574" i="1"/>
  <c r="AB574" i="1" s="1"/>
  <c r="AE574" i="1" s="1"/>
  <c r="Z573" i="1"/>
  <c r="AC573" i="1" s="1"/>
  <c r="AC572" i="1"/>
  <c r="Z572" i="1"/>
  <c r="AB572" i="1" s="1"/>
  <c r="AE572" i="1" s="1"/>
  <c r="Z571" i="1"/>
  <c r="AC571" i="1" s="1"/>
  <c r="Z570" i="1"/>
  <c r="AC570" i="1" s="1"/>
  <c r="Z569" i="1"/>
  <c r="AC569" i="1" s="1"/>
  <c r="Z568" i="1"/>
  <c r="AB568" i="1" s="1"/>
  <c r="AE568" i="1" s="1"/>
  <c r="AC567" i="1"/>
  <c r="AB567" i="1"/>
  <c r="AE567" i="1" s="1"/>
  <c r="Z567" i="1"/>
  <c r="Z566" i="1"/>
  <c r="AC566" i="1" s="1"/>
  <c r="Z565" i="1"/>
  <c r="AC565" i="1" s="1"/>
  <c r="Z564" i="1"/>
  <c r="AC564" i="1" s="1"/>
  <c r="Z563" i="1"/>
  <c r="AC563" i="1" s="1"/>
  <c r="AB562" i="1"/>
  <c r="AE562" i="1" s="1"/>
  <c r="Z562" i="1"/>
  <c r="AC562" i="1" s="1"/>
  <c r="Z561" i="1"/>
  <c r="AB561" i="1" s="1"/>
  <c r="AE561" i="1" s="1"/>
  <c r="Z560" i="1"/>
  <c r="AC560" i="1" s="1"/>
  <c r="Z559" i="1"/>
  <c r="AC559" i="1" s="1"/>
  <c r="Z558" i="1"/>
  <c r="AB557" i="1"/>
  <c r="AE557" i="1" s="1"/>
  <c r="Z557" i="1"/>
  <c r="AC557" i="1" s="1"/>
  <c r="Z556" i="1"/>
  <c r="AC556" i="1" s="1"/>
  <c r="Z555" i="1"/>
  <c r="AC555" i="1" s="1"/>
  <c r="Z554" i="1"/>
  <c r="AB554" i="1" s="1"/>
  <c r="AE554" i="1" s="1"/>
  <c r="Z553" i="1"/>
  <c r="AC553" i="1" s="1"/>
  <c r="Z552" i="1"/>
  <c r="AB552" i="1" s="1"/>
  <c r="AE552" i="1" s="1"/>
  <c r="Z551" i="1"/>
  <c r="AC551" i="1" s="1"/>
  <c r="Z550" i="1"/>
  <c r="AB550" i="1" s="1"/>
  <c r="AE550" i="1" s="1"/>
  <c r="Z549" i="1"/>
  <c r="AB549" i="1" s="1"/>
  <c r="AE549" i="1" s="1"/>
  <c r="Z548" i="1"/>
  <c r="AC548" i="1" s="1"/>
  <c r="AB547" i="1"/>
  <c r="AE547" i="1" s="1"/>
  <c r="Z547" i="1"/>
  <c r="AC547" i="1" s="1"/>
  <c r="Z546" i="1"/>
  <c r="AC546" i="1" s="1"/>
  <c r="Z545" i="1"/>
  <c r="AC545" i="1" s="1"/>
  <c r="Z544" i="1"/>
  <c r="AC544" i="1" s="1"/>
  <c r="Z543" i="1"/>
  <c r="Z542" i="1"/>
  <c r="Z541" i="1"/>
  <c r="AC541" i="1" s="1"/>
  <c r="Z540" i="1"/>
  <c r="AB540" i="1" s="1"/>
  <c r="AE540" i="1" s="1"/>
  <c r="AC539" i="1"/>
  <c r="Z539" i="1"/>
  <c r="AB539" i="1" s="1"/>
  <c r="AE539" i="1" s="1"/>
  <c r="AB538" i="1"/>
  <c r="AE538" i="1" s="1"/>
  <c r="Z538" i="1"/>
  <c r="AC538" i="1" s="1"/>
  <c r="Z537" i="1"/>
  <c r="AC537" i="1" s="1"/>
  <c r="Z536" i="1"/>
  <c r="AB536" i="1" s="1"/>
  <c r="AE536" i="1" s="1"/>
  <c r="Z535" i="1"/>
  <c r="AB535" i="1" s="1"/>
  <c r="AE535" i="1" s="1"/>
  <c r="Z534" i="1"/>
  <c r="Z533" i="1"/>
  <c r="AC533" i="1" s="1"/>
  <c r="AC532" i="1"/>
  <c r="Z532" i="1"/>
  <c r="AB532" i="1" s="1"/>
  <c r="AE532" i="1" s="1"/>
  <c r="Z531" i="1"/>
  <c r="AC530" i="1"/>
  <c r="Z530" i="1"/>
  <c r="AB530" i="1" s="1"/>
  <c r="AE530" i="1" s="1"/>
  <c r="Z529" i="1"/>
  <c r="AB529" i="1" s="1"/>
  <c r="AE529" i="1" s="1"/>
  <c r="Z528" i="1"/>
  <c r="AB527" i="1"/>
  <c r="AE527" i="1" s="1"/>
  <c r="Z527" i="1"/>
  <c r="AC527" i="1" s="1"/>
  <c r="Z526" i="1"/>
  <c r="Z525" i="1"/>
  <c r="AB525" i="1" s="1"/>
  <c r="AE525" i="1" s="1"/>
  <c r="Z524" i="1"/>
  <c r="AC524" i="1" s="1"/>
  <c r="Z523" i="1"/>
  <c r="Z522" i="1"/>
  <c r="AB522" i="1" s="1"/>
  <c r="AE522" i="1" s="1"/>
  <c r="AC521" i="1"/>
  <c r="Z521" i="1"/>
  <c r="AB521" i="1" s="1"/>
  <c r="AE521" i="1" s="1"/>
  <c r="Z520" i="1"/>
  <c r="AC520" i="1" s="1"/>
  <c r="Z519" i="1"/>
  <c r="Z518" i="1"/>
  <c r="AB518" i="1" s="1"/>
  <c r="AE518" i="1" s="1"/>
  <c r="Z517" i="1"/>
  <c r="AC517" i="1" s="1"/>
  <c r="Z516" i="1"/>
  <c r="AC516" i="1" s="1"/>
  <c r="Z515" i="1"/>
  <c r="Z514" i="1"/>
  <c r="AC514" i="1" s="1"/>
  <c r="Z513" i="1"/>
  <c r="Z512" i="1"/>
  <c r="Z511" i="1"/>
  <c r="AB511" i="1" s="1"/>
  <c r="AE511" i="1" s="1"/>
  <c r="Z510" i="1"/>
  <c r="AB510" i="1" s="1"/>
  <c r="AE510" i="1" s="1"/>
  <c r="Z509" i="1"/>
  <c r="AC509" i="1" s="1"/>
  <c r="Z508" i="1"/>
  <c r="AC508" i="1" s="1"/>
  <c r="Z507" i="1"/>
  <c r="AB507" i="1" s="1"/>
  <c r="AE507" i="1" s="1"/>
  <c r="AC506" i="1"/>
  <c r="Z506" i="1"/>
  <c r="AB506" i="1" s="1"/>
  <c r="AE506" i="1" s="1"/>
  <c r="Z505" i="1"/>
  <c r="Z504" i="1"/>
  <c r="AB503" i="1"/>
  <c r="AE503" i="1" s="1"/>
  <c r="Z503" i="1"/>
  <c r="AC503" i="1" s="1"/>
  <c r="Z502" i="1"/>
  <c r="AB502" i="1" s="1"/>
  <c r="AE502" i="1" s="1"/>
  <c r="Z501" i="1"/>
  <c r="AC501" i="1" s="1"/>
  <c r="Z500" i="1"/>
  <c r="AB500" i="1" s="1"/>
  <c r="AE500" i="1" s="1"/>
  <c r="Z499" i="1"/>
  <c r="Z498" i="1"/>
  <c r="AC498" i="1" s="1"/>
  <c r="Z497" i="1"/>
  <c r="AB496" i="1"/>
  <c r="AE496" i="1" s="1"/>
  <c r="Z496" i="1"/>
  <c r="AC496" i="1" s="1"/>
  <c r="Z495" i="1"/>
  <c r="AC495" i="1" s="1"/>
  <c r="Z494" i="1"/>
  <c r="Z493" i="1"/>
  <c r="AC493" i="1" s="1"/>
  <c r="Z492" i="1"/>
  <c r="AC492" i="1" s="1"/>
  <c r="Z491" i="1"/>
  <c r="Z490" i="1"/>
  <c r="AB489" i="1"/>
  <c r="AE489" i="1" s="1"/>
  <c r="Z489" i="1"/>
  <c r="AC489" i="1" s="1"/>
  <c r="Z488" i="1"/>
  <c r="AC488" i="1" s="1"/>
  <c r="Z487" i="1"/>
  <c r="AC487" i="1" s="1"/>
  <c r="AC486" i="1"/>
  <c r="Z486" i="1"/>
  <c r="AB486" i="1" s="1"/>
  <c r="AE486" i="1" s="1"/>
  <c r="Z485" i="1"/>
  <c r="AC485" i="1" s="1"/>
  <c r="Z484" i="1"/>
  <c r="AC484" i="1" s="1"/>
  <c r="Z483" i="1"/>
  <c r="Z482" i="1"/>
  <c r="AB482" i="1" s="1"/>
  <c r="AE482" i="1" s="1"/>
  <c r="Z481" i="1"/>
  <c r="AB480" i="1"/>
  <c r="AE480" i="1" s="1"/>
  <c r="Z480" i="1"/>
  <c r="AC480" i="1" s="1"/>
  <c r="Z479" i="1"/>
  <c r="AB479" i="1" s="1"/>
  <c r="AE479" i="1" s="1"/>
  <c r="Z478" i="1"/>
  <c r="AB478" i="1" s="1"/>
  <c r="AE478" i="1" s="1"/>
  <c r="Z477" i="1"/>
  <c r="AC477" i="1" s="1"/>
  <c r="Z476" i="1"/>
  <c r="AB476" i="1" s="1"/>
  <c r="AE476" i="1" s="1"/>
  <c r="Z475" i="1"/>
  <c r="AC475" i="1" s="1"/>
  <c r="Z474" i="1"/>
  <c r="AC473" i="1"/>
  <c r="Z473" i="1"/>
  <c r="AB473" i="1" s="1"/>
  <c r="AE473" i="1" s="1"/>
  <c r="AC472" i="1"/>
  <c r="Z472" i="1"/>
  <c r="AB472" i="1" s="1"/>
  <c r="AE472" i="1" s="1"/>
  <c r="Z471" i="1"/>
  <c r="AC471" i="1" s="1"/>
  <c r="Z470" i="1"/>
  <c r="AC470" i="1" s="1"/>
  <c r="Z469" i="1"/>
  <c r="AC469" i="1" s="1"/>
  <c r="Z468" i="1"/>
  <c r="Z467" i="1"/>
  <c r="AC467" i="1" s="1"/>
  <c r="Z466" i="1"/>
  <c r="AC466" i="1" s="1"/>
  <c r="Z465" i="1"/>
  <c r="AB465" i="1" s="1"/>
  <c r="AE465" i="1" s="1"/>
  <c r="Z464" i="1"/>
  <c r="Z463" i="1"/>
  <c r="AC463" i="1" s="1"/>
  <c r="Z462" i="1"/>
  <c r="Z461" i="1"/>
  <c r="AC461" i="1" s="1"/>
  <c r="Z460" i="1"/>
  <c r="Z459" i="1"/>
  <c r="AC459" i="1" s="1"/>
  <c r="Z458" i="1"/>
  <c r="AC458" i="1" s="1"/>
  <c r="AC457" i="1"/>
  <c r="Z457" i="1"/>
  <c r="AB457" i="1" s="1"/>
  <c r="AE457" i="1" s="1"/>
  <c r="Z456" i="1"/>
  <c r="AB456" i="1" s="1"/>
  <c r="AE456" i="1" s="1"/>
  <c r="Z455" i="1"/>
  <c r="Z454" i="1"/>
  <c r="AB454" i="1" s="1"/>
  <c r="AE454" i="1" s="1"/>
  <c r="AC453" i="1"/>
  <c r="Z453" i="1"/>
  <c r="AB453" i="1" s="1"/>
  <c r="AE453" i="1" s="1"/>
  <c r="Z452" i="1"/>
  <c r="AC452" i="1" s="1"/>
  <c r="Z451" i="1"/>
  <c r="Z450" i="1"/>
  <c r="AB450" i="1" s="1"/>
  <c r="AE450" i="1" s="1"/>
  <c r="AC449" i="1"/>
  <c r="Z449" i="1"/>
  <c r="AB449" i="1" s="1"/>
  <c r="AE449" i="1" s="1"/>
  <c r="Z448" i="1"/>
  <c r="AC448" i="1" s="1"/>
  <c r="Z447" i="1"/>
  <c r="AC447" i="1" s="1"/>
  <c r="Z446" i="1"/>
  <c r="AB446" i="1" s="1"/>
  <c r="AE446" i="1" s="1"/>
  <c r="Z445" i="1"/>
  <c r="AC445" i="1" s="1"/>
  <c r="Z444" i="1"/>
  <c r="AB444" i="1" s="1"/>
  <c r="AE444" i="1" s="1"/>
  <c r="Z443" i="1"/>
  <c r="AB443" i="1" s="1"/>
  <c r="AE443" i="1" s="1"/>
  <c r="Z442" i="1"/>
  <c r="Z441" i="1"/>
  <c r="AB441" i="1" s="1"/>
  <c r="AE441" i="1" s="1"/>
  <c r="Z440" i="1"/>
  <c r="AB440" i="1" s="1"/>
  <c r="AE440" i="1" s="1"/>
  <c r="Z439" i="1"/>
  <c r="AB439" i="1" s="1"/>
  <c r="AE439" i="1" s="1"/>
  <c r="AB438" i="1"/>
  <c r="AE438" i="1" s="1"/>
  <c r="Z438" i="1"/>
  <c r="AC438" i="1" s="1"/>
  <c r="Z437" i="1"/>
  <c r="AC437" i="1" s="1"/>
  <c r="Z436" i="1"/>
  <c r="Z435" i="1"/>
  <c r="AB434" i="1"/>
  <c r="AE434" i="1" s="1"/>
  <c r="Z434" i="1"/>
  <c r="AC434" i="1" s="1"/>
  <c r="Z433" i="1"/>
  <c r="AB433" i="1" s="1"/>
  <c r="AE433" i="1" s="1"/>
  <c r="AC432" i="1"/>
  <c r="AB432" i="1"/>
  <c r="AE432" i="1" s="1"/>
  <c r="Z432" i="1"/>
  <c r="Z431" i="1"/>
  <c r="AC431" i="1" s="1"/>
  <c r="Z430" i="1"/>
  <c r="AC429" i="1"/>
  <c r="Z429" i="1"/>
  <c r="AB429" i="1" s="1"/>
  <c r="AE429" i="1" s="1"/>
  <c r="Z428" i="1"/>
  <c r="AC428" i="1" s="1"/>
  <c r="Z427" i="1"/>
  <c r="AC427" i="1" s="1"/>
  <c r="Z426" i="1"/>
  <c r="AB426" i="1" s="1"/>
  <c r="AE426" i="1" s="1"/>
  <c r="AC425" i="1"/>
  <c r="Z425" i="1"/>
  <c r="AB425" i="1" s="1"/>
  <c r="AE425" i="1" s="1"/>
  <c r="Z424" i="1"/>
  <c r="AB424" i="1" s="1"/>
  <c r="AE424" i="1" s="1"/>
  <c r="Z423" i="1"/>
  <c r="Z422" i="1"/>
  <c r="AB422" i="1" s="1"/>
  <c r="AE422" i="1" s="1"/>
  <c r="Z421" i="1"/>
  <c r="AC421" i="1" s="1"/>
  <c r="Z420" i="1"/>
  <c r="AC420" i="1" s="1"/>
  <c r="Z419" i="1"/>
  <c r="AC419" i="1" s="1"/>
  <c r="Z418" i="1"/>
  <c r="AC418" i="1" s="1"/>
  <c r="Z417" i="1"/>
  <c r="Z416" i="1"/>
  <c r="Z415" i="1"/>
  <c r="Z414" i="1"/>
  <c r="AB414" i="1" s="1"/>
  <c r="AE414" i="1" s="1"/>
  <c r="AB413" i="1"/>
  <c r="AE413" i="1" s="1"/>
  <c r="Z413" i="1"/>
  <c r="AC413" i="1" s="1"/>
  <c r="Z412" i="1"/>
  <c r="AB412" i="1" s="1"/>
  <c r="AE412" i="1" s="1"/>
  <c r="AC411" i="1"/>
  <c r="Z411" i="1"/>
  <c r="AB411" i="1" s="1"/>
  <c r="AE411" i="1" s="1"/>
  <c r="Z410" i="1"/>
  <c r="AC410" i="1" s="1"/>
  <c r="AC409" i="1"/>
  <c r="Z409" i="1"/>
  <c r="AB409" i="1" s="1"/>
  <c r="AE409" i="1" s="1"/>
  <c r="Z408" i="1"/>
  <c r="AC408" i="1" s="1"/>
  <c r="Z407" i="1"/>
  <c r="AB407" i="1" s="1"/>
  <c r="AE407" i="1" s="1"/>
  <c r="Z406" i="1"/>
  <c r="AC406" i="1" s="1"/>
  <c r="Z405" i="1"/>
  <c r="AC405" i="1" s="1"/>
  <c r="Z404" i="1"/>
  <c r="AB404" i="1" s="1"/>
  <c r="AE404" i="1" s="1"/>
  <c r="Z403" i="1"/>
  <c r="AC403" i="1" s="1"/>
  <c r="Z402" i="1"/>
  <c r="AC402" i="1" s="1"/>
  <c r="Z401" i="1"/>
  <c r="AB401" i="1" s="1"/>
  <c r="AE401" i="1" s="1"/>
  <c r="Z400" i="1"/>
  <c r="AC400" i="1" s="1"/>
  <c r="Z399" i="1"/>
  <c r="Z398" i="1"/>
  <c r="Z397" i="1"/>
  <c r="AB397" i="1" s="1"/>
  <c r="AE397" i="1" s="1"/>
  <c r="Z396" i="1"/>
  <c r="AC396" i="1" s="1"/>
  <c r="AB395" i="1"/>
  <c r="AE395" i="1" s="1"/>
  <c r="Z395" i="1"/>
  <c r="AC395" i="1" s="1"/>
  <c r="Z394" i="1"/>
  <c r="AC393" i="1"/>
  <c r="Z393" i="1"/>
  <c r="AB393" i="1" s="1"/>
  <c r="AE393" i="1" s="1"/>
  <c r="Z392" i="1"/>
  <c r="AB391" i="1"/>
  <c r="AE391" i="1" s="1"/>
  <c r="Z391" i="1"/>
  <c r="AC391" i="1" s="1"/>
  <c r="Z390" i="1"/>
  <c r="AB390" i="1" s="1"/>
  <c r="AE390" i="1" s="1"/>
  <c r="Z389" i="1"/>
  <c r="AC389" i="1" s="1"/>
  <c r="AC388" i="1"/>
  <c r="Z388" i="1"/>
  <c r="AB388" i="1" s="1"/>
  <c r="AE388" i="1" s="1"/>
  <c r="Z387" i="1"/>
  <c r="Z386" i="1"/>
  <c r="AC386" i="1" s="1"/>
  <c r="Z385" i="1"/>
  <c r="AC385" i="1" s="1"/>
  <c r="Z384" i="1"/>
  <c r="AC384" i="1" s="1"/>
  <c r="Z383" i="1"/>
  <c r="Z382" i="1"/>
  <c r="Z381" i="1"/>
  <c r="AC381" i="1" s="1"/>
  <c r="Z380" i="1"/>
  <c r="AC380" i="1" s="1"/>
  <c r="Z379" i="1"/>
  <c r="AC379" i="1" s="1"/>
  <c r="AB378" i="1"/>
  <c r="AE378" i="1" s="1"/>
  <c r="Z378" i="1"/>
  <c r="AC378" i="1" s="1"/>
  <c r="Z377" i="1"/>
  <c r="AC377" i="1" s="1"/>
  <c r="Z376" i="1"/>
  <c r="Z375" i="1"/>
  <c r="Z374" i="1"/>
  <c r="AC374" i="1" s="1"/>
  <c r="Z373" i="1"/>
  <c r="AC373" i="1" s="1"/>
  <c r="Z372" i="1"/>
  <c r="AB372" i="1" s="1"/>
  <c r="AE372" i="1" s="1"/>
  <c r="Z371" i="1"/>
  <c r="AC371" i="1" s="1"/>
  <c r="Z370" i="1"/>
  <c r="Z369" i="1"/>
  <c r="AC369" i="1" s="1"/>
  <c r="Z368" i="1"/>
  <c r="AB368" i="1" s="1"/>
  <c r="AE368" i="1" s="1"/>
  <c r="Z367" i="1"/>
  <c r="AB367" i="1" s="1"/>
  <c r="AE367" i="1" s="1"/>
  <c r="Z366" i="1"/>
  <c r="Z365" i="1"/>
  <c r="AC365" i="1" s="1"/>
  <c r="Z364" i="1"/>
  <c r="AC364" i="1" s="1"/>
  <c r="Z363" i="1"/>
  <c r="AC363" i="1" s="1"/>
  <c r="Z362" i="1"/>
  <c r="AB362" i="1" s="1"/>
  <c r="AE362" i="1" s="1"/>
  <c r="AC361" i="1"/>
  <c r="Z361" i="1"/>
  <c r="AB361" i="1" s="1"/>
  <c r="AE361" i="1" s="1"/>
  <c r="Z360" i="1"/>
  <c r="AB359" i="1"/>
  <c r="AE359" i="1" s="1"/>
  <c r="Z359" i="1"/>
  <c r="AC359" i="1" s="1"/>
  <c r="Z358" i="1"/>
  <c r="AB358" i="1" s="1"/>
  <c r="AE358" i="1" s="1"/>
  <c r="Z357" i="1"/>
  <c r="AC357" i="1" s="1"/>
  <c r="AC356" i="1"/>
  <c r="AB356" i="1"/>
  <c r="AE356" i="1" s="1"/>
  <c r="Z356" i="1"/>
  <c r="Z355" i="1"/>
  <c r="Z354" i="1"/>
  <c r="AC354" i="1" s="1"/>
  <c r="Z353" i="1"/>
  <c r="AC353" i="1" s="1"/>
  <c r="Z352" i="1"/>
  <c r="AB352" i="1" s="1"/>
  <c r="AE352" i="1" s="1"/>
  <c r="Z351" i="1"/>
  <c r="AB351" i="1" s="1"/>
  <c r="AE351" i="1" s="1"/>
  <c r="AC350" i="1"/>
  <c r="Z350" i="1"/>
  <c r="AB350" i="1" s="1"/>
  <c r="AE350" i="1" s="1"/>
  <c r="Z349" i="1"/>
  <c r="AC349" i="1" s="1"/>
  <c r="Z348" i="1"/>
  <c r="AB348" i="1" s="1"/>
  <c r="AE348" i="1" s="1"/>
  <c r="Z347" i="1"/>
  <c r="AC346" i="1"/>
  <c r="Z346" i="1"/>
  <c r="AB346" i="1" s="1"/>
  <c r="AE346" i="1" s="1"/>
  <c r="AC345" i="1"/>
  <c r="AB345" i="1"/>
  <c r="AE345" i="1" s="1"/>
  <c r="Z345" i="1"/>
  <c r="Z344" i="1"/>
  <c r="AB344" i="1" s="1"/>
  <c r="AE344" i="1" s="1"/>
  <c r="Z343" i="1"/>
  <c r="AC343" i="1" s="1"/>
  <c r="Z342" i="1"/>
  <c r="AC342" i="1" s="1"/>
  <c r="Z341" i="1"/>
  <c r="AC341" i="1" s="1"/>
  <c r="Z340" i="1"/>
  <c r="AB340" i="1" s="1"/>
  <c r="AE340" i="1" s="1"/>
  <c r="AB339" i="1"/>
  <c r="AE339" i="1" s="1"/>
  <c r="Z339" i="1"/>
  <c r="AC339" i="1" s="1"/>
  <c r="Z338" i="1"/>
  <c r="AC338" i="1" s="1"/>
  <c r="AC337" i="1"/>
  <c r="Z337" i="1"/>
  <c r="AB337" i="1" s="1"/>
  <c r="AE337" i="1" s="1"/>
  <c r="Z336" i="1"/>
  <c r="AC336" i="1" s="1"/>
  <c r="Z335" i="1"/>
  <c r="Z334" i="1"/>
  <c r="AB333" i="1"/>
  <c r="AE333" i="1" s="1"/>
  <c r="Z333" i="1"/>
  <c r="AC333" i="1" s="1"/>
  <c r="Z332" i="1"/>
  <c r="AC332" i="1" s="1"/>
  <c r="Z331" i="1"/>
  <c r="Z330" i="1"/>
  <c r="AC330" i="1" s="1"/>
  <c r="Z329" i="1"/>
  <c r="AB329" i="1" s="1"/>
  <c r="AE329" i="1" s="1"/>
  <c r="Z328" i="1"/>
  <c r="AB328" i="1" s="1"/>
  <c r="AE328" i="1" s="1"/>
  <c r="Z327" i="1"/>
  <c r="AC327" i="1" s="1"/>
  <c r="Z326" i="1"/>
  <c r="AC326" i="1" s="1"/>
  <c r="Z325" i="1"/>
  <c r="AC325" i="1" s="1"/>
  <c r="Z324" i="1"/>
  <c r="AC324" i="1" s="1"/>
  <c r="Z323" i="1"/>
  <c r="AC322" i="1"/>
  <c r="AB322" i="1"/>
  <c r="AE322" i="1" s="1"/>
  <c r="Z322" i="1"/>
  <c r="Z321" i="1"/>
  <c r="AC321" i="1" s="1"/>
  <c r="Z320" i="1"/>
  <c r="AC320" i="1" s="1"/>
  <c r="Z319" i="1"/>
  <c r="AC319" i="1" s="1"/>
  <c r="Z318" i="1"/>
  <c r="AB318" i="1" s="1"/>
  <c r="AE318" i="1" s="1"/>
  <c r="Z317" i="1"/>
  <c r="AC317" i="1" s="1"/>
  <c r="Z316" i="1"/>
  <c r="AB316" i="1" s="1"/>
  <c r="AE316" i="1" s="1"/>
  <c r="AC315" i="1"/>
  <c r="Z315" i="1"/>
  <c r="AB315" i="1" s="1"/>
  <c r="AE315" i="1" s="1"/>
  <c r="AC314" i="1"/>
  <c r="AB314" i="1"/>
  <c r="AE314" i="1" s="1"/>
  <c r="Z314" i="1"/>
  <c r="AC313" i="1"/>
  <c r="AB313" i="1"/>
  <c r="AE313" i="1" s="1"/>
  <c r="Z313" i="1"/>
  <c r="Z312" i="1"/>
  <c r="AB312" i="1" s="1"/>
  <c r="AE312" i="1" s="1"/>
  <c r="Z311" i="1"/>
  <c r="AC311" i="1" s="1"/>
  <c r="AC310" i="1"/>
  <c r="Z310" i="1"/>
  <c r="AB310" i="1" s="1"/>
  <c r="AE310" i="1" s="1"/>
  <c r="Z309" i="1"/>
  <c r="AB309" i="1" s="1"/>
  <c r="AE309" i="1" s="1"/>
  <c r="Z308" i="1"/>
  <c r="AC308" i="1" s="1"/>
  <c r="Z307" i="1"/>
  <c r="AC307" i="1" s="1"/>
  <c r="Z306" i="1"/>
  <c r="AC306" i="1" s="1"/>
  <c r="Z305" i="1"/>
  <c r="AB305" i="1" s="1"/>
  <c r="AE305" i="1" s="1"/>
  <c r="Z304" i="1"/>
  <c r="AC304" i="1" s="1"/>
  <c r="AC303" i="1"/>
  <c r="Z303" i="1"/>
  <c r="AB303" i="1" s="1"/>
  <c r="AE303" i="1" s="1"/>
  <c r="Z302" i="1"/>
  <c r="AB302" i="1" s="1"/>
  <c r="AE302" i="1" s="1"/>
  <c r="Z301" i="1"/>
  <c r="AC301" i="1" s="1"/>
  <c r="Z300" i="1"/>
  <c r="AC300" i="1" s="1"/>
  <c r="Z299" i="1"/>
  <c r="Z298" i="1"/>
  <c r="AC298" i="1" s="1"/>
  <c r="AB297" i="1"/>
  <c r="AE297" i="1" s="1"/>
  <c r="Z297" i="1"/>
  <c r="AC297" i="1" s="1"/>
  <c r="Z296" i="1"/>
  <c r="AC296" i="1" s="1"/>
  <c r="Z295" i="1"/>
  <c r="AC295" i="1" s="1"/>
  <c r="Z294" i="1"/>
  <c r="AB294" i="1" s="1"/>
  <c r="AE294" i="1" s="1"/>
  <c r="Z293" i="1"/>
  <c r="AC293" i="1" s="1"/>
  <c r="Z292" i="1"/>
  <c r="AC292" i="1" s="1"/>
  <c r="Z291" i="1"/>
  <c r="AC291" i="1" s="1"/>
  <c r="AC290" i="1"/>
  <c r="Z290" i="1"/>
  <c r="AB290" i="1" s="1"/>
  <c r="AE290" i="1" s="1"/>
  <c r="Z289" i="1"/>
  <c r="AC289" i="1" s="1"/>
  <c r="AB288" i="1"/>
  <c r="AE288" i="1" s="1"/>
  <c r="Z288" i="1"/>
  <c r="AC288" i="1" s="1"/>
  <c r="Z287" i="1"/>
  <c r="AC287" i="1" s="1"/>
  <c r="Z286" i="1"/>
  <c r="Z285" i="1"/>
  <c r="AB285" i="1" s="1"/>
  <c r="AE285" i="1" s="1"/>
  <c r="Z284" i="1"/>
  <c r="AC283" i="1"/>
  <c r="AB283" i="1"/>
  <c r="AE283" i="1" s="1"/>
  <c r="Z283" i="1"/>
  <c r="AC282" i="1"/>
  <c r="Z282" i="1"/>
  <c r="AB282" i="1" s="1"/>
  <c r="AE282" i="1" s="1"/>
  <c r="AC281" i="1"/>
  <c r="Z281" i="1"/>
  <c r="AB281" i="1" s="1"/>
  <c r="AE281" i="1" s="1"/>
  <c r="Z280" i="1"/>
  <c r="AC280" i="1" s="1"/>
  <c r="Z279" i="1"/>
  <c r="AC279" i="1" s="1"/>
  <c r="AC278" i="1"/>
  <c r="Z278" i="1"/>
  <c r="AB278" i="1" s="1"/>
  <c r="AE278" i="1" s="1"/>
  <c r="Z277" i="1"/>
  <c r="AC277" i="1" s="1"/>
  <c r="Z276" i="1"/>
  <c r="AC276" i="1" s="1"/>
  <c r="Z275" i="1"/>
  <c r="AC275" i="1" s="1"/>
  <c r="Z274" i="1"/>
  <c r="AC274" i="1" s="1"/>
  <c r="Z273" i="1"/>
  <c r="AB273" i="1" s="1"/>
  <c r="AE273" i="1" s="1"/>
  <c r="Z272" i="1"/>
  <c r="AC272" i="1" s="1"/>
  <c r="AB271" i="1"/>
  <c r="AE271" i="1" s="1"/>
  <c r="Z271" i="1"/>
  <c r="AC271" i="1" s="1"/>
  <c r="Z270" i="1"/>
  <c r="AB270" i="1" s="1"/>
  <c r="AE270" i="1" s="1"/>
  <c r="AC269" i="1"/>
  <c r="Z269" i="1"/>
  <c r="AB269" i="1" s="1"/>
  <c r="AE269" i="1" s="1"/>
  <c r="Z268" i="1"/>
  <c r="AC268" i="1" s="1"/>
  <c r="Z267" i="1"/>
  <c r="AC267" i="1" s="1"/>
  <c r="Z266" i="1"/>
  <c r="AC266" i="1" s="1"/>
  <c r="AC265" i="1"/>
  <c r="AB265" i="1"/>
  <c r="AE265" i="1" s="1"/>
  <c r="Z265" i="1"/>
  <c r="Z264" i="1"/>
  <c r="AC264" i="1" s="1"/>
  <c r="Z263" i="1"/>
  <c r="Z262" i="1"/>
  <c r="AB262" i="1" s="1"/>
  <c r="AE262" i="1" s="1"/>
  <c r="Z261" i="1"/>
  <c r="AB261" i="1" s="1"/>
  <c r="AE261" i="1" s="1"/>
  <c r="AB260" i="1"/>
  <c r="AE260" i="1" s="1"/>
  <c r="Z260" i="1"/>
  <c r="AC260" i="1" s="1"/>
  <c r="Z259" i="1"/>
  <c r="AC259" i="1" s="1"/>
  <c r="Z258" i="1"/>
  <c r="AC258" i="1" s="1"/>
  <c r="Z257" i="1"/>
  <c r="AB257" i="1" s="1"/>
  <c r="AE257" i="1" s="1"/>
  <c r="Z256" i="1"/>
  <c r="AC256" i="1" s="1"/>
  <c r="AB255" i="1"/>
  <c r="AE255" i="1" s="1"/>
  <c r="Z255" i="1"/>
  <c r="AC255" i="1" s="1"/>
  <c r="Z254" i="1"/>
  <c r="AB254" i="1" s="1"/>
  <c r="AE254" i="1" s="1"/>
  <c r="AB253" i="1"/>
  <c r="AE253" i="1" s="1"/>
  <c r="Z253" i="1"/>
  <c r="AC253" i="1" s="1"/>
  <c r="Z252" i="1"/>
  <c r="AC252" i="1" s="1"/>
  <c r="Z251" i="1"/>
  <c r="AC251" i="1" s="1"/>
  <c r="Z250" i="1"/>
  <c r="AB250" i="1" s="1"/>
  <c r="AE250" i="1" s="1"/>
  <c r="Z249" i="1"/>
  <c r="AB249" i="1" s="1"/>
  <c r="AE249" i="1" s="1"/>
  <c r="Z248" i="1"/>
  <c r="AC248" i="1" s="1"/>
  <c r="Z247" i="1"/>
  <c r="AB247" i="1" s="1"/>
  <c r="AE247" i="1" s="1"/>
  <c r="Z246" i="1"/>
  <c r="AC246" i="1" s="1"/>
  <c r="Z245" i="1"/>
  <c r="Z244" i="1"/>
  <c r="AB244" i="1" s="1"/>
  <c r="AE244" i="1" s="1"/>
  <c r="Z243" i="1"/>
  <c r="AC243" i="1" s="1"/>
  <c r="Z242" i="1"/>
  <c r="AC242" i="1" s="1"/>
  <c r="AC241" i="1"/>
  <c r="Z241" i="1"/>
  <c r="AB241" i="1" s="1"/>
  <c r="AE241" i="1" s="1"/>
  <c r="Z240" i="1"/>
  <c r="AC240" i="1" s="1"/>
  <c r="Z239" i="1"/>
  <c r="AC239" i="1" s="1"/>
  <c r="Z238" i="1"/>
  <c r="AB238" i="1" s="1"/>
  <c r="AE238" i="1" s="1"/>
  <c r="Z237" i="1"/>
  <c r="AC237" i="1" s="1"/>
  <c r="AB236" i="1"/>
  <c r="AE236" i="1" s="1"/>
  <c r="Z236" i="1"/>
  <c r="AC236" i="1" s="1"/>
  <c r="Z235" i="1"/>
  <c r="AC235" i="1" s="1"/>
  <c r="AC234" i="1"/>
  <c r="Z234" i="1"/>
  <c r="AB234" i="1" s="1"/>
  <c r="AE234" i="1" s="1"/>
  <c r="Z233" i="1"/>
  <c r="AC233" i="1" s="1"/>
  <c r="AB232" i="1"/>
  <c r="AE232" i="1" s="1"/>
  <c r="Z232" i="1"/>
  <c r="AC232" i="1" s="1"/>
  <c r="Z231" i="1"/>
  <c r="AC231" i="1" s="1"/>
  <c r="AC230" i="1"/>
  <c r="Z230" i="1"/>
  <c r="AB230" i="1" s="1"/>
  <c r="AE230" i="1" s="1"/>
  <c r="Z229" i="1"/>
  <c r="AB229" i="1" s="1"/>
  <c r="AE229" i="1" s="1"/>
  <c r="Z228" i="1"/>
  <c r="Z227" i="1"/>
  <c r="AC227" i="1" s="1"/>
  <c r="AC226" i="1"/>
  <c r="Z226" i="1"/>
  <c r="AB226" i="1" s="1"/>
  <c r="AE226" i="1" s="1"/>
  <c r="Z225" i="1"/>
  <c r="AC225" i="1" s="1"/>
  <c r="Z224" i="1"/>
  <c r="AC224" i="1" s="1"/>
  <c r="Z223" i="1"/>
  <c r="AB223" i="1" s="1"/>
  <c r="AE223" i="1" s="1"/>
  <c r="Z222" i="1"/>
  <c r="AB222" i="1" s="1"/>
  <c r="AE222" i="1" s="1"/>
  <c r="AC221" i="1"/>
  <c r="Z221" i="1"/>
  <c r="AB221" i="1" s="1"/>
  <c r="AE221" i="1" s="1"/>
  <c r="Z220" i="1"/>
  <c r="AC220" i="1" s="1"/>
  <c r="Z219" i="1"/>
  <c r="AC219" i="1" s="1"/>
  <c r="AC218" i="1"/>
  <c r="AB218" i="1"/>
  <c r="AE218" i="1" s="1"/>
  <c r="Z218" i="1"/>
  <c r="Z217" i="1"/>
  <c r="AB217" i="1" s="1"/>
  <c r="AE217" i="1" s="1"/>
  <c r="Z216" i="1"/>
  <c r="AC216" i="1" s="1"/>
  <c r="Z215" i="1"/>
  <c r="AC215" i="1" s="1"/>
  <c r="AC214" i="1"/>
  <c r="Z214" i="1"/>
  <c r="AB214" i="1" s="1"/>
  <c r="AE214" i="1" s="1"/>
  <c r="Z213" i="1"/>
  <c r="AB213" i="1" s="1"/>
  <c r="AE213" i="1" s="1"/>
  <c r="Z212" i="1"/>
  <c r="AC212" i="1" s="1"/>
  <c r="Z211" i="1"/>
  <c r="AC211" i="1" s="1"/>
  <c r="Z210" i="1"/>
  <c r="AB210" i="1" s="1"/>
  <c r="AE210" i="1" s="1"/>
  <c r="Z209" i="1"/>
  <c r="AC209" i="1" s="1"/>
  <c r="Z208" i="1"/>
  <c r="AC208" i="1" s="1"/>
  <c r="Z207" i="1"/>
  <c r="AC207" i="1" s="1"/>
  <c r="Z206" i="1"/>
  <c r="AB206" i="1" s="1"/>
  <c r="AE206" i="1" s="1"/>
  <c r="Z205" i="1"/>
  <c r="AC204" i="1"/>
  <c r="Z204" i="1"/>
  <c r="AB204" i="1" s="1"/>
  <c r="AE204" i="1" s="1"/>
  <c r="Z203" i="1"/>
  <c r="AC203" i="1" s="1"/>
  <c r="Z202" i="1"/>
  <c r="AC202" i="1" s="1"/>
  <c r="AB201" i="1"/>
  <c r="AE201" i="1" s="1"/>
  <c r="Z201" i="1"/>
  <c r="AC201" i="1" s="1"/>
  <c r="AC200" i="1"/>
  <c r="Z200" i="1"/>
  <c r="AB200" i="1" s="1"/>
  <c r="AE200" i="1" s="1"/>
  <c r="Z199" i="1"/>
  <c r="AC199" i="1" s="1"/>
  <c r="Z198" i="1"/>
  <c r="AB198" i="1" s="1"/>
  <c r="AE198" i="1" s="1"/>
  <c r="Z197" i="1"/>
  <c r="AC197" i="1" s="1"/>
  <c r="Z196" i="1"/>
  <c r="AB196" i="1" s="1"/>
  <c r="AE196" i="1" s="1"/>
  <c r="Z195" i="1"/>
  <c r="AC195" i="1" s="1"/>
  <c r="Z194" i="1"/>
  <c r="Z193" i="1"/>
  <c r="AB193" i="1" s="1"/>
  <c r="AE193" i="1" s="1"/>
  <c r="Z192" i="1"/>
  <c r="AC192" i="1" s="1"/>
  <c r="Z191" i="1"/>
  <c r="AC191" i="1" s="1"/>
  <c r="Z190" i="1"/>
  <c r="AB190" i="1" s="1"/>
  <c r="AE190" i="1" s="1"/>
  <c r="Z189" i="1"/>
  <c r="AB189" i="1" s="1"/>
  <c r="AE189" i="1" s="1"/>
  <c r="Z188" i="1"/>
  <c r="AC188" i="1" s="1"/>
  <c r="Z187" i="1"/>
  <c r="AB187" i="1" s="1"/>
  <c r="AE187" i="1" s="1"/>
  <c r="Z186" i="1"/>
  <c r="AB186" i="1" s="1"/>
  <c r="AE186" i="1" s="1"/>
  <c r="Z185" i="1"/>
  <c r="AC185" i="1" s="1"/>
  <c r="Z184" i="1"/>
  <c r="AC184" i="1" s="1"/>
  <c r="Z183" i="1"/>
  <c r="Z182" i="1"/>
  <c r="AB182" i="1" s="1"/>
  <c r="AE182" i="1" s="1"/>
  <c r="Z181" i="1"/>
  <c r="AC181" i="1" s="1"/>
  <c r="Z180" i="1"/>
  <c r="AC180" i="1" s="1"/>
  <c r="AB179" i="1"/>
  <c r="AE179" i="1" s="1"/>
  <c r="Z179" i="1"/>
  <c r="AC179" i="1" s="1"/>
  <c r="AC178" i="1"/>
  <c r="AB178" i="1"/>
  <c r="AE178" i="1" s="1"/>
  <c r="Z178" i="1"/>
  <c r="AB177" i="1"/>
  <c r="AE177" i="1" s="1"/>
  <c r="Z177" i="1"/>
  <c r="AC177" i="1" s="1"/>
  <c r="Z176" i="1"/>
  <c r="AC176" i="1" s="1"/>
  <c r="AC175" i="1"/>
  <c r="AB175" i="1"/>
  <c r="AE175" i="1" s="1"/>
  <c r="Z175" i="1"/>
  <c r="Z174" i="1"/>
  <c r="AC173" i="1"/>
  <c r="Z173" i="1"/>
  <c r="AB173" i="1" s="1"/>
  <c r="AE173" i="1" s="1"/>
  <c r="Z172" i="1"/>
  <c r="Z171" i="1"/>
  <c r="AB171" i="1" s="1"/>
  <c r="AE171" i="1" s="1"/>
  <c r="AB170" i="1"/>
  <c r="AE170" i="1" s="1"/>
  <c r="Z170" i="1"/>
  <c r="AC170" i="1" s="1"/>
  <c r="AB169" i="1"/>
  <c r="AE169" i="1" s="1"/>
  <c r="Z169" i="1"/>
  <c r="AC169" i="1" s="1"/>
  <c r="Z168" i="1"/>
  <c r="AB168" i="1" s="1"/>
  <c r="AE168" i="1" s="1"/>
  <c r="AC167" i="1"/>
  <c r="Z167" i="1"/>
  <c r="AB167" i="1" s="1"/>
  <c r="AE167" i="1" s="1"/>
  <c r="Z166" i="1"/>
  <c r="AC166" i="1" s="1"/>
  <c r="AC165" i="1"/>
  <c r="Z165" i="1"/>
  <c r="AB165" i="1" s="1"/>
  <c r="AE165" i="1" s="1"/>
  <c r="Z164" i="1"/>
  <c r="AC164" i="1" s="1"/>
  <c r="Z163" i="1"/>
  <c r="AC163" i="1" s="1"/>
  <c r="Z162" i="1"/>
  <c r="AB162" i="1" s="1"/>
  <c r="AE162" i="1" s="1"/>
  <c r="Z161" i="1"/>
  <c r="AC160" i="1"/>
  <c r="AB160" i="1"/>
  <c r="AE160" i="1" s="1"/>
  <c r="Z160" i="1"/>
  <c r="AC159" i="1"/>
  <c r="AB159" i="1"/>
  <c r="AE159" i="1" s="1"/>
  <c r="Z159" i="1"/>
  <c r="Z158" i="1"/>
  <c r="AB158" i="1" s="1"/>
  <c r="AE158" i="1" s="1"/>
  <c r="Z157" i="1"/>
  <c r="AB157" i="1" s="1"/>
  <c r="AE157" i="1" s="1"/>
  <c r="Z156" i="1"/>
  <c r="AC156" i="1" s="1"/>
  <c r="Z155" i="1"/>
  <c r="AC154" i="1"/>
  <c r="Z154" i="1"/>
  <c r="AB154" i="1" s="1"/>
  <c r="AE154" i="1" s="1"/>
  <c r="Z153" i="1"/>
  <c r="AC153" i="1" s="1"/>
  <c r="Z152" i="1"/>
  <c r="AC152" i="1" s="1"/>
  <c r="Z151" i="1"/>
  <c r="AB151" i="1" s="1"/>
  <c r="AE151" i="1" s="1"/>
  <c r="Z150" i="1"/>
  <c r="Z149" i="1"/>
  <c r="AC149" i="1" s="1"/>
  <c r="Z148" i="1"/>
  <c r="AC148" i="1" s="1"/>
  <c r="AB147" i="1"/>
  <c r="AE147" i="1" s="1"/>
  <c r="Z147" i="1"/>
  <c r="AC147" i="1" s="1"/>
  <c r="Z146" i="1"/>
  <c r="AB146" i="1" s="1"/>
  <c r="AE146" i="1" s="1"/>
  <c r="Z145" i="1"/>
  <c r="AC145" i="1" s="1"/>
  <c r="Z144" i="1"/>
  <c r="Z143" i="1"/>
  <c r="AB143" i="1" s="1"/>
  <c r="AE143" i="1" s="1"/>
  <c r="Z142" i="1"/>
  <c r="Z141" i="1"/>
  <c r="AC141" i="1" s="1"/>
  <c r="Z140" i="1"/>
  <c r="AC140" i="1" s="1"/>
  <c r="Z139" i="1"/>
  <c r="AC139" i="1" s="1"/>
  <c r="Z138" i="1"/>
  <c r="AC138" i="1" s="1"/>
  <c r="AB137" i="1"/>
  <c r="AE137" i="1" s="1"/>
  <c r="Z137" i="1"/>
  <c r="AC137" i="1" s="1"/>
  <c r="Z136" i="1"/>
  <c r="AC136" i="1" s="1"/>
  <c r="Z135" i="1"/>
  <c r="Z134" i="1"/>
  <c r="AC134" i="1" s="1"/>
  <c r="Z133" i="1"/>
  <c r="AC132" i="1"/>
  <c r="Z132" i="1"/>
  <c r="AB132" i="1" s="1"/>
  <c r="AE132" i="1" s="1"/>
  <c r="Z131" i="1"/>
  <c r="AC131" i="1" s="1"/>
  <c r="Z130" i="1"/>
  <c r="AC130" i="1" s="1"/>
  <c r="Z129" i="1"/>
  <c r="AC129" i="1" s="1"/>
  <c r="Z128" i="1"/>
  <c r="AB128" i="1" s="1"/>
  <c r="AE128" i="1" s="1"/>
  <c r="Z127" i="1"/>
  <c r="AC127" i="1" s="1"/>
  <c r="Z126" i="1"/>
  <c r="AB126" i="1" s="1"/>
  <c r="AE126" i="1" s="1"/>
  <c r="Z125" i="1"/>
  <c r="AC125" i="1" s="1"/>
  <c r="AB124" i="1"/>
  <c r="AE124" i="1" s="1"/>
  <c r="Z124" i="1"/>
  <c r="AC124" i="1" s="1"/>
  <c r="Z123" i="1"/>
  <c r="AB123" i="1" s="1"/>
  <c r="AE123" i="1" s="1"/>
  <c r="AC122" i="1"/>
  <c r="Z122" i="1"/>
  <c r="AB122" i="1" s="1"/>
  <c r="AE122" i="1" s="1"/>
  <c r="Z121" i="1"/>
  <c r="AC121" i="1" s="1"/>
  <c r="Z120" i="1"/>
  <c r="AB120" i="1" s="1"/>
  <c r="AE120" i="1" s="1"/>
  <c r="Z119" i="1"/>
  <c r="AC119" i="1" s="1"/>
  <c r="Z118" i="1"/>
  <c r="AC118" i="1" s="1"/>
  <c r="Z117" i="1"/>
  <c r="AC117" i="1" s="1"/>
  <c r="Z116" i="1"/>
  <c r="AC116" i="1" s="1"/>
  <c r="Z115" i="1"/>
  <c r="AC115" i="1" s="1"/>
  <c r="Z114" i="1"/>
  <c r="AC114" i="1" s="1"/>
  <c r="Z113" i="1"/>
  <c r="AC112" i="1"/>
  <c r="Z112" i="1"/>
  <c r="AB112" i="1" s="1"/>
  <c r="AE112" i="1" s="1"/>
  <c r="Z111" i="1"/>
  <c r="Z110" i="1"/>
  <c r="AB110" i="1" s="1"/>
  <c r="AE110" i="1" s="1"/>
  <c r="Z109" i="1"/>
  <c r="AC109" i="1" s="1"/>
  <c r="Z108" i="1"/>
  <c r="AC108" i="1" s="1"/>
  <c r="AC107" i="1"/>
  <c r="Z107" i="1"/>
  <c r="AB107" i="1" s="1"/>
  <c r="AE107" i="1" s="1"/>
  <c r="Z106" i="1"/>
  <c r="AC106" i="1" s="1"/>
  <c r="AB105" i="1"/>
  <c r="AE105" i="1" s="1"/>
  <c r="Z105" i="1"/>
  <c r="AC105" i="1" s="1"/>
  <c r="Z104" i="1"/>
  <c r="AB104" i="1" s="1"/>
  <c r="AE104" i="1" s="1"/>
  <c r="Z103" i="1"/>
  <c r="AC103" i="1" s="1"/>
  <c r="Z102" i="1"/>
  <c r="AC102" i="1" s="1"/>
  <c r="AC101" i="1"/>
  <c r="Z101" i="1"/>
  <c r="AB101" i="1" s="1"/>
  <c r="AE101" i="1" s="1"/>
  <c r="AC100" i="1"/>
  <c r="Z100" i="1"/>
  <c r="AB100" i="1" s="1"/>
  <c r="AE100" i="1" s="1"/>
  <c r="Z99" i="1"/>
  <c r="AC99" i="1" s="1"/>
  <c r="AC98" i="1"/>
  <c r="AB98" i="1"/>
  <c r="AE98" i="1" s="1"/>
  <c r="Z98" i="1"/>
  <c r="Z97" i="1"/>
  <c r="AC97" i="1" s="1"/>
  <c r="Z96" i="1"/>
  <c r="Z95" i="1"/>
  <c r="AC95" i="1" s="1"/>
  <c r="Z94" i="1"/>
  <c r="AB94" i="1" s="1"/>
  <c r="AE94" i="1" s="1"/>
  <c r="Z93" i="1"/>
  <c r="AB93" i="1" s="1"/>
  <c r="AE93" i="1" s="1"/>
  <c r="Z92" i="1"/>
  <c r="AC92" i="1" s="1"/>
  <c r="Z91" i="1"/>
  <c r="AC91" i="1" s="1"/>
  <c r="Z90" i="1"/>
  <c r="AB90" i="1" s="1"/>
  <c r="AE90" i="1" s="1"/>
  <c r="Z89" i="1"/>
  <c r="AC89" i="1" s="1"/>
  <c r="Z88" i="1"/>
  <c r="AC88" i="1" s="1"/>
  <c r="Z87" i="1"/>
  <c r="AB87" i="1" s="1"/>
  <c r="AE87" i="1" s="1"/>
  <c r="Z86" i="1"/>
  <c r="AC86" i="1" s="1"/>
  <c r="AC85" i="1"/>
  <c r="Z85" i="1"/>
  <c r="AB85" i="1" s="1"/>
  <c r="AE85" i="1" s="1"/>
  <c r="Z84" i="1"/>
  <c r="AC84" i="1" s="1"/>
  <c r="Z83" i="1"/>
  <c r="AC83" i="1" s="1"/>
  <c r="Z82" i="1"/>
  <c r="AC82" i="1" s="1"/>
  <c r="AC81" i="1"/>
  <c r="Z81" i="1"/>
  <c r="AB81" i="1" s="1"/>
  <c r="AE81" i="1" s="1"/>
  <c r="Z80" i="1"/>
  <c r="AC80" i="1" s="1"/>
  <c r="AB79" i="1"/>
  <c r="AE79" i="1" s="1"/>
  <c r="Z79" i="1"/>
  <c r="AC79" i="1" s="1"/>
  <c r="Z78" i="1"/>
  <c r="AB78" i="1" s="1"/>
  <c r="AE78" i="1" s="1"/>
  <c r="Z77" i="1"/>
  <c r="AC76" i="1"/>
  <c r="Z76" i="1"/>
  <c r="AB76" i="1" s="1"/>
  <c r="AE76" i="1" s="1"/>
  <c r="Z75" i="1"/>
  <c r="AC75" i="1" s="1"/>
  <c r="Z74" i="1"/>
  <c r="AC74" i="1" s="1"/>
  <c r="AB73" i="1"/>
  <c r="AE73" i="1" s="1"/>
  <c r="Z73" i="1"/>
  <c r="AC73" i="1" s="1"/>
  <c r="Z72" i="1"/>
  <c r="AC71" i="1"/>
  <c r="Z71" i="1"/>
  <c r="AB71" i="1" s="1"/>
  <c r="AE71" i="1" s="1"/>
  <c r="Z70" i="1"/>
  <c r="AC70" i="1" s="1"/>
  <c r="Z69" i="1"/>
  <c r="AC69" i="1" s="1"/>
  <c r="Z68" i="1"/>
  <c r="AB68" i="1" s="1"/>
  <c r="AE68" i="1" s="1"/>
  <c r="Z67" i="1"/>
  <c r="AC67" i="1" s="1"/>
  <c r="Z66" i="1"/>
  <c r="Z65" i="1"/>
  <c r="AB65" i="1" s="1"/>
  <c r="AE65" i="1" s="1"/>
  <c r="Z64" i="1"/>
  <c r="AC64" i="1" s="1"/>
  <c r="AB63" i="1"/>
  <c r="AE63" i="1" s="1"/>
  <c r="Z63" i="1"/>
  <c r="AC63" i="1" s="1"/>
  <c r="Z62" i="1"/>
  <c r="AB61" i="1"/>
  <c r="AE61" i="1" s="1"/>
  <c r="Z61" i="1"/>
  <c r="AC61" i="1" s="1"/>
  <c r="Z60" i="1"/>
  <c r="AC60" i="1" s="1"/>
  <c r="AC59" i="1"/>
  <c r="AB59" i="1"/>
  <c r="AE59" i="1" s="1"/>
  <c r="Z59" i="1"/>
  <c r="AC58" i="1"/>
  <c r="AB58" i="1"/>
  <c r="AE58" i="1" s="1"/>
  <c r="Z58" i="1"/>
  <c r="Z57" i="1"/>
  <c r="AB57" i="1" s="1"/>
  <c r="AE57" i="1" s="1"/>
  <c r="Z56" i="1"/>
  <c r="AC56" i="1" s="1"/>
  <c r="Z55" i="1"/>
  <c r="AC54" i="1"/>
  <c r="Z54" i="1"/>
  <c r="AB54" i="1" s="1"/>
  <c r="AE54" i="1" s="1"/>
  <c r="Z53" i="1"/>
  <c r="AC53" i="1" s="1"/>
  <c r="Z52" i="1"/>
  <c r="AC52" i="1" s="1"/>
  <c r="Z51" i="1"/>
  <c r="AC51" i="1" s="1"/>
  <c r="Z50" i="1"/>
  <c r="AC50" i="1" s="1"/>
  <c r="Z49" i="1"/>
  <c r="AC49" i="1" s="1"/>
  <c r="Z48" i="1"/>
  <c r="AC48" i="1" s="1"/>
  <c r="AB47" i="1"/>
  <c r="AE47" i="1" s="1"/>
  <c r="Z47" i="1"/>
  <c r="AC47" i="1" s="1"/>
  <c r="Z46" i="1"/>
  <c r="AB46" i="1" s="1"/>
  <c r="AE46" i="1" s="1"/>
  <c r="Z45" i="1"/>
  <c r="AB45" i="1" s="1"/>
  <c r="AE45" i="1" s="1"/>
  <c r="Z44" i="1"/>
  <c r="AB44" i="1" s="1"/>
  <c r="AE44" i="1" s="1"/>
  <c r="AC43" i="1"/>
  <c r="Z43" i="1"/>
  <c r="AB43" i="1" s="1"/>
  <c r="AE43" i="1" s="1"/>
  <c r="Z42" i="1"/>
  <c r="AB42" i="1" s="1"/>
  <c r="AE42" i="1" s="1"/>
  <c r="AC41" i="1"/>
  <c r="Z41" i="1"/>
  <c r="AB41" i="1" s="1"/>
  <c r="AE41" i="1" s="1"/>
  <c r="Z40" i="1"/>
  <c r="AC40" i="1" s="1"/>
  <c r="AB39" i="1"/>
  <c r="AE39" i="1" s="1"/>
  <c r="Z39" i="1"/>
  <c r="AC39" i="1" s="1"/>
  <c r="Z38" i="1"/>
  <c r="AC38" i="1" s="1"/>
  <c r="Z37" i="1"/>
  <c r="AC37" i="1" s="1"/>
  <c r="Z36" i="1"/>
  <c r="AB36" i="1" s="1"/>
  <c r="AE36" i="1" s="1"/>
  <c r="AB35" i="1"/>
  <c r="AE35" i="1" s="1"/>
  <c r="Z35" i="1"/>
  <c r="AC35" i="1" s="1"/>
  <c r="Z34" i="1"/>
  <c r="AB34" i="1" s="1"/>
  <c r="AE34" i="1" s="1"/>
  <c r="Z33" i="1"/>
  <c r="AB33" i="1" s="1"/>
  <c r="AE33" i="1" s="1"/>
  <c r="Z32" i="1"/>
  <c r="AC32" i="1" s="1"/>
  <c r="Z31" i="1"/>
  <c r="AC31" i="1" s="1"/>
  <c r="Z30" i="1"/>
  <c r="AB30" i="1" s="1"/>
  <c r="AE30" i="1" s="1"/>
  <c r="Z29" i="1"/>
  <c r="Z28" i="1"/>
  <c r="AC28" i="1" s="1"/>
  <c r="Z27" i="1"/>
  <c r="Z26" i="1"/>
  <c r="AB26" i="1" s="1"/>
  <c r="AE26" i="1" s="1"/>
  <c r="Z25" i="1"/>
  <c r="AC25" i="1" s="1"/>
  <c r="Z24" i="1"/>
  <c r="AC24" i="1" s="1"/>
  <c r="AC23" i="1"/>
  <c r="Z23" i="1"/>
  <c r="AB23" i="1" s="1"/>
  <c r="AE23" i="1" s="1"/>
  <c r="Z22" i="1"/>
  <c r="AB22" i="1" s="1"/>
  <c r="AE22" i="1" s="1"/>
  <c r="AC21" i="1"/>
  <c r="Z21" i="1"/>
  <c r="AB21" i="1" s="1"/>
  <c r="AE21" i="1" s="1"/>
  <c r="Z20" i="1"/>
  <c r="AB20" i="1" s="1"/>
  <c r="AE20" i="1" s="1"/>
  <c r="Z19" i="1"/>
  <c r="Z18" i="1"/>
  <c r="AB18" i="1" s="1"/>
  <c r="AE18" i="1" s="1"/>
  <c r="Z17" i="1"/>
  <c r="AC17" i="1" s="1"/>
  <c r="Z16" i="1"/>
  <c r="Z15" i="1"/>
  <c r="AB15" i="1" s="1"/>
  <c r="AE15" i="1" s="1"/>
  <c r="Z14" i="1"/>
  <c r="AB14" i="1" s="1"/>
  <c r="AE14" i="1" s="1"/>
  <c r="Z13" i="1"/>
  <c r="AC13" i="1" s="1"/>
  <c r="Z12" i="1"/>
  <c r="AC12" i="1" s="1"/>
  <c r="AB11" i="1"/>
  <c r="AE11" i="1" s="1"/>
  <c r="Z11" i="1"/>
  <c r="AC11" i="1" s="1"/>
  <c r="Z10" i="1"/>
  <c r="AC10" i="1" s="1"/>
  <c r="Z9" i="1"/>
  <c r="AC9" i="1" s="1"/>
  <c r="AC8" i="1"/>
  <c r="AB8" i="1"/>
  <c r="AE8" i="1" s="1"/>
  <c r="Z8" i="1"/>
  <c r="Z7" i="1"/>
  <c r="AB7" i="1" s="1"/>
  <c r="AE7" i="1" s="1"/>
  <c r="Z6" i="1"/>
  <c r="AC6" i="1" s="1"/>
  <c r="Z5" i="1"/>
  <c r="Z4" i="1"/>
  <c r="AB4" i="1" s="1"/>
  <c r="AE4" i="1" s="1"/>
  <c r="Z3" i="1"/>
  <c r="Z2" i="1"/>
  <c r="AC2" i="1" s="1"/>
  <c r="AE3768" i="2"/>
  <c r="AE3767" i="2"/>
  <c r="AE3766" i="2"/>
  <c r="AE3765" i="2"/>
  <c r="AE3764" i="2"/>
  <c r="AE3763" i="2"/>
  <c r="AE3762" i="2"/>
  <c r="AE3761" i="2"/>
  <c r="AE3760" i="2"/>
  <c r="AE3759" i="2"/>
  <c r="AE3758" i="2"/>
  <c r="AE3757" i="2"/>
  <c r="AE3756" i="2"/>
  <c r="AE3755" i="2"/>
  <c r="AE3754" i="2"/>
  <c r="AE3753" i="2"/>
  <c r="AE3752" i="2"/>
  <c r="AE3751" i="2"/>
  <c r="AE3750" i="2"/>
  <c r="AE3749" i="2"/>
  <c r="AE3748" i="2"/>
  <c r="AE3747" i="2"/>
  <c r="AE3746" i="2"/>
  <c r="AE3745" i="2"/>
  <c r="AE3744" i="2"/>
  <c r="AE3743" i="2"/>
  <c r="AE3742" i="2"/>
  <c r="AE3741" i="2"/>
  <c r="AE3740" i="2"/>
  <c r="AE3739" i="2"/>
  <c r="AE3738" i="2"/>
  <c r="AE3737" i="2"/>
  <c r="AE3736" i="2"/>
  <c r="AE3735" i="2"/>
  <c r="AE3734" i="2"/>
  <c r="AE3733" i="2"/>
  <c r="AE3732" i="2"/>
  <c r="AE3731" i="2"/>
  <c r="AE3730" i="2"/>
  <c r="AE3729" i="2"/>
  <c r="AE3728" i="2"/>
  <c r="AE3727" i="2"/>
  <c r="AE3726" i="2"/>
  <c r="AE3725" i="2"/>
  <c r="AE3724" i="2"/>
  <c r="AE3723" i="2"/>
  <c r="AE3722" i="2"/>
  <c r="AE3721" i="2"/>
  <c r="AE3720" i="2"/>
  <c r="AE3719" i="2"/>
  <c r="AE3718" i="2"/>
  <c r="AE3717" i="2"/>
  <c r="AE3716" i="2"/>
  <c r="AE3715" i="2"/>
  <c r="AE3714" i="2"/>
  <c r="AE3713" i="2"/>
  <c r="AE3712" i="2"/>
  <c r="AE3711" i="2"/>
  <c r="AE3710" i="2"/>
  <c r="AE3709" i="2"/>
  <c r="AE3708" i="2"/>
  <c r="AE3707" i="2"/>
  <c r="AE3706" i="2"/>
  <c r="AE3705" i="2"/>
  <c r="AE3704" i="2"/>
  <c r="AE3703" i="2"/>
  <c r="AE3702" i="2"/>
  <c r="AE3701" i="2"/>
  <c r="AE3700" i="2"/>
  <c r="AE3699" i="2"/>
  <c r="AE3698" i="2"/>
  <c r="AE3697" i="2"/>
  <c r="AE3696" i="2"/>
  <c r="AE3695" i="2"/>
  <c r="AE3694" i="2"/>
  <c r="AE3693" i="2"/>
  <c r="AE3692" i="2"/>
  <c r="AE3691" i="2"/>
  <c r="AE3690" i="2"/>
  <c r="AE3689" i="2"/>
  <c r="AE3688" i="2"/>
  <c r="AE3687" i="2"/>
  <c r="AE3686" i="2"/>
  <c r="AE3685" i="2"/>
  <c r="AE3684" i="2"/>
  <c r="AE3683" i="2"/>
  <c r="AE3682" i="2"/>
  <c r="AE3681" i="2"/>
  <c r="AE3680" i="2"/>
  <c r="AE3679" i="2"/>
  <c r="AE3678" i="2"/>
  <c r="AE3677" i="2"/>
  <c r="AE3676" i="2"/>
  <c r="AE3675" i="2"/>
  <c r="AE3674" i="2"/>
  <c r="AE3673" i="2"/>
  <c r="AE3672" i="2"/>
  <c r="AE3671" i="2"/>
  <c r="AE3670" i="2"/>
  <c r="AE3669" i="2"/>
  <c r="AE3668" i="2"/>
  <c r="AE3667" i="2"/>
  <c r="AE3666" i="2"/>
  <c r="AE3665" i="2"/>
  <c r="AE3664" i="2"/>
  <c r="AE3663" i="2"/>
  <c r="AE3662" i="2"/>
  <c r="AE3661" i="2"/>
  <c r="AE3660" i="2"/>
  <c r="AE3659" i="2"/>
  <c r="AE3658" i="2"/>
  <c r="AE3657" i="2"/>
  <c r="AE3656" i="2"/>
  <c r="AE3655" i="2"/>
  <c r="AE3654" i="2"/>
  <c r="AE3653" i="2"/>
  <c r="AE3652" i="2"/>
  <c r="AE3651" i="2"/>
  <c r="AE3650" i="2"/>
  <c r="AE3649" i="2"/>
  <c r="AE3648" i="2"/>
  <c r="AE3647" i="2"/>
  <c r="AE3646" i="2"/>
  <c r="AE3645" i="2"/>
  <c r="AE3644" i="2"/>
  <c r="AE3643" i="2"/>
  <c r="AE3642" i="2"/>
  <c r="AE3641" i="2"/>
  <c r="AE3640" i="2"/>
  <c r="AE3639" i="2"/>
  <c r="AE3638" i="2"/>
  <c r="AE3637" i="2"/>
  <c r="AE3636" i="2"/>
  <c r="AE3635" i="2"/>
  <c r="AE3634" i="2"/>
  <c r="AE3633" i="2"/>
  <c r="AE3632" i="2"/>
  <c r="AE3631" i="2"/>
  <c r="AE3630" i="2"/>
  <c r="AE3629" i="2"/>
  <c r="AE3628" i="2"/>
  <c r="AE3627" i="2"/>
  <c r="AE3626" i="2"/>
  <c r="AE3625" i="2"/>
  <c r="AE3624" i="2"/>
  <c r="AE3623" i="2"/>
  <c r="AE3622" i="2"/>
  <c r="AE3621" i="2"/>
  <c r="AE3620" i="2"/>
  <c r="AE3619" i="2"/>
  <c r="AE3618" i="2"/>
  <c r="AE3617" i="2"/>
  <c r="AE3616" i="2"/>
  <c r="AE3615" i="2"/>
  <c r="AE3614" i="2"/>
  <c r="AE3613" i="2"/>
  <c r="AE3612" i="2"/>
  <c r="AE3611" i="2"/>
  <c r="AE3610" i="2"/>
  <c r="AE3609" i="2"/>
  <c r="AE3608" i="2"/>
  <c r="AE3607" i="2"/>
  <c r="AE3606" i="2"/>
  <c r="AE3605" i="2"/>
  <c r="AE3604" i="2"/>
  <c r="AE3603" i="2"/>
  <c r="AE3602" i="2"/>
  <c r="AE3601" i="2"/>
  <c r="AE3600" i="2"/>
  <c r="AE3599" i="2"/>
  <c r="AE3598" i="2"/>
  <c r="AE3597" i="2"/>
  <c r="AE3596" i="2"/>
  <c r="AE3595" i="2"/>
  <c r="AE3594" i="2"/>
  <c r="AE3593" i="2"/>
  <c r="AE3592" i="2"/>
  <c r="AE3591" i="2"/>
  <c r="AE3590" i="2"/>
  <c r="AE3589" i="2"/>
  <c r="AE3588" i="2"/>
  <c r="AE3587" i="2"/>
  <c r="AE3586" i="2"/>
  <c r="AE3585" i="2"/>
  <c r="AE3584" i="2"/>
  <c r="AE3583" i="2"/>
  <c r="AE3582" i="2"/>
  <c r="AE3581" i="2"/>
  <c r="AE3580" i="2"/>
  <c r="AE3579" i="2"/>
  <c r="AE3578" i="2"/>
  <c r="AE3577" i="2"/>
  <c r="AE3576" i="2"/>
  <c r="AE3575" i="2"/>
  <c r="AE3574" i="2"/>
  <c r="AE3573" i="2"/>
  <c r="AE3572" i="2"/>
  <c r="AE3571" i="2"/>
  <c r="AE3570" i="2"/>
  <c r="AE3569" i="2"/>
  <c r="AE3568" i="2"/>
  <c r="AE3567" i="2"/>
  <c r="AE3566" i="2"/>
  <c r="AE3565" i="2"/>
  <c r="AE3564" i="2"/>
  <c r="AE3563" i="2"/>
  <c r="AE3562" i="2"/>
  <c r="AE3561" i="2"/>
  <c r="AE3560" i="2"/>
  <c r="AE3559" i="2"/>
  <c r="AE3558" i="2"/>
  <c r="AE3557" i="2"/>
  <c r="AE3556" i="2"/>
  <c r="AE3555" i="2"/>
  <c r="AE3554" i="2"/>
  <c r="AE3553" i="2"/>
  <c r="AE3552" i="2"/>
  <c r="AE3551" i="2"/>
  <c r="AE3550" i="2"/>
  <c r="AE3549" i="2"/>
  <c r="AE3548" i="2"/>
  <c r="AE3547" i="2"/>
  <c r="AE3546" i="2"/>
  <c r="AE3545" i="2"/>
  <c r="AE3544" i="2"/>
  <c r="AE3543" i="2"/>
  <c r="AE3542" i="2"/>
  <c r="AE3541" i="2"/>
  <c r="AE3540" i="2"/>
  <c r="AE3539" i="2"/>
  <c r="AE3538" i="2"/>
  <c r="AE3537" i="2"/>
  <c r="AE3536" i="2"/>
  <c r="AE3535" i="2"/>
  <c r="AE3534" i="2"/>
  <c r="AE3533" i="2"/>
  <c r="AE3532" i="2"/>
  <c r="AE3531" i="2"/>
  <c r="AE3530" i="2"/>
  <c r="AE3529" i="2"/>
  <c r="AE3528" i="2"/>
  <c r="AE3527" i="2"/>
  <c r="AE3526" i="2"/>
  <c r="AE3525" i="2"/>
  <c r="AE3524" i="2"/>
  <c r="AE3523" i="2"/>
  <c r="AE3522" i="2"/>
  <c r="AE3521" i="2"/>
  <c r="AE3520" i="2"/>
  <c r="AE3519" i="2"/>
  <c r="AE3518" i="2"/>
  <c r="AE3517" i="2"/>
  <c r="AE3516" i="2"/>
  <c r="AE3515" i="2"/>
  <c r="AE3514" i="2"/>
  <c r="AE3513" i="2"/>
  <c r="AE3512" i="2"/>
  <c r="AE3511" i="2"/>
  <c r="AE3510" i="2"/>
  <c r="AE3509" i="2"/>
  <c r="AE3508" i="2"/>
  <c r="AE3507" i="2"/>
  <c r="AE3506" i="2"/>
  <c r="AE3505" i="2"/>
  <c r="AE3504" i="2"/>
  <c r="AE3503" i="2"/>
  <c r="AE3502" i="2"/>
  <c r="AE3501" i="2"/>
  <c r="AE3500" i="2"/>
  <c r="AE3499" i="2"/>
  <c r="AE3498" i="2"/>
  <c r="AE3497" i="2"/>
  <c r="AE3496" i="2"/>
  <c r="AE3495" i="2"/>
  <c r="AE3494" i="2"/>
  <c r="AE3493" i="2"/>
  <c r="AE3492" i="2"/>
  <c r="AE3491" i="2"/>
  <c r="AE3490" i="2"/>
  <c r="AE3489" i="2"/>
  <c r="AE3488" i="2"/>
  <c r="AE3487" i="2"/>
  <c r="AE3486" i="2"/>
  <c r="AE3485" i="2"/>
  <c r="AE3484" i="2"/>
  <c r="AE3483" i="2"/>
  <c r="AE3482" i="2"/>
  <c r="AE3481" i="2"/>
  <c r="AE3480" i="2"/>
  <c r="AE3479" i="2"/>
  <c r="AE3478" i="2"/>
  <c r="AE3477" i="2"/>
  <c r="AE3476" i="2"/>
  <c r="AE3475" i="2"/>
  <c r="AE3474" i="2"/>
  <c r="AE3473" i="2"/>
  <c r="AE3472" i="2"/>
  <c r="AE3471" i="2"/>
  <c r="AE3470" i="2"/>
  <c r="AE3469" i="2"/>
  <c r="AE3468" i="2"/>
  <c r="AE3467" i="2"/>
  <c r="AE3466" i="2"/>
  <c r="AE3465" i="2"/>
  <c r="AE3464" i="2"/>
  <c r="AE3463" i="2"/>
  <c r="AE3462" i="2"/>
  <c r="AE3461" i="2"/>
  <c r="AE3460" i="2"/>
  <c r="AE3459" i="2"/>
  <c r="AE3458" i="2"/>
  <c r="AE3457" i="2"/>
  <c r="AE3456" i="2"/>
  <c r="AE3455" i="2"/>
  <c r="AE3454" i="2"/>
  <c r="AE3453" i="2"/>
  <c r="AE3452" i="2"/>
  <c r="AE3451" i="2"/>
  <c r="AE3450" i="2"/>
  <c r="AE3449" i="2"/>
  <c r="AE3448" i="2"/>
  <c r="AE3447" i="2"/>
  <c r="AE3446" i="2"/>
  <c r="AE3445" i="2"/>
  <c r="AE3444" i="2"/>
  <c r="AE3443" i="2"/>
  <c r="AE3442" i="2"/>
  <c r="AE3441" i="2"/>
  <c r="AE3440" i="2"/>
  <c r="AE3439" i="2"/>
  <c r="AE3438" i="2"/>
  <c r="AE3437" i="2"/>
  <c r="AE3436" i="2"/>
  <c r="AE3435" i="2"/>
  <c r="AE3434" i="2"/>
  <c r="AE3433" i="2"/>
  <c r="AE3432" i="2"/>
  <c r="AE3431" i="2"/>
  <c r="AE3430" i="2"/>
  <c r="AE3429" i="2"/>
  <c r="AE3428" i="2"/>
  <c r="AE3427" i="2"/>
  <c r="AE3426" i="2"/>
  <c r="AE3425" i="2"/>
  <c r="AE3424" i="2"/>
  <c r="AE3423" i="2"/>
  <c r="AE3422" i="2"/>
  <c r="AE3421" i="2"/>
  <c r="AE3420" i="2"/>
  <c r="AE3419" i="2"/>
  <c r="AE3418" i="2"/>
  <c r="AE3417" i="2"/>
  <c r="AE3416" i="2"/>
  <c r="AE3415" i="2"/>
  <c r="AE3414" i="2"/>
  <c r="AE3413" i="2"/>
  <c r="AE3412" i="2"/>
  <c r="AE3411" i="2"/>
  <c r="AE3410" i="2"/>
  <c r="AE3409" i="2"/>
  <c r="AE3408" i="2"/>
  <c r="AE3407" i="2"/>
  <c r="AE3406" i="2"/>
  <c r="AE3405" i="2"/>
  <c r="AE3404" i="2"/>
  <c r="AE3403" i="2"/>
  <c r="AE3402" i="2"/>
  <c r="AE3401" i="2"/>
  <c r="AE3400" i="2"/>
  <c r="AE3399" i="2"/>
  <c r="AE3398" i="2"/>
  <c r="AE3397" i="2"/>
  <c r="AE3396" i="2"/>
  <c r="AE3395" i="2"/>
  <c r="AE3394" i="2"/>
  <c r="AE3393" i="2"/>
  <c r="AE3392" i="2"/>
  <c r="AE3391" i="2"/>
  <c r="AE3390" i="2"/>
  <c r="AE3389" i="2"/>
  <c r="AE3388" i="2"/>
  <c r="AE3387" i="2"/>
  <c r="AE3386" i="2"/>
  <c r="AE3385" i="2"/>
  <c r="AE3384" i="2"/>
  <c r="AE3383" i="2"/>
  <c r="AE3382" i="2"/>
  <c r="AE3381" i="2"/>
  <c r="AE3380" i="2"/>
  <c r="AE3379" i="2"/>
  <c r="AE3378" i="2"/>
  <c r="AE3377" i="2"/>
  <c r="AE3376" i="2"/>
  <c r="AE3375" i="2"/>
  <c r="AE3374" i="2"/>
  <c r="AE3373" i="2"/>
  <c r="AE3372" i="2"/>
  <c r="AE3371" i="2"/>
  <c r="AE3370" i="2"/>
  <c r="AE3369" i="2"/>
  <c r="AE3368" i="2"/>
  <c r="AE3367" i="2"/>
  <c r="AE3366" i="2"/>
  <c r="AE3365" i="2"/>
  <c r="AE3364" i="2"/>
  <c r="AE3363" i="2"/>
  <c r="AE3362" i="2"/>
  <c r="AE3361" i="2"/>
  <c r="AE3360" i="2"/>
  <c r="AE3359" i="2"/>
  <c r="AE3358" i="2"/>
  <c r="AE3357" i="2"/>
  <c r="AE3356" i="2"/>
  <c r="AE3355" i="2"/>
  <c r="AE3354" i="2"/>
  <c r="AE3353" i="2"/>
  <c r="AE3352" i="2"/>
  <c r="AE3351" i="2"/>
  <c r="AE3350" i="2"/>
  <c r="AE3349" i="2"/>
  <c r="AE3348" i="2"/>
  <c r="AE3347" i="2"/>
  <c r="AE3346" i="2"/>
  <c r="AE3345" i="2"/>
  <c r="AE3344" i="2"/>
  <c r="AE3343" i="2"/>
  <c r="AE3342" i="2"/>
  <c r="AE3341" i="2"/>
  <c r="AE3340" i="2"/>
  <c r="AE3339" i="2"/>
  <c r="AE3338" i="2"/>
  <c r="AE3337" i="2"/>
  <c r="AE3336" i="2"/>
  <c r="AE3335" i="2"/>
  <c r="AE3334" i="2"/>
  <c r="AE3333" i="2"/>
  <c r="AE3332" i="2"/>
  <c r="AE3331" i="2"/>
  <c r="AE3330" i="2"/>
  <c r="AE3329" i="2"/>
  <c r="AE3328" i="2"/>
  <c r="AE3327" i="2"/>
  <c r="AE3326" i="2"/>
  <c r="AE3325" i="2"/>
  <c r="AE3324" i="2"/>
  <c r="AE3323" i="2"/>
  <c r="AE3322" i="2"/>
  <c r="AE3321" i="2"/>
  <c r="AE3320" i="2"/>
  <c r="AE3319" i="2"/>
  <c r="AE3318" i="2"/>
  <c r="AE3317" i="2"/>
  <c r="AE3316" i="2"/>
  <c r="AE3315" i="2"/>
  <c r="AE3314" i="2"/>
  <c r="AE3313" i="2"/>
  <c r="AE3312" i="2"/>
  <c r="AE3311" i="2"/>
  <c r="AE3310" i="2"/>
  <c r="AE3309" i="2"/>
  <c r="AE3308" i="2"/>
  <c r="AE3307" i="2"/>
  <c r="AE3306" i="2"/>
  <c r="AE3305" i="2"/>
  <c r="AE3304" i="2"/>
  <c r="AE3303" i="2"/>
  <c r="AE3302" i="2"/>
  <c r="AE3301" i="2"/>
  <c r="AE3300" i="2"/>
  <c r="AE3299" i="2"/>
  <c r="AE3298" i="2"/>
  <c r="AE3297" i="2"/>
  <c r="AE3296" i="2"/>
  <c r="AE3295" i="2"/>
  <c r="AE3294" i="2"/>
  <c r="AE3293" i="2"/>
  <c r="AE3292" i="2"/>
  <c r="AE3291" i="2"/>
  <c r="AE3290" i="2"/>
  <c r="AE3289" i="2"/>
  <c r="AE3288" i="2"/>
  <c r="AE3287" i="2"/>
  <c r="AE3286" i="2"/>
  <c r="AE3285" i="2"/>
  <c r="AE3284" i="2"/>
  <c r="AE3283" i="2"/>
  <c r="AE3282" i="2"/>
  <c r="AE3281" i="2"/>
  <c r="AE3280" i="2"/>
  <c r="AE3279" i="2"/>
  <c r="AE3278" i="2"/>
  <c r="AE3277" i="2"/>
  <c r="AE3276" i="2"/>
  <c r="AE3275" i="2"/>
  <c r="AE3274" i="2"/>
  <c r="AE3273" i="2"/>
  <c r="AE3272" i="2"/>
  <c r="AE3271" i="2"/>
  <c r="AE3270" i="2"/>
  <c r="AE3269" i="2"/>
  <c r="AE3268" i="2"/>
  <c r="AE3267" i="2"/>
  <c r="AE3266" i="2"/>
  <c r="AE3265" i="2"/>
  <c r="AE3264" i="2"/>
  <c r="AE3263" i="2"/>
  <c r="AE3262" i="2"/>
  <c r="AE3261" i="2"/>
  <c r="AE3260" i="2"/>
  <c r="AE3259" i="2"/>
  <c r="AE3258" i="2"/>
  <c r="AE3257" i="2"/>
  <c r="AE3256" i="2"/>
  <c r="AE3255" i="2"/>
  <c r="AE3254" i="2"/>
  <c r="AE3253" i="2"/>
  <c r="AE3252" i="2"/>
  <c r="AE3251" i="2"/>
  <c r="AE3250" i="2"/>
  <c r="AE3249" i="2"/>
  <c r="AE3248" i="2"/>
  <c r="AE3247" i="2"/>
  <c r="AE3246" i="2"/>
  <c r="AE3245" i="2"/>
  <c r="AE3244" i="2"/>
  <c r="AE3243" i="2"/>
  <c r="AE3242" i="2"/>
  <c r="AE3241" i="2"/>
  <c r="AE3240" i="2"/>
  <c r="AE3239" i="2"/>
  <c r="AE3238" i="2"/>
  <c r="AE3237" i="2"/>
  <c r="AE3236" i="2"/>
  <c r="AE3235" i="2"/>
  <c r="AE3234" i="2"/>
  <c r="AE3233" i="2"/>
  <c r="AE3232" i="2"/>
  <c r="AE3231" i="2"/>
  <c r="AE3230" i="2"/>
  <c r="AE3229" i="2"/>
  <c r="AE3228" i="2"/>
  <c r="AE3227" i="2"/>
  <c r="AE3226" i="2"/>
  <c r="AE3225" i="2"/>
  <c r="AE3224" i="2"/>
  <c r="AE3223" i="2"/>
  <c r="AE3222" i="2"/>
  <c r="AE3221" i="2"/>
  <c r="AE3220" i="2"/>
  <c r="AE3219" i="2"/>
  <c r="AE3218" i="2"/>
  <c r="AE3217" i="2"/>
  <c r="AE3216" i="2"/>
  <c r="AE3215" i="2"/>
  <c r="AE3214" i="2"/>
  <c r="AE3213" i="2"/>
  <c r="AE3212" i="2"/>
  <c r="AE3211" i="2"/>
  <c r="AE3210" i="2"/>
  <c r="AE3209" i="2"/>
  <c r="AE3208" i="2"/>
  <c r="AE3207" i="2"/>
  <c r="AE3206" i="2"/>
  <c r="AE3205" i="2"/>
  <c r="AE3204" i="2"/>
  <c r="AE3203" i="2"/>
  <c r="AE3202" i="2"/>
  <c r="AE3201" i="2"/>
  <c r="AE3200" i="2"/>
  <c r="AE3199" i="2"/>
  <c r="AE3198" i="2"/>
  <c r="AE3197" i="2"/>
  <c r="AE3196" i="2"/>
  <c r="AE3195" i="2"/>
  <c r="AE3194" i="2"/>
  <c r="AE3193" i="2"/>
  <c r="AE3192" i="2"/>
  <c r="AE3191" i="2"/>
  <c r="AE3190" i="2"/>
  <c r="AE3189" i="2"/>
  <c r="AE3188" i="2"/>
  <c r="AE3187" i="2"/>
  <c r="AE3186" i="2"/>
  <c r="AE3185" i="2"/>
  <c r="AE3184" i="2"/>
  <c r="AE3183" i="2"/>
  <c r="AE3182" i="2"/>
  <c r="AE3181" i="2"/>
  <c r="AE3180" i="2"/>
  <c r="AE3179" i="2"/>
  <c r="AE3178" i="2"/>
  <c r="AE3177" i="2"/>
  <c r="AE3176" i="2"/>
  <c r="AE3175" i="2"/>
  <c r="AE3174" i="2"/>
  <c r="AE3173" i="2"/>
  <c r="AE3172" i="2"/>
  <c r="AE3171" i="2"/>
  <c r="AE3170" i="2"/>
  <c r="AE3169" i="2"/>
  <c r="AE3168" i="2"/>
  <c r="AE3167" i="2"/>
  <c r="AE3166" i="2"/>
  <c r="AE3165" i="2"/>
  <c r="AE3164" i="2"/>
  <c r="AE3163" i="2"/>
  <c r="AE3162" i="2"/>
  <c r="AE3161" i="2"/>
  <c r="AE3160" i="2"/>
  <c r="AE3159" i="2"/>
  <c r="AE3158" i="2"/>
  <c r="AE3157" i="2"/>
  <c r="AE3156" i="2"/>
  <c r="AE3155" i="2"/>
  <c r="AE3154" i="2"/>
  <c r="AE3153" i="2"/>
  <c r="AE3152" i="2"/>
  <c r="AE3151" i="2"/>
  <c r="AE3150" i="2"/>
  <c r="AE3149" i="2"/>
  <c r="AE3148" i="2"/>
  <c r="AE3147" i="2"/>
  <c r="AE3146" i="2"/>
  <c r="AE3145" i="2"/>
  <c r="AE3144" i="2"/>
  <c r="AE3143" i="2"/>
  <c r="AE3142" i="2"/>
  <c r="AE3141" i="2"/>
  <c r="AE3140" i="2"/>
  <c r="AE3139" i="2"/>
  <c r="AE3138" i="2"/>
  <c r="AE3137" i="2"/>
  <c r="AE3136" i="2"/>
  <c r="AE3135" i="2"/>
  <c r="AE3134" i="2"/>
  <c r="AE3133" i="2"/>
  <c r="AE3132" i="2"/>
  <c r="AE3131" i="2"/>
  <c r="AE3130" i="2"/>
  <c r="AE3129" i="2"/>
  <c r="AE3128" i="2"/>
  <c r="AE3127" i="2"/>
  <c r="AE3126" i="2"/>
  <c r="AE3125" i="2"/>
  <c r="AE3124" i="2"/>
  <c r="AE3123" i="2"/>
  <c r="AE3122" i="2"/>
  <c r="AE3121" i="2"/>
  <c r="AE3120" i="2"/>
  <c r="AE3119" i="2"/>
  <c r="AE3118" i="2"/>
  <c r="AE3117" i="2"/>
  <c r="AE3116" i="2"/>
  <c r="AE3115" i="2"/>
  <c r="AE3114" i="2"/>
  <c r="AE3113" i="2"/>
  <c r="AE3112" i="2"/>
  <c r="AE3111" i="2"/>
  <c r="AE3110" i="2"/>
  <c r="AE3109" i="2"/>
  <c r="AE3108" i="2"/>
  <c r="AE3107" i="2"/>
  <c r="AE3106" i="2"/>
  <c r="AE3105" i="2"/>
  <c r="AE3104" i="2"/>
  <c r="AE3103" i="2"/>
  <c r="AE3102" i="2"/>
  <c r="AE3101" i="2"/>
  <c r="AE3100" i="2"/>
  <c r="AE3099" i="2"/>
  <c r="AE3098" i="2"/>
  <c r="AE3097" i="2"/>
  <c r="AE3096" i="2"/>
  <c r="AE3095" i="2"/>
  <c r="AE3094" i="2"/>
  <c r="AE3093" i="2"/>
  <c r="AE3092" i="2"/>
  <c r="AE3091" i="2"/>
  <c r="AE3090" i="2"/>
  <c r="AE3089" i="2"/>
  <c r="AE3088" i="2"/>
  <c r="AE3087" i="2"/>
  <c r="AE3086" i="2"/>
  <c r="AE3085" i="2"/>
  <c r="AE3084" i="2"/>
  <c r="AE3083" i="2"/>
  <c r="AE3082" i="2"/>
  <c r="AE3081" i="2"/>
  <c r="AE3080" i="2"/>
  <c r="AE3079" i="2"/>
  <c r="AE3078" i="2"/>
  <c r="AE3077" i="2"/>
  <c r="AE3076" i="2"/>
  <c r="AE3075" i="2"/>
  <c r="AE3074" i="2"/>
  <c r="AE3073" i="2"/>
  <c r="AE3072" i="2"/>
  <c r="AE3071" i="2"/>
  <c r="AE3070" i="2"/>
  <c r="AE3069" i="2"/>
  <c r="AE3068" i="2"/>
  <c r="AE3067" i="2"/>
  <c r="AE3066" i="2"/>
  <c r="AE3065" i="2"/>
  <c r="AE3064" i="2"/>
  <c r="AE3063" i="2"/>
  <c r="AE3062" i="2"/>
  <c r="AE3061" i="2"/>
  <c r="AE3060" i="2"/>
  <c r="AE3059" i="2"/>
  <c r="AE3058" i="2"/>
  <c r="AE3057" i="2"/>
  <c r="AE3056" i="2"/>
  <c r="AE3055" i="2"/>
  <c r="AE3054" i="2"/>
  <c r="AE3053" i="2"/>
  <c r="AE3052" i="2"/>
  <c r="AE3051" i="2"/>
  <c r="AE3050" i="2"/>
  <c r="AE3049" i="2"/>
  <c r="AE3048" i="2"/>
  <c r="AE3047" i="2"/>
  <c r="AE3046" i="2"/>
  <c r="AE3045" i="2"/>
  <c r="AE3044" i="2"/>
  <c r="AE3043" i="2"/>
  <c r="AE3042" i="2"/>
  <c r="AE3041" i="2"/>
  <c r="AE3040" i="2"/>
  <c r="AE3039" i="2"/>
  <c r="AE3038" i="2"/>
  <c r="AE3037" i="2"/>
  <c r="AE3036" i="2"/>
  <c r="AE3035" i="2"/>
  <c r="AE3034" i="2"/>
  <c r="AE3033" i="2"/>
  <c r="AE3032" i="2"/>
  <c r="AE3031" i="2"/>
  <c r="AE3030" i="2"/>
  <c r="AE3029" i="2"/>
  <c r="AE3028" i="2"/>
  <c r="AE3027" i="2"/>
  <c r="AE3026" i="2"/>
  <c r="AE3025" i="2"/>
  <c r="AE3024" i="2"/>
  <c r="AE3023" i="2"/>
  <c r="AE3022" i="2"/>
  <c r="AE3021" i="2"/>
  <c r="AE3020" i="2"/>
  <c r="AE3019" i="2"/>
  <c r="AE3018" i="2"/>
  <c r="AE3017" i="2"/>
  <c r="AE3016" i="2"/>
  <c r="AE3015" i="2"/>
  <c r="AE3014" i="2"/>
  <c r="AE3013" i="2"/>
  <c r="AE3012" i="2"/>
  <c r="AE3011" i="2"/>
  <c r="AE3010" i="2"/>
  <c r="AE3009" i="2"/>
  <c r="AE3008" i="2"/>
  <c r="AE3007" i="2"/>
  <c r="AE3006" i="2"/>
  <c r="AE3005" i="2"/>
  <c r="AE3004" i="2"/>
  <c r="AE3003" i="2"/>
  <c r="AE3002" i="2"/>
  <c r="AE3001" i="2"/>
  <c r="AE3000" i="2"/>
  <c r="AE2999" i="2"/>
  <c r="AE2998" i="2"/>
  <c r="AE2997" i="2"/>
  <c r="AE2996" i="2"/>
  <c r="AE2995" i="2"/>
  <c r="AE2994" i="2"/>
  <c r="AE2993" i="2"/>
  <c r="AE2992" i="2"/>
  <c r="AE2991" i="2"/>
  <c r="AE2990" i="2"/>
  <c r="AE2989" i="2"/>
  <c r="AE2988" i="2"/>
  <c r="AE2987" i="2"/>
  <c r="AE2986" i="2"/>
  <c r="AE2985" i="2"/>
  <c r="AE2984" i="2"/>
  <c r="AE2983" i="2"/>
  <c r="AE2982" i="2"/>
  <c r="AE2981" i="2"/>
  <c r="AE2980" i="2"/>
  <c r="AE2979" i="2"/>
  <c r="AE2978" i="2"/>
  <c r="AE2977" i="2"/>
  <c r="AE2976" i="2"/>
  <c r="AE2975" i="2"/>
  <c r="AE2974" i="2"/>
  <c r="AE2973" i="2"/>
  <c r="AE2972" i="2"/>
  <c r="AE2971" i="2"/>
  <c r="AE2970" i="2"/>
  <c r="AE2969" i="2"/>
  <c r="AE2968" i="2"/>
  <c r="AE2967" i="2"/>
  <c r="AE2966" i="2"/>
  <c r="AE2965" i="2"/>
  <c r="AE2964" i="2"/>
  <c r="AE2963" i="2"/>
  <c r="AE2962" i="2"/>
  <c r="AE2961" i="2"/>
  <c r="AE2960" i="2"/>
  <c r="AE2959" i="2"/>
  <c r="AE2958" i="2"/>
  <c r="AE2957" i="2"/>
  <c r="AE2956" i="2"/>
  <c r="AE2955" i="2"/>
  <c r="AE2954" i="2"/>
  <c r="AE2953" i="2"/>
  <c r="AE2952" i="2"/>
  <c r="AE2951" i="2"/>
  <c r="AE2950" i="2"/>
  <c r="AE2949" i="2"/>
  <c r="AE2948" i="2"/>
  <c r="AE2947" i="2"/>
  <c r="AE2946" i="2"/>
  <c r="AE2945" i="2"/>
  <c r="AE2944" i="2"/>
  <c r="AE2943" i="2"/>
  <c r="AE2942" i="2"/>
  <c r="AE2941" i="2"/>
  <c r="AE2940" i="2"/>
  <c r="AE2939" i="2"/>
  <c r="AE2938" i="2"/>
  <c r="AE2937" i="2"/>
  <c r="AE2936" i="2"/>
  <c r="AE2935" i="2"/>
  <c r="AE2934" i="2"/>
  <c r="AE2933" i="2"/>
  <c r="AE2932" i="2"/>
  <c r="AE2931" i="2"/>
  <c r="AE2930" i="2"/>
  <c r="AE2929" i="2"/>
  <c r="AE2928" i="2"/>
  <c r="AE2927" i="2"/>
  <c r="AE2926" i="2"/>
  <c r="AE2925" i="2"/>
  <c r="AE2924" i="2"/>
  <c r="AE2923" i="2"/>
  <c r="AE2922" i="2"/>
  <c r="AE2921" i="2"/>
  <c r="AE2920" i="2"/>
  <c r="AE2919" i="2"/>
  <c r="AE2918" i="2"/>
  <c r="AE2917" i="2"/>
  <c r="AE2916" i="2"/>
  <c r="AE2915" i="2"/>
  <c r="AE2914" i="2"/>
  <c r="AE2913" i="2"/>
  <c r="AE2912" i="2"/>
  <c r="AE2911" i="2"/>
  <c r="AE2910" i="2"/>
  <c r="AE2909" i="2"/>
  <c r="AE2908" i="2"/>
  <c r="AE2907" i="2"/>
  <c r="AE2906" i="2"/>
  <c r="AE2905" i="2"/>
  <c r="AE2904" i="2"/>
  <c r="AE2903" i="2"/>
  <c r="AE2902" i="2"/>
  <c r="AE2901" i="2"/>
  <c r="AE2900" i="2"/>
  <c r="AE2899" i="2"/>
  <c r="AE2898" i="2"/>
  <c r="AE2897" i="2"/>
  <c r="AE2896" i="2"/>
  <c r="AE2895" i="2"/>
  <c r="AE2894" i="2"/>
  <c r="AE2893" i="2"/>
  <c r="AE2892" i="2"/>
  <c r="AE2891" i="2"/>
  <c r="AE2890" i="2"/>
  <c r="AE2889" i="2"/>
  <c r="AE2888" i="2"/>
  <c r="AE2887" i="2"/>
  <c r="AE2886" i="2"/>
  <c r="AE2885" i="2"/>
  <c r="AE2884" i="2"/>
  <c r="AE2883" i="2"/>
  <c r="AE2882" i="2"/>
  <c r="AE2881" i="2"/>
  <c r="AE2880" i="2"/>
  <c r="AE2879" i="2"/>
  <c r="AE2878" i="2"/>
  <c r="AE2877" i="2"/>
  <c r="AE2876" i="2"/>
  <c r="AE2875" i="2"/>
  <c r="AE2874" i="2"/>
  <c r="AE2873" i="2"/>
  <c r="AE2872" i="2"/>
  <c r="AE2871" i="2"/>
  <c r="AE2870" i="2"/>
  <c r="AE2869" i="2"/>
  <c r="AE2868" i="2"/>
  <c r="AE2867" i="2"/>
  <c r="AE2866" i="2"/>
  <c r="AE2865" i="2"/>
  <c r="AE2864" i="2"/>
  <c r="AE2863" i="2"/>
  <c r="AE2862" i="2"/>
  <c r="AE2861" i="2"/>
  <c r="AE2860" i="2"/>
  <c r="AE2859" i="2"/>
  <c r="AE2858" i="2"/>
  <c r="AE2857" i="2"/>
  <c r="AE2856" i="2"/>
  <c r="AE2855" i="2"/>
  <c r="AE2854" i="2"/>
  <c r="AE2853" i="2"/>
  <c r="AE2852" i="2"/>
  <c r="AE2851" i="2"/>
  <c r="AE2850" i="2"/>
  <c r="AE2849" i="2"/>
  <c r="AE2848" i="2"/>
  <c r="AE2847" i="2"/>
  <c r="AE2846" i="2"/>
  <c r="AE2845" i="2"/>
  <c r="AE2844" i="2"/>
  <c r="AE2843" i="2"/>
  <c r="AE2842" i="2"/>
  <c r="AE2841" i="2"/>
  <c r="AE2840" i="2"/>
  <c r="AE2839" i="2"/>
  <c r="AE2838" i="2"/>
  <c r="AE2837" i="2"/>
  <c r="AE2836" i="2"/>
  <c r="AE2835" i="2"/>
  <c r="AE2834" i="2"/>
  <c r="AE2833" i="2"/>
  <c r="AE2832" i="2"/>
  <c r="AE2831" i="2"/>
  <c r="AE2830" i="2"/>
  <c r="AE2829" i="2"/>
  <c r="AE2828" i="2"/>
  <c r="AE2827" i="2"/>
  <c r="AE2826" i="2"/>
  <c r="AE2825" i="2"/>
  <c r="AE2824" i="2"/>
  <c r="AE2823" i="2"/>
  <c r="AE2822" i="2"/>
  <c r="AE2821" i="2"/>
  <c r="AE2820" i="2"/>
  <c r="AE2819" i="2"/>
  <c r="AE2818" i="2"/>
  <c r="AE2817" i="2"/>
  <c r="AE2816" i="2"/>
  <c r="AE2815" i="2"/>
  <c r="AE2814" i="2"/>
  <c r="AE2813" i="2"/>
  <c r="AE2812" i="2"/>
  <c r="AE2811" i="2"/>
  <c r="AE2810" i="2"/>
  <c r="AE2809" i="2"/>
  <c r="AE2808" i="2"/>
  <c r="AE2807" i="2"/>
  <c r="AE2806" i="2"/>
  <c r="AE2805" i="2"/>
  <c r="AE2804" i="2"/>
  <c r="AE2803" i="2"/>
  <c r="AE2802" i="2"/>
  <c r="AE2801" i="2"/>
  <c r="AE2800" i="2"/>
  <c r="AE2799" i="2"/>
  <c r="AE2798" i="2"/>
  <c r="AE2797" i="2"/>
  <c r="AE2796" i="2"/>
  <c r="AE2795" i="2"/>
  <c r="AE2794" i="2"/>
  <c r="AE2793" i="2"/>
  <c r="AE2792" i="2"/>
  <c r="AE2791" i="2"/>
  <c r="AE2790" i="2"/>
  <c r="AE2789" i="2"/>
  <c r="AE2788" i="2"/>
  <c r="AE2787" i="2"/>
  <c r="AE2786" i="2"/>
  <c r="AE2785" i="2"/>
  <c r="AE2784" i="2"/>
  <c r="AE2783" i="2"/>
  <c r="AE2782" i="2"/>
  <c r="AE2781" i="2"/>
  <c r="AE2780" i="2"/>
  <c r="AE2779" i="2"/>
  <c r="AE2778" i="2"/>
  <c r="AE2777" i="2"/>
  <c r="AE2776" i="2"/>
  <c r="AE2775" i="2"/>
  <c r="AE2774" i="2"/>
  <c r="AE2773" i="2"/>
  <c r="AE2772" i="2"/>
  <c r="AE2771" i="2"/>
  <c r="AE2770" i="2"/>
  <c r="AE2769" i="2"/>
  <c r="AE2768" i="2"/>
  <c r="AE2767" i="2"/>
  <c r="AE2766" i="2"/>
  <c r="AE2765" i="2"/>
  <c r="AE2764" i="2"/>
  <c r="AE2763" i="2"/>
  <c r="AE2762" i="2"/>
  <c r="AE2761" i="2"/>
  <c r="AE2760" i="2"/>
  <c r="AE2759" i="2"/>
  <c r="AE2758" i="2"/>
  <c r="AE2757" i="2"/>
  <c r="AE2756" i="2"/>
  <c r="AE2755" i="2"/>
  <c r="AE2754" i="2"/>
  <c r="AE2753" i="2"/>
  <c r="AE2752" i="2"/>
  <c r="AE2751" i="2"/>
  <c r="AE2750" i="2"/>
  <c r="AE2749" i="2"/>
  <c r="AE2748" i="2"/>
  <c r="AE2747" i="2"/>
  <c r="AE2746" i="2"/>
  <c r="AE2745" i="2"/>
  <c r="AE2744" i="2"/>
  <c r="AE2743" i="2"/>
  <c r="AE2742" i="2"/>
  <c r="AE2741" i="2"/>
  <c r="AE2740" i="2"/>
  <c r="AE2739" i="2"/>
  <c r="AE2738" i="2"/>
  <c r="AE2737" i="2"/>
  <c r="AE2736" i="2"/>
  <c r="AE2735" i="2"/>
  <c r="AE2734" i="2"/>
  <c r="AE2733" i="2"/>
  <c r="AE2732" i="2"/>
  <c r="AE2731" i="2"/>
  <c r="AE2730" i="2"/>
  <c r="AE2729" i="2"/>
  <c r="AE2728" i="2"/>
  <c r="AE2727" i="2"/>
  <c r="AE2726" i="2"/>
  <c r="AE2725" i="2"/>
  <c r="AE2724" i="2"/>
  <c r="AE2723" i="2"/>
  <c r="AE2722" i="2"/>
  <c r="AE2721" i="2"/>
  <c r="AE2720" i="2"/>
  <c r="AE2719" i="2"/>
  <c r="AE2718" i="2"/>
  <c r="AE2717" i="2"/>
  <c r="AE2716" i="2"/>
  <c r="AE2715" i="2"/>
  <c r="AE2714" i="2"/>
  <c r="AE2713" i="2"/>
  <c r="AE2712" i="2"/>
  <c r="AE2711" i="2"/>
  <c r="AE2710" i="2"/>
  <c r="AE2709" i="2"/>
  <c r="AE2708" i="2"/>
  <c r="AE2707" i="2"/>
  <c r="AE2706" i="2"/>
  <c r="AE2705" i="2"/>
  <c r="AE2704" i="2"/>
  <c r="AE2703" i="2"/>
  <c r="AE2702" i="2"/>
  <c r="AE2701" i="2"/>
  <c r="AE2700" i="2"/>
  <c r="AE2699" i="2"/>
  <c r="AE2698" i="2"/>
  <c r="AE2697" i="2"/>
  <c r="AE2696" i="2"/>
  <c r="AE2695" i="2"/>
  <c r="AE2694" i="2"/>
  <c r="AE2693" i="2"/>
  <c r="AE2692" i="2"/>
  <c r="AE2691" i="2"/>
  <c r="AE2690" i="2"/>
  <c r="AE2689" i="2"/>
  <c r="AE2688" i="2"/>
  <c r="AE2687" i="2"/>
  <c r="AE2686" i="2"/>
  <c r="AE2685" i="2"/>
  <c r="AE2684" i="2"/>
  <c r="AE2683" i="2"/>
  <c r="AE2682" i="2"/>
  <c r="AE2681" i="2"/>
  <c r="AE2680" i="2"/>
  <c r="AE2679" i="2"/>
  <c r="AE2678" i="2"/>
  <c r="AE2677" i="2"/>
  <c r="AE2676" i="2"/>
  <c r="AE2675" i="2"/>
  <c r="AE2674" i="2"/>
  <c r="AE2673" i="2"/>
  <c r="AE2672" i="2"/>
  <c r="AE2671" i="2"/>
  <c r="AE2670" i="2"/>
  <c r="AE2669" i="2"/>
  <c r="AE2668" i="2"/>
  <c r="AE2667" i="2"/>
  <c r="AE2666" i="2"/>
  <c r="AE2665" i="2"/>
  <c r="AE2664" i="2"/>
  <c r="AE2663" i="2"/>
  <c r="AE2662" i="2"/>
  <c r="AE2661" i="2"/>
  <c r="AE2660" i="2"/>
  <c r="AE2659" i="2"/>
  <c r="AE2658" i="2"/>
  <c r="AE2657" i="2"/>
  <c r="AE2656" i="2"/>
  <c r="AE2655" i="2"/>
  <c r="AE2654" i="2"/>
  <c r="AE2653" i="2"/>
  <c r="AE2652" i="2"/>
  <c r="AE2651" i="2"/>
  <c r="AE2650" i="2"/>
  <c r="AE2649" i="2"/>
  <c r="AE2648" i="2"/>
  <c r="AE2647" i="2"/>
  <c r="AE2646" i="2"/>
  <c r="AE2645" i="2"/>
  <c r="AE2644" i="2"/>
  <c r="AE2643" i="2"/>
  <c r="AE2642" i="2"/>
  <c r="AE2641" i="2"/>
  <c r="AE2640" i="2"/>
  <c r="AE2639" i="2"/>
  <c r="AE2638" i="2"/>
  <c r="AE2637" i="2"/>
  <c r="AE2636" i="2"/>
  <c r="AE2635" i="2"/>
  <c r="AE2634" i="2"/>
  <c r="AE2633" i="2"/>
  <c r="AE2632" i="2"/>
  <c r="AE2631" i="2"/>
  <c r="AE2630" i="2"/>
  <c r="AE2629" i="2"/>
  <c r="AE2628" i="2"/>
  <c r="AE2627" i="2"/>
  <c r="AE2626" i="2"/>
  <c r="AE2625" i="2"/>
  <c r="AE2624" i="2"/>
  <c r="AE2623" i="2"/>
  <c r="AE2622" i="2"/>
  <c r="AE2621" i="2"/>
  <c r="AE2620" i="2"/>
  <c r="AE2619" i="2"/>
  <c r="AE2618" i="2"/>
  <c r="AE2617" i="2"/>
  <c r="AE2616" i="2"/>
  <c r="AE2615" i="2"/>
  <c r="AE2614" i="2"/>
  <c r="AE2613" i="2"/>
  <c r="AE2612" i="2"/>
  <c r="AE2611" i="2"/>
  <c r="AE2610" i="2"/>
  <c r="AE2609" i="2"/>
  <c r="AE2608" i="2"/>
  <c r="AE2607" i="2"/>
  <c r="AE2606" i="2"/>
  <c r="AE2605" i="2"/>
  <c r="AE2604" i="2"/>
  <c r="AE2603" i="2"/>
  <c r="AE2602" i="2"/>
  <c r="AE2601" i="2"/>
  <c r="AE2600" i="2"/>
  <c r="AE2599" i="2"/>
  <c r="AE2598" i="2"/>
  <c r="AE2597" i="2"/>
  <c r="AE2596" i="2"/>
  <c r="AE2595" i="2"/>
  <c r="AE2594" i="2"/>
  <c r="AE2593" i="2"/>
  <c r="AE2592" i="2"/>
  <c r="AE2591" i="2"/>
  <c r="AE2590" i="2"/>
  <c r="AE2589" i="2"/>
  <c r="AE2588" i="2"/>
  <c r="AE2587" i="2"/>
  <c r="AE2586" i="2"/>
  <c r="AE2585" i="2"/>
  <c r="AE2584" i="2"/>
  <c r="AE2583" i="2"/>
  <c r="AE2582" i="2"/>
  <c r="AE2581" i="2"/>
  <c r="AE2580" i="2"/>
  <c r="AE2579" i="2"/>
  <c r="AE2578" i="2"/>
  <c r="AE2577" i="2"/>
  <c r="AE2576" i="2"/>
  <c r="AE2575" i="2"/>
  <c r="AE2574" i="2"/>
  <c r="AE2573" i="2"/>
  <c r="AE2572" i="2"/>
  <c r="AE2571" i="2"/>
  <c r="AE2570" i="2"/>
  <c r="AE2569" i="2"/>
  <c r="AE2568" i="2"/>
  <c r="AE2567" i="2"/>
  <c r="AE2566" i="2"/>
  <c r="AE2565" i="2"/>
  <c r="AE2564" i="2"/>
  <c r="AE2563" i="2"/>
  <c r="AE2562" i="2"/>
  <c r="AE2561" i="2"/>
  <c r="AE2560" i="2"/>
  <c r="AE2559" i="2"/>
  <c r="AE2558" i="2"/>
  <c r="AE2557" i="2"/>
  <c r="AE2556" i="2"/>
  <c r="AE2555" i="2"/>
  <c r="AE2554" i="2"/>
  <c r="AE2553" i="2"/>
  <c r="AE2552" i="2"/>
  <c r="AE2551" i="2"/>
  <c r="AE2550" i="2"/>
  <c r="AE2549" i="2"/>
  <c r="AE2548" i="2"/>
  <c r="AE2547" i="2"/>
  <c r="AE2546" i="2"/>
  <c r="AE2545" i="2"/>
  <c r="AE2544" i="2"/>
  <c r="AE2543" i="2"/>
  <c r="AE2542" i="2"/>
  <c r="AE2541" i="2"/>
  <c r="AE2540" i="2"/>
  <c r="AE2539" i="2"/>
  <c r="AE2538" i="2"/>
  <c r="AE2537" i="2"/>
  <c r="AE2536" i="2"/>
  <c r="AE2535" i="2"/>
  <c r="AE2534" i="2"/>
  <c r="AE2533" i="2"/>
  <c r="AE2532" i="2"/>
  <c r="AE2531" i="2"/>
  <c r="AE2530" i="2"/>
  <c r="AE2529" i="2"/>
  <c r="AE2528" i="2"/>
  <c r="AE2527" i="2"/>
  <c r="AE2526" i="2"/>
  <c r="AE2525" i="2"/>
  <c r="AE2524" i="2"/>
  <c r="AE2523" i="2"/>
  <c r="AE2522" i="2"/>
  <c r="AE2521" i="2"/>
  <c r="AE2520" i="2"/>
  <c r="AE2519" i="2"/>
  <c r="AE2518" i="2"/>
  <c r="AE2517" i="2"/>
  <c r="AE2516" i="2"/>
  <c r="AE2515" i="2"/>
  <c r="AE2514" i="2"/>
  <c r="AE2513" i="2"/>
  <c r="AE2512" i="2"/>
  <c r="AE2511" i="2"/>
  <c r="AE2510" i="2"/>
  <c r="AE2509" i="2"/>
  <c r="AE2508" i="2"/>
  <c r="AE2507" i="2"/>
  <c r="AE2506" i="2"/>
  <c r="AE2505" i="2"/>
  <c r="AE2504" i="2"/>
  <c r="AE2503" i="2"/>
  <c r="AE2502" i="2"/>
  <c r="AE2501" i="2"/>
  <c r="AE2500" i="2"/>
  <c r="AE2499" i="2"/>
  <c r="AE2498" i="2"/>
  <c r="AE2497" i="2"/>
  <c r="AE2496" i="2"/>
  <c r="AE2495" i="2"/>
  <c r="AE2494" i="2"/>
  <c r="AE2493" i="2"/>
  <c r="AE2492" i="2"/>
  <c r="AE2491" i="2"/>
  <c r="AE2490" i="2"/>
  <c r="AE2489" i="2"/>
  <c r="AE2488" i="2"/>
  <c r="AE2487" i="2"/>
  <c r="AE2486" i="2"/>
  <c r="AE2485" i="2"/>
  <c r="AE2484" i="2"/>
  <c r="AE2483" i="2"/>
  <c r="AE2482" i="2"/>
  <c r="AE2481" i="2"/>
  <c r="AE2480" i="2"/>
  <c r="AE2479" i="2"/>
  <c r="AE2478" i="2"/>
  <c r="AE2477" i="2"/>
  <c r="AE2476" i="2"/>
  <c r="AE2475" i="2"/>
  <c r="AE2474" i="2"/>
  <c r="AE2473" i="2"/>
  <c r="AE2472" i="2"/>
  <c r="AE2471" i="2"/>
  <c r="AE2470" i="2"/>
  <c r="AE2469" i="2"/>
  <c r="AE2468" i="2"/>
  <c r="AE2467" i="2"/>
  <c r="AE2466" i="2"/>
  <c r="AE2465" i="2"/>
  <c r="AE2464" i="2"/>
  <c r="AE2463" i="2"/>
  <c r="AE2462" i="2"/>
  <c r="AE2461" i="2"/>
  <c r="AE2460" i="2"/>
  <c r="AE2459" i="2"/>
  <c r="AE2458" i="2"/>
  <c r="AE2457" i="2"/>
  <c r="AE2456" i="2"/>
  <c r="AE2455" i="2"/>
  <c r="AE2454" i="2"/>
  <c r="AE2453" i="2"/>
  <c r="AE2452" i="2"/>
  <c r="AE2451" i="2"/>
  <c r="AE2450" i="2"/>
  <c r="AE2449" i="2"/>
  <c r="AE2448" i="2"/>
  <c r="AE2447" i="2"/>
  <c r="AE2446" i="2"/>
  <c r="AE2445" i="2"/>
  <c r="AE2444" i="2"/>
  <c r="AE2443" i="2"/>
  <c r="AE2442" i="2"/>
  <c r="AE2441" i="2"/>
  <c r="AE2440" i="2"/>
  <c r="AE2439" i="2"/>
  <c r="AE2438" i="2"/>
  <c r="AE2437" i="2"/>
  <c r="AE2436" i="2"/>
  <c r="AE2435" i="2"/>
  <c r="AE2434" i="2"/>
  <c r="AE2433" i="2"/>
  <c r="AE2432" i="2"/>
  <c r="AE2431" i="2"/>
  <c r="AE2430" i="2"/>
  <c r="AE2429" i="2"/>
  <c r="AE2428" i="2"/>
  <c r="AE2427" i="2"/>
  <c r="AE2426" i="2"/>
  <c r="AE2425" i="2"/>
  <c r="AE2424" i="2"/>
  <c r="AE2423" i="2"/>
  <c r="AE2422" i="2"/>
  <c r="AE2421" i="2"/>
  <c r="AE2420" i="2"/>
  <c r="AE2419" i="2"/>
  <c r="AE2418" i="2"/>
  <c r="AE2417" i="2"/>
  <c r="AE2416" i="2"/>
  <c r="AE2415" i="2"/>
  <c r="AE2414" i="2"/>
  <c r="AE2413" i="2"/>
  <c r="AE2412" i="2"/>
  <c r="AE2411" i="2"/>
  <c r="AE2410" i="2"/>
  <c r="AE2409" i="2"/>
  <c r="AE2408" i="2"/>
  <c r="AE2407" i="2"/>
  <c r="AE2406" i="2"/>
  <c r="AE2405" i="2"/>
  <c r="AE2404" i="2"/>
  <c r="AE2403" i="2"/>
  <c r="AE2402" i="2"/>
  <c r="AE2401" i="2"/>
  <c r="AE2400" i="2"/>
  <c r="AE2399" i="2"/>
  <c r="AE2398" i="2"/>
  <c r="AE2397" i="2"/>
  <c r="AE2396" i="2"/>
  <c r="AE2395" i="2"/>
  <c r="AE2394" i="2"/>
  <c r="AE2393" i="2"/>
  <c r="AE2392" i="2"/>
  <c r="AE2391" i="2"/>
  <c r="AE2390" i="2"/>
  <c r="AE2389" i="2"/>
  <c r="AE2388" i="2"/>
  <c r="AE2387" i="2"/>
  <c r="AE2386" i="2"/>
  <c r="AE2385" i="2"/>
  <c r="AE2384" i="2"/>
  <c r="AE2383" i="2"/>
  <c r="AE2382" i="2"/>
  <c r="AE2381" i="2"/>
  <c r="AE2380" i="2"/>
  <c r="AE2379" i="2"/>
  <c r="AE2378" i="2"/>
  <c r="AE2377" i="2"/>
  <c r="AE2376" i="2"/>
  <c r="AE2375" i="2"/>
  <c r="AE2374" i="2"/>
  <c r="AE2373" i="2"/>
  <c r="AE2372" i="2"/>
  <c r="AE2371" i="2"/>
  <c r="AE2370" i="2"/>
  <c r="AE2369" i="2"/>
  <c r="AE2368" i="2"/>
  <c r="AE2367" i="2"/>
  <c r="AE2366" i="2"/>
  <c r="AE2365" i="2"/>
  <c r="AE2364" i="2"/>
  <c r="AE2363" i="2"/>
  <c r="AE2362" i="2"/>
  <c r="AE2361" i="2"/>
  <c r="AE2360" i="2"/>
  <c r="AE2359" i="2"/>
  <c r="AE2358" i="2"/>
  <c r="AE2357" i="2"/>
  <c r="AE2356" i="2"/>
  <c r="AE2355" i="2"/>
  <c r="AE2354" i="2"/>
  <c r="AE2353" i="2"/>
  <c r="AE2352" i="2"/>
  <c r="AE2351" i="2"/>
  <c r="AE2350" i="2"/>
  <c r="AE2349" i="2"/>
  <c r="AE2348" i="2"/>
  <c r="AE2347" i="2"/>
  <c r="AE2346" i="2"/>
  <c r="AE2345" i="2"/>
  <c r="AE2344" i="2"/>
  <c r="AE2343" i="2"/>
  <c r="AE2342" i="2"/>
  <c r="AE2341" i="2"/>
  <c r="AE2340" i="2"/>
  <c r="AE2339" i="2"/>
  <c r="AE2338" i="2"/>
  <c r="AE2337" i="2"/>
  <c r="AE2336" i="2"/>
  <c r="AE2335" i="2"/>
  <c r="AE2334" i="2"/>
  <c r="AE2333" i="2"/>
  <c r="AE2332" i="2"/>
  <c r="AE2331" i="2"/>
  <c r="AE2330" i="2"/>
  <c r="AE2329" i="2"/>
  <c r="AE2328" i="2"/>
  <c r="AE2327" i="2"/>
  <c r="AE2326" i="2"/>
  <c r="AE2325" i="2"/>
  <c r="AE2324" i="2"/>
  <c r="AE2323" i="2"/>
  <c r="AE2322" i="2"/>
  <c r="AE2321" i="2"/>
  <c r="AE2320" i="2"/>
  <c r="AE2319" i="2"/>
  <c r="AE2318" i="2"/>
  <c r="AE2317" i="2"/>
  <c r="AE2316" i="2"/>
  <c r="AE2315" i="2"/>
  <c r="AE2314" i="2"/>
  <c r="AE2313" i="2"/>
  <c r="AE2312" i="2"/>
  <c r="AE2311" i="2"/>
  <c r="AE2310" i="2"/>
  <c r="AE2309" i="2"/>
  <c r="AE2308" i="2"/>
  <c r="AE2307" i="2"/>
  <c r="AE2306" i="2"/>
  <c r="AE2305" i="2"/>
  <c r="AE2304" i="2"/>
  <c r="AE2303" i="2"/>
  <c r="AE2302" i="2"/>
  <c r="AE2301" i="2"/>
  <c r="AE2300" i="2"/>
  <c r="AE2299" i="2"/>
  <c r="AE2298" i="2"/>
  <c r="AE2297" i="2"/>
  <c r="AE2296" i="2"/>
  <c r="AE2295" i="2"/>
  <c r="AE2294" i="2"/>
  <c r="AE2293" i="2"/>
  <c r="AE2292" i="2"/>
  <c r="AE2291" i="2"/>
  <c r="AE2290" i="2"/>
  <c r="AE2289" i="2"/>
  <c r="AE2288" i="2"/>
  <c r="AE2287" i="2"/>
  <c r="AE2286" i="2"/>
  <c r="AE2285" i="2"/>
  <c r="AE2284" i="2"/>
  <c r="AE2283" i="2"/>
  <c r="AE2282" i="2"/>
  <c r="AE2281" i="2"/>
  <c r="AE2280" i="2"/>
  <c r="AE2279" i="2"/>
  <c r="AE2278" i="2"/>
  <c r="AE2277" i="2"/>
  <c r="AE2276" i="2"/>
  <c r="AE2275" i="2"/>
  <c r="AE2274" i="2"/>
  <c r="AE2273" i="2"/>
  <c r="AE2272" i="2"/>
  <c r="AE2271" i="2"/>
  <c r="AE2270" i="2"/>
  <c r="AE2269" i="2"/>
  <c r="AE2268" i="2"/>
  <c r="AE2267" i="2"/>
  <c r="AE2266" i="2"/>
  <c r="AE2265" i="2"/>
  <c r="AE2264" i="2"/>
  <c r="AE2263" i="2"/>
  <c r="AE2262" i="2"/>
  <c r="AE2261" i="2"/>
  <c r="AE2260" i="2"/>
  <c r="AE2259" i="2"/>
  <c r="AE2258" i="2"/>
  <c r="AE2257" i="2"/>
  <c r="AE2256" i="2"/>
  <c r="AE2255" i="2"/>
  <c r="AE2254" i="2"/>
  <c r="AE2253" i="2"/>
  <c r="AE2252" i="2"/>
  <c r="AE2251" i="2"/>
  <c r="AE2250" i="2"/>
  <c r="AE2249" i="2"/>
  <c r="AE2248" i="2"/>
  <c r="AE2247" i="2"/>
  <c r="AE2246" i="2"/>
  <c r="AE2245" i="2"/>
  <c r="AE2244" i="2"/>
  <c r="AE2243" i="2"/>
  <c r="AE2242" i="2"/>
  <c r="AE2241" i="2"/>
  <c r="AE2240" i="2"/>
  <c r="AE2239" i="2"/>
  <c r="AE2238" i="2"/>
  <c r="AE2237" i="2"/>
  <c r="AE2236" i="2"/>
  <c r="AE2235" i="2"/>
  <c r="AE2234" i="2"/>
  <c r="AE2233" i="2"/>
  <c r="AE2232" i="2"/>
  <c r="AE2231" i="2"/>
  <c r="AE2230" i="2"/>
  <c r="AE2229" i="2"/>
  <c r="AE2228" i="2"/>
  <c r="AE2227" i="2"/>
  <c r="AE2226" i="2"/>
  <c r="AE2225" i="2"/>
  <c r="AE2224" i="2"/>
  <c r="AE2223" i="2"/>
  <c r="AE2222" i="2"/>
  <c r="AE2221" i="2"/>
  <c r="AE2220" i="2"/>
  <c r="AE2219" i="2"/>
  <c r="AE2218" i="2"/>
  <c r="AE2217" i="2"/>
  <c r="AE2216" i="2"/>
  <c r="AE2215" i="2"/>
  <c r="AE2214" i="2"/>
  <c r="AE2213" i="2"/>
  <c r="AE2212" i="2"/>
  <c r="AE2211" i="2"/>
  <c r="AE2210" i="2"/>
  <c r="AE2209" i="2"/>
  <c r="AE2208" i="2"/>
  <c r="AE2207" i="2"/>
  <c r="AE2206" i="2"/>
  <c r="AE2205" i="2"/>
  <c r="AE2204" i="2"/>
  <c r="AE2203" i="2"/>
  <c r="AE2202" i="2"/>
  <c r="AE2201" i="2"/>
  <c r="AE2200" i="2"/>
  <c r="AE2199" i="2"/>
  <c r="AE2198" i="2"/>
  <c r="AE2197" i="2"/>
  <c r="AE2196" i="2"/>
  <c r="AE2195" i="2"/>
  <c r="AE2194" i="2"/>
  <c r="AE2193" i="2"/>
  <c r="AE2192" i="2"/>
  <c r="AE2191" i="2"/>
  <c r="AE2190" i="2"/>
  <c r="AE2189" i="2"/>
  <c r="AE2188" i="2"/>
  <c r="AE2187" i="2"/>
  <c r="AE2186" i="2"/>
  <c r="AE2185" i="2"/>
  <c r="AE2184" i="2"/>
  <c r="AE2183" i="2"/>
  <c r="AE2182" i="2"/>
  <c r="AE2181" i="2"/>
  <c r="AE2180" i="2"/>
  <c r="AE2179" i="2"/>
  <c r="AE2178" i="2"/>
  <c r="AE2177" i="2"/>
  <c r="AE2176" i="2"/>
  <c r="AE2175" i="2"/>
  <c r="AE2174" i="2"/>
  <c r="AE2173" i="2"/>
  <c r="AE2172" i="2"/>
  <c r="AE2171" i="2"/>
  <c r="AE2170" i="2"/>
  <c r="AE2169" i="2"/>
  <c r="AE2168" i="2"/>
  <c r="AE2167" i="2"/>
  <c r="AE2166" i="2"/>
  <c r="AE2165" i="2"/>
  <c r="AE2164" i="2"/>
  <c r="AE2163" i="2"/>
  <c r="AE2162" i="2"/>
  <c r="AE2161" i="2"/>
  <c r="AE2160" i="2"/>
  <c r="AE2159" i="2"/>
  <c r="AE2158" i="2"/>
  <c r="AE2157" i="2"/>
  <c r="AE2156" i="2"/>
  <c r="AE2155" i="2"/>
  <c r="AE2154" i="2"/>
  <c r="AE2153" i="2"/>
  <c r="AE2152" i="2"/>
  <c r="AE2151" i="2"/>
  <c r="AE2150" i="2"/>
  <c r="AE2149" i="2"/>
  <c r="AE2148" i="2"/>
  <c r="AE2147" i="2"/>
  <c r="AE2146" i="2"/>
  <c r="AE2145" i="2"/>
  <c r="AE2144" i="2"/>
  <c r="AE2143" i="2"/>
  <c r="AE2142" i="2"/>
  <c r="AE2141" i="2"/>
  <c r="AE2140" i="2"/>
  <c r="AE2139" i="2"/>
  <c r="AE2138" i="2"/>
  <c r="AE2137" i="2"/>
  <c r="AE2136" i="2"/>
  <c r="AE2135" i="2"/>
  <c r="AE2134" i="2"/>
  <c r="AE2133" i="2"/>
  <c r="AE2132" i="2"/>
  <c r="AE2131" i="2"/>
  <c r="AE2130" i="2"/>
  <c r="AE2129" i="2"/>
  <c r="AE2128" i="2"/>
  <c r="AE2127" i="2"/>
  <c r="AE2126" i="2"/>
  <c r="AE2125" i="2"/>
  <c r="AE2124" i="2"/>
  <c r="AE2123" i="2"/>
  <c r="AE2122" i="2"/>
  <c r="AE2121" i="2"/>
  <c r="AE2120" i="2"/>
  <c r="AE2119" i="2"/>
  <c r="AE2118" i="2"/>
  <c r="AE2117" i="2"/>
  <c r="AE2116" i="2"/>
  <c r="AE2115" i="2"/>
  <c r="AE2114" i="2"/>
  <c r="AE2113" i="2"/>
  <c r="AE2112" i="2"/>
  <c r="AE2111" i="2"/>
  <c r="AE2110" i="2"/>
  <c r="AE2109" i="2"/>
  <c r="AE2108" i="2"/>
  <c r="AE2107" i="2"/>
  <c r="AE2106" i="2"/>
  <c r="AE2105" i="2"/>
  <c r="AE2104" i="2"/>
  <c r="AE2103" i="2"/>
  <c r="AE2102" i="2"/>
  <c r="AE2101" i="2"/>
  <c r="AE2100" i="2"/>
  <c r="AE2099" i="2"/>
  <c r="AE2098" i="2"/>
  <c r="AE2097" i="2"/>
  <c r="AE2096" i="2"/>
  <c r="AE2095" i="2"/>
  <c r="AE2094" i="2"/>
  <c r="AE2093" i="2"/>
  <c r="AE2092" i="2"/>
  <c r="AE2091" i="2"/>
  <c r="AE2090" i="2"/>
  <c r="AE2089" i="2"/>
  <c r="AE2088" i="2"/>
  <c r="AE2087" i="2"/>
  <c r="AE2086" i="2"/>
  <c r="AE2085" i="2"/>
  <c r="AE2084" i="2"/>
  <c r="AE2083" i="2"/>
  <c r="AE2082" i="2"/>
  <c r="AE2081" i="2"/>
  <c r="AE2080" i="2"/>
  <c r="AE2079" i="2"/>
  <c r="AE2078" i="2"/>
  <c r="AE2077" i="2"/>
  <c r="AE2076" i="2"/>
  <c r="AE2075" i="2"/>
  <c r="AE2074" i="2"/>
  <c r="AE2073" i="2"/>
  <c r="AE2072" i="2"/>
  <c r="AE2071" i="2"/>
  <c r="AE2070" i="2"/>
  <c r="AE2069" i="2"/>
  <c r="AE2068" i="2"/>
  <c r="AE2067" i="2"/>
  <c r="AE2066" i="2"/>
  <c r="AE2065" i="2"/>
  <c r="AE2064" i="2"/>
  <c r="AE2063" i="2"/>
  <c r="AE2062" i="2"/>
  <c r="AE2061" i="2"/>
  <c r="AE2060" i="2"/>
  <c r="AE2059" i="2"/>
  <c r="AE2058" i="2"/>
  <c r="AE2057" i="2"/>
  <c r="AE2056" i="2"/>
  <c r="AE2055" i="2"/>
  <c r="AE2054" i="2"/>
  <c r="AE2053" i="2"/>
  <c r="AE2052" i="2"/>
  <c r="AE2051" i="2"/>
  <c r="AE2050" i="2"/>
  <c r="AE2049" i="2"/>
  <c r="AE2048" i="2"/>
  <c r="AE2047" i="2"/>
  <c r="AE2046" i="2"/>
  <c r="AE2045" i="2"/>
  <c r="AE2044" i="2"/>
  <c r="AE2043" i="2"/>
  <c r="AE2042" i="2"/>
  <c r="AE2041" i="2"/>
  <c r="AE2040" i="2"/>
  <c r="AE2039" i="2"/>
  <c r="AE2038" i="2"/>
  <c r="AE2037" i="2"/>
  <c r="AE2036" i="2"/>
  <c r="AE2035" i="2"/>
  <c r="AE2034" i="2"/>
  <c r="AE2033" i="2"/>
  <c r="AE2032" i="2"/>
  <c r="AE2031" i="2"/>
  <c r="AE2030" i="2"/>
  <c r="AE2029" i="2"/>
  <c r="AE2028" i="2"/>
  <c r="AE2027" i="2"/>
  <c r="AE2026" i="2"/>
  <c r="AE2025" i="2"/>
  <c r="AE2024" i="2"/>
  <c r="AE2023" i="2"/>
  <c r="AE2022" i="2"/>
  <c r="AE2021" i="2"/>
  <c r="AE2020" i="2"/>
  <c r="AE2019" i="2"/>
  <c r="AE2018" i="2"/>
  <c r="AE2017" i="2"/>
  <c r="AE2016" i="2"/>
  <c r="AE2015" i="2"/>
  <c r="AE2014" i="2"/>
  <c r="AE2013" i="2"/>
  <c r="AE2012" i="2"/>
  <c r="AE2011" i="2"/>
  <c r="AE2010" i="2"/>
  <c r="AE2009" i="2"/>
  <c r="AE2008" i="2"/>
  <c r="AE2007" i="2"/>
  <c r="AE2006" i="2"/>
  <c r="AE2005" i="2"/>
  <c r="AE2004" i="2"/>
  <c r="AE2003" i="2"/>
  <c r="AE2002" i="2"/>
  <c r="AE2001" i="2"/>
  <c r="AE2000" i="2"/>
  <c r="AE1999" i="2"/>
  <c r="AE1998" i="2"/>
  <c r="AE1997" i="2"/>
  <c r="AE1996" i="2"/>
  <c r="AE1995" i="2"/>
  <c r="AE1994" i="2"/>
  <c r="AE1993" i="2"/>
  <c r="AE1992" i="2"/>
  <c r="AE1991" i="2"/>
  <c r="AE1990" i="2"/>
  <c r="AE1989" i="2"/>
  <c r="AE1988" i="2"/>
  <c r="AE1987" i="2"/>
  <c r="AE1986" i="2"/>
  <c r="AE1985" i="2"/>
  <c r="AE1984" i="2"/>
  <c r="AE1983" i="2"/>
  <c r="AE1982" i="2"/>
  <c r="AE1981" i="2"/>
  <c r="AE1980" i="2"/>
  <c r="AE1979" i="2"/>
  <c r="AE1978" i="2"/>
  <c r="AE1977" i="2"/>
  <c r="AE1976" i="2"/>
  <c r="AE1975" i="2"/>
  <c r="AE1974" i="2"/>
  <c r="AE1973" i="2"/>
  <c r="AE1972" i="2"/>
  <c r="AE1971" i="2"/>
  <c r="AE1970" i="2"/>
  <c r="AE1969" i="2"/>
  <c r="AE1968" i="2"/>
  <c r="AE1967" i="2"/>
  <c r="AE1966" i="2"/>
  <c r="AE1965" i="2"/>
  <c r="AE1964" i="2"/>
  <c r="AE1963" i="2"/>
  <c r="AE1962" i="2"/>
  <c r="AE1961" i="2"/>
  <c r="AE1960" i="2"/>
  <c r="AE1959" i="2"/>
  <c r="AE1958" i="2"/>
  <c r="AE1957" i="2"/>
  <c r="AE1956" i="2"/>
  <c r="AE1955" i="2"/>
  <c r="AE1954" i="2"/>
  <c r="AE1953" i="2"/>
  <c r="AE1952" i="2"/>
  <c r="AE1951" i="2"/>
  <c r="AE1950" i="2"/>
  <c r="AE1949" i="2"/>
  <c r="AE1948" i="2"/>
  <c r="AE1947" i="2"/>
  <c r="AE1946" i="2"/>
  <c r="AE1945" i="2"/>
  <c r="AE1944" i="2"/>
  <c r="AE1943" i="2"/>
  <c r="AE1942" i="2"/>
  <c r="AE1941" i="2"/>
  <c r="AE1940" i="2"/>
  <c r="AE1939" i="2"/>
  <c r="AE1938" i="2"/>
  <c r="AE1937" i="2"/>
  <c r="AE1936" i="2"/>
  <c r="AE1935" i="2"/>
  <c r="AE1934" i="2"/>
  <c r="AE1933" i="2"/>
  <c r="AE1932" i="2"/>
  <c r="AE1931" i="2"/>
  <c r="AE1930" i="2"/>
  <c r="AE1929" i="2"/>
  <c r="AE1928" i="2"/>
  <c r="AE1927" i="2"/>
  <c r="AE1926" i="2"/>
  <c r="AE1925" i="2"/>
  <c r="AE1924" i="2"/>
  <c r="AE1923" i="2"/>
  <c r="AE1922" i="2"/>
  <c r="AE1921" i="2"/>
  <c r="AE1920" i="2"/>
  <c r="AE1919" i="2"/>
  <c r="AE1918" i="2"/>
  <c r="AE1917" i="2"/>
  <c r="AE1916" i="2"/>
  <c r="AE1915" i="2"/>
  <c r="AE1914" i="2"/>
  <c r="AE1913" i="2"/>
  <c r="AE1912" i="2"/>
  <c r="AE1911" i="2"/>
  <c r="AE1910" i="2"/>
  <c r="AE1909" i="2"/>
  <c r="AE1908" i="2"/>
  <c r="AE1907" i="2"/>
  <c r="AE1906" i="2"/>
  <c r="AE1905" i="2"/>
  <c r="AE1904" i="2"/>
  <c r="AE1903" i="2"/>
  <c r="AE1902" i="2"/>
  <c r="AE1901" i="2"/>
  <c r="AE1900" i="2"/>
  <c r="AE1899" i="2"/>
  <c r="AE1898" i="2"/>
  <c r="AE1897" i="2"/>
  <c r="AE1896" i="2"/>
  <c r="AE1895" i="2"/>
  <c r="AE1894" i="2"/>
  <c r="AE1893" i="2"/>
  <c r="AE1892" i="2"/>
  <c r="AE1891" i="2"/>
  <c r="AE1890" i="2"/>
  <c r="AE1889" i="2"/>
  <c r="AE1888" i="2"/>
  <c r="AE1887" i="2"/>
  <c r="AE1886" i="2"/>
  <c r="AE1885" i="2"/>
  <c r="AE1884" i="2"/>
  <c r="AE1883" i="2"/>
  <c r="AE1882" i="2"/>
  <c r="AE1881" i="2"/>
  <c r="AE1880" i="2"/>
  <c r="AE1879" i="2"/>
  <c r="AE1878" i="2"/>
  <c r="AE1877" i="2"/>
  <c r="AE1876" i="2"/>
  <c r="AE1875" i="2"/>
  <c r="AE1874" i="2"/>
  <c r="AE1873" i="2"/>
  <c r="AE1872" i="2"/>
  <c r="AE1871" i="2"/>
  <c r="AE1870" i="2"/>
  <c r="AE1869" i="2"/>
  <c r="AE1868" i="2"/>
  <c r="AE1867" i="2"/>
  <c r="AE1866" i="2"/>
  <c r="AE1865" i="2"/>
  <c r="AE1864" i="2"/>
  <c r="AE1863" i="2"/>
  <c r="AE1862" i="2"/>
  <c r="AE1861" i="2"/>
  <c r="AE1860" i="2"/>
  <c r="AE1859" i="2"/>
  <c r="AE1858" i="2"/>
  <c r="AE1857" i="2"/>
  <c r="AE1856" i="2"/>
  <c r="AE1855" i="2"/>
  <c r="AE1854" i="2"/>
  <c r="AE1853" i="2"/>
  <c r="AE1852" i="2"/>
  <c r="AE1851" i="2"/>
  <c r="AE1850" i="2"/>
  <c r="AE1849" i="2"/>
  <c r="AE1848" i="2"/>
  <c r="AE1847" i="2"/>
  <c r="AE1846" i="2"/>
  <c r="AE1845" i="2"/>
  <c r="AE1844" i="2"/>
  <c r="AE1843" i="2"/>
  <c r="AE1842" i="2"/>
  <c r="AE1841" i="2"/>
  <c r="AE1840" i="2"/>
  <c r="AE1839" i="2"/>
  <c r="AE1838" i="2"/>
  <c r="AE1837" i="2"/>
  <c r="AE1836" i="2"/>
  <c r="AE1835" i="2"/>
  <c r="AE1834" i="2"/>
  <c r="AE1833" i="2"/>
  <c r="AE1832" i="2"/>
  <c r="AE1831" i="2"/>
  <c r="AE1830" i="2"/>
  <c r="AE1829" i="2"/>
  <c r="AE1828" i="2"/>
  <c r="AE1827" i="2"/>
  <c r="AE1826" i="2"/>
  <c r="AE1825" i="2"/>
  <c r="AE1824" i="2"/>
  <c r="AE1823" i="2"/>
  <c r="AE1822" i="2"/>
  <c r="AE1821" i="2"/>
  <c r="AE1820" i="2"/>
  <c r="AE1819" i="2"/>
  <c r="AE1818" i="2"/>
  <c r="AE1817" i="2"/>
  <c r="AE1816" i="2"/>
  <c r="AE1815" i="2"/>
  <c r="AE1814" i="2"/>
  <c r="AE1813" i="2"/>
  <c r="AE1812" i="2"/>
  <c r="AE1811" i="2"/>
  <c r="AE1810" i="2"/>
  <c r="AE1809" i="2"/>
  <c r="AE1808" i="2"/>
  <c r="AE1807" i="2"/>
  <c r="AE1806" i="2"/>
  <c r="AE1805" i="2"/>
  <c r="AE1804" i="2"/>
  <c r="AE1803" i="2"/>
  <c r="AE1802" i="2"/>
  <c r="AE1801" i="2"/>
  <c r="AE1800" i="2"/>
  <c r="AE1799" i="2"/>
  <c r="AE1798" i="2"/>
  <c r="AE1797" i="2"/>
  <c r="AE1796" i="2"/>
  <c r="AE1795" i="2"/>
  <c r="AE1794" i="2"/>
  <c r="AE1793" i="2"/>
  <c r="AE1792" i="2"/>
  <c r="AE1791" i="2"/>
  <c r="AE1790" i="2"/>
  <c r="AE1789" i="2"/>
  <c r="AE1788" i="2"/>
  <c r="AE1787" i="2"/>
  <c r="AE1786" i="2"/>
  <c r="AE1785" i="2"/>
  <c r="AE1784" i="2"/>
  <c r="AE1783" i="2"/>
  <c r="AE1782" i="2"/>
  <c r="AE1781" i="2"/>
  <c r="AE1780" i="2"/>
  <c r="AE1779" i="2"/>
  <c r="AE1778" i="2"/>
  <c r="AE1777" i="2"/>
  <c r="AE1776" i="2"/>
  <c r="AE1775" i="2"/>
  <c r="AE1774" i="2"/>
  <c r="AE1773" i="2"/>
  <c r="AE1772" i="2"/>
  <c r="AE1771" i="2"/>
  <c r="AE1770" i="2"/>
  <c r="AE1769" i="2"/>
  <c r="AE1768" i="2"/>
  <c r="AE1767" i="2"/>
  <c r="AE1766" i="2"/>
  <c r="AE1765" i="2"/>
  <c r="AE1764" i="2"/>
  <c r="AE1763" i="2"/>
  <c r="AE1762" i="2"/>
  <c r="AE1761" i="2"/>
  <c r="AE1760" i="2"/>
  <c r="AE1759" i="2"/>
  <c r="AE1758" i="2"/>
  <c r="AE1757" i="2"/>
  <c r="AE1756" i="2"/>
  <c r="AE1755" i="2"/>
  <c r="AE1754" i="2"/>
  <c r="AE1753" i="2"/>
  <c r="AE1752" i="2"/>
  <c r="AE1751" i="2"/>
  <c r="AE1750" i="2"/>
  <c r="AE1749" i="2"/>
  <c r="AE1748" i="2"/>
  <c r="AE1747" i="2"/>
  <c r="AE1746" i="2"/>
  <c r="AE1745" i="2"/>
  <c r="AE1744" i="2"/>
  <c r="AE1743" i="2"/>
  <c r="AE1742" i="2"/>
  <c r="AE1741" i="2"/>
  <c r="AE1740" i="2"/>
  <c r="AE1739" i="2"/>
  <c r="AE1738" i="2"/>
  <c r="AE1737" i="2"/>
  <c r="AE1736" i="2"/>
  <c r="AE1735" i="2"/>
  <c r="AE1734" i="2"/>
  <c r="AE1733" i="2"/>
  <c r="AE1732" i="2"/>
  <c r="AE1731" i="2"/>
  <c r="AE1730" i="2"/>
  <c r="AE1729" i="2"/>
  <c r="AE1728" i="2"/>
  <c r="AE1727" i="2"/>
  <c r="AE1726" i="2"/>
  <c r="AE1725" i="2"/>
  <c r="AE1724" i="2"/>
  <c r="AE1723" i="2"/>
  <c r="AE1722" i="2"/>
  <c r="AE1721" i="2"/>
  <c r="AE1720" i="2"/>
  <c r="AE1719" i="2"/>
  <c r="AE1718" i="2"/>
  <c r="AE1717" i="2"/>
  <c r="AE1716" i="2"/>
  <c r="AE1715" i="2"/>
  <c r="AE1714" i="2"/>
  <c r="AE1713" i="2"/>
  <c r="AE1712" i="2"/>
  <c r="AE1711" i="2"/>
  <c r="AE1710" i="2"/>
  <c r="AE1709" i="2"/>
  <c r="AE1708" i="2"/>
  <c r="AE1707" i="2"/>
  <c r="AE1706" i="2"/>
  <c r="AE1705" i="2"/>
  <c r="AE1704" i="2"/>
  <c r="AE1703" i="2"/>
  <c r="AE1702" i="2"/>
  <c r="AE1701" i="2"/>
  <c r="AE1700" i="2"/>
  <c r="AE1699" i="2"/>
  <c r="AE1698" i="2"/>
  <c r="AE1697" i="2"/>
  <c r="AE1696" i="2"/>
  <c r="AE1695" i="2"/>
  <c r="AE1694" i="2"/>
  <c r="AE1693" i="2"/>
  <c r="AE1692" i="2"/>
  <c r="AE1691" i="2"/>
  <c r="AE1690" i="2"/>
  <c r="AE1689" i="2"/>
  <c r="AE1688" i="2"/>
  <c r="AE1687" i="2"/>
  <c r="AE1686" i="2"/>
  <c r="AE1685" i="2"/>
  <c r="AE1684" i="2"/>
  <c r="AE1683" i="2"/>
  <c r="AE1682" i="2"/>
  <c r="AE1681" i="2"/>
  <c r="AE1680" i="2"/>
  <c r="AE1679" i="2"/>
  <c r="AE1678" i="2"/>
  <c r="AE1677" i="2"/>
  <c r="AE1676" i="2"/>
  <c r="AE1675" i="2"/>
  <c r="AE1674" i="2"/>
  <c r="AE1673" i="2"/>
  <c r="AE1672" i="2"/>
  <c r="AE1671" i="2"/>
  <c r="AE1670" i="2"/>
  <c r="AE1669" i="2"/>
  <c r="AE1668" i="2"/>
  <c r="AE1667" i="2"/>
  <c r="AE1666" i="2"/>
  <c r="AE1665" i="2"/>
  <c r="AE1664" i="2"/>
  <c r="AE1663" i="2"/>
  <c r="AE1662" i="2"/>
  <c r="AE1661" i="2"/>
  <c r="AE1660" i="2"/>
  <c r="AE1659" i="2"/>
  <c r="AE1658" i="2"/>
  <c r="AE1657" i="2"/>
  <c r="AE1656" i="2"/>
  <c r="AE1655" i="2"/>
  <c r="AE1654" i="2"/>
  <c r="AE1653" i="2"/>
  <c r="AE1652" i="2"/>
  <c r="AE1651" i="2"/>
  <c r="AE1650" i="2"/>
  <c r="AE1649" i="2"/>
  <c r="AE1648" i="2"/>
  <c r="AE1647" i="2"/>
  <c r="AE1646" i="2"/>
  <c r="AE1645" i="2"/>
  <c r="AE1644" i="2"/>
  <c r="AE1643" i="2"/>
  <c r="AE1642" i="2"/>
  <c r="AE1641" i="2"/>
  <c r="AE1640" i="2"/>
  <c r="AE1639" i="2"/>
  <c r="AE1638" i="2"/>
  <c r="AE1637" i="2"/>
  <c r="AE1636" i="2"/>
  <c r="AE1635" i="2"/>
  <c r="AE1634" i="2"/>
  <c r="AE1633" i="2"/>
  <c r="AE1632" i="2"/>
  <c r="AE1631" i="2"/>
  <c r="AE1630" i="2"/>
  <c r="AE1629" i="2"/>
  <c r="AE1628" i="2"/>
  <c r="AE1627" i="2"/>
  <c r="AE1626" i="2"/>
  <c r="AE1625" i="2"/>
  <c r="AE1624" i="2"/>
  <c r="AE1623" i="2"/>
  <c r="AE1622" i="2"/>
  <c r="AE1621" i="2"/>
  <c r="AE1620" i="2"/>
  <c r="AE1619" i="2"/>
  <c r="AE1618" i="2"/>
  <c r="AE1617" i="2"/>
  <c r="AE1616" i="2"/>
  <c r="AE1615" i="2"/>
  <c r="AE1614" i="2"/>
  <c r="AE1613" i="2"/>
  <c r="AE1612" i="2"/>
  <c r="AE1611" i="2"/>
  <c r="AE1610" i="2"/>
  <c r="AE1609" i="2"/>
  <c r="AE1608" i="2"/>
  <c r="AE1607" i="2"/>
  <c r="AE1606" i="2"/>
  <c r="AE1605" i="2"/>
  <c r="AE1604" i="2"/>
  <c r="AE1603" i="2"/>
  <c r="AE1602" i="2"/>
  <c r="AE1601" i="2"/>
  <c r="AE1600" i="2"/>
  <c r="AE1599" i="2"/>
  <c r="AE1598" i="2"/>
  <c r="AE1597" i="2"/>
  <c r="AE1596" i="2"/>
  <c r="AE1595" i="2"/>
  <c r="AE1594" i="2"/>
  <c r="AE1593" i="2"/>
  <c r="AE1592" i="2"/>
  <c r="AE1591" i="2"/>
  <c r="AE1590" i="2"/>
  <c r="AE1589" i="2"/>
  <c r="AE1588" i="2"/>
  <c r="AE1587" i="2"/>
  <c r="AE1586" i="2"/>
  <c r="AE1585" i="2"/>
  <c r="AE1584" i="2"/>
  <c r="AE1583" i="2"/>
  <c r="AE1582" i="2"/>
  <c r="AE1581" i="2"/>
  <c r="AE1580" i="2"/>
  <c r="AE1579" i="2"/>
  <c r="AE1578" i="2"/>
  <c r="AE1577" i="2"/>
  <c r="AE1576" i="2"/>
  <c r="AE1575" i="2"/>
  <c r="AE1574" i="2"/>
  <c r="AE1573" i="2"/>
  <c r="AE1572" i="2"/>
  <c r="AE1571" i="2"/>
  <c r="AE1570" i="2"/>
  <c r="AE1569" i="2"/>
  <c r="AE1568" i="2"/>
  <c r="AE1567" i="2"/>
  <c r="AE1566" i="2"/>
  <c r="AE1565" i="2"/>
  <c r="AE1564" i="2"/>
  <c r="AE1563" i="2"/>
  <c r="AE1562" i="2"/>
  <c r="AE1561" i="2"/>
  <c r="AE1560" i="2"/>
  <c r="AE1559" i="2"/>
  <c r="AE1558" i="2"/>
  <c r="AE1557" i="2"/>
  <c r="AE1556" i="2"/>
  <c r="AE1555" i="2"/>
  <c r="AE1554" i="2"/>
  <c r="AE1553" i="2"/>
  <c r="AE1552" i="2"/>
  <c r="AE1551" i="2"/>
  <c r="AE1550" i="2"/>
  <c r="AE1549" i="2"/>
  <c r="AE1548" i="2"/>
  <c r="AE1547" i="2"/>
  <c r="AE1546" i="2"/>
  <c r="AE1545" i="2"/>
  <c r="AE1544" i="2"/>
  <c r="AE1543" i="2"/>
  <c r="AE1542" i="2"/>
  <c r="AE1541" i="2"/>
  <c r="AE1540" i="2"/>
  <c r="AE1539" i="2"/>
  <c r="AE1538" i="2"/>
  <c r="AE1537" i="2"/>
  <c r="AE1536" i="2"/>
  <c r="AE1535" i="2"/>
  <c r="AE1534" i="2"/>
  <c r="AE1533" i="2"/>
  <c r="AE1532" i="2"/>
  <c r="AE1531" i="2"/>
  <c r="AE1530" i="2"/>
  <c r="AE1529" i="2"/>
  <c r="AE1528" i="2"/>
  <c r="AE1527" i="2"/>
  <c r="AE1526" i="2"/>
  <c r="AE1525" i="2"/>
  <c r="AE1524" i="2"/>
  <c r="AE1523" i="2"/>
  <c r="AE1522" i="2"/>
  <c r="AE1521" i="2"/>
  <c r="AE1520" i="2"/>
  <c r="AE1519" i="2"/>
  <c r="AE1518" i="2"/>
  <c r="AE1517" i="2"/>
  <c r="AE1516" i="2"/>
  <c r="AE1515" i="2"/>
  <c r="AE1514" i="2"/>
  <c r="AE1513" i="2"/>
  <c r="AE1512" i="2"/>
  <c r="AE1511" i="2"/>
  <c r="AE1510" i="2"/>
  <c r="AE1509" i="2"/>
  <c r="AE1508" i="2"/>
  <c r="AE1507" i="2"/>
  <c r="AE1506" i="2"/>
  <c r="AE1505" i="2"/>
  <c r="AE1504" i="2"/>
  <c r="AE1503" i="2"/>
  <c r="AE1502" i="2"/>
  <c r="AE1501" i="2"/>
  <c r="AE1500" i="2"/>
  <c r="AE1499" i="2"/>
  <c r="AE1498" i="2"/>
  <c r="AE1497" i="2"/>
  <c r="AE1496" i="2"/>
  <c r="AE1495" i="2"/>
  <c r="AE1494" i="2"/>
  <c r="AE1493" i="2"/>
  <c r="AE1492" i="2"/>
  <c r="AE1491" i="2"/>
  <c r="AE1490" i="2"/>
  <c r="AE1489" i="2"/>
  <c r="AE1488" i="2"/>
  <c r="AE1487" i="2"/>
  <c r="AE1486" i="2"/>
  <c r="AE1485" i="2"/>
  <c r="AE1484" i="2"/>
  <c r="AE1483" i="2"/>
  <c r="AE1482" i="2"/>
  <c r="AE1481" i="2"/>
  <c r="AE1480" i="2"/>
  <c r="AE1479" i="2"/>
  <c r="AE1478" i="2"/>
  <c r="AE1477" i="2"/>
  <c r="AE1476" i="2"/>
  <c r="AE1475" i="2"/>
  <c r="AE1474" i="2"/>
  <c r="AE1473" i="2"/>
  <c r="AE1472" i="2"/>
  <c r="AE1471" i="2"/>
  <c r="AE1470" i="2"/>
  <c r="AE1469" i="2"/>
  <c r="AE1468" i="2"/>
  <c r="AE1467" i="2"/>
  <c r="AE1466" i="2"/>
  <c r="AE1465" i="2"/>
  <c r="AE1464" i="2"/>
  <c r="AE1463" i="2"/>
  <c r="AE1462" i="2"/>
  <c r="AE1461" i="2"/>
  <c r="AE1460" i="2"/>
  <c r="AE1459" i="2"/>
  <c r="AE1458" i="2"/>
  <c r="AE1457" i="2"/>
  <c r="AE1456" i="2"/>
  <c r="AE1455" i="2"/>
  <c r="AE1454" i="2"/>
  <c r="AE1453" i="2"/>
  <c r="AE1452" i="2"/>
  <c r="AE1451" i="2"/>
  <c r="AE1450" i="2"/>
  <c r="AE1449" i="2"/>
  <c r="AE1448" i="2"/>
  <c r="AE1447" i="2"/>
  <c r="AE1446" i="2"/>
  <c r="AE1445" i="2"/>
  <c r="AE1444" i="2"/>
  <c r="AE1443" i="2"/>
  <c r="AE1442" i="2"/>
  <c r="AE1441" i="2"/>
  <c r="AE1440" i="2"/>
  <c r="AE1439" i="2"/>
  <c r="AE1438" i="2"/>
  <c r="AE1437" i="2"/>
  <c r="AE1436" i="2"/>
  <c r="AE1435" i="2"/>
  <c r="AE1434" i="2"/>
  <c r="AE1433" i="2"/>
  <c r="AE1432" i="2"/>
  <c r="AE1431" i="2"/>
  <c r="AE1430" i="2"/>
  <c r="AE1429" i="2"/>
  <c r="AE1428" i="2"/>
  <c r="AE1427" i="2"/>
  <c r="AE1426" i="2"/>
  <c r="AE1425" i="2"/>
  <c r="AE1424" i="2"/>
  <c r="AE1423" i="2"/>
  <c r="AE1422" i="2"/>
  <c r="AE1421" i="2"/>
  <c r="AE1420" i="2"/>
  <c r="AE1419" i="2"/>
  <c r="AE1418" i="2"/>
  <c r="AE1417" i="2"/>
  <c r="AE1416" i="2"/>
  <c r="AE1415" i="2"/>
  <c r="AE1414" i="2"/>
  <c r="AE1413" i="2"/>
  <c r="AE1412" i="2"/>
  <c r="AE1411" i="2"/>
  <c r="AE1410" i="2"/>
  <c r="AE1409" i="2"/>
  <c r="AE1408" i="2"/>
  <c r="AE1407" i="2"/>
  <c r="AE1406" i="2"/>
  <c r="AE1405" i="2"/>
  <c r="AE1404" i="2"/>
  <c r="AE1403" i="2"/>
  <c r="AE1402" i="2"/>
  <c r="AE1401" i="2"/>
  <c r="AE1400" i="2"/>
  <c r="AE1399" i="2"/>
  <c r="AE1398" i="2"/>
  <c r="AE1397" i="2"/>
  <c r="AE1396" i="2"/>
  <c r="AE1395" i="2"/>
  <c r="AE1394" i="2"/>
  <c r="AE1393" i="2"/>
  <c r="AE1392" i="2"/>
  <c r="AE1391" i="2"/>
  <c r="AE1390" i="2"/>
  <c r="AE1389" i="2"/>
  <c r="AE1388" i="2"/>
  <c r="AE1387" i="2"/>
  <c r="AE1386" i="2"/>
  <c r="AE1385" i="2"/>
  <c r="AE1384" i="2"/>
  <c r="AE1383" i="2"/>
  <c r="AE1382" i="2"/>
  <c r="AE1381" i="2"/>
  <c r="AE1380" i="2"/>
  <c r="AE1379" i="2"/>
  <c r="AE1378" i="2"/>
  <c r="AE1377" i="2"/>
  <c r="AE1376" i="2"/>
  <c r="AE1375" i="2"/>
  <c r="AE1374" i="2"/>
  <c r="AE1373" i="2"/>
  <c r="AE1372" i="2"/>
  <c r="AE1371" i="2"/>
  <c r="AE1370" i="2"/>
  <c r="AE1369" i="2"/>
  <c r="AE1368" i="2"/>
  <c r="AE1367" i="2"/>
  <c r="AE1366" i="2"/>
  <c r="AE1365" i="2"/>
  <c r="AE1364" i="2"/>
  <c r="AE1363" i="2"/>
  <c r="AE1362" i="2"/>
  <c r="AE1361" i="2"/>
  <c r="AE1360" i="2"/>
  <c r="AE1359" i="2"/>
  <c r="AE1358" i="2"/>
  <c r="AE1357" i="2"/>
  <c r="AE1356" i="2"/>
  <c r="AE1355" i="2"/>
  <c r="AE1354" i="2"/>
  <c r="AE1353" i="2"/>
  <c r="AE1352" i="2"/>
  <c r="AE1351" i="2"/>
  <c r="AE1350" i="2"/>
  <c r="AE1349" i="2"/>
  <c r="AE1348" i="2"/>
  <c r="AE1347" i="2"/>
  <c r="AE1346" i="2"/>
  <c r="AE1345" i="2"/>
  <c r="AE1344" i="2"/>
  <c r="AE1343" i="2"/>
  <c r="AE1342" i="2"/>
  <c r="AE1341" i="2"/>
  <c r="AE1340" i="2"/>
  <c r="AE1339" i="2"/>
  <c r="AE1338" i="2"/>
  <c r="AE1337" i="2"/>
  <c r="AE1336" i="2"/>
  <c r="AE1335" i="2"/>
  <c r="AE1334" i="2"/>
  <c r="AE1333" i="2"/>
  <c r="AE1332" i="2"/>
  <c r="AE1331" i="2"/>
  <c r="AE1330" i="2"/>
  <c r="AE1329" i="2"/>
  <c r="AE1328" i="2"/>
  <c r="AE1327" i="2"/>
  <c r="AE1326" i="2"/>
  <c r="AE1325" i="2"/>
  <c r="AE1324" i="2"/>
  <c r="AE1323" i="2"/>
  <c r="AE1322" i="2"/>
  <c r="AE1321" i="2"/>
  <c r="AE1320" i="2"/>
  <c r="AE1319" i="2"/>
  <c r="AE1318" i="2"/>
  <c r="AE1317" i="2"/>
  <c r="AE1316" i="2"/>
  <c r="AE1315" i="2"/>
  <c r="AE1314" i="2"/>
  <c r="AE1313" i="2"/>
  <c r="AE1312" i="2"/>
  <c r="AE1311" i="2"/>
  <c r="AE1310" i="2"/>
  <c r="AE1309" i="2"/>
  <c r="AE1308" i="2"/>
  <c r="AE1307" i="2"/>
  <c r="AE1306" i="2"/>
  <c r="AE1305" i="2"/>
  <c r="AE1304" i="2"/>
  <c r="AE1303" i="2"/>
  <c r="AE1302" i="2"/>
  <c r="AE1301" i="2"/>
  <c r="AE1300" i="2"/>
  <c r="AE1299" i="2"/>
  <c r="AE1298" i="2"/>
  <c r="AE1297" i="2"/>
  <c r="AE1296" i="2"/>
  <c r="AE1295" i="2"/>
  <c r="AE1294" i="2"/>
  <c r="AE1293" i="2"/>
  <c r="AE1292" i="2"/>
  <c r="AE1291" i="2"/>
  <c r="AE1290" i="2"/>
  <c r="AE1289" i="2"/>
  <c r="AE1288" i="2"/>
  <c r="AE1287" i="2"/>
  <c r="AE1286" i="2"/>
  <c r="AE1285" i="2"/>
  <c r="AE1284" i="2"/>
  <c r="AE1283" i="2"/>
  <c r="AE1282" i="2"/>
  <c r="AE1281" i="2"/>
  <c r="AE1280" i="2"/>
  <c r="AE1279" i="2"/>
  <c r="AE1278" i="2"/>
  <c r="AE1277" i="2"/>
  <c r="AE1276" i="2"/>
  <c r="AE1275" i="2"/>
  <c r="AE1274" i="2"/>
  <c r="AE1273" i="2"/>
  <c r="AE1272" i="2"/>
  <c r="AE1271" i="2"/>
  <c r="AE1270" i="2"/>
  <c r="AE1269" i="2"/>
  <c r="AE1268" i="2"/>
  <c r="AE1267" i="2"/>
  <c r="AE1266" i="2"/>
  <c r="AE1265" i="2"/>
  <c r="AE1264" i="2"/>
  <c r="AE1263" i="2"/>
  <c r="AE1262" i="2"/>
  <c r="AE1261" i="2"/>
  <c r="AE1260" i="2"/>
  <c r="AE1259" i="2"/>
  <c r="AE1258" i="2"/>
  <c r="AE1257" i="2"/>
  <c r="AE1256" i="2"/>
  <c r="AE1255" i="2"/>
  <c r="AE1254" i="2"/>
  <c r="AE1253" i="2"/>
  <c r="AE1252" i="2"/>
  <c r="AE1251" i="2"/>
  <c r="AE1250" i="2"/>
  <c r="AE1249" i="2"/>
  <c r="AE1248" i="2"/>
  <c r="AE1247" i="2"/>
  <c r="AE1246" i="2"/>
  <c r="AE1245" i="2"/>
  <c r="AE1244" i="2"/>
  <c r="AE1243" i="2"/>
  <c r="AE1242" i="2"/>
  <c r="AE1241" i="2"/>
  <c r="AE1240" i="2"/>
  <c r="AE1239" i="2"/>
  <c r="AE1238" i="2"/>
  <c r="AE1237" i="2"/>
  <c r="AE1236" i="2"/>
  <c r="AE1235" i="2"/>
  <c r="AE1234" i="2"/>
  <c r="AE1233" i="2"/>
  <c r="AE1232" i="2"/>
  <c r="AE1231" i="2"/>
  <c r="AE1230" i="2"/>
  <c r="AE1229" i="2"/>
  <c r="AE1228" i="2"/>
  <c r="AE1227" i="2"/>
  <c r="AE1226" i="2"/>
  <c r="AE1225" i="2"/>
  <c r="AE1224" i="2"/>
  <c r="AE1223" i="2"/>
  <c r="AE1222" i="2"/>
  <c r="AE1221" i="2"/>
  <c r="AE1220" i="2"/>
  <c r="AE1219" i="2"/>
  <c r="AE1218" i="2"/>
  <c r="AE1217" i="2"/>
  <c r="AE1216" i="2"/>
  <c r="AE1215" i="2"/>
  <c r="AE1214" i="2"/>
  <c r="AE1213" i="2"/>
  <c r="AE1212" i="2"/>
  <c r="AE1211" i="2"/>
  <c r="AE1210" i="2"/>
  <c r="AE1209" i="2"/>
  <c r="AE1208" i="2"/>
  <c r="AE1207" i="2"/>
  <c r="AE1206" i="2"/>
  <c r="AE1205" i="2"/>
  <c r="AE1204" i="2"/>
  <c r="AE1203" i="2"/>
  <c r="AE1202" i="2"/>
  <c r="AE1201" i="2"/>
  <c r="AE1200" i="2"/>
  <c r="AE1199" i="2"/>
  <c r="AE1198" i="2"/>
  <c r="AE1197" i="2"/>
  <c r="AE1196" i="2"/>
  <c r="AE1195" i="2"/>
  <c r="AE1194" i="2"/>
  <c r="AE1193" i="2"/>
  <c r="AE1192" i="2"/>
  <c r="AE1191" i="2"/>
  <c r="AE1190" i="2"/>
  <c r="AE1189" i="2"/>
  <c r="AE1188" i="2"/>
  <c r="AE1187" i="2"/>
  <c r="AE1186" i="2"/>
  <c r="AE1185" i="2"/>
  <c r="AE1184" i="2"/>
  <c r="AE1183" i="2"/>
  <c r="AE1182" i="2"/>
  <c r="AE1181" i="2"/>
  <c r="AE1180" i="2"/>
  <c r="AE1179" i="2"/>
  <c r="AE1178" i="2"/>
  <c r="AE1177" i="2"/>
  <c r="AE1176" i="2"/>
  <c r="AE1175" i="2"/>
  <c r="AE1174" i="2"/>
  <c r="AE1173" i="2"/>
  <c r="AE1172" i="2"/>
  <c r="AE1171" i="2"/>
  <c r="AE1170" i="2"/>
  <c r="AE1169" i="2"/>
  <c r="AE1168" i="2"/>
  <c r="AE1167" i="2"/>
  <c r="AE1166" i="2"/>
  <c r="AE1165" i="2"/>
  <c r="AE1164" i="2"/>
  <c r="AE1163" i="2"/>
  <c r="AE1162" i="2"/>
  <c r="AE1161" i="2"/>
  <c r="AE1160" i="2"/>
  <c r="AE1159" i="2"/>
  <c r="AE1158" i="2"/>
  <c r="AE1157" i="2"/>
  <c r="AE1156" i="2"/>
  <c r="AE1155" i="2"/>
  <c r="AE1154" i="2"/>
  <c r="AE1153" i="2"/>
  <c r="AE1152" i="2"/>
  <c r="AE1151" i="2"/>
  <c r="AE1150" i="2"/>
  <c r="AE1149" i="2"/>
  <c r="AE1148" i="2"/>
  <c r="AE1147" i="2"/>
  <c r="AE1146" i="2"/>
  <c r="AE1145" i="2"/>
  <c r="AE1144" i="2"/>
  <c r="AE1143" i="2"/>
  <c r="AE1142" i="2"/>
  <c r="AE1141" i="2"/>
  <c r="AE1140" i="2"/>
  <c r="AE1139" i="2"/>
  <c r="AE1138" i="2"/>
  <c r="AE1137" i="2"/>
  <c r="AE1136" i="2"/>
  <c r="AE1135" i="2"/>
  <c r="AE1134" i="2"/>
  <c r="AE1133" i="2"/>
  <c r="AE1132" i="2"/>
  <c r="AE1131" i="2"/>
  <c r="AE1130" i="2"/>
  <c r="AE1129" i="2"/>
  <c r="AE1128" i="2"/>
  <c r="AE1127" i="2"/>
  <c r="AE1126" i="2"/>
  <c r="AE1125" i="2"/>
  <c r="AE1124" i="2"/>
  <c r="AE1123" i="2"/>
  <c r="AE1122" i="2"/>
  <c r="AE1121" i="2"/>
  <c r="AE1120" i="2"/>
  <c r="AE1119" i="2"/>
  <c r="AE1118" i="2"/>
  <c r="AE1117" i="2"/>
  <c r="AE1116" i="2"/>
  <c r="AE1115" i="2"/>
  <c r="AE1114" i="2"/>
  <c r="AE1113" i="2"/>
  <c r="AE1112" i="2"/>
  <c r="AE1111" i="2"/>
  <c r="AE1110" i="2"/>
  <c r="AE1109" i="2"/>
  <c r="AE1108" i="2"/>
  <c r="AE1107" i="2"/>
  <c r="AE1106" i="2"/>
  <c r="AE1105" i="2"/>
  <c r="AE1104" i="2"/>
  <c r="AE1103" i="2"/>
  <c r="AE1102" i="2"/>
  <c r="AE1101" i="2"/>
  <c r="AE1100" i="2"/>
  <c r="AE1099" i="2"/>
  <c r="AE1098" i="2"/>
  <c r="AE1097" i="2"/>
  <c r="AE1096" i="2"/>
  <c r="AE1095" i="2"/>
  <c r="AE1094" i="2"/>
  <c r="AE1093" i="2"/>
  <c r="AE1092" i="2"/>
  <c r="AE1091" i="2"/>
  <c r="AE1090" i="2"/>
  <c r="AE1089" i="2"/>
  <c r="AE1088" i="2"/>
  <c r="AE1087" i="2"/>
  <c r="AE1086" i="2"/>
  <c r="AE1085" i="2"/>
  <c r="AE1084" i="2"/>
  <c r="AE1083" i="2"/>
  <c r="AE1082" i="2"/>
  <c r="AE1081" i="2"/>
  <c r="AE1080" i="2"/>
  <c r="AE1079" i="2"/>
  <c r="AE1078" i="2"/>
  <c r="AE1077" i="2"/>
  <c r="AE1076" i="2"/>
  <c r="AE1075" i="2"/>
  <c r="AE1074" i="2"/>
  <c r="AE1073" i="2"/>
  <c r="AE1072" i="2"/>
  <c r="AE1071" i="2"/>
  <c r="AE1070" i="2"/>
  <c r="AE1069" i="2"/>
  <c r="AE1068" i="2"/>
  <c r="AE1067" i="2"/>
  <c r="AE1066" i="2"/>
  <c r="AE1065" i="2"/>
  <c r="AE1064" i="2"/>
  <c r="AE1063" i="2"/>
  <c r="AE1062" i="2"/>
  <c r="AE1061" i="2"/>
  <c r="AE1060" i="2"/>
  <c r="AE1059" i="2"/>
  <c r="AE1058" i="2"/>
  <c r="AE1057" i="2"/>
  <c r="AE1056" i="2"/>
  <c r="AE1055" i="2"/>
  <c r="AE1054" i="2"/>
  <c r="AE1053" i="2"/>
  <c r="AE1052" i="2"/>
  <c r="AE1051" i="2"/>
  <c r="AE1050" i="2"/>
  <c r="AE1049" i="2"/>
  <c r="AE1048" i="2"/>
  <c r="AE1047" i="2"/>
  <c r="AE1046" i="2"/>
  <c r="AE1045" i="2"/>
  <c r="AE1044" i="2"/>
  <c r="AE1043" i="2"/>
  <c r="AE1042" i="2"/>
  <c r="AE1041" i="2"/>
  <c r="AE1040" i="2"/>
  <c r="AE1039" i="2"/>
  <c r="AE1038" i="2"/>
  <c r="AE1037" i="2"/>
  <c r="AE1036" i="2"/>
  <c r="AE1035" i="2"/>
  <c r="AE1034" i="2"/>
  <c r="AE1033" i="2"/>
  <c r="AE1032" i="2"/>
  <c r="AE1031" i="2"/>
  <c r="AE1030" i="2"/>
  <c r="AE1029" i="2"/>
  <c r="AE1028" i="2"/>
  <c r="AE1027" i="2"/>
  <c r="AE1026" i="2"/>
  <c r="AE1025" i="2"/>
  <c r="AE1024" i="2"/>
  <c r="AE1023" i="2"/>
  <c r="AE1022" i="2"/>
  <c r="AE1021" i="2"/>
  <c r="AE1020" i="2"/>
  <c r="AE1019" i="2"/>
  <c r="AE1018" i="2"/>
  <c r="AE1017" i="2"/>
  <c r="AE1016" i="2"/>
  <c r="AE1015" i="2"/>
  <c r="AE1014" i="2"/>
  <c r="AE1013" i="2"/>
  <c r="AE1012" i="2"/>
  <c r="AE1011" i="2"/>
  <c r="AE1010" i="2"/>
  <c r="AE1009" i="2"/>
  <c r="AE1008" i="2"/>
  <c r="AE1007" i="2"/>
  <c r="AE1006" i="2"/>
  <c r="AE1005" i="2"/>
  <c r="AE1004" i="2"/>
  <c r="AE100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544" i="2"/>
  <c r="AE543" i="2"/>
  <c r="AE542" i="2"/>
  <c r="AE541" i="2"/>
  <c r="AE540" i="2"/>
  <c r="AE539" i="2"/>
  <c r="AE538" i="2"/>
  <c r="AE537" i="2"/>
  <c r="AE536" i="2"/>
  <c r="AE535" i="2"/>
  <c r="AE534" i="2"/>
  <c r="AE533" i="2"/>
  <c r="AE532" i="2"/>
  <c r="AE531" i="2"/>
  <c r="AE530" i="2"/>
  <c r="AE529" i="2"/>
  <c r="AE528" i="2"/>
  <c r="AE527" i="2"/>
  <c r="AE526" i="2"/>
  <c r="AE525" i="2"/>
  <c r="AE524" i="2"/>
  <c r="AE523" i="2"/>
  <c r="AE522" i="2"/>
  <c r="AE521" i="2"/>
  <c r="AE520" i="2"/>
  <c r="AE519" i="2"/>
  <c r="AE518" i="2"/>
  <c r="AE517" i="2"/>
  <c r="AE516" i="2"/>
  <c r="AE515" i="2"/>
  <c r="AE514" i="2"/>
  <c r="AE513" i="2"/>
  <c r="AE512" i="2"/>
  <c r="AE511" i="2"/>
  <c r="AE510" i="2"/>
  <c r="AE509" i="2"/>
  <c r="AE508" i="2"/>
  <c r="AE507" i="2"/>
  <c r="AE506" i="2"/>
  <c r="AE505" i="2"/>
  <c r="AE504" i="2"/>
  <c r="AE503" i="2"/>
  <c r="AE502" i="2"/>
  <c r="AE501" i="2"/>
  <c r="AE500" i="2"/>
  <c r="AE499"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E21" i="2"/>
  <c r="AE20" i="2"/>
  <c r="AE19" i="2"/>
  <c r="AE18" i="2"/>
  <c r="AE17" i="2"/>
  <c r="AE16" i="2"/>
  <c r="AE15" i="2"/>
  <c r="AE14" i="2"/>
  <c r="AE13" i="2"/>
  <c r="AE12" i="2"/>
  <c r="AE11" i="2"/>
  <c r="AE10" i="2"/>
  <c r="AE9" i="2"/>
  <c r="AE8" i="2"/>
  <c r="AE7" i="2"/>
  <c r="AE6" i="2"/>
  <c r="AE5" i="2"/>
  <c r="AE4" i="2"/>
  <c r="AE3" i="2"/>
  <c r="AE2" i="2"/>
  <c r="AB92" i="1" l="1"/>
  <c r="AE92" i="1" s="1"/>
  <c r="AB102" i="1"/>
  <c r="AE102" i="1" s="1"/>
  <c r="AC189" i="1"/>
  <c r="AC294" i="1"/>
  <c r="AB364" i="1"/>
  <c r="AE364" i="1" s="1"/>
  <c r="AC439" i="1"/>
  <c r="AC450" i="1"/>
  <c r="AC535" i="1"/>
  <c r="AB610" i="1"/>
  <c r="AE610" i="1" s="1"/>
  <c r="AB726" i="1"/>
  <c r="AE726" i="1" s="1"/>
  <c r="AB754" i="1"/>
  <c r="AE754" i="1" s="1"/>
  <c r="AB826" i="1"/>
  <c r="AE826" i="1" s="1"/>
  <c r="AB838" i="1"/>
  <c r="AE838" i="1" s="1"/>
  <c r="AB860" i="1"/>
  <c r="AE860" i="1" s="1"/>
  <c r="AC1013" i="1"/>
  <c r="AB1013" i="1"/>
  <c r="AE1013" i="1" s="1"/>
  <c r="AC1025" i="1"/>
  <c r="AC1136" i="1"/>
  <c r="AB1147" i="1"/>
  <c r="AE1147" i="1" s="1"/>
  <c r="AC1211" i="1"/>
  <c r="AB1254" i="1"/>
  <c r="AE1254" i="1" s="1"/>
  <c r="AC1316" i="1"/>
  <c r="AC1416" i="1"/>
  <c r="AB1416" i="1"/>
  <c r="AE1416" i="1" s="1"/>
  <c r="AC1494" i="1"/>
  <c r="AB1545" i="1"/>
  <c r="AE1545" i="1" s="1"/>
  <c r="AB1786" i="1"/>
  <c r="AE1786" i="1" s="1"/>
  <c r="AC1786" i="1"/>
  <c r="AC2167" i="1"/>
  <c r="AB2167" i="1"/>
  <c r="AE2167" i="1" s="1"/>
  <c r="AB3092" i="1"/>
  <c r="AE3092" i="1" s="1"/>
  <c r="AC3092" i="1"/>
  <c r="AB3670" i="1"/>
  <c r="AE3670" i="1" s="1"/>
  <c r="AC3670" i="1"/>
  <c r="AB1975" i="1"/>
  <c r="AE1975" i="1" s="1"/>
  <c r="AB3176" i="1"/>
  <c r="AE3176" i="1" s="1"/>
  <c r="AC3176" i="1"/>
  <c r="AC3415" i="1"/>
  <c r="AB3415" i="1"/>
  <c r="AE3415" i="1" s="1"/>
  <c r="AB365" i="1"/>
  <c r="AE365" i="1" s="1"/>
  <c r="AB643" i="1"/>
  <c r="AE643" i="1" s="1"/>
  <c r="AB1137" i="1"/>
  <c r="AE1137" i="1" s="1"/>
  <c r="AB1509" i="1"/>
  <c r="AE1509" i="1" s="1"/>
  <c r="AC1517" i="1"/>
  <c r="AC1546" i="1"/>
  <c r="AB1557" i="1"/>
  <c r="AE1557" i="1" s="1"/>
  <c r="AC1557" i="1"/>
  <c r="AC2217" i="1"/>
  <c r="AB2718" i="1"/>
  <c r="AE2718" i="1" s="1"/>
  <c r="AC20" i="1"/>
  <c r="AC104" i="1"/>
  <c r="AB127" i="1"/>
  <c r="AE127" i="1" s="1"/>
  <c r="AC162" i="1"/>
  <c r="AB180" i="1"/>
  <c r="AE180" i="1" s="1"/>
  <c r="AB215" i="1"/>
  <c r="AE215" i="1" s="1"/>
  <c r="AB233" i="1"/>
  <c r="AE233" i="1" s="1"/>
  <c r="AB277" i="1"/>
  <c r="AE277" i="1" s="1"/>
  <c r="AB296" i="1"/>
  <c r="AE296" i="1" s="1"/>
  <c r="AB338" i="1"/>
  <c r="AE338" i="1" s="1"/>
  <c r="AB349" i="1"/>
  <c r="AE349" i="1" s="1"/>
  <c r="AB379" i="1"/>
  <c r="AE379" i="1" s="1"/>
  <c r="AB389" i="1"/>
  <c r="AE389" i="1" s="1"/>
  <c r="AB548" i="1"/>
  <c r="AE548" i="1" s="1"/>
  <c r="AB589" i="1"/>
  <c r="AE589" i="1" s="1"/>
  <c r="AB633" i="1"/>
  <c r="AE633" i="1" s="1"/>
  <c r="AB652" i="1"/>
  <c r="AE652" i="1" s="1"/>
  <c r="AB672" i="1"/>
  <c r="AE672" i="1" s="1"/>
  <c r="AB707" i="1"/>
  <c r="AE707" i="1" s="1"/>
  <c r="AB746" i="1"/>
  <c r="AE746" i="1" s="1"/>
  <c r="AB820" i="1"/>
  <c r="AE820" i="1" s="1"/>
  <c r="AC840" i="1"/>
  <c r="AB852" i="1"/>
  <c r="AE852" i="1" s="1"/>
  <c r="AC862" i="1"/>
  <c r="AB873" i="1"/>
  <c r="AE873" i="1" s="1"/>
  <c r="AB886" i="1"/>
  <c r="AE886" i="1" s="1"/>
  <c r="AC920" i="1"/>
  <c r="AB920" i="1"/>
  <c r="AE920" i="1" s="1"/>
  <c r="AC953" i="1"/>
  <c r="AB1087" i="1"/>
  <c r="AE1087" i="1" s="1"/>
  <c r="AB1118" i="1"/>
  <c r="AE1118" i="1" s="1"/>
  <c r="AB1128" i="1"/>
  <c r="AE1128" i="1" s="1"/>
  <c r="AC1148" i="1"/>
  <c r="AC1169" i="1"/>
  <c r="AB1191" i="1"/>
  <c r="AE1191" i="1" s="1"/>
  <c r="AC1202" i="1"/>
  <c r="AB1299" i="1"/>
  <c r="AE1299" i="1" s="1"/>
  <c r="AB1318" i="1"/>
  <c r="AE1318" i="1" s="1"/>
  <c r="AC1418" i="1"/>
  <c r="AC1462" i="1"/>
  <c r="AB1484" i="1"/>
  <c r="AE1484" i="1" s="1"/>
  <c r="AC1526" i="1"/>
  <c r="AC1612" i="1"/>
  <c r="AB1612" i="1"/>
  <c r="AE1612" i="1" s="1"/>
  <c r="AB1622" i="1"/>
  <c r="AE1622" i="1" s="1"/>
  <c r="AC1622" i="1"/>
  <c r="AB1712" i="1"/>
  <c r="AE1712" i="1" s="1"/>
  <c r="AB1721" i="1"/>
  <c r="AE1721" i="1" s="1"/>
  <c r="AB1744" i="1"/>
  <c r="AE1744" i="1" s="1"/>
  <c r="AC1753" i="1"/>
  <c r="AC1863" i="1"/>
  <c r="AB2025" i="1"/>
  <c r="AE2025" i="1" s="1"/>
  <c r="AC2114" i="1"/>
  <c r="AB2114" i="1"/>
  <c r="AE2114" i="1" s="1"/>
  <c r="AB2480" i="1"/>
  <c r="AE2480" i="1" s="1"/>
  <c r="AC2719" i="1"/>
  <c r="AB2719" i="1"/>
  <c r="AE2719" i="1" s="1"/>
  <c r="AB2787" i="1"/>
  <c r="AE2787" i="1" s="1"/>
  <c r="AC2787" i="1"/>
  <c r="AC3471" i="1"/>
  <c r="AC1003" i="1"/>
  <c r="AB1003" i="1"/>
  <c r="AE1003" i="1" s="1"/>
  <c r="AB1912" i="1"/>
  <c r="AE1912" i="1" s="1"/>
  <c r="AC1912" i="1"/>
  <c r="AC30" i="1"/>
  <c r="AB49" i="1"/>
  <c r="AE49" i="1" s="1"/>
  <c r="AC257" i="1"/>
  <c r="AC328" i="1"/>
  <c r="AB357" i="1"/>
  <c r="AE357" i="1" s="1"/>
  <c r="AC422" i="1"/>
  <c r="AC441" i="1"/>
  <c r="AC500" i="1"/>
  <c r="AB559" i="1"/>
  <c r="AE559" i="1" s="1"/>
  <c r="AB580" i="1"/>
  <c r="AE580" i="1" s="1"/>
  <c r="AC684" i="1"/>
  <c r="AC697" i="1"/>
  <c r="AB738" i="1"/>
  <c r="AE738" i="1" s="1"/>
  <c r="AC756" i="1"/>
  <c r="AB808" i="1"/>
  <c r="AE808" i="1" s="1"/>
  <c r="AB909" i="1"/>
  <c r="AE909" i="1" s="1"/>
  <c r="AC909" i="1"/>
  <c r="AB977" i="1"/>
  <c r="AE977" i="1" s="1"/>
  <c r="AB1005" i="1"/>
  <c r="AE1005" i="1" s="1"/>
  <c r="AB1047" i="1"/>
  <c r="AE1047" i="1" s="1"/>
  <c r="AB1057" i="1"/>
  <c r="AE1057" i="1" s="1"/>
  <c r="AC1079" i="1"/>
  <c r="AB1138" i="1"/>
  <c r="AE1138" i="1" s="1"/>
  <c r="AC1180" i="1"/>
  <c r="AC1214" i="1"/>
  <c r="AC1236" i="1"/>
  <c r="AB1246" i="1"/>
  <c r="AE1246" i="1" s="1"/>
  <c r="AB1308" i="1"/>
  <c r="AE1308" i="1" s="1"/>
  <c r="AB1398" i="1"/>
  <c r="AE1398" i="1" s="1"/>
  <c r="AB1558" i="1"/>
  <c r="AE1558" i="1" s="1"/>
  <c r="AC1579" i="1"/>
  <c r="AB1590" i="1"/>
  <c r="AE1590" i="1" s="1"/>
  <c r="AB1767" i="1"/>
  <c r="AE1767" i="1" s="1"/>
  <c r="AC1767" i="1"/>
  <c r="AC1964" i="1"/>
  <c r="AB1964" i="1"/>
  <c r="AE1964" i="1" s="1"/>
  <c r="AB2351" i="1"/>
  <c r="AE2351" i="1" s="1"/>
  <c r="AB2563" i="1"/>
  <c r="AE2563" i="1" s="1"/>
  <c r="AC2575" i="1"/>
  <c r="AB2588" i="1"/>
  <c r="AE2588" i="1" s="1"/>
  <c r="AC2588" i="1"/>
  <c r="AB3256" i="1"/>
  <c r="AE3256" i="1" s="1"/>
  <c r="AB3553" i="1"/>
  <c r="AE3553" i="1" s="1"/>
  <c r="AC3011" i="1"/>
  <c r="AB3011" i="1"/>
  <c r="AE3011" i="1" s="1"/>
  <c r="AC93" i="1"/>
  <c r="AC190" i="1"/>
  <c r="AC1078" i="1"/>
  <c r="AB1288" i="1"/>
  <c r="AE1288" i="1" s="1"/>
  <c r="AC1300" i="1"/>
  <c r="AB1300" i="1"/>
  <c r="AE1300" i="1" s="1"/>
  <c r="AC1815" i="1"/>
  <c r="AC1891" i="1"/>
  <c r="AB1891" i="1"/>
  <c r="AE1891" i="1" s="1"/>
  <c r="AC1951" i="1"/>
  <c r="AB1951" i="1"/>
  <c r="AE1951" i="1" s="1"/>
  <c r="AC1965" i="1"/>
  <c r="AB1965" i="1"/>
  <c r="AE1965" i="1" s="1"/>
  <c r="AB2048" i="1"/>
  <c r="AE2048" i="1" s="1"/>
  <c r="AC2048" i="1"/>
  <c r="AC2311" i="1"/>
  <c r="AB2311" i="1"/>
  <c r="AE2311" i="1" s="1"/>
  <c r="AB327" i="1"/>
  <c r="AE327" i="1" s="1"/>
  <c r="AC511" i="1"/>
  <c r="AC536" i="1"/>
  <c r="AC568" i="1"/>
  <c r="AC727" i="1"/>
  <c r="AB755" i="1"/>
  <c r="AE755" i="1" s="1"/>
  <c r="AB1026" i="1"/>
  <c r="AE1026" i="1" s="1"/>
  <c r="AC1046" i="1"/>
  <c r="AB52" i="1"/>
  <c r="AE52" i="1" s="1"/>
  <c r="AB86" i="1"/>
  <c r="AE86" i="1" s="1"/>
  <c r="AB118" i="1"/>
  <c r="AE118" i="1" s="1"/>
  <c r="AC143" i="1"/>
  <c r="AB164" i="1"/>
  <c r="AE164" i="1" s="1"/>
  <c r="AC182" i="1"/>
  <c r="AC193" i="1"/>
  <c r="AB321" i="1"/>
  <c r="AE321" i="1" s="1"/>
  <c r="AC329" i="1"/>
  <c r="AC358" i="1"/>
  <c r="AC368" i="1"/>
  <c r="AC390" i="1"/>
  <c r="AB466" i="1"/>
  <c r="AE466" i="1" s="1"/>
  <c r="AB514" i="1"/>
  <c r="AE514" i="1" s="1"/>
  <c r="AC549" i="1"/>
  <c r="AB571" i="1"/>
  <c r="AE571" i="1" s="1"/>
  <c r="AC581" i="1"/>
  <c r="AB624" i="1"/>
  <c r="AE624" i="1" s="1"/>
  <c r="AB698" i="1"/>
  <c r="AE698" i="1" s="1"/>
  <c r="AB739" i="1"/>
  <c r="AE739" i="1" s="1"/>
  <c r="AB778" i="1"/>
  <c r="AE778" i="1" s="1"/>
  <c r="AB809" i="1"/>
  <c r="AE809" i="1" s="1"/>
  <c r="AC874" i="1"/>
  <c r="AC965" i="1"/>
  <c r="AB992" i="1"/>
  <c r="AE992" i="1" s="1"/>
  <c r="AB1038" i="1"/>
  <c r="AE1038" i="1" s="1"/>
  <c r="AC1048" i="1"/>
  <c r="AC1072" i="1"/>
  <c r="AB1080" i="1"/>
  <c r="AE1080" i="1" s="1"/>
  <c r="AB1119" i="1"/>
  <c r="AE1119" i="1" s="1"/>
  <c r="AC1129" i="1"/>
  <c r="AB1171" i="1"/>
  <c r="AE1171" i="1" s="1"/>
  <c r="AB1228" i="1"/>
  <c r="AE1228" i="1" s="1"/>
  <c r="AB1291" i="1"/>
  <c r="AE1291" i="1" s="1"/>
  <c r="AC1291" i="1"/>
  <c r="AC1399" i="1"/>
  <c r="AB1420" i="1"/>
  <c r="AE1420" i="1" s="1"/>
  <c r="AB1541" i="1"/>
  <c r="AE1541" i="1" s="1"/>
  <c r="AC1606" i="1"/>
  <c r="AB1606" i="1"/>
  <c r="AE1606" i="1" s="1"/>
  <c r="AB1734" i="1"/>
  <c r="AE1734" i="1" s="1"/>
  <c r="AC1734" i="1"/>
  <c r="AB1977" i="1"/>
  <c r="AE1977" i="1" s="1"/>
  <c r="AC1977" i="1"/>
  <c r="AC2130" i="1"/>
  <c r="AB2130" i="1"/>
  <c r="AE2130" i="1" s="1"/>
  <c r="AC3649" i="1"/>
  <c r="AB3649" i="1"/>
  <c r="AE3649" i="1" s="1"/>
  <c r="AB1370" i="1"/>
  <c r="AE1370" i="1" s="1"/>
  <c r="AC1370" i="1"/>
  <c r="AC1764" i="1"/>
  <c r="AB1764" i="1"/>
  <c r="AE1764" i="1" s="1"/>
  <c r="AB152" i="1"/>
  <c r="AE152" i="1" s="1"/>
  <c r="AB243" i="1"/>
  <c r="AE243" i="1" s="1"/>
  <c r="AB421" i="1"/>
  <c r="AE421" i="1" s="1"/>
  <c r="AC440" i="1"/>
  <c r="AB807" i="1"/>
  <c r="AE807" i="1" s="1"/>
  <c r="AB1245" i="1"/>
  <c r="AE1245" i="1" s="1"/>
  <c r="AB1340" i="1"/>
  <c r="AE1340" i="1" s="1"/>
  <c r="AC34" i="1"/>
  <c r="AC217" i="1"/>
  <c r="AB259" i="1"/>
  <c r="AE259" i="1" s="1"/>
  <c r="AB289" i="1"/>
  <c r="AE289" i="1" s="1"/>
  <c r="AC351" i="1"/>
  <c r="AB381" i="1"/>
  <c r="AE381" i="1" s="1"/>
  <c r="AC412" i="1"/>
  <c r="AC424" i="1"/>
  <c r="AC454" i="1"/>
  <c r="AC561" i="1"/>
  <c r="AB602" i="1"/>
  <c r="AE602" i="1" s="1"/>
  <c r="AC614" i="1"/>
  <c r="AB720" i="1"/>
  <c r="AE720" i="1" s="1"/>
  <c r="AB729" i="1"/>
  <c r="AE729" i="1" s="1"/>
  <c r="AB889" i="1"/>
  <c r="AE889" i="1" s="1"/>
  <c r="AB1028" i="1"/>
  <c r="AE1028" i="1" s="1"/>
  <c r="AB1090" i="1"/>
  <c r="AE1090" i="1" s="1"/>
  <c r="AC1150" i="1"/>
  <c r="AC1182" i="1"/>
  <c r="AC1249" i="1"/>
  <c r="AB1249" i="1"/>
  <c r="AE1249" i="1" s="1"/>
  <c r="AC1301" i="1"/>
  <c r="AC1310" i="1"/>
  <c r="AB1320" i="1"/>
  <c r="AE1320" i="1" s="1"/>
  <c r="AB1353" i="1"/>
  <c r="AE1353" i="1" s="1"/>
  <c r="AB1363" i="1"/>
  <c r="AE1363" i="1" s="1"/>
  <c r="AB1465" i="1"/>
  <c r="AE1465" i="1" s="1"/>
  <c r="AB1477" i="1"/>
  <c r="AE1477" i="1" s="1"/>
  <c r="AC1511" i="1"/>
  <c r="AB1520" i="1"/>
  <c r="AE1520" i="1" s="1"/>
  <c r="AB1572" i="1"/>
  <c r="AE1572" i="1" s="1"/>
  <c r="AC1572" i="1"/>
  <c r="AB1614" i="1"/>
  <c r="AE1614" i="1" s="1"/>
  <c r="AB1638" i="1"/>
  <c r="AE1638" i="1" s="1"/>
  <c r="AC1856" i="1"/>
  <c r="AB1856" i="1"/>
  <c r="AE1856" i="1" s="1"/>
  <c r="AB1917" i="1"/>
  <c r="AE1917" i="1" s="1"/>
  <c r="AB1929" i="1"/>
  <c r="AE1929" i="1" s="1"/>
  <c r="AC1929" i="1"/>
  <c r="AC2016" i="1"/>
  <c r="AB2187" i="1"/>
  <c r="AE2187" i="1" s="1"/>
  <c r="AC2221" i="1"/>
  <c r="AB2221" i="1"/>
  <c r="AE2221" i="1" s="1"/>
  <c r="AC2279" i="1"/>
  <c r="AB2279" i="1"/>
  <c r="AE2279" i="1" s="1"/>
  <c r="AB2553" i="1"/>
  <c r="AE2553" i="1" s="1"/>
  <c r="AB3057" i="1"/>
  <c r="AE3057" i="1" s="1"/>
  <c r="AC3057" i="1"/>
  <c r="AC3139" i="1"/>
  <c r="AC3736" i="1"/>
  <c r="AC2017" i="1"/>
  <c r="AB2017" i="1"/>
  <c r="AE2017" i="1" s="1"/>
  <c r="AC3247" i="1"/>
  <c r="AB3247" i="1"/>
  <c r="AE3247" i="1" s="1"/>
  <c r="AC1819" i="1"/>
  <c r="AB1819" i="1"/>
  <c r="AE1819" i="1" s="1"/>
  <c r="AB2330" i="1"/>
  <c r="AE2330" i="1" s="1"/>
  <c r="AC2330" i="1"/>
  <c r="AC2528" i="1"/>
  <c r="AB2528" i="1"/>
  <c r="AE2528" i="1" s="1"/>
  <c r="AC2844" i="1"/>
  <c r="AB2844" i="1"/>
  <c r="AE2844" i="1" s="1"/>
  <c r="AC158" i="1"/>
  <c r="AC250" i="1"/>
  <c r="AB469" i="1"/>
  <c r="AE469" i="1" s="1"/>
  <c r="AB493" i="1"/>
  <c r="AE493" i="1" s="1"/>
  <c r="AC552" i="1"/>
  <c r="AB573" i="1"/>
  <c r="AE573" i="1" s="1"/>
  <c r="AC584" i="1"/>
  <c r="AB594" i="1"/>
  <c r="AE594" i="1" s="1"/>
  <c r="AB626" i="1"/>
  <c r="AE626" i="1" s="1"/>
  <c r="AB636" i="1"/>
  <c r="AE636" i="1" s="1"/>
  <c r="AC667" i="1"/>
  <c r="AC676" i="1"/>
  <c r="AB722" i="1"/>
  <c r="AE722" i="1" s="1"/>
  <c r="AB741" i="1"/>
  <c r="AE741" i="1" s="1"/>
  <c r="AB824" i="1"/>
  <c r="AE824" i="1" s="1"/>
  <c r="AC891" i="1"/>
  <c r="AB923" i="1"/>
  <c r="AE923" i="1" s="1"/>
  <c r="AB1041" i="1"/>
  <c r="AE1041" i="1" s="1"/>
  <c r="AB1050" i="1"/>
  <c r="AE1050" i="1" s="1"/>
  <c r="AB1083" i="1"/>
  <c r="AE1083" i="1" s="1"/>
  <c r="AC1121" i="1"/>
  <c r="AC1132" i="1"/>
  <c r="AC1240" i="1"/>
  <c r="AC1322" i="1"/>
  <c r="AB1334" i="1"/>
  <c r="AE1334" i="1" s="1"/>
  <c r="AC1365" i="1"/>
  <c r="AC1489" i="1"/>
  <c r="AC1513" i="1"/>
  <c r="AB1513" i="1"/>
  <c r="AE1513" i="1" s="1"/>
  <c r="AB1615" i="1"/>
  <c r="AE1615" i="1" s="1"/>
  <c r="AB1639" i="1"/>
  <c r="AE1639" i="1" s="1"/>
  <c r="AB1771" i="1"/>
  <c r="AE1771" i="1" s="1"/>
  <c r="AB1893" i="1"/>
  <c r="AE1893" i="1" s="1"/>
  <c r="AB2006" i="1"/>
  <c r="AE2006" i="1" s="1"/>
  <c r="AC2006" i="1"/>
  <c r="AC2177" i="1"/>
  <c r="AB2177" i="1"/>
  <c r="AE2177" i="1" s="1"/>
  <c r="AC2269" i="1"/>
  <c r="AB2269" i="1"/>
  <c r="AE2269" i="1" s="1"/>
  <c r="AC2281" i="1"/>
  <c r="AB2281" i="1"/>
  <c r="AE2281" i="1" s="1"/>
  <c r="AC2320" i="1"/>
  <c r="AB2320" i="1"/>
  <c r="AE2320" i="1" s="1"/>
  <c r="AB2909" i="1"/>
  <c r="AE2909" i="1" s="1"/>
  <c r="AC2909" i="1"/>
  <c r="AB2976" i="1"/>
  <c r="AE2976" i="1" s="1"/>
  <c r="AB3235" i="1"/>
  <c r="AE3235" i="1" s="1"/>
  <c r="AC3235" i="1"/>
  <c r="AC3303" i="1"/>
  <c r="AB3303" i="1"/>
  <c r="AE3303" i="1" s="1"/>
  <c r="AC3639" i="1"/>
  <c r="AB3639" i="1"/>
  <c r="AE3639" i="1" s="1"/>
  <c r="AB2105" i="1"/>
  <c r="AE2105" i="1" s="1"/>
  <c r="AC2105" i="1"/>
  <c r="AC2764" i="1"/>
  <c r="AB2764" i="1"/>
  <c r="AE2764" i="1" s="1"/>
  <c r="AB24" i="1"/>
  <c r="AE24" i="1" s="1"/>
  <c r="AC44" i="1"/>
  <c r="AB89" i="1"/>
  <c r="AE89" i="1" s="1"/>
  <c r="AB121" i="1"/>
  <c r="AE121" i="1" s="1"/>
  <c r="AC146" i="1"/>
  <c r="AB185" i="1"/>
  <c r="AE185" i="1" s="1"/>
  <c r="AB227" i="1"/>
  <c r="AE227" i="1" s="1"/>
  <c r="AC270" i="1"/>
  <c r="AB332" i="1"/>
  <c r="AE332" i="1" s="1"/>
  <c r="AB353" i="1"/>
  <c r="AE353" i="1" s="1"/>
  <c r="AC36" i="1"/>
  <c r="AB109" i="1"/>
  <c r="AE109" i="1" s="1"/>
  <c r="AB209" i="1"/>
  <c r="AE209" i="1" s="1"/>
  <c r="AC261" i="1"/>
  <c r="AB447" i="1"/>
  <c r="AE447" i="1" s="1"/>
  <c r="AC617" i="1"/>
  <c r="AB690" i="1"/>
  <c r="AE690" i="1" s="1"/>
  <c r="AB780" i="1"/>
  <c r="AE780" i="1" s="1"/>
  <c r="AB867" i="1"/>
  <c r="AE867" i="1" s="1"/>
  <c r="AB947" i="1"/>
  <c r="AE947" i="1" s="1"/>
  <c r="AB1074" i="1"/>
  <c r="AE1074" i="1" s="1"/>
  <c r="AB1104" i="1"/>
  <c r="AE1104" i="1" s="1"/>
  <c r="AC1144" i="1"/>
  <c r="AC1197" i="1"/>
  <c r="AB1219" i="1"/>
  <c r="AE1219" i="1" s="1"/>
  <c r="AC1261" i="1"/>
  <c r="AB1285" i="1"/>
  <c r="AE1285" i="1" s="1"/>
  <c r="AB1303" i="1"/>
  <c r="AE1303" i="1" s="1"/>
  <c r="AC1355" i="1"/>
  <c r="AB1392" i="1"/>
  <c r="AE1392" i="1" s="1"/>
  <c r="AB1422" i="1"/>
  <c r="AE1422" i="1" s="1"/>
  <c r="AB1456" i="1"/>
  <c r="AE1456" i="1" s="1"/>
  <c r="AC1479" i="1"/>
  <c r="AB1583" i="1"/>
  <c r="AE1583" i="1" s="1"/>
  <c r="AB1608" i="1"/>
  <c r="AE1608" i="1" s="1"/>
  <c r="AB1654" i="1"/>
  <c r="AE1654" i="1" s="1"/>
  <c r="AC1758" i="1"/>
  <c r="AB1782" i="1"/>
  <c r="AE1782" i="1" s="1"/>
  <c r="AC1846" i="1"/>
  <c r="AB1846" i="1"/>
  <c r="AE1846" i="1" s="1"/>
  <c r="AC1942" i="1"/>
  <c r="AB1942" i="1"/>
  <c r="AE1942" i="1" s="1"/>
  <c r="AB1994" i="1"/>
  <c r="AE1994" i="1" s="1"/>
  <c r="AB2020" i="1"/>
  <c r="AE2020" i="1" s="1"/>
  <c r="AC2020" i="1"/>
  <c r="AB2752" i="1"/>
  <c r="AE2752" i="1" s="1"/>
  <c r="AC2752" i="1"/>
  <c r="AC3371" i="1"/>
  <c r="AB3371" i="1"/>
  <c r="AE3371" i="1" s="1"/>
  <c r="AC1505" i="1"/>
  <c r="AB1505" i="1"/>
  <c r="AE1505" i="1" s="1"/>
  <c r="AB1655" i="1"/>
  <c r="AE1655" i="1" s="1"/>
  <c r="AC1655" i="1"/>
  <c r="AC1667" i="1"/>
  <c r="AB1796" i="1"/>
  <c r="AE1796" i="1" s="1"/>
  <c r="AC1796" i="1"/>
  <c r="AC1810" i="1"/>
  <c r="AC1934" i="1"/>
  <c r="AB1934" i="1"/>
  <c r="AE1934" i="1" s="1"/>
  <c r="AC2007" i="1"/>
  <c r="AB2307" i="1"/>
  <c r="AE2307" i="1" s="1"/>
  <c r="AC2648" i="1"/>
  <c r="AC3115" i="1"/>
  <c r="AB3115" i="1"/>
  <c r="AE3115" i="1" s="1"/>
  <c r="AB3223" i="1"/>
  <c r="AE3223" i="1" s="1"/>
  <c r="AC3359" i="1"/>
  <c r="AB3439" i="1"/>
  <c r="AE3439" i="1" s="1"/>
  <c r="AC3439" i="1"/>
  <c r="AC3627" i="1"/>
  <c r="AC3727" i="1"/>
  <c r="AB3727" i="1"/>
  <c r="AE3727" i="1" s="1"/>
  <c r="AC26" i="1"/>
  <c r="AB37" i="1"/>
  <c r="AE37" i="1" s="1"/>
  <c r="AC46" i="1"/>
  <c r="AC90" i="1"/>
  <c r="AC187" i="1"/>
  <c r="AB199" i="1"/>
  <c r="AE199" i="1" s="1"/>
  <c r="AB220" i="1"/>
  <c r="AE220" i="1" s="1"/>
  <c r="AB240" i="1"/>
  <c r="AE240" i="1" s="1"/>
  <c r="AC262" i="1"/>
  <c r="AB293" i="1"/>
  <c r="AE293" i="1" s="1"/>
  <c r="AB324" i="1"/>
  <c r="AE324" i="1" s="1"/>
  <c r="AB354" i="1"/>
  <c r="AE354" i="1" s="1"/>
  <c r="AB386" i="1"/>
  <c r="AE386" i="1" s="1"/>
  <c r="AB408" i="1"/>
  <c r="AE408" i="1" s="1"/>
  <c r="AB428" i="1"/>
  <c r="AE428" i="1" s="1"/>
  <c r="AC554" i="1"/>
  <c r="AC596" i="1"/>
  <c r="AC618" i="1"/>
  <c r="AC805" i="1"/>
  <c r="AC815" i="1"/>
  <c r="AB825" i="1"/>
  <c r="AE825" i="1" s="1"/>
  <c r="AB971" i="1"/>
  <c r="AE971" i="1" s="1"/>
  <c r="AB1064" i="1"/>
  <c r="AE1064" i="1" s="1"/>
  <c r="AC1165" i="1"/>
  <c r="AB1253" i="1"/>
  <c r="AE1253" i="1" s="1"/>
  <c r="AB1286" i="1"/>
  <c r="AE1286" i="1" s="1"/>
  <c r="AC1304" i="1"/>
  <c r="AB1349" i="1"/>
  <c r="AE1349" i="1" s="1"/>
  <c r="AB1356" i="1"/>
  <c r="AE1356" i="1" s="1"/>
  <c r="AB1393" i="1"/>
  <c r="AE1393" i="1" s="1"/>
  <c r="AB1404" i="1"/>
  <c r="AE1404" i="1" s="1"/>
  <c r="AC1445" i="1"/>
  <c r="AB1470" i="1"/>
  <c r="AE1470" i="1" s="1"/>
  <c r="AC1695" i="1"/>
  <c r="AB1695" i="1"/>
  <c r="AE1695" i="1" s="1"/>
  <c r="AC1935" i="1"/>
  <c r="AB1935" i="1"/>
  <c r="AE1935" i="1" s="1"/>
  <c r="AB2008" i="1"/>
  <c r="AE2008" i="1" s="1"/>
  <c r="AC2008" i="1"/>
  <c r="AC2333" i="1"/>
  <c r="AB2333" i="1"/>
  <c r="AE2333" i="1" s="1"/>
  <c r="AC2517" i="1"/>
  <c r="AB2517" i="1"/>
  <c r="AE2517" i="1" s="1"/>
  <c r="AC3681" i="1"/>
  <c r="AB3681" i="1"/>
  <c r="AE3681" i="1" s="1"/>
  <c r="AC1054" i="1"/>
  <c r="AB1054" i="1"/>
  <c r="AE1054" i="1" s="1"/>
  <c r="AC1471" i="1"/>
  <c r="AB1471" i="1"/>
  <c r="AE1471" i="1" s="1"/>
  <c r="AB1668" i="1"/>
  <c r="AE1668" i="1" s="1"/>
  <c r="AC1683" i="1"/>
  <c r="AB1683" i="1"/>
  <c r="AE1683" i="1" s="1"/>
  <c r="AB1708" i="1"/>
  <c r="AE1708" i="1" s="1"/>
  <c r="AC1708" i="1"/>
  <c r="AB1751" i="1"/>
  <c r="AE1751" i="1" s="1"/>
  <c r="AC1896" i="1"/>
  <c r="AC1909" i="1"/>
  <c r="AB1909" i="1"/>
  <c r="AE1909" i="1" s="1"/>
  <c r="AC1958" i="1"/>
  <c r="AC1984" i="1"/>
  <c r="AC2023" i="1"/>
  <c r="AB2023" i="1"/>
  <c r="AE2023" i="1" s="1"/>
  <c r="AB2239" i="1"/>
  <c r="AE2239" i="1" s="1"/>
  <c r="AB2637" i="1"/>
  <c r="AE2637" i="1" s="1"/>
  <c r="AC2637" i="1"/>
  <c r="AC2821" i="1"/>
  <c r="AB2821" i="1"/>
  <c r="AE2821" i="1" s="1"/>
  <c r="AC3426" i="1"/>
  <c r="AB3426" i="1"/>
  <c r="AE3426" i="1" s="1"/>
  <c r="AB1447" i="1"/>
  <c r="AE1447" i="1" s="1"/>
  <c r="AC1447" i="1"/>
  <c r="AB1897" i="1"/>
  <c r="AE1897" i="1" s="1"/>
  <c r="AC1897" i="1"/>
  <c r="AC1945" i="1"/>
  <c r="AB1998" i="1"/>
  <c r="AE1998" i="1" s="1"/>
  <c r="AC1998" i="1"/>
  <c r="AC2073" i="1"/>
  <c r="AB2073" i="1"/>
  <c r="AE2073" i="1" s="1"/>
  <c r="AB2152" i="1"/>
  <c r="AE2152" i="1" s="1"/>
  <c r="AC2152" i="1"/>
  <c r="AC2505" i="1"/>
  <c r="AB2505" i="1"/>
  <c r="AE2505" i="1" s="1"/>
  <c r="AC2807" i="1"/>
  <c r="AC2195" i="1"/>
  <c r="AC2305" i="1"/>
  <c r="AC2623" i="1"/>
  <c r="AC2682" i="1"/>
  <c r="AC2704" i="1"/>
  <c r="AB2851" i="1"/>
  <c r="AE2851" i="1" s="1"/>
  <c r="AC2941" i="1"/>
  <c r="AC2955" i="1"/>
  <c r="AC3009" i="1"/>
  <c r="AC3066" i="1"/>
  <c r="AB3113" i="1"/>
  <c r="AE3113" i="1" s="1"/>
  <c r="AB3138" i="1"/>
  <c r="AE3138" i="1" s="1"/>
  <c r="AC3149" i="1"/>
  <c r="AB3255" i="1"/>
  <c r="AE3255" i="1" s="1"/>
  <c r="AB3335" i="1"/>
  <c r="AE3335" i="1" s="1"/>
  <c r="AB3369" i="1"/>
  <c r="AE3369" i="1" s="1"/>
  <c r="AC3747" i="1"/>
  <c r="AB2899" i="1"/>
  <c r="AE2899" i="1" s="1"/>
  <c r="AC2921" i="1"/>
  <c r="AB2969" i="1"/>
  <c r="AE2969" i="1" s="1"/>
  <c r="AC2989" i="1"/>
  <c r="AB3002" i="1"/>
  <c r="AE3002" i="1" s="1"/>
  <c r="AB3069" i="1"/>
  <c r="AE3069" i="1" s="1"/>
  <c r="AC3082" i="1"/>
  <c r="AB3104" i="1"/>
  <c r="AE3104" i="1" s="1"/>
  <c r="AB3152" i="1"/>
  <c r="AE3152" i="1" s="1"/>
  <c r="AC3189" i="1"/>
  <c r="AC3213" i="1"/>
  <c r="AC3327" i="1"/>
  <c r="AC3391" i="1"/>
  <c r="AC3508" i="1"/>
  <c r="AB3520" i="1"/>
  <c r="AE3520" i="1" s="1"/>
  <c r="AC3691" i="1"/>
  <c r="AB3719" i="1"/>
  <c r="AE3719" i="1" s="1"/>
  <c r="AB3751" i="1"/>
  <c r="AE3751" i="1" s="1"/>
  <c r="AB2049" i="1"/>
  <c r="AE2049" i="1" s="1"/>
  <c r="AB2061" i="1"/>
  <c r="AE2061" i="1" s="1"/>
  <c r="AC2092" i="1"/>
  <c r="AB2104" i="1"/>
  <c r="AE2104" i="1" s="1"/>
  <c r="AC2115" i="1"/>
  <c r="AC2142" i="1"/>
  <c r="AB2153" i="1"/>
  <c r="AE2153" i="1" s="1"/>
  <c r="AB2165" i="1"/>
  <c r="AE2165" i="1" s="1"/>
  <c r="AC2241" i="1"/>
  <c r="AB2353" i="1"/>
  <c r="AE2353" i="1" s="1"/>
  <c r="AB2363" i="1"/>
  <c r="AE2363" i="1" s="1"/>
  <c r="AC2411" i="1"/>
  <c r="AB2495" i="1"/>
  <c r="AE2495" i="1" s="1"/>
  <c r="AC2543" i="1"/>
  <c r="AC2555" i="1"/>
  <c r="AB2604" i="1"/>
  <c r="AE2604" i="1" s="1"/>
  <c r="AB2742" i="1"/>
  <c r="AE2742" i="1" s="1"/>
  <c r="AC2810" i="1"/>
  <c r="AB2822" i="1"/>
  <c r="AE2822" i="1" s="1"/>
  <c r="AB2900" i="1"/>
  <c r="AE2900" i="1" s="1"/>
  <c r="AC2958" i="1"/>
  <c r="AC2970" i="1"/>
  <c r="AB3048" i="1"/>
  <c r="AE3048" i="1" s="1"/>
  <c r="AB3131" i="1"/>
  <c r="AE3131" i="1" s="1"/>
  <c r="AB3178" i="1"/>
  <c r="AE3178" i="1" s="1"/>
  <c r="AC3203" i="1"/>
  <c r="AC3248" i="1"/>
  <c r="AB3271" i="1"/>
  <c r="AE3271" i="1" s="1"/>
  <c r="AB3281" i="1"/>
  <c r="AE3281" i="1" s="1"/>
  <c r="AC3304" i="1"/>
  <c r="AC3406" i="1"/>
  <c r="AB3441" i="1"/>
  <c r="AE3441" i="1" s="1"/>
  <c r="AB3463" i="1"/>
  <c r="AE3463" i="1" s="1"/>
  <c r="AC3544" i="1"/>
  <c r="AB3569" i="1"/>
  <c r="AE3569" i="1" s="1"/>
  <c r="AB3631" i="1"/>
  <c r="AE3631" i="1" s="1"/>
  <c r="AB3641" i="1"/>
  <c r="AE3641" i="1" s="1"/>
  <c r="AC3672" i="1"/>
  <c r="AC3720" i="1"/>
  <c r="AC2475" i="1"/>
  <c r="AC2496" i="1"/>
  <c r="AB2508" i="1"/>
  <c r="AE2508" i="1" s="1"/>
  <c r="AC2592" i="1"/>
  <c r="AB2701" i="1"/>
  <c r="AE2701" i="1" s="1"/>
  <c r="AB2744" i="1"/>
  <c r="AE2744" i="1" s="1"/>
  <c r="AB2780" i="1"/>
  <c r="AE2780" i="1" s="1"/>
  <c r="AC2812" i="1"/>
  <c r="AC2846" i="1"/>
  <c r="AB2880" i="1"/>
  <c r="AE2880" i="1" s="1"/>
  <c r="AB2914" i="1"/>
  <c r="AE2914" i="1" s="1"/>
  <c r="AB2924" i="1"/>
  <c r="AE2924" i="1" s="1"/>
  <c r="AB2981" i="1"/>
  <c r="AE2981" i="1" s="1"/>
  <c r="AB3015" i="1"/>
  <c r="AE3015" i="1" s="1"/>
  <c r="AB3027" i="1"/>
  <c r="AE3027" i="1" s="1"/>
  <c r="AC3049" i="1"/>
  <c r="AB3096" i="1"/>
  <c r="AE3096" i="1" s="1"/>
  <c r="AC3168" i="1"/>
  <c r="AC3180" i="1"/>
  <c r="AC3272" i="1"/>
  <c r="AB3319" i="1"/>
  <c r="AE3319" i="1" s="1"/>
  <c r="AB3331" i="1"/>
  <c r="AE3331" i="1" s="1"/>
  <c r="AB3375" i="1"/>
  <c r="AE3375" i="1" s="1"/>
  <c r="AB3502" i="1"/>
  <c r="AE3502" i="1" s="1"/>
  <c r="AC3512" i="1"/>
  <c r="AB3571" i="1"/>
  <c r="AE3571" i="1" s="1"/>
  <c r="AB3654" i="1"/>
  <c r="AE3654" i="1" s="1"/>
  <c r="AB3663" i="1"/>
  <c r="AE3663" i="1" s="1"/>
  <c r="AB3695" i="1"/>
  <c r="AE3695" i="1" s="1"/>
  <c r="AB3703" i="1"/>
  <c r="AE3703" i="1" s="1"/>
  <c r="AB3721" i="1"/>
  <c r="AE3721" i="1" s="1"/>
  <c r="AC3685" i="1"/>
  <c r="AB3731" i="1"/>
  <c r="AE3731" i="1" s="1"/>
  <c r="AC3743" i="1"/>
  <c r="AC2063" i="1"/>
  <c r="AC2233" i="1"/>
  <c r="AB2255" i="1"/>
  <c r="AE2255" i="1" s="1"/>
  <c r="AC2302" i="1"/>
  <c r="AB2346" i="1"/>
  <c r="AE2346" i="1" s="1"/>
  <c r="AB2463" i="1"/>
  <c r="AE2463" i="1" s="1"/>
  <c r="AC2734" i="1"/>
  <c r="AC2768" i="1"/>
  <c r="AC2826" i="1"/>
  <c r="AC2937" i="1"/>
  <c r="AC2995" i="1"/>
  <c r="AC3040" i="1"/>
  <c r="AB3241" i="1"/>
  <c r="AE3241" i="1" s="1"/>
  <c r="AB3343" i="1"/>
  <c r="AE3343" i="1" s="1"/>
  <c r="AB3409" i="1"/>
  <c r="AE3409" i="1" s="1"/>
  <c r="AC3445" i="1"/>
  <c r="AB3466" i="1"/>
  <c r="AE3466" i="1" s="1"/>
  <c r="AB2032" i="1"/>
  <c r="AE2032" i="1" s="1"/>
  <c r="AB2256" i="1"/>
  <c r="AE2256" i="1" s="1"/>
  <c r="AC2292" i="1"/>
  <c r="AB2335" i="1"/>
  <c r="AE2335" i="1" s="1"/>
  <c r="AB2358" i="1"/>
  <c r="AE2358" i="1" s="1"/>
  <c r="AB2393" i="1"/>
  <c r="AE2393" i="1" s="1"/>
  <c r="AB2426" i="1"/>
  <c r="AE2426" i="1" s="1"/>
  <c r="AC2452" i="1"/>
  <c r="AC2488" i="1"/>
  <c r="AB2499" i="1"/>
  <c r="AE2499" i="1" s="1"/>
  <c r="AB2523" i="1"/>
  <c r="AE2523" i="1" s="1"/>
  <c r="AC2622" i="1"/>
  <c r="AC2681" i="1"/>
  <c r="AB2703" i="1"/>
  <c r="AE2703" i="1" s="1"/>
  <c r="AC2849" i="1"/>
  <c r="AC2906" i="1"/>
  <c r="AB2964" i="1"/>
  <c r="AE2964" i="1" s="1"/>
  <c r="AB2996" i="1"/>
  <c r="AE2996" i="1" s="1"/>
  <c r="AB3136" i="1"/>
  <c r="AE3136" i="1" s="1"/>
  <c r="AB3275" i="1"/>
  <c r="AE3275" i="1" s="1"/>
  <c r="AC3286" i="1"/>
  <c r="AC3422" i="1"/>
  <c r="AB3434" i="1"/>
  <c r="AE3434" i="1" s="1"/>
  <c r="AC3480" i="1"/>
  <c r="AC3492" i="1"/>
  <c r="AB3504" i="1"/>
  <c r="AE3504" i="1" s="1"/>
  <c r="AB3515" i="1"/>
  <c r="AE3515" i="1" s="1"/>
  <c r="AC3573" i="1"/>
  <c r="AB3587" i="1"/>
  <c r="AE3587" i="1" s="1"/>
  <c r="AC3624" i="1"/>
  <c r="AB3646" i="1"/>
  <c r="AE3646" i="1" s="1"/>
  <c r="AB3705" i="1"/>
  <c r="AE3705" i="1" s="1"/>
  <c r="AC3678" i="1"/>
  <c r="AC3687" i="1"/>
  <c r="AB3697" i="1"/>
  <c r="AE3697" i="1" s="1"/>
  <c r="AB3746" i="1"/>
  <c r="AE3746" i="1" s="1"/>
  <c r="AB1789" i="1"/>
  <c r="AE1789" i="1" s="1"/>
  <c r="AC1813" i="1"/>
  <c r="AC1879" i="1"/>
  <c r="AB1991" i="1"/>
  <c r="AE1991" i="1" s="1"/>
  <c r="AB2033" i="1"/>
  <c r="AE2033" i="1" s="1"/>
  <c r="AC2076" i="1"/>
  <c r="AC2161" i="1"/>
  <c r="AB2215" i="1"/>
  <c r="AE2215" i="1" s="1"/>
  <c r="AC2236" i="1"/>
  <c r="AC2257" i="1"/>
  <c r="AB2275" i="1"/>
  <c r="AE2275" i="1" s="1"/>
  <c r="AC2293" i="1"/>
  <c r="AC2369" i="1"/>
  <c r="AB2407" i="1"/>
  <c r="AE2407" i="1" s="1"/>
  <c r="AC2440" i="1"/>
  <c r="AB2466" i="1"/>
  <c r="AE2466" i="1" s="1"/>
  <c r="AB2524" i="1"/>
  <c r="AE2524" i="1" s="1"/>
  <c r="AC2670" i="1"/>
  <c r="AB2760" i="1"/>
  <c r="AE2760" i="1" s="1"/>
  <c r="AC2783" i="1"/>
  <c r="AC2974" i="1"/>
  <c r="AC2986" i="1"/>
  <c r="AB3020" i="1"/>
  <c r="AE3020" i="1" s="1"/>
  <c r="AC3032" i="1"/>
  <c r="AC3159" i="1"/>
  <c r="AC3276" i="1"/>
  <c r="AC3300" i="1"/>
  <c r="AB3378" i="1"/>
  <c r="AE3378" i="1" s="1"/>
  <c r="AC3400" i="1"/>
  <c r="AC3423" i="1"/>
  <c r="AB3481" i="1"/>
  <c r="AE3481" i="1" s="1"/>
  <c r="AC3516" i="1"/>
  <c r="AC3563" i="1"/>
  <c r="AB3574" i="1"/>
  <c r="AE3574" i="1" s="1"/>
  <c r="AB3706" i="1"/>
  <c r="AE3706" i="1" s="1"/>
  <c r="AC3734" i="1"/>
  <c r="AB9" i="1"/>
  <c r="AE9" i="1" s="1"/>
  <c r="AC19" i="1"/>
  <c r="AB19" i="1"/>
  <c r="AE19" i="1" s="1"/>
  <c r="AB50" i="1"/>
  <c r="AE50" i="1" s="1"/>
  <c r="AC68" i="1"/>
  <c r="AB97" i="1"/>
  <c r="AE97" i="1" s="1"/>
  <c r="AC168" i="1"/>
  <c r="AB176" i="1"/>
  <c r="AE176" i="1" s="1"/>
  <c r="AC213" i="1"/>
  <c r="AC247" i="1"/>
  <c r="AB301" i="1"/>
  <c r="AE301" i="1" s="1"/>
  <c r="AC370" i="1"/>
  <c r="AB370" i="1"/>
  <c r="AE370" i="1" s="1"/>
  <c r="AB418" i="1"/>
  <c r="AE418" i="1" s="1"/>
  <c r="AC456" i="1"/>
  <c r="AB485" i="1"/>
  <c r="AE485" i="1" s="1"/>
  <c r="AC513" i="1"/>
  <c r="AB513" i="1"/>
  <c r="AE513" i="1" s="1"/>
  <c r="AB560" i="1"/>
  <c r="AE560" i="1" s="1"/>
  <c r="AB587" i="1"/>
  <c r="AE587" i="1" s="1"/>
  <c r="AB653" i="1"/>
  <c r="AE653" i="1" s="1"/>
  <c r="AC653" i="1"/>
  <c r="AC681" i="1"/>
  <c r="AC692" i="1"/>
  <c r="AB712" i="1"/>
  <c r="AE712" i="1" s="1"/>
  <c r="AC757" i="1"/>
  <c r="AC888" i="1"/>
  <c r="AC973" i="1"/>
  <c r="AB973" i="1"/>
  <c r="AE973" i="1" s="1"/>
  <c r="AC1428" i="1"/>
  <c r="AB1428" i="1"/>
  <c r="AE1428" i="1" s="1"/>
  <c r="AB135" i="1"/>
  <c r="AE135" i="1" s="1"/>
  <c r="AC135" i="1"/>
  <c r="AB284" i="1"/>
  <c r="AE284" i="1" s="1"/>
  <c r="AC284" i="1"/>
  <c r="AB311" i="1"/>
  <c r="AE311" i="1" s="1"/>
  <c r="AC399" i="1"/>
  <c r="AB399" i="1"/>
  <c r="AE399" i="1" s="1"/>
  <c r="AC523" i="1"/>
  <c r="AB523" i="1"/>
  <c r="AE523" i="1" s="1"/>
  <c r="AB542" i="1"/>
  <c r="AE542" i="1" s="1"/>
  <c r="AC542" i="1"/>
  <c r="AB776" i="1"/>
  <c r="AE776" i="1" s="1"/>
  <c r="AB816" i="1"/>
  <c r="AE816" i="1" s="1"/>
  <c r="AC816" i="1"/>
  <c r="AB999" i="1"/>
  <c r="AE999" i="1" s="1"/>
  <c r="AC1222" i="1"/>
  <c r="AB1222" i="1"/>
  <c r="AE1222" i="1" s="1"/>
  <c r="AC1411" i="1"/>
  <c r="AC1419" i="1"/>
  <c r="AB1506" i="1"/>
  <c r="AE1506" i="1" s="1"/>
  <c r="AC1506" i="1"/>
  <c r="AB29" i="1"/>
  <c r="AE29" i="1" s="1"/>
  <c r="AC29" i="1"/>
  <c r="AB161" i="1"/>
  <c r="AE161" i="1" s="1"/>
  <c r="AC161" i="1"/>
  <c r="AB504" i="1"/>
  <c r="AE504" i="1" s="1"/>
  <c r="AC504" i="1"/>
  <c r="AB543" i="1"/>
  <c r="AE543" i="1" s="1"/>
  <c r="AC543" i="1"/>
  <c r="AC665" i="1"/>
  <c r="AB665" i="1"/>
  <c r="AE665" i="1" s="1"/>
  <c r="AB724" i="1"/>
  <c r="AE724" i="1" s="1"/>
  <c r="AC724" i="1"/>
  <c r="AB1029" i="1"/>
  <c r="AE1029" i="1" s="1"/>
  <c r="AC1029" i="1"/>
  <c r="AB1223" i="1"/>
  <c r="AE1223" i="1" s="1"/>
  <c r="AC1223" i="1"/>
  <c r="AB51" i="1"/>
  <c r="AE51" i="1" s="1"/>
  <c r="AB70" i="1"/>
  <c r="AE70" i="1" s="1"/>
  <c r="AB117" i="1"/>
  <c r="AE117" i="1" s="1"/>
  <c r="AB136" i="1"/>
  <c r="AE136" i="1" s="1"/>
  <c r="AB153" i="1"/>
  <c r="AE153" i="1" s="1"/>
  <c r="AC186" i="1"/>
  <c r="AC196" i="1"/>
  <c r="AB231" i="1"/>
  <c r="AE231" i="1" s="1"/>
  <c r="AC249" i="1"/>
  <c r="AB268" i="1"/>
  <c r="AE268" i="1" s="1"/>
  <c r="AC285" i="1"/>
  <c r="AC372" i="1"/>
  <c r="AB382" i="1"/>
  <c r="AE382" i="1" s="1"/>
  <c r="AC382" i="1"/>
  <c r="AB400" i="1"/>
  <c r="AE400" i="1" s="1"/>
  <c r="AB495" i="1"/>
  <c r="AE495" i="1" s="1"/>
  <c r="AC505" i="1"/>
  <c r="AB505" i="1"/>
  <c r="AE505" i="1" s="1"/>
  <c r="AB524" i="1"/>
  <c r="AE524" i="1" s="1"/>
  <c r="AB534" i="1"/>
  <c r="AE534" i="1" s="1"/>
  <c r="AC534" i="1"/>
  <c r="AB553" i="1"/>
  <c r="AE553" i="1" s="1"/>
  <c r="AC647" i="1"/>
  <c r="AB674" i="1"/>
  <c r="AE674" i="1" s="1"/>
  <c r="AC683" i="1"/>
  <c r="AC777" i="1"/>
  <c r="AC788" i="1"/>
  <c r="AB788" i="1"/>
  <c r="AE788" i="1" s="1"/>
  <c r="AB817" i="1"/>
  <c r="AE817" i="1" s="1"/>
  <c r="AC910" i="1"/>
  <c r="AC1000" i="1"/>
  <c r="AB1020" i="1"/>
  <c r="AE1020" i="1" s="1"/>
  <c r="AC1139" i="1"/>
  <c r="AB1139" i="1"/>
  <c r="AE1139" i="1" s="1"/>
  <c r="AB383" i="1"/>
  <c r="AE383" i="1" s="1"/>
  <c r="AC383" i="1"/>
  <c r="AB392" i="1"/>
  <c r="AE392" i="1" s="1"/>
  <c r="AC392" i="1"/>
  <c r="AC789" i="1"/>
  <c r="AB789" i="1"/>
  <c r="AE789" i="1" s="1"/>
  <c r="AB1021" i="1"/>
  <c r="AE1021" i="1" s="1"/>
  <c r="AC1021" i="1"/>
  <c r="AC1061" i="1"/>
  <c r="AB1061" i="1"/>
  <c r="AE1061" i="1" s="1"/>
  <c r="AC1495" i="1"/>
  <c r="AC3" i="1"/>
  <c r="AB3" i="1"/>
  <c r="AE3" i="1" s="1"/>
  <c r="AB695" i="1"/>
  <c r="AE695" i="1" s="1"/>
  <c r="AB759" i="1"/>
  <c r="AE759" i="1" s="1"/>
  <c r="AB827" i="1"/>
  <c r="AE827" i="1" s="1"/>
  <c r="AC827" i="1"/>
  <c r="AC964" i="1"/>
  <c r="AB964" i="1"/>
  <c r="AE964" i="1" s="1"/>
  <c r="AB990" i="1"/>
  <c r="AE990" i="1" s="1"/>
  <c r="AC1022" i="1"/>
  <c r="AB1022" i="1"/>
  <c r="AE1022" i="1" s="1"/>
  <c r="AB1141" i="1"/>
  <c r="AE1141" i="1" s="1"/>
  <c r="AC1141" i="1"/>
  <c r="AB1203" i="1"/>
  <c r="AE1203" i="1" s="1"/>
  <c r="AC1203" i="1"/>
  <c r="AB12" i="1"/>
  <c r="AE12" i="1" s="1"/>
  <c r="AC22" i="1"/>
  <c r="AB31" i="1"/>
  <c r="AE31" i="1" s="1"/>
  <c r="AC45" i="1"/>
  <c r="AB62" i="1"/>
  <c r="AE62" i="1" s="1"/>
  <c r="AC62" i="1"/>
  <c r="AB72" i="1"/>
  <c r="AE72" i="1" s="1"/>
  <c r="AC72" i="1"/>
  <c r="AB99" i="1"/>
  <c r="AE99" i="1" s="1"/>
  <c r="AB108" i="1"/>
  <c r="AE108" i="1" s="1"/>
  <c r="AB163" i="1"/>
  <c r="AE163" i="1" s="1"/>
  <c r="AC198" i="1"/>
  <c r="AB207" i="1"/>
  <c r="AE207" i="1" s="1"/>
  <c r="AB224" i="1"/>
  <c r="AE224" i="1" s="1"/>
  <c r="AB279" i="1"/>
  <c r="AE279" i="1" s="1"/>
  <c r="AB287" i="1"/>
  <c r="AE287" i="1" s="1"/>
  <c r="AB295" i="1"/>
  <c r="AE295" i="1" s="1"/>
  <c r="AB331" i="1"/>
  <c r="AE331" i="1" s="1"/>
  <c r="AC331" i="1"/>
  <c r="AB375" i="1"/>
  <c r="AE375" i="1" s="1"/>
  <c r="AC375" i="1"/>
  <c r="AB430" i="1"/>
  <c r="AE430" i="1" s="1"/>
  <c r="AC430" i="1"/>
  <c r="AB459" i="1"/>
  <c r="AE459" i="1" s="1"/>
  <c r="AB470" i="1"/>
  <c r="AE470" i="1" s="1"/>
  <c r="AC479" i="1"/>
  <c r="AB516" i="1"/>
  <c r="AE516" i="1" s="1"/>
  <c r="AC525" i="1"/>
  <c r="AB546" i="1"/>
  <c r="AE546" i="1" s="1"/>
  <c r="AC612" i="1"/>
  <c r="AB620" i="1"/>
  <c r="AE620" i="1" s="1"/>
  <c r="AB639" i="1"/>
  <c r="AE639" i="1" s="1"/>
  <c r="AC639" i="1"/>
  <c r="AC706" i="1"/>
  <c r="AB706" i="1"/>
  <c r="AE706" i="1" s="1"/>
  <c r="AC880" i="1"/>
  <c r="AB880" i="1"/>
  <c r="AE880" i="1" s="1"/>
  <c r="AC892" i="1"/>
  <c r="AB892" i="1"/>
  <c r="AE892" i="1" s="1"/>
  <c r="AC1052" i="1"/>
  <c r="AB1052" i="1"/>
  <c r="AE1052" i="1" s="1"/>
  <c r="AC1120" i="1"/>
  <c r="AB1120" i="1"/>
  <c r="AE1120" i="1" s="1"/>
  <c r="AB1204" i="1"/>
  <c r="AE1204" i="1" s="1"/>
  <c r="AC1204" i="1"/>
  <c r="AC4" i="1"/>
  <c r="AB82" i="1"/>
  <c r="AE82" i="1" s="1"/>
  <c r="AC128" i="1"/>
  <c r="AC171" i="1"/>
  <c r="AB251" i="1"/>
  <c r="AE251" i="1" s="1"/>
  <c r="AC305" i="1"/>
  <c r="AB376" i="1"/>
  <c r="AE376" i="1" s="1"/>
  <c r="AC376" i="1"/>
  <c r="AB460" i="1"/>
  <c r="AE460" i="1" s="1"/>
  <c r="AC460" i="1"/>
  <c r="AC497" i="1"/>
  <c r="AB497" i="1"/>
  <c r="AE497" i="1" s="1"/>
  <c r="AC507" i="1"/>
  <c r="AB555" i="1"/>
  <c r="AE555" i="1" s="1"/>
  <c r="AC630" i="1"/>
  <c r="AC640" i="1"/>
  <c r="AB640" i="1"/>
  <c r="AE640" i="1" s="1"/>
  <c r="AB658" i="1"/>
  <c r="AE658" i="1" s="1"/>
  <c r="AC696" i="1"/>
  <c r="AC760" i="1"/>
  <c r="AC828" i="1"/>
  <c r="AC859" i="1"/>
  <c r="AB945" i="1"/>
  <c r="AE945" i="1" s="1"/>
  <c r="AC991" i="1"/>
  <c r="AC1194" i="1"/>
  <c r="AC1205" i="1"/>
  <c r="AB1205" i="1"/>
  <c r="AE1205" i="1" s="1"/>
  <c r="AB1381" i="1"/>
  <c r="AE1381" i="1" s="1"/>
  <c r="AC1381" i="1"/>
  <c r="AB1485" i="1"/>
  <c r="AE1485" i="1" s="1"/>
  <c r="AC1485" i="1"/>
  <c r="AB394" i="1"/>
  <c r="AE394" i="1" s="1"/>
  <c r="AC394" i="1"/>
  <c r="AC850" i="1"/>
  <c r="AB850" i="1"/>
  <c r="AE850" i="1" s="1"/>
  <c r="AC1279" i="1"/>
  <c r="AB1279" i="1"/>
  <c r="AE1279" i="1" s="1"/>
  <c r="AB1466" i="1"/>
  <c r="AE1466" i="1" s="1"/>
  <c r="AC1466" i="1"/>
  <c r="AB172" i="1"/>
  <c r="AE172" i="1" s="1"/>
  <c r="AC172" i="1"/>
  <c r="AC14" i="1"/>
  <c r="AB32" i="1"/>
  <c r="AE32" i="1" s="1"/>
  <c r="AC120" i="1"/>
  <c r="AB129" i="1"/>
  <c r="AE129" i="1" s="1"/>
  <c r="AB139" i="1"/>
  <c r="AE139" i="1" s="1"/>
  <c r="AB148" i="1"/>
  <c r="AE148" i="1" s="1"/>
  <c r="AC157" i="1"/>
  <c r="AC244" i="1"/>
  <c r="AB342" i="1"/>
  <c r="AE342" i="1" s="1"/>
  <c r="AB377" i="1"/>
  <c r="AE377" i="1" s="1"/>
  <c r="AB461" i="1"/>
  <c r="AE461" i="1" s="1"/>
  <c r="AB471" i="1"/>
  <c r="AE471" i="1" s="1"/>
  <c r="AB490" i="1"/>
  <c r="AE490" i="1" s="1"/>
  <c r="AC490" i="1"/>
  <c r="AB498" i="1"/>
  <c r="AE498" i="1" s="1"/>
  <c r="AB508" i="1"/>
  <c r="AE508" i="1" s="1"/>
  <c r="AB517" i="1"/>
  <c r="AE517" i="1" s="1"/>
  <c r="AB537" i="1"/>
  <c r="AE537" i="1" s="1"/>
  <c r="AB556" i="1"/>
  <c r="AE556" i="1" s="1"/>
  <c r="AB603" i="1"/>
  <c r="AE603" i="1" s="1"/>
  <c r="AC621" i="1"/>
  <c r="AB632" i="1"/>
  <c r="AE632" i="1" s="1"/>
  <c r="AC632" i="1"/>
  <c r="AB687" i="1"/>
  <c r="AE687" i="1" s="1"/>
  <c r="AC687" i="1"/>
  <c r="AB737" i="1"/>
  <c r="AE737" i="1" s="1"/>
  <c r="AC810" i="1"/>
  <c r="AB871" i="1"/>
  <c r="AE871" i="1" s="1"/>
  <c r="AC871" i="1"/>
  <c r="AC894" i="1"/>
  <c r="AB1014" i="1"/>
  <c r="AE1014" i="1" s="1"/>
  <c r="AC1014" i="1"/>
  <c r="AB1113" i="1"/>
  <c r="AE1113" i="1" s="1"/>
  <c r="AC1113" i="1"/>
  <c r="AC1369" i="1"/>
  <c r="AB1369" i="1"/>
  <c r="AE1369" i="1" s="1"/>
  <c r="AB481" i="1"/>
  <c r="AE481" i="1" s="1"/>
  <c r="AC481" i="1"/>
  <c r="AC491" i="1"/>
  <c r="AB491" i="1"/>
  <c r="AE491" i="1" s="1"/>
  <c r="AC528" i="1"/>
  <c r="AB528" i="1"/>
  <c r="AE528" i="1" s="1"/>
  <c r="AC650" i="1"/>
  <c r="AB650" i="1"/>
  <c r="AE650" i="1" s="1"/>
  <c r="AC803" i="1"/>
  <c r="AB803" i="1"/>
  <c r="AE803" i="1" s="1"/>
  <c r="AB1015" i="1"/>
  <c r="AE1015" i="1" s="1"/>
  <c r="AC1015" i="1"/>
  <c r="AC1114" i="1"/>
  <c r="AB1114" i="1"/>
  <c r="AE1114" i="1" s="1"/>
  <c r="AB1259" i="1"/>
  <c r="AE1259" i="1" s="1"/>
  <c r="AC1259" i="1"/>
  <c r="AC7" i="1"/>
  <c r="AC15" i="1"/>
  <c r="AB40" i="1"/>
  <c r="AE40" i="1" s="1"/>
  <c r="AC65" i="1"/>
  <c r="AB74" i="1"/>
  <c r="AE74" i="1" s="1"/>
  <c r="AB111" i="1"/>
  <c r="AE111" i="1" s="1"/>
  <c r="AC111" i="1"/>
  <c r="AB174" i="1"/>
  <c r="AE174" i="1" s="1"/>
  <c r="AC174" i="1"/>
  <c r="AB263" i="1"/>
  <c r="AE263" i="1" s="1"/>
  <c r="AC263" i="1"/>
  <c r="AB623" i="1"/>
  <c r="AE623" i="1" s="1"/>
  <c r="AC623" i="1"/>
  <c r="AB885" i="1"/>
  <c r="AE885" i="1" s="1"/>
  <c r="AC885" i="1"/>
  <c r="AC905" i="1"/>
  <c r="AB905" i="1"/>
  <c r="AE905" i="1" s="1"/>
  <c r="AB1186" i="1"/>
  <c r="AE1186" i="1" s="1"/>
  <c r="AC1186" i="1"/>
  <c r="AB25" i="1"/>
  <c r="AE25" i="1" s="1"/>
  <c r="AC33" i="1"/>
  <c r="AB48" i="1"/>
  <c r="AE48" i="1" s="1"/>
  <c r="AC57" i="1"/>
  <c r="AB131" i="1"/>
  <c r="AE131" i="1" s="1"/>
  <c r="AB140" i="1"/>
  <c r="AE140" i="1" s="1"/>
  <c r="AB149" i="1"/>
  <c r="AE149" i="1" s="1"/>
  <c r="AB191" i="1"/>
  <c r="AE191" i="1" s="1"/>
  <c r="AC210" i="1"/>
  <c r="AB246" i="1"/>
  <c r="AE246" i="1" s="1"/>
  <c r="AB298" i="1"/>
  <c r="AE298" i="1" s="1"/>
  <c r="AC309" i="1"/>
  <c r="AB325" i="1"/>
  <c r="AE325" i="1" s="1"/>
  <c r="AB343" i="1"/>
  <c r="AE343" i="1" s="1"/>
  <c r="AC352" i="1"/>
  <c r="AC367" i="1"/>
  <c r="AB396" i="1"/>
  <c r="AE396" i="1" s="1"/>
  <c r="AC407" i="1"/>
  <c r="AB415" i="1"/>
  <c r="AE415" i="1" s="1"/>
  <c r="AC415" i="1"/>
  <c r="AC443" i="1"/>
  <c r="AC482" i="1"/>
  <c r="AB492" i="1"/>
  <c r="AE492" i="1" s="1"/>
  <c r="AC510" i="1"/>
  <c r="AB519" i="1"/>
  <c r="AE519" i="1" s="1"/>
  <c r="AC519" i="1"/>
  <c r="AC529" i="1"/>
  <c r="AB558" i="1"/>
  <c r="AE558" i="1" s="1"/>
  <c r="AC558" i="1"/>
  <c r="AC651" i="1"/>
  <c r="AC812" i="1"/>
  <c r="AB842" i="1"/>
  <c r="AE842" i="1" s="1"/>
  <c r="AB853" i="1"/>
  <c r="AE853" i="1" s="1"/>
  <c r="AC853" i="1"/>
  <c r="AB1006" i="1"/>
  <c r="AE1006" i="1" s="1"/>
  <c r="AC1035" i="1"/>
  <c r="AB1035" i="1"/>
  <c r="AE1035" i="1" s="1"/>
  <c r="AC1154" i="1"/>
  <c r="AB1154" i="1"/>
  <c r="AE1154" i="1" s="1"/>
  <c r="AC1446" i="1"/>
  <c r="AB1457" i="1"/>
  <c r="AE1457" i="1" s="1"/>
  <c r="AC1529" i="1"/>
  <c r="AB1529" i="1"/>
  <c r="AE1529" i="1" s="1"/>
  <c r="AC1548" i="1"/>
  <c r="AB1548" i="1"/>
  <c r="AE1548" i="1" s="1"/>
  <c r="AB150" i="1"/>
  <c r="AE150" i="1" s="1"/>
  <c r="AC150" i="1"/>
  <c r="AC299" i="1"/>
  <c r="AB299" i="1"/>
  <c r="AE299" i="1" s="1"/>
  <c r="AC416" i="1"/>
  <c r="AB416" i="1"/>
  <c r="AE416" i="1" s="1"/>
  <c r="AC464" i="1"/>
  <c r="AB464" i="1"/>
  <c r="AE464" i="1" s="1"/>
  <c r="AC680" i="1"/>
  <c r="AB680" i="1"/>
  <c r="AE680" i="1" s="1"/>
  <c r="AC854" i="1"/>
  <c r="AB854" i="1"/>
  <c r="AE854" i="1" s="1"/>
  <c r="AB1036" i="1"/>
  <c r="AE1036" i="1" s="1"/>
  <c r="AC1036" i="1"/>
  <c r="AC1166" i="1"/>
  <c r="AB1166" i="1"/>
  <c r="AE1166" i="1" s="1"/>
  <c r="AB96" i="1"/>
  <c r="AE96" i="1" s="1"/>
  <c r="AC96" i="1"/>
  <c r="AC113" i="1"/>
  <c r="AB113" i="1"/>
  <c r="AE113" i="1" s="1"/>
  <c r="AC435" i="1"/>
  <c r="AB435" i="1"/>
  <c r="AE435" i="1" s="1"/>
  <c r="AB607" i="1"/>
  <c r="AE607" i="1" s="1"/>
  <c r="AC607" i="1"/>
  <c r="AC730" i="1"/>
  <c r="AB730" i="1"/>
  <c r="AE730" i="1" s="1"/>
  <c r="AC855" i="1"/>
  <c r="AB855" i="1"/>
  <c r="AE855" i="1" s="1"/>
  <c r="AC938" i="1"/>
  <c r="AB938" i="1"/>
  <c r="AE938" i="1" s="1"/>
  <c r="AB1069" i="1"/>
  <c r="AE1069" i="1" s="1"/>
  <c r="AC1069" i="1"/>
  <c r="AC18" i="1"/>
  <c r="AC42" i="1"/>
  <c r="AC87" i="1"/>
  <c r="AC123" i="1"/>
  <c r="AB142" i="1"/>
  <c r="AE142" i="1" s="1"/>
  <c r="AC142" i="1"/>
  <c r="AC151" i="1"/>
  <c r="AB202" i="1"/>
  <c r="AE202" i="1" s="1"/>
  <c r="AC229" i="1"/>
  <c r="AB275" i="1"/>
  <c r="AE275" i="1" s="1"/>
  <c r="AB319" i="1"/>
  <c r="AE319" i="1" s="1"/>
  <c r="AC397" i="1"/>
  <c r="AC502" i="1"/>
  <c r="AB569" i="1"/>
  <c r="AE569" i="1" s="1"/>
  <c r="AC578" i="1"/>
  <c r="AC598" i="1"/>
  <c r="AB598" i="1"/>
  <c r="AE598" i="1" s="1"/>
  <c r="AC731" i="1"/>
  <c r="AB731" i="1"/>
  <c r="AE731" i="1" s="1"/>
  <c r="AC843" i="1"/>
  <c r="AC856" i="1"/>
  <c r="AB856" i="1"/>
  <c r="AE856" i="1" s="1"/>
  <c r="AC908" i="1"/>
  <c r="AB908" i="1"/>
  <c r="AE908" i="1" s="1"/>
  <c r="AC1009" i="1"/>
  <c r="AB1009" i="1"/>
  <c r="AE1009" i="1" s="1"/>
  <c r="AB1070" i="1"/>
  <c r="AE1070" i="1" s="1"/>
  <c r="AC1070" i="1"/>
  <c r="AC1427" i="1"/>
  <c r="AB1427" i="1"/>
  <c r="AE1427" i="1" s="1"/>
  <c r="AB1437" i="1"/>
  <c r="AE1437" i="1" s="1"/>
  <c r="AC1437" i="1"/>
  <c r="AB924" i="1"/>
  <c r="AE924" i="1" s="1"/>
  <c r="AB960" i="1"/>
  <c r="AE960" i="1" s="1"/>
  <c r="AB967" i="1"/>
  <c r="AE967" i="1" s="1"/>
  <c r="AC996" i="1"/>
  <c r="AC1004" i="1"/>
  <c r="AC1092" i="1"/>
  <c r="AB1092" i="1"/>
  <c r="AE1092" i="1" s="1"/>
  <c r="AC1172" i="1"/>
  <c r="AC1209" i="1"/>
  <c r="AC1229" i="1"/>
  <c r="AB1229" i="1"/>
  <c r="AE1229" i="1" s="1"/>
  <c r="AC1237" i="1"/>
  <c r="AB1264" i="1"/>
  <c r="AE1264" i="1" s="1"/>
  <c r="AB1274" i="1"/>
  <c r="AE1274" i="1" s="1"/>
  <c r="AC1274" i="1"/>
  <c r="AC1378" i="1"/>
  <c r="AB1434" i="1"/>
  <c r="AE1434" i="1" s="1"/>
  <c r="AC1434" i="1"/>
  <c r="AC1455" i="1"/>
  <c r="AB1455" i="1"/>
  <c r="AE1455" i="1" s="1"/>
  <c r="AC1463" i="1"/>
  <c r="AC1493" i="1"/>
  <c r="AB1503" i="1"/>
  <c r="AE1503" i="1" s="1"/>
  <c r="AB1538" i="1"/>
  <c r="AE1538" i="1" s="1"/>
  <c r="AC1538" i="1"/>
  <c r="AB1605" i="1"/>
  <c r="AE1605" i="1" s="1"/>
  <c r="AC1611" i="1"/>
  <c r="AC1618" i="1"/>
  <c r="AB1628" i="1"/>
  <c r="AE1628" i="1" s="1"/>
  <c r="AC1628" i="1"/>
  <c r="AC1778" i="1"/>
  <c r="AC1787" i="1"/>
  <c r="AB1787" i="1"/>
  <c r="AE1787" i="1" s="1"/>
  <c r="AC1797" i="1"/>
  <c r="AB1797" i="1"/>
  <c r="AE1797" i="1" s="1"/>
  <c r="AC1882" i="1"/>
  <c r="AC1956" i="1"/>
  <c r="AB1956" i="1"/>
  <c r="AE1956" i="1" s="1"/>
  <c r="AC2002" i="1"/>
  <c r="AB2002" i="1"/>
  <c r="AE2002" i="1" s="1"/>
  <c r="AC2014" i="1"/>
  <c r="AB2014" i="1"/>
  <c r="AE2014" i="1" s="1"/>
  <c r="AC2598" i="1"/>
  <c r="AB2598" i="1"/>
  <c r="AE2598" i="1" s="1"/>
  <c r="AC1173" i="1"/>
  <c r="AB1173" i="1"/>
  <c r="AE1173" i="1" s="1"/>
  <c r="AC1265" i="1"/>
  <c r="AB1265" i="1"/>
  <c r="AE1265" i="1" s="1"/>
  <c r="AC1330" i="1"/>
  <c r="AB1330" i="1"/>
  <c r="AE1330" i="1" s="1"/>
  <c r="AB1698" i="1"/>
  <c r="AE1698" i="1" s="1"/>
  <c r="AC1698" i="1"/>
  <c r="AB1798" i="1"/>
  <c r="AE1798" i="1" s="1"/>
  <c r="AC1798" i="1"/>
  <c r="AC1957" i="1"/>
  <c r="AB1957" i="1"/>
  <c r="AE1957" i="1" s="1"/>
  <c r="AB2276" i="1"/>
  <c r="AE2276" i="1" s="1"/>
  <c r="AC2276" i="1"/>
  <c r="AB1630" i="1"/>
  <c r="AE1630" i="1" s="1"/>
  <c r="AC1630" i="1"/>
  <c r="AC1640" i="1"/>
  <c r="AB1640" i="1"/>
  <c r="AE1640" i="1" s="1"/>
  <c r="AC1686" i="1"/>
  <c r="AB1686" i="1"/>
  <c r="AE1686" i="1" s="1"/>
  <c r="AB1699" i="1"/>
  <c r="AE1699" i="1" s="1"/>
  <c r="AC1699" i="1"/>
  <c r="AC1788" i="1"/>
  <c r="AC1831" i="1"/>
  <c r="AB3010" i="1"/>
  <c r="AE3010" i="1" s="1"/>
  <c r="AC3010" i="1"/>
  <c r="AC3518" i="1"/>
  <c r="AB3518" i="1"/>
  <c r="AE3518" i="1" s="1"/>
  <c r="AC3616" i="1"/>
  <c r="AB3616" i="1"/>
  <c r="AE3616" i="1" s="1"/>
  <c r="AC1641" i="1"/>
  <c r="AB1641" i="1"/>
  <c r="AE1641" i="1" s="1"/>
  <c r="AB1663" i="1"/>
  <c r="AE1663" i="1" s="1"/>
  <c r="AC1663" i="1"/>
  <c r="AC1727" i="1"/>
  <c r="AB1727" i="1"/>
  <c r="AE1727" i="1" s="1"/>
  <c r="AC1918" i="1"/>
  <c r="AB1918" i="1"/>
  <c r="AE1918" i="1" s="1"/>
  <c r="AB2058" i="1"/>
  <c r="AE2058" i="1" s="1"/>
  <c r="AC2058" i="1"/>
  <c r="AC2504" i="1"/>
  <c r="AB2504" i="1"/>
  <c r="AE2504" i="1" s="1"/>
  <c r="AC2988" i="1"/>
  <c r="AB2988" i="1"/>
  <c r="AE2988" i="1" s="1"/>
  <c r="AC3001" i="1"/>
  <c r="AB3001" i="1"/>
  <c r="AE3001" i="1" s="1"/>
  <c r="AB3188" i="1"/>
  <c r="AE3188" i="1" s="1"/>
  <c r="AC3188" i="1"/>
  <c r="AC3326" i="1"/>
  <c r="AB3326" i="1"/>
  <c r="AE3326" i="1" s="1"/>
  <c r="AB1594" i="1"/>
  <c r="AE1594" i="1" s="1"/>
  <c r="AC1594" i="1"/>
  <c r="AC1919" i="1"/>
  <c r="AB1919" i="1"/>
  <c r="AE1919" i="1" s="1"/>
  <c r="AB1946" i="1"/>
  <c r="AE1946" i="1" s="1"/>
  <c r="AC1946" i="1"/>
  <c r="AB1959" i="1"/>
  <c r="AE1959" i="1" s="1"/>
  <c r="AC1959" i="1"/>
  <c r="AC1983" i="1"/>
  <c r="AB1983" i="1"/>
  <c r="AE1983" i="1" s="1"/>
  <c r="AC2188" i="1"/>
  <c r="AB2188" i="1"/>
  <c r="AE2188" i="1" s="1"/>
  <c r="AB2341" i="1"/>
  <c r="AE2341" i="1" s="1"/>
  <c r="AC2341" i="1"/>
  <c r="AC2431" i="1"/>
  <c r="AB2431" i="1"/>
  <c r="AE2431" i="1" s="1"/>
  <c r="AC2944" i="1"/>
  <c r="AB2944" i="1"/>
  <c r="AE2944" i="1" s="1"/>
  <c r="AC3314" i="1"/>
  <c r="AB3314" i="1"/>
  <c r="AE3314" i="1" s="1"/>
  <c r="AC3607" i="1"/>
  <c r="AB3607" i="1"/>
  <c r="AE3607" i="1" s="1"/>
  <c r="AC1278" i="1"/>
  <c r="AB1278" i="1"/>
  <c r="AE1278" i="1" s="1"/>
  <c r="AB1584" i="1"/>
  <c r="AE1584" i="1" s="1"/>
  <c r="AC1620" i="1"/>
  <c r="AB1711" i="1"/>
  <c r="AE1711" i="1" s="1"/>
  <c r="AC1812" i="1"/>
  <c r="AB1875" i="1"/>
  <c r="AE1875" i="1" s="1"/>
  <c r="AC3177" i="1"/>
  <c r="AB3177" i="1"/>
  <c r="AE3177" i="1" s="1"/>
  <c r="AC3486" i="1"/>
  <c r="AB3486" i="1"/>
  <c r="AE3486" i="1" s="1"/>
  <c r="AC1486" i="1"/>
  <c r="AB1486" i="1"/>
  <c r="AE1486" i="1" s="1"/>
  <c r="AB1677" i="1"/>
  <c r="AE1677" i="1" s="1"/>
  <c r="AB1688" i="1"/>
  <c r="AE1688" i="1" s="1"/>
  <c r="AC1802" i="1"/>
  <c r="AB1845" i="1"/>
  <c r="AE1845" i="1" s="1"/>
  <c r="AC1876" i="1"/>
  <c r="AB1876" i="1"/>
  <c r="AE1876" i="1" s="1"/>
  <c r="AB1908" i="1"/>
  <c r="AE1908" i="1" s="1"/>
  <c r="AB1948" i="1"/>
  <c r="AE1948" i="1" s="1"/>
  <c r="AC1948" i="1"/>
  <c r="AC2251" i="1"/>
  <c r="AB2251" i="1"/>
  <c r="AE2251" i="1" s="1"/>
  <c r="AB1361" i="1"/>
  <c r="AE1361" i="1" s="1"/>
  <c r="AC1382" i="1"/>
  <c r="AB1402" i="1"/>
  <c r="AE1402" i="1" s="1"/>
  <c r="AC1402" i="1"/>
  <c r="AC1458" i="1"/>
  <c r="AC1468" i="1"/>
  <c r="AB1497" i="1"/>
  <c r="AE1497" i="1" s="1"/>
  <c r="AB1549" i="1"/>
  <c r="AE1549" i="1" s="1"/>
  <c r="AC1585" i="1"/>
  <c r="AC1621" i="1"/>
  <c r="AB1689" i="1"/>
  <c r="AE1689" i="1" s="1"/>
  <c r="AC1689" i="1"/>
  <c r="AC1824" i="1"/>
  <c r="AB1824" i="1"/>
  <c r="AE1824" i="1" s="1"/>
  <c r="AC1857" i="1"/>
  <c r="AB1857" i="1"/>
  <c r="AE1857" i="1" s="1"/>
  <c r="AB1930" i="1"/>
  <c r="AE1930" i="1" s="1"/>
  <c r="AC1930" i="1"/>
  <c r="AB1187" i="1"/>
  <c r="AE1187" i="1" s="1"/>
  <c r="AC1187" i="1"/>
  <c r="AC1215" i="1"/>
  <c r="AB1215" i="1"/>
  <c r="AE1215" i="1" s="1"/>
  <c r="AC1362" i="1"/>
  <c r="AB1362" i="1"/>
  <c r="AE1362" i="1" s="1"/>
  <c r="AB1498" i="1"/>
  <c r="AE1498" i="1" s="1"/>
  <c r="AC1498" i="1"/>
  <c r="AB1576" i="1"/>
  <c r="AE1576" i="1" s="1"/>
  <c r="AB1586" i="1"/>
  <c r="AE1586" i="1" s="1"/>
  <c r="AC1586" i="1"/>
  <c r="AB1656" i="1"/>
  <c r="AE1656" i="1" s="1"/>
  <c r="AC1656" i="1"/>
  <c r="AC1702" i="1"/>
  <c r="AC1713" i="1"/>
  <c r="AB1713" i="1"/>
  <c r="AE1713" i="1" s="1"/>
  <c r="AC1825" i="1"/>
  <c r="AB1825" i="1"/>
  <c r="AE1825" i="1" s="1"/>
  <c r="AB1985" i="1"/>
  <c r="AE1985" i="1" s="1"/>
  <c r="AC1985" i="1"/>
  <c r="AB2242" i="1"/>
  <c r="AE2242" i="1" s="1"/>
  <c r="AC2242" i="1"/>
  <c r="AB2412" i="1"/>
  <c r="AE2412" i="1" s="1"/>
  <c r="AC2412" i="1"/>
  <c r="AC3442" i="1"/>
  <c r="AB3442" i="1"/>
  <c r="AE3442" i="1" s="1"/>
  <c r="AC1062" i="1"/>
  <c r="AB1088" i="1"/>
  <c r="AE1088" i="1" s="1"/>
  <c r="AB1123" i="1"/>
  <c r="AE1123" i="1" s="1"/>
  <c r="AB1133" i="1"/>
  <c r="AE1133" i="1" s="1"/>
  <c r="AC1133" i="1"/>
  <c r="AC1142" i="1"/>
  <c r="AC1177" i="1"/>
  <c r="AB1206" i="1"/>
  <c r="AE1206" i="1" s="1"/>
  <c r="AC1224" i="1"/>
  <c r="AB1306" i="1"/>
  <c r="AE1306" i="1" s="1"/>
  <c r="AC1306" i="1"/>
  <c r="AB1324" i="1"/>
  <c r="AE1324" i="1" s="1"/>
  <c r="AB1372" i="1"/>
  <c r="AE1372" i="1" s="1"/>
  <c r="AC1383" i="1"/>
  <c r="AB1450" i="1"/>
  <c r="AE1450" i="1" s="1"/>
  <c r="AC1450" i="1"/>
  <c r="AC1508" i="1"/>
  <c r="AC1515" i="1"/>
  <c r="AB1523" i="1"/>
  <c r="AE1523" i="1" s="1"/>
  <c r="AC1523" i="1"/>
  <c r="AB1550" i="1"/>
  <c r="AE1550" i="1" s="1"/>
  <c r="AB1569" i="1"/>
  <c r="AE1569" i="1" s="1"/>
  <c r="AB1587" i="1"/>
  <c r="AE1587" i="1" s="1"/>
  <c r="AC1587" i="1"/>
  <c r="AC1599" i="1"/>
  <c r="AB1599" i="1"/>
  <c r="AE1599" i="1" s="1"/>
  <c r="AB1646" i="1"/>
  <c r="AE1646" i="1" s="1"/>
  <c r="AC1657" i="1"/>
  <c r="AB1657" i="1"/>
  <c r="AE1657" i="1" s="1"/>
  <c r="AB1805" i="1"/>
  <c r="AE1805" i="1" s="1"/>
  <c r="AC1805" i="1"/>
  <c r="AB1837" i="1"/>
  <c r="AE1837" i="1" s="1"/>
  <c r="AB1867" i="1"/>
  <c r="AE1867" i="1" s="1"/>
  <c r="AC1867" i="1"/>
  <c r="AC1910" i="1"/>
  <c r="AB1910" i="1"/>
  <c r="AE1910" i="1" s="1"/>
  <c r="AC2029" i="1"/>
  <c r="AB2029" i="1"/>
  <c r="AE2029" i="1" s="1"/>
  <c r="AB2484" i="1"/>
  <c r="AE2484" i="1" s="1"/>
  <c r="AC2484" i="1"/>
  <c r="AB2799" i="1"/>
  <c r="AE2799" i="1" s="1"/>
  <c r="AC2799" i="1"/>
  <c r="AC3431" i="1"/>
  <c r="AB3431" i="1"/>
  <c r="AE3431" i="1" s="1"/>
  <c r="AC3583" i="1"/>
  <c r="AB3583" i="1"/>
  <c r="AE3583" i="1" s="1"/>
  <c r="AB1198" i="1"/>
  <c r="AE1198" i="1" s="1"/>
  <c r="AC1198" i="1"/>
  <c r="AB1242" i="1"/>
  <c r="AE1242" i="1" s="1"/>
  <c r="AC1242" i="1"/>
  <c r="AC1346" i="1"/>
  <c r="AB1346" i="1"/>
  <c r="AE1346" i="1" s="1"/>
  <c r="AB1533" i="1"/>
  <c r="AE1533" i="1" s="1"/>
  <c r="AC1533" i="1"/>
  <c r="AC2402" i="1"/>
  <c r="AB2402" i="1"/>
  <c r="AE2402" i="1" s="1"/>
  <c r="AC2892" i="1"/>
  <c r="AB2892" i="1"/>
  <c r="AE2892" i="1" s="1"/>
  <c r="AC3408" i="1"/>
  <c r="AB3408" i="1"/>
  <c r="AE3408" i="1" s="1"/>
  <c r="AC3419" i="1"/>
  <c r="AB3419" i="1"/>
  <c r="AE3419" i="1" s="1"/>
  <c r="AB872" i="1"/>
  <c r="AE872" i="1" s="1"/>
  <c r="AB890" i="1"/>
  <c r="AE890" i="1" s="1"/>
  <c r="AB931" i="1"/>
  <c r="AE931" i="1" s="1"/>
  <c r="AC949" i="1"/>
  <c r="AC974" i="1"/>
  <c r="AC985" i="1"/>
  <c r="AB993" i="1"/>
  <c r="AE993" i="1" s="1"/>
  <c r="AB1002" i="1"/>
  <c r="AE1002" i="1" s="1"/>
  <c r="AB1016" i="1"/>
  <c r="AE1016" i="1" s="1"/>
  <c r="AB1055" i="1"/>
  <c r="AE1055" i="1" s="1"/>
  <c r="AC1063" i="1"/>
  <c r="AC1089" i="1"/>
  <c r="AB1098" i="1"/>
  <c r="AE1098" i="1" s="1"/>
  <c r="AB1134" i="1"/>
  <c r="AE1134" i="1" s="1"/>
  <c r="AB1189" i="1"/>
  <c r="AE1189" i="1" s="1"/>
  <c r="AB1217" i="1"/>
  <c r="AE1217" i="1" s="1"/>
  <c r="AB1226" i="1"/>
  <c r="AE1226" i="1" s="1"/>
  <c r="AC1226" i="1"/>
  <c r="AB1282" i="1"/>
  <c r="AE1282" i="1" s="1"/>
  <c r="AC1307" i="1"/>
  <c r="AC1335" i="1"/>
  <c r="AB1384" i="1"/>
  <c r="AE1384" i="1" s="1"/>
  <c r="AB1394" i="1"/>
  <c r="AE1394" i="1" s="1"/>
  <c r="AB1441" i="1"/>
  <c r="AE1441" i="1" s="1"/>
  <c r="AB1500" i="1"/>
  <c r="AE1500" i="1" s="1"/>
  <c r="AB1524" i="1"/>
  <c r="AE1524" i="1" s="1"/>
  <c r="AB1551" i="1"/>
  <c r="AE1551" i="1" s="1"/>
  <c r="AB1560" i="1"/>
  <c r="AE1560" i="1" s="1"/>
  <c r="AC1560" i="1"/>
  <c r="AC1601" i="1"/>
  <c r="AB1601" i="1"/>
  <c r="AE1601" i="1" s="1"/>
  <c r="AB1647" i="1"/>
  <c r="AE1647" i="1" s="1"/>
  <c r="AC1704" i="1"/>
  <c r="AB1704" i="1"/>
  <c r="AE1704" i="1" s="1"/>
  <c r="AC1859" i="1"/>
  <c r="AB1900" i="1"/>
  <c r="AE1900" i="1" s="1"/>
  <c r="AC1900" i="1"/>
  <c r="AB1923" i="1"/>
  <c r="AE1923" i="1" s="1"/>
  <c r="AB2009" i="1"/>
  <c r="AE2009" i="1" s="1"/>
  <c r="AC2009" i="1"/>
  <c r="AB2096" i="1"/>
  <c r="AE2096" i="1" s="1"/>
  <c r="AC2096" i="1"/>
  <c r="AB467" i="1"/>
  <c r="AE467" i="1" s="1"/>
  <c r="AB591" i="1"/>
  <c r="AE591" i="1" s="1"/>
  <c r="AC600" i="1"/>
  <c r="AB609" i="1"/>
  <c r="AE609" i="1" s="1"/>
  <c r="AC823" i="1"/>
  <c r="AB916" i="1"/>
  <c r="AE916" i="1" s="1"/>
  <c r="AC939" i="1"/>
  <c r="AB958" i="1"/>
  <c r="AE958" i="1" s="1"/>
  <c r="AB1010" i="1"/>
  <c r="AE1010" i="1" s="1"/>
  <c r="AB1031" i="1"/>
  <c r="AE1031" i="1" s="1"/>
  <c r="AB1039" i="1"/>
  <c r="AE1039" i="1" s="1"/>
  <c r="AB1125" i="1"/>
  <c r="AE1125" i="1" s="1"/>
  <c r="AB1199" i="1"/>
  <c r="AE1199" i="1" s="1"/>
  <c r="AB1235" i="1"/>
  <c r="AE1235" i="1" s="1"/>
  <c r="AB1243" i="1"/>
  <c r="AE1243" i="1" s="1"/>
  <c r="AB1283" i="1"/>
  <c r="AE1283" i="1" s="1"/>
  <c r="AC1283" i="1"/>
  <c r="AC1317" i="1"/>
  <c r="AB1326" i="1"/>
  <c r="AE1326" i="1" s="1"/>
  <c r="AC1336" i="1"/>
  <c r="AB1336" i="1"/>
  <c r="AE1336" i="1" s="1"/>
  <c r="AB1395" i="1"/>
  <c r="AE1395" i="1" s="1"/>
  <c r="AC1395" i="1"/>
  <c r="AB1405" i="1"/>
  <c r="AE1405" i="1" s="1"/>
  <c r="AC1405" i="1"/>
  <c r="AC1423" i="1"/>
  <c r="AB1423" i="1"/>
  <c r="AE1423" i="1" s="1"/>
  <c r="AC1461" i="1"/>
  <c r="AB1490" i="1"/>
  <c r="AE1490" i="1" s="1"/>
  <c r="AB1561" i="1"/>
  <c r="AE1561" i="1" s="1"/>
  <c r="AC1561" i="1"/>
  <c r="AB1669" i="1"/>
  <c r="AE1669" i="1" s="1"/>
  <c r="AC1669" i="1"/>
  <c r="AC1694" i="1"/>
  <c r="AB1694" i="1"/>
  <c r="AE1694" i="1" s="1"/>
  <c r="AC1705" i="1"/>
  <c r="AB1705" i="1"/>
  <c r="AE1705" i="1" s="1"/>
  <c r="AC1745" i="1"/>
  <c r="AB1745" i="1"/>
  <c r="AE1745" i="1" s="1"/>
  <c r="AC1840" i="1"/>
  <c r="AB1840" i="1"/>
  <c r="AE1840" i="1" s="1"/>
  <c r="AC2534" i="1"/>
  <c r="AB2534" i="1"/>
  <c r="AE2534" i="1" s="1"/>
  <c r="AB1100" i="1"/>
  <c r="AE1100" i="1" s="1"/>
  <c r="AC1100" i="1"/>
  <c r="AB1337" i="1"/>
  <c r="AE1337" i="1" s="1"/>
  <c r="AC1337" i="1"/>
  <c r="AC1491" i="1"/>
  <c r="AB1491" i="1"/>
  <c r="AE1491" i="1" s="1"/>
  <c r="AB1617" i="1"/>
  <c r="AE1617" i="1" s="1"/>
  <c r="AB1648" i="1"/>
  <c r="AE1648" i="1" s="1"/>
  <c r="AC1660" i="1"/>
  <c r="AC1765" i="1"/>
  <c r="AB1765" i="1"/>
  <c r="AE1765" i="1" s="1"/>
  <c r="AC1795" i="1"/>
  <c r="AB1924" i="1"/>
  <c r="AE1924" i="1" s="1"/>
  <c r="AB1387" i="1"/>
  <c r="AE1387" i="1" s="1"/>
  <c r="AC1387" i="1"/>
  <c r="AB1453" i="1"/>
  <c r="AE1453" i="1" s="1"/>
  <c r="AC1453" i="1"/>
  <c r="AC1649" i="1"/>
  <c r="AB1649" i="1"/>
  <c r="AE1649" i="1" s="1"/>
  <c r="AB1849" i="1"/>
  <c r="AE1849" i="1" s="1"/>
  <c r="AC1849" i="1"/>
  <c r="AB1914" i="1"/>
  <c r="AE1914" i="1" s="1"/>
  <c r="AC1914" i="1"/>
  <c r="AB1967" i="1"/>
  <c r="AE1967" i="1" s="1"/>
  <c r="AC1967" i="1"/>
  <c r="AC2075" i="1"/>
  <c r="AB2075" i="1"/>
  <c r="AE2075" i="1" s="1"/>
  <c r="AB2368" i="1"/>
  <c r="AE2368" i="1" s="1"/>
  <c r="AC2368" i="1"/>
  <c r="AC1273" i="1"/>
  <c r="AB1273" i="1"/>
  <c r="AE1273" i="1" s="1"/>
  <c r="AC1294" i="1"/>
  <c r="AB1294" i="1"/>
  <c r="AE1294" i="1" s="1"/>
  <c r="AB1433" i="1"/>
  <c r="AE1433" i="1" s="1"/>
  <c r="AC1433" i="1"/>
  <c r="AB1482" i="1"/>
  <c r="AE1482" i="1" s="1"/>
  <c r="AC1482" i="1"/>
  <c r="AC1735" i="1"/>
  <c r="AB1735" i="1"/>
  <c r="AE1735" i="1" s="1"/>
  <c r="AB1968" i="1"/>
  <c r="AE1968" i="1" s="1"/>
  <c r="AC1968" i="1"/>
  <c r="AB2453" i="1"/>
  <c r="AE2453" i="1" s="1"/>
  <c r="AC2453" i="1"/>
  <c r="AB2224" i="1"/>
  <c r="AE2224" i="1" s="1"/>
  <c r="AC2224" i="1"/>
  <c r="AC2331" i="1"/>
  <c r="AB2331" i="1"/>
  <c r="AE2331" i="1" s="1"/>
  <c r="AC2359" i="1"/>
  <c r="AB2359" i="1"/>
  <c r="AE2359" i="1" s="1"/>
  <c r="AC2392" i="1"/>
  <c r="AB2392" i="1"/>
  <c r="AE2392" i="1" s="1"/>
  <c r="AC2759" i="1"/>
  <c r="AB2759" i="1"/>
  <c r="AE2759" i="1" s="1"/>
  <c r="AB2832" i="1"/>
  <c r="AE2832" i="1" s="1"/>
  <c r="AC2832" i="1"/>
  <c r="AB2843" i="1"/>
  <c r="AE2843" i="1" s="1"/>
  <c r="AC2843" i="1"/>
  <c r="AC3033" i="1"/>
  <c r="AB3033" i="1"/>
  <c r="AE3033" i="1" s="1"/>
  <c r="AC3210" i="1"/>
  <c r="AB3210" i="1"/>
  <c r="AE3210" i="1" s="1"/>
  <c r="AB3221" i="1"/>
  <c r="AE3221" i="1" s="1"/>
  <c r="AC3221" i="1"/>
  <c r="AC3358" i="1"/>
  <c r="AB3358" i="1"/>
  <c r="AE3358" i="1" s="1"/>
  <c r="AC3507" i="1"/>
  <c r="AB3507" i="1"/>
  <c r="AE3507" i="1" s="1"/>
  <c r="AC3539" i="1"/>
  <c r="AB3539" i="1"/>
  <c r="AE3539" i="1" s="1"/>
  <c r="AC3648" i="1"/>
  <c r="AB3648" i="1"/>
  <c r="AE3648" i="1" s="1"/>
  <c r="AC2139" i="1"/>
  <c r="AB2139" i="1"/>
  <c r="AE2139" i="1" s="1"/>
  <c r="AB2277" i="1"/>
  <c r="AE2277" i="1" s="1"/>
  <c r="AC2277" i="1"/>
  <c r="AB2545" i="1"/>
  <c r="AE2545" i="1" s="1"/>
  <c r="AC2545" i="1"/>
  <c r="AC2611" i="1"/>
  <c r="AB2611" i="1"/>
  <c r="AE2611" i="1" s="1"/>
  <c r="AC2748" i="1"/>
  <c r="AB2748" i="1"/>
  <c r="AE2748" i="1" s="1"/>
  <c r="AB3065" i="1"/>
  <c r="AE3065" i="1" s="1"/>
  <c r="AC3065" i="1"/>
  <c r="AC3120" i="1"/>
  <c r="AB3120" i="1"/>
  <c r="AE3120" i="1" s="1"/>
  <c r="AC3398" i="1"/>
  <c r="AB3398" i="1"/>
  <c r="AE3398" i="1" s="1"/>
  <c r="AB3551" i="1"/>
  <c r="AE3551" i="1" s="1"/>
  <c r="AB3617" i="1"/>
  <c r="AE3617" i="1" s="1"/>
  <c r="AB3658" i="1"/>
  <c r="AE3658" i="1" s="1"/>
  <c r="AC2077" i="1"/>
  <c r="AB2077" i="1"/>
  <c r="AE2077" i="1" s="1"/>
  <c r="AB2106" i="1"/>
  <c r="AE2106" i="1" s="1"/>
  <c r="AC2106" i="1"/>
  <c r="AB2116" i="1"/>
  <c r="AE2116" i="1" s="1"/>
  <c r="AC2116" i="1"/>
  <c r="AC2160" i="1"/>
  <c r="AB2160" i="1"/>
  <c r="AE2160" i="1" s="1"/>
  <c r="AC2168" i="1"/>
  <c r="AB2168" i="1"/>
  <c r="AE2168" i="1" s="1"/>
  <c r="AC2738" i="1"/>
  <c r="AB2738" i="1"/>
  <c r="AE2738" i="1" s="1"/>
  <c r="AC2905" i="1"/>
  <c r="AB2905" i="1"/>
  <c r="AE2905" i="1" s="1"/>
  <c r="AC2990" i="1"/>
  <c r="AB2990" i="1"/>
  <c r="AE2990" i="1" s="1"/>
  <c r="AC3110" i="1"/>
  <c r="AB3110" i="1"/>
  <c r="AE3110" i="1" s="1"/>
  <c r="AC3167" i="1"/>
  <c r="AB3167" i="1"/>
  <c r="AE3167" i="1" s="1"/>
  <c r="AC3179" i="1"/>
  <c r="AB3179" i="1"/>
  <c r="AE3179" i="1" s="1"/>
  <c r="AC3273" i="1"/>
  <c r="AB3273" i="1"/>
  <c r="AE3273" i="1" s="1"/>
  <c r="AC3296" i="1"/>
  <c r="AB3296" i="1"/>
  <c r="AE3296" i="1" s="1"/>
  <c r="AC3305" i="1"/>
  <c r="AB3305" i="1"/>
  <c r="AE3305" i="1" s="1"/>
  <c r="AB3316" i="1"/>
  <c r="AE3316" i="1" s="1"/>
  <c r="AC3316" i="1"/>
  <c r="AC3328" i="1"/>
  <c r="AB3328" i="1"/>
  <c r="AE3328" i="1" s="1"/>
  <c r="AC3487" i="1"/>
  <c r="AB3487" i="1"/>
  <c r="AE3487" i="1" s="1"/>
  <c r="AC3584" i="1"/>
  <c r="AB3584" i="1"/>
  <c r="AE3584" i="1" s="1"/>
  <c r="AC1822" i="1"/>
  <c r="AB1822" i="1"/>
  <c r="AE1822" i="1" s="1"/>
  <c r="AB2031" i="1"/>
  <c r="AE2031" i="1" s="1"/>
  <c r="AC2060" i="1"/>
  <c r="AB2086" i="1"/>
  <c r="AE2086" i="1" s="1"/>
  <c r="AC2086" i="1"/>
  <c r="AB2140" i="1"/>
  <c r="AE2140" i="1" s="1"/>
  <c r="AB2179" i="1"/>
  <c r="AE2179" i="1" s="1"/>
  <c r="AC2286" i="1"/>
  <c r="AB2286" i="1"/>
  <c r="AE2286" i="1" s="1"/>
  <c r="AB2294" i="1"/>
  <c r="AE2294" i="1" s="1"/>
  <c r="AB2303" i="1"/>
  <c r="AE2303" i="1" s="1"/>
  <c r="AC2312" i="1"/>
  <c r="AB2312" i="1"/>
  <c r="AE2312" i="1" s="1"/>
  <c r="AC2371" i="1"/>
  <c r="AB2371" i="1"/>
  <c r="AE2371" i="1" s="1"/>
  <c r="AC2382" i="1"/>
  <c r="AC2394" i="1"/>
  <c r="AB2394" i="1"/>
  <c r="AE2394" i="1" s="1"/>
  <c r="AB2444" i="1"/>
  <c r="AE2444" i="1" s="1"/>
  <c r="AB2456" i="1"/>
  <c r="AE2456" i="1" s="1"/>
  <c r="AB2465" i="1"/>
  <c r="AE2465" i="1" s="1"/>
  <c r="AC2516" i="1"/>
  <c r="AB2536" i="1"/>
  <c r="AE2536" i="1" s="1"/>
  <c r="AB2568" i="1"/>
  <c r="AE2568" i="1" s="1"/>
  <c r="AB2579" i="1"/>
  <c r="AE2579" i="1" s="1"/>
  <c r="AC2667" i="1"/>
  <c r="AB2667" i="1"/>
  <c r="AE2667" i="1" s="1"/>
  <c r="AB2823" i="1"/>
  <c r="AE2823" i="1" s="1"/>
  <c r="AC2855" i="1"/>
  <c r="AC2884" i="1"/>
  <c r="AB2884" i="1"/>
  <c r="AE2884" i="1" s="1"/>
  <c r="AC2936" i="1"/>
  <c r="AB2936" i="1"/>
  <c r="AE2936" i="1" s="1"/>
  <c r="AB2959" i="1"/>
  <c r="AE2959" i="1" s="1"/>
  <c r="AC2959" i="1"/>
  <c r="AC3046" i="1"/>
  <c r="AB3046" i="1"/>
  <c r="AE3046" i="1" s="1"/>
  <c r="AC3122" i="1"/>
  <c r="AB3122" i="1"/>
  <c r="AE3122" i="1" s="1"/>
  <c r="AC3360" i="1"/>
  <c r="AB3360" i="1"/>
  <c r="AE3360" i="1" s="1"/>
  <c r="AB3399" i="1"/>
  <c r="AE3399" i="1" s="1"/>
  <c r="AC3411" i="1"/>
  <c r="AB3411" i="1"/>
  <c r="AE3411" i="1" s="1"/>
  <c r="AC3465" i="1"/>
  <c r="AB3465" i="1"/>
  <c r="AE3465" i="1" s="1"/>
  <c r="AB3499" i="1"/>
  <c r="AE3499" i="1" s="1"/>
  <c r="AB1966" i="1"/>
  <c r="AE1966" i="1" s="1"/>
  <c r="AC1966" i="1"/>
  <c r="AB2050" i="1"/>
  <c r="AE2050" i="1" s="1"/>
  <c r="AC2098" i="1"/>
  <c r="AB2169" i="1"/>
  <c r="AE2169" i="1" s="1"/>
  <c r="AB2253" i="1"/>
  <c r="AE2253" i="1" s="1"/>
  <c r="AC2383" i="1"/>
  <c r="AB2383" i="1"/>
  <c r="AE2383" i="1" s="1"/>
  <c r="AB2405" i="1"/>
  <c r="AE2405" i="1" s="1"/>
  <c r="AB2423" i="1"/>
  <c r="AE2423" i="1" s="1"/>
  <c r="AB2487" i="1"/>
  <c r="AE2487" i="1" s="1"/>
  <c r="AB2506" i="1"/>
  <c r="AE2506" i="1" s="1"/>
  <c r="AB2590" i="1"/>
  <c r="AE2590" i="1" s="1"/>
  <c r="AB2613" i="1"/>
  <c r="AE2613" i="1" s="1"/>
  <c r="AB2690" i="1"/>
  <c r="AE2690" i="1" s="1"/>
  <c r="AB2730" i="1"/>
  <c r="AE2730" i="1" s="1"/>
  <c r="AC2761" i="1"/>
  <c r="AB2824" i="1"/>
  <c r="AE2824" i="1" s="1"/>
  <c r="AC2824" i="1"/>
  <c r="AB2925" i="1"/>
  <c r="AE2925" i="1" s="1"/>
  <c r="AB2949" i="1"/>
  <c r="AE2949" i="1" s="1"/>
  <c r="AC2949" i="1"/>
  <c r="AB3012" i="1"/>
  <c r="AE3012" i="1" s="1"/>
  <c r="AB3056" i="1"/>
  <c r="AE3056" i="1" s="1"/>
  <c r="AB3202" i="1"/>
  <c r="AE3202" i="1" s="1"/>
  <c r="AB3234" i="1"/>
  <c r="AE3234" i="1" s="1"/>
  <c r="AC3244" i="1"/>
  <c r="AB3297" i="1"/>
  <c r="AE3297" i="1" s="1"/>
  <c r="AB3329" i="1"/>
  <c r="AE3329" i="1" s="1"/>
  <c r="AB3338" i="1"/>
  <c r="AE3338" i="1" s="1"/>
  <c r="AB3379" i="1"/>
  <c r="AE3379" i="1" s="1"/>
  <c r="AC3477" i="1"/>
  <c r="AB3542" i="1"/>
  <c r="AE3542" i="1" s="1"/>
  <c r="AB3564" i="1"/>
  <c r="AE3564" i="1" s="1"/>
  <c r="AC3564" i="1"/>
  <c r="AB3609" i="1"/>
  <c r="AE3609" i="1" s="1"/>
  <c r="AC3651" i="1"/>
  <c r="AB3651" i="1"/>
  <c r="AE3651" i="1" s="1"/>
  <c r="AC3682" i="1"/>
  <c r="AB3682" i="1"/>
  <c r="AE3682" i="1" s="1"/>
  <c r="AC2071" i="1"/>
  <c r="AB2071" i="1"/>
  <c r="AE2071" i="1" s="1"/>
  <c r="AC2304" i="1"/>
  <c r="AB2304" i="1"/>
  <c r="AE2304" i="1" s="1"/>
  <c r="AC2527" i="1"/>
  <c r="AB2527" i="1"/>
  <c r="AE2527" i="1" s="1"/>
  <c r="AC2603" i="1"/>
  <c r="AB2603" i="1"/>
  <c r="AE2603" i="1" s="1"/>
  <c r="AB2680" i="1"/>
  <c r="AE2680" i="1" s="1"/>
  <c r="AC2680" i="1"/>
  <c r="AC2741" i="1"/>
  <c r="AB2741" i="1"/>
  <c r="AE2741" i="1" s="1"/>
  <c r="AC2762" i="1"/>
  <c r="AB2762" i="1"/>
  <c r="AE2762" i="1" s="1"/>
  <c r="AB2907" i="1"/>
  <c r="AE2907" i="1" s="1"/>
  <c r="AC2907" i="1"/>
  <c r="AC3169" i="1"/>
  <c r="AB3169" i="1"/>
  <c r="AE3169" i="1" s="1"/>
  <c r="AC3265" i="1"/>
  <c r="AB3265" i="1"/>
  <c r="AE3265" i="1" s="1"/>
  <c r="AC3599" i="1"/>
  <c r="AB3599" i="1"/>
  <c r="AE3599" i="1" s="1"/>
  <c r="AB2040" i="1"/>
  <c r="AE2040" i="1" s="1"/>
  <c r="AB2051" i="1"/>
  <c r="AE2051" i="1" s="1"/>
  <c r="AB2079" i="1"/>
  <c r="AE2079" i="1" s="1"/>
  <c r="AB2119" i="1"/>
  <c r="AE2119" i="1" s="1"/>
  <c r="AB2141" i="1"/>
  <c r="AE2141" i="1" s="1"/>
  <c r="AB2170" i="1"/>
  <c r="AE2170" i="1" s="1"/>
  <c r="AC2209" i="1"/>
  <c r="AB2237" i="1"/>
  <c r="AE2237" i="1" s="1"/>
  <c r="AC2237" i="1"/>
  <c r="AB2296" i="1"/>
  <c r="AE2296" i="1" s="1"/>
  <c r="AC2314" i="1"/>
  <c r="AC2344" i="1"/>
  <c r="AB2344" i="1"/>
  <c r="AE2344" i="1" s="1"/>
  <c r="AC2373" i="1"/>
  <c r="AC2424" i="1"/>
  <c r="AB2424" i="1"/>
  <c r="AE2424" i="1" s="1"/>
  <c r="AC2497" i="1"/>
  <c r="AB2559" i="1"/>
  <c r="AE2559" i="1" s="1"/>
  <c r="AB2581" i="1"/>
  <c r="AE2581" i="1" s="1"/>
  <c r="AC2656" i="1"/>
  <c r="AB2669" i="1"/>
  <c r="AE2669" i="1" s="1"/>
  <c r="AC2669" i="1"/>
  <c r="AC2711" i="1"/>
  <c r="AC2815" i="1"/>
  <c r="AC2938" i="1"/>
  <c r="AB2938" i="1"/>
  <c r="AE2938" i="1" s="1"/>
  <c r="AC2961" i="1"/>
  <c r="AB3067" i="1"/>
  <c r="AE3067" i="1" s="1"/>
  <c r="AB3090" i="1"/>
  <c r="AE3090" i="1" s="1"/>
  <c r="AC3124" i="1"/>
  <c r="AB3146" i="1"/>
  <c r="AE3146" i="1" s="1"/>
  <c r="AC3181" i="1"/>
  <c r="AC3192" i="1"/>
  <c r="AB3192" i="1"/>
  <c r="AE3192" i="1" s="1"/>
  <c r="AC3308" i="1"/>
  <c r="AB3339" i="1"/>
  <c r="AE3339" i="1" s="1"/>
  <c r="AC3424" i="1"/>
  <c r="AB3424" i="1"/>
  <c r="AE3424" i="1" s="1"/>
  <c r="AB3522" i="1"/>
  <c r="AE3522" i="1" s="1"/>
  <c r="AC3575" i="1"/>
  <c r="AB3575" i="1"/>
  <c r="AE3575" i="1" s="1"/>
  <c r="AC2052" i="1"/>
  <c r="AB2052" i="1"/>
  <c r="AE2052" i="1" s="1"/>
  <c r="AC2171" i="1"/>
  <c r="AB2171" i="1"/>
  <c r="AE2171" i="1" s="1"/>
  <c r="AC2386" i="1"/>
  <c r="AB2386" i="1"/>
  <c r="AE2386" i="1" s="1"/>
  <c r="AC3037" i="1"/>
  <c r="AB3037" i="1"/>
  <c r="AE3037" i="1" s="1"/>
  <c r="AB3102" i="1"/>
  <c r="AE3102" i="1" s="1"/>
  <c r="AC3102" i="1"/>
  <c r="AB3182" i="1"/>
  <c r="AE3182" i="1" s="1"/>
  <c r="AC3182" i="1"/>
  <c r="AC3287" i="1"/>
  <c r="AB3287" i="1"/>
  <c r="AE3287" i="1" s="1"/>
  <c r="AB3309" i="1"/>
  <c r="AE3309" i="1" s="1"/>
  <c r="AC3309" i="1"/>
  <c r="AC3457" i="1"/>
  <c r="AB3457" i="1"/>
  <c r="AE3457" i="1" s="1"/>
  <c r="AC3642" i="1"/>
  <c r="AB3642" i="1"/>
  <c r="AE3642" i="1" s="1"/>
  <c r="AB1986" i="1"/>
  <c r="AE1986" i="1" s="1"/>
  <c r="AB2003" i="1"/>
  <c r="AE2003" i="1" s="1"/>
  <c r="AB2010" i="1"/>
  <c r="AE2010" i="1" s="1"/>
  <c r="AC2042" i="1"/>
  <c r="AB2042" i="1"/>
  <c r="AE2042" i="1" s="1"/>
  <c r="AC2182" i="1"/>
  <c r="AB2229" i="1"/>
  <c r="AE2229" i="1" s="1"/>
  <c r="AC2297" i="1"/>
  <c r="AB2297" i="1"/>
  <c r="AE2297" i="1" s="1"/>
  <c r="AC2416" i="1"/>
  <c r="AC2447" i="1"/>
  <c r="AB2490" i="1"/>
  <c r="AE2490" i="1" s="1"/>
  <c r="AC2490" i="1"/>
  <c r="AB2529" i="1"/>
  <c r="AE2529" i="1" s="1"/>
  <c r="AC2529" i="1"/>
  <c r="AB2539" i="1"/>
  <c r="AE2539" i="1" s="1"/>
  <c r="AB2616" i="1"/>
  <c r="AE2616" i="1" s="1"/>
  <c r="AC2636" i="1"/>
  <c r="AB2636" i="1"/>
  <c r="AE2636" i="1" s="1"/>
  <c r="AC2722" i="1"/>
  <c r="AB2775" i="1"/>
  <c r="AE2775" i="1" s="1"/>
  <c r="AB2816" i="1"/>
  <c r="AE2816" i="1" s="1"/>
  <c r="AC2827" i="1"/>
  <c r="AB2827" i="1"/>
  <c r="AE2827" i="1" s="1"/>
  <c r="AB2837" i="1"/>
  <c r="AE2837" i="1" s="1"/>
  <c r="AB2847" i="1"/>
  <c r="AE2847" i="1" s="1"/>
  <c r="AC2847" i="1"/>
  <c r="AB2876" i="1"/>
  <c r="AE2876" i="1" s="1"/>
  <c r="AB2886" i="1"/>
  <c r="AE2886" i="1" s="1"/>
  <c r="AC2928" i="1"/>
  <c r="AB2928" i="1"/>
  <c r="AE2928" i="1" s="1"/>
  <c r="AB2939" i="1"/>
  <c r="AE2939" i="1" s="1"/>
  <c r="AC2953" i="1"/>
  <c r="AB2953" i="1"/>
  <c r="AE2953" i="1" s="1"/>
  <c r="AB3005" i="1"/>
  <c r="AE3005" i="1" s="1"/>
  <c r="AC3058" i="1"/>
  <c r="AC3114" i="1"/>
  <c r="AB3114" i="1"/>
  <c r="AE3114" i="1" s="1"/>
  <c r="AC3125" i="1"/>
  <c r="AC3171" i="1"/>
  <c r="AB3171" i="1"/>
  <c r="AE3171" i="1" s="1"/>
  <c r="AC3194" i="1"/>
  <c r="AB3194" i="1"/>
  <c r="AE3194" i="1" s="1"/>
  <c r="AC3204" i="1"/>
  <c r="AC3236" i="1"/>
  <c r="AB3267" i="1"/>
  <c r="AE3267" i="1" s="1"/>
  <c r="AB3363" i="1"/>
  <c r="AE3363" i="1" s="1"/>
  <c r="AC3372" i="1"/>
  <c r="AC3403" i="1"/>
  <c r="AB3403" i="1"/>
  <c r="AE3403" i="1" s="1"/>
  <c r="AB3425" i="1"/>
  <c r="AE3425" i="1" s="1"/>
  <c r="AC3491" i="1"/>
  <c r="AB3491" i="1"/>
  <c r="AE3491" i="1" s="1"/>
  <c r="AB3567" i="1"/>
  <c r="AE3567" i="1" s="1"/>
  <c r="AC3632" i="1"/>
  <c r="AB3632" i="1"/>
  <c r="AE3632" i="1" s="1"/>
  <c r="AB3684" i="1"/>
  <c r="AE3684" i="1" s="1"/>
  <c r="AC3684" i="1"/>
  <c r="AC1634" i="1"/>
  <c r="AB1665" i="1"/>
  <c r="AE1665" i="1" s="1"/>
  <c r="AC2143" i="1"/>
  <c r="AB2143" i="1"/>
  <c r="AE2143" i="1" s="1"/>
  <c r="AC2417" i="1"/>
  <c r="AB2417" i="1"/>
  <c r="AE2417" i="1" s="1"/>
  <c r="AC2671" i="1"/>
  <c r="AB2671" i="1"/>
  <c r="AE2671" i="1" s="1"/>
  <c r="AC2786" i="1"/>
  <c r="AB2786" i="1"/>
  <c r="AE2786" i="1" s="1"/>
  <c r="AC3016" i="1"/>
  <c r="AB3016" i="1"/>
  <c r="AE3016" i="1" s="1"/>
  <c r="AC3059" i="1"/>
  <c r="AB3059" i="1"/>
  <c r="AE3059" i="1" s="1"/>
  <c r="AC3216" i="1"/>
  <c r="AB3216" i="1"/>
  <c r="AE3216" i="1" s="1"/>
  <c r="AB3288" i="1"/>
  <c r="AE3288" i="1" s="1"/>
  <c r="AC3589" i="1"/>
  <c r="AC1624" i="1"/>
  <c r="AC1650" i="1"/>
  <c r="AB1658" i="1"/>
  <c r="AE1658" i="1" s="1"/>
  <c r="AB1684" i="1"/>
  <c r="AE1684" i="1" s="1"/>
  <c r="AC1690" i="1"/>
  <c r="AB1700" i="1"/>
  <c r="AE1700" i="1" s="1"/>
  <c r="AC1722" i="1"/>
  <c r="AC1783" i="1"/>
  <c r="AC1799" i="1"/>
  <c r="AC1826" i="1"/>
  <c r="AB1885" i="1"/>
  <c r="AE1885" i="1" s="1"/>
  <c r="AB1894" i="1"/>
  <c r="AE1894" i="1" s="1"/>
  <c r="AB1911" i="1"/>
  <c r="AE1911" i="1" s="1"/>
  <c r="AB1921" i="1"/>
  <c r="AE1921" i="1" s="1"/>
  <c r="AC1943" i="1"/>
  <c r="AB1995" i="1"/>
  <c r="AE1995" i="1" s="1"/>
  <c r="AB2004" i="1"/>
  <c r="AE2004" i="1" s="1"/>
  <c r="AB2011" i="1"/>
  <c r="AE2011" i="1" s="1"/>
  <c r="AC2018" i="1"/>
  <c r="AB2026" i="1"/>
  <c r="AE2026" i="1" s="1"/>
  <c r="AB2034" i="1"/>
  <c r="AE2034" i="1" s="1"/>
  <c r="AB2054" i="1"/>
  <c r="AE2054" i="1" s="1"/>
  <c r="AC2054" i="1"/>
  <c r="AB2081" i="1"/>
  <c r="AE2081" i="1" s="1"/>
  <c r="AB2112" i="1"/>
  <c r="AE2112" i="1" s="1"/>
  <c r="AB2121" i="1"/>
  <c r="AE2121" i="1" s="1"/>
  <c r="AB2163" i="1"/>
  <c r="AE2163" i="1" s="1"/>
  <c r="AC2211" i="1"/>
  <c r="AB2211" i="1"/>
  <c r="AE2211" i="1" s="1"/>
  <c r="AC2318" i="1"/>
  <c r="AB2318" i="1"/>
  <c r="AE2318" i="1" s="1"/>
  <c r="AC2520" i="1"/>
  <c r="AB2520" i="1"/>
  <c r="AE2520" i="1" s="1"/>
  <c r="AC2617" i="1"/>
  <c r="AB2617" i="1"/>
  <c r="AE2617" i="1" s="1"/>
  <c r="AC2695" i="1"/>
  <c r="AB2695" i="1"/>
  <c r="AE2695" i="1" s="1"/>
  <c r="AC2859" i="1"/>
  <c r="AB2859" i="1"/>
  <c r="AE2859" i="1" s="1"/>
  <c r="AC2920" i="1"/>
  <c r="AB2920" i="1"/>
  <c r="AE2920" i="1" s="1"/>
  <c r="AC2940" i="1"/>
  <c r="AB2940" i="1"/>
  <c r="AE2940" i="1" s="1"/>
  <c r="AC3050" i="1"/>
  <c r="AB3050" i="1"/>
  <c r="AE3050" i="1" s="1"/>
  <c r="AB3364" i="1"/>
  <c r="AE3364" i="1" s="1"/>
  <c r="AC3364" i="1"/>
  <c r="AC3392" i="1"/>
  <c r="AB3392" i="1"/>
  <c r="AE3392" i="1" s="1"/>
  <c r="AC1643" i="1"/>
  <c r="AB1666" i="1"/>
  <c r="AE1666" i="1" s="1"/>
  <c r="AB1707" i="1"/>
  <c r="AE1707" i="1" s="1"/>
  <c r="AB1715" i="1"/>
  <c r="AE1715" i="1" s="1"/>
  <c r="AC1731" i="1"/>
  <c r="AB1741" i="1"/>
  <c r="AE1741" i="1" s="1"/>
  <c r="AB1749" i="1"/>
  <c r="AE1749" i="1" s="1"/>
  <c r="AC1756" i="1"/>
  <c r="AB1766" i="1"/>
  <c r="AE1766" i="1" s="1"/>
  <c r="AC1816" i="1"/>
  <c r="AB1877" i="1"/>
  <c r="AE1877" i="1" s="1"/>
  <c r="AC1886" i="1"/>
  <c r="AB1886" i="1"/>
  <c r="AE1886" i="1" s="1"/>
  <c r="AC1927" i="1"/>
  <c r="AC1954" i="1"/>
  <c r="AB1980" i="1"/>
  <c r="AE1980" i="1" s="1"/>
  <c r="AB1987" i="1"/>
  <c r="AE1987" i="1" s="1"/>
  <c r="AB2103" i="1"/>
  <c r="AE2103" i="1" s="1"/>
  <c r="AB2154" i="1"/>
  <c r="AE2154" i="1" s="1"/>
  <c r="AB2231" i="1"/>
  <c r="AE2231" i="1" s="1"/>
  <c r="AC2240" i="1"/>
  <c r="AB2248" i="1"/>
  <c r="AE2248" i="1" s="1"/>
  <c r="AB2290" i="1"/>
  <c r="AE2290" i="1" s="1"/>
  <c r="AB2388" i="1"/>
  <c r="AE2388" i="1" s="1"/>
  <c r="AC2388" i="1"/>
  <c r="AC2409" i="1"/>
  <c r="AB2409" i="1"/>
  <c r="AE2409" i="1" s="1"/>
  <c r="AC2460" i="1"/>
  <c r="AC2472" i="1"/>
  <c r="AB2472" i="1"/>
  <c r="AE2472" i="1" s="1"/>
  <c r="AB2481" i="1"/>
  <c r="AE2481" i="1" s="1"/>
  <c r="AC2481" i="1"/>
  <c r="AB2573" i="1"/>
  <c r="AE2573" i="1" s="1"/>
  <c r="AC2573" i="1"/>
  <c r="AB2595" i="1"/>
  <c r="AE2595" i="1" s="1"/>
  <c r="AB2649" i="1"/>
  <c r="AE2649" i="1" s="1"/>
  <c r="AC2714" i="1"/>
  <c r="AB2777" i="1"/>
  <c r="AE2777" i="1" s="1"/>
  <c r="AC2869" i="1"/>
  <c r="AC2965" i="1"/>
  <c r="AB2965" i="1"/>
  <c r="AE2965" i="1" s="1"/>
  <c r="AC3018" i="1"/>
  <c r="AB3018" i="1"/>
  <c r="AE3018" i="1" s="1"/>
  <c r="AC3160" i="1"/>
  <c r="AB3160" i="1"/>
  <c r="AE3160" i="1" s="1"/>
  <c r="AC3218" i="1"/>
  <c r="AB3218" i="1"/>
  <c r="AE3218" i="1" s="1"/>
  <c r="AC3279" i="1"/>
  <c r="AB3279" i="1"/>
  <c r="AE3279" i="1" s="1"/>
  <c r="AC3353" i="1"/>
  <c r="AB3353" i="1"/>
  <c r="AE3353" i="1" s="1"/>
  <c r="AC3664" i="1"/>
  <c r="AB3664" i="1"/>
  <c r="AE3664" i="1" s="1"/>
  <c r="AC1625" i="1"/>
  <c r="AC1636" i="1"/>
  <c r="AB1651" i="1"/>
  <c r="AE1651" i="1" s="1"/>
  <c r="AB1659" i="1"/>
  <c r="AE1659" i="1" s="1"/>
  <c r="AB1675" i="1"/>
  <c r="AE1675" i="1" s="1"/>
  <c r="AC1691" i="1"/>
  <c r="AC1723" i="1"/>
  <c r="AB1757" i="1"/>
  <c r="AE1757" i="1" s="1"/>
  <c r="AC1757" i="1"/>
  <c r="AB1784" i="1"/>
  <c r="AE1784" i="1" s="1"/>
  <c r="AB1800" i="1"/>
  <c r="AE1800" i="1" s="1"/>
  <c r="AB1827" i="1"/>
  <c r="AE1827" i="1" s="1"/>
  <c r="AB1844" i="1"/>
  <c r="AE1844" i="1" s="1"/>
  <c r="AC1852" i="1"/>
  <c r="AB1861" i="1"/>
  <c r="AE1861" i="1" s="1"/>
  <c r="AB1870" i="1"/>
  <c r="AE1870" i="1" s="1"/>
  <c r="AB1895" i="1"/>
  <c r="AE1895" i="1" s="1"/>
  <c r="AC1944" i="1"/>
  <c r="AB1962" i="1"/>
  <c r="AE1962" i="1" s="1"/>
  <c r="AC1970" i="1"/>
  <c r="AB2012" i="1"/>
  <c r="AE2012" i="1" s="1"/>
  <c r="AB2064" i="1"/>
  <c r="AE2064" i="1" s="1"/>
  <c r="AC2093" i="1"/>
  <c r="AB2093" i="1"/>
  <c r="AE2093" i="1" s="1"/>
  <c r="AB2113" i="1"/>
  <c r="AE2113" i="1" s="1"/>
  <c r="AC2122" i="1"/>
  <c r="AB2122" i="1"/>
  <c r="AE2122" i="1" s="1"/>
  <c r="AC2134" i="1"/>
  <c r="AB2145" i="1"/>
  <c r="AE2145" i="1" s="1"/>
  <c r="AC2186" i="1"/>
  <c r="AB2186" i="1"/>
  <c r="AE2186" i="1" s="1"/>
  <c r="AB2203" i="1"/>
  <c r="AE2203" i="1" s="1"/>
  <c r="AC2222" i="1"/>
  <c r="AB2222" i="1"/>
  <c r="AE2222" i="1" s="1"/>
  <c r="AC2258" i="1"/>
  <c r="AB2258" i="1"/>
  <c r="AE2258" i="1" s="1"/>
  <c r="AC2274" i="1"/>
  <c r="AB2274" i="1"/>
  <c r="AE2274" i="1" s="1"/>
  <c r="AB2300" i="1"/>
  <c r="AE2300" i="1" s="1"/>
  <c r="AB2319" i="1"/>
  <c r="AE2319" i="1" s="1"/>
  <c r="AC2357" i="1"/>
  <c r="AB2366" i="1"/>
  <c r="AE2366" i="1" s="1"/>
  <c r="AB2399" i="1"/>
  <c r="AE2399" i="1" s="1"/>
  <c r="AC2451" i="1"/>
  <c r="AB2451" i="1"/>
  <c r="AE2451" i="1" s="1"/>
  <c r="AB2492" i="1"/>
  <c r="AE2492" i="1" s="1"/>
  <c r="AB2501" i="1"/>
  <c r="AE2501" i="1" s="1"/>
  <c r="AC2531" i="1"/>
  <c r="AB2586" i="1"/>
  <c r="AE2586" i="1" s="1"/>
  <c r="AC2586" i="1"/>
  <c r="AB2650" i="1"/>
  <c r="AE2650" i="1" s="1"/>
  <c r="AC2650" i="1"/>
  <c r="AC2673" i="1"/>
  <c r="AC2766" i="1"/>
  <c r="AB2766" i="1"/>
  <c r="AE2766" i="1" s="1"/>
  <c r="AB2808" i="1"/>
  <c r="AE2808" i="1" s="1"/>
  <c r="AC2840" i="1"/>
  <c r="AC2850" i="1"/>
  <c r="AB2850" i="1"/>
  <c r="AE2850" i="1" s="1"/>
  <c r="AB2860" i="1"/>
  <c r="AE2860" i="1" s="1"/>
  <c r="AC2910" i="1"/>
  <c r="AB3051" i="1"/>
  <c r="AE3051" i="1" s="1"/>
  <c r="AB3094" i="1"/>
  <c r="AE3094" i="1" s="1"/>
  <c r="AC3094" i="1"/>
  <c r="AC3116" i="1"/>
  <c r="AC3128" i="1"/>
  <c r="AB3128" i="1"/>
  <c r="AE3128" i="1" s="1"/>
  <c r="AC3175" i="1"/>
  <c r="AB3175" i="1"/>
  <c r="AE3175" i="1" s="1"/>
  <c r="AC3259" i="1"/>
  <c r="AC3440" i="1"/>
  <c r="AB3440" i="1"/>
  <c r="AE3440" i="1" s="1"/>
  <c r="AB3450" i="1"/>
  <c r="AE3450" i="1" s="1"/>
  <c r="AB3558" i="1"/>
  <c r="AE3558" i="1" s="1"/>
  <c r="AC3580" i="1"/>
  <c r="AB3591" i="1"/>
  <c r="AE3591" i="1" s="1"/>
  <c r="AC3635" i="1"/>
  <c r="AB3635" i="1"/>
  <c r="AE3635" i="1" s="1"/>
  <c r="AB1777" i="1"/>
  <c r="AE1777" i="1" s="1"/>
  <c r="AC1836" i="1"/>
  <c r="AC1906" i="1"/>
  <c r="AB1906" i="1"/>
  <c r="AE1906" i="1" s="1"/>
  <c r="AB1981" i="1"/>
  <c r="AE1981" i="1" s="1"/>
  <c r="AC1997" i="1"/>
  <c r="AC2083" i="1"/>
  <c r="AB2083" i="1"/>
  <c r="AE2083" i="1" s="1"/>
  <c r="AB2267" i="1"/>
  <c r="AE2267" i="1" s="1"/>
  <c r="AC2329" i="1"/>
  <c r="AB2329" i="1"/>
  <c r="AE2329" i="1" s="1"/>
  <c r="AB2349" i="1"/>
  <c r="AE2349" i="1" s="1"/>
  <c r="AC2389" i="1"/>
  <c r="AB2473" i="1"/>
  <c r="AE2473" i="1" s="1"/>
  <c r="AC2511" i="1"/>
  <c r="AB2511" i="1"/>
  <c r="AE2511" i="1" s="1"/>
  <c r="AB2522" i="1"/>
  <c r="AE2522" i="1" s="1"/>
  <c r="AB2607" i="1"/>
  <c r="AE2607" i="1" s="1"/>
  <c r="AC2727" i="1"/>
  <c r="AB2727" i="1"/>
  <c r="AE2727" i="1" s="1"/>
  <c r="AB2735" i="1"/>
  <c r="AE2735" i="1" s="1"/>
  <c r="AC2735" i="1"/>
  <c r="AC2745" i="1"/>
  <c r="AC2778" i="1"/>
  <c r="AB2778" i="1"/>
  <c r="AE2778" i="1" s="1"/>
  <c r="AC2841" i="1"/>
  <c r="AB2841" i="1"/>
  <c r="AE2841" i="1" s="1"/>
  <c r="AB2870" i="1"/>
  <c r="AE2870" i="1" s="1"/>
  <c r="AB2911" i="1"/>
  <c r="AE2911" i="1" s="1"/>
  <c r="AC2911" i="1"/>
  <c r="AC2922" i="1"/>
  <c r="AB2922" i="1"/>
  <c r="AE2922" i="1" s="1"/>
  <c r="AB2931" i="1"/>
  <c r="AE2931" i="1" s="1"/>
  <c r="AC2942" i="1"/>
  <c r="AB2942" i="1"/>
  <c r="AE2942" i="1" s="1"/>
  <c r="AB2975" i="1"/>
  <c r="AE2975" i="1" s="1"/>
  <c r="AC2975" i="1"/>
  <c r="AB3019" i="1"/>
  <c r="AE3019" i="1" s="1"/>
  <c r="AB3106" i="1"/>
  <c r="AE3106" i="1" s="1"/>
  <c r="AB3117" i="1"/>
  <c r="AE3117" i="1" s="1"/>
  <c r="AC3117" i="1"/>
  <c r="AC3162" i="1"/>
  <c r="AB3162" i="1"/>
  <c r="AE3162" i="1" s="1"/>
  <c r="AB3186" i="1"/>
  <c r="AE3186" i="1" s="1"/>
  <c r="AB3198" i="1"/>
  <c r="AE3198" i="1" s="1"/>
  <c r="AB3230" i="1"/>
  <c r="AE3230" i="1" s="1"/>
  <c r="AC3240" i="1"/>
  <c r="AB3240" i="1"/>
  <c r="AE3240" i="1" s="1"/>
  <c r="AB3280" i="1"/>
  <c r="AE3280" i="1" s="1"/>
  <c r="AC3385" i="1"/>
  <c r="AB3385" i="1"/>
  <c r="AE3385" i="1" s="1"/>
  <c r="AB3656" i="1"/>
  <c r="AE3656" i="1" s="1"/>
  <c r="AC3656" i="1"/>
  <c r="AC2013" i="1"/>
  <c r="AB2013" i="1"/>
  <c r="AE2013" i="1" s="1"/>
  <c r="AC2630" i="1"/>
  <c r="AB2630" i="1"/>
  <c r="AE2630" i="1" s="1"/>
  <c r="AB2686" i="1"/>
  <c r="AE2686" i="1" s="1"/>
  <c r="AC2686" i="1"/>
  <c r="AC2706" i="1"/>
  <c r="AB2706" i="1"/>
  <c r="AE2706" i="1" s="1"/>
  <c r="AC2901" i="1"/>
  <c r="AB2901" i="1"/>
  <c r="AE2901" i="1" s="1"/>
  <c r="AC3052" i="1"/>
  <c r="AB3052" i="1"/>
  <c r="AE3052" i="1" s="1"/>
  <c r="AC3130" i="1"/>
  <c r="AB3130" i="1"/>
  <c r="AE3130" i="1" s="1"/>
  <c r="AB3261" i="1"/>
  <c r="AE3261" i="1" s="1"/>
  <c r="AC3261" i="1"/>
  <c r="AC3395" i="1"/>
  <c r="AB3395" i="1"/>
  <c r="AE3395" i="1" s="1"/>
  <c r="AC3559" i="1"/>
  <c r="AB3559" i="1"/>
  <c r="AE3559" i="1" s="1"/>
  <c r="AB3592" i="1"/>
  <c r="AE3592" i="1" s="1"/>
  <c r="AC3592" i="1"/>
  <c r="AC3692" i="1"/>
  <c r="AC3659" i="1"/>
  <c r="AC3700" i="1"/>
  <c r="AC3707" i="1"/>
  <c r="AC3723" i="1"/>
  <c r="AB2540" i="1"/>
  <c r="AE2540" i="1" s="1"/>
  <c r="AB2549" i="1"/>
  <c r="AE2549" i="1" s="1"/>
  <c r="AB2566" i="1"/>
  <c r="AE2566" i="1" s="1"/>
  <c r="AB2584" i="1"/>
  <c r="AE2584" i="1" s="1"/>
  <c r="AB2600" i="1"/>
  <c r="AE2600" i="1" s="1"/>
  <c r="AC2624" i="1"/>
  <c r="AC2641" i="1"/>
  <c r="AB2675" i="1"/>
  <c r="AE2675" i="1" s="1"/>
  <c r="AB2700" i="1"/>
  <c r="AE2700" i="1" s="1"/>
  <c r="AB2716" i="1"/>
  <c r="AE2716" i="1" s="1"/>
  <c r="AB2731" i="1"/>
  <c r="AE2731" i="1" s="1"/>
  <c r="AB2746" i="1"/>
  <c r="AE2746" i="1" s="1"/>
  <c r="AC2754" i="1"/>
  <c r="AB2771" i="1"/>
  <c r="AE2771" i="1" s="1"/>
  <c r="AB2800" i="1"/>
  <c r="AE2800" i="1" s="1"/>
  <c r="AB2856" i="1"/>
  <c r="AE2856" i="1" s="1"/>
  <c r="AB2871" i="1"/>
  <c r="AE2871" i="1" s="1"/>
  <c r="AB2878" i="1"/>
  <c r="AE2878" i="1" s="1"/>
  <c r="AB2887" i="1"/>
  <c r="AE2887" i="1" s="1"/>
  <c r="AB2933" i="1"/>
  <c r="AE2933" i="1" s="1"/>
  <c r="AB2957" i="1"/>
  <c r="AE2957" i="1" s="1"/>
  <c r="AB2972" i="1"/>
  <c r="AE2972" i="1" s="1"/>
  <c r="AB2979" i="1"/>
  <c r="AE2979" i="1" s="1"/>
  <c r="AB2998" i="1"/>
  <c r="AE2998" i="1" s="1"/>
  <c r="AB3013" i="1"/>
  <c r="AE3013" i="1" s="1"/>
  <c r="AB3068" i="1"/>
  <c r="AE3068" i="1" s="1"/>
  <c r="AC3077" i="1"/>
  <c r="AB3087" i="1"/>
  <c r="AE3087" i="1" s="1"/>
  <c r="AC3126" i="1"/>
  <c r="AB3143" i="1"/>
  <c r="AE3143" i="1" s="1"/>
  <c r="AC3158" i="1"/>
  <c r="AC3190" i="1"/>
  <c r="AB3199" i="1"/>
  <c r="AE3199" i="1" s="1"/>
  <c r="AC3214" i="1"/>
  <c r="AB3231" i="1"/>
  <c r="AE3231" i="1" s="1"/>
  <c r="AB3238" i="1"/>
  <c r="AE3238" i="1" s="1"/>
  <c r="AC3245" i="1"/>
  <c r="AC3253" i="1"/>
  <c r="AC3277" i="1"/>
  <c r="AC3284" i="1"/>
  <c r="AB3294" i="1"/>
  <c r="AE3294" i="1" s="1"/>
  <c r="AC3340" i="1"/>
  <c r="AC3380" i="1"/>
  <c r="AC3388" i="1"/>
  <c r="AB3427" i="1"/>
  <c r="AE3427" i="1" s="1"/>
  <c r="AC3435" i="1"/>
  <c r="AB3443" i="1"/>
  <c r="AE3443" i="1" s="1"/>
  <c r="AC3461" i="1"/>
  <c r="AB3495" i="1"/>
  <c r="AE3495" i="1" s="1"/>
  <c r="AB3503" i="1"/>
  <c r="AE3503" i="1" s="1"/>
  <c r="AB3511" i="1"/>
  <c r="AE3511" i="1" s="1"/>
  <c r="AB3526" i="1"/>
  <c r="AE3526" i="1" s="1"/>
  <c r="AB3535" i="1"/>
  <c r="AE3535" i="1" s="1"/>
  <c r="AB3568" i="1"/>
  <c r="AE3568" i="1" s="1"/>
  <c r="AC3716" i="1"/>
  <c r="AC3742" i="1"/>
  <c r="AB3750" i="1"/>
  <c r="AE3750" i="1" s="1"/>
  <c r="AB2099" i="1"/>
  <c r="AE2099" i="1" s="1"/>
  <c r="AB2133" i="1"/>
  <c r="AE2133" i="1" s="1"/>
  <c r="AC2150" i="1"/>
  <c r="AB2164" i="1"/>
  <c r="AE2164" i="1" s="1"/>
  <c r="AC2189" i="1"/>
  <c r="AB2196" i="1"/>
  <c r="AE2196" i="1" s="1"/>
  <c r="AB2228" i="1"/>
  <c r="AE2228" i="1" s="1"/>
  <c r="AB2235" i="1"/>
  <c r="AE2235" i="1" s="1"/>
  <c r="AC2249" i="1"/>
  <c r="AB2270" i="1"/>
  <c r="AE2270" i="1" s="1"/>
  <c r="AB2291" i="1"/>
  <c r="AE2291" i="1" s="1"/>
  <c r="AB2321" i="1"/>
  <c r="AE2321" i="1" s="1"/>
  <c r="AC2352" i="1"/>
  <c r="AB2376" i="1"/>
  <c r="AE2376" i="1" s="1"/>
  <c r="AB2433" i="1"/>
  <c r="AE2433" i="1" s="1"/>
  <c r="AB2443" i="1"/>
  <c r="AE2443" i="1" s="1"/>
  <c r="AB2459" i="1"/>
  <c r="AE2459" i="1" s="1"/>
  <c r="AB2478" i="1"/>
  <c r="AE2478" i="1" s="1"/>
  <c r="AC2485" i="1"/>
  <c r="AB2518" i="1"/>
  <c r="AE2518" i="1" s="1"/>
  <c r="AB2533" i="1"/>
  <c r="AE2533" i="1" s="1"/>
  <c r="AB2558" i="1"/>
  <c r="AE2558" i="1" s="1"/>
  <c r="AB2591" i="1"/>
  <c r="AE2591" i="1" s="1"/>
  <c r="AC2618" i="1"/>
  <c r="AB2651" i="1"/>
  <c r="AE2651" i="1" s="1"/>
  <c r="AB2659" i="1"/>
  <c r="AE2659" i="1" s="1"/>
  <c r="AB2684" i="1"/>
  <c r="AE2684" i="1" s="1"/>
  <c r="AB2693" i="1"/>
  <c r="AE2693" i="1" s="1"/>
  <c r="AC2707" i="1"/>
  <c r="AB2725" i="1"/>
  <c r="AE2725" i="1" s="1"/>
  <c r="AB2794" i="1"/>
  <c r="AE2794" i="1" s="1"/>
  <c r="AC2848" i="1"/>
  <c r="AC2863" i="1"/>
  <c r="AC2926" i="1"/>
  <c r="AB2950" i="1"/>
  <c r="AE2950" i="1" s="1"/>
  <c r="AB3021" i="1"/>
  <c r="AE3021" i="1" s="1"/>
  <c r="AB3047" i="1"/>
  <c r="AE3047" i="1" s="1"/>
  <c r="AB3060" i="1"/>
  <c r="AE3060" i="1" s="1"/>
  <c r="AB3095" i="1"/>
  <c r="AE3095" i="1" s="1"/>
  <c r="AB3103" i="1"/>
  <c r="AE3103" i="1" s="1"/>
  <c r="AB3111" i="1"/>
  <c r="AE3111" i="1" s="1"/>
  <c r="AB3135" i="1"/>
  <c r="AE3135" i="1" s="1"/>
  <c r="AB3151" i="1"/>
  <c r="AE3151" i="1" s="1"/>
  <c r="AB3183" i="1"/>
  <c r="AE3183" i="1" s="1"/>
  <c r="AB3207" i="1"/>
  <c r="AE3207" i="1" s="1"/>
  <c r="AC3222" i="1"/>
  <c r="AB3262" i="1"/>
  <c r="AE3262" i="1" s="1"/>
  <c r="AB3270" i="1"/>
  <c r="AE3270" i="1" s="1"/>
  <c r="AB3302" i="1"/>
  <c r="AE3302" i="1" s="1"/>
  <c r="AB3310" i="1"/>
  <c r="AE3310" i="1" s="1"/>
  <c r="AB3334" i="1"/>
  <c r="AE3334" i="1" s="1"/>
  <c r="AC3349" i="1"/>
  <c r="AB3374" i="1"/>
  <c r="AE3374" i="1" s="1"/>
  <c r="AB3479" i="1"/>
  <c r="AE3479" i="1" s="1"/>
  <c r="AB3519" i="1"/>
  <c r="AE3519" i="1" s="1"/>
  <c r="AB3543" i="1"/>
  <c r="AE3543" i="1" s="1"/>
  <c r="AB3552" i="1"/>
  <c r="AE3552" i="1" s="1"/>
  <c r="AB3593" i="1"/>
  <c r="AE3593" i="1" s="1"/>
  <c r="AB3603" i="1"/>
  <c r="AE3603" i="1" s="1"/>
  <c r="AC3644" i="1"/>
  <c r="AC3694" i="1"/>
  <c r="AC3701" i="1"/>
  <c r="AC3708" i="1"/>
  <c r="AC2069" i="1"/>
  <c r="AB2158" i="1"/>
  <c r="AE2158" i="1" s="1"/>
  <c r="AC2172" i="1"/>
  <c r="AB2181" i="1"/>
  <c r="AE2181" i="1" s="1"/>
  <c r="AC2243" i="1"/>
  <c r="AB2263" i="1"/>
  <c r="AE2263" i="1" s="1"/>
  <c r="AC2336" i="1"/>
  <c r="AC2525" i="1"/>
  <c r="AC2567" i="1"/>
  <c r="AC2609" i="1"/>
  <c r="AC2739" i="1"/>
  <c r="AB2779" i="1"/>
  <c r="AE2779" i="1" s="1"/>
  <c r="AC2818" i="1"/>
  <c r="AC2913" i="1"/>
  <c r="AB2966" i="1"/>
  <c r="AE2966" i="1" s="1"/>
  <c r="AB2999" i="1"/>
  <c r="AE2999" i="1" s="1"/>
  <c r="AC3007" i="1"/>
  <c r="AB3078" i="1"/>
  <c r="AE3078" i="1" s="1"/>
  <c r="AC3254" i="1"/>
  <c r="AC3318" i="1"/>
  <c r="AC3396" i="1"/>
  <c r="AC3436" i="1"/>
  <c r="AC3462" i="1"/>
  <c r="AC3560" i="1"/>
  <c r="AC3576" i="1"/>
  <c r="AC3620" i="1"/>
  <c r="AC3628" i="1"/>
  <c r="AC3637" i="1"/>
  <c r="AB3710" i="1"/>
  <c r="AE3710" i="1" s="1"/>
  <c r="AB3430" i="1"/>
  <c r="AE3430" i="1" s="1"/>
  <c r="AB3472" i="1"/>
  <c r="AE3472" i="1" s="1"/>
  <c r="AB3489" i="1"/>
  <c r="AE3489" i="1" s="1"/>
  <c r="AB3497" i="1"/>
  <c r="AE3497" i="1" s="1"/>
  <c r="AB3513" i="1"/>
  <c r="AE3513" i="1" s="1"/>
  <c r="AB3562" i="1"/>
  <c r="AE3562" i="1" s="1"/>
  <c r="AB3570" i="1"/>
  <c r="AE3570" i="1" s="1"/>
  <c r="AB3578" i="1"/>
  <c r="AE3578" i="1" s="1"/>
  <c r="AC3596" i="1"/>
  <c r="AC3605" i="1"/>
  <c r="AB3622" i="1"/>
  <c r="AE3622" i="1" s="1"/>
  <c r="AB3680" i="1"/>
  <c r="AE3680" i="1" s="1"/>
  <c r="AB3735" i="1"/>
  <c r="AE3735" i="1" s="1"/>
  <c r="AB3744" i="1"/>
  <c r="AE3744" i="1" s="1"/>
  <c r="AC2102" i="1"/>
  <c r="AC2183" i="1"/>
  <c r="AB2192" i="1"/>
  <c r="AE2192" i="1" s="1"/>
  <c r="AC2213" i="1"/>
  <c r="AC2265" i="1"/>
  <c r="AC2315" i="1"/>
  <c r="AB2354" i="1"/>
  <c r="AE2354" i="1" s="1"/>
  <c r="AB2361" i="1"/>
  <c r="AE2361" i="1" s="1"/>
  <c r="AC2427" i="1"/>
  <c r="AC2535" i="1"/>
  <c r="AC2577" i="1"/>
  <c r="AB2645" i="1"/>
  <c r="AE2645" i="1" s="1"/>
  <c r="AB2662" i="1"/>
  <c r="AE2662" i="1" s="1"/>
  <c r="AC2702" i="1"/>
  <c r="AB2820" i="1"/>
  <c r="AE2820" i="1" s="1"/>
  <c r="AB2836" i="1"/>
  <c r="AE2836" i="1" s="1"/>
  <c r="AB2968" i="1"/>
  <c r="AE2968" i="1" s="1"/>
  <c r="AC3023" i="1"/>
  <c r="AC3041" i="1"/>
  <c r="AC3055" i="1"/>
  <c r="AB3081" i="1"/>
  <c r="AE3081" i="1" s="1"/>
  <c r="AB3089" i="1"/>
  <c r="AE3089" i="1" s="1"/>
  <c r="AB3145" i="1"/>
  <c r="AE3145" i="1" s="1"/>
  <c r="AB3201" i="1"/>
  <c r="AE3201" i="1" s="1"/>
  <c r="AB3233" i="1"/>
  <c r="AE3233" i="1" s="1"/>
  <c r="AC3368" i="1"/>
  <c r="AB3745" i="1"/>
  <c r="AE3745" i="1" s="1"/>
  <c r="AC3704" i="1"/>
  <c r="AC2638" i="1"/>
  <c r="AC2689" i="1"/>
  <c r="AC2751" i="1"/>
  <c r="AC2776" i="1"/>
  <c r="AC2797" i="1"/>
  <c r="AB2806" i="1"/>
  <c r="AE2806" i="1" s="1"/>
  <c r="AB2814" i="1"/>
  <c r="AE2814" i="1" s="1"/>
  <c r="AB2875" i="1"/>
  <c r="AE2875" i="1" s="1"/>
  <c r="AC2930" i="1"/>
  <c r="AC2962" i="1"/>
  <c r="AB3044" i="1"/>
  <c r="AE3044" i="1" s="1"/>
  <c r="AB3072" i="1"/>
  <c r="AE3072" i="1" s="1"/>
  <c r="AB3147" i="1"/>
  <c r="AE3147" i="1" s="1"/>
  <c r="AC3155" i="1"/>
  <c r="AC3187" i="1"/>
  <c r="AB3242" i="1"/>
  <c r="AE3242" i="1" s="1"/>
  <c r="AB3250" i="1"/>
  <c r="AE3250" i="1" s="1"/>
  <c r="AB3313" i="1"/>
  <c r="AE3313" i="1" s="1"/>
  <c r="AB3337" i="1"/>
  <c r="AE3337" i="1" s="1"/>
  <c r="AB3345" i="1"/>
  <c r="AE3345" i="1" s="1"/>
  <c r="AB3362" i="1"/>
  <c r="AE3362" i="1" s="1"/>
  <c r="AC3416" i="1"/>
  <c r="AC3448" i="1"/>
  <c r="AC3590" i="1"/>
  <c r="AC3640" i="1"/>
  <c r="AB3673" i="1"/>
  <c r="AE3673" i="1" s="1"/>
  <c r="AB3698" i="1"/>
  <c r="AE3698" i="1" s="1"/>
  <c r="AB3737" i="1"/>
  <c r="AE3737" i="1" s="1"/>
  <c r="AC66" i="1"/>
  <c r="AB66" i="1"/>
  <c r="AE66" i="1" s="1"/>
  <c r="AC194" i="1"/>
  <c r="AB194" i="1"/>
  <c r="AE194" i="1" s="1"/>
  <c r="AC474" i="1"/>
  <c r="AB474" i="1"/>
  <c r="AE474" i="1" s="1"/>
  <c r="AB654" i="1"/>
  <c r="AE654" i="1" s="1"/>
  <c r="AC654" i="1"/>
  <c r="AC16" i="1"/>
  <c r="AB16" i="1"/>
  <c r="AE16" i="1" s="1"/>
  <c r="AB38" i="1"/>
  <c r="AE38" i="1" s="1"/>
  <c r="AC144" i="1"/>
  <c r="AB144" i="1"/>
  <c r="AE144" i="1" s="1"/>
  <c r="AB166" i="1"/>
  <c r="AE166" i="1" s="1"/>
  <c r="AB280" i="1"/>
  <c r="AE280" i="1" s="1"/>
  <c r="AC316" i="1"/>
  <c r="AB341" i="1"/>
  <c r="AE341" i="1" s="1"/>
  <c r="AC442" i="1"/>
  <c r="AB442" i="1"/>
  <c r="AE442" i="1" s="1"/>
  <c r="AB468" i="1"/>
  <c r="AE468" i="1" s="1"/>
  <c r="AC468" i="1"/>
  <c r="AB575" i="1"/>
  <c r="AE575" i="1" s="1"/>
  <c r="AB608" i="1"/>
  <c r="AE608" i="1" s="1"/>
  <c r="AB895" i="1"/>
  <c r="AE895" i="1" s="1"/>
  <c r="AC895" i="1"/>
  <c r="AB962" i="1"/>
  <c r="AE962" i="1" s="1"/>
  <c r="AB1277" i="1"/>
  <c r="AE1277" i="1" s="1"/>
  <c r="AC1277" i="1"/>
  <c r="AB256" i="1"/>
  <c r="AE256" i="1" s="1"/>
  <c r="AB410" i="1"/>
  <c r="AE410" i="1" s="1"/>
  <c r="AC688" i="1"/>
  <c r="AB688" i="1"/>
  <c r="AE688" i="1" s="1"/>
  <c r="AB795" i="1"/>
  <c r="AE795" i="1" s="1"/>
  <c r="AC896" i="1"/>
  <c r="AB896" i="1"/>
  <c r="AE896" i="1" s="1"/>
  <c r="AB1044" i="1"/>
  <c r="AE1044" i="1" s="1"/>
  <c r="AC1044" i="1"/>
  <c r="AB1252" i="1"/>
  <c r="AE1252" i="1" s="1"/>
  <c r="AC1252" i="1"/>
  <c r="AC499" i="1"/>
  <c r="AB499" i="1"/>
  <c r="AE499" i="1" s="1"/>
  <c r="AC955" i="1"/>
  <c r="AB955" i="1"/>
  <c r="AE955" i="1" s="1"/>
  <c r="AC1124" i="1"/>
  <c r="AB1124" i="1"/>
  <c r="AE1124" i="1" s="1"/>
  <c r="AB274" i="1"/>
  <c r="AE274" i="1" s="1"/>
  <c r="AC436" i="1"/>
  <c r="AB436" i="1"/>
  <c r="AE436" i="1" s="1"/>
  <c r="AC641" i="1"/>
  <c r="AB641" i="1"/>
  <c r="AE641" i="1" s="1"/>
  <c r="AB845" i="1"/>
  <c r="AE845" i="1" s="1"/>
  <c r="AC845" i="1"/>
  <c r="AB1244" i="1"/>
  <c r="AE1244" i="1" s="1"/>
  <c r="AC1244" i="1"/>
  <c r="AB10" i="1"/>
  <c r="AE10" i="1" s="1"/>
  <c r="AB60" i="1"/>
  <c r="AE60" i="1" s="1"/>
  <c r="AB138" i="1"/>
  <c r="AE138" i="1" s="1"/>
  <c r="AB188" i="1"/>
  <c r="AE188" i="1" s="1"/>
  <c r="AC404" i="1"/>
  <c r="AC747" i="1"/>
  <c r="AB747" i="1"/>
  <c r="AE747" i="1" s="1"/>
  <c r="AB839" i="1"/>
  <c r="AE839" i="1" s="1"/>
  <c r="AC839" i="1"/>
  <c r="AC948" i="1"/>
  <c r="AB948" i="1"/>
  <c r="AE948" i="1" s="1"/>
  <c r="AC1238" i="1"/>
  <c r="AB1238" i="1"/>
  <c r="AE1238" i="1" s="1"/>
  <c r="AC77" i="1"/>
  <c r="AB77" i="1"/>
  <c r="AE77" i="1" s="1"/>
  <c r="AC205" i="1"/>
  <c r="AB205" i="1"/>
  <c r="AE205" i="1" s="1"/>
  <c r="AC228" i="1"/>
  <c r="AB228" i="1"/>
  <c r="AE228" i="1" s="1"/>
  <c r="AB334" i="1"/>
  <c r="AE334" i="1" s="1"/>
  <c r="AC334" i="1"/>
  <c r="AC1001" i="1"/>
  <c r="AB1001" i="1"/>
  <c r="AE1001" i="1" s="1"/>
  <c r="AB1110" i="1"/>
  <c r="AE1110" i="1" s="1"/>
  <c r="AC1110" i="1"/>
  <c r="AB116" i="1"/>
  <c r="AE116" i="1" s="1"/>
  <c r="AB304" i="1"/>
  <c r="AE304" i="1" s="1"/>
  <c r="AC335" i="1"/>
  <c r="AB335" i="1"/>
  <c r="AE335" i="1" s="1"/>
  <c r="AC531" i="1"/>
  <c r="AB531" i="1"/>
  <c r="AE531" i="1" s="1"/>
  <c r="AB634" i="1"/>
  <c r="AE634" i="1" s="1"/>
  <c r="AC634" i="1"/>
  <c r="AB881" i="1"/>
  <c r="AE881" i="1" s="1"/>
  <c r="AC27" i="1"/>
  <c r="AB27" i="1"/>
  <c r="AE27" i="1" s="1"/>
  <c r="AC155" i="1"/>
  <c r="AB155" i="1"/>
  <c r="AE155" i="1" s="1"/>
  <c r="AC1225" i="1"/>
  <c r="AB1225" i="1"/>
  <c r="AE1225" i="1" s="1"/>
  <c r="AC55" i="1"/>
  <c r="AB55" i="1"/>
  <c r="AE55" i="1" s="1"/>
  <c r="AC183" i="1"/>
  <c r="AB183" i="1"/>
  <c r="AE183" i="1" s="1"/>
  <c r="AC245" i="1"/>
  <c r="AB245" i="1"/>
  <c r="AE245" i="1" s="1"/>
  <c r="AC455" i="1"/>
  <c r="AB455" i="1"/>
  <c r="AE455" i="1" s="1"/>
  <c r="AB781" i="1"/>
  <c r="AE781" i="1" s="1"/>
  <c r="AC781" i="1"/>
  <c r="AC831" i="1"/>
  <c r="AB986" i="1"/>
  <c r="AE986" i="1" s="1"/>
  <c r="AC986" i="1"/>
  <c r="AC5" i="1"/>
  <c r="AB5" i="1"/>
  <c r="AE5" i="1" s="1"/>
  <c r="AC133" i="1"/>
  <c r="AB133" i="1"/>
  <c r="AE133" i="1" s="1"/>
  <c r="AC423" i="1"/>
  <c r="AB423" i="1"/>
  <c r="AE423" i="1" s="1"/>
  <c r="AB627" i="1"/>
  <c r="AE627" i="1" s="1"/>
  <c r="AC1081" i="1"/>
  <c r="AB1081" i="1"/>
  <c r="AE1081" i="1" s="1"/>
  <c r="AC360" i="1"/>
  <c r="AB360" i="1"/>
  <c r="AE360" i="1" s="1"/>
  <c r="AC735" i="1"/>
  <c r="AB735" i="1"/>
  <c r="AE735" i="1" s="1"/>
  <c r="AB292" i="1"/>
  <c r="AE292" i="1" s="1"/>
  <c r="AB385" i="1"/>
  <c r="AE385" i="1" s="1"/>
  <c r="AB448" i="1"/>
  <c r="AE448" i="1" s="1"/>
  <c r="AC518" i="1"/>
  <c r="AC588" i="1"/>
  <c r="AB588" i="1"/>
  <c r="AE588" i="1" s="1"/>
  <c r="AC700" i="1"/>
  <c r="AB700" i="1"/>
  <c r="AE700" i="1" s="1"/>
  <c r="AB88" i="1"/>
  <c r="AE88" i="1" s="1"/>
  <c r="AC110" i="1"/>
  <c r="AB216" i="1"/>
  <c r="AE216" i="1" s="1"/>
  <c r="AB239" i="1"/>
  <c r="AE239" i="1" s="1"/>
  <c r="AC512" i="1"/>
  <c r="AB512" i="1"/>
  <c r="AE512" i="1" s="1"/>
  <c r="AB694" i="1"/>
  <c r="AE694" i="1" s="1"/>
  <c r="AB767" i="1"/>
  <c r="AE767" i="1" s="1"/>
  <c r="AC767" i="1"/>
  <c r="AC347" i="1"/>
  <c r="AB347" i="1"/>
  <c r="AE347" i="1" s="1"/>
  <c r="AC919" i="1"/>
  <c r="AB919" i="1"/>
  <c r="AE919" i="1" s="1"/>
  <c r="AC978" i="1"/>
  <c r="AB978" i="1"/>
  <c r="AE978" i="1" s="1"/>
  <c r="AC1163" i="1"/>
  <c r="AB1163" i="1"/>
  <c r="AE1163" i="1" s="1"/>
  <c r="AB286" i="1"/>
  <c r="AE286" i="1" s="1"/>
  <c r="AC286" i="1"/>
  <c r="AC417" i="1"/>
  <c r="AB417" i="1"/>
  <c r="AE417" i="1" s="1"/>
  <c r="AB721" i="1"/>
  <c r="AE721" i="1" s="1"/>
  <c r="AC721" i="1"/>
  <c r="AC968" i="1"/>
  <c r="AB968" i="1"/>
  <c r="AE968" i="1" s="1"/>
  <c r="AC3142" i="1"/>
  <c r="AB3142" i="1"/>
  <c r="AE3142" i="1" s="1"/>
  <c r="AC323" i="1"/>
  <c r="AB323" i="1"/>
  <c r="AE323" i="1" s="1"/>
  <c r="AB366" i="1"/>
  <c r="AE366" i="1" s="1"/>
  <c r="AC366" i="1"/>
  <c r="AB398" i="1"/>
  <c r="AE398" i="1" s="1"/>
  <c r="AC398" i="1"/>
  <c r="AC595" i="1"/>
  <c r="AB595" i="1"/>
  <c r="AE595" i="1" s="1"/>
  <c r="AC804" i="1"/>
  <c r="AB804" i="1"/>
  <c r="AE804" i="1" s="1"/>
  <c r="AC987" i="1"/>
  <c r="AB987" i="1"/>
  <c r="AE987" i="1" s="1"/>
  <c r="AB1045" i="1"/>
  <c r="AE1045" i="1" s="1"/>
  <c r="AB1051" i="1"/>
  <c r="AE1051" i="1" s="1"/>
  <c r="AB1111" i="1"/>
  <c r="AE1111" i="1" s="1"/>
  <c r="AB1164" i="1"/>
  <c r="AE1164" i="1" s="1"/>
  <c r="AC1179" i="1"/>
  <c r="AB1179" i="1"/>
  <c r="AE1179" i="1" s="1"/>
  <c r="AC1188" i="1"/>
  <c r="AB1188" i="1"/>
  <c r="AE1188" i="1" s="1"/>
  <c r="AC1364" i="1"/>
  <c r="AB1364" i="1"/>
  <c r="AE1364" i="1" s="1"/>
  <c r="AB83" i="1"/>
  <c r="AE83" i="1" s="1"/>
  <c r="AC94" i="1"/>
  <c r="AB211" i="1"/>
  <c r="AE211" i="1" s="1"/>
  <c r="AC222" i="1"/>
  <c r="AB317" i="1"/>
  <c r="AE317" i="1" s="1"/>
  <c r="AB373" i="1"/>
  <c r="AE373" i="1" s="1"/>
  <c r="AB405" i="1"/>
  <c r="AE405" i="1" s="1"/>
  <c r="AB487" i="1"/>
  <c r="AE487" i="1" s="1"/>
  <c r="AB544" i="1"/>
  <c r="AE544" i="1" s="1"/>
  <c r="AC550" i="1"/>
  <c r="AB563" i="1"/>
  <c r="AE563" i="1" s="1"/>
  <c r="AC582" i="1"/>
  <c r="AB615" i="1"/>
  <c r="AE615" i="1" s="1"/>
  <c r="AC628" i="1"/>
  <c r="AB662" i="1"/>
  <c r="AE662" i="1" s="1"/>
  <c r="AB714" i="1"/>
  <c r="AE714" i="1" s="1"/>
  <c r="AC768" i="1"/>
  <c r="AC775" i="1"/>
  <c r="AB790" i="1"/>
  <c r="AE790" i="1" s="1"/>
  <c r="AB818" i="1"/>
  <c r="AE818" i="1" s="1"/>
  <c r="AB832" i="1"/>
  <c r="AE832" i="1" s="1"/>
  <c r="AB846" i="1"/>
  <c r="AE846" i="1" s="1"/>
  <c r="AC846" i="1"/>
  <c r="AB868" i="1"/>
  <c r="AE868" i="1" s="1"/>
  <c r="AB882" i="1"/>
  <c r="AE882" i="1" s="1"/>
  <c r="AC911" i="1"/>
  <c r="AB925" i="1"/>
  <c r="AE925" i="1" s="1"/>
  <c r="AC925" i="1"/>
  <c r="AB940" i="1"/>
  <c r="AE940" i="1" s="1"/>
  <c r="AC956" i="1"/>
  <c r="AB956" i="1"/>
  <c r="AE956" i="1" s="1"/>
  <c r="AB994" i="1"/>
  <c r="AE994" i="1" s="1"/>
  <c r="AB1037" i="1"/>
  <c r="AE1037" i="1" s="1"/>
  <c r="AC1037" i="1"/>
  <c r="AB1068" i="1"/>
  <c r="AE1068" i="1" s="1"/>
  <c r="AB1075" i="1"/>
  <c r="AE1075" i="1" s="1"/>
  <c r="AB1082" i="1"/>
  <c r="AE1082" i="1" s="1"/>
  <c r="AB1325" i="1"/>
  <c r="AE1325" i="1" s="1"/>
  <c r="AC1325" i="1"/>
  <c r="AC1341" i="1"/>
  <c r="AB1565" i="1"/>
  <c r="AE1565" i="1" s="1"/>
  <c r="AC1565" i="1"/>
  <c r="AB462" i="1"/>
  <c r="AE462" i="1" s="1"/>
  <c r="AC462" i="1"/>
  <c r="AB669" i="1"/>
  <c r="AE669" i="1" s="1"/>
  <c r="AC669" i="1"/>
  <c r="AB701" i="1"/>
  <c r="AE701" i="1" s="1"/>
  <c r="AC701" i="1"/>
  <c r="AB847" i="1"/>
  <c r="AE847" i="1" s="1"/>
  <c r="AC847" i="1"/>
  <c r="AC883" i="1"/>
  <c r="AB883" i="1"/>
  <c r="AE883" i="1" s="1"/>
  <c r="AC1156" i="1"/>
  <c r="AC1233" i="1"/>
  <c r="AB1262" i="1"/>
  <c r="AE1262" i="1" s="1"/>
  <c r="AC1487" i="1"/>
  <c r="AB1487" i="1"/>
  <c r="AE1487" i="1" s="1"/>
  <c r="AC1534" i="1"/>
  <c r="AB1534" i="1"/>
  <c r="AE1534" i="1" s="1"/>
  <c r="AB6" i="1"/>
  <c r="AE6" i="1" s="1"/>
  <c r="AB17" i="1"/>
  <c r="AE17" i="1" s="1"/>
  <c r="AB28" i="1"/>
  <c r="AE28" i="1" s="1"/>
  <c r="AB56" i="1"/>
  <c r="AE56" i="1" s="1"/>
  <c r="AB67" i="1"/>
  <c r="AE67" i="1" s="1"/>
  <c r="AC78" i="1"/>
  <c r="AB84" i="1"/>
  <c r="AE84" i="1" s="1"/>
  <c r="AB95" i="1"/>
  <c r="AE95" i="1" s="1"/>
  <c r="AB106" i="1"/>
  <c r="AE106" i="1" s="1"/>
  <c r="AB134" i="1"/>
  <c r="AE134" i="1" s="1"/>
  <c r="AB145" i="1"/>
  <c r="AE145" i="1" s="1"/>
  <c r="AB156" i="1"/>
  <c r="AE156" i="1" s="1"/>
  <c r="AB184" i="1"/>
  <c r="AE184" i="1" s="1"/>
  <c r="AB195" i="1"/>
  <c r="AE195" i="1" s="1"/>
  <c r="AC206" i="1"/>
  <c r="AB212" i="1"/>
  <c r="AE212" i="1" s="1"/>
  <c r="AC223" i="1"/>
  <c r="AC318" i="1"/>
  <c r="AB330" i="1"/>
  <c r="AE330" i="1" s="1"/>
  <c r="AB336" i="1"/>
  <c r="AE336" i="1" s="1"/>
  <c r="AC348" i="1"/>
  <c r="AC355" i="1"/>
  <c r="AB355" i="1"/>
  <c r="AE355" i="1" s="1"/>
  <c r="AB374" i="1"/>
  <c r="AE374" i="1" s="1"/>
  <c r="AB406" i="1"/>
  <c r="AE406" i="1" s="1"/>
  <c r="AB437" i="1"/>
  <c r="AE437" i="1" s="1"/>
  <c r="AB475" i="1"/>
  <c r="AE475" i="1" s="1"/>
  <c r="AB488" i="1"/>
  <c r="AE488" i="1" s="1"/>
  <c r="AB494" i="1"/>
  <c r="AE494" i="1" s="1"/>
  <c r="AC494" i="1"/>
  <c r="AB526" i="1"/>
  <c r="AE526" i="1" s="1"/>
  <c r="AC526" i="1"/>
  <c r="AB545" i="1"/>
  <c r="AE545" i="1" s="1"/>
  <c r="AB551" i="1"/>
  <c r="AE551" i="1" s="1"/>
  <c r="AB564" i="1"/>
  <c r="AE564" i="1" s="1"/>
  <c r="AB570" i="1"/>
  <c r="AE570" i="1" s="1"/>
  <c r="AB583" i="1"/>
  <c r="AE583" i="1" s="1"/>
  <c r="AB616" i="1"/>
  <c r="AE616" i="1" s="1"/>
  <c r="AB622" i="1"/>
  <c r="AE622" i="1" s="1"/>
  <c r="AC622" i="1"/>
  <c r="AB642" i="1"/>
  <c r="AE642" i="1" s="1"/>
  <c r="AC663" i="1"/>
  <c r="AB682" i="1"/>
  <c r="AE682" i="1" s="1"/>
  <c r="AB689" i="1"/>
  <c r="AE689" i="1" s="1"/>
  <c r="AC715" i="1"/>
  <c r="AB736" i="1"/>
  <c r="AE736" i="1" s="1"/>
  <c r="AB791" i="1"/>
  <c r="AE791" i="1" s="1"/>
  <c r="AC811" i="1"/>
  <c r="AB819" i="1"/>
  <c r="AE819" i="1" s="1"/>
  <c r="AC861" i="1"/>
  <c r="AB869" i="1"/>
  <c r="AE869" i="1" s="1"/>
  <c r="AC884" i="1"/>
  <c r="AB884" i="1"/>
  <c r="AE884" i="1" s="1"/>
  <c r="AC912" i="1"/>
  <c r="AB935" i="1"/>
  <c r="AE935" i="1" s="1"/>
  <c r="AB979" i="1"/>
  <c r="AE979" i="1" s="1"/>
  <c r="AB1030" i="1"/>
  <c r="AE1030" i="1" s="1"/>
  <c r="AC1030" i="1"/>
  <c r="AB1076" i="1"/>
  <c r="AE1076" i="1" s="1"/>
  <c r="AC1220" i="1"/>
  <c r="AB1220" i="1"/>
  <c r="AE1220" i="1" s="1"/>
  <c r="AC1227" i="1"/>
  <c r="AB1227" i="1"/>
  <c r="AE1227" i="1" s="1"/>
  <c r="AC1296" i="1"/>
  <c r="AB1296" i="1"/>
  <c r="AE1296" i="1" s="1"/>
  <c r="AC1309" i="1"/>
  <c r="AB1309" i="1"/>
  <c r="AE1309" i="1" s="1"/>
  <c r="AC1472" i="1"/>
  <c r="AB1472" i="1"/>
  <c r="AE1472" i="1" s="1"/>
  <c r="AC1480" i="1"/>
  <c r="AB1480" i="1"/>
  <c r="AE1480" i="1" s="1"/>
  <c r="AB235" i="1"/>
  <c r="AE235" i="1" s="1"/>
  <c r="AB252" i="1"/>
  <c r="AE252" i="1" s="1"/>
  <c r="AB258" i="1"/>
  <c r="AE258" i="1" s="1"/>
  <c r="AB264" i="1"/>
  <c r="AE264" i="1" s="1"/>
  <c r="AB276" i="1"/>
  <c r="AE276" i="1" s="1"/>
  <c r="AB300" i="1"/>
  <c r="AE300" i="1" s="1"/>
  <c r="AB306" i="1"/>
  <c r="AE306" i="1" s="1"/>
  <c r="AC312" i="1"/>
  <c r="AB380" i="1"/>
  <c r="AE380" i="1" s="1"/>
  <c r="AC387" i="1"/>
  <c r="AB387" i="1"/>
  <c r="AE387" i="1" s="1"/>
  <c r="AB431" i="1"/>
  <c r="AE431" i="1" s="1"/>
  <c r="AB463" i="1"/>
  <c r="AE463" i="1" s="1"/>
  <c r="AB501" i="1"/>
  <c r="AE501" i="1" s="1"/>
  <c r="AB520" i="1"/>
  <c r="AE520" i="1" s="1"/>
  <c r="AB533" i="1"/>
  <c r="AE533" i="1" s="1"/>
  <c r="AB577" i="1"/>
  <c r="AE577" i="1" s="1"/>
  <c r="AB597" i="1"/>
  <c r="AE597" i="1" s="1"/>
  <c r="AB656" i="1"/>
  <c r="AE656" i="1" s="1"/>
  <c r="AC670" i="1"/>
  <c r="AC702" i="1"/>
  <c r="AC709" i="1"/>
  <c r="AB723" i="1"/>
  <c r="AE723" i="1" s="1"/>
  <c r="AB743" i="1"/>
  <c r="AE743" i="1" s="1"/>
  <c r="AC783" i="1"/>
  <c r="AB797" i="1"/>
  <c r="AE797" i="1" s="1"/>
  <c r="AC797" i="1"/>
  <c r="AC848" i="1"/>
  <c r="AC875" i="1"/>
  <c r="AB898" i="1"/>
  <c r="AE898" i="1" s="1"/>
  <c r="AC941" i="1"/>
  <c r="AB950" i="1"/>
  <c r="AE950" i="1" s="1"/>
  <c r="AB972" i="1"/>
  <c r="AE972" i="1" s="1"/>
  <c r="AC980" i="1"/>
  <c r="AB980" i="1"/>
  <c r="AE980" i="1" s="1"/>
  <c r="AC989" i="1"/>
  <c r="AB989" i="1"/>
  <c r="AE989" i="1" s="1"/>
  <c r="AC1023" i="1"/>
  <c r="AC1097" i="1"/>
  <c r="AC1157" i="1"/>
  <c r="AC1212" i="1"/>
  <c r="AC1327" i="1"/>
  <c r="AB1327" i="1"/>
  <c r="AE1327" i="1" s="1"/>
  <c r="AB590" i="1"/>
  <c r="AE590" i="1" s="1"/>
  <c r="AC590" i="1"/>
  <c r="AB749" i="1"/>
  <c r="AE749" i="1" s="1"/>
  <c r="AC749" i="1"/>
  <c r="AB798" i="1"/>
  <c r="AE798" i="1" s="1"/>
  <c r="AC798" i="1"/>
  <c r="AB942" i="1"/>
  <c r="AE942" i="1" s="1"/>
  <c r="AC942" i="1"/>
  <c r="AC1024" i="1"/>
  <c r="AB1024" i="1"/>
  <c r="AE1024" i="1" s="1"/>
  <c r="AB1158" i="1"/>
  <c r="AE1158" i="1" s="1"/>
  <c r="AC1158" i="1"/>
  <c r="AB1213" i="1"/>
  <c r="AE1213" i="1" s="1"/>
  <c r="AC1213" i="1"/>
  <c r="AC1247" i="1"/>
  <c r="AB1247" i="1"/>
  <c r="AE1247" i="1" s="1"/>
  <c r="AB1255" i="1"/>
  <c r="AE1255" i="1" s="1"/>
  <c r="AC1255" i="1"/>
  <c r="AC1464" i="1"/>
  <c r="AB1464" i="1"/>
  <c r="AE1464" i="1" s="1"/>
  <c r="AB307" i="1"/>
  <c r="AE307" i="1" s="1"/>
  <c r="AC362" i="1"/>
  <c r="AB419" i="1"/>
  <c r="AE419" i="1" s="1"/>
  <c r="AC444" i="1"/>
  <c r="AC451" i="1"/>
  <c r="AB451" i="1"/>
  <c r="AE451" i="1" s="1"/>
  <c r="AC476" i="1"/>
  <c r="AC483" i="1"/>
  <c r="AB483" i="1"/>
  <c r="AE483" i="1" s="1"/>
  <c r="AB565" i="1"/>
  <c r="AE565" i="1" s="1"/>
  <c r="AC657" i="1"/>
  <c r="AC703" i="1"/>
  <c r="AB750" i="1"/>
  <c r="AE750" i="1" s="1"/>
  <c r="AC750" i="1"/>
  <c r="AB770" i="1"/>
  <c r="AE770" i="1" s="1"/>
  <c r="AC784" i="1"/>
  <c r="AB799" i="1"/>
  <c r="AE799" i="1" s="1"/>
  <c r="AC799" i="1"/>
  <c r="AC834" i="1"/>
  <c r="AB834" i="1"/>
  <c r="AE834" i="1" s="1"/>
  <c r="AB863" i="1"/>
  <c r="AE863" i="1" s="1"/>
  <c r="AC863" i="1"/>
  <c r="AB876" i="1"/>
  <c r="AE876" i="1" s="1"/>
  <c r="AB899" i="1"/>
  <c r="AE899" i="1" s="1"/>
  <c r="AB981" i="1"/>
  <c r="AE981" i="1" s="1"/>
  <c r="AC997" i="1"/>
  <c r="AC1159" i="1"/>
  <c r="AB1159" i="1"/>
  <c r="AE1159" i="1" s="1"/>
  <c r="AC1289" i="1"/>
  <c r="AB1289" i="1"/>
  <c r="AE1289" i="1" s="1"/>
  <c r="AC1377" i="1"/>
  <c r="AB1377" i="1"/>
  <c r="AE1377" i="1" s="1"/>
  <c r="AC515" i="1"/>
  <c r="AB515" i="1"/>
  <c r="AE515" i="1" s="1"/>
  <c r="AC611" i="1"/>
  <c r="AB611" i="1"/>
  <c r="AE611" i="1" s="1"/>
  <c r="AC835" i="1"/>
  <c r="AB835" i="1"/>
  <c r="AE835" i="1" s="1"/>
  <c r="AB877" i="1"/>
  <c r="AE877" i="1" s="1"/>
  <c r="AC877" i="1"/>
  <c r="AC900" i="1"/>
  <c r="AB900" i="1"/>
  <c r="AE900" i="1" s="1"/>
  <c r="AB982" i="1"/>
  <c r="AE982" i="1" s="1"/>
  <c r="AC982" i="1"/>
  <c r="AB998" i="1"/>
  <c r="AE998" i="1" s="1"/>
  <c r="AC998" i="1"/>
  <c r="AC1312" i="1"/>
  <c r="AB1312" i="1"/>
  <c r="AE1312" i="1" s="1"/>
  <c r="AB13" i="1"/>
  <c r="AE13" i="1" s="1"/>
  <c r="AB69" i="1"/>
  <c r="AE69" i="1" s="1"/>
  <c r="AB80" i="1"/>
  <c r="AE80" i="1" s="1"/>
  <c r="AB91" i="1"/>
  <c r="AE91" i="1" s="1"/>
  <c r="AB119" i="1"/>
  <c r="AE119" i="1" s="1"/>
  <c r="AB130" i="1"/>
  <c r="AE130" i="1" s="1"/>
  <c r="AB141" i="1"/>
  <c r="AE141" i="1" s="1"/>
  <c r="AB197" i="1"/>
  <c r="AE197" i="1" s="1"/>
  <c r="AB208" i="1"/>
  <c r="AE208" i="1" s="1"/>
  <c r="AB219" i="1"/>
  <c r="AE219" i="1" s="1"/>
  <c r="AB225" i="1"/>
  <c r="AE225" i="1" s="1"/>
  <c r="AB242" i="1"/>
  <c r="AE242" i="1" s="1"/>
  <c r="AB248" i="1"/>
  <c r="AE248" i="1" s="1"/>
  <c r="AB308" i="1"/>
  <c r="AE308" i="1" s="1"/>
  <c r="AB320" i="1"/>
  <c r="AE320" i="1" s="1"/>
  <c r="AB326" i="1"/>
  <c r="AE326" i="1" s="1"/>
  <c r="AC344" i="1"/>
  <c r="AB363" i="1"/>
  <c r="AE363" i="1" s="1"/>
  <c r="AB369" i="1"/>
  <c r="AE369" i="1" s="1"/>
  <c r="AC401" i="1"/>
  <c r="AB420" i="1"/>
  <c r="AE420" i="1" s="1"/>
  <c r="AC426" i="1"/>
  <c r="AB445" i="1"/>
  <c r="AE445" i="1" s="1"/>
  <c r="AB452" i="1"/>
  <c r="AE452" i="1" s="1"/>
  <c r="AB458" i="1"/>
  <c r="AE458" i="1" s="1"/>
  <c r="AB477" i="1"/>
  <c r="AE477" i="1" s="1"/>
  <c r="AB484" i="1"/>
  <c r="AE484" i="1" s="1"/>
  <c r="AC540" i="1"/>
  <c r="AB566" i="1"/>
  <c r="AE566" i="1" s="1"/>
  <c r="AC604" i="1"/>
  <c r="AB631" i="1"/>
  <c r="AE631" i="1" s="1"/>
  <c r="AB637" i="1"/>
  <c r="AE637" i="1" s="1"/>
  <c r="AB678" i="1"/>
  <c r="AE678" i="1" s="1"/>
  <c r="AB691" i="1"/>
  <c r="AE691" i="1" s="1"/>
  <c r="AB711" i="1"/>
  <c r="AE711" i="1" s="1"/>
  <c r="AC717" i="1"/>
  <c r="AC751" i="1"/>
  <c r="AB771" i="1"/>
  <c r="AE771" i="1" s="1"/>
  <c r="AB785" i="1"/>
  <c r="AE785" i="1" s="1"/>
  <c r="AB800" i="1"/>
  <c r="AE800" i="1" s="1"/>
  <c r="AC813" i="1"/>
  <c r="AC836" i="1"/>
  <c r="AB836" i="1"/>
  <c r="AE836" i="1" s="1"/>
  <c r="AB864" i="1"/>
  <c r="AE864" i="1" s="1"/>
  <c r="AB929" i="1"/>
  <c r="AE929" i="1" s="1"/>
  <c r="AC944" i="1"/>
  <c r="AB944" i="1"/>
  <c r="AE944" i="1" s="1"/>
  <c r="AC1071" i="1"/>
  <c r="AB1145" i="1"/>
  <c r="AE1145" i="1" s="1"/>
  <c r="AC1313" i="1"/>
  <c r="AB1313" i="1"/>
  <c r="AE1313" i="1" s="1"/>
  <c r="AC579" i="1"/>
  <c r="AB579" i="1"/>
  <c r="AE579" i="1" s="1"/>
  <c r="AC772" i="1"/>
  <c r="AB772" i="1"/>
  <c r="AE772" i="1" s="1"/>
  <c r="AC786" i="1"/>
  <c r="AB786" i="1"/>
  <c r="AE786" i="1" s="1"/>
  <c r="AB814" i="1"/>
  <c r="AE814" i="1" s="1"/>
  <c r="AC814" i="1"/>
  <c r="AC907" i="1"/>
  <c r="AB907" i="1"/>
  <c r="AE907" i="1" s="1"/>
  <c r="AC1152" i="1"/>
  <c r="AB1152" i="1"/>
  <c r="AE1152" i="1" s="1"/>
  <c r="AB1184" i="1"/>
  <c r="AE1184" i="1" s="1"/>
  <c r="AC1184" i="1"/>
  <c r="AB53" i="1"/>
  <c r="AE53" i="1" s="1"/>
  <c r="AB64" i="1"/>
  <c r="AE64" i="1" s="1"/>
  <c r="AB75" i="1"/>
  <c r="AE75" i="1" s="1"/>
  <c r="AB103" i="1"/>
  <c r="AE103" i="1" s="1"/>
  <c r="AB114" i="1"/>
  <c r="AE114" i="1" s="1"/>
  <c r="AB125" i="1"/>
  <c r="AE125" i="1" s="1"/>
  <c r="AB181" i="1"/>
  <c r="AE181" i="1" s="1"/>
  <c r="AB192" i="1"/>
  <c r="AE192" i="1" s="1"/>
  <c r="AB203" i="1"/>
  <c r="AE203" i="1" s="1"/>
  <c r="AB237" i="1"/>
  <c r="AE237" i="1" s="1"/>
  <c r="AC254" i="1"/>
  <c r="AB266" i="1"/>
  <c r="AE266" i="1" s="1"/>
  <c r="AB272" i="1"/>
  <c r="AE272" i="1" s="1"/>
  <c r="AC302" i="1"/>
  <c r="AB402" i="1"/>
  <c r="AE402" i="1" s="1"/>
  <c r="AC414" i="1"/>
  <c r="AB427" i="1"/>
  <c r="AE427" i="1" s="1"/>
  <c r="AC433" i="1"/>
  <c r="AC446" i="1"/>
  <c r="AC465" i="1"/>
  <c r="AC478" i="1"/>
  <c r="AB509" i="1"/>
  <c r="AE509" i="1" s="1"/>
  <c r="AC522" i="1"/>
  <c r="AB541" i="1"/>
  <c r="AE541" i="1" s="1"/>
  <c r="AB592" i="1"/>
  <c r="AE592" i="1" s="1"/>
  <c r="AB605" i="1"/>
  <c r="AE605" i="1" s="1"/>
  <c r="AB625" i="1"/>
  <c r="AE625" i="1" s="1"/>
  <c r="AC638" i="1"/>
  <c r="AC645" i="1"/>
  <c r="AB659" i="1"/>
  <c r="AE659" i="1" s="1"/>
  <c r="AB679" i="1"/>
  <c r="AE679" i="1" s="1"/>
  <c r="AB705" i="1"/>
  <c r="AE705" i="1" s="1"/>
  <c r="AC718" i="1"/>
  <c r="AB752" i="1"/>
  <c r="AE752" i="1" s="1"/>
  <c r="AB764" i="1"/>
  <c r="AE764" i="1" s="1"/>
  <c r="AC787" i="1"/>
  <c r="AB787" i="1"/>
  <c r="AE787" i="1" s="1"/>
  <c r="AB837" i="1"/>
  <c r="AE837" i="1" s="1"/>
  <c r="AC851" i="1"/>
  <c r="AB851" i="1"/>
  <c r="AE851" i="1" s="1"/>
  <c r="AC879" i="1"/>
  <c r="AB887" i="1"/>
  <c r="AE887" i="1" s="1"/>
  <c r="AC930" i="1"/>
  <c r="AB930" i="1"/>
  <c r="AE930" i="1" s="1"/>
  <c r="AC966" i="1"/>
  <c r="AB975" i="1"/>
  <c r="AE975" i="1" s="1"/>
  <c r="AC975" i="1"/>
  <c r="AB1019" i="1"/>
  <c r="AE1019" i="1" s="1"/>
  <c r="AC1108" i="1"/>
  <c r="AC1115" i="1"/>
  <c r="AB1115" i="1"/>
  <c r="AE1115" i="1" s="1"/>
  <c r="AB1130" i="1"/>
  <c r="AE1130" i="1" s="1"/>
  <c r="AC1130" i="1"/>
  <c r="AC1185" i="1"/>
  <c r="AB1185" i="1"/>
  <c r="AE1185" i="1" s="1"/>
  <c r="AB1193" i="1"/>
  <c r="AE1193" i="1" s="1"/>
  <c r="AB1201" i="1"/>
  <c r="AE1201" i="1" s="1"/>
  <c r="AB1275" i="1"/>
  <c r="AE1275" i="1" s="1"/>
  <c r="AC1275" i="1"/>
  <c r="AC1284" i="1"/>
  <c r="AB1284" i="1"/>
  <c r="AE1284" i="1" s="1"/>
  <c r="AC1348" i="1"/>
  <c r="AB1348" i="1"/>
  <c r="AE1348" i="1" s="1"/>
  <c r="AB606" i="1"/>
  <c r="AE606" i="1" s="1"/>
  <c r="AC606" i="1"/>
  <c r="AB685" i="1"/>
  <c r="AE685" i="1" s="1"/>
  <c r="AC685" i="1"/>
  <c r="AB829" i="1"/>
  <c r="AE829" i="1" s="1"/>
  <c r="AC829" i="1"/>
  <c r="AB893" i="1"/>
  <c r="AE893" i="1" s="1"/>
  <c r="AC893" i="1"/>
  <c r="AB1101" i="1"/>
  <c r="AE1101" i="1" s="1"/>
  <c r="AC1101" i="1"/>
  <c r="AB1122" i="1"/>
  <c r="AE1122" i="1" s="1"/>
  <c r="AC1131" i="1"/>
  <c r="AB1131" i="1"/>
  <c r="AE1131" i="1" s="1"/>
  <c r="AB1292" i="1"/>
  <c r="AE1292" i="1" s="1"/>
  <c r="AC1292" i="1"/>
  <c r="AC1396" i="1"/>
  <c r="AB1396" i="1"/>
  <c r="AE1396" i="1" s="1"/>
  <c r="AB686" i="1"/>
  <c r="AE686" i="1" s="1"/>
  <c r="AC686" i="1"/>
  <c r="AB733" i="1"/>
  <c r="AE733" i="1" s="1"/>
  <c r="AC733" i="1"/>
  <c r="AB765" i="1"/>
  <c r="AE765" i="1" s="1"/>
  <c r="AC765" i="1"/>
  <c r="AC1007" i="1"/>
  <c r="AB1007" i="1"/>
  <c r="AE1007" i="1" s="1"/>
  <c r="AC1102" i="1"/>
  <c r="AB1102" i="1"/>
  <c r="AE1102" i="1" s="1"/>
  <c r="AC1268" i="1"/>
  <c r="AB1268" i="1"/>
  <c r="AE1268" i="1" s="1"/>
  <c r="AB115" i="1"/>
  <c r="AE115" i="1" s="1"/>
  <c r="AC126" i="1"/>
  <c r="AC238" i="1"/>
  <c r="AB267" i="1"/>
  <c r="AE267" i="1" s="1"/>
  <c r="AC273" i="1"/>
  <c r="AB291" i="1"/>
  <c r="AE291" i="1" s="1"/>
  <c r="AC340" i="1"/>
  <c r="AB371" i="1"/>
  <c r="AE371" i="1" s="1"/>
  <c r="AB384" i="1"/>
  <c r="AE384" i="1" s="1"/>
  <c r="AB403" i="1"/>
  <c r="AE403" i="1" s="1"/>
  <c r="AC802" i="1"/>
  <c r="AB802" i="1"/>
  <c r="AE802" i="1" s="1"/>
  <c r="AC866" i="1"/>
  <c r="AB866" i="1"/>
  <c r="AE866" i="1" s="1"/>
  <c r="AC932" i="1"/>
  <c r="AB932" i="1"/>
  <c r="AE932" i="1" s="1"/>
  <c r="AB1094" i="1"/>
  <c r="AE1094" i="1" s="1"/>
  <c r="AC1094" i="1"/>
  <c r="AB1170" i="1"/>
  <c r="AE1170" i="1" s="1"/>
  <c r="AC1195" i="1"/>
  <c r="AB1195" i="1"/>
  <c r="AE1195" i="1" s="1"/>
  <c r="AC1251" i="1"/>
  <c r="AB1323" i="1"/>
  <c r="AE1323" i="1" s="1"/>
  <c r="AC1323" i="1"/>
  <c r="AC1332" i="1"/>
  <c r="AB1332" i="1"/>
  <c r="AE1332" i="1" s="1"/>
  <c r="AB3268" i="1"/>
  <c r="AE3268" i="1" s="1"/>
  <c r="AC3268" i="1"/>
  <c r="AC1167" i="1"/>
  <c r="AB1167" i="1"/>
  <c r="AE1167" i="1" s="1"/>
  <c r="AB1389" i="1"/>
  <c r="AE1389" i="1" s="1"/>
  <c r="AC1389" i="1"/>
  <c r="AC2090" i="1"/>
  <c r="AB2090" i="1"/>
  <c r="AE2090" i="1" s="1"/>
  <c r="AC2132" i="1"/>
  <c r="AB2132" i="1"/>
  <c r="AE2132" i="1" s="1"/>
  <c r="AB914" i="1"/>
  <c r="AE914" i="1" s="1"/>
  <c r="AC926" i="1"/>
  <c r="AB933" i="1"/>
  <c r="AE933" i="1" s="1"/>
  <c r="AB951" i="1"/>
  <c r="AE951" i="1" s="1"/>
  <c r="AB969" i="1"/>
  <c r="AE969" i="1" s="1"/>
  <c r="AC976" i="1"/>
  <c r="AB983" i="1"/>
  <c r="AE983" i="1" s="1"/>
  <c r="AB995" i="1"/>
  <c r="AE995" i="1" s="1"/>
  <c r="AB1008" i="1"/>
  <c r="AE1008" i="1" s="1"/>
  <c r="AB1033" i="1"/>
  <c r="AE1033" i="1" s="1"/>
  <c r="AB1040" i="1"/>
  <c r="AE1040" i="1" s="1"/>
  <c r="AB1058" i="1"/>
  <c r="AE1058" i="1" s="1"/>
  <c r="AC1065" i="1"/>
  <c r="AB1126" i="1"/>
  <c r="AE1126" i="1" s="1"/>
  <c r="AC1126" i="1"/>
  <c r="AB1140" i="1"/>
  <c r="AE1140" i="1" s="1"/>
  <c r="AC1174" i="1"/>
  <c r="AB1181" i="1"/>
  <c r="AE1181" i="1" s="1"/>
  <c r="AB1196" i="1"/>
  <c r="AE1196" i="1" s="1"/>
  <c r="AB1216" i="1"/>
  <c r="AE1216" i="1" s="1"/>
  <c r="AB1256" i="1"/>
  <c r="AE1256" i="1" s="1"/>
  <c r="AB1263" i="1"/>
  <c r="AE1263" i="1" s="1"/>
  <c r="AC1343" i="1"/>
  <c r="AB1343" i="1"/>
  <c r="AE1343" i="1" s="1"/>
  <c r="AB1390" i="1"/>
  <c r="AE1390" i="1" s="1"/>
  <c r="AB1451" i="1"/>
  <c r="AE1451" i="1" s="1"/>
  <c r="AC1451" i="1"/>
  <c r="AB1474" i="1"/>
  <c r="AE1474" i="1" s="1"/>
  <c r="AC1344" i="1"/>
  <c r="AB1344" i="1"/>
  <c r="AE1344" i="1" s="1"/>
  <c r="AC1391" i="1"/>
  <c r="AB1391" i="1"/>
  <c r="AE1391" i="1" s="1"/>
  <c r="AB1475" i="1"/>
  <c r="AE1475" i="1" s="1"/>
  <c r="AC1475" i="1"/>
  <c r="AC878" i="1"/>
  <c r="AB915" i="1"/>
  <c r="AE915" i="1" s="1"/>
  <c r="AC927" i="1"/>
  <c r="AB970" i="1"/>
  <c r="AE970" i="1" s="1"/>
  <c r="AC1053" i="1"/>
  <c r="AB1059" i="1"/>
  <c r="AE1059" i="1" s="1"/>
  <c r="AC1066" i="1"/>
  <c r="AB1099" i="1"/>
  <c r="AE1099" i="1" s="1"/>
  <c r="AB1210" i="1"/>
  <c r="AE1210" i="1" s="1"/>
  <c r="AC1210" i="1"/>
  <c r="AC1257" i="1"/>
  <c r="AB1257" i="1"/>
  <c r="AE1257" i="1" s="1"/>
  <c r="AB1271" i="1"/>
  <c r="AE1271" i="1" s="1"/>
  <c r="AC1271" i="1"/>
  <c r="AC1280" i="1"/>
  <c r="AB1280" i="1"/>
  <c r="AE1280" i="1" s="1"/>
  <c r="AB1315" i="1"/>
  <c r="AE1315" i="1" s="1"/>
  <c r="AB1321" i="1"/>
  <c r="AE1321" i="1" s="1"/>
  <c r="AB1329" i="1"/>
  <c r="AE1329" i="1" s="1"/>
  <c r="AB1352" i="1"/>
  <c r="AE1352" i="1" s="1"/>
  <c r="AC1359" i="1"/>
  <c r="AB1359" i="1"/>
  <c r="AE1359" i="1" s="1"/>
  <c r="AC1374" i="1"/>
  <c r="AC1443" i="1"/>
  <c r="AC1459" i="1"/>
  <c r="AB1527" i="1"/>
  <c r="AE1527" i="1" s="1"/>
  <c r="AC1527" i="1"/>
  <c r="AB1537" i="1"/>
  <c r="AE1537" i="1" s="1"/>
  <c r="AC1067" i="1"/>
  <c r="AB1067" i="1"/>
  <c r="AE1067" i="1" s="1"/>
  <c r="AC1375" i="1"/>
  <c r="AB1375" i="1"/>
  <c r="AE1375" i="1" s="1"/>
  <c r="AB1444" i="1"/>
  <c r="AE1444" i="1" s="1"/>
  <c r="AC1444" i="1"/>
  <c r="AC1528" i="1"/>
  <c r="AB1528" i="1"/>
  <c r="AE1528" i="1" s="1"/>
  <c r="AC1553" i="1"/>
  <c r="AB1553" i="1"/>
  <c r="AE1553" i="1" s="1"/>
  <c r="AC1376" i="1"/>
  <c r="AB1376" i="1"/>
  <c r="AE1376" i="1" s="1"/>
  <c r="AB1467" i="1"/>
  <c r="AE1467" i="1" s="1"/>
  <c r="AC1467" i="1"/>
  <c r="AB1577" i="1"/>
  <c r="AE1577" i="1" s="1"/>
  <c r="AB1368" i="1"/>
  <c r="AE1368" i="1" s="1"/>
  <c r="AC1368" i="1"/>
  <c r="AB1578" i="1"/>
  <c r="AE1578" i="1" s="1"/>
  <c r="AC1578" i="1"/>
  <c r="AC1143" i="1"/>
  <c r="AB1143" i="1"/>
  <c r="AE1143" i="1" s="1"/>
  <c r="AC1417" i="1"/>
  <c r="AC1438" i="1"/>
  <c r="AC1492" i="1"/>
  <c r="AB1492" i="1"/>
  <c r="AE1492" i="1" s="1"/>
  <c r="AB1571" i="1"/>
  <c r="AE1571" i="1" s="1"/>
  <c r="AC1571" i="1"/>
  <c r="AC1737" i="1"/>
  <c r="AB1737" i="1"/>
  <c r="AE1737" i="1" s="1"/>
  <c r="AC1596" i="1"/>
  <c r="AB1596" i="1"/>
  <c r="AE1596" i="1" s="1"/>
  <c r="AC1431" i="1"/>
  <c r="AB1563" i="1"/>
  <c r="AE1563" i="1" s="1"/>
  <c r="AC1563" i="1"/>
  <c r="AB1588" i="1"/>
  <c r="AE1588" i="1" s="1"/>
  <c r="AC1597" i="1"/>
  <c r="AB1597" i="1"/>
  <c r="AE1597" i="1" s="1"/>
  <c r="AC1652" i="1"/>
  <c r="AB1652" i="1"/>
  <c r="AE1652" i="1" s="1"/>
  <c r="AB1379" i="1"/>
  <c r="AE1379" i="1" s="1"/>
  <c r="AC1379" i="1"/>
  <c r="AB1412" i="1"/>
  <c r="AE1412" i="1" s="1"/>
  <c r="AC1311" i="1"/>
  <c r="AB1311" i="1"/>
  <c r="AE1311" i="1" s="1"/>
  <c r="AC1598" i="1"/>
  <c r="AB1598" i="1"/>
  <c r="AE1598" i="1" s="1"/>
  <c r="AB1627" i="1"/>
  <c r="AE1627" i="1" s="1"/>
  <c r="AC1627" i="1"/>
  <c r="AB1676" i="1"/>
  <c r="AE1676" i="1" s="1"/>
  <c r="AC1676" i="1"/>
  <c r="AC1920" i="1"/>
  <c r="AB1920" i="1"/>
  <c r="AE1920" i="1" s="1"/>
  <c r="AB1990" i="1"/>
  <c r="AE1990" i="1" s="1"/>
  <c r="AC1990" i="1"/>
  <c r="AB2019" i="1"/>
  <c r="AE2019" i="1" s="1"/>
  <c r="AC2019" i="1"/>
  <c r="AB1769" i="1"/>
  <c r="AE1769" i="1" s="1"/>
  <c r="AC1809" i="1"/>
  <c r="AB1809" i="1"/>
  <c r="AE1809" i="1" s="1"/>
  <c r="AC1999" i="1"/>
  <c r="AB1999" i="1"/>
  <c r="AE1999" i="1" s="1"/>
  <c r="AC2027" i="1"/>
  <c r="AB2027" i="1"/>
  <c r="AE2027" i="1" s="1"/>
  <c r="AC1440" i="1"/>
  <c r="AB1440" i="1"/>
  <c r="AE1440" i="1" s="1"/>
  <c r="AC1566" i="1"/>
  <c r="AC1763" i="1"/>
  <c r="AB1345" i="1"/>
  <c r="AE1345" i="1" s="1"/>
  <c r="AC1371" i="1"/>
  <c r="AB1385" i="1"/>
  <c r="AE1385" i="1" s="1"/>
  <c r="AB1406" i="1"/>
  <c r="AE1406" i="1" s="1"/>
  <c r="AB1454" i="1"/>
  <c r="AE1454" i="1" s="1"/>
  <c r="AC1502" i="1"/>
  <c r="AB1531" i="1"/>
  <c r="AE1531" i="1" s="1"/>
  <c r="AC1531" i="1"/>
  <c r="AC1539" i="1"/>
  <c r="AC1559" i="1"/>
  <c r="AB1582" i="1"/>
  <c r="AE1582" i="1" s="1"/>
  <c r="AC1600" i="1"/>
  <c r="AB1600" i="1"/>
  <c r="AE1600" i="1" s="1"/>
  <c r="AC1629" i="1"/>
  <c r="AB1629" i="1"/>
  <c r="AE1629" i="1" s="1"/>
  <c r="AC1732" i="1"/>
  <c r="AB1732" i="1"/>
  <c r="AE1732" i="1" s="1"/>
  <c r="AC1540" i="1"/>
  <c r="AB1540" i="1"/>
  <c r="AE1540" i="1" s="1"/>
  <c r="AC1386" i="1"/>
  <c r="AB1407" i="1"/>
  <c r="AE1407" i="1" s="1"/>
  <c r="AC1568" i="1"/>
  <c r="AB1568" i="1"/>
  <c r="AE1568" i="1" s="1"/>
  <c r="AC1679" i="1"/>
  <c r="AB1679" i="1"/>
  <c r="AE1679" i="1" s="1"/>
  <c r="AB1400" i="1"/>
  <c r="AE1400" i="1" s="1"/>
  <c r="AC1408" i="1"/>
  <c r="AB1408" i="1"/>
  <c r="AE1408" i="1" s="1"/>
  <c r="AB1448" i="1"/>
  <c r="AE1448" i="1" s="1"/>
  <c r="AC1469" i="1"/>
  <c r="AC1483" i="1"/>
  <c r="AC1496" i="1"/>
  <c r="AC1504" i="1"/>
  <c r="AB1504" i="1"/>
  <c r="AE1504" i="1" s="1"/>
  <c r="AB1518" i="1"/>
  <c r="AE1518" i="1" s="1"/>
  <c r="AC1591" i="1"/>
  <c r="AB1591" i="1"/>
  <c r="AE1591" i="1" s="1"/>
  <c r="AC1602" i="1"/>
  <c r="AB1602" i="1"/>
  <c r="AE1602" i="1" s="1"/>
  <c r="AC1801" i="1"/>
  <c r="AC1848" i="1"/>
  <c r="AB1961" i="1"/>
  <c r="AE1961" i="1" s="1"/>
  <c r="AB1339" i="1"/>
  <c r="AE1339" i="1" s="1"/>
  <c r="AC1339" i="1"/>
  <c r="AC1360" i="1"/>
  <c r="AB1360" i="1"/>
  <c r="AE1360" i="1" s="1"/>
  <c r="AC1592" i="1"/>
  <c r="AB1592" i="1"/>
  <c r="AE1592" i="1" s="1"/>
  <c r="AC1603" i="1"/>
  <c r="AB1603" i="1"/>
  <c r="AE1603" i="1" s="1"/>
  <c r="AC1632" i="1"/>
  <c r="AB1632" i="1"/>
  <c r="AE1632" i="1" s="1"/>
  <c r="AB1670" i="1"/>
  <c r="AE1670" i="1" s="1"/>
  <c r="AC1670" i="1"/>
  <c r="AB1898" i="1"/>
  <c r="AE1898" i="1" s="1"/>
  <c r="AC1898" i="1"/>
  <c r="AC1161" i="1"/>
  <c r="AB1192" i="1"/>
  <c r="AE1192" i="1" s="1"/>
  <c r="AB1248" i="1"/>
  <c r="AE1248" i="1" s="1"/>
  <c r="AC1267" i="1"/>
  <c r="AB1281" i="1"/>
  <c r="AE1281" i="1" s="1"/>
  <c r="AC1347" i="1"/>
  <c r="AC1373" i="1"/>
  <c r="AB1409" i="1"/>
  <c r="AE1409" i="1" s="1"/>
  <c r="AC1435" i="1"/>
  <c r="AB1449" i="1"/>
  <c r="AE1449" i="1" s="1"/>
  <c r="AC1604" i="1"/>
  <c r="AB1604" i="1"/>
  <c r="AE1604" i="1" s="1"/>
  <c r="AC1697" i="1"/>
  <c r="AB1697" i="1"/>
  <c r="AE1697" i="1" s="1"/>
  <c r="AB1834" i="1"/>
  <c r="AE1834" i="1" s="1"/>
  <c r="AC1834" i="1"/>
  <c r="AB1682" i="1"/>
  <c r="AE1682" i="1" s="1"/>
  <c r="AC1750" i="1"/>
  <c r="AB1835" i="1"/>
  <c r="AE1835" i="1" s="1"/>
  <c r="AC1835" i="1"/>
  <c r="AC1623" i="1"/>
  <c r="AB1623" i="1"/>
  <c r="AE1623" i="1" s="1"/>
  <c r="AC1664" i="1"/>
  <c r="AB1664" i="1"/>
  <c r="AE1664" i="1" s="1"/>
  <c r="AB1884" i="1"/>
  <c r="AE1884" i="1" s="1"/>
  <c r="AC1884" i="1"/>
  <c r="AB1403" i="1"/>
  <c r="AE1403" i="1" s="1"/>
  <c r="AC1403" i="1"/>
  <c r="AC1424" i="1"/>
  <c r="AB1424" i="1"/>
  <c r="AE1424" i="1" s="1"/>
  <c r="AB1499" i="1"/>
  <c r="AE1499" i="1" s="1"/>
  <c r="AC1499" i="1"/>
  <c r="AC1536" i="1"/>
  <c r="AB1536" i="1"/>
  <c r="AE1536" i="1" s="1"/>
  <c r="AC1635" i="1"/>
  <c r="AB1635" i="1"/>
  <c r="AE1635" i="1" s="1"/>
  <c r="AC1673" i="1"/>
  <c r="AB1673" i="1"/>
  <c r="AE1673" i="1" s="1"/>
  <c r="AB1947" i="1"/>
  <c r="AE1947" i="1" s="1"/>
  <c r="AC1947" i="1"/>
  <c r="AB1595" i="1"/>
  <c r="AE1595" i="1" s="1"/>
  <c r="AC1595" i="1"/>
  <c r="AB1776" i="1"/>
  <c r="AE1776" i="1" s="1"/>
  <c r="AB1933" i="1"/>
  <c r="AE1933" i="1" s="1"/>
  <c r="AB1738" i="1"/>
  <c r="AE1738" i="1" s="1"/>
  <c r="AC1738" i="1"/>
  <c r="AC1992" i="1"/>
  <c r="AB1992" i="1"/>
  <c r="AE1992" i="1" s="1"/>
  <c r="AC2021" i="1"/>
  <c r="AB2021" i="1"/>
  <c r="AE2021" i="1" s="1"/>
  <c r="AB2468" i="1"/>
  <c r="AE2468" i="1" s="1"/>
  <c r="AC2468" i="1"/>
  <c r="AC1823" i="1"/>
  <c r="AB1823" i="1"/>
  <c r="AE1823" i="1" s="1"/>
  <c r="AC1963" i="1"/>
  <c r="AB1963" i="1"/>
  <c r="AE1963" i="1" s="1"/>
  <c r="AB1978" i="1"/>
  <c r="AE1978" i="1" s="1"/>
  <c r="AC1978" i="1"/>
  <c r="AB2070" i="1"/>
  <c r="AE2070" i="1" s="1"/>
  <c r="AC2070" i="1"/>
  <c r="AB2250" i="1"/>
  <c r="AE2250" i="1" s="1"/>
  <c r="AC2250" i="1"/>
  <c r="AC2410" i="1"/>
  <c r="AB2410" i="1"/>
  <c r="AE2410" i="1" s="1"/>
  <c r="AB1739" i="1"/>
  <c r="AE1739" i="1" s="1"/>
  <c r="AC1803" i="1"/>
  <c r="AC1850" i="1"/>
  <c r="AB1872" i="1"/>
  <c r="AE1872" i="1" s="1"/>
  <c r="AC1913" i="1"/>
  <c r="AC1949" i="1"/>
  <c r="AB1949" i="1"/>
  <c r="AE1949" i="1" s="1"/>
  <c r="AC1979" i="1"/>
  <c r="AB1979" i="1"/>
  <c r="AE1979" i="1" s="1"/>
  <c r="AC2124" i="1"/>
  <c r="AB2124" i="1"/>
  <c r="AE2124" i="1" s="1"/>
  <c r="AB2299" i="1"/>
  <c r="AE2299" i="1" s="1"/>
  <c r="AB1804" i="1"/>
  <c r="AE1804" i="1" s="1"/>
  <c r="AC1804" i="1"/>
  <c r="AC1936" i="1"/>
  <c r="AB1936" i="1"/>
  <c r="AE1936" i="1" s="1"/>
  <c r="AC1971" i="1"/>
  <c r="AB1971" i="1"/>
  <c r="AE1971" i="1" s="1"/>
  <c r="AB2125" i="1"/>
  <c r="AE2125" i="1" s="1"/>
  <c r="AC2125" i="1"/>
  <c r="AC2174" i="1"/>
  <c r="AB2174" i="1"/>
  <c r="AE2174" i="1" s="1"/>
  <c r="AC1642" i="1"/>
  <c r="AB1672" i="1"/>
  <c r="AE1672" i="1" s="1"/>
  <c r="AB1678" i="1"/>
  <c r="AE1678" i="1" s="1"/>
  <c r="AB1696" i="1"/>
  <c r="AE1696" i="1" s="1"/>
  <c r="AC1740" i="1"/>
  <c r="AC1791" i="1"/>
  <c r="AB1791" i="1"/>
  <c r="AE1791" i="1" s="1"/>
  <c r="AC1851" i="1"/>
  <c r="AB1873" i="1"/>
  <c r="AE1873" i="1" s="1"/>
  <c r="AB1928" i="1"/>
  <c r="AE1928" i="1" s="1"/>
  <c r="AC1928" i="1"/>
  <c r="AB1950" i="1"/>
  <c r="AE1950" i="1" s="1"/>
  <c r="AB2117" i="1"/>
  <c r="AE2117" i="1" s="1"/>
  <c r="AC2117" i="1"/>
  <c r="AC2175" i="1"/>
  <c r="AB2175" i="1"/>
  <c r="AE2175" i="1" s="1"/>
  <c r="AB1631" i="1"/>
  <c r="AE1631" i="1" s="1"/>
  <c r="AB1709" i="1"/>
  <c r="AE1709" i="1" s="1"/>
  <c r="AB1716" i="1"/>
  <c r="AE1716" i="1" s="1"/>
  <c r="AC1728" i="1"/>
  <c r="AB1759" i="1"/>
  <c r="AE1759" i="1" s="1"/>
  <c r="AC1817" i="1"/>
  <c r="AB1838" i="1"/>
  <c r="AE1838" i="1" s="1"/>
  <c r="AC1865" i="1"/>
  <c r="AB1887" i="1"/>
  <c r="AE1887" i="1" s="1"/>
  <c r="AB1901" i="1"/>
  <c r="AE1901" i="1" s="1"/>
  <c r="AB1915" i="1"/>
  <c r="AE1915" i="1" s="1"/>
  <c r="AC1915" i="1"/>
  <c r="AB1937" i="1"/>
  <c r="AE1937" i="1" s="1"/>
  <c r="AB1972" i="1"/>
  <c r="AE1972" i="1" s="1"/>
  <c r="AC2056" i="1"/>
  <c r="AC1902" i="1"/>
  <c r="AB1902" i="1"/>
  <c r="AE1902" i="1" s="1"/>
  <c r="AC1973" i="1"/>
  <c r="AB1973" i="1"/>
  <c r="AE1973" i="1" s="1"/>
  <c r="AB1710" i="1"/>
  <c r="AE1710" i="1" s="1"/>
  <c r="AB1729" i="1"/>
  <c r="AE1729" i="1" s="1"/>
  <c r="AB1760" i="1"/>
  <c r="AE1760" i="1" s="1"/>
  <c r="AC1818" i="1"/>
  <c r="AB1839" i="1"/>
  <c r="AE1839" i="1" s="1"/>
  <c r="AC1866" i="1"/>
  <c r="AB1888" i="1"/>
  <c r="AE1888" i="1" s="1"/>
  <c r="AC1916" i="1"/>
  <c r="AC1626" i="1"/>
  <c r="AC1644" i="1"/>
  <c r="AB1773" i="1"/>
  <c r="AE1773" i="1" s="1"/>
  <c r="AB1780" i="1"/>
  <c r="AE1780" i="1" s="1"/>
  <c r="AB1793" i="1"/>
  <c r="AE1793" i="1" s="1"/>
  <c r="AB1806" i="1"/>
  <c r="AE1806" i="1" s="1"/>
  <c r="AB1853" i="1"/>
  <c r="AE1853" i="1" s="1"/>
  <c r="AC1880" i="1"/>
  <c r="AC1889" i="1"/>
  <c r="AB1889" i="1"/>
  <c r="AE1889" i="1" s="1"/>
  <c r="AB1903" i="1"/>
  <c r="AE1903" i="1" s="1"/>
  <c r="AB1952" i="1"/>
  <c r="AE1952" i="1" s="1"/>
  <c r="AC1974" i="1"/>
  <c r="AB1982" i="1"/>
  <c r="AE1982" i="1" s="1"/>
  <c r="AB1881" i="1"/>
  <c r="AE1881" i="1" s="1"/>
  <c r="AC1881" i="1"/>
  <c r="AB1996" i="1"/>
  <c r="AE1996" i="1" s="1"/>
  <c r="AC1996" i="1"/>
  <c r="AB1645" i="1"/>
  <c r="AE1645" i="1" s="1"/>
  <c r="AB1674" i="1"/>
  <c r="AE1674" i="1" s="1"/>
  <c r="AB1680" i="1"/>
  <c r="AE1680" i="1" s="1"/>
  <c r="AB1692" i="1"/>
  <c r="AE1692" i="1" s="1"/>
  <c r="AC1692" i="1"/>
  <c r="AB1718" i="1"/>
  <c r="AE1718" i="1" s="1"/>
  <c r="AB1761" i="1"/>
  <c r="AE1761" i="1" s="1"/>
  <c r="AB1774" i="1"/>
  <c r="AE1774" i="1" s="1"/>
  <c r="AB1794" i="1"/>
  <c r="AE1794" i="1" s="1"/>
  <c r="AB1807" i="1"/>
  <c r="AE1807" i="1" s="1"/>
  <c r="AC1832" i="1"/>
  <c r="AB1854" i="1"/>
  <c r="AE1854" i="1" s="1"/>
  <c r="AB1868" i="1"/>
  <c r="AE1868" i="1" s="1"/>
  <c r="AC1868" i="1"/>
  <c r="AB1890" i="1"/>
  <c r="AE1890" i="1" s="1"/>
  <c r="AC1931" i="1"/>
  <c r="AB1953" i="1"/>
  <c r="AE1953" i="1" s="1"/>
  <c r="AC1988" i="1"/>
  <c r="AB1488" i="1"/>
  <c r="AE1488" i="1" s="1"/>
  <c r="AB1552" i="1"/>
  <c r="AE1552" i="1" s="1"/>
  <c r="AB1616" i="1"/>
  <c r="AE1616" i="1" s="1"/>
  <c r="AC1855" i="1"/>
  <c r="AB1855" i="1"/>
  <c r="AE1855" i="1" s="1"/>
  <c r="AC1681" i="1"/>
  <c r="AB1681" i="1"/>
  <c r="AE1681" i="1" s="1"/>
  <c r="AB1693" i="1"/>
  <c r="AE1693" i="1" s="1"/>
  <c r="AB1743" i="1"/>
  <c r="AE1743" i="1" s="1"/>
  <c r="AC1762" i="1"/>
  <c r="AB1768" i="1"/>
  <c r="AE1768" i="1" s="1"/>
  <c r="AB1775" i="1"/>
  <c r="AE1775" i="1" s="1"/>
  <c r="AC1820" i="1"/>
  <c r="AC1833" i="1"/>
  <c r="AB1869" i="1"/>
  <c r="AE1869" i="1" s="1"/>
  <c r="AB1905" i="1"/>
  <c r="AE1905" i="1" s="1"/>
  <c r="AC1932" i="1"/>
  <c r="AB1960" i="1"/>
  <c r="AE1960" i="1" s="1"/>
  <c r="AC2041" i="1"/>
  <c r="AB2041" i="1"/>
  <c r="AE2041" i="1" s="1"/>
  <c r="AC2055" i="1"/>
  <c r="AC2082" i="1"/>
  <c r="AC2110" i="1"/>
  <c r="AB2131" i="1"/>
  <c r="AE2131" i="1" s="1"/>
  <c r="AC2173" i="1"/>
  <c r="AC2190" i="1"/>
  <c r="AB2190" i="1"/>
  <c r="AE2190" i="1" s="1"/>
  <c r="AC2206" i="1"/>
  <c r="AB2206" i="1"/>
  <c r="AE2206" i="1" s="1"/>
  <c r="AB2220" i="1"/>
  <c r="AE2220" i="1" s="1"/>
  <c r="AC2146" i="1"/>
  <c r="AB2146" i="1"/>
  <c r="AE2146" i="1" s="1"/>
  <c r="AC2176" i="1"/>
  <c r="AB2176" i="1"/>
  <c r="AE2176" i="1" s="1"/>
  <c r="AC2469" i="1"/>
  <c r="AB2469" i="1"/>
  <c r="AE2469" i="1" s="1"/>
  <c r="AB2118" i="1"/>
  <c r="AE2118" i="1" s="1"/>
  <c r="AC2118" i="1"/>
  <c r="AC2763" i="1"/>
  <c r="AB2763" i="1"/>
  <c r="AE2763" i="1" s="1"/>
  <c r="AC2022" i="1"/>
  <c r="AB2091" i="1"/>
  <c r="AE2091" i="1" s="1"/>
  <c r="AC2126" i="1"/>
  <c r="AC2147" i="1"/>
  <c r="AC2184" i="1"/>
  <c r="AB2214" i="1"/>
  <c r="AE2214" i="1" s="1"/>
  <c r="AC2214" i="1"/>
  <c r="AC2238" i="1"/>
  <c r="AB2238" i="1"/>
  <c r="AE2238" i="1" s="1"/>
  <c r="AC2756" i="1"/>
  <c r="AB2756" i="1"/>
  <c r="AE2756" i="1" s="1"/>
  <c r="AC2148" i="1"/>
  <c r="AB2148" i="1"/>
  <c r="AE2148" i="1" s="1"/>
  <c r="AB2185" i="1"/>
  <c r="AE2185" i="1" s="1"/>
  <c r="AC2185" i="1"/>
  <c r="AC2199" i="1"/>
  <c r="AB2199" i="1"/>
  <c r="AE2199" i="1" s="1"/>
  <c r="AC2685" i="1"/>
  <c r="AB2685" i="1"/>
  <c r="AE2685" i="1" s="1"/>
  <c r="AB2043" i="1"/>
  <c r="AE2043" i="1" s="1"/>
  <c r="AC2059" i="1"/>
  <c r="AB2059" i="1"/>
  <c r="AE2059" i="1" s="1"/>
  <c r="AB2127" i="1"/>
  <c r="AE2127" i="1" s="1"/>
  <c r="AC2155" i="1"/>
  <c r="AB2155" i="1"/>
  <c r="AE2155" i="1" s="1"/>
  <c r="AC2200" i="1"/>
  <c r="AB2200" i="1"/>
  <c r="AE2200" i="1" s="1"/>
  <c r="AC2340" i="1"/>
  <c r="AC2644" i="1"/>
  <c r="AB2201" i="1"/>
  <c r="AE2201" i="1" s="1"/>
  <c r="AC2201" i="1"/>
  <c r="AB2612" i="1"/>
  <c r="AE2612" i="1" s="1"/>
  <c r="AC2612" i="1"/>
  <c r="AC2044" i="1"/>
  <c r="AC2107" i="1"/>
  <c r="AB2107" i="1"/>
  <c r="AE2107" i="1" s="1"/>
  <c r="AB2128" i="1"/>
  <c r="AE2128" i="1" s="1"/>
  <c r="AC2135" i="1"/>
  <c r="AB2135" i="1"/>
  <c r="AE2135" i="1" s="1"/>
  <c r="AB2156" i="1"/>
  <c r="AE2156" i="1" s="1"/>
  <c r="AC2045" i="1"/>
  <c r="AC2066" i="1"/>
  <c r="AB2108" i="1"/>
  <c r="AE2108" i="1" s="1"/>
  <c r="AC2136" i="1"/>
  <c r="AB2157" i="1"/>
  <c r="AE2157" i="1" s="1"/>
  <c r="AC2562" i="1"/>
  <c r="AB2562" i="1"/>
  <c r="AE2562" i="1" s="1"/>
  <c r="AB2101" i="1"/>
  <c r="AE2101" i="1" s="1"/>
  <c r="AB2326" i="1"/>
  <c r="AE2326" i="1" s="1"/>
  <c r="AC2326" i="1"/>
  <c r="AC2439" i="1"/>
  <c r="AB2439" i="1"/>
  <c r="AE2439" i="1" s="1"/>
  <c r="AB2038" i="1"/>
  <c r="AE2038" i="1" s="1"/>
  <c r="AC2038" i="1"/>
  <c r="AC2046" i="1"/>
  <c r="AC2067" i="1"/>
  <c r="AC2087" i="1"/>
  <c r="AC2094" i="1"/>
  <c r="AB2109" i="1"/>
  <c r="AE2109" i="1" s="1"/>
  <c r="AC2137" i="1"/>
  <c r="AC2226" i="1"/>
  <c r="AB2226" i="1"/>
  <c r="AE2226" i="1" s="1"/>
  <c r="AC2204" i="1"/>
  <c r="AB2204" i="1"/>
  <c r="AE2204" i="1" s="1"/>
  <c r="AC2227" i="1"/>
  <c r="AB2227" i="1"/>
  <c r="AE2227" i="1" s="1"/>
  <c r="AC2547" i="1"/>
  <c r="AB2547" i="1"/>
  <c r="AE2547" i="1" s="1"/>
  <c r="AB2039" i="1"/>
  <c r="AE2039" i="1" s="1"/>
  <c r="AC2047" i="1"/>
  <c r="AC2068" i="1"/>
  <c r="AB2088" i="1"/>
  <c r="AE2088" i="1" s="1"/>
  <c r="AC2095" i="1"/>
  <c r="AB2138" i="1"/>
  <c r="AE2138" i="1" s="1"/>
  <c r="AC2144" i="1"/>
  <c r="AB2159" i="1"/>
  <c r="AE2159" i="1" s="1"/>
  <c r="AC2205" i="1"/>
  <c r="AB2205" i="1"/>
  <c r="AE2205" i="1" s="1"/>
  <c r="AB2262" i="1"/>
  <c r="AE2262" i="1" s="1"/>
  <c r="AC2262" i="1"/>
  <c r="AB2500" i="1"/>
  <c r="AE2500" i="1" s="1"/>
  <c r="AC2500" i="1"/>
  <c r="AC2717" i="1"/>
  <c r="AB2717" i="1"/>
  <c r="AE2717" i="1" s="1"/>
  <c r="AC2904" i="1"/>
  <c r="AB2904" i="1"/>
  <c r="AE2904" i="1" s="1"/>
  <c r="AC2948" i="1"/>
  <c r="AB2948" i="1"/>
  <c r="AE2948" i="1" s="1"/>
  <c r="AB2477" i="1"/>
  <c r="AE2477" i="1" s="1"/>
  <c r="AC2477" i="1"/>
  <c r="AB2809" i="1"/>
  <c r="AE2809" i="1" s="1"/>
  <c r="AC2809" i="1"/>
  <c r="AC2327" i="1"/>
  <c r="AB2327" i="1"/>
  <c r="AE2327" i="1" s="1"/>
  <c r="AB2347" i="1"/>
  <c r="AE2347" i="1" s="1"/>
  <c r="AC2374" i="1"/>
  <c r="AC2403" i="1"/>
  <c r="AC2446" i="1"/>
  <c r="AC2454" i="1"/>
  <c r="AB2454" i="1"/>
  <c r="AE2454" i="1" s="1"/>
  <c r="AB2461" i="1"/>
  <c r="AE2461" i="1" s="1"/>
  <c r="AC2461" i="1"/>
  <c r="AC2470" i="1"/>
  <c r="AB2470" i="1"/>
  <c r="AE2470" i="1" s="1"/>
  <c r="AC2580" i="1"/>
  <c r="AC2709" i="1"/>
  <c r="AB2709" i="1"/>
  <c r="AE2709" i="1" s="1"/>
  <c r="AC2772" i="1"/>
  <c r="AB2772" i="1"/>
  <c r="AE2772" i="1" s="1"/>
  <c r="AB2896" i="1"/>
  <c r="AE2896" i="1" s="1"/>
  <c r="AC2896" i="1"/>
  <c r="AB2493" i="1"/>
  <c r="AE2493" i="1" s="1"/>
  <c r="AC2493" i="1"/>
  <c r="AC2710" i="1"/>
  <c r="AB2710" i="1"/>
  <c r="AE2710" i="1" s="1"/>
  <c r="AC2879" i="1"/>
  <c r="AC2888" i="1"/>
  <c r="AB2888" i="1"/>
  <c r="AE2888" i="1" s="1"/>
  <c r="AC2306" i="1"/>
  <c r="AB2313" i="1"/>
  <c r="AE2313" i="1" s="1"/>
  <c r="AB2328" i="1"/>
  <c r="AE2328" i="1" s="1"/>
  <c r="AC2334" i="1"/>
  <c r="AB2348" i="1"/>
  <c r="AE2348" i="1" s="1"/>
  <c r="AB2375" i="1"/>
  <c r="AE2375" i="1" s="1"/>
  <c r="AC2404" i="1"/>
  <c r="AC2432" i="1"/>
  <c r="AB2455" i="1"/>
  <c r="AE2455" i="1" s="1"/>
  <c r="AB2462" i="1"/>
  <c r="AE2462" i="1" s="1"/>
  <c r="AB2471" i="1"/>
  <c r="AE2471" i="1" s="1"/>
  <c r="AC2486" i="1"/>
  <c r="AB2486" i="1"/>
  <c r="AE2486" i="1" s="1"/>
  <c r="AC2494" i="1"/>
  <c r="AB2494" i="1"/>
  <c r="AE2494" i="1" s="1"/>
  <c r="AC2565" i="1"/>
  <c r="AB2565" i="1"/>
  <c r="AE2565" i="1" s="1"/>
  <c r="AC2647" i="1"/>
  <c r="AB2647" i="1"/>
  <c r="AE2647" i="1" s="1"/>
  <c r="AC2355" i="1"/>
  <c r="AB2355" i="1"/>
  <c r="AE2355" i="1" s="1"/>
  <c r="AC2390" i="1"/>
  <c r="AB2390" i="1"/>
  <c r="AE2390" i="1" s="1"/>
  <c r="AB2397" i="1"/>
  <c r="AE2397" i="1" s="1"/>
  <c r="AC2397" i="1"/>
  <c r="AC2419" i="1"/>
  <c r="AB2419" i="1"/>
  <c r="AE2419" i="1" s="1"/>
  <c r="AC2503" i="1"/>
  <c r="AB2503" i="1"/>
  <c r="AE2503" i="1" s="1"/>
  <c r="AC2615" i="1"/>
  <c r="AB2615" i="1"/>
  <c r="AE2615" i="1" s="1"/>
  <c r="AB2749" i="1"/>
  <c r="AE2749" i="1" s="1"/>
  <c r="AC2749" i="1"/>
  <c r="AC2811" i="1"/>
  <c r="AB2811" i="1"/>
  <c r="AE2811" i="1" s="1"/>
  <c r="AB2413" i="1"/>
  <c r="AE2413" i="1" s="1"/>
  <c r="AC2413" i="1"/>
  <c r="AC2448" i="1"/>
  <c r="AB2448" i="1"/>
  <c r="AE2448" i="1" s="1"/>
  <c r="AC2583" i="1"/>
  <c r="AB2583" i="1"/>
  <c r="AE2583" i="1" s="1"/>
  <c r="AC2606" i="1"/>
  <c r="AC2750" i="1"/>
  <c r="AB2750" i="1"/>
  <c r="AE2750" i="1" s="1"/>
  <c r="AB2865" i="1"/>
  <c r="AE2865" i="1" s="1"/>
  <c r="AC2865" i="1"/>
  <c r="AC2234" i="1"/>
  <c r="AC2246" i="1"/>
  <c r="AB2289" i="1"/>
  <c r="AE2289" i="1" s="1"/>
  <c r="AC2295" i="1"/>
  <c r="AC2356" i="1"/>
  <c r="AB2362" i="1"/>
  <c r="AE2362" i="1" s="1"/>
  <c r="AB2391" i="1"/>
  <c r="AE2391" i="1" s="1"/>
  <c r="AB2398" i="1"/>
  <c r="AE2398" i="1" s="1"/>
  <c r="AC2406" i="1"/>
  <c r="AB2406" i="1"/>
  <c r="AE2406" i="1" s="1"/>
  <c r="AC2420" i="1"/>
  <c r="AC2551" i="1"/>
  <c r="AB2551" i="1"/>
  <c r="AE2551" i="1" s="1"/>
  <c r="AC2574" i="1"/>
  <c r="AC2599" i="1"/>
  <c r="AC2743" i="1"/>
  <c r="AB2803" i="1"/>
  <c r="AE2803" i="1" s="1"/>
  <c r="AC2803" i="1"/>
  <c r="AB2308" i="1"/>
  <c r="AE2308" i="1" s="1"/>
  <c r="AC2308" i="1"/>
  <c r="AC2434" i="1"/>
  <c r="AB2434" i="1"/>
  <c r="AE2434" i="1" s="1"/>
  <c r="AB2442" i="1"/>
  <c r="AE2442" i="1" s="1"/>
  <c r="AB2449" i="1"/>
  <c r="AE2449" i="1" s="1"/>
  <c r="AC2464" i="1"/>
  <c r="AB2464" i="1"/>
  <c r="AE2464" i="1" s="1"/>
  <c r="AC2542" i="1"/>
  <c r="AC2316" i="1"/>
  <c r="AB2316" i="1"/>
  <c r="AE2316" i="1" s="1"/>
  <c r="AC2377" i="1"/>
  <c r="AB2377" i="1"/>
  <c r="AE2377" i="1" s="1"/>
  <c r="AC2384" i="1"/>
  <c r="AB2384" i="1"/>
  <c r="AE2384" i="1" s="1"/>
  <c r="AC2435" i="1"/>
  <c r="AB2435" i="1"/>
  <c r="AE2435" i="1" s="1"/>
  <c r="AC2666" i="1"/>
  <c r="AB2666" i="1"/>
  <c r="AE2666" i="1" s="1"/>
  <c r="AC2805" i="1"/>
  <c r="AB2805" i="1"/>
  <c r="AE2805" i="1" s="1"/>
  <c r="AB2272" i="1"/>
  <c r="AE2272" i="1" s="1"/>
  <c r="AB2278" i="1"/>
  <c r="AE2278" i="1" s="1"/>
  <c r="AC2284" i="1"/>
  <c r="AB2309" i="1"/>
  <c r="AE2309" i="1" s="1"/>
  <c r="AC2370" i="1"/>
  <c r="AB2370" i="1"/>
  <c r="AE2370" i="1" s="1"/>
  <c r="AB2450" i="1"/>
  <c r="AE2450" i="1" s="1"/>
  <c r="AC2512" i="1"/>
  <c r="AB2512" i="1"/>
  <c r="AE2512" i="1" s="1"/>
  <c r="AC2521" i="1"/>
  <c r="AB2521" i="1"/>
  <c r="AE2521" i="1" s="1"/>
  <c r="AB2657" i="1"/>
  <c r="AE2657" i="1" s="1"/>
  <c r="AC2657" i="1"/>
  <c r="AC2782" i="1"/>
  <c r="AC2791" i="1"/>
  <c r="AB2791" i="1"/>
  <c r="AE2791" i="1" s="1"/>
  <c r="AC2166" i="1"/>
  <c r="AB2254" i="1"/>
  <c r="AE2254" i="1" s="1"/>
  <c r="AC2266" i="1"/>
  <c r="AB2317" i="1"/>
  <c r="AE2317" i="1" s="1"/>
  <c r="AC2337" i="1"/>
  <c r="AB2378" i="1"/>
  <c r="AE2378" i="1" s="1"/>
  <c r="AB2385" i="1"/>
  <c r="AE2385" i="1" s="1"/>
  <c r="AB2428" i="1"/>
  <c r="AE2428" i="1" s="1"/>
  <c r="AC2436" i="1"/>
  <c r="AC2474" i="1"/>
  <c r="AB2489" i="1"/>
  <c r="AE2489" i="1" s="1"/>
  <c r="AB2513" i="1"/>
  <c r="AE2513" i="1" s="1"/>
  <c r="AC2513" i="1"/>
  <c r="AC2634" i="1"/>
  <c r="AB2634" i="1"/>
  <c r="AE2634" i="1" s="1"/>
  <c r="AC2658" i="1"/>
  <c r="AB2658" i="1"/>
  <c r="AE2658" i="1" s="1"/>
  <c r="AB2723" i="1"/>
  <c r="AE2723" i="1" s="1"/>
  <c r="AC2723" i="1"/>
  <c r="AC2338" i="1"/>
  <c r="AB2338" i="1"/>
  <c r="AE2338" i="1" s="1"/>
  <c r="AC2400" i="1"/>
  <c r="AB2400" i="1"/>
  <c r="AE2400" i="1" s="1"/>
  <c r="AB2429" i="1"/>
  <c r="AE2429" i="1" s="1"/>
  <c r="AC2429" i="1"/>
  <c r="AC2602" i="1"/>
  <c r="AB2602" i="1"/>
  <c r="AE2602" i="1" s="1"/>
  <c r="AB2625" i="1"/>
  <c r="AE2625" i="1" s="1"/>
  <c r="AC2625" i="1"/>
  <c r="AB2683" i="1"/>
  <c r="AE2683" i="1" s="1"/>
  <c r="AC2683" i="1"/>
  <c r="AC2692" i="1"/>
  <c r="AB2692" i="1"/>
  <c r="AE2692" i="1" s="1"/>
  <c r="AC2724" i="1"/>
  <c r="AB2724" i="1"/>
  <c r="AE2724" i="1" s="1"/>
  <c r="AC2230" i="1"/>
  <c r="AC2345" i="1"/>
  <c r="AB2345" i="1"/>
  <c r="AE2345" i="1" s="1"/>
  <c r="AC2498" i="1"/>
  <c r="AB2498" i="1"/>
  <c r="AE2498" i="1" s="1"/>
  <c r="AC2515" i="1"/>
  <c r="AB2515" i="1"/>
  <c r="AE2515" i="1" s="1"/>
  <c r="AC2570" i="1"/>
  <c r="AB2570" i="1"/>
  <c r="AE2570" i="1" s="1"/>
  <c r="AB2593" i="1"/>
  <c r="AE2593" i="1" s="1"/>
  <c r="AC2593" i="1"/>
  <c r="AC2626" i="1"/>
  <c r="AB2626" i="1"/>
  <c r="AE2626" i="1" s="1"/>
  <c r="AC2830" i="1"/>
  <c r="AB2830" i="1"/>
  <c r="AE2830" i="1" s="1"/>
  <c r="AB2219" i="1"/>
  <c r="AE2219" i="1" s="1"/>
  <c r="AB2298" i="1"/>
  <c r="AE2298" i="1" s="1"/>
  <c r="AB2339" i="1"/>
  <c r="AE2339" i="1" s="1"/>
  <c r="AC2365" i="1"/>
  <c r="AC2372" i="1"/>
  <c r="AB2401" i="1"/>
  <c r="AE2401" i="1" s="1"/>
  <c r="AC2467" i="1"/>
  <c r="AC2538" i="1"/>
  <c r="AB2538" i="1"/>
  <c r="AE2538" i="1" s="1"/>
  <c r="AC2554" i="1"/>
  <c r="AB2561" i="1"/>
  <c r="AE2561" i="1" s="1"/>
  <c r="AC2561" i="1"/>
  <c r="AC2594" i="1"/>
  <c r="AB2594" i="1"/>
  <c r="AE2594" i="1" s="1"/>
  <c r="AC2676" i="1"/>
  <c r="AB2770" i="1"/>
  <c r="AE2770" i="1" s="1"/>
  <c r="AB2785" i="1"/>
  <c r="AE2785" i="1" s="1"/>
  <c r="AC2785" i="1"/>
  <c r="AC2790" i="1"/>
  <c r="AB2790" i="1"/>
  <c r="AE2790" i="1" s="1"/>
  <c r="AC2838" i="1"/>
  <c r="AB2838" i="1"/>
  <c r="AE2838" i="1" s="1"/>
  <c r="AC2889" i="1"/>
  <c r="AB2889" i="1"/>
  <c r="AE2889" i="1" s="1"/>
  <c r="AB3333" i="1"/>
  <c r="AE3333" i="1" s="1"/>
  <c r="AC3333" i="1"/>
  <c r="AB3348" i="1"/>
  <c r="AE3348" i="1" s="1"/>
  <c r="AC3348" i="1"/>
  <c r="AC3611" i="1"/>
  <c r="AB3611" i="1"/>
  <c r="AE3611" i="1" s="1"/>
  <c r="AC2852" i="1"/>
  <c r="AB2852" i="1"/>
  <c r="AE2852" i="1" s="1"/>
  <c r="AB2897" i="1"/>
  <c r="AE2897" i="1" s="1"/>
  <c r="AC2897" i="1"/>
  <c r="AC2912" i="1"/>
  <c r="AB2912" i="1"/>
  <c r="AE2912" i="1" s="1"/>
  <c r="AC3030" i="1"/>
  <c r="AB3030" i="1"/>
  <c r="AE3030" i="1" s="1"/>
  <c r="AB2817" i="1"/>
  <c r="AE2817" i="1" s="1"/>
  <c r="AC2817" i="1"/>
  <c r="AC2831" i="1"/>
  <c r="AB2839" i="1"/>
  <c r="AE2839" i="1" s="1"/>
  <c r="AC2873" i="1"/>
  <c r="AC2898" i="1"/>
  <c r="AB2898" i="1"/>
  <c r="AE2898" i="1" s="1"/>
  <c r="AB2441" i="1"/>
  <c r="AE2441" i="1" s="1"/>
  <c r="AB2482" i="1"/>
  <c r="AE2482" i="1" s="1"/>
  <c r="AB2537" i="1"/>
  <c r="AE2537" i="1" s="1"/>
  <c r="AB2550" i="1"/>
  <c r="AE2550" i="1" s="1"/>
  <c r="AB2569" i="1"/>
  <c r="AE2569" i="1" s="1"/>
  <c r="AB2582" i="1"/>
  <c r="AE2582" i="1" s="1"/>
  <c r="AB2601" i="1"/>
  <c r="AE2601" i="1" s="1"/>
  <c r="AB2614" i="1"/>
  <c r="AE2614" i="1" s="1"/>
  <c r="AB2633" i="1"/>
  <c r="AE2633" i="1" s="1"/>
  <c r="AB2646" i="1"/>
  <c r="AE2646" i="1" s="1"/>
  <c r="AB2665" i="1"/>
  <c r="AE2665" i="1" s="1"/>
  <c r="AB2678" i="1"/>
  <c r="AE2678" i="1" s="1"/>
  <c r="AC2691" i="1"/>
  <c r="AC2737" i="1"/>
  <c r="AC2784" i="1"/>
  <c r="AC2804" i="1"/>
  <c r="AB2804" i="1"/>
  <c r="AE2804" i="1" s="1"/>
  <c r="AC2825" i="1"/>
  <c r="AC2853" i="1"/>
  <c r="AB2881" i="1"/>
  <c r="AE2881" i="1" s="1"/>
  <c r="AC2881" i="1"/>
  <c r="AC2951" i="1"/>
  <c r="AB2951" i="1"/>
  <c r="AE2951" i="1" s="1"/>
  <c r="AC2854" i="1"/>
  <c r="AB2854" i="1"/>
  <c r="AE2854" i="1" s="1"/>
  <c r="AC2882" i="1"/>
  <c r="AB2882" i="1"/>
  <c r="AE2882" i="1" s="1"/>
  <c r="AC2935" i="1"/>
  <c r="AB2935" i="1"/>
  <c r="AE2935" i="1" s="1"/>
  <c r="AC3000" i="1"/>
  <c r="AB3000" i="1"/>
  <c r="AE3000" i="1" s="1"/>
  <c r="AC3079" i="1"/>
  <c r="AB3079" i="1"/>
  <c r="AE3079" i="1" s="1"/>
  <c r="AB2833" i="1"/>
  <c r="AE2833" i="1" s="1"/>
  <c r="AC2833" i="1"/>
  <c r="AC2867" i="1"/>
  <c r="AC2883" i="1"/>
  <c r="AB2883" i="1"/>
  <c r="AE2883" i="1" s="1"/>
  <c r="AB2891" i="1"/>
  <c r="AE2891" i="1" s="1"/>
  <c r="AC3054" i="1"/>
  <c r="AB3054" i="1"/>
  <c r="AE3054" i="1" s="1"/>
  <c r="AB2526" i="1"/>
  <c r="AE2526" i="1" s="1"/>
  <c r="AC2532" i="1"/>
  <c r="AC2544" i="1"/>
  <c r="AC2557" i="1"/>
  <c r="AC2576" i="1"/>
  <c r="AC2589" i="1"/>
  <c r="AC2608" i="1"/>
  <c r="AC2621" i="1"/>
  <c r="AC2640" i="1"/>
  <c r="AC2653" i="1"/>
  <c r="AC2672" i="1"/>
  <c r="AB2699" i="1"/>
  <c r="AE2699" i="1" s="1"/>
  <c r="AB2705" i="1"/>
  <c r="AE2705" i="1" s="1"/>
  <c r="AC2705" i="1"/>
  <c r="AC2712" i="1"/>
  <c r="AC2726" i="1"/>
  <c r="AB2726" i="1"/>
  <c r="AE2726" i="1" s="1"/>
  <c r="AC2868" i="1"/>
  <c r="AB2868" i="1"/>
  <c r="AE2868" i="1" s="1"/>
  <c r="AB2425" i="1"/>
  <c r="AE2425" i="1" s="1"/>
  <c r="AB2502" i="1"/>
  <c r="AE2502" i="1" s="1"/>
  <c r="AB2514" i="1"/>
  <c r="AE2514" i="1" s="1"/>
  <c r="AC2564" i="1"/>
  <c r="AC2596" i="1"/>
  <c r="AC2628" i="1"/>
  <c r="AC2660" i="1"/>
  <c r="AC2834" i="1"/>
  <c r="AC2861" i="1"/>
  <c r="AB2753" i="1"/>
  <c r="AE2753" i="1" s="1"/>
  <c r="AC2753" i="1"/>
  <c r="AB2943" i="1"/>
  <c r="AE2943" i="1" s="1"/>
  <c r="AC2943" i="1"/>
  <c r="AB3042" i="1"/>
  <c r="AE3042" i="1" s="1"/>
  <c r="AC3042" i="1"/>
  <c r="AB2597" i="1"/>
  <c r="AE2597" i="1" s="1"/>
  <c r="AB2629" i="1"/>
  <c r="AE2629" i="1" s="1"/>
  <c r="AB2661" i="1"/>
  <c r="AE2661" i="1" s="1"/>
  <c r="AC2740" i="1"/>
  <c r="AB2740" i="1"/>
  <c r="AE2740" i="1" s="1"/>
  <c r="AC2774" i="1"/>
  <c r="AB2774" i="1"/>
  <c r="AE2774" i="1" s="1"/>
  <c r="AC2862" i="1"/>
  <c r="AB2993" i="1"/>
  <c r="AE2993" i="1" s="1"/>
  <c r="AC2993" i="1"/>
  <c r="AC2509" i="1"/>
  <c r="AB2546" i="1"/>
  <c r="AE2546" i="1" s="1"/>
  <c r="AB2578" i="1"/>
  <c r="AE2578" i="1" s="1"/>
  <c r="AB2610" i="1"/>
  <c r="AE2610" i="1" s="1"/>
  <c r="AB2642" i="1"/>
  <c r="AE2642" i="1" s="1"/>
  <c r="AB2674" i="1"/>
  <c r="AE2674" i="1" s="1"/>
  <c r="AC2687" i="1"/>
  <c r="AC2694" i="1"/>
  <c r="AB2694" i="1"/>
  <c r="AE2694" i="1" s="1"/>
  <c r="AB2720" i="1"/>
  <c r="AE2720" i="1" s="1"/>
  <c r="AC2733" i="1"/>
  <c r="AC2767" i="1"/>
  <c r="AC2813" i="1"/>
  <c r="AC3226" i="1"/>
  <c r="AB3226" i="1"/>
  <c r="AE3226" i="1" s="1"/>
  <c r="AC2877" i="1"/>
  <c r="AB2877" i="1"/>
  <c r="AE2877" i="1" s="1"/>
  <c r="AC2902" i="1"/>
  <c r="AB2902" i="1"/>
  <c r="AE2902" i="1" s="1"/>
  <c r="AC2917" i="1"/>
  <c r="AB2917" i="1"/>
  <c r="AE2917" i="1" s="1"/>
  <c r="AC3163" i="1"/>
  <c r="AB3163" i="1"/>
  <c r="AE3163" i="1" s="1"/>
  <c r="AC3289" i="1"/>
  <c r="AB3289" i="1"/>
  <c r="AE3289" i="1" s="1"/>
  <c r="AC2788" i="1"/>
  <c r="AB2788" i="1"/>
  <c r="AE2788" i="1" s="1"/>
  <c r="AC2918" i="1"/>
  <c r="AB2918" i="1"/>
  <c r="AE2918" i="1" s="1"/>
  <c r="AC2963" i="1"/>
  <c r="AB2963" i="1"/>
  <c r="AE2963" i="1" s="1"/>
  <c r="AC2715" i="1"/>
  <c r="AC2755" i="1"/>
  <c r="AB2769" i="1"/>
  <c r="AE2769" i="1" s="1"/>
  <c r="AC2769" i="1"/>
  <c r="AC2801" i="1"/>
  <c r="AB2903" i="1"/>
  <c r="AE2903" i="1" s="1"/>
  <c r="AC2947" i="1"/>
  <c r="AB2947" i="1"/>
  <c r="AE2947" i="1" s="1"/>
  <c r="AB3212" i="1"/>
  <c r="AE3212" i="1" s="1"/>
  <c r="AC3212" i="1"/>
  <c r="AC2992" i="1"/>
  <c r="AC3017" i="1"/>
  <c r="AC3029" i="1"/>
  <c r="AC3035" i="1"/>
  <c r="AC3134" i="1"/>
  <c r="AB3141" i="1"/>
  <c r="AE3141" i="1" s="1"/>
  <c r="AC3141" i="1"/>
  <c r="AC3225" i="1"/>
  <c r="AB3225" i="1"/>
  <c r="AE3225" i="1" s="1"/>
  <c r="AC3246" i="1"/>
  <c r="AC3393" i="1"/>
  <c r="AB3393" i="1"/>
  <c r="AE3393" i="1" s="1"/>
  <c r="AC3446" i="1"/>
  <c r="AC3601" i="1"/>
  <c r="AB3601" i="1"/>
  <c r="AE3601" i="1" s="1"/>
  <c r="AB3100" i="1"/>
  <c r="AE3100" i="1" s="1"/>
  <c r="AC3100" i="1"/>
  <c r="AB3205" i="1"/>
  <c r="AE3205" i="1" s="1"/>
  <c r="AC3205" i="1"/>
  <c r="AC3290" i="1"/>
  <c r="AB3290" i="1"/>
  <c r="AE3290" i="1" s="1"/>
  <c r="AC3402" i="1"/>
  <c r="AB3402" i="1"/>
  <c r="AE3402" i="1" s="1"/>
  <c r="AB3269" i="1"/>
  <c r="AE3269" i="1" s="1"/>
  <c r="AC3269" i="1"/>
  <c r="AB3660" i="1"/>
  <c r="AE3660" i="1" s="1"/>
  <c r="AC3660" i="1"/>
  <c r="AC2945" i="1"/>
  <c r="AB2952" i="1"/>
  <c r="AE2952" i="1" s="1"/>
  <c r="AB2982" i="1"/>
  <c r="AE2982" i="1" s="1"/>
  <c r="AC2994" i="1"/>
  <c r="AB3006" i="1"/>
  <c r="AE3006" i="1" s="1"/>
  <c r="AB3031" i="1"/>
  <c r="AE3031" i="1" s="1"/>
  <c r="AB3043" i="1"/>
  <c r="AE3043" i="1" s="1"/>
  <c r="AC3073" i="1"/>
  <c r="AB3080" i="1"/>
  <c r="AE3080" i="1" s="1"/>
  <c r="AC3101" i="1"/>
  <c r="AB3121" i="1"/>
  <c r="AE3121" i="1" s="1"/>
  <c r="AB3150" i="1"/>
  <c r="AE3150" i="1" s="1"/>
  <c r="AB3164" i="1"/>
  <c r="AE3164" i="1" s="1"/>
  <c r="AC3164" i="1"/>
  <c r="AB3206" i="1"/>
  <c r="AE3206" i="1" s="1"/>
  <c r="AB3227" i="1"/>
  <c r="AE3227" i="1" s="1"/>
  <c r="AC3283" i="1"/>
  <c r="AB3291" i="1"/>
  <c r="AE3291" i="1" s="1"/>
  <c r="AC3298" i="1"/>
  <c r="AB3298" i="1"/>
  <c r="AE3298" i="1" s="1"/>
  <c r="AC3342" i="1"/>
  <c r="AB3342" i="1"/>
  <c r="AE3342" i="1" s="1"/>
  <c r="AC3350" i="1"/>
  <c r="AB3350" i="1"/>
  <c r="AE3350" i="1" s="1"/>
  <c r="AC3365" i="1"/>
  <c r="AC3373" i="1"/>
  <c r="AB3373" i="1"/>
  <c r="AE3373" i="1" s="1"/>
  <c r="AB3410" i="1"/>
  <c r="AE3410" i="1" s="1"/>
  <c r="AC3417" i="1"/>
  <c r="AB3417" i="1"/>
  <c r="AE3417" i="1" s="1"/>
  <c r="AB3473" i="1"/>
  <c r="AE3473" i="1" s="1"/>
  <c r="AC3577" i="1"/>
  <c r="AB3577" i="1"/>
  <c r="AE3577" i="1" s="1"/>
  <c r="AB3594" i="1"/>
  <c r="AE3594" i="1" s="1"/>
  <c r="AB3653" i="1"/>
  <c r="AE3653" i="1" s="1"/>
  <c r="AC3653" i="1"/>
  <c r="AC3129" i="1"/>
  <c r="AB3129" i="1"/>
  <c r="AE3129" i="1" s="1"/>
  <c r="AC3433" i="1"/>
  <c r="AB3433" i="1"/>
  <c r="AE3433" i="1" s="1"/>
  <c r="AC3483" i="1"/>
  <c r="AB3483" i="1"/>
  <c r="AE3483" i="1" s="1"/>
  <c r="AB3604" i="1"/>
  <c r="AE3604" i="1" s="1"/>
  <c r="AC3604" i="1"/>
  <c r="AB2916" i="1"/>
  <c r="AE2916" i="1" s="1"/>
  <c r="AB2934" i="1"/>
  <c r="AE2934" i="1" s="1"/>
  <c r="AC2946" i="1"/>
  <c r="AB2983" i="1"/>
  <c r="AE2983" i="1" s="1"/>
  <c r="AC3025" i="1"/>
  <c r="AB3062" i="1"/>
  <c r="AE3062" i="1" s="1"/>
  <c r="AC3074" i="1"/>
  <c r="AC3108" i="1"/>
  <c r="AC3165" i="1"/>
  <c r="AB3185" i="1"/>
  <c r="AE3185" i="1" s="1"/>
  <c r="AB3228" i="1"/>
  <c r="AE3228" i="1" s="1"/>
  <c r="AC3228" i="1"/>
  <c r="AB3306" i="1"/>
  <c r="AE3306" i="1" s="1"/>
  <c r="AB3366" i="1"/>
  <c r="AE3366" i="1" s="1"/>
  <c r="AC3449" i="1"/>
  <c r="AB3449" i="1"/>
  <c r="AE3449" i="1" s="1"/>
  <c r="AB3484" i="1"/>
  <c r="AE3484" i="1" s="1"/>
  <c r="AC3484" i="1"/>
  <c r="AC3530" i="1"/>
  <c r="AB3530" i="1"/>
  <c r="AE3530" i="1" s="1"/>
  <c r="AC3538" i="1"/>
  <c r="AB3538" i="1"/>
  <c r="AE3538" i="1" s="1"/>
  <c r="AC3554" i="1"/>
  <c r="AB3554" i="1"/>
  <c r="AE3554" i="1" s="1"/>
  <c r="AC3621" i="1"/>
  <c r="AB3109" i="1"/>
  <c r="AE3109" i="1" s="1"/>
  <c r="AC3109" i="1"/>
  <c r="AC3193" i="1"/>
  <c r="AB3193" i="1"/>
  <c r="AE3193" i="1" s="1"/>
  <c r="AC3382" i="1"/>
  <c r="AB3382" i="1"/>
  <c r="AE3382" i="1" s="1"/>
  <c r="AC3405" i="1"/>
  <c r="AB3405" i="1"/>
  <c r="AE3405" i="1" s="1"/>
  <c r="AC2977" i="1"/>
  <c r="AB2984" i="1"/>
  <c r="AE2984" i="1" s="1"/>
  <c r="AB3014" i="1"/>
  <c r="AE3014" i="1" s="1"/>
  <c r="AC3026" i="1"/>
  <c r="AB3038" i="1"/>
  <c r="AE3038" i="1" s="1"/>
  <c r="AB3063" i="1"/>
  <c r="AE3063" i="1" s="1"/>
  <c r="AB3075" i="1"/>
  <c r="AE3075" i="1" s="1"/>
  <c r="AC3123" i="1"/>
  <c r="AB3137" i="1"/>
  <c r="AE3137" i="1" s="1"/>
  <c r="AB3166" i="1"/>
  <c r="AE3166" i="1" s="1"/>
  <c r="AC3172" i="1"/>
  <c r="AC3229" i="1"/>
  <c r="AB3249" i="1"/>
  <c r="AE3249" i="1" s="1"/>
  <c r="AC3285" i="1"/>
  <c r="AC3293" i="1"/>
  <c r="AB3307" i="1"/>
  <c r="AE3307" i="1" s="1"/>
  <c r="AC3321" i="1"/>
  <c r="AB3321" i="1"/>
  <c r="AE3321" i="1" s="1"/>
  <c r="AB3397" i="1"/>
  <c r="AE3397" i="1" s="1"/>
  <c r="AC3397" i="1"/>
  <c r="AC3467" i="1"/>
  <c r="AB3467" i="1"/>
  <c r="AE3467" i="1" s="1"/>
  <c r="AB3500" i="1"/>
  <c r="AE3500" i="1" s="1"/>
  <c r="AC3500" i="1"/>
  <c r="AB3173" i="1"/>
  <c r="AE3173" i="1" s="1"/>
  <c r="AC3173" i="1"/>
  <c r="AC3257" i="1"/>
  <c r="AB3257" i="1"/>
  <c r="AE3257" i="1" s="1"/>
  <c r="AC3322" i="1"/>
  <c r="AB3322" i="1"/>
  <c r="AE3322" i="1" s="1"/>
  <c r="AC3412" i="1"/>
  <c r="AC3451" i="1"/>
  <c r="AB3451" i="1"/>
  <c r="AE3451" i="1" s="1"/>
  <c r="AB3476" i="1"/>
  <c r="AE3476" i="1" s="1"/>
  <c r="AC3476" i="1"/>
  <c r="AB3547" i="1"/>
  <c r="AE3547" i="1" s="1"/>
  <c r="AC3598" i="1"/>
  <c r="AB3598" i="1"/>
  <c r="AE3598" i="1" s="1"/>
  <c r="AB3301" i="1"/>
  <c r="AE3301" i="1" s="1"/>
  <c r="AC3301" i="1"/>
  <c r="AB3460" i="1"/>
  <c r="AE3460" i="1" s="1"/>
  <c r="AC3460" i="1"/>
  <c r="AC3581" i="1"/>
  <c r="AB3581" i="1"/>
  <c r="AE3581" i="1" s="1"/>
  <c r="AB2960" i="1"/>
  <c r="AE2960" i="1" s="1"/>
  <c r="AB2985" i="1"/>
  <c r="AE2985" i="1" s="1"/>
  <c r="AB2997" i="1"/>
  <c r="AE2997" i="1" s="1"/>
  <c r="AB3003" i="1"/>
  <c r="AE3003" i="1" s="1"/>
  <c r="AC3039" i="1"/>
  <c r="AB3076" i="1"/>
  <c r="AE3076" i="1" s="1"/>
  <c r="AB3083" i="1"/>
  <c r="AE3083" i="1" s="1"/>
  <c r="AB3118" i="1"/>
  <c r="AE3118" i="1" s="1"/>
  <c r="AB3132" i="1"/>
  <c r="AE3132" i="1" s="1"/>
  <c r="AC3132" i="1"/>
  <c r="AB3174" i="1"/>
  <c r="AE3174" i="1" s="1"/>
  <c r="AB3195" i="1"/>
  <c r="AE3195" i="1" s="1"/>
  <c r="AB3237" i="1"/>
  <c r="AE3237" i="1" s="1"/>
  <c r="AC3237" i="1"/>
  <c r="AB3258" i="1"/>
  <c r="AE3258" i="1" s="1"/>
  <c r="AC3315" i="1"/>
  <c r="AB3323" i="1"/>
  <c r="AE3323" i="1" s="1"/>
  <c r="AC3330" i="1"/>
  <c r="AB3330" i="1"/>
  <c r="AE3330" i="1" s="1"/>
  <c r="AC3413" i="1"/>
  <c r="AB3444" i="1"/>
  <c r="AE3444" i="1" s="1"/>
  <c r="AC3444" i="1"/>
  <c r="AC3452" i="1"/>
  <c r="AC3493" i="1"/>
  <c r="AC3533" i="1"/>
  <c r="AB3533" i="1"/>
  <c r="AE3533" i="1" s="1"/>
  <c r="AC3540" i="1"/>
  <c r="AB3557" i="1"/>
  <c r="AE3557" i="1" s="1"/>
  <c r="AC3557" i="1"/>
  <c r="AC3097" i="1"/>
  <c r="AB3097" i="1"/>
  <c r="AE3097" i="1" s="1"/>
  <c r="AB3429" i="1"/>
  <c r="AE3429" i="1" s="1"/>
  <c r="AC3429" i="1"/>
  <c r="AC3437" i="1"/>
  <c r="AB3437" i="1"/>
  <c r="AE3437" i="1" s="1"/>
  <c r="AC3453" i="1"/>
  <c r="AB3453" i="1"/>
  <c r="AE3453" i="1" s="1"/>
  <c r="AC3470" i="1"/>
  <c r="AB3470" i="1"/>
  <c r="AE3470" i="1" s="1"/>
  <c r="AC3510" i="1"/>
  <c r="AB3510" i="1"/>
  <c r="AE3510" i="1" s="1"/>
  <c r="AC2895" i="1"/>
  <c r="AC2991" i="1"/>
  <c r="AB3028" i="1"/>
  <c r="AE3028" i="1" s="1"/>
  <c r="AC3133" i="1"/>
  <c r="AB3153" i="1"/>
  <c r="AE3153" i="1" s="1"/>
  <c r="AB3196" i="1"/>
  <c r="AE3196" i="1" s="1"/>
  <c r="AC3196" i="1"/>
  <c r="AC3266" i="1"/>
  <c r="AB3266" i="1"/>
  <c r="AE3266" i="1" s="1"/>
  <c r="AC3346" i="1"/>
  <c r="AB3346" i="1"/>
  <c r="AE3346" i="1" s="1"/>
  <c r="AC3355" i="1"/>
  <c r="AB3355" i="1"/>
  <c r="AE3355" i="1" s="1"/>
  <c r="AC3438" i="1"/>
  <c r="AB3438" i="1"/>
  <c r="AE3438" i="1" s="1"/>
  <c r="AC3454" i="1"/>
  <c r="AB3454" i="1"/>
  <c r="AE3454" i="1" s="1"/>
  <c r="AB3534" i="1"/>
  <c r="AE3534" i="1" s="1"/>
  <c r="AC3161" i="1"/>
  <c r="AB3161" i="1"/>
  <c r="AE3161" i="1" s="1"/>
  <c r="AC3370" i="1"/>
  <c r="AB3370" i="1"/>
  <c r="AE3370" i="1" s="1"/>
  <c r="AC3674" i="1"/>
  <c r="AB3674" i="1"/>
  <c r="AE3674" i="1" s="1"/>
  <c r="AC3714" i="1"/>
  <c r="AB3714" i="1"/>
  <c r="AE3714" i="1" s="1"/>
  <c r="AB2980" i="1"/>
  <c r="AE2980" i="1" s="1"/>
  <c r="AC3071" i="1"/>
  <c r="AB3085" i="1"/>
  <c r="AE3085" i="1" s="1"/>
  <c r="AC3085" i="1"/>
  <c r="AC3091" i="1"/>
  <c r="AB3105" i="1"/>
  <c r="AE3105" i="1" s="1"/>
  <c r="AC3140" i="1"/>
  <c r="AC3197" i="1"/>
  <c r="AB3217" i="1"/>
  <c r="AE3217" i="1" s="1"/>
  <c r="AB3274" i="1"/>
  <c r="AE3274" i="1" s="1"/>
  <c r="AC3317" i="1"/>
  <c r="AC3325" i="1"/>
  <c r="AC3356" i="1"/>
  <c r="AC3650" i="1"/>
  <c r="AB3650" i="1"/>
  <c r="AE3650" i="1" s="1"/>
  <c r="AB3713" i="1"/>
  <c r="AE3713" i="1" s="1"/>
  <c r="AC3749" i="1"/>
  <c r="AB3749" i="1"/>
  <c r="AE3749" i="1" s="1"/>
  <c r="AC3629" i="1"/>
  <c r="AB3629" i="1"/>
  <c r="AE3629" i="1" s="1"/>
  <c r="AC3693" i="1"/>
  <c r="AB3693" i="1"/>
  <c r="AE3693" i="1" s="1"/>
  <c r="AB3494" i="1"/>
  <c r="AE3494" i="1" s="1"/>
  <c r="AC3501" i="1"/>
  <c r="AB3501" i="1"/>
  <c r="AE3501" i="1" s="1"/>
  <c r="AB3514" i="1"/>
  <c r="AE3514" i="1" s="1"/>
  <c r="AC3541" i="1"/>
  <c r="AB3561" i="1"/>
  <c r="AE3561" i="1" s="1"/>
  <c r="AB3582" i="1"/>
  <c r="AE3582" i="1" s="1"/>
  <c r="AC3588" i="1"/>
  <c r="AB3595" i="1"/>
  <c r="AE3595" i="1" s="1"/>
  <c r="AC3636" i="1"/>
  <c r="AC3643" i="1"/>
  <c r="AC3420" i="1"/>
  <c r="AB3474" i="1"/>
  <c r="AE3474" i="1" s="1"/>
  <c r="AB3521" i="1"/>
  <c r="AE3521" i="1" s="1"/>
  <c r="AC3548" i="1"/>
  <c r="AB3602" i="1"/>
  <c r="AE3602" i="1" s="1"/>
  <c r="AB3630" i="1"/>
  <c r="AE3630" i="1" s="1"/>
  <c r="AB3665" i="1"/>
  <c r="AE3665" i="1" s="1"/>
  <c r="AB3729" i="1"/>
  <c r="AE3729" i="1" s="1"/>
  <c r="AC3421" i="1"/>
  <c r="AB3421" i="1"/>
  <c r="AE3421" i="1" s="1"/>
  <c r="AC3549" i="1"/>
  <c r="AB3549" i="1"/>
  <c r="AE3549" i="1" s="1"/>
  <c r="AC3645" i="1"/>
  <c r="AB3645" i="1"/>
  <c r="AE3645" i="1" s="1"/>
  <c r="AB3666" i="1"/>
  <c r="AE3666" i="1" s="1"/>
  <c r="AC3709" i="1"/>
  <c r="AB3709" i="1"/>
  <c r="AE3709" i="1" s="1"/>
  <c r="AB3730" i="1"/>
  <c r="AE3730" i="1" s="1"/>
  <c r="AC3341" i="1"/>
  <c r="AB3341" i="1"/>
  <c r="AE3341" i="1" s="1"/>
  <c r="AB3354" i="1"/>
  <c r="AE3354" i="1" s="1"/>
  <c r="AC3381" i="1"/>
  <c r="AB3401" i="1"/>
  <c r="AE3401" i="1" s="1"/>
  <c r="AC3428" i="1"/>
  <c r="AC3469" i="1"/>
  <c r="AB3469" i="1"/>
  <c r="AE3469" i="1" s="1"/>
  <c r="AB3482" i="1"/>
  <c r="AE3482" i="1" s="1"/>
  <c r="AC3509" i="1"/>
  <c r="AB3529" i="1"/>
  <c r="AE3529" i="1" s="1"/>
  <c r="AC3556" i="1"/>
  <c r="AC3597" i="1"/>
  <c r="AB3597" i="1"/>
  <c r="AE3597" i="1" s="1"/>
  <c r="AB3610" i="1"/>
  <c r="AE3610" i="1" s="1"/>
  <c r="AC3652" i="1"/>
  <c r="AC3389" i="1"/>
  <c r="AB3389" i="1"/>
  <c r="AE3389" i="1" s="1"/>
  <c r="AC3517" i="1"/>
  <c r="AB3517" i="1"/>
  <c r="AE3517" i="1" s="1"/>
  <c r="AC3717" i="1"/>
  <c r="AC3724" i="1"/>
  <c r="AB3738" i="1"/>
  <c r="AE3738" i="1" s="1"/>
  <c r="AB3618" i="1"/>
  <c r="AE3618" i="1" s="1"/>
  <c r="AC3661" i="1"/>
  <c r="AB3661" i="1"/>
  <c r="AE3661" i="1" s="1"/>
  <c r="AC3725" i="1"/>
  <c r="AB3725" i="1"/>
  <c r="AE3725" i="1" s="1"/>
  <c r="AC3565" i="1"/>
  <c r="AB3565" i="1"/>
  <c r="AE3565" i="1" s="1"/>
  <c r="AC3668" i="1"/>
  <c r="AC3675" i="1"/>
  <c r="AB3689" i="1"/>
  <c r="AE3689" i="1" s="1"/>
  <c r="AC3732" i="1"/>
  <c r="AC3739" i="1"/>
  <c r="AB3754" i="1"/>
  <c r="AE3754" i="1" s="1"/>
  <c r="AB3585" i="1"/>
  <c r="AE3585" i="1" s="1"/>
  <c r="AC3612" i="1"/>
  <c r="AC3357" i="1"/>
  <c r="AB3357" i="1"/>
  <c r="AE3357" i="1" s="1"/>
  <c r="AB3478" i="1"/>
  <c r="AE3478" i="1" s="1"/>
  <c r="AC3485" i="1"/>
  <c r="AB3485" i="1"/>
  <c r="AE3485" i="1" s="1"/>
  <c r="AB3498" i="1"/>
  <c r="AE3498" i="1" s="1"/>
  <c r="AC3525" i="1"/>
  <c r="AB3545" i="1"/>
  <c r="AE3545" i="1" s="1"/>
  <c r="AB3566" i="1"/>
  <c r="AE3566" i="1" s="1"/>
  <c r="AC3572" i="1"/>
  <c r="AB3579" i="1"/>
  <c r="AE3579" i="1" s="1"/>
  <c r="AB3606" i="1"/>
  <c r="AE3606" i="1" s="1"/>
  <c r="AC3613" i="1"/>
  <c r="AB3613" i="1"/>
  <c r="AE3613" i="1" s="1"/>
  <c r="AB3626" i="1"/>
  <c r="AE3626" i="1" s="1"/>
  <c r="AC3669" i="1"/>
  <c r="AC3676" i="1"/>
  <c r="AB3690" i="1"/>
  <c r="AE3690" i="1" s="1"/>
  <c r="AC3733" i="1"/>
  <c r="AC3740" i="1"/>
  <c r="AC3260" i="1"/>
  <c r="AC3292" i="1"/>
  <c r="AC3324" i="1"/>
  <c r="AB3377" i="1"/>
  <c r="AE3377" i="1" s="1"/>
  <c r="AC3404" i="1"/>
  <c r="AB3458" i="1"/>
  <c r="AE3458" i="1" s="1"/>
  <c r="AB3505" i="1"/>
  <c r="AE3505" i="1" s="1"/>
  <c r="AC3532" i="1"/>
  <c r="AB3586" i="1"/>
  <c r="AE3586" i="1" s="1"/>
  <c r="AB3634" i="1"/>
  <c r="AE3634" i="1" s="1"/>
  <c r="AC3677" i="1"/>
  <c r="AB3677" i="1"/>
  <c r="AE3677" i="1" s="1"/>
  <c r="AC3741" i="1"/>
  <c r="AB3741" i="1"/>
  <c r="AE3741" i="1" s="1"/>
  <c r="AC3748" i="1"/>
  <c r="AB3755" i="1"/>
  <c r="AE3755" i="1" s="1"/>
  <c r="AB3756" i="1"/>
  <c r="AE3756" i="1" s="1"/>
  <c r="AB3757" i="1"/>
  <c r="AE3757" i="1" s="1"/>
  <c r="AB3752" i="1"/>
  <c r="AE3752" i="1" s="1"/>
  <c r="AB3758" i="1"/>
  <c r="AE3758" i="1" s="1"/>
  <c r="AJ9" i="2" l="1"/>
  <c r="AK7" i="2"/>
  <c r="AM14" i="1" l="1"/>
  <c r="AL14" i="1"/>
  <c r="AM13" i="1"/>
  <c r="AH4" i="1" a="1"/>
  <c r="AH4" i="1" s="1"/>
  <c r="AH3" i="1" a="1"/>
  <c r="AH3" i="1" s="1"/>
  <c r="AH2" i="1" a="1"/>
  <c r="AH2" i="1" s="1"/>
  <c r="AD3758" i="1"/>
  <c r="AD3757" i="1"/>
  <c r="AD3756" i="1"/>
  <c r="AD3755" i="1"/>
  <c r="AD3754" i="1"/>
  <c r="AD3753" i="1"/>
  <c r="AD3752" i="1"/>
  <c r="AD3751" i="1"/>
  <c r="AD3750" i="1"/>
  <c r="AD3749" i="1"/>
  <c r="AD3748" i="1"/>
  <c r="AD3747" i="1"/>
  <c r="AD3746" i="1"/>
  <c r="AD3745" i="1"/>
  <c r="AD3744" i="1"/>
  <c r="AD3743" i="1"/>
  <c r="AD3742" i="1"/>
  <c r="AD3741" i="1"/>
  <c r="AD3740" i="1"/>
  <c r="AD3739" i="1"/>
  <c r="AD3738" i="1"/>
  <c r="AD3737" i="1"/>
  <c r="AD3736" i="1"/>
  <c r="AD3735" i="1"/>
  <c r="AD3734" i="1"/>
  <c r="AD3733" i="1"/>
  <c r="AD3732" i="1"/>
  <c r="AD3731" i="1"/>
  <c r="AD3730" i="1"/>
  <c r="AD3729" i="1"/>
  <c r="AD3728" i="1"/>
  <c r="AD3727" i="1"/>
  <c r="AD3726" i="1"/>
  <c r="AD3725" i="1"/>
  <c r="AD3724" i="1"/>
  <c r="AD3723" i="1"/>
  <c r="AD3722" i="1"/>
  <c r="AD3721" i="1"/>
  <c r="AD3720" i="1"/>
  <c r="AD3719" i="1"/>
  <c r="AD3718" i="1"/>
  <c r="AD3717" i="1"/>
  <c r="AD3716" i="1"/>
  <c r="AD3715" i="1"/>
  <c r="AD3714" i="1"/>
  <c r="AD3713" i="1"/>
  <c r="AD3712" i="1"/>
  <c r="AD3711" i="1"/>
  <c r="AD3710" i="1"/>
  <c r="AD3709" i="1"/>
  <c r="AD3708" i="1"/>
  <c r="AD3707" i="1"/>
  <c r="AD3706" i="1"/>
  <c r="AD3705" i="1"/>
  <c r="AD3704" i="1"/>
  <c r="AD3703" i="1"/>
  <c r="AD3702" i="1"/>
  <c r="AD3701" i="1"/>
  <c r="AD3700" i="1"/>
  <c r="AD3699" i="1"/>
  <c r="AD3698" i="1"/>
  <c r="AD3697" i="1"/>
  <c r="AD3696" i="1"/>
  <c r="AD3695" i="1"/>
  <c r="AD3694" i="1"/>
  <c r="AD3693" i="1"/>
  <c r="AD3692" i="1"/>
  <c r="AD3691" i="1"/>
  <c r="AD3690" i="1"/>
  <c r="AD3689" i="1"/>
  <c r="AD3688" i="1"/>
  <c r="AD3687" i="1"/>
  <c r="AD3686" i="1"/>
  <c r="AD3685" i="1"/>
  <c r="AD3684" i="1"/>
  <c r="AD3683" i="1"/>
  <c r="AD3682" i="1"/>
  <c r="AD3681" i="1"/>
  <c r="AD3680" i="1"/>
  <c r="AD3679" i="1"/>
  <c r="AD3678" i="1"/>
  <c r="AD3677" i="1"/>
  <c r="AD3676" i="1"/>
  <c r="AD3675" i="1"/>
  <c r="AD3674" i="1"/>
  <c r="AD3673" i="1"/>
  <c r="AD3672" i="1"/>
  <c r="AD3671" i="1"/>
  <c r="AD3670" i="1"/>
  <c r="AD3669" i="1"/>
  <c r="AD3668" i="1"/>
  <c r="AD3667" i="1"/>
  <c r="AD3666" i="1"/>
  <c r="AD3665" i="1"/>
  <c r="AD3664" i="1"/>
  <c r="AD3663" i="1"/>
  <c r="AD3662" i="1"/>
  <c r="AD3661" i="1"/>
  <c r="AD3660" i="1"/>
  <c r="AD3659" i="1"/>
  <c r="AD3658" i="1"/>
  <c r="AD3657" i="1"/>
  <c r="AD3656" i="1"/>
  <c r="AD3655" i="1"/>
  <c r="AD3654" i="1"/>
  <c r="AD3653" i="1"/>
  <c r="AD3652" i="1"/>
  <c r="AD3651" i="1"/>
  <c r="AD3650" i="1"/>
  <c r="AD3649" i="1"/>
  <c r="AD3648" i="1"/>
  <c r="AD3647" i="1"/>
  <c r="AD3646" i="1"/>
  <c r="AD3645" i="1"/>
  <c r="AD3644" i="1"/>
  <c r="AD3643" i="1"/>
  <c r="AD3642" i="1"/>
  <c r="AD3641" i="1"/>
  <c r="AD3640" i="1"/>
  <c r="AD3639" i="1"/>
  <c r="AD3638" i="1"/>
  <c r="AD3637" i="1"/>
  <c r="AD3636" i="1"/>
  <c r="AD3635" i="1"/>
  <c r="AD3634" i="1"/>
  <c r="AD3633" i="1"/>
  <c r="AD3632" i="1"/>
  <c r="AD3631" i="1"/>
  <c r="AD3630" i="1"/>
  <c r="AD3629" i="1"/>
  <c r="AD3628" i="1"/>
  <c r="AD3627" i="1"/>
  <c r="AD3626" i="1"/>
  <c r="AD3625" i="1"/>
  <c r="AD3624" i="1"/>
  <c r="AD3623" i="1"/>
  <c r="AD3622" i="1"/>
  <c r="AD3621" i="1"/>
  <c r="AD3620" i="1"/>
  <c r="AD3619" i="1"/>
  <c r="AD3618" i="1"/>
  <c r="AD3617" i="1"/>
  <c r="AD3616" i="1"/>
  <c r="AD3615" i="1"/>
  <c r="AD3614" i="1"/>
  <c r="AD3613" i="1"/>
  <c r="AD3612" i="1"/>
  <c r="AD3611" i="1"/>
  <c r="AD3610" i="1"/>
  <c r="AD3609" i="1"/>
  <c r="AD3608" i="1"/>
  <c r="AD3607" i="1"/>
  <c r="AD3606" i="1"/>
  <c r="AD3605" i="1"/>
  <c r="AD3604" i="1"/>
  <c r="AD3603" i="1"/>
  <c r="AD3602" i="1"/>
  <c r="AD3601" i="1"/>
  <c r="AD3600" i="1"/>
  <c r="AD3599" i="1"/>
  <c r="AD3598" i="1"/>
  <c r="AD3597" i="1"/>
  <c r="AD3596" i="1"/>
  <c r="AD3595" i="1"/>
  <c r="AD3594" i="1"/>
  <c r="AD3593" i="1"/>
  <c r="AD3592" i="1"/>
  <c r="AD3591" i="1"/>
  <c r="AD3590" i="1"/>
  <c r="AD3589" i="1"/>
  <c r="AD3588" i="1"/>
  <c r="AD3587" i="1"/>
  <c r="AD3586" i="1"/>
  <c r="AD3585" i="1"/>
  <c r="AD3584" i="1"/>
  <c r="AD3583" i="1"/>
  <c r="AD3582" i="1"/>
  <c r="AD3581" i="1"/>
  <c r="AD3580" i="1"/>
  <c r="AD3579" i="1"/>
  <c r="AD3578" i="1"/>
  <c r="AD3577" i="1"/>
  <c r="AD3576" i="1"/>
  <c r="AD3575" i="1"/>
  <c r="AD3574" i="1"/>
  <c r="AD3573" i="1"/>
  <c r="AD3572" i="1"/>
  <c r="AD3571" i="1"/>
  <c r="AD3570" i="1"/>
  <c r="AD3569" i="1"/>
  <c r="AD3568" i="1"/>
  <c r="AD3567" i="1"/>
  <c r="AD3566" i="1"/>
  <c r="AD3565" i="1"/>
  <c r="AD3564" i="1"/>
  <c r="AD3563" i="1"/>
  <c r="AD3562" i="1"/>
  <c r="AD3561" i="1"/>
  <c r="AD3560" i="1"/>
  <c r="AD3559" i="1"/>
  <c r="AD3558" i="1"/>
  <c r="AD3557" i="1"/>
  <c r="AD3556" i="1"/>
  <c r="AD3555" i="1"/>
  <c r="AD3554" i="1"/>
  <c r="AD3553" i="1"/>
  <c r="AD3552" i="1"/>
  <c r="AD3551" i="1"/>
  <c r="AD3550" i="1"/>
  <c r="AD3549" i="1"/>
  <c r="AD3548" i="1"/>
  <c r="AD3547" i="1"/>
  <c r="AD3546" i="1"/>
  <c r="AD3545" i="1"/>
  <c r="AD3544" i="1"/>
  <c r="AD3543" i="1"/>
  <c r="AD3542" i="1"/>
  <c r="AD3541" i="1"/>
  <c r="AD3540" i="1"/>
  <c r="AD3539" i="1"/>
  <c r="AD3538" i="1"/>
  <c r="AD3537" i="1"/>
  <c r="AD3536" i="1"/>
  <c r="AD3535" i="1"/>
  <c r="AD3534" i="1"/>
  <c r="AD3533" i="1"/>
  <c r="AD3532" i="1"/>
  <c r="AD3531" i="1"/>
  <c r="AD3530" i="1"/>
  <c r="AD3529" i="1"/>
  <c r="AD3528" i="1"/>
  <c r="AD3527" i="1"/>
  <c r="AD3526" i="1"/>
  <c r="AD3525" i="1"/>
  <c r="AD3524" i="1"/>
  <c r="AD3523" i="1"/>
  <c r="AD3522" i="1"/>
  <c r="AD3521" i="1"/>
  <c r="AD3520" i="1"/>
  <c r="AD3519" i="1"/>
  <c r="AD3518" i="1"/>
  <c r="AD3517" i="1"/>
  <c r="AD3516" i="1"/>
  <c r="AD3515" i="1"/>
  <c r="AD3514" i="1"/>
  <c r="AD3513" i="1"/>
  <c r="AD3512" i="1"/>
  <c r="AD3511" i="1"/>
  <c r="AD3510" i="1"/>
  <c r="AD3509" i="1"/>
  <c r="AD3508" i="1"/>
  <c r="AD3507" i="1"/>
  <c r="AD3506" i="1"/>
  <c r="AD3505" i="1"/>
  <c r="AD3504" i="1"/>
  <c r="AD3503" i="1"/>
  <c r="AD3502" i="1"/>
  <c r="AD3501" i="1"/>
  <c r="AD3500" i="1"/>
  <c r="AD3499" i="1"/>
  <c r="AD3498" i="1"/>
  <c r="AD3497" i="1"/>
  <c r="AD3496" i="1"/>
  <c r="AD3495" i="1"/>
  <c r="AD3494" i="1"/>
  <c r="AD3493" i="1"/>
  <c r="AD3492" i="1"/>
  <c r="AD3491" i="1"/>
  <c r="AD3490" i="1"/>
  <c r="AD3489" i="1"/>
  <c r="AD3488" i="1"/>
  <c r="AD3487" i="1"/>
  <c r="AD3486" i="1"/>
  <c r="AD3485" i="1"/>
  <c r="AD3484" i="1"/>
  <c r="AD3483" i="1"/>
  <c r="AD3482" i="1"/>
  <c r="AD3481" i="1"/>
  <c r="AD3480" i="1"/>
  <c r="AD3479" i="1"/>
  <c r="AD3478" i="1"/>
  <c r="AD3477" i="1"/>
  <c r="AD3476" i="1"/>
  <c r="AD3475" i="1"/>
  <c r="AD3474" i="1"/>
  <c r="AD3473" i="1"/>
  <c r="AD3472" i="1"/>
  <c r="AD3471" i="1"/>
  <c r="AD3470" i="1"/>
  <c r="AD3469" i="1"/>
  <c r="AD3468" i="1"/>
  <c r="AD3467" i="1"/>
  <c r="AD3466" i="1"/>
  <c r="AD3465" i="1"/>
  <c r="AD3464" i="1"/>
  <c r="AD3463" i="1"/>
  <c r="AD3462" i="1"/>
  <c r="AD3461" i="1"/>
  <c r="AD3460" i="1"/>
  <c r="AD3459" i="1"/>
  <c r="AD3458" i="1"/>
  <c r="AD3457" i="1"/>
  <c r="AD3456" i="1"/>
  <c r="AD3455" i="1"/>
  <c r="AD3454" i="1"/>
  <c r="AD3453" i="1"/>
  <c r="AD3452" i="1"/>
  <c r="AD3451" i="1"/>
  <c r="AD3450" i="1"/>
  <c r="AD3449" i="1"/>
  <c r="AD3448" i="1"/>
  <c r="AD3447" i="1"/>
  <c r="AD3446" i="1"/>
  <c r="AD3445" i="1"/>
  <c r="AD3444" i="1"/>
  <c r="AD3443" i="1"/>
  <c r="AD3442" i="1"/>
  <c r="AD3441" i="1"/>
  <c r="AD3440" i="1"/>
  <c r="AD3439" i="1"/>
  <c r="AD3438" i="1"/>
  <c r="AD3437" i="1"/>
  <c r="AD3436" i="1"/>
  <c r="AD3435" i="1"/>
  <c r="AD3434" i="1"/>
  <c r="AD3433" i="1"/>
  <c r="AD3432" i="1"/>
  <c r="AD3431" i="1"/>
  <c r="AD3430" i="1"/>
  <c r="AD3429" i="1"/>
  <c r="AD3428" i="1"/>
  <c r="AD3427" i="1"/>
  <c r="AD3426" i="1"/>
  <c r="AD3425" i="1"/>
  <c r="AD3424" i="1"/>
  <c r="AD3423" i="1"/>
  <c r="AD3422" i="1"/>
  <c r="AD3421" i="1"/>
  <c r="AD3420" i="1"/>
  <c r="AD3419" i="1"/>
  <c r="AD3418" i="1"/>
  <c r="AD3417" i="1"/>
  <c r="AD3416" i="1"/>
  <c r="AD3415" i="1"/>
  <c r="AD3414" i="1"/>
  <c r="AD3413" i="1"/>
  <c r="AD3412" i="1"/>
  <c r="AD3411" i="1"/>
  <c r="AD3410" i="1"/>
  <c r="AD3409" i="1"/>
  <c r="AD3408" i="1"/>
  <c r="AD3407" i="1"/>
  <c r="AD3406" i="1"/>
  <c r="AD3405" i="1"/>
  <c r="AD3404" i="1"/>
  <c r="AD3403" i="1"/>
  <c r="AD3402" i="1"/>
  <c r="AD3401" i="1"/>
  <c r="AD3400" i="1"/>
  <c r="AD3399" i="1"/>
  <c r="AD3398" i="1"/>
  <c r="AD3397" i="1"/>
  <c r="AD3396" i="1"/>
  <c r="AD3395" i="1"/>
  <c r="AD3394" i="1"/>
  <c r="AD3393" i="1"/>
  <c r="AD3392" i="1"/>
  <c r="AD3391" i="1"/>
  <c r="AD3390" i="1"/>
  <c r="AD3389" i="1"/>
  <c r="AD3388" i="1"/>
  <c r="AD3387" i="1"/>
  <c r="AD3386" i="1"/>
  <c r="AD3385" i="1"/>
  <c r="AD3384" i="1"/>
  <c r="AD3383" i="1"/>
  <c r="AD3382" i="1"/>
  <c r="AD3381" i="1"/>
  <c r="AD3380" i="1"/>
  <c r="AD3379" i="1"/>
  <c r="AD3378" i="1"/>
  <c r="AD3377" i="1"/>
  <c r="AD3376" i="1"/>
  <c r="AD3375" i="1"/>
  <c r="AD3374" i="1"/>
  <c r="AD3373" i="1"/>
  <c r="AD3372" i="1"/>
  <c r="AD3371" i="1"/>
  <c r="AD3370" i="1"/>
  <c r="AD3369" i="1"/>
  <c r="AD3368" i="1"/>
  <c r="AD3367" i="1"/>
  <c r="AD3366" i="1"/>
  <c r="AD3365" i="1"/>
  <c r="AD3364" i="1"/>
  <c r="AD3363" i="1"/>
  <c r="AD3362" i="1"/>
  <c r="AD3361" i="1"/>
  <c r="AD3360" i="1"/>
  <c r="AD3359" i="1"/>
  <c r="AD3358" i="1"/>
  <c r="AD3357" i="1"/>
  <c r="AD3356" i="1"/>
  <c r="AD3355" i="1"/>
  <c r="AD3354" i="1"/>
  <c r="AD3353" i="1"/>
  <c r="AD3352" i="1"/>
  <c r="AD3351" i="1"/>
  <c r="AD3350" i="1"/>
  <c r="AD3349" i="1"/>
  <c r="AD3348" i="1"/>
  <c r="AD3347" i="1"/>
  <c r="AD3346" i="1"/>
  <c r="AD3345" i="1"/>
  <c r="AD3344" i="1"/>
  <c r="AD3343" i="1"/>
  <c r="AD3342" i="1"/>
  <c r="AD3341" i="1"/>
  <c r="AD3340" i="1"/>
  <c r="AD3339" i="1"/>
  <c r="AD3338" i="1"/>
  <c r="AD3337" i="1"/>
  <c r="AD3336" i="1"/>
  <c r="AD3335" i="1"/>
  <c r="AD3334" i="1"/>
  <c r="AD3333" i="1"/>
  <c r="AD3332" i="1"/>
  <c r="AD3331" i="1"/>
  <c r="AD3330" i="1"/>
  <c r="AD3329" i="1"/>
  <c r="AD3328" i="1"/>
  <c r="AD3327" i="1"/>
  <c r="AD3326" i="1"/>
  <c r="AD3325" i="1"/>
  <c r="AD3324" i="1"/>
  <c r="AD3323" i="1"/>
  <c r="AD3322" i="1"/>
  <c r="AD3321" i="1"/>
  <c r="AD3320" i="1"/>
  <c r="AD3319" i="1"/>
  <c r="AD3318" i="1"/>
  <c r="AD3317" i="1"/>
  <c r="AD3316" i="1"/>
  <c r="AD3315" i="1"/>
  <c r="AD3314" i="1"/>
  <c r="AD3313" i="1"/>
  <c r="AD3312" i="1"/>
  <c r="AD3311" i="1"/>
  <c r="AD3310" i="1"/>
  <c r="AD3309" i="1"/>
  <c r="AD3308" i="1"/>
  <c r="AD3307" i="1"/>
  <c r="AD3306" i="1"/>
  <c r="AD3305" i="1"/>
  <c r="AD3304" i="1"/>
  <c r="AD3303" i="1"/>
  <c r="AD3302" i="1"/>
  <c r="AD3301" i="1"/>
  <c r="AD3300" i="1"/>
  <c r="AD3299" i="1"/>
  <c r="AD3298" i="1"/>
  <c r="AD3297" i="1"/>
  <c r="AD3296" i="1"/>
  <c r="AD3295" i="1"/>
  <c r="AD3294" i="1"/>
  <c r="AD3293" i="1"/>
  <c r="AD3292" i="1"/>
  <c r="AD3291" i="1"/>
  <c r="AD3290" i="1"/>
  <c r="AD3289" i="1"/>
  <c r="AD3288" i="1"/>
  <c r="AD3287" i="1"/>
  <c r="AD3286" i="1"/>
  <c r="AD3285" i="1"/>
  <c r="AD3284" i="1"/>
  <c r="AD3283" i="1"/>
  <c r="AD3282" i="1"/>
  <c r="AD3281" i="1"/>
  <c r="AD3280" i="1"/>
  <c r="AD3279" i="1"/>
  <c r="AD3278" i="1"/>
  <c r="AD3277" i="1"/>
  <c r="AD3276" i="1"/>
  <c r="AD3275" i="1"/>
  <c r="AD3274" i="1"/>
  <c r="AD3273" i="1"/>
  <c r="AD3272" i="1"/>
  <c r="AD3271" i="1"/>
  <c r="AD3270" i="1"/>
  <c r="AD3269" i="1"/>
  <c r="AD3268" i="1"/>
  <c r="AD3267" i="1"/>
  <c r="AD3266" i="1"/>
  <c r="AD3265" i="1"/>
  <c r="AD3264" i="1"/>
  <c r="AD3263" i="1"/>
  <c r="AD3262" i="1"/>
  <c r="AD3261" i="1"/>
  <c r="AD3260" i="1"/>
  <c r="AD3259" i="1"/>
  <c r="AD3258" i="1"/>
  <c r="AD3257" i="1"/>
  <c r="AD3256" i="1"/>
  <c r="AD3255" i="1"/>
  <c r="AD3254" i="1"/>
  <c r="AD3253" i="1"/>
  <c r="AD3252" i="1"/>
  <c r="AD3251" i="1"/>
  <c r="AD3250" i="1"/>
  <c r="AD3249" i="1"/>
  <c r="AD3248" i="1"/>
  <c r="AD3247" i="1"/>
  <c r="AD3246" i="1"/>
  <c r="AD3245" i="1"/>
  <c r="AD3244" i="1"/>
  <c r="AD3243" i="1"/>
  <c r="AD3242" i="1"/>
  <c r="AD3241" i="1"/>
  <c r="AD3240" i="1"/>
  <c r="AD3239" i="1"/>
  <c r="AD3238" i="1"/>
  <c r="AD3237" i="1"/>
  <c r="AD3236" i="1"/>
  <c r="AD3235" i="1"/>
  <c r="AD3234" i="1"/>
  <c r="AD3233" i="1"/>
  <c r="AD3232" i="1"/>
  <c r="AD3231" i="1"/>
  <c r="AD3230" i="1"/>
  <c r="AD3229" i="1"/>
  <c r="AD3228" i="1"/>
  <c r="AD3227" i="1"/>
  <c r="AD3226" i="1"/>
  <c r="AD3225" i="1"/>
  <c r="AD3224" i="1"/>
  <c r="AD3223" i="1"/>
  <c r="AD3222" i="1"/>
  <c r="AD3221" i="1"/>
  <c r="AD3220" i="1"/>
  <c r="AD3219" i="1"/>
  <c r="AD3218" i="1"/>
  <c r="AD3217" i="1"/>
  <c r="AD3216" i="1"/>
  <c r="AD3215" i="1"/>
  <c r="AD3214" i="1"/>
  <c r="AD3213" i="1"/>
  <c r="AD3212" i="1"/>
  <c r="AD3211" i="1"/>
  <c r="AD3210" i="1"/>
  <c r="AD3209" i="1"/>
  <c r="AD3208" i="1"/>
  <c r="AD3207" i="1"/>
  <c r="AD3206" i="1"/>
  <c r="AD3205" i="1"/>
  <c r="AD3204" i="1"/>
  <c r="AD3203" i="1"/>
  <c r="AD3202" i="1"/>
  <c r="AD3201" i="1"/>
  <c r="AD3200" i="1"/>
  <c r="AD3199" i="1"/>
  <c r="AD3198" i="1"/>
  <c r="AD3197" i="1"/>
  <c r="AD3196" i="1"/>
  <c r="AD3195" i="1"/>
  <c r="AD3194" i="1"/>
  <c r="AD3193" i="1"/>
  <c r="AD3192" i="1"/>
  <c r="AD3191" i="1"/>
  <c r="AD3190" i="1"/>
  <c r="AD3189" i="1"/>
  <c r="AD3188" i="1"/>
  <c r="AD3187" i="1"/>
  <c r="AD3186" i="1"/>
  <c r="AD3185" i="1"/>
  <c r="AD3184" i="1"/>
  <c r="AD3183" i="1"/>
  <c r="AD3182" i="1"/>
  <c r="AD3181" i="1"/>
  <c r="AD3180" i="1"/>
  <c r="AD3179" i="1"/>
  <c r="AD3178" i="1"/>
  <c r="AD3177" i="1"/>
  <c r="AD3176" i="1"/>
  <c r="AD3175" i="1"/>
  <c r="AD3174" i="1"/>
  <c r="AD3173" i="1"/>
  <c r="AD3172" i="1"/>
  <c r="AD3171" i="1"/>
  <c r="AD3170" i="1"/>
  <c r="AD3169" i="1"/>
  <c r="AD3168" i="1"/>
  <c r="AD3167" i="1"/>
  <c r="AD3166" i="1"/>
  <c r="AD3165" i="1"/>
  <c r="AD3164" i="1"/>
  <c r="AD3163" i="1"/>
  <c r="AD3162" i="1"/>
  <c r="AD3161" i="1"/>
  <c r="AD3160" i="1"/>
  <c r="AD3159" i="1"/>
  <c r="AD3158" i="1"/>
  <c r="AD3157" i="1"/>
  <c r="AD3156" i="1"/>
  <c r="AD3155" i="1"/>
  <c r="AD3154" i="1"/>
  <c r="AD3153" i="1"/>
  <c r="AD3152" i="1"/>
  <c r="AD3151" i="1"/>
  <c r="AD3150" i="1"/>
  <c r="AD3149" i="1"/>
  <c r="AD3148" i="1"/>
  <c r="AD3147" i="1"/>
  <c r="AD3146" i="1"/>
  <c r="AD3145" i="1"/>
  <c r="AD3144" i="1"/>
  <c r="AD3143" i="1"/>
  <c r="AD3142" i="1"/>
  <c r="AD3141" i="1"/>
  <c r="AD3140" i="1"/>
  <c r="AD3139" i="1"/>
  <c r="AD3138" i="1"/>
  <c r="AD3137" i="1"/>
  <c r="AD3136" i="1"/>
  <c r="AD3135" i="1"/>
  <c r="AD3134" i="1"/>
  <c r="AD3133" i="1"/>
  <c r="AD3132" i="1"/>
  <c r="AD3131" i="1"/>
  <c r="AD3130" i="1"/>
  <c r="AD3129" i="1"/>
  <c r="AD3128" i="1"/>
  <c r="AD3127" i="1"/>
  <c r="AD3126" i="1"/>
  <c r="AD3125" i="1"/>
  <c r="AD3124" i="1"/>
  <c r="AD3123" i="1"/>
  <c r="AD3122" i="1"/>
  <c r="AD3121" i="1"/>
  <c r="AD3120" i="1"/>
  <c r="AD3119" i="1"/>
  <c r="AD3118" i="1"/>
  <c r="AD3117" i="1"/>
  <c r="AD3116" i="1"/>
  <c r="AD3115" i="1"/>
  <c r="AD3114" i="1"/>
  <c r="AD3113" i="1"/>
  <c r="AD3112" i="1"/>
  <c r="AD3111" i="1"/>
  <c r="AD3110" i="1"/>
  <c r="AD3109" i="1"/>
  <c r="AD3108" i="1"/>
  <c r="AD3107" i="1"/>
  <c r="AD3106" i="1"/>
  <c r="AD3105" i="1"/>
  <c r="AD3104" i="1"/>
  <c r="AD3103" i="1"/>
  <c r="AD3102" i="1"/>
  <c r="AD3101" i="1"/>
  <c r="AD3100" i="1"/>
  <c r="AD3099" i="1"/>
  <c r="AD3098" i="1"/>
  <c r="AD3097" i="1"/>
  <c r="AD3096" i="1"/>
  <c r="AD3095" i="1"/>
  <c r="AD3094" i="1"/>
  <c r="AD3093" i="1"/>
  <c r="AD3092" i="1"/>
  <c r="AD3091" i="1"/>
  <c r="AD3090" i="1"/>
  <c r="AD3089" i="1"/>
  <c r="AD3088" i="1"/>
  <c r="AD3087" i="1"/>
  <c r="AD3086" i="1"/>
  <c r="AD3085" i="1"/>
  <c r="AD3084" i="1"/>
  <c r="AD3083" i="1"/>
  <c r="AD3082" i="1"/>
  <c r="AD3081" i="1"/>
  <c r="AD3080" i="1"/>
  <c r="AD3079" i="1"/>
  <c r="AD3078" i="1"/>
  <c r="AD3077" i="1"/>
  <c r="AD3076" i="1"/>
  <c r="AD3075" i="1"/>
  <c r="AD3074" i="1"/>
  <c r="AD3073" i="1"/>
  <c r="AD3072" i="1"/>
  <c r="AD3071" i="1"/>
  <c r="AD3070" i="1"/>
  <c r="AD3069" i="1"/>
  <c r="AD3068" i="1"/>
  <c r="AD3067" i="1"/>
  <c r="AD3066" i="1"/>
  <c r="AD3065" i="1"/>
  <c r="AD3064" i="1"/>
  <c r="AD3063" i="1"/>
  <c r="AD3062" i="1"/>
  <c r="AD3061" i="1"/>
  <c r="AD3060" i="1"/>
  <c r="AD3059" i="1"/>
  <c r="AD3058" i="1"/>
  <c r="AD3057" i="1"/>
  <c r="AD3056" i="1"/>
  <c r="AD3055" i="1"/>
  <c r="AD3054" i="1"/>
  <c r="AD3053" i="1"/>
  <c r="AD3052" i="1"/>
  <c r="AD3051" i="1"/>
  <c r="AD3050" i="1"/>
  <c r="AD3049" i="1"/>
  <c r="AD3048" i="1"/>
  <c r="AD3047" i="1"/>
  <c r="AD3046" i="1"/>
  <c r="AD3045" i="1"/>
  <c r="AD3044" i="1"/>
  <c r="AD3043" i="1"/>
  <c r="AD3042" i="1"/>
  <c r="AD3041" i="1"/>
  <c r="AD3040" i="1"/>
  <c r="AD3039" i="1"/>
  <c r="AD3038" i="1"/>
  <c r="AD3037" i="1"/>
  <c r="AD3036" i="1"/>
  <c r="AD3035" i="1"/>
  <c r="AD3034" i="1"/>
  <c r="AD3033" i="1"/>
  <c r="AD3032" i="1"/>
  <c r="AD3031" i="1"/>
  <c r="AD3030" i="1"/>
  <c r="AD3029" i="1"/>
  <c r="AD3028" i="1"/>
  <c r="AD3027" i="1"/>
  <c r="AD3026" i="1"/>
  <c r="AD3025" i="1"/>
  <c r="AD3024" i="1"/>
  <c r="AD3023" i="1"/>
  <c r="AD3022" i="1"/>
  <c r="AD3021" i="1"/>
  <c r="AD3020" i="1"/>
  <c r="AD3019" i="1"/>
  <c r="AD3018" i="1"/>
  <c r="AD3017" i="1"/>
  <c r="AD3016" i="1"/>
  <c r="AD3015" i="1"/>
  <c r="AD3014" i="1"/>
  <c r="AD3013" i="1"/>
  <c r="AD3012" i="1"/>
  <c r="AD3011" i="1"/>
  <c r="AD3010" i="1"/>
  <c r="AD3009" i="1"/>
  <c r="AD3008" i="1"/>
  <c r="AD3007" i="1"/>
  <c r="AD3006" i="1"/>
  <c r="AD3005" i="1"/>
  <c r="AD3004" i="1"/>
  <c r="AD3003" i="1"/>
  <c r="AD3002" i="1"/>
  <c r="AD3001" i="1"/>
  <c r="AD3000" i="1"/>
  <c r="AD2999" i="1"/>
  <c r="AD2998" i="1"/>
  <c r="AD2997" i="1"/>
  <c r="AD2996" i="1"/>
  <c r="AD2995" i="1"/>
  <c r="AD2994" i="1"/>
  <c r="AD2993" i="1"/>
  <c r="AD2992" i="1"/>
  <c r="AD2991" i="1"/>
  <c r="AD2990" i="1"/>
  <c r="AD2989" i="1"/>
  <c r="AD2988" i="1"/>
  <c r="AD2987" i="1"/>
  <c r="AD2986" i="1"/>
  <c r="AD2985" i="1"/>
  <c r="AD2984" i="1"/>
  <c r="AD2983" i="1"/>
  <c r="AD2982" i="1"/>
  <c r="AD2981" i="1"/>
  <c r="AD2980" i="1"/>
  <c r="AD2979" i="1"/>
  <c r="AD2978" i="1"/>
  <c r="AD2977" i="1"/>
  <c r="AD2976" i="1"/>
  <c r="AD2975" i="1"/>
  <c r="AD2974" i="1"/>
  <c r="AD2973" i="1"/>
  <c r="AD2972" i="1"/>
  <c r="AD2971" i="1"/>
  <c r="AD2970" i="1"/>
  <c r="AD2969" i="1"/>
  <c r="AD2968" i="1"/>
  <c r="AD2967" i="1"/>
  <c r="AD2966" i="1"/>
  <c r="AD2965" i="1"/>
  <c r="AD2964" i="1"/>
  <c r="AD2963" i="1"/>
  <c r="AD2962" i="1"/>
  <c r="AD2961" i="1"/>
  <c r="AD2960" i="1"/>
  <c r="AD2959" i="1"/>
  <c r="AD2958" i="1"/>
  <c r="AD2957" i="1"/>
  <c r="AD2956" i="1"/>
  <c r="AD2955" i="1"/>
  <c r="AD2954" i="1"/>
  <c r="AD2953" i="1"/>
  <c r="AD2952" i="1"/>
  <c r="AD2951" i="1"/>
  <c r="AD2950" i="1"/>
  <c r="AD2949" i="1"/>
  <c r="AD2948" i="1"/>
  <c r="AD2947" i="1"/>
  <c r="AD2946" i="1"/>
  <c r="AD2945" i="1"/>
  <c r="AD2944" i="1"/>
  <c r="AD2943" i="1"/>
  <c r="AD2942" i="1"/>
  <c r="AD2941" i="1"/>
  <c r="AD2940" i="1"/>
  <c r="AD2939" i="1"/>
  <c r="AD2938" i="1"/>
  <c r="AD2937" i="1"/>
  <c r="AD2936" i="1"/>
  <c r="AD2935" i="1"/>
  <c r="AD2934" i="1"/>
  <c r="AD2933" i="1"/>
  <c r="AD2932" i="1"/>
  <c r="AD2931" i="1"/>
  <c r="AD2930" i="1"/>
  <c r="AD2929" i="1"/>
  <c r="AD2928" i="1"/>
  <c r="AD2927" i="1"/>
  <c r="AD2926" i="1"/>
  <c r="AD2925" i="1"/>
  <c r="AD2924" i="1"/>
  <c r="AD2923" i="1"/>
  <c r="AD2922" i="1"/>
  <c r="AD2921" i="1"/>
  <c r="AD2920" i="1"/>
  <c r="AD2919" i="1"/>
  <c r="AD2918" i="1"/>
  <c r="AD2917" i="1"/>
  <c r="AD2916" i="1"/>
  <c r="AD2915" i="1"/>
  <c r="AD2914" i="1"/>
  <c r="AD2913" i="1"/>
  <c r="AD2912" i="1"/>
  <c r="AD2911" i="1"/>
  <c r="AD2910" i="1"/>
  <c r="AD2909" i="1"/>
  <c r="AD2908" i="1"/>
  <c r="AD2907" i="1"/>
  <c r="AD2906" i="1"/>
  <c r="AD2905" i="1"/>
  <c r="AD2904" i="1"/>
  <c r="AD2903" i="1"/>
  <c r="AD2902" i="1"/>
  <c r="AD2901" i="1"/>
  <c r="AD2900" i="1"/>
  <c r="AD2899" i="1"/>
  <c r="AD2898" i="1"/>
  <c r="AD2897" i="1"/>
  <c r="AD2896" i="1"/>
  <c r="AD2895" i="1"/>
  <c r="AD2894" i="1"/>
  <c r="AD2893" i="1"/>
  <c r="AD2892" i="1"/>
  <c r="AD2891" i="1"/>
  <c r="AD2890" i="1"/>
  <c r="AD2889" i="1"/>
  <c r="AD2888" i="1"/>
  <c r="AD2887" i="1"/>
  <c r="AD2886" i="1"/>
  <c r="AD2885" i="1"/>
  <c r="AD2884" i="1"/>
  <c r="AD2883" i="1"/>
  <c r="AD2882" i="1"/>
  <c r="AD2881" i="1"/>
  <c r="AD2880" i="1"/>
  <c r="AD2879" i="1"/>
  <c r="AD2878" i="1"/>
  <c r="AD2877" i="1"/>
  <c r="AD2876" i="1"/>
  <c r="AD2875" i="1"/>
  <c r="AD2874" i="1"/>
  <c r="AD2873" i="1"/>
  <c r="AD2872" i="1"/>
  <c r="AD2871" i="1"/>
  <c r="AD2870" i="1"/>
  <c r="AD2869" i="1"/>
  <c r="AD2868" i="1"/>
  <c r="AD2867" i="1"/>
  <c r="AD2866" i="1"/>
  <c r="AD2865" i="1"/>
  <c r="AD2864" i="1"/>
  <c r="AD2863" i="1"/>
  <c r="AD2862" i="1"/>
  <c r="AD2861" i="1"/>
  <c r="AD2860" i="1"/>
  <c r="AD2859" i="1"/>
  <c r="AD2858" i="1"/>
  <c r="AD2857" i="1"/>
  <c r="AD2856" i="1"/>
  <c r="AD2855" i="1"/>
  <c r="AD2854" i="1"/>
  <c r="AD2853" i="1"/>
  <c r="AD2852" i="1"/>
  <c r="AD2851" i="1"/>
  <c r="AD2850" i="1"/>
  <c r="AD2849" i="1"/>
  <c r="AD2848" i="1"/>
  <c r="AD2847" i="1"/>
  <c r="AD2846" i="1"/>
  <c r="AD2845" i="1"/>
  <c r="AD2844" i="1"/>
  <c r="AD2843" i="1"/>
  <c r="AD2842" i="1"/>
  <c r="AD2841" i="1"/>
  <c r="AD2840" i="1"/>
  <c r="AD2839" i="1"/>
  <c r="AD2838" i="1"/>
  <c r="AD2837" i="1"/>
  <c r="AD2836" i="1"/>
  <c r="AD2835" i="1"/>
  <c r="AD2834" i="1"/>
  <c r="AD2833" i="1"/>
  <c r="AD2832" i="1"/>
  <c r="AD2831" i="1"/>
  <c r="AD2830" i="1"/>
  <c r="AD2829" i="1"/>
  <c r="AD2828" i="1"/>
  <c r="AD2827" i="1"/>
  <c r="AD2826" i="1"/>
  <c r="AD2825" i="1"/>
  <c r="AD2824" i="1"/>
  <c r="AD2823" i="1"/>
  <c r="AD2822" i="1"/>
  <c r="AD2821" i="1"/>
  <c r="AD2820" i="1"/>
  <c r="AD2819" i="1"/>
  <c r="AD2818" i="1"/>
  <c r="AD2817" i="1"/>
  <c r="AD2816" i="1"/>
  <c r="AD2815" i="1"/>
  <c r="AD2814" i="1"/>
  <c r="AD2813" i="1"/>
  <c r="AD2812" i="1"/>
  <c r="AD2811" i="1"/>
  <c r="AD2810" i="1"/>
  <c r="AD2809" i="1"/>
  <c r="AD2808" i="1"/>
  <c r="AD2807" i="1"/>
  <c r="AD2806" i="1"/>
  <c r="AD2805" i="1"/>
  <c r="AD2804" i="1"/>
  <c r="AD2803" i="1"/>
  <c r="AD2802" i="1"/>
  <c r="AD2801" i="1"/>
  <c r="AD2800" i="1"/>
  <c r="AD2799" i="1"/>
  <c r="AD2798" i="1"/>
  <c r="AD2797" i="1"/>
  <c r="AD2796" i="1"/>
  <c r="AD2795" i="1"/>
  <c r="AD2794" i="1"/>
  <c r="AD2793" i="1"/>
  <c r="AD2792" i="1"/>
  <c r="AD2791" i="1"/>
  <c r="AD2790" i="1"/>
  <c r="AD2789" i="1"/>
  <c r="AD2788" i="1"/>
  <c r="AD2787" i="1"/>
  <c r="AD2786" i="1"/>
  <c r="AD2785" i="1"/>
  <c r="AD2784" i="1"/>
  <c r="AD2783" i="1"/>
  <c r="AD2782" i="1"/>
  <c r="AD2781" i="1"/>
  <c r="AD2780" i="1"/>
  <c r="AD2779" i="1"/>
  <c r="AD2778" i="1"/>
  <c r="AD2777" i="1"/>
  <c r="AD2776" i="1"/>
  <c r="AD2775" i="1"/>
  <c r="AD2774" i="1"/>
  <c r="AD2773" i="1"/>
  <c r="AD2772" i="1"/>
  <c r="AD2771" i="1"/>
  <c r="AD2770" i="1"/>
  <c r="AD2769" i="1"/>
  <c r="AD2768" i="1"/>
  <c r="AD2767" i="1"/>
  <c r="AD2766" i="1"/>
  <c r="AD2765" i="1"/>
  <c r="AD2764" i="1"/>
  <c r="AD2763" i="1"/>
  <c r="AD2762" i="1"/>
  <c r="AD2761" i="1"/>
  <c r="AD2760" i="1"/>
  <c r="AD2759" i="1"/>
  <c r="AD2758" i="1"/>
  <c r="AD2757" i="1"/>
  <c r="AD2756" i="1"/>
  <c r="AD2755" i="1"/>
  <c r="AD2754" i="1"/>
  <c r="AD2753" i="1"/>
  <c r="AD2752" i="1"/>
  <c r="AD2751" i="1"/>
  <c r="AD2750" i="1"/>
  <c r="AD2749" i="1"/>
  <c r="AD2748" i="1"/>
  <c r="AD2747" i="1"/>
  <c r="AD2746" i="1"/>
  <c r="AD2745" i="1"/>
  <c r="AD2744" i="1"/>
  <c r="AD2743" i="1"/>
  <c r="AD2742" i="1"/>
  <c r="AD2741" i="1"/>
  <c r="AD2740" i="1"/>
  <c r="AD2739" i="1"/>
  <c r="AD2738" i="1"/>
  <c r="AD2737" i="1"/>
  <c r="AD2736" i="1"/>
  <c r="AD2735" i="1"/>
  <c r="AD2734" i="1"/>
  <c r="AD2733" i="1"/>
  <c r="AD2732" i="1"/>
  <c r="AD2731" i="1"/>
  <c r="AD2730" i="1"/>
  <c r="AD2729" i="1"/>
  <c r="AD2728" i="1"/>
  <c r="AD2727" i="1"/>
  <c r="AD2726" i="1"/>
  <c r="AD2725" i="1"/>
  <c r="AD2724" i="1"/>
  <c r="AD2723" i="1"/>
  <c r="AD2722" i="1"/>
  <c r="AD2721" i="1"/>
  <c r="AD2720" i="1"/>
  <c r="AD2719" i="1"/>
  <c r="AD2718" i="1"/>
  <c r="AD2717" i="1"/>
  <c r="AD2716" i="1"/>
  <c r="AD2715" i="1"/>
  <c r="AD2714" i="1"/>
  <c r="AD2713" i="1"/>
  <c r="AD2712" i="1"/>
  <c r="AD2711" i="1"/>
  <c r="AD2710" i="1"/>
  <c r="AD2709" i="1"/>
  <c r="AD2708" i="1"/>
  <c r="AD2707" i="1"/>
  <c r="AD2706" i="1"/>
  <c r="AD2705" i="1"/>
  <c r="AD2704" i="1"/>
  <c r="AD2703" i="1"/>
  <c r="AD2702" i="1"/>
  <c r="AD2701" i="1"/>
  <c r="AD2700" i="1"/>
  <c r="AD2699" i="1"/>
  <c r="AD2698" i="1"/>
  <c r="AD2697" i="1"/>
  <c r="AD2696" i="1"/>
  <c r="AD2695" i="1"/>
  <c r="AD2694" i="1"/>
  <c r="AD2693" i="1"/>
  <c r="AD2692" i="1"/>
  <c r="AD2691" i="1"/>
  <c r="AD2690" i="1"/>
  <c r="AD2689" i="1"/>
  <c r="AD2688" i="1"/>
  <c r="AD2687" i="1"/>
  <c r="AD2686" i="1"/>
  <c r="AD2685" i="1"/>
  <c r="AD2684" i="1"/>
  <c r="AD2683" i="1"/>
  <c r="AD2682" i="1"/>
  <c r="AD2681" i="1"/>
  <c r="AD2680" i="1"/>
  <c r="AD2679" i="1"/>
  <c r="AD2678" i="1"/>
  <c r="AD2677" i="1"/>
  <c r="AD2676" i="1"/>
  <c r="AD2675" i="1"/>
  <c r="AD2674" i="1"/>
  <c r="AD2673" i="1"/>
  <c r="AD2672" i="1"/>
  <c r="AD2671" i="1"/>
  <c r="AD2670" i="1"/>
  <c r="AD2669" i="1"/>
  <c r="AD2668" i="1"/>
  <c r="AD2667" i="1"/>
  <c r="AD2666" i="1"/>
  <c r="AD2665" i="1"/>
  <c r="AD2664" i="1"/>
  <c r="AD2663" i="1"/>
  <c r="AD2662" i="1"/>
  <c r="AD2661" i="1"/>
  <c r="AD2660" i="1"/>
  <c r="AD2659" i="1"/>
  <c r="AD2658" i="1"/>
  <c r="AD2657" i="1"/>
  <c r="AD2656" i="1"/>
  <c r="AD2655" i="1"/>
  <c r="AD2654" i="1"/>
  <c r="AD2653" i="1"/>
  <c r="AD2652" i="1"/>
  <c r="AD2651" i="1"/>
  <c r="AD2650" i="1"/>
  <c r="AD2649" i="1"/>
  <c r="AD2648" i="1"/>
  <c r="AD2647" i="1"/>
  <c r="AD2646" i="1"/>
  <c r="AD2645" i="1"/>
  <c r="AD2644" i="1"/>
  <c r="AD2643" i="1"/>
  <c r="AD2642" i="1"/>
  <c r="AD2641" i="1"/>
  <c r="AD2640" i="1"/>
  <c r="AD2639" i="1"/>
  <c r="AD2638" i="1"/>
  <c r="AD2637" i="1"/>
  <c r="AD2636" i="1"/>
  <c r="AD2635" i="1"/>
  <c r="AD2634" i="1"/>
  <c r="AD2633" i="1"/>
  <c r="AD2632" i="1"/>
  <c r="AD2631" i="1"/>
  <c r="AD2630" i="1"/>
  <c r="AD2629" i="1"/>
  <c r="AD2628" i="1"/>
  <c r="AD2627" i="1"/>
  <c r="AD2626" i="1"/>
  <c r="AD2625" i="1"/>
  <c r="AD2624" i="1"/>
  <c r="AD2623" i="1"/>
  <c r="AD2622" i="1"/>
  <c r="AD2621" i="1"/>
  <c r="AD2620" i="1"/>
  <c r="AD2619" i="1"/>
  <c r="AD2618" i="1"/>
  <c r="AD2617" i="1"/>
  <c r="AD2616" i="1"/>
  <c r="AD2615" i="1"/>
  <c r="AD2614" i="1"/>
  <c r="AD2613" i="1"/>
  <c r="AD2612" i="1"/>
  <c r="AD2611" i="1"/>
  <c r="AD2610" i="1"/>
  <c r="AD2609" i="1"/>
  <c r="AD2608" i="1"/>
  <c r="AD2607" i="1"/>
  <c r="AD2606" i="1"/>
  <c r="AD2605" i="1"/>
  <c r="AD2604" i="1"/>
  <c r="AD2603" i="1"/>
  <c r="AD2602" i="1"/>
  <c r="AD2601" i="1"/>
  <c r="AD2600" i="1"/>
  <c r="AD2599" i="1"/>
  <c r="AD2598" i="1"/>
  <c r="AD2597" i="1"/>
  <c r="AD2596" i="1"/>
  <c r="AD2595" i="1"/>
  <c r="AD2594" i="1"/>
  <c r="AD2593" i="1"/>
  <c r="AD2592" i="1"/>
  <c r="AD2591" i="1"/>
  <c r="AD2590" i="1"/>
  <c r="AD2589" i="1"/>
  <c r="AD2588" i="1"/>
  <c r="AD2587" i="1"/>
  <c r="AD2586" i="1"/>
  <c r="AD2585" i="1"/>
  <c r="AD2584" i="1"/>
  <c r="AD2583" i="1"/>
  <c r="AD2582" i="1"/>
  <c r="AD2581" i="1"/>
  <c r="AD2580" i="1"/>
  <c r="AD2579" i="1"/>
  <c r="AD2578" i="1"/>
  <c r="AD2577" i="1"/>
  <c r="AD2576" i="1"/>
  <c r="AD2575" i="1"/>
  <c r="AD2574" i="1"/>
  <c r="AD2573" i="1"/>
  <c r="AD2572" i="1"/>
  <c r="AD2571" i="1"/>
  <c r="AD2570" i="1"/>
  <c r="AD2569" i="1"/>
  <c r="AD2568" i="1"/>
  <c r="AD2567" i="1"/>
  <c r="AD2566" i="1"/>
  <c r="AD2565" i="1"/>
  <c r="AD2564" i="1"/>
  <c r="AD2563" i="1"/>
  <c r="AD2562" i="1"/>
  <c r="AD2561" i="1"/>
  <c r="AD2560" i="1"/>
  <c r="AD2559" i="1"/>
  <c r="AD2558" i="1"/>
  <c r="AD2557" i="1"/>
  <c r="AD2556" i="1"/>
  <c r="AD2555" i="1"/>
  <c r="AD2554" i="1"/>
  <c r="AD2553" i="1"/>
  <c r="AD2552" i="1"/>
  <c r="AD2551" i="1"/>
  <c r="AD2550" i="1"/>
  <c r="AD2549" i="1"/>
  <c r="AD2548" i="1"/>
  <c r="AD2547" i="1"/>
  <c r="AD2546" i="1"/>
  <c r="AD2545" i="1"/>
  <c r="AD2544" i="1"/>
  <c r="AD2543" i="1"/>
  <c r="AD2542" i="1"/>
  <c r="AD2541" i="1"/>
  <c r="AD2540" i="1"/>
  <c r="AD2539" i="1"/>
  <c r="AD2538" i="1"/>
  <c r="AD2537" i="1"/>
  <c r="AD2536" i="1"/>
  <c r="AD2535" i="1"/>
  <c r="AD2534" i="1"/>
  <c r="AD2533" i="1"/>
  <c r="AD2532" i="1"/>
  <c r="AD2531" i="1"/>
  <c r="AD2530" i="1"/>
  <c r="AD2529" i="1"/>
  <c r="AD2528" i="1"/>
  <c r="AD2527" i="1"/>
  <c r="AD2526" i="1"/>
  <c r="AD2525" i="1"/>
  <c r="AD2524" i="1"/>
  <c r="AD2523" i="1"/>
  <c r="AD2522" i="1"/>
  <c r="AD2521" i="1"/>
  <c r="AD2520" i="1"/>
  <c r="AD2519" i="1"/>
  <c r="AD2518" i="1"/>
  <c r="AD2517" i="1"/>
  <c r="AD2516" i="1"/>
  <c r="AD2515" i="1"/>
  <c r="AD2514" i="1"/>
  <c r="AD2513" i="1"/>
  <c r="AD2512" i="1"/>
  <c r="AD2511" i="1"/>
  <c r="AD2510" i="1"/>
  <c r="AD2509" i="1"/>
  <c r="AD2508" i="1"/>
  <c r="AD2507" i="1"/>
  <c r="AD2506" i="1"/>
  <c r="AD2505" i="1"/>
  <c r="AD2504" i="1"/>
  <c r="AD2503" i="1"/>
  <c r="AD2502" i="1"/>
  <c r="AD2501" i="1"/>
  <c r="AD2500" i="1"/>
  <c r="AD2499" i="1"/>
  <c r="AD2498" i="1"/>
  <c r="AD2497" i="1"/>
  <c r="AD2496" i="1"/>
  <c r="AD2495" i="1"/>
  <c r="AD2494" i="1"/>
  <c r="AD2493" i="1"/>
  <c r="AD2492" i="1"/>
  <c r="AD2491" i="1"/>
  <c r="AD2490" i="1"/>
  <c r="AD2489" i="1"/>
  <c r="AD2488" i="1"/>
  <c r="AD2487" i="1"/>
  <c r="AD2486" i="1"/>
  <c r="AD2485" i="1"/>
  <c r="AD2484" i="1"/>
  <c r="AD2483" i="1"/>
  <c r="AD2482" i="1"/>
  <c r="AD2481" i="1"/>
  <c r="AD2480" i="1"/>
  <c r="AD2479" i="1"/>
  <c r="AD2478" i="1"/>
  <c r="AD2477" i="1"/>
  <c r="AD2476" i="1"/>
  <c r="AD2475" i="1"/>
  <c r="AD2474" i="1"/>
  <c r="AD2473" i="1"/>
  <c r="AD2472" i="1"/>
  <c r="AD2471" i="1"/>
  <c r="AD2470" i="1"/>
  <c r="AD2469" i="1"/>
  <c r="AD2468" i="1"/>
  <c r="AD2467" i="1"/>
  <c r="AD2466" i="1"/>
  <c r="AD2465" i="1"/>
  <c r="AD2464" i="1"/>
  <c r="AD2463" i="1"/>
  <c r="AD2462" i="1"/>
  <c r="AD2461" i="1"/>
  <c r="AD2460" i="1"/>
  <c r="AD2459" i="1"/>
  <c r="AD2458" i="1"/>
  <c r="AD2457" i="1"/>
  <c r="AD2456" i="1"/>
  <c r="AD2455" i="1"/>
  <c r="AD2454" i="1"/>
  <c r="AD2453" i="1"/>
  <c r="AD2452" i="1"/>
  <c r="AD2451" i="1"/>
  <c r="AD2450" i="1"/>
  <c r="AD2449" i="1"/>
  <c r="AD2448" i="1"/>
  <c r="AD2447" i="1"/>
  <c r="AD2446" i="1"/>
  <c r="AD2445" i="1"/>
  <c r="AD2444" i="1"/>
  <c r="AD2443" i="1"/>
  <c r="AD2442" i="1"/>
  <c r="AD2441" i="1"/>
  <c r="AD2440" i="1"/>
  <c r="AD2439" i="1"/>
  <c r="AD2438" i="1"/>
  <c r="AD2437" i="1"/>
  <c r="AD2436" i="1"/>
  <c r="AD2435" i="1"/>
  <c r="AD2434" i="1"/>
  <c r="AD2433" i="1"/>
  <c r="AD2432" i="1"/>
  <c r="AD2431" i="1"/>
  <c r="AD2430" i="1"/>
  <c r="AD2429" i="1"/>
  <c r="AD2428" i="1"/>
  <c r="AD2427" i="1"/>
  <c r="AD2426" i="1"/>
  <c r="AD2425" i="1"/>
  <c r="AD2424" i="1"/>
  <c r="AD2423" i="1"/>
  <c r="AD2422" i="1"/>
  <c r="AD2421" i="1"/>
  <c r="AD2420" i="1"/>
  <c r="AD2419" i="1"/>
  <c r="AD2418" i="1"/>
  <c r="AD2417" i="1"/>
  <c r="AD2416" i="1"/>
  <c r="AD2415" i="1"/>
  <c r="AD2414" i="1"/>
  <c r="AD2413" i="1"/>
  <c r="AD2412" i="1"/>
  <c r="AD2411" i="1"/>
  <c r="AD2410" i="1"/>
  <c r="AD2409" i="1"/>
  <c r="AD2408" i="1"/>
  <c r="AD2407" i="1"/>
  <c r="AD2406" i="1"/>
  <c r="AD2405" i="1"/>
  <c r="AD2404" i="1"/>
  <c r="AD2403" i="1"/>
  <c r="AD2402" i="1"/>
  <c r="AD2401" i="1"/>
  <c r="AD2400" i="1"/>
  <c r="AD2399" i="1"/>
  <c r="AD2398" i="1"/>
  <c r="AD2397" i="1"/>
  <c r="AD2396" i="1"/>
  <c r="AD2395" i="1"/>
  <c r="AD2394" i="1"/>
  <c r="AD2393" i="1"/>
  <c r="AD2392" i="1"/>
  <c r="AD2391" i="1"/>
  <c r="AD2390" i="1"/>
  <c r="AD2389" i="1"/>
  <c r="AD2388" i="1"/>
  <c r="AD2387" i="1"/>
  <c r="AD2386" i="1"/>
  <c r="AD2385" i="1"/>
  <c r="AD2384" i="1"/>
  <c r="AD2383" i="1"/>
  <c r="AD2382" i="1"/>
  <c r="AD2381" i="1"/>
  <c r="AD2380" i="1"/>
  <c r="AD2379" i="1"/>
  <c r="AD2378" i="1"/>
  <c r="AD2377" i="1"/>
  <c r="AD2376" i="1"/>
  <c r="AD2375" i="1"/>
  <c r="AD2374" i="1"/>
  <c r="AD2373" i="1"/>
  <c r="AD2372" i="1"/>
  <c r="AD2371" i="1"/>
  <c r="AD2370" i="1"/>
  <c r="AD2369" i="1"/>
  <c r="AD2368" i="1"/>
  <c r="AD2367" i="1"/>
  <c r="AD2366" i="1"/>
  <c r="AD2365" i="1"/>
  <c r="AD2364" i="1"/>
  <c r="AD2363" i="1"/>
  <c r="AD2362" i="1"/>
  <c r="AD2361" i="1"/>
  <c r="AD2360" i="1"/>
  <c r="AD2359" i="1"/>
  <c r="AD2358" i="1"/>
  <c r="AD2357" i="1"/>
  <c r="AD2356" i="1"/>
  <c r="AD2355" i="1"/>
  <c r="AD2354" i="1"/>
  <c r="AD2353" i="1"/>
  <c r="AD2352" i="1"/>
  <c r="AD2351" i="1"/>
  <c r="AD2350" i="1"/>
  <c r="AD2349" i="1"/>
  <c r="AD2348" i="1"/>
  <c r="AD2347" i="1"/>
  <c r="AD2346" i="1"/>
  <c r="AD2345" i="1"/>
  <c r="AD2344" i="1"/>
  <c r="AD2343" i="1"/>
  <c r="AD2342" i="1"/>
  <c r="AD2341" i="1"/>
  <c r="AD2340" i="1"/>
  <c r="AD2339" i="1"/>
  <c r="AD2338" i="1"/>
  <c r="AD2337" i="1"/>
  <c r="AD2336" i="1"/>
  <c r="AD2335" i="1"/>
  <c r="AD2334" i="1"/>
  <c r="AD2333" i="1"/>
  <c r="AD2332" i="1"/>
  <c r="AD2331" i="1"/>
  <c r="AD2330" i="1"/>
  <c r="AD2329" i="1"/>
  <c r="AD2328" i="1"/>
  <c r="AD2327" i="1"/>
  <c r="AD2326" i="1"/>
  <c r="AD2325" i="1"/>
  <c r="AD2324" i="1"/>
  <c r="AD2323" i="1"/>
  <c r="AD2322" i="1"/>
  <c r="AD2321" i="1"/>
  <c r="AD2320" i="1"/>
  <c r="AD2319" i="1"/>
  <c r="AD2318" i="1"/>
  <c r="AD2317" i="1"/>
  <c r="AD2316" i="1"/>
  <c r="AD2315" i="1"/>
  <c r="AD2314" i="1"/>
  <c r="AD2313" i="1"/>
  <c r="AD2312" i="1"/>
  <c r="AD2311" i="1"/>
  <c r="AD2310" i="1"/>
  <c r="AD2309" i="1"/>
  <c r="AD2308" i="1"/>
  <c r="AD2307" i="1"/>
  <c r="AD2306" i="1"/>
  <c r="AD2305" i="1"/>
  <c r="AD2304" i="1"/>
  <c r="AD2303" i="1"/>
  <c r="AD2302" i="1"/>
  <c r="AD2301" i="1"/>
  <c r="AD2300" i="1"/>
  <c r="AD2299" i="1"/>
  <c r="AD2298" i="1"/>
  <c r="AD2297" i="1"/>
  <c r="AD2296" i="1"/>
  <c r="AD2295" i="1"/>
  <c r="AD2294" i="1"/>
  <c r="AD2293" i="1"/>
  <c r="AD2292" i="1"/>
  <c r="AD2291" i="1"/>
  <c r="AD2290" i="1"/>
  <c r="AD2289" i="1"/>
  <c r="AD2288" i="1"/>
  <c r="AD2287" i="1"/>
  <c r="AD2286" i="1"/>
  <c r="AD2285" i="1"/>
  <c r="AD2284" i="1"/>
  <c r="AD2283" i="1"/>
  <c r="AD2282" i="1"/>
  <c r="AD2281" i="1"/>
  <c r="AD2280" i="1"/>
  <c r="AD2279" i="1"/>
  <c r="AD2278" i="1"/>
  <c r="AD2277" i="1"/>
  <c r="AD2276" i="1"/>
  <c r="AD2275" i="1"/>
  <c r="AD2274" i="1"/>
  <c r="AD2273" i="1"/>
  <c r="AD2272" i="1"/>
  <c r="AD2271" i="1"/>
  <c r="AD2270" i="1"/>
  <c r="AD2269" i="1"/>
  <c r="AD2268" i="1"/>
  <c r="AD2267" i="1"/>
  <c r="AD2266" i="1"/>
  <c r="AD2265" i="1"/>
  <c r="AD2264" i="1"/>
  <c r="AD2263" i="1"/>
  <c r="AD2262" i="1"/>
  <c r="AD2261" i="1"/>
  <c r="AD2260" i="1"/>
  <c r="AD2259" i="1"/>
  <c r="AD2258" i="1"/>
  <c r="AD2257" i="1"/>
  <c r="AD2256" i="1"/>
  <c r="AD2255" i="1"/>
  <c r="AD2254" i="1"/>
  <c r="AD2253" i="1"/>
  <c r="AD2252" i="1"/>
  <c r="AD2251" i="1"/>
  <c r="AD2250" i="1"/>
  <c r="AD2249" i="1"/>
  <c r="AD2248" i="1"/>
  <c r="AD2247" i="1"/>
  <c r="AD2246" i="1"/>
  <c r="AD2245" i="1"/>
  <c r="AD2244" i="1"/>
  <c r="AD2243" i="1"/>
  <c r="AD2242" i="1"/>
  <c r="AD2241" i="1"/>
  <c r="AD2240" i="1"/>
  <c r="AD2239" i="1"/>
  <c r="AD2238" i="1"/>
  <c r="AD2237" i="1"/>
  <c r="AD2236" i="1"/>
  <c r="AD2235" i="1"/>
  <c r="AD2234" i="1"/>
  <c r="AD2233" i="1"/>
  <c r="AD2232" i="1"/>
  <c r="AD2231" i="1"/>
  <c r="AD2230" i="1"/>
  <c r="AD2229" i="1"/>
  <c r="AD2228" i="1"/>
  <c r="AD2227" i="1"/>
  <c r="AD2226" i="1"/>
  <c r="AD2225" i="1"/>
  <c r="AD2224" i="1"/>
  <c r="AD2223" i="1"/>
  <c r="AD2222" i="1"/>
  <c r="AD2221" i="1"/>
  <c r="AD2220" i="1"/>
  <c r="AD2219" i="1"/>
  <c r="AD2218" i="1"/>
  <c r="AD2217" i="1"/>
  <c r="AD2216" i="1"/>
  <c r="AD2215" i="1"/>
  <c r="AD2214" i="1"/>
  <c r="AD2213" i="1"/>
  <c r="AD2212" i="1"/>
  <c r="AD2211" i="1"/>
  <c r="AD2210" i="1"/>
  <c r="AD2209" i="1"/>
  <c r="AD2208" i="1"/>
  <c r="AD2207" i="1"/>
  <c r="AD2206" i="1"/>
  <c r="AD2205" i="1"/>
  <c r="AD2204" i="1"/>
  <c r="AD2203" i="1"/>
  <c r="AD2202" i="1"/>
  <c r="AD2201" i="1"/>
  <c r="AD2200" i="1"/>
  <c r="AD2199" i="1"/>
  <c r="AD2198" i="1"/>
  <c r="AD2197" i="1"/>
  <c r="AD2196" i="1"/>
  <c r="AD2195" i="1"/>
  <c r="AD2194" i="1"/>
  <c r="AD2193" i="1"/>
  <c r="AD2192" i="1"/>
  <c r="AD2191" i="1"/>
  <c r="AD2190" i="1"/>
  <c r="AD2189" i="1"/>
  <c r="AD2188" i="1"/>
  <c r="AD2187" i="1"/>
  <c r="AD2186" i="1"/>
  <c r="AD2185" i="1"/>
  <c r="AD2184" i="1"/>
  <c r="AD2183" i="1"/>
  <c r="AD2182" i="1"/>
  <c r="AD2181" i="1"/>
  <c r="AD2180" i="1"/>
  <c r="AD2179" i="1"/>
  <c r="AD2178" i="1"/>
  <c r="AD2177" i="1"/>
  <c r="AD2176" i="1"/>
  <c r="AD2175" i="1"/>
  <c r="AD2174" i="1"/>
  <c r="AD2173" i="1"/>
  <c r="AD2172" i="1"/>
  <c r="AD2171" i="1"/>
  <c r="AD2170" i="1"/>
  <c r="AD2169" i="1"/>
  <c r="AD2168" i="1"/>
  <c r="AD2167" i="1"/>
  <c r="AD2166" i="1"/>
  <c r="AD2165" i="1"/>
  <c r="AD2164" i="1"/>
  <c r="AD2163" i="1"/>
  <c r="AD2162" i="1"/>
  <c r="AD2161" i="1"/>
  <c r="AD2160" i="1"/>
  <c r="AD2159" i="1"/>
  <c r="AD2158" i="1"/>
  <c r="AD2157" i="1"/>
  <c r="AD2156" i="1"/>
  <c r="AD2155" i="1"/>
  <c r="AD2154" i="1"/>
  <c r="AD2153" i="1"/>
  <c r="AD2152" i="1"/>
  <c r="AD2151" i="1"/>
  <c r="AD2150" i="1"/>
  <c r="AD2149" i="1"/>
  <c r="AD2148" i="1"/>
  <c r="AD2147" i="1"/>
  <c r="AD2146" i="1"/>
  <c r="AD2145" i="1"/>
  <c r="AD2144" i="1"/>
  <c r="AD2143" i="1"/>
  <c r="AD2142" i="1"/>
  <c r="AD2141" i="1"/>
  <c r="AD2140" i="1"/>
  <c r="AD2139" i="1"/>
  <c r="AD2138" i="1"/>
  <c r="AD2137" i="1"/>
  <c r="AD2136" i="1"/>
  <c r="AD2135" i="1"/>
  <c r="AD2134" i="1"/>
  <c r="AD2133" i="1"/>
  <c r="AD2132" i="1"/>
  <c r="AD2131" i="1"/>
  <c r="AD2130" i="1"/>
  <c r="AD2129" i="1"/>
  <c r="AD2128" i="1"/>
  <c r="AD2127" i="1"/>
  <c r="AD2126" i="1"/>
  <c r="AD2125" i="1"/>
  <c r="AD2124" i="1"/>
  <c r="AD2123" i="1"/>
  <c r="AD2122" i="1"/>
  <c r="AD2121" i="1"/>
  <c r="AD2120" i="1"/>
  <c r="AD2119" i="1"/>
  <c r="AD2118" i="1"/>
  <c r="AD2117" i="1"/>
  <c r="AD2116" i="1"/>
  <c r="AD2115" i="1"/>
  <c r="AD2114" i="1"/>
  <c r="AD2113" i="1"/>
  <c r="AD2112" i="1"/>
  <c r="AD2111" i="1"/>
  <c r="AD2110" i="1"/>
  <c r="AD2109" i="1"/>
  <c r="AD2108" i="1"/>
  <c r="AD2107" i="1"/>
  <c r="AD2106" i="1"/>
  <c r="AD2105" i="1"/>
  <c r="AD2104" i="1"/>
  <c r="AD2103" i="1"/>
  <c r="AD2102" i="1"/>
  <c r="AD2101" i="1"/>
  <c r="AD2100" i="1"/>
  <c r="AD2099" i="1"/>
  <c r="AD2098" i="1"/>
  <c r="AD2097" i="1"/>
  <c r="AD2096" i="1"/>
  <c r="AD2095" i="1"/>
  <c r="AD2094" i="1"/>
  <c r="AD2093" i="1"/>
  <c r="AD2092" i="1"/>
  <c r="AD2091" i="1"/>
  <c r="AD2090" i="1"/>
  <c r="AD2089" i="1"/>
  <c r="AD2088" i="1"/>
  <c r="AD2087" i="1"/>
  <c r="AD2086" i="1"/>
  <c r="AD2085" i="1"/>
  <c r="AD2084" i="1"/>
  <c r="AD2083" i="1"/>
  <c r="AD2082" i="1"/>
  <c r="AD2081" i="1"/>
  <c r="AD2080" i="1"/>
  <c r="AD2079" i="1"/>
  <c r="AD2078" i="1"/>
  <c r="AD2077" i="1"/>
  <c r="AD2076" i="1"/>
  <c r="AD2075" i="1"/>
  <c r="AD2074" i="1"/>
  <c r="AD2073" i="1"/>
  <c r="AD2072" i="1"/>
  <c r="AD2071" i="1"/>
  <c r="AD2070" i="1"/>
  <c r="AD2069" i="1"/>
  <c r="AD2068" i="1"/>
  <c r="AD2067" i="1"/>
  <c r="AD2066" i="1"/>
  <c r="AD2065" i="1"/>
  <c r="AD2064" i="1"/>
  <c r="AD2063" i="1"/>
  <c r="AD2062" i="1"/>
  <c r="AD2061" i="1"/>
  <c r="AD2060" i="1"/>
  <c r="AD2059" i="1"/>
  <c r="AD2058" i="1"/>
  <c r="AD2057" i="1"/>
  <c r="AD2056" i="1"/>
  <c r="AD2055" i="1"/>
  <c r="AD2054" i="1"/>
  <c r="AD2053" i="1"/>
  <c r="AD2052" i="1"/>
  <c r="AD2051" i="1"/>
  <c r="AD2050" i="1"/>
  <c r="AD2049" i="1"/>
  <c r="AD2048" i="1"/>
  <c r="AD2047" i="1"/>
  <c r="AD2046" i="1"/>
  <c r="AD2045" i="1"/>
  <c r="AD2044" i="1"/>
  <c r="AD2043" i="1"/>
  <c r="AD2042" i="1"/>
  <c r="AD2041" i="1"/>
  <c r="AD2040" i="1"/>
  <c r="AD2039" i="1"/>
  <c r="AD2038" i="1"/>
  <c r="AD2037" i="1"/>
  <c r="AD2036" i="1"/>
  <c r="AD2035" i="1"/>
  <c r="AD2034" i="1"/>
  <c r="AD2033" i="1"/>
  <c r="AD2032" i="1"/>
  <c r="AD2031" i="1"/>
  <c r="AD2030" i="1"/>
  <c r="AD2029" i="1"/>
  <c r="AD2028" i="1"/>
  <c r="AD2027" i="1"/>
  <c r="AD2026" i="1"/>
  <c r="AD2025" i="1"/>
  <c r="AD2024" i="1"/>
  <c r="AD2023" i="1"/>
  <c r="AD2022" i="1"/>
  <c r="AD2021" i="1"/>
  <c r="AD2020" i="1"/>
  <c r="AD2019" i="1"/>
  <c r="AD2018" i="1"/>
  <c r="AD2017" i="1"/>
  <c r="AD2016" i="1"/>
  <c r="AD2015" i="1"/>
  <c r="AD2014" i="1"/>
  <c r="AD2013" i="1"/>
  <c r="AD2012" i="1"/>
  <c r="AD2011" i="1"/>
  <c r="AD2010" i="1"/>
  <c r="AD2009" i="1"/>
  <c r="AD2008" i="1"/>
  <c r="AD2007" i="1"/>
  <c r="AD2006" i="1"/>
  <c r="AD2005" i="1"/>
  <c r="AD2004" i="1"/>
  <c r="AD2003" i="1"/>
  <c r="AD2002" i="1"/>
  <c r="AD2001" i="1"/>
  <c r="AD2000" i="1"/>
  <c r="AD1999" i="1"/>
  <c r="AD1998" i="1"/>
  <c r="AD1997" i="1"/>
  <c r="AD1996" i="1"/>
  <c r="AD1995" i="1"/>
  <c r="AD1994" i="1"/>
  <c r="AD1993" i="1"/>
  <c r="AD1992" i="1"/>
  <c r="AD1991" i="1"/>
  <c r="AD1990" i="1"/>
  <c r="AD1989" i="1"/>
  <c r="AD1988" i="1"/>
  <c r="AD1987" i="1"/>
  <c r="AD1986" i="1"/>
  <c r="AD1985" i="1"/>
  <c r="AD1984" i="1"/>
  <c r="AD1983" i="1"/>
  <c r="AD1982" i="1"/>
  <c r="AD1981" i="1"/>
  <c r="AD1980" i="1"/>
  <c r="AD1979" i="1"/>
  <c r="AD1978" i="1"/>
  <c r="AD1977" i="1"/>
  <c r="AD1976" i="1"/>
  <c r="AD1975" i="1"/>
  <c r="AD1974" i="1"/>
  <c r="AD1973" i="1"/>
  <c r="AD1972" i="1"/>
  <c r="AD1971" i="1"/>
  <c r="AD1970" i="1"/>
  <c r="AD1969" i="1"/>
  <c r="AD1968" i="1"/>
  <c r="AD1967" i="1"/>
  <c r="AD1966" i="1"/>
  <c r="AD1965" i="1"/>
  <c r="AD1964" i="1"/>
  <c r="AD1963" i="1"/>
  <c r="AD1962" i="1"/>
  <c r="AD1961" i="1"/>
  <c r="AD1960" i="1"/>
  <c r="AD1959" i="1"/>
  <c r="AD1958" i="1"/>
  <c r="AD1957" i="1"/>
  <c r="AD1956" i="1"/>
  <c r="AD1955" i="1"/>
  <c r="AD1954" i="1"/>
  <c r="AD1953" i="1"/>
  <c r="AD1952" i="1"/>
  <c r="AD1951" i="1"/>
  <c r="AD1950" i="1"/>
  <c r="AD1949" i="1"/>
  <c r="AD1948" i="1"/>
  <c r="AD1947" i="1"/>
  <c r="AD1946" i="1"/>
  <c r="AD1945" i="1"/>
  <c r="AD1944" i="1"/>
  <c r="AD1943" i="1"/>
  <c r="AD1942" i="1"/>
  <c r="AD1941" i="1"/>
  <c r="AD1940" i="1"/>
  <c r="AD1939" i="1"/>
  <c r="AD1938" i="1"/>
  <c r="AD1937" i="1"/>
  <c r="AD1936" i="1"/>
  <c r="AD1935" i="1"/>
  <c r="AD1934" i="1"/>
  <c r="AD1933" i="1"/>
  <c r="AD1932" i="1"/>
  <c r="AD1931" i="1"/>
  <c r="AD1930" i="1"/>
  <c r="AD1929" i="1"/>
  <c r="AD1928" i="1"/>
  <c r="AD1927" i="1"/>
  <c r="AD1926" i="1"/>
  <c r="AD1925" i="1"/>
  <c r="AD1924" i="1"/>
  <c r="AD1923" i="1"/>
  <c r="AD1922" i="1"/>
  <c r="AD1921" i="1"/>
  <c r="AD1920" i="1"/>
  <c r="AD1919" i="1"/>
  <c r="AD1918" i="1"/>
  <c r="AD1917" i="1"/>
  <c r="AD1916" i="1"/>
  <c r="AD1915" i="1"/>
  <c r="AD1914" i="1"/>
  <c r="AD1913" i="1"/>
  <c r="AD1912" i="1"/>
  <c r="AD1911" i="1"/>
  <c r="AD1910" i="1"/>
  <c r="AD1909" i="1"/>
  <c r="AD1908" i="1"/>
  <c r="AD1907" i="1"/>
  <c r="AD1906" i="1"/>
  <c r="AD1905" i="1"/>
  <c r="AD1904" i="1"/>
  <c r="AD1903" i="1"/>
  <c r="AD1902" i="1"/>
  <c r="AD1901" i="1"/>
  <c r="AD1900" i="1"/>
  <c r="AD1899" i="1"/>
  <c r="AD1898" i="1"/>
  <c r="AD1897" i="1"/>
  <c r="AD1896" i="1"/>
  <c r="AD1895" i="1"/>
  <c r="AD1894" i="1"/>
  <c r="AD1893" i="1"/>
  <c r="AD1892" i="1"/>
  <c r="AD1891" i="1"/>
  <c r="AD1890" i="1"/>
  <c r="AD1889" i="1"/>
  <c r="AD1888" i="1"/>
  <c r="AD1887" i="1"/>
  <c r="AD1886" i="1"/>
  <c r="AD1885" i="1"/>
  <c r="AD1884" i="1"/>
  <c r="AD1883" i="1"/>
  <c r="AD1882" i="1"/>
  <c r="AD1881" i="1"/>
  <c r="AD1880" i="1"/>
  <c r="AD1879" i="1"/>
  <c r="AD1878" i="1"/>
  <c r="AD1877" i="1"/>
  <c r="AD1876" i="1"/>
  <c r="AD1875" i="1"/>
  <c r="AD1874" i="1"/>
  <c r="AD1873" i="1"/>
  <c r="AD1872" i="1"/>
  <c r="AD1871" i="1"/>
  <c r="AD1870" i="1"/>
  <c r="AD1869" i="1"/>
  <c r="AD1868" i="1"/>
  <c r="AD1867" i="1"/>
  <c r="AD1866" i="1"/>
  <c r="AD1865" i="1"/>
  <c r="AD1864" i="1"/>
  <c r="AD1863" i="1"/>
  <c r="AD1862" i="1"/>
  <c r="AD1861" i="1"/>
  <c r="AD1860" i="1"/>
  <c r="AD1859" i="1"/>
  <c r="AD1858" i="1"/>
  <c r="AD1857" i="1"/>
  <c r="AD1856" i="1"/>
  <c r="AD1855" i="1"/>
  <c r="AD1854" i="1"/>
  <c r="AD1853" i="1"/>
  <c r="AD1852" i="1"/>
  <c r="AD1851" i="1"/>
  <c r="AD1850" i="1"/>
  <c r="AD1849" i="1"/>
  <c r="AD1848" i="1"/>
  <c r="AD1847" i="1"/>
  <c r="AD1846" i="1"/>
  <c r="AD1845" i="1"/>
  <c r="AD1844" i="1"/>
  <c r="AD1843" i="1"/>
  <c r="AD1842" i="1"/>
  <c r="AD1841" i="1"/>
  <c r="AD1840" i="1"/>
  <c r="AD1839" i="1"/>
  <c r="AD1838" i="1"/>
  <c r="AD1837" i="1"/>
  <c r="AD1836" i="1"/>
  <c r="AD1835" i="1"/>
  <c r="AD1834" i="1"/>
  <c r="AD1833" i="1"/>
  <c r="AD1832" i="1"/>
  <c r="AD1831" i="1"/>
  <c r="AD1830" i="1"/>
  <c r="AD1829" i="1"/>
  <c r="AD1828" i="1"/>
  <c r="AD1827" i="1"/>
  <c r="AD1826" i="1"/>
  <c r="AD1825" i="1"/>
  <c r="AD1824" i="1"/>
  <c r="AD1823" i="1"/>
  <c r="AD1822" i="1"/>
  <c r="AD1821" i="1"/>
  <c r="AD1820" i="1"/>
  <c r="AD1819" i="1"/>
  <c r="AD1818" i="1"/>
  <c r="AD1817" i="1"/>
  <c r="AD1816" i="1"/>
  <c r="AD1815" i="1"/>
  <c r="AD1814" i="1"/>
  <c r="AD1813" i="1"/>
  <c r="AD1812" i="1"/>
  <c r="AD1811" i="1"/>
  <c r="AD1810" i="1"/>
  <c r="AD1809" i="1"/>
  <c r="AD1808" i="1"/>
  <c r="AD1807" i="1"/>
  <c r="AD1806" i="1"/>
  <c r="AD1805" i="1"/>
  <c r="AD1804" i="1"/>
  <c r="AD1803" i="1"/>
  <c r="AD1802" i="1"/>
  <c r="AD1801" i="1"/>
  <c r="AD1800" i="1"/>
  <c r="AD1799" i="1"/>
  <c r="AD1798" i="1"/>
  <c r="AD1797" i="1"/>
  <c r="AD1796" i="1"/>
  <c r="AD1795" i="1"/>
  <c r="AD1794" i="1"/>
  <c r="AD1793" i="1"/>
  <c r="AD1792" i="1"/>
  <c r="AD1791" i="1"/>
  <c r="AD1790" i="1"/>
  <c r="AD1789" i="1"/>
  <c r="AD1788" i="1"/>
  <c r="AD1787" i="1"/>
  <c r="AD1786" i="1"/>
  <c r="AD1785" i="1"/>
  <c r="AD1784" i="1"/>
  <c r="AD1783" i="1"/>
  <c r="AD1782" i="1"/>
  <c r="AD1781" i="1"/>
  <c r="AD1780" i="1"/>
  <c r="AD1779" i="1"/>
  <c r="AD1778" i="1"/>
  <c r="AD1777" i="1"/>
  <c r="AD1776" i="1"/>
  <c r="AD1775" i="1"/>
  <c r="AD1774" i="1"/>
  <c r="AD1773" i="1"/>
  <c r="AD1772" i="1"/>
  <c r="AD1771" i="1"/>
  <c r="AD1770" i="1"/>
  <c r="AD1769" i="1"/>
  <c r="AD1768" i="1"/>
  <c r="AD1767" i="1"/>
  <c r="AD1766" i="1"/>
  <c r="AD1765" i="1"/>
  <c r="AD1764" i="1"/>
  <c r="AD1763" i="1"/>
  <c r="AD1762" i="1"/>
  <c r="AD1761" i="1"/>
  <c r="AD1760" i="1"/>
  <c r="AD1759" i="1"/>
  <c r="AD1758" i="1"/>
  <c r="AD1757" i="1"/>
  <c r="AD1756" i="1"/>
  <c r="AD1755" i="1"/>
  <c r="AD1754" i="1"/>
  <c r="AD1753" i="1"/>
  <c r="AD1752" i="1"/>
  <c r="AD1751" i="1"/>
  <c r="AD1750" i="1"/>
  <c r="AD1749" i="1"/>
  <c r="AD1748" i="1"/>
  <c r="AD1747" i="1"/>
  <c r="AD1746" i="1"/>
  <c r="AD1745" i="1"/>
  <c r="AD1744" i="1"/>
  <c r="AD1743" i="1"/>
  <c r="AD1742" i="1"/>
  <c r="AD1741" i="1"/>
  <c r="AD1740" i="1"/>
  <c r="AD1739" i="1"/>
  <c r="AD1738" i="1"/>
  <c r="AD1737" i="1"/>
  <c r="AD1736" i="1"/>
  <c r="AD1735" i="1"/>
  <c r="AD1734" i="1"/>
  <c r="AD1733" i="1"/>
  <c r="AD1732" i="1"/>
  <c r="AD1731" i="1"/>
  <c r="AD1730" i="1"/>
  <c r="AD1729" i="1"/>
  <c r="AD1728" i="1"/>
  <c r="AD1727" i="1"/>
  <c r="AD1726" i="1"/>
  <c r="AD1725" i="1"/>
  <c r="AD1724" i="1"/>
  <c r="AD1723" i="1"/>
  <c r="AD1722" i="1"/>
  <c r="AD1721" i="1"/>
  <c r="AD1720" i="1"/>
  <c r="AD1719" i="1"/>
  <c r="AD1718" i="1"/>
  <c r="AD1717" i="1"/>
  <c r="AD1716" i="1"/>
  <c r="AD1715" i="1"/>
  <c r="AD1714" i="1"/>
  <c r="AD1713" i="1"/>
  <c r="AD1712" i="1"/>
  <c r="AD1711" i="1"/>
  <c r="AD1710" i="1"/>
  <c r="AD1709" i="1"/>
  <c r="AD1708" i="1"/>
  <c r="AD1707" i="1"/>
  <c r="AD1706" i="1"/>
  <c r="AD1705" i="1"/>
  <c r="AD1704" i="1"/>
  <c r="AD1703" i="1"/>
  <c r="AD1702" i="1"/>
  <c r="AD1701" i="1"/>
  <c r="AD1700"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7" i="1"/>
  <c r="AD1676" i="1"/>
  <c r="AD1675" i="1"/>
  <c r="AD1674" i="1"/>
  <c r="AD1673" i="1"/>
  <c r="AD1672" i="1"/>
  <c r="AD1671" i="1"/>
  <c r="AD1670" i="1"/>
  <c r="AD1669" i="1"/>
  <c r="AD1668" i="1"/>
  <c r="AD1667" i="1"/>
  <c r="AD1666" i="1"/>
  <c r="AD1665" i="1"/>
  <c r="AD1664" i="1"/>
  <c r="AD1663" i="1"/>
  <c r="AD1662" i="1"/>
  <c r="AD1661" i="1"/>
  <c r="AD1660" i="1"/>
  <c r="AD1659" i="1"/>
  <c r="AD1658" i="1"/>
  <c r="AD1657" i="1"/>
  <c r="AD1656" i="1"/>
  <c r="AD1655" i="1"/>
  <c r="AD1654" i="1"/>
  <c r="AD1653" i="1"/>
  <c r="AD1652" i="1"/>
  <c r="AD1651" i="1"/>
  <c r="AD1650" i="1"/>
  <c r="AD1649"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1" i="1"/>
  <c r="AD1590" i="1"/>
  <c r="AD1589" i="1"/>
  <c r="AD1588" i="1"/>
  <c r="AD1587" i="1"/>
  <c r="AD1586" i="1"/>
  <c r="AD1585" i="1"/>
  <c r="AD1584" i="1"/>
  <c r="AD1583" i="1"/>
  <c r="AD1582" i="1"/>
  <c r="AD1581" i="1"/>
  <c r="AD1580" i="1"/>
  <c r="AD1579" i="1"/>
  <c r="AD1578" i="1"/>
  <c r="AD1577" i="1"/>
  <c r="AD1576" i="1"/>
  <c r="AD1575" i="1"/>
  <c r="AD1574" i="1"/>
  <c r="AD1573" i="1"/>
  <c r="AD1572" i="1"/>
  <c r="AD1571" i="1"/>
  <c r="AD1570" i="1"/>
  <c r="AD1569" i="1"/>
  <c r="AD1568" i="1"/>
  <c r="AD1567" i="1"/>
  <c r="AD1566" i="1"/>
  <c r="AD1565" i="1"/>
  <c r="AD1564" i="1"/>
  <c r="AD1563" i="1"/>
  <c r="AD1562" i="1"/>
  <c r="AD1561" i="1"/>
  <c r="AD1560" i="1"/>
  <c r="AD1559" i="1"/>
  <c r="AD1558" i="1"/>
  <c r="AD1557" i="1"/>
  <c r="AD1556" i="1"/>
  <c r="AD1555" i="1"/>
  <c r="AD1554" i="1"/>
  <c r="AD1553" i="1"/>
  <c r="AD1552" i="1"/>
  <c r="AD1551" i="1"/>
  <c r="AD1550" i="1"/>
  <c r="AD1549" i="1"/>
  <c r="AD1548" i="1"/>
  <c r="AD1547" i="1"/>
  <c r="AD1546" i="1"/>
  <c r="AD1545" i="1"/>
  <c r="AD1544" i="1"/>
  <c r="AD1543" i="1"/>
  <c r="AD1542" i="1"/>
  <c r="AD1541" i="1"/>
  <c r="AD1540" i="1"/>
  <c r="AD1539" i="1"/>
  <c r="AD1538" i="1"/>
  <c r="AD1537" i="1"/>
  <c r="AD1536" i="1"/>
  <c r="AD1535" i="1"/>
  <c r="AD1534" i="1"/>
  <c r="AD1533" i="1"/>
  <c r="AD1532" i="1"/>
  <c r="AD1531" i="1"/>
  <c r="AD1530" i="1"/>
  <c r="AD1529" i="1"/>
  <c r="AD1528" i="1"/>
  <c r="AD1527" i="1"/>
  <c r="AD1526" i="1"/>
  <c r="AD1525" i="1"/>
  <c r="AD1524" i="1"/>
  <c r="AD1523" i="1"/>
  <c r="AD1522" i="1"/>
  <c r="AD1521" i="1"/>
  <c r="AD1520" i="1"/>
  <c r="AD1519" i="1"/>
  <c r="AD1518" i="1"/>
  <c r="AD1517" i="1"/>
  <c r="AD1516" i="1"/>
  <c r="AD1515" i="1"/>
  <c r="AD1514" i="1"/>
  <c r="AD1513" i="1"/>
  <c r="AD1512" i="1"/>
  <c r="AD1511" i="1"/>
  <c r="AD1510" i="1"/>
  <c r="AD1509" i="1"/>
  <c r="AD1508" i="1"/>
  <c r="AD1507" i="1"/>
  <c r="AD1506" i="1"/>
  <c r="AD1505" i="1"/>
  <c r="AD1504" i="1"/>
  <c r="AD1503" i="1"/>
  <c r="AD1502" i="1"/>
  <c r="AD1501" i="1"/>
  <c r="AD1500" i="1"/>
  <c r="AD1499" i="1"/>
  <c r="AD1498" i="1"/>
  <c r="AD1497" i="1"/>
  <c r="AD1496" i="1"/>
  <c r="AD1495" i="1"/>
  <c r="AD1494" i="1"/>
  <c r="AD1493" i="1"/>
  <c r="AD1492" i="1"/>
  <c r="AD1491" i="1"/>
  <c r="AD1490" i="1"/>
  <c r="AD1489" i="1"/>
  <c r="AD1488" i="1"/>
  <c r="AD1487" i="1"/>
  <c r="AD1486" i="1"/>
  <c r="AD1485" i="1"/>
  <c r="AD1484" i="1"/>
  <c r="AD1483" i="1"/>
  <c r="AD1482" i="1"/>
  <c r="AD1481" i="1"/>
  <c r="AD1480" i="1"/>
  <c r="AD1479" i="1"/>
  <c r="AD1478" i="1"/>
  <c r="AD1477" i="1"/>
  <c r="AD1476" i="1"/>
  <c r="AD1475" i="1"/>
  <c r="AD1474" i="1"/>
  <c r="AD1473" i="1"/>
  <c r="AD1472" i="1"/>
  <c r="AD1471" i="1"/>
  <c r="AD1470" i="1"/>
  <c r="AD1469" i="1"/>
  <c r="AD1468" i="1"/>
  <c r="AD1467" i="1"/>
  <c r="AD1466" i="1"/>
  <c r="AD1465" i="1"/>
  <c r="AD1464" i="1"/>
  <c r="AD1463" i="1"/>
  <c r="AD1462" i="1"/>
  <c r="AD1461" i="1"/>
  <c r="AD1460" i="1"/>
  <c r="AD1459" i="1"/>
  <c r="AD1458" i="1"/>
  <c r="AD1457" i="1"/>
  <c r="AD1456" i="1"/>
  <c r="AD1455" i="1"/>
  <c r="AD1454" i="1"/>
  <c r="AD1453" i="1"/>
  <c r="AD1452" i="1"/>
  <c r="AD1451" i="1"/>
  <c r="AD1450" i="1"/>
  <c r="AD1449" i="1"/>
  <c r="AD1448" i="1"/>
  <c r="AD1447" i="1"/>
  <c r="AD1446" i="1"/>
  <c r="AD1445" i="1"/>
  <c r="AD1444" i="1"/>
  <c r="AD1443" i="1"/>
  <c r="AD1442"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20" i="1"/>
  <c r="AD1419" i="1"/>
  <c r="AD1418" i="1"/>
  <c r="AD1417" i="1"/>
  <c r="AD1416" i="1"/>
  <c r="AD1415" i="1"/>
  <c r="AD1414" i="1"/>
  <c r="AD1413" i="1"/>
  <c r="AD1412" i="1"/>
  <c r="AD1411" i="1"/>
  <c r="AD1410" i="1"/>
  <c r="AD1409" i="1"/>
  <c r="AD1408" i="1"/>
  <c r="AD1407" i="1"/>
  <c r="AD1406" i="1"/>
  <c r="AD1405" i="1"/>
  <c r="AD1404" i="1"/>
  <c r="AD1403" i="1"/>
  <c r="AD1402" i="1"/>
  <c r="AD1401" i="1"/>
  <c r="AD1400"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8" i="1"/>
  <c r="AD1367"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2"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AL15" i="1" l="1"/>
  <c r="AL11" i="1"/>
  <c r="AM11" i="1"/>
  <c r="AM15" i="1"/>
  <c r="AF60" i="2"/>
  <c r="AF9" i="2"/>
  <c r="AF7" i="2"/>
  <c r="AF3630" i="2"/>
  <c r="AF3633" i="2" s="1"/>
  <c r="AF2878" i="2"/>
  <c r="AF2459" i="2"/>
  <c r="AF2458" i="2" s="1"/>
  <c r="AF2454" i="2"/>
  <c r="AF2451" i="2"/>
  <c r="AF2450" i="2"/>
  <c r="AF2449" i="2"/>
  <c r="AF2448" i="2"/>
  <c r="AF2445" i="2"/>
  <c r="AF2444" i="2" s="1"/>
  <c r="AF2393" i="2"/>
  <c r="AF2354" i="2"/>
  <c r="AF2353" i="2" s="1"/>
  <c r="AF2351" i="2"/>
  <c r="AF2350" i="2"/>
  <c r="AF2348" i="2"/>
  <c r="AF2347" i="2"/>
  <c r="AF2346" i="2"/>
  <c r="AF2343" i="2"/>
  <c r="AF2336" i="2"/>
  <c r="AF2335" i="2"/>
  <c r="AF2334" i="2" s="1"/>
  <c r="AF2333" i="2"/>
  <c r="AF2332" i="2"/>
  <c r="AF2331" i="2"/>
  <c r="AF2330" i="2" s="1"/>
  <c r="AF2328" i="2"/>
  <c r="AF2316" i="2"/>
  <c r="AF2315" i="2"/>
  <c r="AF2314" i="2"/>
  <c r="AF2313" i="2"/>
  <c r="AF2312" i="2"/>
  <c r="AF2308" i="2"/>
  <c r="AF2307" i="2"/>
  <c r="AF2305" i="2"/>
  <c r="AF2306" i="2" s="1"/>
  <c r="AF2304" i="2"/>
  <c r="AF2303" i="2"/>
  <c r="AF2301" i="2"/>
  <c r="AF2299" i="2"/>
  <c r="AF2298" i="2"/>
  <c r="AF2296" i="2"/>
  <c r="AF2295" i="2"/>
  <c r="AF2293" i="2"/>
  <c r="AF2294" i="2" s="1"/>
  <c r="AF2288" i="2"/>
  <c r="AF2287" i="2"/>
  <c r="AF2286" i="2"/>
  <c r="AF2284" i="2"/>
  <c r="AF2285" i="2" s="1"/>
  <c r="AF2282" i="2"/>
  <c r="AF2283" i="2" s="1"/>
  <c r="AF2280" i="2"/>
  <c r="AF2279" i="2"/>
  <c r="AF2278" i="2" s="1"/>
  <c r="AF2277" i="2"/>
  <c r="AF2275" i="2"/>
  <c r="AF2272" i="2"/>
  <c r="AF2273" i="2" s="1"/>
  <c r="AF2271" i="2"/>
  <c r="AF2270" i="2" s="1"/>
  <c r="AF2268" i="2"/>
  <c r="AF2269" i="2" s="1"/>
  <c r="AF2265" i="2"/>
  <c r="AF2264" i="2"/>
  <c r="AF2263" i="2" s="1"/>
  <c r="AF2258" i="2"/>
  <c r="AF2256" i="2"/>
  <c r="AF2255" i="2" s="1"/>
  <c r="AF2254" i="2"/>
  <c r="AF2253" i="2"/>
  <c r="AF2251" i="2"/>
  <c r="AF2249" i="2"/>
  <c r="AF2250" i="2" s="1"/>
  <c r="AF2244" i="2"/>
  <c r="AF2237" i="2"/>
  <c r="AF2240" i="2" s="1"/>
  <c r="AF2235" i="2"/>
  <c r="AF2236" i="2" s="1"/>
  <c r="AF2232" i="2"/>
  <c r="AF2233" i="2" s="1"/>
  <c r="AF2226" i="2"/>
  <c r="AF2219" i="2"/>
  <c r="AF2217" i="2"/>
  <c r="AF2216" i="2"/>
  <c r="AF2213" i="2"/>
  <c r="AF2208" i="2"/>
  <c r="AF2212" i="2" s="1"/>
  <c r="AF2201" i="2"/>
  <c r="AF2202" i="2" s="1"/>
  <c r="AF2200" i="2"/>
  <c r="AF2199" i="2"/>
  <c r="AF2198" i="2"/>
  <c r="AF2197" i="2"/>
  <c r="AF2196" i="2"/>
  <c r="AF2193" i="2"/>
  <c r="AF2192" i="2"/>
  <c r="AF2191" i="2"/>
  <c r="AF2190" i="2"/>
  <c r="AF2189" i="2"/>
  <c r="AF2188" i="2"/>
  <c r="AF2181" i="2"/>
  <c r="AF1888" i="2"/>
  <c r="AF1877" i="2"/>
  <c r="AF1291" i="2"/>
  <c r="AF1252" i="2"/>
  <c r="AF1134" i="2"/>
  <c r="AF1132" i="2"/>
  <c r="AF1100" i="2"/>
  <c r="AF1078" i="2"/>
  <c r="AF1062" i="2"/>
  <c r="AF1063" i="2" s="1"/>
  <c r="AF971" i="2"/>
  <c r="AF889" i="2"/>
  <c r="AF890" i="2" s="1"/>
  <c r="AF891" i="2"/>
  <c r="AF780" i="2"/>
  <c r="AF713" i="2"/>
  <c r="AF712" i="2"/>
  <c r="AF642" i="2"/>
  <c r="AF588" i="2"/>
  <c r="AF580" i="2"/>
  <c r="AF555" i="2"/>
  <c r="AF554" i="2"/>
  <c r="AF556" i="2"/>
  <c r="AF430" i="2"/>
  <c r="AF366" i="2"/>
  <c r="AF302" i="2"/>
  <c r="AF3696" i="2"/>
  <c r="AF3722" i="2"/>
  <c r="AF3712" i="2"/>
  <c r="AF3701" i="2"/>
  <c r="AF3699" i="2"/>
  <c r="AF3697" i="2"/>
  <c r="AF3698" i="2" s="1"/>
  <c r="AF3693" i="2"/>
  <c r="AF3692" i="2"/>
  <c r="AF3688" i="2"/>
  <c r="AF3685" i="2"/>
  <c r="AF3686" i="2" s="1"/>
  <c r="AF3678" i="2"/>
  <c r="AF3674" i="2"/>
  <c r="AF3676" i="2" s="1"/>
  <c r="AF3670" i="2"/>
  <c r="AF3669" i="2"/>
  <c r="AF3666" i="2"/>
  <c r="AF3663" i="2"/>
  <c r="AF3656" i="2"/>
  <c r="AF3650" i="2"/>
  <c r="AF3652" i="2" s="1"/>
  <c r="AF3644" i="2"/>
  <c r="AF3642" i="2"/>
  <c r="AF3640" i="2"/>
  <c r="AF3639" i="2"/>
  <c r="AF3638" i="2"/>
  <c r="AF3637" i="2"/>
  <c r="AF3634" i="2"/>
  <c r="AF3629" i="2"/>
  <c r="AF3625" i="2"/>
  <c r="AF3620" i="2"/>
  <c r="AF3619" i="2"/>
  <c r="AF3616" i="2"/>
  <c r="AF3615" i="2"/>
  <c r="AF3605" i="2"/>
  <c r="AF3603" i="2"/>
  <c r="AF3604" i="2" s="1"/>
  <c r="AF3598" i="2"/>
  <c r="AF3595" i="2"/>
  <c r="AF3593" i="2"/>
  <c r="AF3591" i="2"/>
  <c r="AF3590" i="2"/>
  <c r="AF3575" i="2"/>
  <c r="AF3573" i="2"/>
  <c r="AF3571" i="2"/>
  <c r="AF3569" i="2"/>
  <c r="AF3548" i="2"/>
  <c r="AF3542" i="2"/>
  <c r="AF3541" i="2"/>
  <c r="AF3540" i="2"/>
  <c r="AF3535" i="2"/>
  <c r="AF3530" i="2"/>
  <c r="AF3522" i="2"/>
  <c r="AF3523" i="2" s="1"/>
  <c r="AF3520" i="2"/>
  <c r="AF3506" i="2"/>
  <c r="AF3507" i="2" s="1"/>
  <c r="AF3493" i="2"/>
  <c r="AF3492" i="2" s="1"/>
  <c r="AF3482" i="2"/>
  <c r="AF3478" i="2"/>
  <c r="AF3479" i="2" s="1"/>
  <c r="AF3477" i="2"/>
  <c r="AF3468" i="2"/>
  <c r="AF3457" i="2"/>
  <c r="AF3441" i="2"/>
  <c r="AF3425" i="2"/>
  <c r="AF3426" i="2" s="1"/>
  <c r="AF3418" i="2"/>
  <c r="AF3419" i="2" s="1"/>
  <c r="AF3416" i="2"/>
  <c r="AF3412" i="2"/>
  <c r="AF3407" i="2"/>
  <c r="AF3409" i="2" s="1"/>
  <c r="AF3404" i="2"/>
  <c r="AF3403" i="2"/>
  <c r="AF3399" i="2"/>
  <c r="AF3398" i="2" s="1"/>
  <c r="AF3396" i="2"/>
  <c r="AF3397" i="2" s="1"/>
  <c r="AF3394" i="2"/>
  <c r="AF3395" i="2" s="1"/>
  <c r="AF3393" i="2"/>
  <c r="AF3381" i="2"/>
  <c r="AF3364" i="2"/>
  <c r="AF3342" i="2"/>
  <c r="AF3340" i="2"/>
  <c r="AF3339" i="2"/>
  <c r="AF3336" i="2"/>
  <c r="AF3334" i="2"/>
  <c r="AF3333" i="2" s="1"/>
  <c r="AF3332" i="2"/>
  <c r="AF3331" i="2"/>
  <c r="AF3328" i="2"/>
  <c r="AF3323" i="2"/>
  <c r="AF3324" i="2" s="1"/>
  <c r="AF3321" i="2"/>
  <c r="AF3312" i="2"/>
  <c r="AF3309" i="2"/>
  <c r="AF3307" i="2"/>
  <c r="AF3308" i="2" s="1"/>
  <c r="AF3303" i="2"/>
  <c r="AF3302" i="2"/>
  <c r="AF3300" i="2"/>
  <c r="AF3297" i="2"/>
  <c r="AF3295" i="2"/>
  <c r="AF3296" i="2" s="1"/>
  <c r="AF3284" i="2"/>
  <c r="AF3283" i="2"/>
  <c r="AF3280" i="2"/>
  <c r="AF3277" i="2"/>
  <c r="AF3276" i="2" s="1"/>
  <c r="AF3274" i="2"/>
  <c r="AF3272" i="2" s="1"/>
  <c r="AF3268" i="2"/>
  <c r="AF3266" i="2" s="1"/>
  <c r="AF3261" i="2"/>
  <c r="AF3262" i="2" s="1"/>
  <c r="AF3258" i="2"/>
  <c r="AF3252" i="2"/>
  <c r="AF3253" i="2" s="1"/>
  <c r="AF3248" i="2"/>
  <c r="AF3246" i="2"/>
  <c r="AF3245" i="2"/>
  <c r="AF3238" i="2"/>
  <c r="AF3230" i="2"/>
  <c r="AF3229" i="2"/>
  <c r="AF3228" i="2"/>
  <c r="AF3227" i="2"/>
  <c r="AF3221" i="2"/>
  <c r="AF3214" i="2"/>
  <c r="AF3212" i="2"/>
  <c r="AF3213" i="2" s="1"/>
  <c r="AF3208" i="2"/>
  <c r="AF3210" i="2" s="1"/>
  <c r="AF3206" i="2"/>
  <c r="AF3205" i="2"/>
  <c r="AF3199" i="2"/>
  <c r="AF3197" i="2"/>
  <c r="AF3193" i="2"/>
  <c r="AF3191" i="2"/>
  <c r="AF3192" i="2" s="1"/>
  <c r="AF3182" i="2"/>
  <c r="AF3179" i="2"/>
  <c r="AF3180" i="2" s="1"/>
  <c r="AF3177" i="2"/>
  <c r="AF3175" i="2"/>
  <c r="AF3176" i="2" s="1"/>
  <c r="AF3174" i="2"/>
  <c r="AF3172" i="2"/>
  <c r="AF3163" i="2"/>
  <c r="AF3162" i="2" s="1"/>
  <c r="AF3160" i="2"/>
  <c r="AF3161" i="2" s="1"/>
  <c r="AF3138" i="2"/>
  <c r="AF3137" i="2" s="1"/>
  <c r="AF3136" i="2"/>
  <c r="AF3122" i="2"/>
  <c r="AF3119" i="2"/>
  <c r="AF3121" i="2" s="1"/>
  <c r="AF3108" i="2"/>
  <c r="AF3107" i="2"/>
  <c r="AF3106" i="2"/>
  <c r="AF3098" i="2"/>
  <c r="AF3095" i="2"/>
  <c r="AF3096" i="2" s="1"/>
  <c r="AF3080" i="2"/>
  <c r="AF3078" i="2"/>
  <c r="AF3076" i="2"/>
  <c r="AF3073" i="2"/>
  <c r="AF3061" i="2"/>
  <c r="AF3059" i="2"/>
  <c r="AF3055" i="2"/>
  <c r="AF3056" i="2" s="1"/>
  <c r="AF3054" i="2"/>
  <c r="AF3051" i="2"/>
  <c r="AF3046" i="2"/>
  <c r="AF3044" i="2"/>
  <c r="AF3042" i="2"/>
  <c r="AF3043" i="2"/>
  <c r="AF3038" i="2"/>
  <c r="AF3036" i="2"/>
  <c r="AF3035" i="2"/>
  <c r="AF3034" i="2"/>
  <c r="AF3033" i="2"/>
  <c r="AF3031" i="2"/>
  <c r="AF3032" i="2" s="1"/>
  <c r="AF3029" i="2"/>
  <c r="AF3025" i="2"/>
  <c r="AF3018" i="2"/>
  <c r="AF3017" i="2"/>
  <c r="AF3016" i="2"/>
  <c r="AF3009" i="2"/>
  <c r="AF3008" i="2"/>
  <c r="AF3007" i="2" s="1"/>
  <c r="AF2994" i="2"/>
  <c r="AF2996" i="2" s="1"/>
  <c r="AF2992" i="2"/>
  <c r="AF2980" i="2"/>
  <c r="AF2979" i="2" s="1"/>
  <c r="AF2977" i="2"/>
  <c r="AF2971" i="2"/>
  <c r="AF2970" i="2"/>
  <c r="AF2969" i="2"/>
  <c r="AF2968" i="2"/>
  <c r="AF2967" i="2"/>
  <c r="AF2955" i="2"/>
  <c r="AF2956" i="2" s="1"/>
  <c r="AF2953" i="2"/>
  <c r="AF2947" i="2"/>
  <c r="AF2948" i="2" s="1"/>
  <c r="AF2939" i="2"/>
  <c r="AF2940" i="2" s="1"/>
  <c r="AF2937" i="2"/>
  <c r="AF2935" i="2"/>
  <c r="AF2936" i="2" s="1"/>
  <c r="AF2921" i="2"/>
  <c r="AF2915" i="2"/>
  <c r="AF2917" i="2" s="1"/>
  <c r="AF2913" i="2"/>
  <c r="AF2912" i="2"/>
  <c r="AF2911" i="2"/>
  <c r="AF2905" i="2"/>
  <c r="AF2906" i="2" s="1"/>
  <c r="AF2904" i="2"/>
  <c r="AF2903" i="2"/>
  <c r="AF2902" i="2"/>
  <c r="AF2901" i="2"/>
  <c r="AF2899" i="2"/>
  <c r="AF2900" i="2" s="1"/>
  <c r="AF2897" i="2"/>
  <c r="AF2885" i="2"/>
  <c r="AF2884" i="2"/>
  <c r="AF2883" i="2" s="1"/>
  <c r="AF2882" i="2"/>
  <c r="AF2880" i="2"/>
  <c r="AF2874" i="2"/>
  <c r="AF2875" i="2" s="1"/>
  <c r="AF2876" i="2"/>
  <c r="AF2869" i="2"/>
  <c r="AF2866" i="2"/>
  <c r="AF2867" i="2" s="1"/>
  <c r="AF2865" i="2"/>
  <c r="AF2861" i="2"/>
  <c r="AF2864" i="2" s="1"/>
  <c r="AF2860" i="2"/>
  <c r="AF2858" i="2"/>
  <c r="AF2855" i="2"/>
  <c r="AF2856" i="2" s="1"/>
  <c r="AF2851" i="2"/>
  <c r="AF2849" i="2"/>
  <c r="AF2844" i="2"/>
  <c r="AF2464" i="2"/>
  <c r="AF2842" i="2"/>
  <c r="AF2840" i="2"/>
  <c r="AF2839" i="2"/>
  <c r="AF2838" i="2"/>
  <c r="AF2837" i="2"/>
  <c r="AF2833" i="2"/>
  <c r="AF2834" i="2" s="1"/>
  <c r="AF2831" i="2"/>
  <c r="AF2832" i="2" s="1"/>
  <c r="AF2828" i="2"/>
  <c r="AF2825" i="2"/>
  <c r="AF2826" i="2" s="1"/>
  <c r="AF2796" i="2"/>
  <c r="AF2795" i="2"/>
  <c r="AF2794" i="2" s="1"/>
  <c r="AF2769" i="2"/>
  <c r="AF2761" i="2"/>
  <c r="AF2760" i="2"/>
  <c r="AF2759" i="2"/>
  <c r="AF2758" i="2"/>
  <c r="AF2757" i="2"/>
  <c r="AF2748" i="2"/>
  <c r="AF2690" i="2"/>
  <c r="AF2689" i="2"/>
  <c r="AF2686" i="2"/>
  <c r="AF2687" i="2" s="1"/>
  <c r="AF2640" i="2"/>
  <c r="AF2638" i="2"/>
  <c r="AF2639" i="2" s="1"/>
  <c r="AF2636" i="2"/>
  <c r="AF2637" i="2" s="1"/>
  <c r="AF2616" i="2"/>
  <c r="AF2614" i="2"/>
  <c r="AF2615" i="2" s="1"/>
  <c r="AF2612" i="2"/>
  <c r="AF2613" i="2" s="1"/>
  <c r="AF2607" i="2"/>
  <c r="AF2597" i="2"/>
  <c r="AF2592" i="2"/>
  <c r="AF2590" i="2"/>
  <c r="AF2588" i="2"/>
  <c r="AF2585" i="2"/>
  <c r="AF2586" i="2" s="1"/>
  <c r="AF2582" i="2"/>
  <c r="AF2584" i="2" s="1"/>
  <c r="AF2580" i="2"/>
  <c r="AF2578" i="2"/>
  <c r="AF2579" i="2" s="1"/>
  <c r="AF2573" i="2"/>
  <c r="AF2569" i="2"/>
  <c r="AF2570" i="2" s="1"/>
  <c r="AF2555" i="2"/>
  <c r="AF2556" i="2" s="1"/>
  <c r="AF2550" i="2"/>
  <c r="AF2548" i="2"/>
  <c r="AF2547" i="2"/>
  <c r="AF2546" i="2"/>
  <c r="AF2540" i="2"/>
  <c r="AF2539" i="2"/>
  <c r="AF2538" i="2"/>
  <c r="AF2534" i="2"/>
  <c r="AF2535" i="2" s="1"/>
  <c r="AF2529" i="2"/>
  <c r="AF2530" i="2" s="1"/>
  <c r="AF2525" i="2"/>
  <c r="AF2524" i="2"/>
  <c r="AF2523" i="2"/>
  <c r="AF2521" i="2"/>
  <c r="AF2520" i="2"/>
  <c r="AF2519" i="2"/>
  <c r="AF2518" i="2" s="1"/>
  <c r="AF2516" i="2"/>
  <c r="AF2517" i="2" s="1"/>
  <c r="AF2514" i="2"/>
  <c r="AF2512" i="2"/>
  <c r="AF2513" i="2" s="1"/>
  <c r="AF2510" i="2"/>
  <c r="AF2511" i="2" s="1"/>
  <c r="AF2509" i="2"/>
  <c r="AF2507" i="2"/>
  <c r="AF2508" i="2" s="1"/>
  <c r="AF2505" i="2"/>
  <c r="AF2506" i="2" s="1"/>
  <c r="AF2503" i="2"/>
  <c r="AF2491" i="2"/>
  <c r="AF2492" i="2" s="1"/>
  <c r="AF2489" i="2"/>
  <c r="AF2490" i="2" s="1"/>
  <c r="AF2487" i="2"/>
  <c r="AF2488" i="2" s="1"/>
  <c r="AF2473" i="2"/>
  <c r="AF2435" i="2"/>
  <c r="AF2433" i="2"/>
  <c r="AF2431" i="2"/>
  <c r="AF2430" i="2"/>
  <c r="AF2429" i="2"/>
  <c r="AF2422" i="2"/>
  <c r="AF2400" i="2"/>
  <c r="AF2399" i="2"/>
  <c r="AF2398" i="2" s="1"/>
  <c r="AF2390" i="2"/>
  <c r="AF2388" i="2"/>
  <c r="AF2389" i="2" s="1"/>
  <c r="AF2386" i="2"/>
  <c r="AF2387" i="2" s="1"/>
  <c r="AF2377" i="2"/>
  <c r="AF2374" i="2"/>
  <c r="AF2375" i="2" s="1"/>
  <c r="AF2370" i="2"/>
  <c r="AF2392" i="2"/>
  <c r="AF2366" i="2"/>
  <c r="AF2365" i="2"/>
  <c r="AF2360" i="2"/>
  <c r="AF2358" i="2"/>
  <c r="AF2359" i="2" s="1"/>
  <c r="AF2355" i="2"/>
  <c r="AF2185" i="2"/>
  <c r="AF2184" i="2"/>
  <c r="AF2187" i="2"/>
  <c r="AF2176" i="2"/>
  <c r="AF2177" i="2" s="1"/>
  <c r="AF2171" i="2"/>
  <c r="AF2175" i="2" s="1"/>
  <c r="AF2170" i="2"/>
  <c r="AF2167" i="2"/>
  <c r="AF2169" i="2" s="1"/>
  <c r="AF2156" i="2"/>
  <c r="AF2157" i="2" s="1"/>
  <c r="AF2151" i="2"/>
  <c r="AF2148" i="2"/>
  <c r="AF2146" i="2"/>
  <c r="AF2145" i="2" s="1"/>
  <c r="AF2144" i="2"/>
  <c r="AF2143" i="2"/>
  <c r="AF2137" i="2"/>
  <c r="AF2125" i="2"/>
  <c r="AF2133" i="2" s="1"/>
  <c r="AF2121" i="2"/>
  <c r="AF2122" i="2" s="1"/>
  <c r="AF2119" i="2"/>
  <c r="AF2120" i="2" s="1"/>
  <c r="AF2118" i="2"/>
  <c r="AF2116" i="2"/>
  <c r="AF2117" i="2" s="1"/>
  <c r="AF2106" i="2"/>
  <c r="AF2107" i="2" s="1"/>
  <c r="AF2103" i="2"/>
  <c r="AF2102" i="2"/>
  <c r="AF2101" i="2"/>
  <c r="AF2099" i="2"/>
  <c r="AF2094" i="2"/>
  <c r="AF2088" i="2"/>
  <c r="AF2089" i="2" s="1"/>
  <c r="AF2086" i="2"/>
  <c r="AF2087" i="2" s="1"/>
  <c r="AF2085" i="2"/>
  <c r="AF2083" i="2"/>
  <c r="AF2080" i="2"/>
  <c r="AF2079" i="2"/>
  <c r="AF2069" i="2"/>
  <c r="AF2067" i="2"/>
  <c r="AF2046" i="2"/>
  <c r="AF2044" i="2"/>
  <c r="AF2038" i="2"/>
  <c r="AF2039" i="2" s="1"/>
  <c r="AF2018" i="2"/>
  <c r="AF1973" i="2"/>
  <c r="AF1971" i="2"/>
  <c r="AF1972" i="2" s="1"/>
  <c r="AF1969" i="2"/>
  <c r="AF1970" i="2" s="1"/>
  <c r="AF1960" i="2"/>
  <c r="AF1914" i="2"/>
  <c r="AF1915" i="2" s="1"/>
  <c r="AF1901" i="2"/>
  <c r="AF1872" i="2"/>
  <c r="AF1870" i="2"/>
  <c r="AF1869" i="2" s="1"/>
  <c r="AF1866" i="2"/>
  <c r="AF1867" i="2" s="1"/>
  <c r="AF1854" i="2"/>
  <c r="AF1855" i="2" s="1"/>
  <c r="AF1851" i="2"/>
  <c r="AF1845" i="2"/>
  <c r="AF1846" i="2" s="1"/>
  <c r="AF1835" i="2"/>
  <c r="AF1820" i="2"/>
  <c r="AF1787" i="2"/>
  <c r="AF1788" i="2" s="1"/>
  <c r="AF1783" i="2"/>
  <c r="AF1784" i="2"/>
  <c r="AF1769" i="2"/>
  <c r="AF1767" i="2"/>
  <c r="AF1768" i="2" s="1"/>
  <c r="AF1741" i="2"/>
  <c r="AF1731" i="2"/>
  <c r="AF1728" i="2"/>
  <c r="AF1729" i="2" s="1"/>
  <c r="AF1724" i="2"/>
  <c r="AF1723" i="2"/>
  <c r="AF1722" i="2" s="1"/>
  <c r="AF1721" i="2"/>
  <c r="AF1718" i="2"/>
  <c r="AF1719" i="2" s="1"/>
  <c r="AF1717" i="2"/>
  <c r="AF1716" i="2"/>
  <c r="AF1715" i="2"/>
  <c r="AF1711" i="2"/>
  <c r="AF1708" i="2"/>
  <c r="AF1709" i="2" s="1"/>
  <c r="AF1706" i="2"/>
  <c r="AF1687" i="2"/>
  <c r="AF1686" i="2"/>
  <c r="AF1685" i="2"/>
  <c r="AF1668" i="2"/>
  <c r="AF1664" i="2"/>
  <c r="AF1665" i="2" s="1"/>
  <c r="AF1663" i="2"/>
  <c r="AF1661" i="2"/>
  <c r="AF1659" i="2"/>
  <c r="AF1658" i="2" s="1"/>
  <c r="AF1656" i="2"/>
  <c r="AF1632" i="2"/>
  <c r="AF1627" i="2"/>
  <c r="AF1626" i="2"/>
  <c r="AF1622" i="2"/>
  <c r="AF1620" i="2"/>
  <c r="AF1619" i="2"/>
  <c r="AF1618" i="2"/>
  <c r="AF1589" i="2"/>
  <c r="AF1588" i="2" s="1"/>
  <c r="AF1586" i="2"/>
  <c r="AF1573" i="2"/>
  <c r="AF1572" i="2" s="1"/>
  <c r="AF1525" i="2"/>
  <c r="AF1421" i="2"/>
  <c r="AF1403" i="2"/>
  <c r="AF1405" i="2" s="1"/>
  <c r="AF1393" i="2"/>
  <c r="AF1394" i="2" s="1"/>
  <c r="AF1391" i="2"/>
  <c r="AF1370" i="2"/>
  <c r="AF1357" i="2"/>
  <c r="AF1354" i="2"/>
  <c r="AF1355" i="2" s="1"/>
  <c r="AF1353" i="2"/>
  <c r="AF1352" i="2" s="1"/>
  <c r="AF1346" i="2"/>
  <c r="AF1348" i="2" s="1"/>
  <c r="AF1308" i="2"/>
  <c r="AF1306" i="2"/>
  <c r="AF1305" i="2" s="1"/>
  <c r="AF1268" i="2"/>
  <c r="AF1269" i="2" s="1"/>
  <c r="AF1266" i="2"/>
  <c r="AF1236" i="2"/>
  <c r="AF1234" i="2"/>
  <c r="AF1233" i="2"/>
  <c r="AF1215" i="2"/>
  <c r="AF1217" i="2" s="1"/>
  <c r="AF1208" i="2"/>
  <c r="AF1194" i="2"/>
  <c r="AF1185" i="2"/>
  <c r="AF1145" i="2"/>
  <c r="AF1143" i="2"/>
  <c r="AF1144" i="2" s="1"/>
  <c r="AF1053" i="2"/>
  <c r="AF1054" i="2" s="1"/>
  <c r="AF1050" i="2"/>
  <c r="AF1049" i="2"/>
  <c r="AF1048" i="2"/>
  <c r="AF1046" i="2"/>
  <c r="AF1047" i="2" s="1"/>
  <c r="AF1009" i="2"/>
  <c r="AF990" i="2"/>
  <c r="AF991" i="2" s="1"/>
  <c r="AF928" i="2"/>
  <c r="AF917" i="2"/>
  <c r="AF916" i="2" s="1"/>
  <c r="AF925" i="2"/>
  <c r="AF924" i="2" s="1"/>
  <c r="AF905" i="2"/>
  <c r="AF907" i="2" s="1"/>
  <c r="AF895" i="2"/>
  <c r="AF894" i="2"/>
  <c r="AF878" i="2"/>
  <c r="AF841" i="2"/>
  <c r="AF760" i="2"/>
  <c r="AF757" i="2"/>
  <c r="AF758" i="2" s="1"/>
  <c r="AF735" i="2"/>
  <c r="AF736" i="2" s="1"/>
  <c r="AF756" i="2"/>
  <c r="AF755" i="2" s="1"/>
  <c r="AF732" i="2"/>
  <c r="AF733" i="2" s="1"/>
  <c r="AF729" i="2"/>
  <c r="AF613" i="2"/>
  <c r="AF612" i="2"/>
  <c r="AF599" i="2"/>
  <c r="AF600" i="2" s="1"/>
  <c r="AF590" i="2"/>
  <c r="AF564" i="2"/>
  <c r="AF560" i="2"/>
  <c r="AF547" i="2"/>
  <c r="AF546" i="2" s="1"/>
  <c r="AF544" i="2"/>
  <c r="AF505" i="2"/>
  <c r="AF335" i="2"/>
  <c r="AF334" i="2"/>
  <c r="AF258" i="2"/>
  <c r="AF253" i="2"/>
  <c r="AF250" i="2"/>
  <c r="AF252" i="2" s="1"/>
  <c r="AF182" i="2"/>
  <c r="AF180" i="2"/>
  <c r="AF168" i="2"/>
  <c r="AF163" i="2"/>
  <c r="AF162" i="2" s="1"/>
  <c r="AF158" i="2"/>
  <c r="AF148" i="2"/>
  <c r="AF137" i="2"/>
  <c r="AF145" i="2"/>
  <c r="AF144" i="2" s="1"/>
  <c r="AF126" i="2"/>
  <c r="AF125" i="2"/>
  <c r="AF113" i="2"/>
  <c r="AF114" i="2" s="1"/>
  <c r="AF108" i="2"/>
  <c r="AF94" i="2"/>
  <c r="AF95" i="2" s="1"/>
  <c r="AF507" i="2"/>
  <c r="AF503" i="2"/>
  <c r="AF504" i="2" s="1"/>
  <c r="AF494" i="2"/>
  <c r="AF495" i="2" s="1"/>
  <c r="AF475" i="2"/>
  <c r="AF465" i="2"/>
  <c r="AF466" i="2" s="1"/>
  <c r="AF395" i="2"/>
  <c r="AF390" i="2"/>
  <c r="AF389" i="2"/>
  <c r="AF379" i="2"/>
  <c r="AF380" i="2" s="1"/>
  <c r="AF332" i="2"/>
  <c r="AF315" i="2"/>
  <c r="AF305" i="2"/>
  <c r="AF298" i="2"/>
  <c r="AF297" i="2"/>
  <c r="AF290" i="2"/>
  <c r="AF283" i="2"/>
  <c r="AF284" i="2" s="1"/>
  <c r="AF279" i="2"/>
  <c r="AF270" i="2"/>
  <c r="AF268" i="2" s="1"/>
  <c r="AF265" i="2"/>
  <c r="AF263" i="2"/>
  <c r="AF246" i="2"/>
  <c r="AF243" i="2"/>
  <c r="AF241" i="2"/>
  <c r="AF242" i="2" s="1"/>
  <c r="AF231" i="2"/>
  <c r="AF230" i="2" s="1"/>
  <c r="AF211" i="2"/>
  <c r="AF223" i="2"/>
  <c r="AF210" i="2"/>
  <c r="AF166" i="2"/>
  <c r="AF136" i="2"/>
  <c r="AF111" i="2"/>
  <c r="AF110" i="2"/>
  <c r="AF91" i="2"/>
  <c r="AF89" i="2"/>
  <c r="AF82" i="2"/>
  <c r="AF59" i="2"/>
  <c r="AF47" i="2"/>
  <c r="AF75" i="2"/>
  <c r="AF6" i="2"/>
  <c r="AF3765" i="2"/>
  <c r="AF29" i="2"/>
  <c r="AF28" i="2"/>
  <c r="AF37" i="2"/>
  <c r="AF3759" i="2"/>
  <c r="AF177" i="2"/>
  <c r="AF3744" i="2"/>
  <c r="AF3680" i="2"/>
  <c r="AF3679" i="2"/>
  <c r="AF3760" i="2"/>
  <c r="AF3761" i="2"/>
  <c r="AF3762" i="2"/>
  <c r="AF175" i="2"/>
  <c r="AF176" i="2"/>
  <c r="AF174" i="2"/>
  <c r="AF3763" i="2"/>
  <c r="AF3764" i="2"/>
  <c r="AF172" i="2"/>
  <c r="AF173" i="2"/>
  <c r="AF3401" i="2"/>
  <c r="AF3743" i="2"/>
  <c r="AF3400" i="2"/>
  <c r="AF3758" i="2"/>
  <c r="AF3757" i="2"/>
  <c r="AF3756" i="2"/>
  <c r="AF3721" i="2"/>
  <c r="AF3755" i="2"/>
  <c r="AF3754" i="2"/>
  <c r="AF3753" i="2"/>
  <c r="AF3719" i="2"/>
  <c r="AF3720" i="2"/>
  <c r="AF3745" i="2"/>
  <c r="AF2446" i="2"/>
  <c r="AF81" i="2"/>
  <c r="AF2447" i="2"/>
  <c r="AF80" i="2"/>
  <c r="AF3383" i="2"/>
  <c r="AF3382" i="2"/>
  <c r="AF3746" i="2"/>
  <c r="AF3714" i="2"/>
  <c r="AF3715" i="2"/>
  <c r="AF3747" i="2"/>
  <c r="AF3748" i="2"/>
  <c r="AF3749" i="2"/>
  <c r="AF3750" i="2"/>
  <c r="AF3751" i="2"/>
  <c r="AF3752" i="2"/>
  <c r="AF3718" i="2"/>
  <c r="AF3717" i="2"/>
  <c r="AF3694" i="2"/>
  <c r="AF3710" i="2"/>
  <c r="AF278" i="2"/>
  <c r="AF275" i="2"/>
  <c r="AF276" i="2"/>
  <c r="AF3711" i="2"/>
  <c r="AF2093" i="2"/>
  <c r="AF277" i="2"/>
  <c r="AF2092" i="2"/>
  <c r="AF3742" i="2"/>
  <c r="AF3731" i="2"/>
  <c r="AF3732" i="2"/>
  <c r="AF3589" i="2"/>
  <c r="AF3734" i="2"/>
  <c r="AF3741" i="2"/>
  <c r="AF3738" i="2"/>
  <c r="AF3739" i="2"/>
  <c r="AF3740" i="2"/>
  <c r="AF3736" i="2"/>
  <c r="AF3737" i="2"/>
  <c r="AF3733" i="2"/>
  <c r="AF3735" i="2"/>
  <c r="AF3709" i="2"/>
  <c r="AF3724" i="2"/>
  <c r="AF3716" i="2"/>
  <c r="AF3704" i="2"/>
  <c r="AF3725" i="2"/>
  <c r="AF3726" i="2"/>
  <c r="AF3727" i="2"/>
  <c r="AF3728" i="2"/>
  <c r="AF3729" i="2"/>
  <c r="AF3730" i="2"/>
  <c r="AF3063" i="2"/>
  <c r="AF3062" i="2"/>
  <c r="AF1653" i="2"/>
  <c r="AF3690" i="2"/>
  <c r="AF3691" i="2"/>
  <c r="AF299" i="2"/>
  <c r="AF3705" i="2"/>
  <c r="AF3706" i="2"/>
  <c r="AF2587" i="2"/>
  <c r="AF54" i="2"/>
  <c r="AF559" i="2"/>
  <c r="AF3708" i="2"/>
  <c r="AF3707" i="2"/>
  <c r="AF56" i="2"/>
  <c r="AF55" i="2"/>
  <c r="AF3647" i="2"/>
  <c r="AF57" i="2"/>
  <c r="AF3646" i="2"/>
  <c r="AF3703" i="2"/>
  <c r="AF58" i="2"/>
  <c r="AF2077" i="2"/>
  <c r="AF2078" i="2"/>
  <c r="AF3673" i="2"/>
  <c r="AF100" i="2"/>
  <c r="AF101" i="2"/>
  <c r="AF102" i="2"/>
  <c r="AF3672" i="2"/>
  <c r="AF103" i="2"/>
  <c r="AF3687" i="2"/>
  <c r="AF104" i="2"/>
  <c r="AF2243" i="2"/>
  <c r="AF3517" i="2"/>
  <c r="AF3509" i="2"/>
  <c r="AF589" i="2"/>
  <c r="AF2242" i="2"/>
  <c r="AF3649" i="2"/>
  <c r="AF3671" i="2"/>
  <c r="AF3648" i="2"/>
  <c r="AF980" i="2"/>
  <c r="AF979" i="2"/>
  <c r="AF3104" i="2"/>
  <c r="AF3105" i="2"/>
  <c r="AF978" i="2"/>
  <c r="AF984" i="2"/>
  <c r="AF983" i="2"/>
  <c r="AF982" i="2"/>
  <c r="AF3684" i="2"/>
  <c r="AF3683" i="2"/>
  <c r="AF981" i="2"/>
  <c r="AF3682" i="2"/>
  <c r="AF3681" i="2"/>
  <c r="AF914" i="2"/>
  <c r="AF915" i="2"/>
  <c r="AF3665" i="2"/>
  <c r="AF3662" i="2"/>
  <c r="AF3661" i="2"/>
  <c r="AF3660" i="2"/>
  <c r="AF3659" i="2"/>
  <c r="AF1778" i="2"/>
  <c r="AF3524" i="2"/>
  <c r="AF3657" i="2"/>
  <c r="AF3658" i="2"/>
  <c r="AF236" i="2"/>
  <c r="AF235" i="2"/>
  <c r="AF237" i="2"/>
  <c r="AF238" i="2"/>
  <c r="AF234" i="2"/>
  <c r="AF239" i="2"/>
  <c r="AF240" i="2"/>
  <c r="AF3624" i="2"/>
  <c r="AF3566" i="2"/>
  <c r="AF3567" i="2"/>
  <c r="AF3568" i="2"/>
  <c r="AF3653" i="2"/>
  <c r="AF3654" i="2"/>
  <c r="AF3623" i="2"/>
  <c r="AF3580" i="2"/>
  <c r="AF3579" i="2"/>
  <c r="AF3588" i="2"/>
  <c r="AF3587" i="2"/>
  <c r="AF3614" i="2"/>
  <c r="AF3613" i="2"/>
  <c r="AF3612" i="2"/>
  <c r="AF3611" i="2"/>
  <c r="AF3608" i="2"/>
  <c r="AF3602" i="2"/>
  <c r="AF160" i="2"/>
  <c r="AF3618" i="2"/>
  <c r="AF159" i="2"/>
  <c r="AF3617" i="2"/>
  <c r="AF524" i="2"/>
  <c r="AF3578" i="2"/>
  <c r="AF523" i="2"/>
  <c r="AF3609" i="2"/>
  <c r="AF3622" i="2"/>
  <c r="AF3621" i="2"/>
  <c r="AF3585" i="2"/>
  <c r="AF3586" i="2"/>
  <c r="AF3572" i="2"/>
  <c r="AF934" i="2"/>
  <c r="AF3583" i="2"/>
  <c r="AF3582" i="2"/>
  <c r="AF3124" i="2"/>
  <c r="AF3537" i="2"/>
  <c r="AF3539" i="2"/>
  <c r="AF2267" i="2"/>
  <c r="AF3597" i="2"/>
  <c r="AF3584" i="2"/>
  <c r="AF3601" i="2"/>
  <c r="AF2195" i="2"/>
  <c r="AF3538" i="2"/>
  <c r="AF3543" i="2"/>
  <c r="AF3581" i="2"/>
  <c r="AF3610" i="2"/>
  <c r="AF154" i="2"/>
  <c r="AF155" i="2"/>
  <c r="AF767" i="2"/>
  <c r="AF3378" i="2"/>
  <c r="AF3379" i="2"/>
  <c r="AF150" i="2"/>
  <c r="AF151" i="2"/>
  <c r="AF1170" i="2"/>
  <c r="AF3387" i="2"/>
  <c r="AF3556" i="2"/>
  <c r="AF3555" i="2"/>
  <c r="AF3565" i="2"/>
  <c r="AF153" i="2"/>
  <c r="AF3546" i="2"/>
  <c r="AF3547" i="2"/>
  <c r="AF152" i="2"/>
  <c r="AF3554" i="2"/>
  <c r="AF3563" i="2"/>
  <c r="AF3564" i="2"/>
  <c r="AF3553" i="2"/>
  <c r="AF3552" i="2"/>
  <c r="AF3551" i="2"/>
  <c r="AF3562" i="2"/>
  <c r="AF3550" i="2"/>
  <c r="AF3549" i="2"/>
  <c r="AF3545" i="2"/>
  <c r="AF3561" i="2"/>
  <c r="AF1073" i="2"/>
  <c r="AF1074" i="2"/>
  <c r="AF3544" i="2"/>
  <c r="AF3600" i="2"/>
  <c r="AF3447" i="2"/>
  <c r="AF3420" i="2"/>
  <c r="AF3534" i="2"/>
  <c r="AF3533" i="2"/>
  <c r="AF3532" i="2"/>
  <c r="AF3531" i="2"/>
  <c r="AF3560" i="2"/>
  <c r="AF3557" i="2"/>
  <c r="AF3558" i="2"/>
  <c r="AF927" i="2"/>
  <c r="AF3559" i="2"/>
  <c r="AF748" i="2"/>
  <c r="AF1670" i="2"/>
  <c r="AF747" i="2"/>
  <c r="AF1452" i="2"/>
  <c r="AF3211" i="2"/>
  <c r="AF746" i="2"/>
  <c r="AF1671" i="2"/>
  <c r="AF1672" i="2"/>
  <c r="AF1453" i="2"/>
  <c r="AF1931" i="2"/>
  <c r="AF745" i="2"/>
  <c r="AF750" i="2"/>
  <c r="AF1454" i="2"/>
  <c r="AF3516" i="2"/>
  <c r="AF749" i="2"/>
  <c r="AF761" i="2"/>
  <c r="AF3515" i="2"/>
  <c r="AF3514" i="2"/>
  <c r="AF3513" i="2"/>
  <c r="AF3480" i="2"/>
  <c r="AF3481" i="2"/>
  <c r="AF3511" i="2"/>
  <c r="AF3512" i="2"/>
  <c r="AF3257" i="2"/>
  <c r="AF3510" i="2"/>
  <c r="AF3508" i="2"/>
  <c r="AF3458" i="2"/>
  <c r="AF3256" i="2"/>
  <c r="AF3519" i="2"/>
  <c r="AF3518" i="2"/>
  <c r="AF3467" i="2"/>
  <c r="AF3526" i="2"/>
  <c r="AF3527" i="2"/>
  <c r="AF1169" i="2"/>
  <c r="AF3528" i="2"/>
  <c r="AF3529" i="2"/>
  <c r="AF3456" i="2"/>
  <c r="AF198" i="2"/>
  <c r="AF199" i="2"/>
  <c r="AF3462" i="2"/>
  <c r="AF196" i="2"/>
  <c r="AF197" i="2"/>
  <c r="AF498" i="2"/>
  <c r="AF3471" i="2"/>
  <c r="AF3427" i="2"/>
  <c r="AF3428" i="2"/>
  <c r="AF3319" i="2"/>
  <c r="AF3494" i="2"/>
  <c r="AF3470" i="2"/>
  <c r="AF3495" i="2"/>
  <c r="AF3496" i="2"/>
  <c r="AF3497" i="2"/>
  <c r="AF3505" i="2"/>
  <c r="AF3503" i="2"/>
  <c r="AF3504" i="2"/>
  <c r="AF1667" i="2"/>
  <c r="AF3502" i="2"/>
  <c r="AF1479" i="2"/>
  <c r="AF3320" i="2"/>
  <c r="AF50" i="2"/>
  <c r="AF3498" i="2"/>
  <c r="AF3488" i="2"/>
  <c r="AF3489" i="2"/>
  <c r="AF3499" i="2"/>
  <c r="AF3501" i="2"/>
  <c r="AF3500" i="2"/>
  <c r="AF1569" i="2"/>
  <c r="AF3486" i="2"/>
  <c r="AF3487" i="2"/>
  <c r="AF3484" i="2"/>
  <c r="AF3485" i="2"/>
  <c r="AF1568" i="2"/>
  <c r="AF1377" i="2"/>
  <c r="AF3306" i="2"/>
  <c r="AF187" i="2"/>
  <c r="AF188" i="2"/>
  <c r="AF3455" i="2"/>
  <c r="AF189" i="2"/>
  <c r="AF1879" i="2"/>
  <c r="AF190" i="2"/>
  <c r="AF3525" i="2"/>
  <c r="AF1382" i="2"/>
  <c r="AF1207" i="2"/>
  <c r="AF1878" i="2"/>
  <c r="AF1206" i="2"/>
  <c r="AF1205" i="2"/>
  <c r="AF3363" i="2"/>
  <c r="AF1204" i="2"/>
  <c r="AF3445" i="2"/>
  <c r="AF3446" i="2"/>
  <c r="AF3443" i="2"/>
  <c r="AF3444" i="2"/>
  <c r="AF3415" i="2"/>
  <c r="AF3450" i="2"/>
  <c r="AF3491" i="2"/>
  <c r="AF3490" i="2"/>
  <c r="AF1497" i="2"/>
  <c r="AF171" i="2"/>
  <c r="AF1467" i="2"/>
  <c r="AF1575" i="2"/>
  <c r="AF39" i="2"/>
  <c r="AF46" i="2"/>
  <c r="AF1471" i="2"/>
  <c r="AF1472" i="2"/>
  <c r="AF3453" i="2"/>
  <c r="AF3454" i="2"/>
  <c r="AF3305" i="2"/>
  <c r="AF2057" i="2"/>
  <c r="AF2037" i="2"/>
  <c r="AF1466" i="2"/>
  <c r="AF285" i="2"/>
  <c r="AF286" i="2"/>
  <c r="AF3451" i="2"/>
  <c r="AF3452" i="2"/>
  <c r="AF1858" i="2"/>
  <c r="AF1859" i="2"/>
  <c r="AF1860" i="2"/>
  <c r="AF1861" i="2"/>
  <c r="AF604" i="2"/>
  <c r="AF3466" i="2"/>
  <c r="AF1005" i="2"/>
  <c r="AF3465" i="2"/>
  <c r="AF1003" i="2"/>
  <c r="AF3338" i="2"/>
  <c r="AF3464" i="2"/>
  <c r="AF3459" i="2"/>
  <c r="AF1004" i="2"/>
  <c r="AF362" i="2"/>
  <c r="AF1315" i="2"/>
  <c r="AF3463" i="2"/>
  <c r="AF561" i="2"/>
  <c r="AF1425" i="2"/>
  <c r="AF1424" i="2"/>
  <c r="AF562" i="2"/>
  <c r="AF3460" i="2"/>
  <c r="AF292" i="2"/>
  <c r="AF3473" i="2"/>
  <c r="AF3475" i="2"/>
  <c r="AF3474" i="2"/>
  <c r="AF904" i="2"/>
  <c r="AF3461" i="2"/>
  <c r="AF3472" i="2"/>
  <c r="AF1862" i="2"/>
  <c r="AF1863" i="2"/>
  <c r="AF1864" i="2"/>
  <c r="AF1865" i="2"/>
  <c r="AF1814" i="2"/>
  <c r="AF3437" i="2"/>
  <c r="AF3436" i="2"/>
  <c r="AF1345" i="2"/>
  <c r="AF1418" i="2"/>
  <c r="AF687" i="2"/>
  <c r="AF688" i="2"/>
  <c r="AF1131" i="2"/>
  <c r="AF683" i="2"/>
  <c r="AF684" i="2"/>
  <c r="AF685" i="2"/>
  <c r="AF686" i="2"/>
  <c r="AF689" i="2"/>
  <c r="AF690" i="2"/>
  <c r="AF3345" i="2"/>
  <c r="AF1130" i="2"/>
  <c r="AF65" i="2"/>
  <c r="AF1551" i="2"/>
  <c r="AF1813" i="2"/>
  <c r="AF3431" i="2"/>
  <c r="AF3435" i="2"/>
  <c r="AF64" i="2"/>
  <c r="AF3432" i="2"/>
  <c r="AF693" i="2"/>
  <c r="AF694" i="2"/>
  <c r="AF695" i="2"/>
  <c r="AF696" i="2"/>
  <c r="AF1812" i="2"/>
  <c r="AF3239" i="2"/>
  <c r="AF691" i="2"/>
  <c r="AF692" i="2"/>
  <c r="AF697" i="2"/>
  <c r="AF698" i="2"/>
  <c r="AF3434" i="2"/>
  <c r="AF3433" i="2"/>
  <c r="AF3430" i="2"/>
  <c r="AF3429" i="2"/>
  <c r="AF72" i="2"/>
  <c r="AF3448" i="2"/>
  <c r="AF703" i="2"/>
  <c r="AF704" i="2"/>
  <c r="AF705" i="2"/>
  <c r="AF706" i="2"/>
  <c r="AF3449" i="2"/>
  <c r="AF699" i="2"/>
  <c r="AF700" i="2"/>
  <c r="AF701" i="2"/>
  <c r="AF702" i="2"/>
  <c r="AF1288" i="2"/>
  <c r="AF3349" i="2"/>
  <c r="AF1312" i="2"/>
  <c r="AF3348" i="2"/>
  <c r="AF1313" i="2"/>
  <c r="AF1923" i="2"/>
  <c r="AF994" i="2"/>
  <c r="AF995" i="2"/>
  <c r="AF3335" i="2"/>
  <c r="AF2824" i="2"/>
  <c r="AF3388" i="2"/>
  <c r="AF3389" i="2"/>
  <c r="AF3376" i="2"/>
  <c r="AF3377" i="2"/>
  <c r="AF3384" i="2"/>
  <c r="AF3372" i="2"/>
  <c r="AF3373" i="2"/>
  <c r="AF3374" i="2"/>
  <c r="AF3375" i="2"/>
  <c r="AF3370" i="2"/>
  <c r="AF3371" i="2"/>
  <c r="AF3368" i="2"/>
  <c r="AF3369" i="2"/>
  <c r="AF3421" i="2"/>
  <c r="AF3422" i="2"/>
  <c r="AF3423" i="2"/>
  <c r="AF3424" i="2"/>
  <c r="AF1535" i="2"/>
  <c r="AF115" i="2"/>
  <c r="AF116" i="2"/>
  <c r="AF117" i="2"/>
  <c r="AF118" i="2"/>
  <c r="AF3390" i="2"/>
  <c r="AF3391" i="2"/>
  <c r="AF3440" i="2"/>
  <c r="AF603" i="2"/>
  <c r="AF3360" i="2"/>
  <c r="AF3361" i="2"/>
  <c r="AF3358" i="2"/>
  <c r="AF3359" i="2"/>
  <c r="AF3414" i="2"/>
  <c r="AF3413" i="2"/>
  <c r="AF3386" i="2"/>
  <c r="AF3288" i="2"/>
  <c r="AF3356" i="2"/>
  <c r="AF3357" i="2"/>
  <c r="AF3354" i="2"/>
  <c r="AF3355" i="2"/>
  <c r="AF415" i="2"/>
  <c r="AF3352" i="2"/>
  <c r="AF3353" i="2"/>
  <c r="AF3350" i="2"/>
  <c r="AF3351" i="2"/>
  <c r="AF71" i="2"/>
  <c r="AF1697" i="2"/>
  <c r="AF1698" i="2"/>
  <c r="AF1689" i="2"/>
  <c r="AF1690" i="2"/>
  <c r="AF1691" i="2"/>
  <c r="AF1692" i="2"/>
  <c r="AF1693" i="2"/>
  <c r="AF1694" i="2"/>
  <c r="AF1695" i="2"/>
  <c r="AF1696" i="2"/>
  <c r="AF1055" i="2"/>
  <c r="AF1056" i="2"/>
  <c r="AF1534" i="2"/>
  <c r="AF3344" i="2"/>
  <c r="AF3315" i="2"/>
  <c r="AF3316" i="2"/>
  <c r="AF2058" i="2"/>
  <c r="AF3366" i="2"/>
  <c r="AF3367" i="2"/>
  <c r="AF3231" i="2"/>
  <c r="AF1571" i="2"/>
  <c r="AF3362" i="2"/>
  <c r="AF3318" i="2"/>
  <c r="AF3317" i="2"/>
  <c r="AF611" i="2"/>
  <c r="AF3385" i="2"/>
  <c r="AF1374" i="2"/>
  <c r="AF359" i="2"/>
  <c r="AF304" i="2"/>
  <c r="AF1292" i="2"/>
  <c r="AF303" i="2"/>
  <c r="AF3325" i="2"/>
  <c r="AF3314" i="2"/>
  <c r="AF3313" i="2"/>
  <c r="AF3326" i="2"/>
  <c r="AF3327" i="2"/>
  <c r="AF2205" i="2"/>
  <c r="AF1529" i="2"/>
  <c r="AF2014" i="2"/>
  <c r="AF3346" i="2"/>
  <c r="AF3347" i="2"/>
  <c r="AF357" i="2"/>
  <c r="AF358" i="2"/>
  <c r="AF2015" i="2"/>
  <c r="AF3337" i="2"/>
  <c r="AF3330" i="2"/>
  <c r="AF3329" i="2"/>
  <c r="AF1617" i="2"/>
  <c r="AF1917" i="2"/>
  <c r="AF1918" i="2"/>
  <c r="AF1965" i="2"/>
  <c r="AF1919" i="2"/>
  <c r="AF784" i="2"/>
  <c r="AF2206" i="2"/>
  <c r="AF783" i="2"/>
  <c r="AF1920" i="2"/>
  <c r="AF1344" i="2"/>
  <c r="AF1921" i="2"/>
  <c r="AF3220" i="2"/>
  <c r="AF1922" i="2"/>
  <c r="AF44" i="2"/>
  <c r="AF45" i="2"/>
  <c r="AF2207" i="2"/>
  <c r="AF1186" i="2"/>
  <c r="AF1798" i="2"/>
  <c r="AF3299" i="2"/>
  <c r="AF1799" i="2"/>
  <c r="AF1800" i="2"/>
  <c r="AF1550" i="2"/>
  <c r="AF3286" i="2"/>
  <c r="AF3287" i="2"/>
  <c r="AF1195" i="2"/>
  <c r="AF1196" i="2"/>
  <c r="AF1197" i="2"/>
  <c r="AF1198" i="2"/>
  <c r="AF3293" i="2"/>
  <c r="AF3294" i="2"/>
  <c r="AF887" i="2"/>
  <c r="AF1388" i="2"/>
  <c r="AF3250" i="2"/>
  <c r="AF3251" i="2"/>
  <c r="AF1387" i="2"/>
  <c r="AF426" i="2"/>
  <c r="AF1023" i="2"/>
  <c r="AF1024" i="2"/>
  <c r="AF1680" i="2"/>
  <c r="AF1386" i="2"/>
  <c r="AF1385" i="2"/>
  <c r="AF1964" i="2"/>
  <c r="AF130" i="2"/>
  <c r="AF1496" i="2"/>
  <c r="AF1793" i="2"/>
  <c r="AF1792" i="2"/>
  <c r="AF1791" i="2"/>
  <c r="AF1963" i="2"/>
  <c r="AF657" i="2"/>
  <c r="AF1868" i="2"/>
  <c r="AF1805" i="2"/>
  <c r="AF3204" i="2"/>
  <c r="AF365" i="2"/>
  <c r="AF3275" i="2"/>
  <c r="AF3269" i="2"/>
  <c r="AF333" i="2"/>
  <c r="AF164" i="2"/>
  <c r="AF165" i="2"/>
  <c r="AF654" i="2"/>
  <c r="AF1916" i="2"/>
  <c r="AF1795" i="2"/>
  <c r="AF1909" i="2"/>
  <c r="AF364" i="2"/>
  <c r="AF1794" i="2"/>
  <c r="AF1801" i="2"/>
  <c r="AF2946" i="2"/>
  <c r="AF3439" i="2"/>
  <c r="AF2961" i="2"/>
  <c r="AF1279" i="2"/>
  <c r="AF1913" i="2"/>
  <c r="AF1967" i="2"/>
  <c r="AF2960" i="2"/>
  <c r="AF1968" i="2"/>
  <c r="AF2976" i="2"/>
  <c r="AF1912" i="2"/>
  <c r="AF3270" i="2"/>
  <c r="AF1966" i="2"/>
  <c r="AF1804" i="2"/>
  <c r="AF232" i="2"/>
  <c r="AF1911" i="2"/>
  <c r="AF1900" i="2"/>
  <c r="AF2873" i="2"/>
  <c r="AF1493" i="2"/>
  <c r="AF1494" i="2"/>
  <c r="AF1803" i="2"/>
  <c r="AF3165" i="2"/>
  <c r="AF2959" i="2"/>
  <c r="AF658" i="2"/>
  <c r="AF659" i="2"/>
  <c r="AF2872" i="2"/>
  <c r="AF3265" i="2"/>
  <c r="AF1910" i="2"/>
  <c r="AF3069" i="2"/>
  <c r="AF2958" i="2"/>
  <c r="AF2975" i="2"/>
  <c r="AF233" i="2"/>
  <c r="AF1949" i="2"/>
  <c r="AF1802" i="2"/>
  <c r="AF1899" i="2"/>
  <c r="AF1491" i="2"/>
  <c r="AF1492" i="2"/>
  <c r="AF3068" i="2"/>
  <c r="AF1948" i="2"/>
  <c r="AF1947" i="2"/>
  <c r="AF2871" i="2"/>
  <c r="AF2957" i="2"/>
  <c r="AF3278" i="2"/>
  <c r="AF3279" i="2"/>
  <c r="AF2974" i="2"/>
  <c r="AF1946" i="2"/>
  <c r="AF2870" i="2"/>
  <c r="AF1957" i="2"/>
  <c r="AF3066" i="2"/>
  <c r="AF3067" i="2"/>
  <c r="AF2973" i="2"/>
  <c r="AF1955" i="2"/>
  <c r="AF1956" i="2"/>
  <c r="AF3050" i="2"/>
  <c r="AF1954" i="2"/>
  <c r="AF3064" i="2"/>
  <c r="AF3255" i="2"/>
  <c r="AF3264" i="2"/>
  <c r="AF3065" i="2"/>
  <c r="AF3164" i="2"/>
  <c r="AF1953" i="2"/>
  <c r="AF3254" i="2"/>
  <c r="AF1951" i="2"/>
  <c r="AF1952" i="2"/>
  <c r="AF1950" i="2"/>
  <c r="AF3145" i="2"/>
  <c r="AF3147" i="2"/>
  <c r="AF3146" i="2"/>
  <c r="AF1797" i="2"/>
  <c r="AF1958" i="2"/>
  <c r="AF1959" i="2"/>
  <c r="AF1796" i="2"/>
  <c r="AF86" i="2"/>
  <c r="AF3005" i="2"/>
  <c r="AF1549" i="2"/>
  <c r="AF3001" i="2"/>
  <c r="AF3004" i="2"/>
  <c r="AF2486" i="2"/>
  <c r="AF3003" i="2"/>
  <c r="AF1548" i="2"/>
  <c r="AF2575" i="2"/>
  <c r="AF2823" i="2"/>
  <c r="AF3002" i="2"/>
  <c r="AF2998" i="2"/>
  <c r="AF2649" i="2"/>
  <c r="AF2648" i="2"/>
  <c r="AF1223" i="2"/>
  <c r="AF2485" i="2"/>
  <c r="AF2999" i="2"/>
  <c r="AF3144" i="2"/>
  <c r="AF3159" i="2"/>
  <c r="AF3235" i="2"/>
  <c r="AF2822" i="2"/>
  <c r="AF3234" i="2"/>
  <c r="AF3000" i="2"/>
  <c r="AF3232" i="2"/>
  <c r="AF3233" i="2"/>
  <c r="AF1222" i="2"/>
  <c r="AF3158" i="2"/>
  <c r="AF1221" i="2"/>
  <c r="AF1850" i="2"/>
  <c r="AF874" i="2"/>
  <c r="AF875" i="2"/>
  <c r="AF1442" i="2"/>
  <c r="AF1940" i="2"/>
  <c r="AF1941" i="2"/>
  <c r="AF2186" i="2"/>
  <c r="AF2786" i="2"/>
  <c r="AF2787" i="2"/>
  <c r="AF2788" i="2"/>
  <c r="AF2789" i="2"/>
  <c r="AF2790" i="2"/>
  <c r="AF2791" i="2"/>
  <c r="AF2792" i="2"/>
  <c r="AF2793" i="2"/>
  <c r="AF3157" i="2"/>
  <c r="AF3203" i="2"/>
  <c r="AF3225" i="2"/>
  <c r="AF3226" i="2"/>
  <c r="AF3240" i="2"/>
  <c r="AF3241" i="2"/>
  <c r="AF3117" i="2"/>
  <c r="AF3118" i="2"/>
  <c r="AF1849" i="2"/>
  <c r="AF3155" i="2"/>
  <c r="AF3156" i="2"/>
  <c r="AF3116" i="2"/>
  <c r="AF3148" i="2"/>
  <c r="AF3149" i="2"/>
  <c r="AF3154" i="2"/>
  <c r="AF2835" i="2"/>
  <c r="AF2836" i="2"/>
  <c r="AF1962" i="2"/>
  <c r="AF2574" i="2"/>
  <c r="AF3115" i="2"/>
  <c r="AF3190" i="2"/>
  <c r="AF3151" i="2"/>
  <c r="AF3150" i="2"/>
  <c r="AF2091" i="2"/>
  <c r="AF2821" i="2"/>
  <c r="AF1848" i="2"/>
  <c r="AF3153" i="2"/>
  <c r="AF3189" i="2"/>
  <c r="AF3141" i="2"/>
  <c r="AF3152" i="2"/>
  <c r="AF2646" i="2"/>
  <c r="AF2647" i="2"/>
  <c r="AF3140" i="2"/>
  <c r="AF1547" i="2"/>
  <c r="AF2484" i="2"/>
  <c r="AF2988" i="2"/>
  <c r="AF2989" i="2"/>
  <c r="AF2990" i="2"/>
  <c r="AF2991" i="2"/>
  <c r="AF3187" i="2"/>
  <c r="AF3188" i="2"/>
  <c r="AF1666" i="2"/>
  <c r="AF1837" i="2"/>
  <c r="AF1838" i="2"/>
  <c r="AF1839" i="2"/>
  <c r="AF1843" i="2"/>
  <c r="AF1844" i="2"/>
  <c r="AF2820" i="2"/>
  <c r="AF2437" i="2"/>
  <c r="AF3110" i="2"/>
  <c r="AF3109" i="2"/>
  <c r="AF2644" i="2"/>
  <c r="AF2645" i="2"/>
  <c r="AF3185" i="2"/>
  <c r="AF3186" i="2"/>
  <c r="AF1938" i="2"/>
  <c r="AF1939" i="2"/>
  <c r="AF2723" i="2"/>
  <c r="AF3183" i="2"/>
  <c r="AF3184" i="2"/>
  <c r="AF3049" i="2"/>
  <c r="AF1898" i="2"/>
  <c r="AF2724" i="2"/>
  <c r="AF2642" i="2"/>
  <c r="AF3111" i="2"/>
  <c r="AF3112" i="2"/>
  <c r="AF2643" i="2"/>
  <c r="AF1383" i="2"/>
  <c r="AF1384" i="2"/>
  <c r="AF3219" i="2"/>
  <c r="AF3263" i="2"/>
  <c r="AF2894" i="2"/>
  <c r="AF1933" i="2"/>
  <c r="AF360" i="2"/>
  <c r="AF361" i="2"/>
  <c r="AF378" i="2"/>
  <c r="AF1936" i="2"/>
  <c r="AF1937" i="2"/>
  <c r="AF2070" i="2"/>
  <c r="AF2987" i="2"/>
  <c r="AF3218" i="2"/>
  <c r="AF1935" i="2"/>
  <c r="AF2725" i="2"/>
  <c r="AF1934" i="2"/>
  <c r="AF2890" i="2"/>
  <c r="AF1790" i="2"/>
  <c r="AF2893" i="2"/>
  <c r="AF3114" i="2"/>
  <c r="AF3113" i="2"/>
  <c r="AF3217" i="2"/>
  <c r="AF1881" i="2"/>
  <c r="AF1882" i="2"/>
  <c r="AF1883" i="2"/>
  <c r="AF1884" i="2"/>
  <c r="AF2726" i="2"/>
  <c r="AF2944" i="2"/>
  <c r="AF2945" i="2"/>
  <c r="AF3132" i="2"/>
  <c r="AF3133" i="2"/>
  <c r="AF3134" i="2"/>
  <c r="AF3135" i="2"/>
  <c r="AF1929" i="2"/>
  <c r="AF1932" i="2"/>
  <c r="AF2889" i="2"/>
  <c r="AF2892" i="2"/>
  <c r="AF2727" i="2"/>
  <c r="AF1897" i="2"/>
  <c r="AF1928" i="2"/>
  <c r="AF294" i="2"/>
  <c r="AF2776" i="2"/>
  <c r="AF1818" i="2"/>
  <c r="AF3216" i="2"/>
  <c r="AF1825" i="2"/>
  <c r="AF2986" i="2"/>
  <c r="AF3086" i="2"/>
  <c r="AF1368" i="2"/>
  <c r="AF1369" i="2"/>
  <c r="AF1926" i="2"/>
  <c r="AF1927" i="2"/>
  <c r="AF2533" i="2"/>
  <c r="AF2728" i="2"/>
  <c r="AF2888" i="2"/>
  <c r="AF2985" i="2"/>
  <c r="AF1942" i="2"/>
  <c r="AF1943" i="2"/>
  <c r="AF1944" i="2"/>
  <c r="AF1945" i="2"/>
  <c r="AF1824" i="2"/>
  <c r="AF2744" i="2"/>
  <c r="AF2887" i="2"/>
  <c r="AF1823" i="2"/>
  <c r="AF1896" i="2"/>
  <c r="AF2545" i="2"/>
  <c r="AF3085" i="2"/>
  <c r="AF2891" i="2"/>
  <c r="AF2984" i="2"/>
  <c r="AF2745" i="2"/>
  <c r="AF1895" i="2"/>
  <c r="AF2495" i="2"/>
  <c r="AF1833" i="2"/>
  <c r="AF1766" i="2"/>
  <c r="AF2340" i="2"/>
  <c r="AF2341" i="2"/>
  <c r="AF2342" i="2"/>
  <c r="AF2949" i="2"/>
  <c r="AF2950" i="2"/>
  <c r="AF2951" i="2"/>
  <c r="AF2952" i="2"/>
  <c r="AF2746" i="2"/>
  <c r="AF2747" i="2"/>
  <c r="AF2483" i="2"/>
  <c r="AF1789" i="2"/>
  <c r="AF2544" i="2"/>
  <c r="AF2493" i="2"/>
  <c r="AF2438" i="2"/>
  <c r="AF62" i="2"/>
  <c r="AF2163" i="2"/>
  <c r="AF2164" i="2"/>
  <c r="AF2165" i="2"/>
  <c r="AF2962" i="2"/>
  <c r="AF2963" i="2"/>
  <c r="AF2964" i="2"/>
  <c r="AF2965" i="2"/>
  <c r="AF295" i="2"/>
  <c r="AF2494" i="2"/>
  <c r="AF3244" i="2"/>
  <c r="AF2983" i="2"/>
  <c r="AF2071" i="2"/>
  <c r="AF2768" i="2"/>
  <c r="AF2767" i="2"/>
  <c r="AF1930" i="2"/>
  <c r="AF2896" i="2"/>
  <c r="AF2982" i="2"/>
  <c r="AF2981" i="2"/>
  <c r="AF3084" i="2"/>
  <c r="AF3083" i="2"/>
  <c r="AF2895" i="2"/>
  <c r="AF3070" i="2"/>
  <c r="AF2482" i="2"/>
  <c r="AF3091" i="2"/>
  <c r="AF3092" i="2"/>
  <c r="AF3170" i="2"/>
  <c r="AF3171" i="2"/>
  <c r="AF3242" i="2"/>
  <c r="AF3243" i="2"/>
  <c r="AF3087" i="2"/>
  <c r="AF42" i="2"/>
  <c r="AF43" i="2"/>
  <c r="AF2481" i="2"/>
  <c r="AF142" i="2"/>
  <c r="AF143" i="2"/>
  <c r="AF140" i="2"/>
  <c r="AF139" i="2"/>
  <c r="AF141" i="2"/>
  <c r="AF3089" i="2"/>
  <c r="AF3093" i="2"/>
  <c r="AF2532" i="2"/>
  <c r="AF2531" i="2"/>
  <c r="AF3142" i="2"/>
  <c r="AF3099" i="2"/>
  <c r="AF3071" i="2"/>
  <c r="AF3143" i="2"/>
  <c r="AF1925" i="2"/>
  <c r="AF2084" i="2"/>
  <c r="AF1924" i="2"/>
  <c r="AF2385" i="2"/>
  <c r="AF3129" i="2"/>
  <c r="AF3100" i="2"/>
  <c r="AF3088" i="2"/>
  <c r="AF3090" i="2"/>
  <c r="AF3094" i="2"/>
  <c r="AF3201" i="2"/>
  <c r="AF3202" i="2"/>
  <c r="AF2338" i="2"/>
  <c r="AF161" i="2"/>
  <c r="AF3101" i="2"/>
  <c r="AF3102" i="2"/>
  <c r="AF3103" i="2"/>
  <c r="AF1744" i="2"/>
  <c r="AF1894" i="2"/>
  <c r="AF1885" i="2"/>
  <c r="AF2033" i="2"/>
  <c r="AF2384" i="2"/>
  <c r="AF2910" i="2"/>
  <c r="AF1190" i="2"/>
  <c r="AF1886" i="2"/>
  <c r="AF1887" i="2"/>
  <c r="AF1890" i="2"/>
  <c r="AF1891" i="2"/>
  <c r="AF2480" i="2"/>
  <c r="AF3024" i="2"/>
  <c r="AF1743" i="2"/>
  <c r="AF2808" i="2"/>
  <c r="AF2809" i="2"/>
  <c r="AF3023" i="2"/>
  <c r="AF1889" i="2"/>
  <c r="AF1892" i="2"/>
  <c r="AF1893" i="2"/>
  <c r="AF2650" i="2"/>
  <c r="AF2651" i="2"/>
  <c r="AF3012" i="2"/>
  <c r="AF3022" i="2"/>
  <c r="AF3021" i="2"/>
  <c r="AF3127" i="2"/>
  <c r="AF3128" i="2"/>
  <c r="AF2566" i="2"/>
  <c r="AF2652" i="2"/>
  <c r="AF2653" i="2"/>
  <c r="AF1742" i="2"/>
  <c r="AF2806" i="2"/>
  <c r="AF2807" i="2"/>
  <c r="AF222" i="2"/>
  <c r="AF2731" i="2"/>
  <c r="AF2732" i="2"/>
  <c r="AF3020" i="2"/>
  <c r="AF2654" i="2"/>
  <c r="AF2655" i="2"/>
  <c r="AF2909" i="2"/>
  <c r="AF221" i="2"/>
  <c r="AF3019" i="2"/>
  <c r="AF3130" i="2"/>
  <c r="AF3131" i="2"/>
  <c r="AF2543" i="2"/>
  <c r="AF2572" i="2"/>
  <c r="AF3013" i="2"/>
  <c r="AF2542" i="2"/>
  <c r="AF2802" i="2"/>
  <c r="AF2803" i="2"/>
  <c r="AF2804" i="2"/>
  <c r="AF2805" i="2"/>
  <c r="AF2656" i="2"/>
  <c r="AF2657" i="2"/>
  <c r="AF442" i="2"/>
  <c r="AF516" i="2"/>
  <c r="AF2471" i="2"/>
  <c r="AF2472" i="2"/>
  <c r="AF2658" i="2"/>
  <c r="AF2659" i="2"/>
  <c r="AF472" i="2"/>
  <c r="AF2800" i="2"/>
  <c r="AF2801" i="2"/>
  <c r="AF2565" i="2"/>
  <c r="AF2934" i="2"/>
  <c r="AF433" i="2"/>
  <c r="AF2908" i="2"/>
  <c r="AF2907" i="2"/>
  <c r="AF2469" i="2"/>
  <c r="AF2470" i="2"/>
  <c r="AF2931" i="2"/>
  <c r="AF2541" i="2"/>
  <c r="AF2810" i="2"/>
  <c r="AF2811" i="2"/>
  <c r="AF454" i="2"/>
  <c r="AF2751" i="2"/>
  <c r="AF2564" i="2"/>
  <c r="AF2798" i="2"/>
  <c r="AF2799" i="2"/>
  <c r="AF3014" i="2"/>
  <c r="AF2933" i="2"/>
  <c r="AF1841" i="2"/>
  <c r="AF1904" i="2"/>
  <c r="AF3015" i="2"/>
  <c r="AF515" i="2"/>
  <c r="AF741" i="2"/>
  <c r="AF743" i="2"/>
  <c r="AF744" i="2"/>
  <c r="AF1832" i="2"/>
  <c r="AF2068" i="2"/>
  <c r="AF2337" i="2"/>
  <c r="AF2339" i="2"/>
  <c r="AF2371" i="2"/>
  <c r="AF2372" i="2"/>
  <c r="AF2373" i="2"/>
  <c r="AF2628" i="2"/>
  <c r="AF2629" i="2"/>
  <c r="AF2630" i="2"/>
  <c r="AF2631" i="2"/>
  <c r="AF2632" i="2"/>
  <c r="AF2633" i="2"/>
  <c r="AF2634" i="2"/>
  <c r="AF2635" i="2"/>
  <c r="AF742" i="2"/>
  <c r="AF1810" i="2"/>
  <c r="AF1834" i="2"/>
  <c r="AF3048" i="2"/>
  <c r="AF3169" i="2"/>
  <c r="AF2563" i="2"/>
  <c r="AF2577" i="2"/>
  <c r="AF2932" i="2"/>
  <c r="AF1905" i="2"/>
  <c r="AF1755" i="2"/>
  <c r="AF2443" i="2"/>
  <c r="AF2671" i="2"/>
  <c r="AF2730" i="2"/>
  <c r="AF2740" i="2"/>
  <c r="AF2180" i="2"/>
  <c r="AF2568" i="2"/>
  <c r="AF2670" i="2"/>
  <c r="AF1811" i="2"/>
  <c r="AF1840" i="2"/>
  <c r="AF2785" i="2"/>
  <c r="AF1906" i="2"/>
  <c r="AF2553" i="2"/>
  <c r="AF2721" i="2"/>
  <c r="AF2722" i="2"/>
  <c r="AF601" i="2"/>
  <c r="AF1831" i="2"/>
  <c r="AF2552" i="2"/>
  <c r="AF2812" i="2"/>
  <c r="AF2813" i="2"/>
  <c r="AF1780" i="2"/>
  <c r="AF1782" i="2"/>
  <c r="AF3168" i="2"/>
  <c r="AF1907" i="2"/>
  <c r="AF2729" i="2"/>
  <c r="AF2733" i="2"/>
  <c r="AF2784" i="2"/>
  <c r="AF2738" i="2"/>
  <c r="AF2739" i="2"/>
  <c r="AF2814" i="2"/>
  <c r="AF2815" i="2"/>
  <c r="AF3125" i="2"/>
  <c r="AF3126" i="2"/>
  <c r="AF619" i="2"/>
  <c r="AF1781" i="2"/>
  <c r="AF2736" i="2"/>
  <c r="AF2737" i="2"/>
  <c r="AF3139" i="2"/>
  <c r="AF1830" i="2"/>
  <c r="AF1908" i="2"/>
  <c r="AF2720" i="2"/>
  <c r="AF1756" i="2"/>
  <c r="AF2442" i="2"/>
  <c r="AF2734" i="2"/>
  <c r="AF2735" i="2"/>
  <c r="AF2816" i="2"/>
  <c r="AF2817" i="2"/>
  <c r="AF2551" i="2"/>
  <c r="AF2719" i="2"/>
  <c r="AF2783" i="2"/>
  <c r="AF2667" i="2"/>
  <c r="AF2818" i="2"/>
  <c r="AF2819" i="2"/>
  <c r="AF1819" i="2"/>
  <c r="AF1828" i="2"/>
  <c r="AF1829" i="2"/>
  <c r="AF1903" i="2"/>
  <c r="AF2777" i="2"/>
  <c r="AF2778" i="2"/>
  <c r="AF3166" i="2"/>
  <c r="AF3167" i="2"/>
  <c r="AF66" i="2"/>
  <c r="AF2775" i="2"/>
  <c r="AF2666" i="2"/>
  <c r="AF2774" i="2"/>
  <c r="AF2782" i="2"/>
  <c r="AF2576" i="2"/>
  <c r="AF2441" i="2"/>
  <c r="AF1779" i="2"/>
  <c r="AF2780" i="2"/>
  <c r="AF2781" i="2"/>
  <c r="AF2554" i="2"/>
  <c r="AF2675" i="2"/>
  <c r="AF2674" i="2"/>
  <c r="AF2673" i="2"/>
  <c r="AF1765" i="2"/>
  <c r="AF1827" i="2"/>
  <c r="AF2497" i="2"/>
  <c r="AF2660" i="2"/>
  <c r="AF2665" i="2"/>
  <c r="AF2773" i="2"/>
  <c r="AF1001" i="2"/>
  <c r="AF1002" i="2"/>
  <c r="AF2672" i="2"/>
  <c r="AF2772" i="2"/>
  <c r="AF2661" i="2"/>
  <c r="AF2668" i="2"/>
  <c r="AF2669" i="2"/>
  <c r="AF1764" i="2"/>
  <c r="AF2771" i="2"/>
  <c r="AF2664" i="2"/>
  <c r="AF2770" i="2"/>
  <c r="AF2779" i="2"/>
  <c r="AF2943" i="2"/>
  <c r="AF1817" i="2"/>
  <c r="AF1826" i="2"/>
  <c r="AF1822" i="2"/>
  <c r="AF1816" i="2"/>
  <c r="AF2567" i="2"/>
  <c r="AF2662" i="2"/>
  <c r="AF2663" i="2"/>
  <c r="AF1763" i="2"/>
  <c r="AF2501" i="2"/>
  <c r="AF2502" i="2"/>
  <c r="AF1528" i="2"/>
  <c r="AF1762" i="2"/>
  <c r="AF2942" i="2"/>
  <c r="AF1735" i="2"/>
  <c r="AF2241" i="2"/>
  <c r="AF2752" i="2"/>
  <c r="AF1710" i="2"/>
  <c r="AF1873" i="2"/>
  <c r="AF1874" i="2"/>
  <c r="AF1875" i="2"/>
  <c r="AF1876" i="2"/>
  <c r="AF2367" i="2"/>
  <c r="AF2368" i="2"/>
  <c r="AF2356" i="2"/>
  <c r="AF1746" i="2"/>
  <c r="AF954" i="2"/>
  <c r="AF955" i="2"/>
  <c r="AF956" i="2"/>
  <c r="AF957" i="2"/>
  <c r="AF958" i="2"/>
  <c r="AF2941" i="2"/>
  <c r="AF2357" i="2"/>
  <c r="AF2466" i="2"/>
  <c r="AF2467" i="2"/>
  <c r="AF2468" i="2"/>
  <c r="AF2750" i="2"/>
  <c r="AF1713" i="2"/>
  <c r="AF2682" i="2"/>
  <c r="AF2683" i="2"/>
  <c r="AF2028" i="2"/>
  <c r="AF2027" i="2"/>
  <c r="AF2029" i="2"/>
  <c r="AF2320" i="2"/>
  <c r="AF3402" i="2"/>
  <c r="AF2179" i="2"/>
  <c r="AF2681" i="2"/>
  <c r="AF2918" i="2"/>
  <c r="AF2919" i="2"/>
  <c r="AF2929" i="2"/>
  <c r="AF2383" i="2"/>
  <c r="AF1773" i="2"/>
  <c r="AF2930" i="2"/>
  <c r="AF2928" i="2"/>
  <c r="AF291" i="2"/>
  <c r="AF2382" i="2"/>
  <c r="AF2684" i="2"/>
  <c r="AF2558" i="2"/>
  <c r="AF2440" i="2"/>
  <c r="AF2428" i="2"/>
  <c r="AF618" i="2"/>
  <c r="AF2439" i="2"/>
  <c r="AF1807" i="2"/>
  <c r="AF1809" i="2"/>
  <c r="AF2325" i="2"/>
  <c r="AF1806" i="2"/>
  <c r="AF1808" i="2"/>
  <c r="AF2427" i="2"/>
  <c r="AF2676" i="2"/>
  <c r="AF2677" i="2"/>
  <c r="AF2678" i="2"/>
  <c r="AF2679" i="2"/>
  <c r="AF2680" i="2"/>
  <c r="AF2848" i="2"/>
  <c r="AF2685" i="2"/>
  <c r="AF2411" i="2"/>
  <c r="AF2413" i="2"/>
  <c r="AF2426" i="2"/>
  <c r="AF2557" i="2"/>
  <c r="AF1097" i="2"/>
  <c r="AF2562" i="2"/>
  <c r="AF1772" i="2"/>
  <c r="AF2626" i="2"/>
  <c r="AF2627" i="2"/>
  <c r="AF740" i="2"/>
  <c r="AF2718" i="2"/>
  <c r="AF973" i="2"/>
  <c r="AF1704" i="2"/>
  <c r="AF2410" i="2"/>
  <c r="AF2412" i="2"/>
  <c r="AF2561" i="2"/>
  <c r="AF2847" i="2"/>
  <c r="AF617" i="2"/>
  <c r="AF974" i="2"/>
  <c r="AF1754" i="2"/>
  <c r="AF739" i="2"/>
  <c r="AF2425" i="2"/>
  <c r="AF2624" i="2"/>
  <c r="AF2625" i="2"/>
  <c r="AF2622" i="2"/>
  <c r="AF2623" i="2"/>
  <c r="AF2717" i="2"/>
  <c r="AF431" i="2"/>
  <c r="AF432" i="2"/>
  <c r="AF1771" i="2"/>
  <c r="AF2620" i="2"/>
  <c r="AF2621" i="2"/>
  <c r="AF1753" i="2"/>
  <c r="AF2560" i="2"/>
  <c r="AF2741" i="2"/>
  <c r="AF2559" i="2"/>
  <c r="AF1815" i="2"/>
  <c r="AF2405" i="2"/>
  <c r="AF2476" i="2"/>
  <c r="AF2477" i="2"/>
  <c r="AF2478" i="2"/>
  <c r="AF2479" i="2"/>
  <c r="AF2608" i="2"/>
  <c r="AF2609" i="2"/>
  <c r="AF2610" i="2"/>
  <c r="AF2611" i="2"/>
  <c r="AF616" i="2"/>
  <c r="AF1096" i="2"/>
  <c r="AF2599" i="2"/>
  <c r="AF2600" i="2"/>
  <c r="AF2601" i="2"/>
  <c r="AF2602" i="2"/>
  <c r="AF2603" i="2"/>
  <c r="AF2604" i="2"/>
  <c r="AF2605" i="2"/>
  <c r="AF2606" i="2"/>
  <c r="AF1113" i="2"/>
  <c r="AF1748" i="2"/>
  <c r="AF2424" i="2"/>
  <c r="AF1111" i="2"/>
  <c r="AF2115" i="2"/>
  <c r="AF2406" i="2"/>
  <c r="AF2407" i="2"/>
  <c r="AF2408" i="2"/>
  <c r="AF2409" i="2"/>
  <c r="AF1751" i="2"/>
  <c r="AF2571" i="2"/>
  <c r="AF1752" i="2"/>
  <c r="AF1774" i="2"/>
  <c r="AF2381" i="2"/>
  <c r="AF2742" i="2"/>
  <c r="AF1109" i="2"/>
  <c r="AF1749" i="2"/>
  <c r="AF2500" i="2"/>
  <c r="AF679" i="2"/>
  <c r="AF680" i="2"/>
  <c r="AF681" i="2"/>
  <c r="AF682" i="2"/>
  <c r="AF2743" i="2"/>
  <c r="AF900" i="2"/>
  <c r="AF2229" i="2"/>
  <c r="AF2496" i="2"/>
  <c r="AF738" i="2"/>
  <c r="AF1747" i="2"/>
  <c r="AF1750" i="2"/>
  <c r="AF2380" i="2"/>
  <c r="AF3438" i="2"/>
  <c r="AF2326" i="2"/>
  <c r="AF2421" i="2"/>
  <c r="AF2499" i="2"/>
  <c r="AF737" i="2"/>
  <c r="AF1110" i="2"/>
  <c r="AF901" i="2"/>
  <c r="AF1095" i="2"/>
  <c r="AF1505" i="2"/>
  <c r="AF1759" i="2"/>
  <c r="AF1760" i="2"/>
  <c r="AF2420" i="2"/>
  <c r="AF968" i="2"/>
  <c r="AF2498" i="2"/>
  <c r="AF2716" i="2"/>
  <c r="AF1734" i="2"/>
  <c r="AF903" i="2"/>
  <c r="AF2754" i="2"/>
  <c r="AF902" i="2"/>
  <c r="AF2419" i="2"/>
  <c r="AF2756" i="2"/>
  <c r="AF1732" i="2"/>
  <c r="AF1281" i="2"/>
  <c r="AF1094" i="2"/>
  <c r="AF1628" i="2"/>
  <c r="AF2418" i="2"/>
  <c r="AF1733" i="2"/>
  <c r="AF2417" i="2"/>
  <c r="AF752" i="2"/>
  <c r="AF2416" i="2"/>
  <c r="AF2755" i="2"/>
  <c r="AF2715" i="2"/>
  <c r="AF2455" i="2"/>
  <c r="AF2456" i="2"/>
  <c r="AF2415" i="2"/>
  <c r="AF2414" i="2"/>
  <c r="AF2753" i="2"/>
  <c r="AF967" i="2"/>
  <c r="AF969" i="2"/>
  <c r="AF2114" i="2"/>
  <c r="AF893" i="2"/>
  <c r="AF1655" i="2"/>
  <c r="AF573" i="2"/>
  <c r="AF2324" i="2"/>
  <c r="AF2536" i="2"/>
  <c r="AF2537" i="2"/>
  <c r="AF751" i="2"/>
  <c r="AF2323" i="2"/>
  <c r="AF1745" i="2"/>
  <c r="AF2329" i="2"/>
  <c r="AF572" i="2"/>
  <c r="AF455" i="2"/>
  <c r="AF456" i="2"/>
  <c r="AF2376" i="2"/>
  <c r="AF1712" i="2"/>
  <c r="AF1758" i="2"/>
  <c r="AF1727" i="2"/>
  <c r="AF2052" i="2"/>
  <c r="AF1335" i="2"/>
  <c r="AF1336" i="2"/>
  <c r="AF1337" i="2"/>
  <c r="AF1339" i="2"/>
  <c r="AF1340" i="2"/>
  <c r="AF1341" i="2"/>
  <c r="AF1726" i="2"/>
  <c r="AF1757" i="2"/>
  <c r="AF2053" i="2"/>
  <c r="AF1725" i="2"/>
  <c r="AF2460" i="2"/>
  <c r="AF2461" i="2"/>
  <c r="AF2462" i="2"/>
  <c r="AF2463" i="2"/>
  <c r="AF2402" i="2"/>
  <c r="AF2403" i="2"/>
  <c r="AF2404" i="2"/>
  <c r="AF1786" i="2"/>
  <c r="AF1739" i="2"/>
  <c r="AF2361" i="2"/>
  <c r="AF2362" i="2"/>
  <c r="AF2363" i="2"/>
  <c r="AF2364" i="2"/>
  <c r="AF2394" i="2"/>
  <c r="AF2395" i="2"/>
  <c r="AF2396" i="2"/>
  <c r="AF2397" i="2"/>
  <c r="AF1061" i="2"/>
  <c r="AF1775" i="2"/>
  <c r="AF1776" i="2"/>
  <c r="AF1777" i="2"/>
  <c r="AF1785" i="2"/>
  <c r="AF2322" i="2"/>
  <c r="AF2549" i="2"/>
  <c r="AF1738" i="2"/>
  <c r="AF1737" i="2"/>
  <c r="AF892" i="2"/>
  <c r="AF1736" i="2"/>
  <c r="AF2321" i="2"/>
  <c r="AF492" i="2"/>
  <c r="AF948" i="2"/>
  <c r="AF1705" i="2"/>
  <c r="AF2349" i="2"/>
  <c r="AF1567" i="2"/>
  <c r="AF774" i="2"/>
  <c r="AF1566" i="2"/>
  <c r="AF775" i="2"/>
  <c r="AF2302" i="2"/>
  <c r="AF1714" i="2"/>
  <c r="AF615" i="2"/>
  <c r="AF1699" i="2"/>
  <c r="AF2317" i="2"/>
  <c r="AF2318" i="2"/>
  <c r="AF2319" i="2"/>
  <c r="AF614" i="2"/>
  <c r="AF1051" i="2"/>
  <c r="AF1052" i="2"/>
  <c r="AF947" i="2"/>
  <c r="AF1527" i="2"/>
  <c r="AF183" i="2"/>
  <c r="AF184" i="2"/>
  <c r="AF185" i="2"/>
  <c r="AF186" i="2"/>
  <c r="AF2026" i="2"/>
  <c r="AF678" i="2"/>
  <c r="AF1607" i="2"/>
  <c r="AF13" i="2"/>
  <c r="AF14" i="2"/>
  <c r="AF20" i="2"/>
  <c r="AF21" i="2"/>
  <c r="AF2178" i="2"/>
  <c r="AF1669" i="2"/>
  <c r="AF460" i="2"/>
  <c r="AF1700" i="2"/>
  <c r="AF209" i="2"/>
  <c r="AF730" i="2"/>
  <c r="AF1608" i="2"/>
  <c r="AF1651" i="2"/>
  <c r="AF1652" i="2"/>
  <c r="AF1649" i="2"/>
  <c r="AF1650" i="2"/>
  <c r="AF289" i="2"/>
  <c r="AF645" i="2"/>
  <c r="AF646" i="2"/>
  <c r="AF459" i="2"/>
  <c r="AF1614" i="2"/>
  <c r="AF2297" i="2"/>
  <c r="AF1648" i="2"/>
  <c r="AF1645" i="2"/>
  <c r="AF1646" i="2"/>
  <c r="AF1647" i="2"/>
  <c r="AF1707" i="2"/>
  <c r="AF1643" i="2"/>
  <c r="AF1644" i="2"/>
  <c r="AF2228" i="2"/>
  <c r="AF2159" i="2"/>
  <c r="AF2160" i="2"/>
  <c r="AF1570" i="2"/>
  <c r="AF1641" i="2"/>
  <c r="AF1642" i="2"/>
  <c r="AF1015" i="2"/>
  <c r="AF1635" i="2"/>
  <c r="AF1636" i="2"/>
  <c r="AF1703" i="2"/>
  <c r="AF525" i="2"/>
  <c r="AF753" i="2"/>
  <c r="AF754" i="2"/>
  <c r="AF946" i="2"/>
  <c r="AF1639" i="2"/>
  <c r="AF1640" i="2"/>
  <c r="AF15" i="2"/>
  <c r="AF16" i="2"/>
  <c r="AF17" i="2"/>
  <c r="AF18" i="2"/>
  <c r="AF19" i="2"/>
  <c r="AF1684" i="2"/>
  <c r="AF1431" i="2"/>
  <c r="AF1683" i="2"/>
  <c r="AF2074" i="2"/>
  <c r="AF1637" i="2"/>
  <c r="AF1638" i="2"/>
  <c r="AF2108" i="2"/>
  <c r="AF1674" i="2"/>
  <c r="AF1675" i="2"/>
  <c r="AF1432" i="2"/>
  <c r="AF2266" i="2"/>
  <c r="AF38" i="2"/>
  <c r="AF1621" i="2"/>
  <c r="AF1634" i="2"/>
  <c r="AF1633" i="2"/>
  <c r="AF40" i="2"/>
  <c r="AF41" i="2"/>
  <c r="AF1613" i="2"/>
  <c r="AF457" i="2"/>
  <c r="AF458" i="2"/>
  <c r="AF1701" i="2"/>
  <c r="AF1702" i="2"/>
  <c r="AF69" i="2"/>
  <c r="AF377" i="2"/>
  <c r="AF1615" i="2"/>
  <c r="AF1616" i="2"/>
  <c r="AF1605" i="2"/>
  <c r="AF1606" i="2"/>
  <c r="AF1213" i="2"/>
  <c r="AF1214" i="2"/>
  <c r="AF1580" i="2"/>
  <c r="AF710" i="2"/>
  <c r="AF711" i="2"/>
  <c r="AF1433" i="2"/>
  <c r="AF1434" i="2"/>
  <c r="AF1603" i="2"/>
  <c r="AF1602" i="2"/>
  <c r="AF606" i="2"/>
  <c r="AF1436" i="2"/>
  <c r="AF1435" i="2"/>
  <c r="AF1437" i="2"/>
  <c r="AF3767" i="2"/>
  <c r="AF3768" i="2"/>
  <c r="AF376" i="2"/>
  <c r="AF1438" i="2"/>
  <c r="AF1682" i="2"/>
  <c r="AF1631" i="2"/>
  <c r="AF2276" i="2"/>
  <c r="AF2025" i="2"/>
  <c r="AF2030" i="2"/>
  <c r="AF2031" i="2"/>
  <c r="AF2032" i="2"/>
  <c r="AF2274" i="2"/>
  <c r="AF1600" i="2"/>
  <c r="AF1601" i="2"/>
  <c r="AF387" i="2"/>
  <c r="AF2230" i="2"/>
  <c r="AF2231" i="2"/>
  <c r="AF539" i="2"/>
  <c r="AF1594" i="2"/>
  <c r="AF1604" i="2"/>
  <c r="AF1075" i="2"/>
  <c r="AF1076" i="2"/>
  <c r="AF1280" i="2"/>
  <c r="AF2075" i="2"/>
  <c r="AF2076" i="2"/>
  <c r="AF1574" i="2"/>
  <c r="AF1360" i="2"/>
  <c r="AF1361" i="2"/>
  <c r="AF1362" i="2"/>
  <c r="AF1363" i="2"/>
  <c r="AF2214" i="2"/>
  <c r="AF2215" i="2"/>
  <c r="AF1679" i="2"/>
  <c r="AF2234" i="2"/>
  <c r="AF2259" i="2"/>
  <c r="AF2260" i="2"/>
  <c r="AF2261" i="2"/>
  <c r="AF2262" i="2"/>
  <c r="AF1595" i="2"/>
  <c r="AF1597" i="2"/>
  <c r="AF2149" i="2"/>
  <c r="AF2150" i="2"/>
  <c r="AF2158" i="2"/>
  <c r="AF2245" i="2"/>
  <c r="AF2246" i="2"/>
  <c r="AF2247" i="2"/>
  <c r="AF538" i="2"/>
  <c r="AF1630" i="2"/>
  <c r="AF1678" i="2"/>
  <c r="AF1596" i="2"/>
  <c r="AF1598" i="2"/>
  <c r="AF1599" i="2"/>
  <c r="AF1629" i="2"/>
  <c r="AF1676" i="2"/>
  <c r="AF1677" i="2"/>
  <c r="AF2123" i="2"/>
  <c r="AF2124" i="2"/>
  <c r="AF648" i="2"/>
  <c r="AF2300" i="2"/>
  <c r="AF2289" i="2"/>
  <c r="AF2153" i="2"/>
  <c r="AF2154" i="2"/>
  <c r="AF2227" i="2"/>
  <c r="AF2152" i="2"/>
  <c r="AF300" i="2"/>
  <c r="AF301" i="2"/>
  <c r="AF2095" i="2"/>
  <c r="AF2096" i="2"/>
  <c r="AF2097" i="2"/>
  <c r="AF1560" i="2"/>
  <c r="AF2309" i="2"/>
  <c r="AF2310" i="2"/>
  <c r="AF2311" i="2"/>
  <c r="AF1441" i="2"/>
  <c r="AF532" i="2"/>
  <c r="AF533" i="2"/>
  <c r="AF534" i="2"/>
  <c r="AF535" i="2"/>
  <c r="AF1565" i="2"/>
  <c r="AF1673" i="2"/>
  <c r="AF220" i="2"/>
  <c r="AF2100" i="2"/>
  <c r="AF1592" i="2"/>
  <c r="AF1593" i="2"/>
  <c r="AF1654" i="2"/>
  <c r="AF2109" i="2"/>
  <c r="AF1319" i="2"/>
  <c r="AF2204" i="2"/>
  <c r="AF1057" i="2"/>
  <c r="AF563" i="2"/>
  <c r="AF2098" i="2"/>
  <c r="AF2090" i="2"/>
  <c r="AF1559" i="2"/>
  <c r="AF2290" i="2"/>
  <c r="AF1578" i="2"/>
  <c r="AF1579" i="2"/>
  <c r="AF537" i="2"/>
  <c r="AF2056" i="2"/>
  <c r="AF1314" i="2"/>
  <c r="AF1610" i="2"/>
  <c r="AF1609" i="2"/>
  <c r="AF2155" i="2"/>
  <c r="AF1611" i="2"/>
  <c r="AF1612" i="2"/>
  <c r="AF2110" i="2"/>
  <c r="AF2111" i="2"/>
  <c r="AF2112" i="2"/>
  <c r="AF2113" i="2"/>
  <c r="AF1381" i="2"/>
  <c r="AF2224" i="2"/>
  <c r="AF2225" i="2"/>
  <c r="AF1459" i="2"/>
  <c r="AF2166" i="2"/>
  <c r="AF1564" i="2"/>
  <c r="AF1561" i="2"/>
  <c r="AF1563" i="2"/>
  <c r="AF1562" i="2"/>
  <c r="AF1581" i="2"/>
  <c r="AF1582" i="2"/>
  <c r="AF1583" i="2"/>
  <c r="AF1318" i="2"/>
  <c r="AF647" i="2"/>
  <c r="AF1576" i="2"/>
  <c r="AF1577" i="2"/>
  <c r="AF2072" i="2"/>
  <c r="AF2073" i="2"/>
  <c r="AF1465" i="2"/>
  <c r="AF491" i="2"/>
  <c r="AF1414" i="2"/>
  <c r="AF1533" i="2"/>
  <c r="AF208" i="2"/>
  <c r="AF2203" i="2"/>
  <c r="AF1517" i="2"/>
  <c r="AF1532" i="2"/>
  <c r="AF638" i="2"/>
  <c r="AF639" i="2"/>
  <c r="AF640" i="2"/>
  <c r="AF641" i="2"/>
  <c r="AF1531" i="2"/>
  <c r="AF88" i="2"/>
  <c r="AF383" i="2"/>
  <c r="AF1400" i="2"/>
  <c r="AF1409" i="2"/>
  <c r="AF98" i="2"/>
  <c r="AF99" i="2"/>
  <c r="AF1761" i="2"/>
  <c r="AF2055" i="2"/>
  <c r="AF2194" i="2"/>
  <c r="AF2060" i="2"/>
  <c r="AF1317" i="2"/>
  <c r="AF1334" i="2"/>
  <c r="AF1477" i="2"/>
  <c r="AF1278" i="2"/>
  <c r="AF282" i="2"/>
  <c r="AF74" i="2"/>
  <c r="AF1458" i="2"/>
  <c r="AF1539" i="2"/>
  <c r="AF1880" i="2"/>
  <c r="AF262" i="2"/>
  <c r="AF1330" i="2"/>
  <c r="AF1555" i="2"/>
  <c r="AF464" i="2"/>
  <c r="AF1530" i="2"/>
  <c r="AF1585" i="2"/>
  <c r="AF977" i="2"/>
  <c r="AF212" i="2"/>
  <c r="AF219" i="2"/>
  <c r="AF70" i="2"/>
  <c r="AF1333" i="2"/>
  <c r="AF1546" i="2"/>
  <c r="AF1440" i="2"/>
  <c r="AF1516" i="2"/>
  <c r="AF73" i="2"/>
  <c r="AF1399" i="2"/>
  <c r="AF1366" i="2"/>
  <c r="AF1543" i="2"/>
  <c r="AF1487" i="2"/>
  <c r="AF51" i="2"/>
  <c r="AF1457" i="2"/>
  <c r="AF1380" i="2"/>
  <c r="AF422" i="2"/>
  <c r="AF1408" i="2"/>
  <c r="AF1538" i="2"/>
  <c r="AF1480" i="2"/>
  <c r="AF1481" i="2"/>
  <c r="AF1482" i="2"/>
  <c r="AF1483" i="2"/>
  <c r="AF1486" i="2"/>
  <c r="AF261" i="2"/>
  <c r="AF1162" i="2"/>
  <c r="AF1503" i="2"/>
  <c r="AF1504" i="2"/>
  <c r="AF1406" i="2"/>
  <c r="AF1407" i="2"/>
  <c r="AF2291" i="2"/>
  <c r="AF2292" i="2"/>
  <c r="AF1430" i="2"/>
  <c r="AF48" i="2"/>
  <c r="AF1470" i="2"/>
  <c r="AF470" i="2"/>
  <c r="AF1476" i="2"/>
  <c r="AF653" i="2"/>
  <c r="AF493" i="2"/>
  <c r="AF1553" i="2"/>
  <c r="AF1515" i="2"/>
  <c r="AF419" i="2"/>
  <c r="AF1445" i="2"/>
  <c r="AF1488" i="2"/>
  <c r="AF87" i="2"/>
  <c r="AF1402" i="2"/>
  <c r="AF1468" i="2"/>
  <c r="AF1287" i="2"/>
  <c r="AF2059" i="2"/>
  <c r="AF1498" i="2"/>
  <c r="AF531" i="2"/>
  <c r="AF1502" i="2"/>
  <c r="AF288" i="2"/>
  <c r="AF1552" i="2"/>
  <c r="AF1332" i="2"/>
  <c r="AF1323" i="2"/>
  <c r="AF49" i="2"/>
  <c r="AF1485" i="2"/>
  <c r="AF629" i="2"/>
  <c r="AF1390" i="2"/>
  <c r="AF463" i="2"/>
  <c r="AF1490" i="2"/>
  <c r="AF1514" i="2"/>
  <c r="AF2054" i="2"/>
  <c r="AF1327" i="2"/>
  <c r="AF1343" i="2"/>
  <c r="AF1365" i="2"/>
  <c r="AF1375" i="2"/>
  <c r="AF1416" i="2"/>
  <c r="AF1537" i="2"/>
  <c r="AF1461" i="2"/>
  <c r="AF912" i="2"/>
  <c r="AF913" i="2"/>
  <c r="AF1524" i="2"/>
  <c r="AF1322" i="2"/>
  <c r="AF1328" i="2"/>
  <c r="AF1364" i="2"/>
  <c r="AF1462" i="2"/>
  <c r="AF1484" i="2"/>
  <c r="AF1456" i="2"/>
  <c r="AF1161" i="2"/>
  <c r="AF218" i="2"/>
  <c r="AF571" i="2"/>
  <c r="AF1464" i="2"/>
  <c r="AF53" i="2"/>
  <c r="AF1376" i="2"/>
  <c r="AF585" i="2"/>
  <c r="AF1379" i="2"/>
  <c r="AF1475" i="2"/>
  <c r="AF1501" i="2"/>
  <c r="AF2051" i="2"/>
  <c r="AF882" i="2"/>
  <c r="AF1321" i="2"/>
  <c r="AF1410" i="2"/>
  <c r="AF1411" i="2"/>
  <c r="AF1152" i="2"/>
  <c r="AF1460" i="2"/>
  <c r="AF2043" i="2"/>
  <c r="AF1304" i="2"/>
  <c r="AF1415" i="2"/>
  <c r="AF1329" i="2"/>
  <c r="AF1536" i="2"/>
  <c r="AF85" i="2"/>
  <c r="AF1331" i="2"/>
  <c r="AF451" i="2"/>
  <c r="AF1681" i="2"/>
  <c r="AF2081" i="2"/>
  <c r="AF2082" i="2"/>
  <c r="AF989" i="2"/>
  <c r="AF448" i="2"/>
  <c r="AF1398" i="2"/>
  <c r="AF1463" i="2"/>
  <c r="AF1417" i="2"/>
  <c r="AF1439" i="2"/>
  <c r="AF1401" i="2"/>
  <c r="AF1069" i="2"/>
  <c r="AF1448" i="2"/>
  <c r="AF1429" i="2"/>
  <c r="AF84" i="2"/>
  <c r="AF1320" i="2"/>
  <c r="AF1160" i="2"/>
  <c r="AF518" i="2"/>
  <c r="AF414" i="2"/>
  <c r="AF2024" i="2"/>
  <c r="AF976" i="2"/>
  <c r="AF1316" i="2"/>
  <c r="AF1420" i="2"/>
  <c r="AF1495" i="2"/>
  <c r="AF1378" i="2"/>
  <c r="AF410" i="2"/>
  <c r="AF411" i="2"/>
  <c r="AF469" i="2"/>
  <c r="AF408" i="2"/>
  <c r="AF409" i="2"/>
  <c r="AF406" i="2"/>
  <c r="AF407" i="2"/>
  <c r="AF363" i="2"/>
  <c r="AF1455" i="2"/>
  <c r="AF1338" i="2"/>
  <c r="AF1447" i="2"/>
  <c r="AF1474" i="2"/>
  <c r="AF1556" i="2"/>
  <c r="AF1557" i="2"/>
  <c r="AF605" i="2"/>
  <c r="AF1506" i="2"/>
  <c r="AF602" i="2"/>
  <c r="AF1545" i="2"/>
  <c r="AF1507" i="2"/>
  <c r="AF1508" i="2"/>
  <c r="AF1428" i="2"/>
  <c r="AF1509" i="2"/>
  <c r="AF1510" i="2"/>
  <c r="AF1511" i="2"/>
  <c r="AF1512" i="2"/>
  <c r="AF1513" i="2"/>
  <c r="AF1489" i="2"/>
  <c r="AF945" i="2"/>
  <c r="AF2009" i="2"/>
  <c r="AF1443" i="2"/>
  <c r="AF975" i="2"/>
  <c r="AF1159" i="2"/>
  <c r="AF1351" i="2"/>
  <c r="AF1022" i="2"/>
  <c r="AF1326" i="2"/>
  <c r="AF382" i="2"/>
  <c r="AF1181" i="2"/>
  <c r="AF1542" i="2"/>
  <c r="AF331" i="2"/>
  <c r="AF3289" i="2"/>
  <c r="AF3290" i="2"/>
  <c r="AF3291" i="2"/>
  <c r="AF3292" i="2"/>
  <c r="AF941" i="2"/>
  <c r="AF1541" i="2"/>
  <c r="AF1389" i="2"/>
  <c r="AF1342" i="2"/>
  <c r="AF1540" i="2"/>
  <c r="AF445" i="2"/>
  <c r="AF399" i="2"/>
  <c r="AF1500" i="2"/>
  <c r="AF293" i="2"/>
  <c r="AF650" i="2"/>
  <c r="AF1397" i="2"/>
  <c r="AF2047" i="2"/>
  <c r="AF626" i="2"/>
  <c r="AF627" i="2"/>
  <c r="AF1446" i="2"/>
  <c r="AF938" i="2"/>
  <c r="AF1301" i="2"/>
  <c r="AF1372" i="2"/>
  <c r="AF462" i="2"/>
  <c r="AF405" i="2"/>
  <c r="AF1413" i="2"/>
  <c r="AF1444" i="2"/>
  <c r="AF1039" i="2"/>
  <c r="AF435" i="2"/>
  <c r="AF1450" i="2"/>
  <c r="AF568" i="2"/>
  <c r="AF869" i="2"/>
  <c r="AF881" i="2"/>
  <c r="AF1180" i="2"/>
  <c r="AF1350" i="2"/>
  <c r="AF341" i="2"/>
  <c r="AF342" i="2"/>
  <c r="AF179" i="2"/>
  <c r="AF1367" i="2"/>
  <c r="AF2042" i="2"/>
  <c r="AF656" i="2"/>
  <c r="AF398" i="2"/>
  <c r="AF1473" i="2"/>
  <c r="AF1311" i="2"/>
  <c r="AF622" i="2"/>
  <c r="AF447" i="2"/>
  <c r="AF1072" i="2"/>
  <c r="AF1478" i="2"/>
  <c r="AF623" i="2"/>
  <c r="AF450" i="2"/>
  <c r="AF1426" i="2"/>
  <c r="AF281" i="2"/>
  <c r="AF512" i="2"/>
  <c r="AF1412" i="2"/>
  <c r="AF1373" i="2"/>
  <c r="AF485" i="2"/>
  <c r="AF1188" i="2"/>
  <c r="AF558" i="2"/>
  <c r="AF1449" i="2"/>
  <c r="AF1043" i="2"/>
  <c r="AF416" i="2"/>
  <c r="AF936" i="2"/>
  <c r="AF2022" i="2"/>
  <c r="AF2041" i="2"/>
  <c r="AF309" i="2"/>
  <c r="AF170" i="2"/>
  <c r="AF1038" i="2"/>
  <c r="AF1451" i="2"/>
  <c r="AF2050" i="2"/>
  <c r="AF439" i="2"/>
  <c r="AF987" i="2"/>
  <c r="AF1212" i="2"/>
  <c r="AF424" i="2"/>
  <c r="AF530" i="2"/>
  <c r="AF1395" i="2"/>
  <c r="AF1396" i="2"/>
  <c r="AF1469" i="2"/>
  <c r="AF1526" i="2"/>
  <c r="AF624" i="2"/>
  <c r="AF625" i="2"/>
  <c r="AF2034" i="2"/>
  <c r="AF944" i="2"/>
  <c r="AF1371" i="2"/>
  <c r="AF1419" i="2"/>
  <c r="AF1008" i="2"/>
  <c r="AF1427" i="2"/>
  <c r="AF2008" i="2"/>
  <c r="AF1499" i="2"/>
  <c r="AF1090" i="2"/>
  <c r="AF1091" i="2"/>
  <c r="AF1092" i="2"/>
  <c r="AF1093" i="2"/>
  <c r="AF2036" i="2"/>
  <c r="AF709" i="2"/>
  <c r="AF308" i="2"/>
  <c r="AF1103" i="2"/>
  <c r="AF1104" i="2"/>
  <c r="AF1105" i="2"/>
  <c r="AF1106" i="2"/>
  <c r="AF1107" i="2"/>
  <c r="AF1108" i="2"/>
  <c r="AF1976" i="2"/>
  <c r="AF2020" i="2"/>
  <c r="AF2040" i="2"/>
  <c r="AF1237" i="2"/>
  <c r="AF2017" i="2"/>
  <c r="AF2049" i="2"/>
  <c r="AF2023" i="2"/>
  <c r="AF1101" i="2"/>
  <c r="AF1112" i="2"/>
  <c r="AF1114" i="2"/>
  <c r="AF1116" i="2"/>
  <c r="AF1102" i="2"/>
  <c r="AF1117" i="2"/>
  <c r="AF1118" i="2"/>
  <c r="AF1120" i="2"/>
  <c r="AF1977" i="2"/>
  <c r="AF2021" i="2"/>
  <c r="AF26" i="2"/>
  <c r="AF2016" i="2"/>
  <c r="AF1068" i="2"/>
  <c r="AF1115" i="2"/>
  <c r="AF1119" i="2"/>
  <c r="AF1151" i="2"/>
  <c r="AF329" i="2"/>
  <c r="AF2048" i="2"/>
  <c r="AF1978" i="2"/>
  <c r="AF1979" i="2"/>
  <c r="AF1980" i="2"/>
  <c r="AF1981" i="2"/>
  <c r="AF1982" i="2"/>
  <c r="AF1983" i="2"/>
  <c r="AF1984" i="2"/>
  <c r="AF1985" i="2"/>
  <c r="AF1986" i="2"/>
  <c r="AF1987" i="2"/>
  <c r="AF1988" i="2"/>
  <c r="AF1989" i="2"/>
  <c r="AF1990" i="2"/>
  <c r="AF1991" i="2"/>
  <c r="AF1992" i="2"/>
  <c r="AF1993" i="2"/>
  <c r="AF1994" i="2"/>
  <c r="AF1995" i="2"/>
  <c r="AF1996" i="2"/>
  <c r="AF1997" i="2"/>
  <c r="AF1307" i="2"/>
  <c r="AF1310" i="2"/>
  <c r="AF1998" i="2"/>
  <c r="AF468" i="2"/>
  <c r="AF536" i="2"/>
  <c r="AF1168" i="2"/>
  <c r="AF1975" i="2"/>
  <c r="AF384" i="2"/>
  <c r="AF436" i="2"/>
  <c r="AF437" i="2"/>
  <c r="AF438" i="2"/>
  <c r="AF884" i="2"/>
  <c r="AF2010" i="2"/>
  <c r="AF2011" i="2"/>
  <c r="AF2012" i="2"/>
  <c r="AF2013" i="2"/>
  <c r="AF1163" i="2"/>
  <c r="AF1999" i="2"/>
  <c r="AF2000" i="2"/>
  <c r="AF2001" i="2"/>
  <c r="AF2002" i="2"/>
  <c r="AF2003" i="2"/>
  <c r="AF2004" i="2"/>
  <c r="AF2005" i="2"/>
  <c r="AF2006" i="2"/>
  <c r="AF330" i="2"/>
  <c r="AF1200" i="2"/>
  <c r="AF461" i="2"/>
  <c r="AF579" i="2"/>
  <c r="AF567" i="2"/>
  <c r="AF628" i="2"/>
  <c r="AF1042" i="2"/>
  <c r="AF1246" i="2"/>
  <c r="AF1258" i="2"/>
  <c r="AF1259" i="2"/>
  <c r="AF2035" i="2"/>
  <c r="AF1251" i="2"/>
  <c r="AF1136" i="2"/>
  <c r="AF213" i="2"/>
  <c r="AF214" i="2"/>
  <c r="AF1241" i="2"/>
  <c r="AF722" i="2"/>
  <c r="AF217" i="2"/>
  <c r="AF274" i="2"/>
  <c r="AF1067" i="2"/>
  <c r="AF2007" i="2"/>
  <c r="AF910" i="2"/>
  <c r="AF911" i="2"/>
  <c r="AF339" i="2"/>
  <c r="AF340" i="2"/>
  <c r="AF1238" i="2"/>
  <c r="AF375" i="2"/>
  <c r="AF423" i="2"/>
  <c r="AF631" i="2"/>
  <c r="AF1044" i="2"/>
  <c r="AF1045" i="2"/>
  <c r="AF120" i="2"/>
  <c r="AF446" i="2"/>
  <c r="AF540" i="2"/>
  <c r="AF541" i="2"/>
  <c r="AF542" i="2"/>
  <c r="AF543" i="2"/>
  <c r="AF635" i="2"/>
  <c r="AF661" i="2"/>
  <c r="AF662" i="2"/>
  <c r="AF663" i="2"/>
  <c r="AF664" i="2"/>
  <c r="AF665" i="2"/>
  <c r="AF666" i="2"/>
  <c r="AF669" i="2"/>
  <c r="AF670" i="2"/>
  <c r="AF608" i="2"/>
  <c r="AF1289" i="2"/>
  <c r="AF1290" i="2"/>
  <c r="AF356" i="2"/>
  <c r="AF404" i="2"/>
  <c r="AF959" i="2"/>
  <c r="AF960" i="2"/>
  <c r="AF1254" i="2"/>
  <c r="AF1255" i="2"/>
  <c r="AF721" i="2"/>
  <c r="AF720" i="2"/>
  <c r="AF1284" i="2"/>
  <c r="AF1285" i="2"/>
  <c r="AF394" i="2"/>
  <c r="AF449" i="2"/>
  <c r="AF1522" i="2"/>
  <c r="AF1523" i="2"/>
  <c r="AF195" i="2"/>
  <c r="AF420" i="2"/>
  <c r="AF434" i="2"/>
  <c r="AF986" i="2"/>
  <c r="AF1041" i="2"/>
  <c r="AF578" i="2"/>
  <c r="AF584" i="2"/>
  <c r="AF1085" i="2"/>
  <c r="AF1303" i="2"/>
  <c r="AF1520" i="2"/>
  <c r="AF1521" i="2"/>
  <c r="AF443" i="2"/>
  <c r="AF502" i="2"/>
  <c r="AF1066" i="2"/>
  <c r="AF1245" i="2"/>
  <c r="AF323" i="2"/>
  <c r="AF324" i="2"/>
  <c r="AF325" i="2"/>
  <c r="AF326" i="2"/>
  <c r="AF327" i="2"/>
  <c r="AF328" i="2"/>
  <c r="AF577" i="2"/>
  <c r="AF649" i="2"/>
  <c r="AF1518" i="2"/>
  <c r="AF1519" i="2"/>
  <c r="AF307" i="2"/>
  <c r="AF883" i="2"/>
  <c r="AF1029" i="2"/>
  <c r="AF1079" i="2"/>
  <c r="AF1080" i="2"/>
  <c r="AF1081" i="2"/>
  <c r="AF1082" i="2"/>
  <c r="AF287" i="2"/>
  <c r="AF1070" i="2"/>
  <c r="AF1071" i="2"/>
  <c r="AF467" i="2"/>
  <c r="AF950" i="2"/>
  <c r="AF634" i="2"/>
  <c r="AF864" i="2"/>
  <c r="AF865" i="2"/>
  <c r="AF386" i="2"/>
  <c r="AF926" i="2"/>
  <c r="AF1199" i="2"/>
  <c r="AF1240" i="2"/>
  <c r="AF522" i="2"/>
  <c r="AF660" i="2"/>
  <c r="AF676" i="2"/>
  <c r="AF677" i="2"/>
  <c r="AF723" i="2"/>
  <c r="AF1224" i="2"/>
  <c r="AF1225" i="2"/>
  <c r="AF1230" i="2"/>
  <c r="AF1554" i="2"/>
  <c r="AF620" i="2"/>
  <c r="AF621" i="2"/>
  <c r="AF513" i="2"/>
  <c r="AF819" i="2"/>
  <c r="AF820" i="2"/>
  <c r="AF821" i="2"/>
  <c r="AF822" i="2"/>
  <c r="AF823" i="2"/>
  <c r="AF824" i="2"/>
  <c r="AF825" i="2"/>
  <c r="AF826" i="2"/>
  <c r="AF827" i="2"/>
  <c r="AF828" i="2"/>
  <c r="AF829" i="2"/>
  <c r="AF830" i="2"/>
  <c r="AF831" i="2"/>
  <c r="AF832" i="2"/>
  <c r="AF833" i="2"/>
  <c r="AF834" i="2"/>
  <c r="AF527" i="2"/>
  <c r="AF1084" i="2"/>
  <c r="AF1193" i="2"/>
  <c r="AF1010" i="2"/>
  <c r="AF1211" i="2"/>
  <c r="AF1154" i="2"/>
  <c r="AF27" i="2"/>
  <c r="AF30" i="2"/>
  <c r="AF31" i="2"/>
  <c r="AF32" i="2"/>
  <c r="AF33" i="2"/>
  <c r="AF34" i="2"/>
  <c r="AF35" i="2"/>
  <c r="AF36" i="2"/>
  <c r="AF724" i="2"/>
  <c r="AF725" i="2"/>
  <c r="AF514" i="2"/>
  <c r="AF322" i="2"/>
  <c r="AF321" i="2"/>
  <c r="AF526" i="2"/>
  <c r="AF320" i="2"/>
  <c r="AF592" i="2"/>
  <c r="AF593" i="2"/>
  <c r="AF594" i="2"/>
  <c r="AF595" i="2"/>
  <c r="AF596" i="2"/>
  <c r="AF597" i="2"/>
  <c r="AF868" i="2"/>
  <c r="AF888" i="2"/>
  <c r="AF1244" i="2"/>
  <c r="AF1260" i="2"/>
  <c r="AF1261" i="2"/>
  <c r="AF1262" i="2"/>
  <c r="AF1263" i="2"/>
  <c r="AF1264" i="2"/>
  <c r="AF1265" i="2"/>
  <c r="AF1296" i="2"/>
  <c r="AF119" i="2"/>
  <c r="AF529" i="2"/>
  <c r="AF1040" i="2"/>
  <c r="AF306" i="2"/>
  <c r="AF5" i="2"/>
  <c r="AF1299" i="2"/>
  <c r="AF1226" i="2"/>
  <c r="AF1227" i="2"/>
  <c r="AF1166" i="2"/>
  <c r="AF1239" i="2"/>
  <c r="AF453" i="2"/>
  <c r="AF953" i="2"/>
  <c r="AF1167" i="2"/>
  <c r="AF1584" i="2"/>
  <c r="AF759" i="2"/>
  <c r="AF708"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76" i="2"/>
  <c r="AF1013" i="2"/>
  <c r="AF1014" i="2"/>
  <c r="AF1016" i="2"/>
  <c r="AF1017" i="2"/>
  <c r="AF441" i="2"/>
  <c r="AF1247" i="2"/>
  <c r="AF1248" i="2"/>
  <c r="AF310" i="2"/>
  <c r="AF311" i="2"/>
  <c r="AF312" i="2"/>
  <c r="AF313" i="2"/>
  <c r="AF1282" i="2"/>
  <c r="AF1283" i="2"/>
  <c r="AF1148" i="2"/>
  <c r="AF886" i="2"/>
  <c r="AF1019" i="2"/>
  <c r="AF633" i="2"/>
  <c r="AF885" i="2"/>
  <c r="AF920" i="2"/>
  <c r="AF921" i="2"/>
  <c r="AF985" i="2"/>
  <c r="AF497" i="2"/>
  <c r="AF576" i="2"/>
  <c r="AF192" i="2"/>
  <c r="AF501" i="2"/>
  <c r="AF896" i="2"/>
  <c r="AF897" i="2"/>
  <c r="AF898" i="2"/>
  <c r="AF899" i="2"/>
  <c r="AF1065" i="2"/>
  <c r="AF1147" i="2"/>
  <c r="AF1153" i="2"/>
  <c r="AF937" i="2"/>
  <c r="AF385" i="2"/>
  <c r="AF1187" i="2"/>
  <c r="AF1544" i="2"/>
  <c r="AF528" i="2"/>
  <c r="AF200" i="2"/>
  <c r="AF201" i="2"/>
  <c r="AF202" i="2"/>
  <c r="AF203" i="2"/>
  <c r="AF204" i="2"/>
  <c r="AF205" i="2"/>
  <c r="AF206" i="2"/>
  <c r="AF207" i="2"/>
  <c r="AF610" i="2"/>
  <c r="AF839" i="2"/>
  <c r="AF840" i="2"/>
  <c r="AF1203" i="2"/>
  <c r="AF355" i="2"/>
  <c r="AF849" i="2"/>
  <c r="AF850" i="2"/>
  <c r="AF851" i="2"/>
  <c r="AF852" i="2"/>
  <c r="AF853" i="2"/>
  <c r="AF854" i="2"/>
  <c r="AF855" i="2"/>
  <c r="AF856" i="2"/>
  <c r="AF857" i="2"/>
  <c r="AF858" i="2"/>
  <c r="AF859" i="2"/>
  <c r="AF860" i="2"/>
  <c r="AF861" i="2"/>
  <c r="AF862" i="2"/>
  <c r="AF863" i="2"/>
  <c r="AF988" i="2"/>
  <c r="AF1135" i="2"/>
  <c r="AF782"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574" i="2"/>
  <c r="AF273" i="2"/>
  <c r="AF632" i="2"/>
  <c r="AF763" i="2"/>
  <c r="AF918" i="2"/>
  <c r="AF919" i="2"/>
  <c r="AF933" i="2"/>
  <c r="AF1018" i="2"/>
  <c r="AF90" i="2"/>
  <c r="AF93" i="2"/>
  <c r="AF1558" i="2"/>
  <c r="AF1165" i="2"/>
  <c r="AF548" i="2"/>
  <c r="AF549" i="2"/>
  <c r="AF550" i="2"/>
  <c r="AF551" i="2"/>
  <c r="AF552" i="2"/>
  <c r="AF553" i="2"/>
  <c r="AF644" i="2"/>
  <c r="AF1064" i="2"/>
  <c r="AF4" i="2"/>
  <c r="AF381" i="2"/>
  <c r="AF421" i="2"/>
  <c r="AF1021" i="2"/>
  <c r="AF487" i="2"/>
  <c r="AF444" i="2"/>
  <c r="AF762" i="2"/>
  <c r="AF1037" i="2"/>
  <c r="AF972" i="2"/>
  <c r="AF1178" i="2"/>
  <c r="AF428" i="2"/>
  <c r="AF781" i="2"/>
  <c r="AF1020" i="2"/>
  <c r="AF932" i="2"/>
  <c r="AF1232" i="2"/>
  <c r="AF511" i="2"/>
  <c r="AF652" i="2"/>
  <c r="AF1276" i="2"/>
  <c r="AF1277" i="2"/>
  <c r="AF500" i="2"/>
  <c r="AF952" i="2"/>
  <c r="AF1300" i="2"/>
  <c r="AF949" i="2"/>
  <c r="AF167" i="2"/>
  <c r="AF1298" i="2"/>
  <c r="AF845" i="2"/>
  <c r="AF846" i="2"/>
  <c r="AF1210" i="2"/>
  <c r="AF1173" i="2"/>
  <c r="AF135" i="2"/>
  <c r="AF418" i="2"/>
  <c r="AF607" i="2"/>
  <c r="AF343" i="2"/>
  <c r="AF344" i="2"/>
  <c r="AF345" i="2"/>
  <c r="AF346" i="2"/>
  <c r="AF347" i="2"/>
  <c r="AF348" i="2"/>
  <c r="AF349" i="2"/>
  <c r="AF350" i="2"/>
  <c r="AF351" i="2"/>
  <c r="AF352" i="2"/>
  <c r="AF353" i="2"/>
  <c r="AF354" i="2"/>
  <c r="AF471" i="2"/>
  <c r="AF557" i="2"/>
  <c r="AF667" i="2"/>
  <c r="AF707" i="2"/>
  <c r="AF338" i="2"/>
  <c r="AF417" i="2"/>
  <c r="AF1031" i="2"/>
  <c r="AF1158" i="2"/>
  <c r="AF1274" i="2"/>
  <c r="AF1275" i="2"/>
  <c r="AF1007" i="2"/>
  <c r="AF909" i="2"/>
  <c r="AF1202" i="2"/>
  <c r="AF675" i="2"/>
  <c r="AF716" i="2"/>
  <c r="AF637" i="2"/>
  <c r="AF598" i="2"/>
  <c r="AF1192" i="2"/>
  <c r="AF766" i="2"/>
  <c r="AF867" i="2"/>
  <c r="AF1243" i="2"/>
  <c r="AF296" i="2"/>
  <c r="AF413" i="2"/>
  <c r="AF951" i="2"/>
  <c r="AF1273" i="2"/>
  <c r="AF779" i="2"/>
  <c r="AF1139" i="2"/>
  <c r="AF768" i="2"/>
  <c r="AF838" i="2"/>
  <c r="AF870" i="2"/>
  <c r="AF940" i="2"/>
  <c r="AF2066" i="2"/>
  <c r="AF337" i="2"/>
  <c r="AF1030" i="2"/>
  <c r="AF1842" i="2"/>
  <c r="AF68" i="2"/>
  <c r="AF570" i="2"/>
  <c r="AF993" i="2"/>
  <c r="AF1189" i="2"/>
  <c r="AF123" i="2"/>
  <c r="AF1083" i="2"/>
  <c r="AF636" i="2"/>
  <c r="AF939" i="2"/>
  <c r="AF866" i="2"/>
  <c r="AF1242" i="2"/>
  <c r="AF393" i="2"/>
  <c r="AF1150" i="2"/>
  <c r="AF651" i="2"/>
  <c r="AF609" i="2"/>
  <c r="AF12" i="2"/>
  <c r="AF873" i="2"/>
  <c r="AF1250" i="2"/>
  <c r="AF1201" i="2"/>
  <c r="AF521" i="2"/>
  <c r="AF630" i="2"/>
  <c r="AF908" i="2"/>
  <c r="AF575" i="2"/>
  <c r="AF931" i="2"/>
  <c r="AF216" i="2"/>
  <c r="AF1302" i="2"/>
  <c r="AF133" i="2"/>
  <c r="AF134" i="2"/>
  <c r="AF92" i="2"/>
  <c r="AF935" i="2"/>
  <c r="AF1142" i="2"/>
  <c r="AF1183" i="2"/>
  <c r="AF107" i="2"/>
  <c r="AF499" i="2"/>
  <c r="AF1036" i="2"/>
  <c r="AF942" i="2"/>
  <c r="AF1249" i="2"/>
  <c r="AF178" i="2"/>
  <c r="AF773" i="2"/>
  <c r="AF11" i="2"/>
  <c r="AF837" i="2"/>
  <c r="AF1184" i="2"/>
  <c r="AF1191" i="2"/>
  <c r="AF131" i="2"/>
  <c r="AF132" i="2"/>
  <c r="AF930" i="2"/>
  <c r="AF1272" i="2"/>
  <c r="AF486" i="2"/>
  <c r="AF517" i="2"/>
  <c r="AF194" i="2"/>
  <c r="AF1295" i="2"/>
  <c r="AF83" i="2"/>
  <c r="AF129" i="2"/>
  <c r="AF1176" i="2"/>
  <c r="AF1231" i="2"/>
  <c r="AF1034" i="2"/>
  <c r="AF1006" i="2"/>
  <c r="AF1164" i="2"/>
  <c r="AF1325" i="2"/>
  <c r="AF429" i="2"/>
  <c r="AF427" i="2"/>
  <c r="AF1179" i="2"/>
  <c r="AF1297" i="2"/>
  <c r="AF836" i="2"/>
  <c r="AF1141" i="2"/>
  <c r="AF674" i="2"/>
  <c r="AF147" i="2"/>
  <c r="AF835" i="2"/>
  <c r="AF2162" i="2"/>
  <c r="AF452" i="2"/>
  <c r="AF848" i="2"/>
  <c r="AF771" i="2"/>
  <c r="AF569" i="2"/>
  <c r="AF146" i="2"/>
  <c r="AF1172" i="2"/>
  <c r="AF25" i="2"/>
  <c r="AF52" i="2"/>
  <c r="AF67" i="2"/>
  <c r="AF2064" i="2"/>
  <c r="AF2065" i="2"/>
  <c r="AF106" i="2"/>
  <c r="AF1149" i="2"/>
  <c r="AF1271" i="2"/>
  <c r="AF105" i="2"/>
  <c r="AF923" i="2"/>
  <c r="AF668" i="2"/>
  <c r="AF1257" i="2"/>
  <c r="AF1035" i="2"/>
  <c r="AF272" i="2"/>
  <c r="AF79" i="2"/>
  <c r="AF374" i="2"/>
  <c r="AF1157" i="2"/>
  <c r="AF1177" i="2"/>
  <c r="AF715" i="2"/>
  <c r="AF943" i="2"/>
  <c r="AF769" i="2"/>
  <c r="AF1294" i="2"/>
  <c r="AF23" i="2"/>
  <c r="AF1171" i="2"/>
  <c r="AF24" i="2"/>
  <c r="AF1028" i="2"/>
  <c r="AF425" i="2"/>
  <c r="AF22" i="2"/>
  <c r="AF1140" i="2"/>
  <c r="AF440" i="2"/>
  <c r="AF506" i="2"/>
  <c r="AF872" i="2"/>
  <c r="AF1286" i="2"/>
  <c r="AF1270" i="2"/>
  <c r="AF778" i="2"/>
  <c r="AF128" i="2"/>
  <c r="AF157" i="2"/>
  <c r="AF271" i="2"/>
  <c r="AF1089" i="2"/>
  <c r="AF336" i="2"/>
  <c r="AF1027" i="2"/>
  <c r="AF1088" i="2"/>
  <c r="AF673" i="2"/>
  <c r="AF510" i="2"/>
  <c r="AF63" i="2"/>
  <c r="AF1229" i="2"/>
  <c r="AF1156" i="2"/>
  <c r="AF156" i="2"/>
  <c r="AF520" i="2"/>
  <c r="AF1293" i="2"/>
  <c r="AF193" i="2"/>
  <c r="AF1000" i="2"/>
  <c r="AF112" i="2"/>
  <c r="AF770" i="2"/>
  <c r="AF1228" i="2"/>
  <c r="AF2062" i="2"/>
  <c r="AF2063" i="2"/>
  <c r="AF412" i="2"/>
  <c r="AF1182" i="2"/>
  <c r="AF1033" i="2"/>
  <c r="AF1155" i="2"/>
  <c r="AF373" i="2"/>
  <c r="AF655" i="2"/>
  <c r="AF970" i="2"/>
  <c r="AF1138" i="2"/>
  <c r="AF999" i="2"/>
  <c r="AF77" i="2"/>
  <c r="AF765" i="2"/>
  <c r="AF871" i="2"/>
  <c r="AF1058" i="2"/>
  <c r="AF1059" i="2"/>
  <c r="AF1324" i="2"/>
  <c r="AF719" i="2"/>
  <c r="AF772" i="2"/>
  <c r="AF922" i="2"/>
  <c r="AF122" i="2"/>
  <c r="AF1256" i="2"/>
  <c r="AF509" i="2"/>
  <c r="AF1087" i="2"/>
  <c r="AF672" i="2"/>
  <c r="AF78" i="2"/>
  <c r="AF764" i="2"/>
  <c r="AF1086" i="2"/>
  <c r="AF998" i="2"/>
  <c r="AF565" i="2"/>
  <c r="AF566" i="2"/>
  <c r="AF842" i="2"/>
  <c r="AF843" i="2"/>
  <c r="AF844" i="2"/>
  <c r="AF372" i="2"/>
  <c r="AF1137" i="2"/>
  <c r="AF847" i="2"/>
  <c r="AF965" i="2"/>
  <c r="AF519" i="2"/>
  <c r="AF371" i="2"/>
  <c r="AF1129" i="2"/>
  <c r="AF964" i="2"/>
  <c r="AF370" i="2"/>
  <c r="AF2161" i="2"/>
  <c r="AF963" i="2"/>
  <c r="AF966" i="2"/>
  <c r="AF369" i="2"/>
  <c r="AF1128" i="2"/>
  <c r="AF484" i="2"/>
  <c r="AF962" i="2"/>
  <c r="AF1220" i="2"/>
  <c r="AF368" i="2"/>
  <c r="AF718" i="2"/>
  <c r="AF1127" i="2"/>
  <c r="AF403" i="2"/>
  <c r="AF367" i="2"/>
  <c r="AF961" i="2"/>
  <c r="AF483" i="2"/>
  <c r="AF1126" i="2"/>
  <c r="AF786" i="2"/>
  <c r="AF1060" i="2"/>
  <c r="AF482" i="2"/>
  <c r="AF215" i="2"/>
  <c r="AF1125" i="2"/>
  <c r="AF481" i="2"/>
  <c r="AF480" i="2"/>
  <c r="AF121" i="2"/>
  <c r="AF1124" i="2"/>
  <c r="AF3" i="2"/>
  <c r="AF671" i="2"/>
  <c r="AF1123" i="2"/>
  <c r="AF1025" i="2"/>
  <c r="AF1026" i="2"/>
  <c r="AF1122" i="2"/>
  <c r="AF2" i="2"/>
  <c r="AF992" i="2"/>
  <c r="AF1121" i="2"/>
  <c r="AF479" i="2"/>
  <c r="AF191" i="2"/>
  <c r="AF777" i="2"/>
  <c r="AF3577" i="2"/>
  <c r="AF877" i="2"/>
  <c r="AF478" i="2"/>
  <c r="AF583" i="2"/>
  <c r="AF1175" i="2"/>
  <c r="AF477" i="2"/>
  <c r="AF582" i="2"/>
  <c r="AF476" i="2"/>
  <c r="AF2061" i="2"/>
  <c r="AF1219" i="2"/>
  <c r="AF717" i="2"/>
  <c r="AF996" i="2"/>
  <c r="AF997" i="2"/>
  <c r="AF1032" i="2"/>
  <c r="AF1174" i="2"/>
  <c r="AF1218" i="2"/>
  <c r="AF488" i="2"/>
  <c r="AF489" i="2"/>
  <c r="AF490" i="2"/>
  <c r="AF785" i="2"/>
  <c r="AF587" i="2"/>
  <c r="AF776" i="2"/>
  <c r="AF586" i="2"/>
  <c r="AF3766" i="2"/>
  <c r="AG554" i="2"/>
  <c r="AG586" i="2"/>
  <c r="AG890" i="2"/>
  <c r="AG889" i="2"/>
  <c r="AG776" i="2"/>
  <c r="AG587" i="2"/>
  <c r="AG785" i="2"/>
  <c r="AG490" i="2"/>
  <c r="AG489" i="2"/>
  <c r="AG488" i="2"/>
  <c r="AG1218" i="2"/>
  <c r="AG1174" i="2"/>
  <c r="AG1032" i="2"/>
  <c r="AG1253" i="2"/>
  <c r="AG997" i="2"/>
  <c r="AG996" i="2"/>
  <c r="AG717" i="2"/>
  <c r="AG1219" i="2"/>
  <c r="AG2061" i="2"/>
  <c r="AG476" i="2"/>
  <c r="AG582" i="2"/>
  <c r="AG477" i="2"/>
  <c r="AG1175" i="2"/>
  <c r="AG583" i="2"/>
  <c r="AG478" i="2"/>
  <c r="AG877" i="2"/>
  <c r="AG3577" i="2"/>
  <c r="AG777" i="2"/>
  <c r="AG191" i="2"/>
  <c r="AG479" i="2"/>
  <c r="AG1121" i="2"/>
  <c r="AG992" i="2"/>
  <c r="AG2" i="2"/>
  <c r="AG1122" i="2"/>
  <c r="AG1026" i="2"/>
  <c r="AG1025" i="2"/>
  <c r="AG1123" i="2"/>
  <c r="AG1252" i="2"/>
  <c r="AG671" i="2"/>
  <c r="AG3" i="2"/>
  <c r="AG1124" i="2"/>
  <c r="AG121" i="2"/>
  <c r="AG480" i="2"/>
  <c r="AG481" i="2"/>
  <c r="AG555" i="2"/>
  <c r="AG1125" i="2"/>
  <c r="AG215" i="2"/>
  <c r="AG482" i="2"/>
  <c r="AG1060" i="2"/>
  <c r="AG786" i="2"/>
  <c r="AG1126" i="2"/>
  <c r="AG483" i="2"/>
  <c r="AG961" i="2"/>
  <c r="AG367" i="2"/>
  <c r="AG403" i="2"/>
  <c r="AG1127" i="2"/>
  <c r="AG718" i="2"/>
  <c r="AG368" i="2"/>
  <c r="AG1220" i="2"/>
  <c r="AG962" i="2"/>
  <c r="AG484" i="2"/>
  <c r="AG1128" i="2"/>
  <c r="AG369" i="2"/>
  <c r="AG966" i="2"/>
  <c r="AG963" i="2"/>
  <c r="AG2161" i="2"/>
  <c r="AG370" i="2"/>
  <c r="AG964" i="2"/>
  <c r="AG1129" i="2"/>
  <c r="AG371" i="2"/>
  <c r="AG519" i="2"/>
  <c r="AG965" i="2"/>
  <c r="AG847" i="2"/>
  <c r="AG1137" i="2"/>
  <c r="AG372" i="2"/>
  <c r="AG844" i="2"/>
  <c r="AG843" i="2"/>
  <c r="AG842" i="2"/>
  <c r="AG566" i="2"/>
  <c r="AG565" i="2"/>
  <c r="AG998" i="2"/>
  <c r="AG1086" i="2"/>
  <c r="AG764" i="2"/>
  <c r="AG642" i="2"/>
  <c r="AG78" i="2"/>
  <c r="AG672" i="2"/>
  <c r="AG1087" i="2"/>
  <c r="AG509" i="2"/>
  <c r="AG1256" i="2"/>
  <c r="AG122" i="2"/>
  <c r="AG922" i="2"/>
  <c r="AG772" i="2"/>
  <c r="AG719" i="2"/>
  <c r="AG1324" i="2"/>
  <c r="AG1059" i="2"/>
  <c r="AG1058" i="2"/>
  <c r="AG871" i="2"/>
  <c r="AG765" i="2"/>
  <c r="AG77" i="2"/>
  <c r="AG999" i="2"/>
  <c r="AG1138" i="2"/>
  <c r="AG970" i="2"/>
  <c r="AG655" i="2"/>
  <c r="AG373" i="2"/>
  <c r="AG1155" i="2"/>
  <c r="AG1033" i="2"/>
  <c r="AG580" i="2"/>
  <c r="AG1182" i="2"/>
  <c r="AG412" i="2"/>
  <c r="AG2063" i="2"/>
  <c r="AG2062" i="2"/>
  <c r="AG1228" i="2"/>
  <c r="AG770" i="2"/>
  <c r="AG112" i="2"/>
  <c r="AG1000" i="2"/>
  <c r="AG193" i="2"/>
  <c r="AG1293" i="2"/>
  <c r="AG520" i="2"/>
  <c r="AG156" i="2"/>
  <c r="AG1156" i="2"/>
  <c r="AG1229" i="2"/>
  <c r="AG2181" i="2"/>
  <c r="AG63" i="2"/>
  <c r="AG510" i="2"/>
  <c r="AG673" i="2"/>
  <c r="AG1088" i="2"/>
  <c r="AG1027" i="2"/>
  <c r="AG336" i="2"/>
  <c r="AG1089" i="2"/>
  <c r="AG271" i="2"/>
  <c r="AG157" i="2"/>
  <c r="AG780" i="2"/>
  <c r="AG128" i="2"/>
  <c r="AG778" i="2"/>
  <c r="AG1270" i="2"/>
  <c r="AG1286" i="2"/>
  <c r="AG872" i="2"/>
  <c r="AG506" i="2"/>
  <c r="AG440" i="2"/>
  <c r="AG1140" i="2"/>
  <c r="AG22" i="2"/>
  <c r="AG425" i="2"/>
  <c r="AG1028" i="2"/>
  <c r="AG24" i="2"/>
  <c r="AG1171" i="2"/>
  <c r="AG23" i="2"/>
  <c r="AG1294" i="2"/>
  <c r="AG769" i="2"/>
  <c r="AG943" i="2"/>
  <c r="AG715" i="2"/>
  <c r="AG1177" i="2"/>
  <c r="AG2253" i="2"/>
  <c r="AG1157" i="2"/>
  <c r="AG374" i="2"/>
  <c r="AG79" i="2"/>
  <c r="AG272" i="2"/>
  <c r="AG1035" i="2"/>
  <c r="AG1257" i="2"/>
  <c r="AG668" i="2"/>
  <c r="AG923" i="2"/>
  <c r="AG105" i="2"/>
  <c r="AG1271" i="2"/>
  <c r="AG1149" i="2"/>
  <c r="AG106" i="2"/>
  <c r="AG2065" i="2"/>
  <c r="AG2064" i="2"/>
  <c r="AG67" i="2"/>
  <c r="AG52" i="2"/>
  <c r="AG25" i="2"/>
  <c r="AG1172" i="2"/>
  <c r="AG146" i="2"/>
  <c r="AG569" i="2"/>
  <c r="AG771" i="2"/>
  <c r="AG848" i="2"/>
  <c r="AG452" i="2"/>
  <c r="AG2162" i="2"/>
  <c r="AG835" i="2"/>
  <c r="AG147" i="2"/>
  <c r="AG674" i="2"/>
  <c r="AG1141" i="2"/>
  <c r="AG836" i="2"/>
  <c r="AG1297" i="2"/>
  <c r="AG971" i="2"/>
  <c r="AG1179" i="2"/>
  <c r="AG427" i="2"/>
  <c r="AG429" i="2"/>
  <c r="AG1325" i="2"/>
  <c r="AG1164" i="2"/>
  <c r="AG1006" i="2"/>
  <c r="AG1034" i="2"/>
  <c r="AG1231" i="2"/>
  <c r="AG1176" i="2"/>
  <c r="AG129" i="2"/>
  <c r="AG83" i="2"/>
  <c r="AG1295" i="2"/>
  <c r="AG194" i="2"/>
  <c r="AG2182" i="2"/>
  <c r="AG643" i="2"/>
  <c r="AG517" i="2"/>
  <c r="AG486" i="2"/>
  <c r="AG1272" i="2"/>
  <c r="AG930" i="2"/>
  <c r="AG132" i="2"/>
  <c r="AG131" i="2"/>
  <c r="AG1191" i="2"/>
  <c r="AG1184" i="2"/>
  <c r="AG837" i="2"/>
  <c r="AG11" i="2"/>
  <c r="AG773" i="2"/>
  <c r="AG178" i="2"/>
  <c r="AG1249" i="2"/>
  <c r="AG942" i="2"/>
  <c r="AG1036" i="2"/>
  <c r="AG499" i="2"/>
  <c r="AG107" i="2"/>
  <c r="AG1183" i="2"/>
  <c r="AG1142" i="2"/>
  <c r="AG935" i="2"/>
  <c r="AG92" i="2"/>
  <c r="AG134" i="2"/>
  <c r="AG133" i="2"/>
  <c r="AG1302" i="2"/>
  <c r="AG216" i="2"/>
  <c r="AG931" i="2"/>
  <c r="AG575" i="2"/>
  <c r="AG908" i="2"/>
  <c r="AG630" i="2"/>
  <c r="AG521" i="2"/>
  <c r="AG1201" i="2"/>
  <c r="AG1250" i="2"/>
  <c r="AG873" i="2"/>
  <c r="AG12" i="2"/>
  <c r="AG609" i="2"/>
  <c r="AG651" i="2"/>
  <c r="AG1150" i="2"/>
  <c r="AG393" i="2"/>
  <c r="AG1242" i="2"/>
  <c r="AG866" i="2"/>
  <c r="AG939" i="2"/>
  <c r="AG636" i="2"/>
  <c r="AG1083" i="2"/>
  <c r="AG123" i="2"/>
  <c r="AG1189" i="2"/>
  <c r="AG993" i="2"/>
  <c r="AG570" i="2"/>
  <c r="AG68" i="2"/>
  <c r="AG1842" i="2"/>
  <c r="AG1030" i="2"/>
  <c r="AG337" i="2"/>
  <c r="AG2066" i="2"/>
  <c r="AG940" i="2"/>
  <c r="AG870" i="2"/>
  <c r="AG838" i="2"/>
  <c r="AG768" i="2"/>
  <c r="AG1139" i="2"/>
  <c r="AG779" i="2"/>
  <c r="AG1273" i="2"/>
  <c r="AG951" i="2"/>
  <c r="AG413" i="2"/>
  <c r="AG296" i="2"/>
  <c r="AG1243" i="2"/>
  <c r="AG867" i="2"/>
  <c r="AG766" i="2"/>
  <c r="AG1192" i="2"/>
  <c r="AG598" i="2"/>
  <c r="AG637" i="2"/>
  <c r="AG716" i="2"/>
  <c r="AG675" i="2"/>
  <c r="AG1202" i="2"/>
  <c r="AG909" i="2"/>
  <c r="AG1007" i="2"/>
  <c r="AG1275" i="2"/>
  <c r="AG1274" i="2"/>
  <c r="AG1158" i="2"/>
  <c r="AG1031" i="2"/>
  <c r="AG417" i="2"/>
  <c r="AG338" i="2"/>
  <c r="AG707" i="2"/>
  <c r="AG667" i="2"/>
  <c r="AG557" i="2"/>
  <c r="AG471" i="2"/>
  <c r="AG354" i="2"/>
  <c r="AG353" i="2"/>
  <c r="AG352" i="2"/>
  <c r="AG351" i="2"/>
  <c r="AG350" i="2"/>
  <c r="AG349" i="2"/>
  <c r="AG348" i="2"/>
  <c r="AG347" i="2"/>
  <c r="AG346" i="2"/>
  <c r="AG345" i="2"/>
  <c r="AG344" i="2"/>
  <c r="AG343" i="2"/>
  <c r="AG607" i="2"/>
  <c r="AG418" i="2"/>
  <c r="AG135" i="2"/>
  <c r="AG1173" i="2"/>
  <c r="AG1210" i="2"/>
  <c r="AG846" i="2"/>
  <c r="AG845" i="2"/>
  <c r="AG1298" i="2"/>
  <c r="AG167" i="2"/>
  <c r="AG949" i="2"/>
  <c r="AG1300" i="2"/>
  <c r="AG952" i="2"/>
  <c r="AG500" i="2"/>
  <c r="AG1277" i="2"/>
  <c r="AG1276" i="2"/>
  <c r="AG652" i="2"/>
  <c r="AG511" i="2"/>
  <c r="AG1232" i="2"/>
  <c r="AG932" i="2"/>
  <c r="AG1020" i="2"/>
  <c r="AG781" i="2"/>
  <c r="AG428" i="2"/>
  <c r="AG1178" i="2"/>
  <c r="AG972" i="2"/>
  <c r="AG1037" i="2"/>
  <c r="AG762" i="2"/>
  <c r="AG444" i="2"/>
  <c r="AG487" i="2"/>
  <c r="AG1021" i="2"/>
  <c r="AG421" i="2"/>
  <c r="AG381" i="2"/>
  <c r="AG4" i="2"/>
  <c r="AG2183" i="2"/>
  <c r="AG1064" i="2"/>
  <c r="AG644" i="2"/>
  <c r="AG553" i="2"/>
  <c r="AG552" i="2"/>
  <c r="AG551" i="2"/>
  <c r="AG550" i="2"/>
  <c r="AG549" i="2"/>
  <c r="AG548" i="2"/>
  <c r="AG1165" i="2"/>
  <c r="AG1558" i="2"/>
  <c r="AG93" i="2"/>
  <c r="AG90" i="2"/>
  <c r="AG1018" i="2"/>
  <c r="AG933" i="2"/>
  <c r="AG919" i="2"/>
  <c r="AG918" i="2"/>
  <c r="AG763" i="2"/>
  <c r="AG632" i="2"/>
  <c r="AG273" i="2"/>
  <c r="AG574" i="2"/>
  <c r="AG2714" i="2"/>
  <c r="AG2713" i="2"/>
  <c r="AG2712" i="2"/>
  <c r="AG2711" i="2"/>
  <c r="AG2710" i="2"/>
  <c r="AG2709" i="2"/>
  <c r="AG2708" i="2"/>
  <c r="AG2707" i="2"/>
  <c r="AG2706" i="2"/>
  <c r="AG2705" i="2"/>
  <c r="AG2704" i="2"/>
  <c r="AG2703" i="2"/>
  <c r="AG2702" i="2"/>
  <c r="AG2701" i="2"/>
  <c r="AG2700" i="2"/>
  <c r="AG2699" i="2"/>
  <c r="AG2698" i="2"/>
  <c r="AG2697" i="2"/>
  <c r="AG2696" i="2"/>
  <c r="AG2695" i="2"/>
  <c r="AG2694" i="2"/>
  <c r="AG2693" i="2"/>
  <c r="AG2692" i="2"/>
  <c r="AG2691" i="2"/>
  <c r="AG782" i="2"/>
  <c r="AG1135" i="2"/>
  <c r="AG988" i="2"/>
  <c r="AG863" i="2"/>
  <c r="AG862" i="2"/>
  <c r="AG861" i="2"/>
  <c r="AG860" i="2"/>
  <c r="AG859" i="2"/>
  <c r="AG858" i="2"/>
  <c r="AG857" i="2"/>
  <c r="AG856" i="2"/>
  <c r="AG855" i="2"/>
  <c r="AG854" i="2"/>
  <c r="AG853" i="2"/>
  <c r="AG852" i="2"/>
  <c r="AG851" i="2"/>
  <c r="AG850" i="2"/>
  <c r="AG849" i="2"/>
  <c r="AG355" i="2"/>
  <c r="AG1203" i="2"/>
  <c r="AG840" i="2"/>
  <c r="AG839" i="2"/>
  <c r="AG610" i="2"/>
  <c r="AG207" i="2"/>
  <c r="AG206" i="2"/>
  <c r="AG205" i="2"/>
  <c r="AG204" i="2"/>
  <c r="AG203" i="2"/>
  <c r="AG202" i="2"/>
  <c r="AG201" i="2"/>
  <c r="AG200" i="2"/>
  <c r="AG528" i="2"/>
  <c r="AG1544" i="2"/>
  <c r="AG1187" i="2"/>
  <c r="AG385" i="2"/>
  <c r="AG937" i="2"/>
  <c r="AG1153" i="2"/>
  <c r="AG1147" i="2"/>
  <c r="AG1065" i="2"/>
  <c r="AG899" i="2"/>
  <c r="AG898" i="2"/>
  <c r="AG897" i="2"/>
  <c r="AG896" i="2"/>
  <c r="AG501" i="2"/>
  <c r="AG192" i="2"/>
  <c r="AG576" i="2"/>
  <c r="AG497" i="2"/>
  <c r="AG985" i="2"/>
  <c r="AG921" i="2"/>
  <c r="AG920" i="2"/>
  <c r="AG885" i="2"/>
  <c r="AG633" i="2"/>
  <c r="AG1019" i="2"/>
  <c r="AG886" i="2"/>
  <c r="AG1148" i="2"/>
  <c r="AG1283" i="2"/>
  <c r="AG1282" i="2"/>
  <c r="AG313" i="2"/>
  <c r="AG312" i="2"/>
  <c r="AG311" i="2"/>
  <c r="AG310" i="2"/>
  <c r="AG1248" i="2"/>
  <c r="AG1247" i="2"/>
  <c r="AG441" i="2"/>
  <c r="AG1017" i="2"/>
  <c r="AG1016" i="2"/>
  <c r="AG1014" i="2"/>
  <c r="AG1013" i="2"/>
  <c r="AG876" i="2"/>
  <c r="AG818" i="2"/>
  <c r="AG817" i="2"/>
  <c r="AG816" i="2"/>
  <c r="AG815" i="2"/>
  <c r="AG814" i="2"/>
  <c r="AG813" i="2"/>
  <c r="AG812" i="2"/>
  <c r="AG811" i="2"/>
  <c r="AG810" i="2"/>
  <c r="AG809" i="2"/>
  <c r="AG808" i="2"/>
  <c r="AG807" i="2"/>
  <c r="AG806" i="2"/>
  <c r="AG805" i="2"/>
  <c r="AG804" i="2"/>
  <c r="AG803" i="2"/>
  <c r="AG802" i="2"/>
  <c r="AG801" i="2"/>
  <c r="AG800" i="2"/>
  <c r="AG799" i="2"/>
  <c r="AG798" i="2"/>
  <c r="AG797" i="2"/>
  <c r="AG796" i="2"/>
  <c r="AG795" i="2"/>
  <c r="AG794" i="2"/>
  <c r="AG793" i="2"/>
  <c r="AG792" i="2"/>
  <c r="AG791" i="2"/>
  <c r="AG790" i="2"/>
  <c r="AG789" i="2"/>
  <c r="AG788" i="2"/>
  <c r="AG787" i="2"/>
  <c r="AG708" i="2"/>
  <c r="AG759" i="2"/>
  <c r="AG1584" i="2"/>
  <c r="AG1167" i="2"/>
  <c r="AG953" i="2"/>
  <c r="AG453" i="2"/>
  <c r="AG1239" i="2"/>
  <c r="AG1166" i="2"/>
  <c r="AG1227" i="2"/>
  <c r="AG1226" i="2"/>
  <c r="AG1299" i="2"/>
  <c r="AG5" i="2"/>
  <c r="AG306" i="2"/>
  <c r="AG1040" i="2"/>
  <c r="AG529" i="2"/>
  <c r="AG119" i="2"/>
  <c r="AG1296" i="2"/>
  <c r="AG1265" i="2"/>
  <c r="AG1264" i="2"/>
  <c r="AG1263" i="2"/>
  <c r="AG1262" i="2"/>
  <c r="AG1261" i="2"/>
  <c r="AG1260" i="2"/>
  <c r="AG1244" i="2"/>
  <c r="AG888" i="2"/>
  <c r="AG868" i="2"/>
  <c r="AG597" i="2"/>
  <c r="AG596" i="2"/>
  <c r="AG595" i="2"/>
  <c r="AG594" i="2"/>
  <c r="AG593" i="2"/>
  <c r="AG592" i="2"/>
  <c r="AG320" i="2"/>
  <c r="AG526" i="2"/>
  <c r="AG321" i="2"/>
  <c r="AG322" i="2"/>
  <c r="AG514" i="2"/>
  <c r="AG725" i="2"/>
  <c r="AG724" i="2"/>
  <c r="AG36" i="2"/>
  <c r="AG35" i="2"/>
  <c r="AG34" i="2"/>
  <c r="AG33" i="2"/>
  <c r="AG32" i="2"/>
  <c r="AG31" i="2"/>
  <c r="AG30" i="2"/>
  <c r="AG27" i="2"/>
  <c r="AG1154" i="2"/>
  <c r="AG1211" i="2"/>
  <c r="AG1010" i="2"/>
  <c r="AG1193" i="2"/>
  <c r="AG1084" i="2"/>
  <c r="AG527" i="2"/>
  <c r="AG834" i="2"/>
  <c r="AG833" i="2"/>
  <c r="AG832" i="2"/>
  <c r="AG831" i="2"/>
  <c r="AG830" i="2"/>
  <c r="AG829" i="2"/>
  <c r="AG828" i="2"/>
  <c r="AG827" i="2"/>
  <c r="AG826" i="2"/>
  <c r="AG825" i="2"/>
  <c r="AG824" i="2"/>
  <c r="AG823" i="2"/>
  <c r="AG822" i="2"/>
  <c r="AG821" i="2"/>
  <c r="AG820" i="2"/>
  <c r="AG819" i="2"/>
  <c r="AG513" i="2"/>
  <c r="AG621" i="2"/>
  <c r="AG620" i="2"/>
  <c r="AG1554" i="2"/>
  <c r="AG1230" i="2"/>
  <c r="AG1225" i="2"/>
  <c r="AG1224" i="2"/>
  <c r="AG723" i="2"/>
  <c r="AG677" i="2"/>
  <c r="AG676" i="2"/>
  <c r="AG660" i="2"/>
  <c r="AG522" i="2"/>
  <c r="AG1240" i="2"/>
  <c r="AG1199" i="2"/>
  <c r="AG926" i="2"/>
  <c r="AG386" i="2"/>
  <c r="AG865" i="2"/>
  <c r="AG864" i="2"/>
  <c r="AG634" i="2"/>
  <c r="AG950" i="2"/>
  <c r="AG467" i="2"/>
  <c r="AG1071" i="2"/>
  <c r="AG1070" i="2"/>
  <c r="AG287" i="2"/>
  <c r="AG1082" i="2"/>
  <c r="AG1081" i="2"/>
  <c r="AG1080" i="2"/>
  <c r="AG1079" i="2"/>
  <c r="AG1029" i="2"/>
  <c r="AG883" i="2"/>
  <c r="AG307" i="2"/>
  <c r="AG1519" i="2"/>
  <c r="AG1518" i="2"/>
  <c r="AG649" i="2"/>
  <c r="AG577" i="2"/>
  <c r="AG328" i="2"/>
  <c r="AG327" i="2"/>
  <c r="AG326" i="2"/>
  <c r="AG325" i="2"/>
  <c r="AG324" i="2"/>
  <c r="AG323" i="2"/>
  <c r="AG1245" i="2"/>
  <c r="AG1066" i="2"/>
  <c r="AG502" i="2"/>
  <c r="AG443" i="2"/>
  <c r="AG1521" i="2"/>
  <c r="AG1520" i="2"/>
  <c r="AG1303" i="2"/>
  <c r="AG1085" i="2"/>
  <c r="AG584" i="2"/>
  <c r="AG578" i="2"/>
  <c r="AG1041" i="2"/>
  <c r="AG986" i="2"/>
  <c r="AG434" i="2"/>
  <c r="AG420" i="2"/>
  <c r="AG195" i="2"/>
  <c r="AG1523" i="2"/>
  <c r="AG1522" i="2"/>
  <c r="AG449" i="2"/>
  <c r="AG394" i="2"/>
  <c r="AG1285" i="2"/>
  <c r="AG1284" i="2"/>
  <c r="AG720" i="2"/>
  <c r="AG721" i="2"/>
  <c r="AG1255" i="2"/>
  <c r="AG1254" i="2"/>
  <c r="AG960" i="2"/>
  <c r="AG959" i="2"/>
  <c r="AG404" i="2"/>
  <c r="AG356" i="2"/>
  <c r="AG1290" i="2"/>
  <c r="AG1289" i="2"/>
  <c r="AG608" i="2"/>
  <c r="AG1012" i="2"/>
  <c r="AG1011" i="2"/>
  <c r="AG1009" i="2"/>
  <c r="AG670" i="2"/>
  <c r="AG669" i="2"/>
  <c r="AG666" i="2"/>
  <c r="AG665" i="2"/>
  <c r="AG664" i="2"/>
  <c r="AG663" i="2"/>
  <c r="AG662" i="2"/>
  <c r="AG661" i="2"/>
  <c r="AG635" i="2"/>
  <c r="AG543" i="2"/>
  <c r="AG542" i="2"/>
  <c r="AG541" i="2"/>
  <c r="AG540" i="2"/>
  <c r="AG446" i="2"/>
  <c r="AG120" i="2"/>
  <c r="AG1045" i="2"/>
  <c r="AG1044" i="2"/>
  <c r="AG631" i="2"/>
  <c r="AG2039" i="2"/>
  <c r="AG2038" i="2"/>
  <c r="AG423" i="2"/>
  <c r="AG375" i="2"/>
  <c r="AG1238" i="2"/>
  <c r="AG340" i="2"/>
  <c r="AG339" i="2"/>
  <c r="AG911" i="2"/>
  <c r="AG910" i="2"/>
  <c r="AG2007" i="2"/>
  <c r="AG1067" i="2"/>
  <c r="AG274" i="2"/>
  <c r="AG217" i="2"/>
  <c r="AG722" i="2"/>
  <c r="AG1241" i="2"/>
  <c r="AG214" i="2"/>
  <c r="AG213" i="2"/>
  <c r="AG1136" i="2"/>
  <c r="AG1251" i="2"/>
  <c r="AG2035" i="2"/>
  <c r="AG1259" i="2"/>
  <c r="AG1258" i="2"/>
  <c r="AG1246" i="2"/>
  <c r="AG1042" i="2"/>
  <c r="AG628" i="2"/>
  <c r="AG567" i="2"/>
  <c r="AG726" i="2"/>
  <c r="AG579" i="2"/>
  <c r="AG461" i="2"/>
  <c r="AG1200" i="2"/>
  <c r="AG330" i="2"/>
  <c r="AG2006" i="2"/>
  <c r="AG2005" i="2"/>
  <c r="AG2004" i="2"/>
  <c r="AG2003" i="2"/>
  <c r="AG2002" i="2"/>
  <c r="AG2001" i="2"/>
  <c r="AG2000" i="2"/>
  <c r="AG1999" i="2"/>
  <c r="AG728" i="2"/>
  <c r="AG727" i="2"/>
  <c r="AG1163" i="2"/>
  <c r="AG2013" i="2"/>
  <c r="AG2012" i="2"/>
  <c r="AG2011" i="2"/>
  <c r="AG2010" i="2"/>
  <c r="AG884" i="2"/>
  <c r="AG438" i="2"/>
  <c r="AG437" i="2"/>
  <c r="AG729" i="2"/>
  <c r="AG436" i="2"/>
  <c r="AG384" i="2"/>
  <c r="AG1975" i="2"/>
  <c r="AG1168" i="2"/>
  <c r="AG536" i="2"/>
  <c r="AG468" i="2"/>
  <c r="AG1998" i="2"/>
  <c r="AG1310" i="2"/>
  <c r="AG1307" i="2"/>
  <c r="AG1997" i="2"/>
  <c r="AG1996" i="2"/>
  <c r="AG1995" i="2"/>
  <c r="AG1994" i="2"/>
  <c r="AG1993" i="2"/>
  <c r="AG1992" i="2"/>
  <c r="AG1991" i="2"/>
  <c r="AG1990" i="2"/>
  <c r="AG1989" i="2"/>
  <c r="AG1988" i="2"/>
  <c r="AG1987" i="2"/>
  <c r="AG1986" i="2"/>
  <c r="AG1985" i="2"/>
  <c r="AG1984" i="2"/>
  <c r="AG1983" i="2"/>
  <c r="AG1982" i="2"/>
  <c r="AG1981" i="2"/>
  <c r="AG1980" i="2"/>
  <c r="AG1979" i="2"/>
  <c r="AG1978" i="2"/>
  <c r="AG2048" i="2"/>
  <c r="AG329" i="2"/>
  <c r="AG1151" i="2"/>
  <c r="AG1119" i="2"/>
  <c r="AG1115" i="2"/>
  <c r="AG1068" i="2"/>
  <c r="AG505" i="2"/>
  <c r="AG2016" i="2"/>
  <c r="AG26" i="2"/>
  <c r="AG2021" i="2"/>
  <c r="AG1977" i="2"/>
  <c r="AG1120" i="2"/>
  <c r="AG1118" i="2"/>
  <c r="AG1117" i="2"/>
  <c r="AG1102" i="2"/>
  <c r="AG1116" i="2"/>
  <c r="AG1114" i="2"/>
  <c r="AG1112" i="2"/>
  <c r="AG1101" i="2"/>
  <c r="AG2023" i="2"/>
  <c r="AG2049" i="2"/>
  <c r="AG2017" i="2"/>
  <c r="AG1237" i="2"/>
  <c r="AG2040" i="2"/>
  <c r="AG2020" i="2"/>
  <c r="AG1976" i="2"/>
  <c r="AG1108" i="2"/>
  <c r="AG1107" i="2"/>
  <c r="AG1106" i="2"/>
  <c r="AG1105" i="2"/>
  <c r="AG1104" i="2"/>
  <c r="AG1103" i="2"/>
  <c r="AG308" i="2"/>
  <c r="AG709" i="2"/>
  <c r="AG2036" i="2"/>
  <c r="AG1144" i="2"/>
  <c r="AG1143" i="2"/>
  <c r="AG1093" i="2"/>
  <c r="AG1092" i="2"/>
  <c r="AG1091" i="2"/>
  <c r="AG1090" i="2"/>
  <c r="AG1499" i="2"/>
  <c r="AG2008" i="2"/>
  <c r="AG1427" i="2"/>
  <c r="AG1008" i="2"/>
  <c r="AG1419" i="2"/>
  <c r="AG1371" i="2"/>
  <c r="AG944" i="2"/>
  <c r="AG2034" i="2"/>
  <c r="AG625" i="2"/>
  <c r="AG624" i="2"/>
  <c r="AG1526" i="2"/>
  <c r="AG1469" i="2"/>
  <c r="AG1396" i="2"/>
  <c r="AG1395" i="2"/>
  <c r="AG530" i="2"/>
  <c r="AG424" i="2"/>
  <c r="AG1212" i="2"/>
  <c r="AG987" i="2"/>
  <c r="AG439" i="2"/>
  <c r="AG564" i="2"/>
  <c r="AG2050" i="2"/>
  <c r="AG1451" i="2"/>
  <c r="AG1038" i="2"/>
  <c r="AG170" i="2"/>
  <c r="AG309" i="2"/>
  <c r="AG2041" i="2"/>
  <c r="AG2022" i="2"/>
  <c r="AG936" i="2"/>
  <c r="AG416" i="2"/>
  <c r="AG1043" i="2"/>
  <c r="AG1449" i="2"/>
  <c r="AG558" i="2"/>
  <c r="AG1188" i="2"/>
  <c r="AG485" i="2"/>
  <c r="AG1373" i="2"/>
  <c r="AG1412" i="2"/>
  <c r="AG512" i="2"/>
  <c r="AG281" i="2"/>
  <c r="AG1426" i="2"/>
  <c r="AG450" i="2"/>
  <c r="AG623" i="2"/>
  <c r="AG1478" i="2"/>
  <c r="AG1072" i="2"/>
  <c r="AG447" i="2"/>
  <c r="AG622" i="2"/>
  <c r="AG1311" i="2"/>
  <c r="AG1473" i="2"/>
  <c r="AG398" i="2"/>
  <c r="AG397" i="2"/>
  <c r="AG656" i="2"/>
  <c r="AG2042" i="2"/>
  <c r="AG1367" i="2"/>
  <c r="AG179" i="2"/>
  <c r="AG342" i="2"/>
  <c r="AG341" i="2"/>
  <c r="AG1350" i="2"/>
  <c r="AG1180" i="2"/>
  <c r="AG396" i="2"/>
  <c r="AG395" i="2"/>
  <c r="AG881" i="2"/>
  <c r="AG869" i="2"/>
  <c r="AG568" i="2"/>
  <c r="AG1450" i="2"/>
  <c r="AG435" i="2"/>
  <c r="AG1039" i="2"/>
  <c r="AG1444" i="2"/>
  <c r="AG1413" i="2"/>
  <c r="AG560" i="2"/>
  <c r="AG405" i="2"/>
  <c r="AG462" i="2"/>
  <c r="AG1372" i="2"/>
  <c r="AG1301" i="2"/>
  <c r="AG938" i="2"/>
  <c r="AG1446" i="2"/>
  <c r="AG627" i="2"/>
  <c r="AG626" i="2"/>
  <c r="AG2047" i="2"/>
  <c r="AG1397" i="2"/>
  <c r="AG650" i="2"/>
  <c r="AG293" i="2"/>
  <c r="AG1500" i="2"/>
  <c r="AG399" i="2"/>
  <c r="AG445" i="2"/>
  <c r="AG1540" i="2"/>
  <c r="AG1342" i="2"/>
  <c r="AG1389" i="2"/>
  <c r="AG1541" i="2"/>
  <c r="AG941" i="2"/>
  <c r="AG3292" i="2"/>
  <c r="AG3291" i="2"/>
  <c r="AG3290" i="2"/>
  <c r="AG3289" i="2"/>
  <c r="AG331" i="2"/>
  <c r="AG1542" i="2"/>
  <c r="AG1181" i="2"/>
  <c r="AG382" i="2"/>
  <c r="AG1326" i="2"/>
  <c r="AG1022" i="2"/>
  <c r="AG1351" i="2"/>
  <c r="AG1159" i="2"/>
  <c r="AG975" i="2"/>
  <c r="AG1443" i="2"/>
  <c r="AG2009" i="2"/>
  <c r="AG945" i="2"/>
  <c r="AG1489" i="2"/>
  <c r="AG1513" i="2"/>
  <c r="AG1512" i="2"/>
  <c r="AG1511" i="2"/>
  <c r="AG1510" i="2"/>
  <c r="AG1509" i="2"/>
  <c r="AG1428" i="2"/>
  <c r="AG1508" i="2"/>
  <c r="AG1507" i="2"/>
  <c r="AG1545" i="2"/>
  <c r="AG602" i="2"/>
  <c r="AG1506" i="2"/>
  <c r="AG605" i="2"/>
  <c r="AG1557" i="2"/>
  <c r="AG1556" i="2"/>
  <c r="AG1474" i="2"/>
  <c r="AG1447" i="2"/>
  <c r="AG1338" i="2"/>
  <c r="AG400" i="2"/>
  <c r="AG1455" i="2"/>
  <c r="AG363" i="2"/>
  <c r="AG407" i="2"/>
  <c r="AG406" i="2"/>
  <c r="AG409" i="2"/>
  <c r="AG408" i="2"/>
  <c r="AG469" i="2"/>
  <c r="AG411" i="2"/>
  <c r="AG410" i="2"/>
  <c r="AG1378" i="2"/>
  <c r="AG1495" i="2"/>
  <c r="AG1420" i="2"/>
  <c r="AG1316" i="2"/>
  <c r="AG976" i="2"/>
  <c r="AG2024" i="2"/>
  <c r="AG414" i="2"/>
  <c r="AG518" i="2"/>
  <c r="AG1160" i="2"/>
  <c r="AG1320" i="2"/>
  <c r="AG84" i="2"/>
  <c r="AG1429" i="2"/>
  <c r="AG1448" i="2"/>
  <c r="AG1069" i="2"/>
  <c r="AG1401" i="2"/>
  <c r="AG1439" i="2"/>
  <c r="AG1417" i="2"/>
  <c r="AG1463" i="2"/>
  <c r="AG1398" i="2"/>
  <c r="AG448" i="2"/>
  <c r="AG401" i="2"/>
  <c r="AG989" i="2"/>
  <c r="AG2082" i="2"/>
  <c r="AG2081" i="2"/>
  <c r="AG1681" i="2"/>
  <c r="AG451" i="2"/>
  <c r="AG1331" i="2"/>
  <c r="AG85" i="2"/>
  <c r="AG1536" i="2"/>
  <c r="AG1329" i="2"/>
  <c r="AG1415" i="2"/>
  <c r="AG1304" i="2"/>
  <c r="AG2043" i="2"/>
  <c r="AG1460" i="2"/>
  <c r="AG1152" i="2"/>
  <c r="AG1411" i="2"/>
  <c r="AG1410" i="2"/>
  <c r="AG2197" i="2"/>
  <c r="AG2196" i="2"/>
  <c r="AG1321" i="2"/>
  <c r="AG882" i="2"/>
  <c r="AG2051" i="2"/>
  <c r="AG1501" i="2"/>
  <c r="AG1475" i="2"/>
  <c r="AG1379" i="2"/>
  <c r="AG585" i="2"/>
  <c r="AG1376" i="2"/>
  <c r="AG53" i="2"/>
  <c r="AG1464" i="2"/>
  <c r="AG571" i="2"/>
  <c r="AG402" i="2"/>
  <c r="AG218" i="2"/>
  <c r="AG1161" i="2"/>
  <c r="AG1456" i="2"/>
  <c r="AG1484" i="2"/>
  <c r="AG1462" i="2"/>
  <c r="AG1364" i="2"/>
  <c r="AG1328" i="2"/>
  <c r="AG1322" i="2"/>
  <c r="AG1524" i="2"/>
  <c r="AG913" i="2"/>
  <c r="AG912" i="2"/>
  <c r="AG1461" i="2"/>
  <c r="AG1537" i="2"/>
  <c r="AG1416" i="2"/>
  <c r="AG1375" i="2"/>
  <c r="AG1365" i="2"/>
  <c r="AG1343" i="2"/>
  <c r="AG1327" i="2"/>
  <c r="AG2054" i="2"/>
  <c r="AG1514" i="2"/>
  <c r="AG1490" i="2"/>
  <c r="AG463" i="2"/>
  <c r="AG1390" i="2"/>
  <c r="AG629" i="2"/>
  <c r="AG1485" i="2"/>
  <c r="AG49" i="2"/>
  <c r="AG1323" i="2"/>
  <c r="AG1332" i="2"/>
  <c r="AG1552" i="2"/>
  <c r="AG288" i="2"/>
  <c r="AG1502" i="2"/>
  <c r="AG1405" i="2"/>
  <c r="AG1404" i="2"/>
  <c r="AG1403" i="2"/>
  <c r="AG531" i="2"/>
  <c r="AG1498" i="2"/>
  <c r="AG2059" i="2"/>
  <c r="AG1287" i="2"/>
  <c r="AG1468" i="2"/>
  <c r="AG1402" i="2"/>
  <c r="AG87" i="2"/>
  <c r="AG1488" i="2"/>
  <c r="AG1445" i="2"/>
  <c r="AG419" i="2"/>
  <c r="AG1515" i="2"/>
  <c r="AG1553" i="2"/>
  <c r="AG493" i="2"/>
  <c r="AG653" i="2"/>
  <c r="AG1476" i="2"/>
  <c r="AG581" i="2"/>
  <c r="AG470" i="2"/>
  <c r="AG1470" i="2"/>
  <c r="AG48" i="2"/>
  <c r="AG1430" i="2"/>
  <c r="AG2292" i="2"/>
  <c r="AG2291" i="2"/>
  <c r="AG1407" i="2"/>
  <c r="AG1406" i="2"/>
  <c r="AG1504" i="2"/>
  <c r="AG1503" i="2"/>
  <c r="AG1162" i="2"/>
  <c r="AG261" i="2"/>
  <c r="AG1486" i="2"/>
  <c r="AG1483" i="2"/>
  <c r="AG1482" i="2"/>
  <c r="AG1481" i="2"/>
  <c r="AG1480" i="2"/>
  <c r="AG1538" i="2"/>
  <c r="AG1408" i="2"/>
  <c r="AG422" i="2"/>
  <c r="AG1380" i="2"/>
  <c r="AG1457" i="2"/>
  <c r="AG51" i="2"/>
  <c r="AG1487" i="2"/>
  <c r="AG1543" i="2"/>
  <c r="AG1366" i="2"/>
  <c r="AG1399" i="2"/>
  <c r="AG73" i="2"/>
  <c r="AG1516" i="2"/>
  <c r="AG1440" i="2"/>
  <c r="AG1546" i="2"/>
  <c r="AG1333" i="2"/>
  <c r="AG70" i="2"/>
  <c r="AG219" i="2"/>
  <c r="AG212" i="2"/>
  <c r="AG977" i="2"/>
  <c r="AG1585" i="2"/>
  <c r="AG1530" i="2"/>
  <c r="AG464" i="2"/>
  <c r="AG1555" i="2"/>
  <c r="AG1330" i="2"/>
  <c r="AG262" i="2"/>
  <c r="AG1880" i="2"/>
  <c r="AG1539" i="2"/>
  <c r="AG1458" i="2"/>
  <c r="AG74" i="2"/>
  <c r="AG282" i="2"/>
  <c r="AG1278" i="2"/>
  <c r="AG1477" i="2"/>
  <c r="AG1334" i="2"/>
  <c r="AG1317" i="2"/>
  <c r="AG2060" i="2"/>
  <c r="AG2194" i="2"/>
  <c r="AG2055" i="2"/>
  <c r="AG2222" i="2"/>
  <c r="AG2221" i="2"/>
  <c r="AG2220" i="2"/>
  <c r="AG1761" i="2"/>
  <c r="AG99" i="2"/>
  <c r="AG98" i="2"/>
  <c r="AG2219" i="2"/>
  <c r="AG2218" i="2"/>
  <c r="AG1409" i="2"/>
  <c r="AG1400" i="2"/>
  <c r="AG383" i="2"/>
  <c r="AG88" i="2"/>
  <c r="AG1531" i="2"/>
  <c r="AG641" i="2"/>
  <c r="AG640" i="2"/>
  <c r="AG639" i="2"/>
  <c r="AG638" i="2"/>
  <c r="AG1532" i="2"/>
  <c r="AG1517" i="2"/>
  <c r="AG2203" i="2"/>
  <c r="AG208" i="2"/>
  <c r="AG2250" i="2"/>
  <c r="AG2249" i="2"/>
  <c r="AG2248" i="2"/>
  <c r="AG1533" i="2"/>
  <c r="AG2251" i="2"/>
  <c r="AG2252" i="2"/>
  <c r="AG2069" i="2"/>
  <c r="AG1414" i="2"/>
  <c r="AG2192" i="2"/>
  <c r="AG491" i="2"/>
  <c r="AG1465" i="2"/>
  <c r="AG2073" i="2"/>
  <c r="AG2072" i="2"/>
  <c r="AG2188" i="2"/>
  <c r="AG1577" i="2"/>
  <c r="AG1576" i="2"/>
  <c r="AG2085" i="2"/>
  <c r="AG1627" i="2"/>
  <c r="AG647" i="2"/>
  <c r="AG1587" i="2"/>
  <c r="AG1318" i="2"/>
  <c r="AG2177" i="2"/>
  <c r="AG2176" i="2"/>
  <c r="AG1586" i="2"/>
  <c r="AG1583" i="2"/>
  <c r="AG1582" i="2"/>
  <c r="AG1581" i="2"/>
  <c r="AG1562" i="2"/>
  <c r="AG2226" i="2"/>
  <c r="AG1563" i="2"/>
  <c r="AG2185" i="2"/>
  <c r="AG2184" i="2"/>
  <c r="AG2200" i="2"/>
  <c r="AG1561" i="2"/>
  <c r="AG1564" i="2"/>
  <c r="AG2166" i="2"/>
  <c r="AG1459" i="2"/>
  <c r="AG2225" i="2"/>
  <c r="AG2224" i="2"/>
  <c r="AG1591" i="2"/>
  <c r="AG1381" i="2"/>
  <c r="AG2113" i="2"/>
  <c r="AG2112" i="2"/>
  <c r="AG2111" i="2"/>
  <c r="AG2110" i="2"/>
  <c r="AG2134" i="2"/>
  <c r="AG2133" i="2"/>
  <c r="AG2132" i="2"/>
  <c r="AG2131" i="2"/>
  <c r="AG2130" i="2"/>
  <c r="AG2129" i="2"/>
  <c r="AG2128" i="2"/>
  <c r="AG2127" i="2"/>
  <c r="AG2126" i="2"/>
  <c r="AG2125" i="2"/>
  <c r="AG2135" i="2"/>
  <c r="AG1612" i="2"/>
  <c r="AG1611" i="2"/>
  <c r="AG2155" i="2"/>
  <c r="AG2099" i="2"/>
  <c r="AG2191" i="2"/>
  <c r="AG2136" i="2"/>
  <c r="AG1609" i="2"/>
  <c r="AG1610" i="2"/>
  <c r="AG1314" i="2"/>
  <c r="AG2056" i="2"/>
  <c r="AG537" i="2"/>
  <c r="AG1579" i="2"/>
  <c r="AG1578" i="2"/>
  <c r="AG1233" i="2"/>
  <c r="AG2290" i="2"/>
  <c r="AG1291" i="2"/>
  <c r="AG2107" i="2"/>
  <c r="AG2106" i="2"/>
  <c r="AG2105" i="2"/>
  <c r="AG2169" i="2"/>
  <c r="AG2168" i="2"/>
  <c r="AG2167" i="2"/>
  <c r="AG1559" i="2"/>
  <c r="AG2090" i="2"/>
  <c r="AG2098" i="2"/>
  <c r="AG563" i="2"/>
  <c r="AG2236" i="2"/>
  <c r="AG2235" i="2"/>
  <c r="AG2199" i="2"/>
  <c r="AG2198" i="2"/>
  <c r="AG1057" i="2"/>
  <c r="AG2204" i="2"/>
  <c r="AG1319" i="2"/>
  <c r="AG2094" i="2"/>
  <c r="AG2109" i="2"/>
  <c r="AG2202" i="2"/>
  <c r="AG2201" i="2"/>
  <c r="AG1654" i="2"/>
  <c r="AG1593" i="2"/>
  <c r="AG1592" i="2"/>
  <c r="AG2217" i="2"/>
  <c r="AG2216" i="2"/>
  <c r="AG2100" i="2"/>
  <c r="AG220" i="2"/>
  <c r="AG2190" i="2"/>
  <c r="AG1673" i="2"/>
  <c r="AG1565" i="2"/>
  <c r="AG535" i="2"/>
  <c r="AG534" i="2"/>
  <c r="AG533" i="2"/>
  <c r="AG532" i="2"/>
  <c r="AG1441" i="2"/>
  <c r="AG2311" i="2"/>
  <c r="AG2310" i="2"/>
  <c r="AG2309" i="2"/>
  <c r="AG2089" i="2"/>
  <c r="AG2088" i="2"/>
  <c r="AG2087" i="2"/>
  <c r="AG2086" i="2"/>
  <c r="AG2271" i="2"/>
  <c r="AG2270" i="2"/>
  <c r="AG2213" i="2"/>
  <c r="AG1560" i="2"/>
  <c r="AG2103" i="2"/>
  <c r="AG2097" i="2"/>
  <c r="AG2096" i="2"/>
  <c r="AG2095" i="2"/>
  <c r="AG301" i="2"/>
  <c r="AG300" i="2"/>
  <c r="AG2269" i="2"/>
  <c r="AG2268" i="2"/>
  <c r="AG2152" i="2"/>
  <c r="AG2151" i="2"/>
  <c r="AG2227" i="2"/>
  <c r="AG2154" i="2"/>
  <c r="AG2153" i="2"/>
  <c r="AG2289" i="2"/>
  <c r="AG2300" i="2"/>
  <c r="AG648" i="2"/>
  <c r="AG2124" i="2"/>
  <c r="AG2123" i="2"/>
  <c r="AG2118" i="2"/>
  <c r="AG2240" i="2"/>
  <c r="AG2239" i="2"/>
  <c r="AG2238" i="2"/>
  <c r="AG2237" i="2"/>
  <c r="AG1677" i="2"/>
  <c r="AG1676" i="2"/>
  <c r="AG1629" i="2"/>
  <c r="AG2244" i="2"/>
  <c r="AG2175" i="2"/>
  <c r="AG2174" i="2"/>
  <c r="AG2173" i="2"/>
  <c r="AG2172" i="2"/>
  <c r="AG2171" i="2"/>
  <c r="AG1599" i="2"/>
  <c r="AG1598" i="2"/>
  <c r="AG1596" i="2"/>
  <c r="AG1234" i="2"/>
  <c r="AG1678" i="2"/>
  <c r="AG1630" i="2"/>
  <c r="AG538" i="2"/>
  <c r="AG2247" i="2"/>
  <c r="AG2246" i="2"/>
  <c r="AG2245" i="2"/>
  <c r="AG2158" i="2"/>
  <c r="AG2150" i="2"/>
  <c r="AG2149" i="2"/>
  <c r="AG297" i="2"/>
  <c r="AG1597" i="2"/>
  <c r="AG1595" i="2"/>
  <c r="AG2262" i="2"/>
  <c r="AG2261" i="2"/>
  <c r="AG2260" i="2"/>
  <c r="AG2259" i="2"/>
  <c r="AG2288" i="2"/>
  <c r="AG2234" i="2"/>
  <c r="AG2083" i="2"/>
  <c r="AG1679" i="2"/>
  <c r="AG2215" i="2"/>
  <c r="AG2214" i="2"/>
  <c r="AG1363" i="2"/>
  <c r="AG1362" i="2"/>
  <c r="AG1361" i="2"/>
  <c r="AG1360" i="2"/>
  <c r="AG1574" i="2"/>
  <c r="AG2257" i="2"/>
  <c r="AG2256" i="2"/>
  <c r="AG2255" i="2"/>
  <c r="AG2143" i="2"/>
  <c r="AG2287" i="2"/>
  <c r="AG2076" i="2"/>
  <c r="AG2075" i="2"/>
  <c r="AG1280" i="2"/>
  <c r="AG2277" i="2"/>
  <c r="AG2303" i="2"/>
  <c r="AG1076" i="2"/>
  <c r="AG1075" i="2"/>
  <c r="AG1604" i="2"/>
  <c r="AG1594" i="2"/>
  <c r="AG1353" i="2"/>
  <c r="AG1352" i="2"/>
  <c r="AG539" i="2"/>
  <c r="AG136" i="2"/>
  <c r="AG2231" i="2"/>
  <c r="AG2230" i="2"/>
  <c r="AG1355" i="2"/>
  <c r="AG1354" i="2"/>
  <c r="AG387" i="2"/>
  <c r="AG1847" i="2"/>
  <c r="AG1846" i="2"/>
  <c r="AG1845" i="2"/>
  <c r="AG1601" i="2"/>
  <c r="AG1600" i="2"/>
  <c r="AG2274" i="2"/>
  <c r="AG2122" i="2"/>
  <c r="AG2121" i="2"/>
  <c r="AG2032" i="2"/>
  <c r="AG2031" i="2"/>
  <c r="AG2030" i="2"/>
  <c r="AG2025" i="2"/>
  <c r="AG2265" i="2"/>
  <c r="AG2276" i="2"/>
  <c r="AG1631" i="2"/>
  <c r="AG2233" i="2"/>
  <c r="AG2232" i="2"/>
  <c r="AG1682" i="2"/>
  <c r="AG2104" i="2"/>
  <c r="AG1438" i="2"/>
  <c r="AG376" i="2"/>
  <c r="AG2279" i="2"/>
  <c r="AG2278" i="2"/>
  <c r="AG1668" i="2"/>
  <c r="AG3768" i="2"/>
  <c r="AG3767" i="2"/>
  <c r="AG2254" i="2"/>
  <c r="AG1437" i="2"/>
  <c r="AG1435" i="2"/>
  <c r="AG2294" i="2"/>
  <c r="AG2293" i="2"/>
  <c r="AG1436" i="2"/>
  <c r="AG2295" i="2"/>
  <c r="AG606" i="2"/>
  <c r="AG2144" i="2"/>
  <c r="AG2157" i="2"/>
  <c r="AG2156" i="2"/>
  <c r="AG1602" i="2"/>
  <c r="AG1603" i="2"/>
  <c r="AG1434" i="2"/>
  <c r="AG2308" i="2"/>
  <c r="AG2307" i="2"/>
  <c r="AG1433" i="2"/>
  <c r="AG2258" i="2"/>
  <c r="AG711" i="2"/>
  <c r="AG710" i="2"/>
  <c r="AG2285" i="2"/>
  <c r="AG2284" i="2"/>
  <c r="AG1580" i="2"/>
  <c r="AG2212" i="2"/>
  <c r="AG2211" i="2"/>
  <c r="AG2210" i="2"/>
  <c r="AG2209" i="2"/>
  <c r="AG2208" i="2"/>
  <c r="AG2283" i="2"/>
  <c r="AG2282" i="2"/>
  <c r="AG1214" i="2"/>
  <c r="AG1213" i="2"/>
  <c r="AG2275" i="2"/>
  <c r="AG1606" i="2"/>
  <c r="AG1605" i="2"/>
  <c r="AG2281" i="2"/>
  <c r="AG2120" i="2"/>
  <c r="AG2119" i="2"/>
  <c r="AG1616" i="2"/>
  <c r="AG1615" i="2"/>
  <c r="AG2280" i="2"/>
  <c r="AG145" i="2"/>
  <c r="AG144" i="2"/>
  <c r="AG1525" i="2"/>
  <c r="AG377" i="2"/>
  <c r="AG2296" i="2"/>
  <c r="AG69" i="2"/>
  <c r="AG2101" i="2"/>
  <c r="AG1702" i="2"/>
  <c r="AG1701" i="2"/>
  <c r="AG458" i="2"/>
  <c r="AG457" i="2"/>
  <c r="AG1613" i="2"/>
  <c r="AG41" i="2"/>
  <c r="AG2264" i="2"/>
  <c r="AG2263" i="2"/>
  <c r="AG40" i="2"/>
  <c r="AG1633" i="2"/>
  <c r="AG1634" i="2"/>
  <c r="AG1621" i="2"/>
  <c r="AG38" i="2"/>
  <c r="AG2266" i="2"/>
  <c r="AG1432" i="2"/>
  <c r="AG1675" i="2"/>
  <c r="AG1674" i="2"/>
  <c r="AG2108" i="2"/>
  <c r="AG1638" i="2"/>
  <c r="AG1637" i="2"/>
  <c r="AG2074" i="2"/>
  <c r="AG1683" i="2"/>
  <c r="AG1431" i="2"/>
  <c r="AG1684" i="2"/>
  <c r="AG19" i="2"/>
  <c r="AG18" i="2"/>
  <c r="AG17" i="2"/>
  <c r="AG16" i="2"/>
  <c r="AG15" i="2"/>
  <c r="AG2223" i="2"/>
  <c r="AG1640" i="2"/>
  <c r="AG1639" i="2"/>
  <c r="AG946" i="2"/>
  <c r="AG754" i="2"/>
  <c r="AG753" i="2"/>
  <c r="AG734" i="2"/>
  <c r="AG733" i="2"/>
  <c r="AG732" i="2"/>
  <c r="AG731" i="2"/>
  <c r="AG525" i="2"/>
  <c r="AG332" i="2"/>
  <c r="AG1703" i="2"/>
  <c r="AG2273" i="2"/>
  <c r="AG2272" i="2"/>
  <c r="AG1636" i="2"/>
  <c r="AG1635" i="2"/>
  <c r="AG1050" i="2"/>
  <c r="AG2193" i="2"/>
  <c r="AG1618" i="2"/>
  <c r="AG1015" i="2"/>
  <c r="AG1642" i="2"/>
  <c r="AG1641" i="2"/>
  <c r="AG1049" i="2"/>
  <c r="AG1570" i="2"/>
  <c r="AG2160" i="2"/>
  <c r="AG2159" i="2"/>
  <c r="AG2228" i="2"/>
  <c r="AG1048" i="2"/>
  <c r="AG1644" i="2"/>
  <c r="AG1643" i="2"/>
  <c r="AG1707" i="2"/>
  <c r="AG1706" i="2"/>
  <c r="AG2314" i="2"/>
  <c r="AG1647" i="2"/>
  <c r="AG1646" i="2"/>
  <c r="AG1645" i="2"/>
  <c r="AG1685" i="2"/>
  <c r="AG1648" i="2"/>
  <c r="AG2297" i="2"/>
  <c r="AG1614" i="2"/>
  <c r="AG459" i="2"/>
  <c r="AG646" i="2"/>
  <c r="AG645" i="2"/>
  <c r="AG289" i="2"/>
  <c r="AG1650" i="2"/>
  <c r="AG1649" i="2"/>
  <c r="AG2102" i="2"/>
  <c r="AG2313" i="2"/>
  <c r="AG2312" i="2"/>
  <c r="AG1652" i="2"/>
  <c r="AG1651" i="2"/>
  <c r="AG1608" i="2"/>
  <c r="AG730" i="2"/>
  <c r="AG209" i="2"/>
  <c r="AG1700" i="2"/>
  <c r="AG460" i="2"/>
  <c r="AG1669" i="2"/>
  <c r="AG2178" i="2"/>
  <c r="AG1421" i="2"/>
  <c r="AG21" i="2"/>
  <c r="AG20" i="2"/>
  <c r="AG14" i="2"/>
  <c r="AG13" i="2"/>
  <c r="AG1607" i="2"/>
  <c r="AG678" i="2"/>
  <c r="AG2026" i="2"/>
  <c r="AG2299" i="2"/>
  <c r="AG2298" i="2"/>
  <c r="AG186" i="2"/>
  <c r="AG185" i="2"/>
  <c r="AG184" i="2"/>
  <c r="AG183" i="2"/>
  <c r="AG180" i="2"/>
  <c r="AG1622" i="2"/>
  <c r="AG2304" i="2"/>
  <c r="AG712" i="2"/>
  <c r="AG2306" i="2"/>
  <c r="AG2305" i="2"/>
  <c r="AG1527" i="2"/>
  <c r="AG1185" i="2"/>
  <c r="AG947" i="2"/>
  <c r="AG2315" i="2"/>
  <c r="AG2316" i="2"/>
  <c r="AG1709" i="2"/>
  <c r="AG1708" i="2"/>
  <c r="AG1052" i="2"/>
  <c r="AG1051" i="2"/>
  <c r="AG614" i="2"/>
  <c r="AG1717" i="2"/>
  <c r="AG2319" i="2"/>
  <c r="AG2318" i="2"/>
  <c r="AG2317" i="2"/>
  <c r="AG1711" i="2"/>
  <c r="AG1699" i="2"/>
  <c r="AG615" i="2"/>
  <c r="AG2327" i="2"/>
  <c r="AG1714" i="2"/>
  <c r="AG2302" i="2"/>
  <c r="AG2301" i="2"/>
  <c r="AG2328" i="2"/>
  <c r="AG775" i="2"/>
  <c r="AG1566" i="2"/>
  <c r="AG774" i="2"/>
  <c r="AG1567" i="2"/>
  <c r="AG2333" i="2"/>
  <c r="AG2332" i="2"/>
  <c r="AG2331" i="2"/>
  <c r="AG2330" i="2"/>
  <c r="AG1659" i="2"/>
  <c r="AG1658" i="2"/>
  <c r="AG2349" i="2"/>
  <c r="AG2350" i="2"/>
  <c r="AG1705" i="2"/>
  <c r="AG2584" i="2"/>
  <c r="AG2583" i="2"/>
  <c r="AG2582" i="2"/>
  <c r="AG948" i="2"/>
  <c r="AG1715" i="2"/>
  <c r="AG1422" i="2"/>
  <c r="AG492" i="2"/>
  <c r="AG2351" i="2"/>
  <c r="AG2352" i="2"/>
  <c r="AG2321" i="2"/>
  <c r="AG1736" i="2"/>
  <c r="AG1716" i="2"/>
  <c r="AG892" i="2"/>
  <c r="AG1737" i="2"/>
  <c r="AG1738" i="2"/>
  <c r="AG2549" i="2"/>
  <c r="AG2548" i="2"/>
  <c r="AG2547" i="2"/>
  <c r="AG2546" i="2"/>
  <c r="AG2322" i="2"/>
  <c r="AG1785" i="2"/>
  <c r="AG1777" i="2"/>
  <c r="AG1776" i="2"/>
  <c r="AG1775" i="2"/>
  <c r="AG1061" i="2"/>
  <c r="AG2397" i="2"/>
  <c r="AG2396" i="2"/>
  <c r="AG2395" i="2"/>
  <c r="AG2394" i="2"/>
  <c r="AG2364" i="2"/>
  <c r="AG2363" i="2"/>
  <c r="AG2362" i="2"/>
  <c r="AG2361" i="2"/>
  <c r="AG1739" i="2"/>
  <c r="AG2393" i="2"/>
  <c r="AG1786" i="2"/>
  <c r="AG2404" i="2"/>
  <c r="AG2403" i="2"/>
  <c r="AG2402" i="2"/>
  <c r="AG2463" i="2"/>
  <c r="AG2462" i="2"/>
  <c r="AG2461" i="2"/>
  <c r="AG2460" i="2"/>
  <c r="AG1725" i="2"/>
  <c r="AG2053" i="2"/>
  <c r="AG1757" i="2"/>
  <c r="AG1726" i="2"/>
  <c r="AG1341" i="2"/>
  <c r="AG1340" i="2"/>
  <c r="AG1339" i="2"/>
  <c r="AG1337" i="2"/>
  <c r="AG1336" i="2"/>
  <c r="AG1335" i="2"/>
  <c r="AG298" i="2"/>
  <c r="AG2390" i="2"/>
  <c r="AG2052" i="2"/>
  <c r="AG1727" i="2"/>
  <c r="AG1758" i="2"/>
  <c r="AG1712" i="2"/>
  <c r="AG2391" i="2"/>
  <c r="AG2376" i="2"/>
  <c r="AG456" i="2"/>
  <c r="AG455" i="2"/>
  <c r="AG572" i="2"/>
  <c r="AG2329" i="2"/>
  <c r="AG1745" i="2"/>
  <c r="AG2323" i="2"/>
  <c r="AG751" i="2"/>
  <c r="AG2537" i="2"/>
  <c r="AG2536" i="2"/>
  <c r="AG2324" i="2"/>
  <c r="AG573" i="2"/>
  <c r="AG1657" i="2"/>
  <c r="AG1655" i="2"/>
  <c r="AG2366" i="2"/>
  <c r="AG2365" i="2"/>
  <c r="AG2336" i="2"/>
  <c r="AG893" i="2"/>
  <c r="AG2114" i="2"/>
  <c r="AG2346" i="2"/>
  <c r="AG495" i="2"/>
  <c r="AG494" i="2"/>
  <c r="AG969" i="2"/>
  <c r="AG967" i="2"/>
  <c r="AG1208" i="2"/>
  <c r="AG7" i="2"/>
  <c r="AG2353" i="2"/>
  <c r="AG2753" i="2"/>
  <c r="AG2414" i="2"/>
  <c r="AG8" i="2"/>
  <c r="AG2354" i="2"/>
  <c r="AG2415" i="2"/>
  <c r="AG1209" i="2"/>
  <c r="AG496" i="2"/>
  <c r="AG2347" i="2"/>
  <c r="AG2456" i="2"/>
  <c r="AG2455" i="2"/>
  <c r="AG2715" i="2"/>
  <c r="AG2755" i="2"/>
  <c r="AG2416" i="2"/>
  <c r="AG752" i="2"/>
  <c r="AG1740" i="2"/>
  <c r="AG2417" i="2"/>
  <c r="AG2359" i="2"/>
  <c r="AG2358" i="2"/>
  <c r="AG1733" i="2"/>
  <c r="AG2418" i="2"/>
  <c r="AG1628" i="2"/>
  <c r="AG1094" i="2"/>
  <c r="AG1281" i="2"/>
  <c r="AG1732" i="2"/>
  <c r="AG2348" i="2"/>
  <c r="AG1741" i="2"/>
  <c r="AG2756" i="2"/>
  <c r="AG2419" i="2"/>
  <c r="AG902" i="2"/>
  <c r="AG2754" i="2"/>
  <c r="AG2387" i="2"/>
  <c r="AG2386" i="2"/>
  <c r="AG903" i="2"/>
  <c r="AG1734" i="2"/>
  <c r="AG2716" i="2"/>
  <c r="AG2498" i="2"/>
  <c r="AG968" i="2"/>
  <c r="AG2420" i="2"/>
  <c r="AG1760" i="2"/>
  <c r="AG1759" i="2"/>
  <c r="AG1505" i="2"/>
  <c r="AG1095" i="2"/>
  <c r="AG2343" i="2"/>
  <c r="AG901" i="2"/>
  <c r="AG1110" i="2"/>
  <c r="AG737" i="2"/>
  <c r="AG2499" i="2"/>
  <c r="AG2421" i="2"/>
  <c r="AG2326" i="2"/>
  <c r="AG3438" i="2"/>
  <c r="AG2380" i="2"/>
  <c r="AG1750" i="2"/>
  <c r="AG1747" i="2"/>
  <c r="AG738" i="2"/>
  <c r="AG2496" i="2"/>
  <c r="AG2229" i="2"/>
  <c r="AG900" i="2"/>
  <c r="AG2743" i="2"/>
  <c r="AG682" i="2"/>
  <c r="AG681" i="2"/>
  <c r="AG680" i="2"/>
  <c r="AG679" i="2"/>
  <c r="AG2500" i="2"/>
  <c r="AG2345" i="2"/>
  <c r="AG2344" i="2"/>
  <c r="AG1749" i="2"/>
  <c r="AG1109" i="2"/>
  <c r="AG2742" i="2"/>
  <c r="AG2556" i="2"/>
  <c r="AG2555" i="2"/>
  <c r="AG2381" i="2"/>
  <c r="AG1774" i="2"/>
  <c r="AG1752" i="2"/>
  <c r="AG2571" i="2"/>
  <c r="AG1751" i="2"/>
  <c r="AG2409" i="2"/>
  <c r="AG2408" i="2"/>
  <c r="AG2407" i="2"/>
  <c r="AG2406" i="2"/>
  <c r="AG2115" i="2"/>
  <c r="AG1111" i="2"/>
  <c r="AG2424" i="2"/>
  <c r="AG1748" i="2"/>
  <c r="AG1113" i="2"/>
  <c r="AG2606" i="2"/>
  <c r="AG2605" i="2"/>
  <c r="AG2604" i="2"/>
  <c r="AG2603" i="2"/>
  <c r="AG2602" i="2"/>
  <c r="AG2601" i="2"/>
  <c r="AG2600" i="2"/>
  <c r="AG2599" i="2"/>
  <c r="AG1096" i="2"/>
  <c r="AG616" i="2"/>
  <c r="AG2611" i="2"/>
  <c r="AG2610" i="2"/>
  <c r="AG2609" i="2"/>
  <c r="AG2608" i="2"/>
  <c r="AG2508" i="2"/>
  <c r="AG2507" i="2"/>
  <c r="AG2479" i="2"/>
  <c r="AG2478" i="2"/>
  <c r="AG2477" i="2"/>
  <c r="AG2476" i="2"/>
  <c r="AG2405" i="2"/>
  <c r="AG1815" i="2"/>
  <c r="AG2559" i="2"/>
  <c r="AG2741" i="2"/>
  <c r="AG2560" i="2"/>
  <c r="AG1753" i="2"/>
  <c r="AG2621" i="2"/>
  <c r="AG2620" i="2"/>
  <c r="AG1771" i="2"/>
  <c r="AG432" i="2"/>
  <c r="AG431" i="2"/>
  <c r="AG2717" i="2"/>
  <c r="AG2623" i="2"/>
  <c r="AG2622" i="2"/>
  <c r="AG2625" i="2"/>
  <c r="AG2624" i="2"/>
  <c r="AG2425" i="2"/>
  <c r="AG739" i="2"/>
  <c r="AG1754" i="2"/>
  <c r="AG1729" i="2"/>
  <c r="AG1728" i="2"/>
  <c r="AG974" i="2"/>
  <c r="AG617" i="2"/>
  <c r="AG2847" i="2"/>
  <c r="AG2561" i="2"/>
  <c r="AG2412" i="2"/>
  <c r="AG2410" i="2"/>
  <c r="AG1704" i="2"/>
  <c r="AG973" i="2"/>
  <c r="AG2718" i="2"/>
  <c r="AG740" i="2"/>
  <c r="AG2627" i="2"/>
  <c r="AG2626" i="2"/>
  <c r="AG1772" i="2"/>
  <c r="AG2562" i="2"/>
  <c r="AG1097" i="2"/>
  <c r="AG305" i="2"/>
  <c r="AG1623" i="2"/>
  <c r="AG2557" i="2"/>
  <c r="AG2426" i="2"/>
  <c r="AG2413" i="2"/>
  <c r="AG2411" i="2"/>
  <c r="AG2685" i="2"/>
  <c r="AG2848" i="2"/>
  <c r="AG2680" i="2"/>
  <c r="AG2679" i="2"/>
  <c r="AG2678" i="2"/>
  <c r="AG2677" i="2"/>
  <c r="AG2676" i="2"/>
  <c r="AG2335" i="2"/>
  <c r="AG2334" i="2"/>
  <c r="AG2427" i="2"/>
  <c r="AG1808" i="2"/>
  <c r="AG2392" i="2"/>
  <c r="AG1806" i="2"/>
  <c r="AG2325" i="2"/>
  <c r="AG1809" i="2"/>
  <c r="AG1807" i="2"/>
  <c r="AG2439" i="2"/>
  <c r="AG618" i="2"/>
  <c r="AG2360" i="2"/>
  <c r="AG2428" i="2"/>
  <c r="AG2440" i="2"/>
  <c r="AG2558" i="2"/>
  <c r="AG2684" i="2"/>
  <c r="AG2382" i="2"/>
  <c r="AG291" i="2"/>
  <c r="AG2928" i="2"/>
  <c r="AG2930" i="2"/>
  <c r="AG1773" i="2"/>
  <c r="AG1656" i="2"/>
  <c r="AG1194" i="2"/>
  <c r="AG2383" i="2"/>
  <c r="AG2929" i="2"/>
  <c r="AG2919" i="2"/>
  <c r="AG2918" i="2"/>
  <c r="AG2681" i="2"/>
  <c r="AG227" i="2"/>
  <c r="AG226" i="2"/>
  <c r="AG1724" i="2"/>
  <c r="AG2179" i="2"/>
  <c r="AG3402" i="2"/>
  <c r="AG2389" i="2"/>
  <c r="AG2388" i="2"/>
  <c r="AG2320" i="2"/>
  <c r="AG2029" i="2"/>
  <c r="AG2027" i="2"/>
  <c r="AG2028" i="2"/>
  <c r="AG1393" i="2"/>
  <c r="AG1394" i="2"/>
  <c r="AG2490" i="2"/>
  <c r="AG2489" i="2"/>
  <c r="AG2488" i="2"/>
  <c r="AG2487" i="2"/>
  <c r="AG2683" i="2"/>
  <c r="AG2682" i="2"/>
  <c r="AG228" i="2"/>
  <c r="AG1391" i="2"/>
  <c r="AG9" i="2"/>
  <c r="AG1392" i="2"/>
  <c r="AG10" i="2"/>
  <c r="AG2509" i="2"/>
  <c r="AG1619" i="2"/>
  <c r="AG1713" i="2"/>
  <c r="AG2750" i="2"/>
  <c r="AG2468" i="2"/>
  <c r="AG2467" i="2"/>
  <c r="AG2466" i="2"/>
  <c r="AG2357" i="2"/>
  <c r="AG2941" i="2"/>
  <c r="AG290" i="2"/>
  <c r="AG2117" i="2"/>
  <c r="AG2116" i="2"/>
  <c r="AG958" i="2"/>
  <c r="AG957" i="2"/>
  <c r="AG956" i="2"/>
  <c r="AG955" i="2"/>
  <c r="AG954" i="2"/>
  <c r="AG1746" i="2"/>
  <c r="AG2356" i="2"/>
  <c r="AG2832" i="2"/>
  <c r="AG2831" i="2"/>
  <c r="AG2517" i="2"/>
  <c r="AG2516" i="2"/>
  <c r="AG2368" i="2"/>
  <c r="AG2367" i="2"/>
  <c r="AG1876" i="2"/>
  <c r="AG1875" i="2"/>
  <c r="AG1874" i="2"/>
  <c r="AG1873" i="2"/>
  <c r="AG1710" i="2"/>
  <c r="AG2752" i="2"/>
  <c r="AG2689" i="2"/>
  <c r="AG2589" i="2"/>
  <c r="AG2436" i="2"/>
  <c r="AG2241" i="2"/>
  <c r="AG2492" i="2"/>
  <c r="AG2491" i="2"/>
  <c r="AG2588" i="2"/>
  <c r="AG1735" i="2"/>
  <c r="AG2942" i="2"/>
  <c r="AG2590" i="2"/>
  <c r="AG1762" i="2"/>
  <c r="AG1528" i="2"/>
  <c r="AG2591" i="2"/>
  <c r="AG2502" i="2"/>
  <c r="AG2501" i="2"/>
  <c r="AG3029" i="2"/>
  <c r="AG1763" i="2"/>
  <c r="AG1590" i="2"/>
  <c r="AG1589" i="2"/>
  <c r="AG1588" i="2"/>
  <c r="AG230" i="2"/>
  <c r="AG229" i="2"/>
  <c r="AG2422" i="2"/>
  <c r="AG3030" i="2"/>
  <c r="AG2663" i="2"/>
  <c r="AG2662" i="2"/>
  <c r="AG2567" i="2"/>
  <c r="AG1816" i="2"/>
  <c r="AG1822" i="2"/>
  <c r="AG1826" i="2"/>
  <c r="AG1817" i="2"/>
  <c r="AG2943" i="2"/>
  <c r="AG2779" i="2"/>
  <c r="AG2770" i="2"/>
  <c r="AG2664" i="2"/>
  <c r="AG2771" i="2"/>
  <c r="AG1764" i="2"/>
  <c r="AG2669" i="2"/>
  <c r="AG2668" i="2"/>
  <c r="AG2661" i="2"/>
  <c r="AG2452" i="2"/>
  <c r="AG2772" i="2"/>
  <c r="AG2423" i="2"/>
  <c r="AG2672" i="2"/>
  <c r="AG1002" i="2"/>
  <c r="AG1001" i="2"/>
  <c r="AG59" i="2"/>
  <c r="AG2773" i="2"/>
  <c r="AG2665" i="2"/>
  <c r="AG2660" i="2"/>
  <c r="AG2497" i="2"/>
  <c r="AG1827" i="2"/>
  <c r="AG1765" i="2"/>
  <c r="AG2673" i="2"/>
  <c r="AG2435" i="2"/>
  <c r="AG2674" i="2"/>
  <c r="AG2675" i="2"/>
  <c r="AG2554" i="2"/>
  <c r="AG2514" i="2"/>
  <c r="AG2781" i="2"/>
  <c r="AG2780" i="2"/>
  <c r="AG2550" i="2"/>
  <c r="AG1779" i="2"/>
  <c r="AG2453" i="2"/>
  <c r="AG231" i="2"/>
  <c r="AG2441" i="2"/>
  <c r="AG2579" i="2"/>
  <c r="AG2578" i="2"/>
  <c r="AG2576" i="2"/>
  <c r="AG2782" i="2"/>
  <c r="AG2774" i="2"/>
  <c r="AG2666" i="2"/>
  <c r="AG2775" i="2"/>
  <c r="AG2454" i="2"/>
  <c r="AG66" i="2"/>
  <c r="AG3167" i="2"/>
  <c r="AG3166" i="2"/>
  <c r="AG2778" i="2"/>
  <c r="AG2777" i="2"/>
  <c r="AG1903" i="2"/>
  <c r="AG1829" i="2"/>
  <c r="AG1828" i="2"/>
  <c r="AG1819" i="2"/>
  <c r="AG2819" i="2"/>
  <c r="AG2818" i="2"/>
  <c r="AG2667" i="2"/>
  <c r="AG1423" i="2"/>
  <c r="AG2783" i="2"/>
  <c r="AG2719" i="2"/>
  <c r="AG2551" i="2"/>
  <c r="AG2817" i="2"/>
  <c r="AG2816" i="2"/>
  <c r="AG2735" i="2"/>
  <c r="AG2734" i="2"/>
  <c r="AG2442" i="2"/>
  <c r="AG1756" i="2"/>
  <c r="AG2586" i="2"/>
  <c r="AG2585" i="2"/>
  <c r="AG2720" i="2"/>
  <c r="AG1908" i="2"/>
  <c r="AG1830" i="2"/>
  <c r="AG334" i="2"/>
  <c r="AG3139" i="2"/>
  <c r="AG2737" i="2"/>
  <c r="AG2736" i="2"/>
  <c r="AG1781" i="2"/>
  <c r="AG619" i="2"/>
  <c r="AG3126" i="2"/>
  <c r="AG3125" i="2"/>
  <c r="AG2815" i="2"/>
  <c r="AG2814" i="2"/>
  <c r="AG2739" i="2"/>
  <c r="AG2738" i="2"/>
  <c r="AG2784" i="2"/>
  <c r="AG2733" i="2"/>
  <c r="AG2729" i="2"/>
  <c r="AG1907" i="2"/>
  <c r="AG3168" i="2"/>
  <c r="AG1782" i="2"/>
  <c r="AG1780" i="2"/>
  <c r="AG2813" i="2"/>
  <c r="AG2812" i="2"/>
  <c r="AG2552" i="2"/>
  <c r="AG2399" i="2"/>
  <c r="AG2398" i="2"/>
  <c r="AG1831" i="2"/>
  <c r="AG601" i="2"/>
  <c r="AG2722" i="2"/>
  <c r="AG2721" i="2"/>
  <c r="AG2553" i="2"/>
  <c r="AG1906" i="2"/>
  <c r="AG2785" i="2"/>
  <c r="AG1840" i="2"/>
  <c r="AG1811" i="2"/>
  <c r="AG2670" i="2"/>
  <c r="AG2568" i="2"/>
  <c r="AG2180" i="2"/>
  <c r="AG2740" i="2"/>
  <c r="AG2730" i="2"/>
  <c r="AG2671" i="2"/>
  <c r="AG2443" i="2"/>
  <c r="AG1755" i="2"/>
  <c r="AG1905" i="2"/>
  <c r="AG2932" i="2"/>
  <c r="AG2577" i="2"/>
  <c r="AG2563" i="2"/>
  <c r="AG3169" i="2"/>
  <c r="AG3048" i="2"/>
  <c r="AG2519" i="2"/>
  <c r="AG2518" i="2"/>
  <c r="AG1835" i="2"/>
  <c r="AG1834" i="2"/>
  <c r="AG1810" i="2"/>
  <c r="AG742" i="2"/>
  <c r="AG2635" i="2"/>
  <c r="AG2634" i="2"/>
  <c r="AG2633" i="2"/>
  <c r="AG2632" i="2"/>
  <c r="AG2631" i="2"/>
  <c r="AG2630" i="2"/>
  <c r="AG2629" i="2"/>
  <c r="AG2628" i="2"/>
  <c r="AG2375" i="2"/>
  <c r="AG2374" i="2"/>
  <c r="AG2373" i="2"/>
  <c r="AG2372" i="2"/>
  <c r="AG2371" i="2"/>
  <c r="AG2339" i="2"/>
  <c r="AG2337" i="2"/>
  <c r="AG2068" i="2"/>
  <c r="AG2067" i="2"/>
  <c r="AG1832" i="2"/>
  <c r="AG991" i="2"/>
  <c r="AG990" i="2"/>
  <c r="AG744" i="2"/>
  <c r="AG743" i="2"/>
  <c r="AG741" i="2"/>
  <c r="AG515" i="2"/>
  <c r="AG3015" i="2"/>
  <c r="AG1904" i="2"/>
  <c r="AG1841" i="2"/>
  <c r="AG2933" i="2"/>
  <c r="AG3014" i="2"/>
  <c r="AG2799" i="2"/>
  <c r="AG2798" i="2"/>
  <c r="AG2564" i="2"/>
  <c r="AG2751" i="2"/>
  <c r="AG454" i="2"/>
  <c r="AG2811" i="2"/>
  <c r="AG2810" i="2"/>
  <c r="AG2541" i="2"/>
  <c r="AG2931" i="2"/>
  <c r="AG1357" i="2"/>
  <c r="AG1356" i="2"/>
  <c r="AG2470" i="2"/>
  <c r="AG2469" i="2"/>
  <c r="AG2907" i="2"/>
  <c r="AG2530" i="2"/>
  <c r="AG2529" i="2"/>
  <c r="AG2908" i="2"/>
  <c r="AG433" i="2"/>
  <c r="AG2934" i="2"/>
  <c r="AG2565" i="2"/>
  <c r="AG2801" i="2"/>
  <c r="AG2800" i="2"/>
  <c r="AG472" i="2"/>
  <c r="AG2521" i="2"/>
  <c r="AG2522" i="2"/>
  <c r="AG2659" i="2"/>
  <c r="AG2658" i="2"/>
  <c r="AG2472" i="2"/>
  <c r="AG2471" i="2"/>
  <c r="AG516" i="2"/>
  <c r="AG442" i="2"/>
  <c r="AG2657" i="2"/>
  <c r="AG2656" i="2"/>
  <c r="AG2805" i="2"/>
  <c r="AG2804" i="2"/>
  <c r="AG2803" i="2"/>
  <c r="AG2802" i="2"/>
  <c r="AG2542" i="2"/>
  <c r="AG3013" i="2"/>
  <c r="AG2844" i="2"/>
  <c r="AG2572" i="2"/>
  <c r="AG2543" i="2"/>
  <c r="AG3131" i="2"/>
  <c r="AG3130" i="2"/>
  <c r="AG3019" i="2"/>
  <c r="AG221" i="2"/>
  <c r="AG2909" i="2"/>
  <c r="AG2655" i="2"/>
  <c r="AG2654" i="2"/>
  <c r="AG2749" i="2"/>
  <c r="AG3020" i="2"/>
  <c r="AG2732" i="2"/>
  <c r="AG2731" i="2"/>
  <c r="AG222" i="2"/>
  <c r="AG2879" i="2"/>
  <c r="AG2807" i="2"/>
  <c r="AG2806" i="2"/>
  <c r="AG2581" i="2"/>
  <c r="AG1742" i="2"/>
  <c r="AG2653" i="2"/>
  <c r="AG2652" i="2"/>
  <c r="AG2431" i="2"/>
  <c r="AG2580" i="2"/>
  <c r="AG2748" i="2"/>
  <c r="AG2566" i="2"/>
  <c r="AG2520" i="2"/>
  <c r="AG3128" i="2"/>
  <c r="AG3127" i="2"/>
  <c r="AG3021" i="2"/>
  <c r="AG3022" i="2"/>
  <c r="AG3012" i="2"/>
  <c r="AG2651" i="2"/>
  <c r="AG2650" i="2"/>
  <c r="AG2434" i="2"/>
  <c r="AG1893" i="2"/>
  <c r="AG1892" i="2"/>
  <c r="AG1889" i="2"/>
  <c r="AG2515" i="2"/>
  <c r="AG181" i="2"/>
  <c r="AG2528" i="2"/>
  <c r="AG3023" i="2"/>
  <c r="AG2433" i="2"/>
  <c r="AG2809" i="2"/>
  <c r="AG2808" i="2"/>
  <c r="AG1743" i="2"/>
  <c r="AG3024" i="2"/>
  <c r="AG2880" i="2"/>
  <c r="AG2480" i="2"/>
  <c r="AG1891" i="2"/>
  <c r="AG1890" i="2"/>
  <c r="AG1888" i="2"/>
  <c r="AG1887" i="2"/>
  <c r="AG1886" i="2"/>
  <c r="AG1190" i="2"/>
  <c r="AG2910" i="2"/>
  <c r="AG2384" i="2"/>
  <c r="AG2033" i="2"/>
  <c r="AG335" i="2"/>
  <c r="AG182" i="2"/>
  <c r="AG2432" i="2"/>
  <c r="AG1885" i="2"/>
  <c r="AG1894" i="2"/>
  <c r="AG1744" i="2"/>
  <c r="AG3103" i="2"/>
  <c r="AG3102" i="2"/>
  <c r="AG3101" i="2"/>
  <c r="AG161" i="2"/>
  <c r="AG2338" i="2"/>
  <c r="AG2355" i="2"/>
  <c r="AG3202" i="2"/>
  <c r="AG3201" i="2"/>
  <c r="AG3094" i="2"/>
  <c r="AG3090" i="2"/>
  <c r="AG3088" i="2"/>
  <c r="AG3100" i="2"/>
  <c r="AG1687" i="2"/>
  <c r="AG2445" i="2"/>
  <c r="AG2444" i="2"/>
  <c r="AG1688" i="2"/>
  <c r="AG3129" i="2"/>
  <c r="AG2385" i="2"/>
  <c r="AG2607" i="2"/>
  <c r="AG1924" i="2"/>
  <c r="AG2084" i="2"/>
  <c r="AG1925" i="2"/>
  <c r="AG3143" i="2"/>
  <c r="AG3071" i="2"/>
  <c r="AG2570" i="2"/>
  <c r="AG2569" i="2"/>
  <c r="AG1836" i="2"/>
  <c r="AG3099" i="2"/>
  <c r="AG3142" i="2"/>
  <c r="AG2531" i="2"/>
  <c r="AG2532" i="2"/>
  <c r="AG3093" i="2"/>
  <c r="AG3089" i="2"/>
  <c r="AG141" i="2"/>
  <c r="AG2473" i="2"/>
  <c r="AG139" i="2"/>
  <c r="AG140" i="2"/>
  <c r="AG3138" i="2"/>
  <c r="AG2527" i="2"/>
  <c r="AG143" i="2"/>
  <c r="AG142" i="2"/>
  <c r="AG891" i="2"/>
  <c r="AG2474" i="2"/>
  <c r="AG2481" i="2"/>
  <c r="AG2170" i="2"/>
  <c r="AG43" i="2"/>
  <c r="AG42" i="2"/>
  <c r="AG3087" i="2"/>
  <c r="AG2448" i="2"/>
  <c r="AG3243" i="2"/>
  <c r="AG3242" i="2"/>
  <c r="AG3171" i="2"/>
  <c r="AG3170" i="2"/>
  <c r="AG3092" i="2"/>
  <c r="AG3091" i="2"/>
  <c r="AG2876" i="2"/>
  <c r="AG2875" i="2"/>
  <c r="AG2874" i="2"/>
  <c r="AG2482" i="2"/>
  <c r="AG3070" i="2"/>
  <c r="AG1788" i="2"/>
  <c r="AG1787" i="2"/>
  <c r="AG2475" i="2"/>
  <c r="AG2895" i="2"/>
  <c r="AG1718" i="2"/>
  <c r="AG1719" i="2"/>
  <c r="AG3274" i="2"/>
  <c r="AG3273" i="2"/>
  <c r="AG3272" i="2"/>
  <c r="AG3271" i="2"/>
  <c r="AG3083" i="2"/>
  <c r="AG3084" i="2"/>
  <c r="AG2981" i="2"/>
  <c r="AG2504" i="2"/>
  <c r="AG2982" i="2"/>
  <c r="AG2896" i="2"/>
  <c r="AG1930" i="2"/>
  <c r="AG280" i="2"/>
  <c r="AG2767" i="2"/>
  <c r="AG279" i="2"/>
  <c r="AG2768" i="2"/>
  <c r="AG2769" i="2"/>
  <c r="AG2449" i="2"/>
  <c r="AG2071" i="2"/>
  <c r="AG1063" i="2"/>
  <c r="AG1062" i="2"/>
  <c r="AG2983" i="2"/>
  <c r="AG2450" i="2"/>
  <c r="AG3244" i="2"/>
  <c r="AG2494" i="2"/>
  <c r="AG295" i="2"/>
  <c r="AG2526" i="2"/>
  <c r="AG253" i="2"/>
  <c r="AG254" i="2"/>
  <c r="AG2965" i="2"/>
  <c r="AG2964" i="2"/>
  <c r="AG2963" i="2"/>
  <c r="AG2962" i="2"/>
  <c r="AG2165" i="2"/>
  <c r="AG2164" i="2"/>
  <c r="AG2163" i="2"/>
  <c r="AG62" i="2"/>
  <c r="AG255" i="2"/>
  <c r="AG82" i="2"/>
  <c r="AG2438" i="2"/>
  <c r="AG2493" i="2"/>
  <c r="AG256" i="2"/>
  <c r="AG2451" i="2"/>
  <c r="AG2794" i="2"/>
  <c r="AG2544" i="2"/>
  <c r="AG2525" i="2"/>
  <c r="AG1789" i="2"/>
  <c r="AG2597" i="2"/>
  <c r="AG2483" i="2"/>
  <c r="AG2747" i="2"/>
  <c r="AG2640" i="2"/>
  <c r="AG2826" i="2"/>
  <c r="AG2825" i="2"/>
  <c r="AG2746" i="2"/>
  <c r="AG2596" i="2"/>
  <c r="AG2993" i="2"/>
  <c r="AG2877" i="2"/>
  <c r="AG2936" i="2"/>
  <c r="AG2935" i="2"/>
  <c r="AG2878" i="2"/>
  <c r="AG2617" i="2"/>
  <c r="AG2616" i="2"/>
  <c r="AG2503" i="2"/>
  <c r="AG3280" i="2"/>
  <c r="AG3136" i="2"/>
  <c r="AG2952" i="2"/>
  <c r="AG2951" i="2"/>
  <c r="AG2950" i="2"/>
  <c r="AG2949" i="2"/>
  <c r="AG2459" i="2"/>
  <c r="AG2458" i="2"/>
  <c r="AG2457" i="2"/>
  <c r="AG2342" i="2"/>
  <c r="AG2341" i="2"/>
  <c r="AG2340" i="2"/>
  <c r="AG1768" i="2"/>
  <c r="AG1767" i="2"/>
  <c r="AG1766" i="2"/>
  <c r="AG1833" i="2"/>
  <c r="AG2595" i="2"/>
  <c r="AG2495" i="2"/>
  <c r="AG1895" i="2"/>
  <c r="AG2795" i="2"/>
  <c r="AG2745" i="2"/>
  <c r="AG2984" i="2"/>
  <c r="AG2891" i="2"/>
  <c r="AG2594" i="2"/>
  <c r="AG3085" i="2"/>
  <c r="AG2545" i="2"/>
  <c r="AG1896" i="2"/>
  <c r="AG95" i="2"/>
  <c r="AG94" i="2"/>
  <c r="AG1823" i="2"/>
  <c r="AG2887" i="2"/>
  <c r="AG2744" i="2"/>
  <c r="AG2369" i="2"/>
  <c r="AG1824" i="2"/>
  <c r="AG3026" i="2"/>
  <c r="AG2937" i="2"/>
  <c r="AG2938" i="2"/>
  <c r="AG2593" i="2"/>
  <c r="AG1945" i="2"/>
  <c r="AG1944" i="2"/>
  <c r="AG1943" i="2"/>
  <c r="AG1942" i="2"/>
  <c r="AG2985" i="2"/>
  <c r="AG2888" i="2"/>
  <c r="AG2992" i="2"/>
  <c r="AG2869" i="2"/>
  <c r="AG2728" i="2"/>
  <c r="AG2641" i="2"/>
  <c r="AG2533" i="2"/>
  <c r="AG2598" i="2"/>
  <c r="AG1927" i="2"/>
  <c r="AG1926" i="2"/>
  <c r="AG1369" i="2"/>
  <c r="AG1368" i="2"/>
  <c r="AG3086" i="2"/>
  <c r="AG2986" i="2"/>
  <c r="AG1825" i="2"/>
  <c r="AG2370" i="2"/>
  <c r="AG3216" i="2"/>
  <c r="AG1818" i="2"/>
  <c r="AG2776" i="2"/>
  <c r="AG2592" i="2"/>
  <c r="AG294" i="2"/>
  <c r="AG1928" i="2"/>
  <c r="AG1897" i="2"/>
  <c r="AG2727" i="2"/>
  <c r="AG1624" i="2"/>
  <c r="AG3025" i="2"/>
  <c r="AG2892" i="2"/>
  <c r="AG2845" i="2"/>
  <c r="AG2889" i="2"/>
  <c r="AG2953" i="2"/>
  <c r="AG2761" i="2"/>
  <c r="AG1932" i="2"/>
  <c r="AG1929" i="2"/>
  <c r="AG2762" i="2"/>
  <c r="AG2868" i="2"/>
  <c r="AG2763" i="2"/>
  <c r="AG3135" i="2"/>
  <c r="AG3134" i="2"/>
  <c r="AG3133" i="2"/>
  <c r="AG3132" i="2"/>
  <c r="AG2945" i="2"/>
  <c r="AG2944" i="2"/>
  <c r="AG2726" i="2"/>
  <c r="AG1884" i="2"/>
  <c r="AG1883" i="2"/>
  <c r="AG1882" i="2"/>
  <c r="AG1881" i="2"/>
  <c r="AG736" i="2"/>
  <c r="AG735" i="2"/>
  <c r="AG2954" i="2"/>
  <c r="AG3217" i="2"/>
  <c r="AG3113" i="2"/>
  <c r="AG2764" i="2"/>
  <c r="AG3114" i="2"/>
  <c r="AG2893" i="2"/>
  <c r="AG2760" i="2"/>
  <c r="AG1790" i="2"/>
  <c r="AG2890" i="2"/>
  <c r="AG2765" i="2"/>
  <c r="AG1934" i="2"/>
  <c r="AG2725" i="2"/>
  <c r="AG1935" i="2"/>
  <c r="AG3218" i="2"/>
  <c r="AG2987" i="2"/>
  <c r="AG2766" i="2"/>
  <c r="AG2070" i="2"/>
  <c r="AG1937" i="2"/>
  <c r="AG1936" i="2"/>
  <c r="AG378" i="2"/>
  <c r="AG361" i="2"/>
  <c r="AG360" i="2"/>
  <c r="AG2690" i="2"/>
  <c r="AG1933" i="2"/>
  <c r="AG2894" i="2"/>
  <c r="AG3263" i="2"/>
  <c r="AG3219" i="2"/>
  <c r="AG3027" i="2"/>
  <c r="AG2619" i="2"/>
  <c r="AG2618" i="2"/>
  <c r="AG1384" i="2"/>
  <c r="AG1383" i="2"/>
  <c r="AG2643" i="2"/>
  <c r="AG3112" i="2"/>
  <c r="AG3111" i="2"/>
  <c r="AG2642" i="2"/>
  <c r="AG2724" i="2"/>
  <c r="AG1898" i="2"/>
  <c r="AG3049" i="2"/>
  <c r="AG3028" i="2"/>
  <c r="AG3184" i="2"/>
  <c r="AG3183" i="2"/>
  <c r="AG2723" i="2"/>
  <c r="AG1939" i="2"/>
  <c r="AG1938" i="2"/>
  <c r="AG96" i="2"/>
  <c r="AG3186" i="2"/>
  <c r="AG3185" i="2"/>
  <c r="AG2645" i="2"/>
  <c r="AG2644" i="2"/>
  <c r="AG97" i="2"/>
  <c r="AG3109" i="2"/>
  <c r="AG3110" i="2"/>
  <c r="AG2437" i="2"/>
  <c r="AG3042" i="2"/>
  <c r="AG2429" i="2"/>
  <c r="AG2906" i="2"/>
  <c r="AG2905" i="2"/>
  <c r="AG2867" i="2"/>
  <c r="AG2866" i="2"/>
  <c r="AG2865" i="2"/>
  <c r="AG2820" i="2"/>
  <c r="AG2613" i="2"/>
  <c r="AG2612" i="2"/>
  <c r="AG1844" i="2"/>
  <c r="AG1843" i="2"/>
  <c r="AG1839" i="2"/>
  <c r="AG1838" i="2"/>
  <c r="AG1837" i="2"/>
  <c r="AG1666" i="2"/>
  <c r="AG3188" i="2"/>
  <c r="AG3187" i="2"/>
  <c r="AG2991" i="2"/>
  <c r="AG2990" i="2"/>
  <c r="AG2989" i="2"/>
  <c r="AG2988" i="2"/>
  <c r="AG2430" i="2"/>
  <c r="AG2484" i="2"/>
  <c r="AG1547" i="2"/>
  <c r="AG3140" i="2"/>
  <c r="AG2647" i="2"/>
  <c r="AG2646" i="2"/>
  <c r="AG3152" i="2"/>
  <c r="AG3141" i="2"/>
  <c r="AG3043" i="2"/>
  <c r="AG3189" i="2"/>
  <c r="AG3153" i="2"/>
  <c r="AG1848" i="2"/>
  <c r="AG588" i="2"/>
  <c r="AG3137" i="2"/>
  <c r="AG2821" i="2"/>
  <c r="AG2688" i="2"/>
  <c r="AG2687" i="2"/>
  <c r="AG2686" i="2"/>
  <c r="AG2091" i="2"/>
  <c r="AG3150" i="2"/>
  <c r="AG3151" i="2"/>
  <c r="AG3190" i="2"/>
  <c r="AG3115" i="2"/>
  <c r="AG2574" i="2"/>
  <c r="AG3176" i="2"/>
  <c r="AG3175" i="2"/>
  <c r="AG1962" i="2"/>
  <c r="AG2836" i="2"/>
  <c r="AG2835" i="2"/>
  <c r="AG3154" i="2"/>
  <c r="AG3149" i="2"/>
  <c r="AG3148" i="2"/>
  <c r="AG3116" i="2"/>
  <c r="AG3156" i="2"/>
  <c r="AG3155" i="2"/>
  <c r="AG1849" i="2"/>
  <c r="AG3118" i="2"/>
  <c r="AG3117" i="2"/>
  <c r="AG3044" i="2"/>
  <c r="AG3241" i="2"/>
  <c r="AG3240" i="2"/>
  <c r="AG3226" i="2"/>
  <c r="AG3225" i="2"/>
  <c r="AG3203" i="2"/>
  <c r="AG3157" i="2"/>
  <c r="AG2793" i="2"/>
  <c r="AG2792" i="2"/>
  <c r="AG2791" i="2"/>
  <c r="AG2790" i="2"/>
  <c r="AG2789" i="2"/>
  <c r="AG2788" i="2"/>
  <c r="AG2787" i="2"/>
  <c r="AG2786" i="2"/>
  <c r="AG2186" i="2"/>
  <c r="AG1941" i="2"/>
  <c r="AG1940" i="2"/>
  <c r="AG1442" i="2"/>
  <c r="AG875" i="2"/>
  <c r="AG874" i="2"/>
  <c r="AG1850" i="2"/>
  <c r="AG1221" i="2"/>
  <c r="AG3158" i="2"/>
  <c r="AG1222" i="2"/>
  <c r="AG3233" i="2"/>
  <c r="AG3232" i="2"/>
  <c r="AG2377" i="2"/>
  <c r="AG3000" i="2"/>
  <c r="AG3234" i="2"/>
  <c r="AG2822" i="2"/>
  <c r="AG3235" i="2"/>
  <c r="AG3159" i="2"/>
  <c r="AG3144" i="2"/>
  <c r="AG2999" i="2"/>
  <c r="AG2485" i="2"/>
  <c r="AG2400" i="2"/>
  <c r="AG1223" i="2"/>
  <c r="AG3193" i="2"/>
  <c r="AG2513" i="2"/>
  <c r="AG2512" i="2"/>
  <c r="AG2511" i="2"/>
  <c r="AG2510" i="2"/>
  <c r="AG2648" i="2"/>
  <c r="AG2401" i="2"/>
  <c r="AG2649" i="2"/>
  <c r="AG2998" i="2"/>
  <c r="AG556" i="2"/>
  <c r="AG2378" i="2"/>
  <c r="AG2146" i="2"/>
  <c r="AG2145" i="2"/>
  <c r="AG3245" i="2"/>
  <c r="AG3002" i="2"/>
  <c r="AG2823" i="2"/>
  <c r="AG2575" i="2"/>
  <c r="AG1548" i="2"/>
  <c r="AG3194" i="2"/>
  <c r="AG3003" i="2"/>
  <c r="AG2920" i="2"/>
  <c r="AG2921" i="2"/>
  <c r="AG2379" i="2"/>
  <c r="AG544" i="2"/>
  <c r="AG2486" i="2"/>
  <c r="AG2147" i="2"/>
  <c r="AG3004" i="2"/>
  <c r="AG3001" i="2"/>
  <c r="AG2148" i="2"/>
  <c r="AG3195" i="2"/>
  <c r="AG1549" i="2"/>
  <c r="AG2573" i="2"/>
  <c r="AG3005" i="2"/>
  <c r="AG3196" i="2"/>
  <c r="AG2614" i="2"/>
  <c r="AG86" i="2"/>
  <c r="AG2615" i="2"/>
  <c r="AG2901" i="2"/>
  <c r="AG3037" i="2"/>
  <c r="AG2535" i="2"/>
  <c r="AG2534" i="2"/>
  <c r="AG2902" i="2"/>
  <c r="AG1796" i="2"/>
  <c r="AG3072" i="2"/>
  <c r="AG2922" i="2"/>
  <c r="AG1959" i="2"/>
  <c r="AG1958" i="2"/>
  <c r="AG1901" i="2"/>
  <c r="AG1797" i="2"/>
  <c r="AG1902" i="2"/>
  <c r="AG2923" i="2"/>
  <c r="AG3197" i="2"/>
  <c r="AG252" i="2"/>
  <c r="AG251" i="2"/>
  <c r="AG2796" i="2"/>
  <c r="AG249" i="2"/>
  <c r="AG3146" i="2"/>
  <c r="AG250" i="2"/>
  <c r="AG3147" i="2"/>
  <c r="AG3073" i="2"/>
  <c r="AG3010" i="2"/>
  <c r="AG2797" i="2"/>
  <c r="AG3145" i="2"/>
  <c r="AG1950" i="2"/>
  <c r="AG1952" i="2"/>
  <c r="AG1951" i="2"/>
  <c r="AG545" i="2"/>
  <c r="AG3254" i="2"/>
  <c r="AG1953" i="2"/>
  <c r="AG3016" i="2"/>
  <c r="AG3229" i="2"/>
  <c r="AG3017" i="2"/>
  <c r="AG3228" i="2"/>
  <c r="AG91" i="2"/>
  <c r="AG3198" i="2"/>
  <c r="AG3164" i="2"/>
  <c r="AG3065" i="2"/>
  <c r="AG3074" i="2"/>
  <c r="AG3264" i="2"/>
  <c r="AG3255" i="2"/>
  <c r="AG1720" i="2"/>
  <c r="AG3230" i="2"/>
  <c r="AG3075" i="2"/>
  <c r="AG2903" i="2"/>
  <c r="AG2900" i="2"/>
  <c r="AG2899" i="2"/>
  <c r="AG3064" i="2"/>
  <c r="AG3009" i="2"/>
  <c r="AG1721" i="2"/>
  <c r="AG3227" i="2"/>
  <c r="AG2856" i="2"/>
  <c r="AG2855" i="2"/>
  <c r="AG2853" i="2"/>
  <c r="AG2851" i="2"/>
  <c r="AG2849" i="2"/>
  <c r="AG1870" i="2"/>
  <c r="AG1954" i="2"/>
  <c r="AG3050" i="2"/>
  <c r="AG2850" i="2"/>
  <c r="AG1956" i="2"/>
  <c r="AG2924" i="2"/>
  <c r="AG1955" i="2"/>
  <c r="AG2973" i="2"/>
  <c r="AG3067" i="2"/>
  <c r="AG3066" i="2"/>
  <c r="AG3053" i="2"/>
  <c r="AG3052" i="2"/>
  <c r="AG2925" i="2"/>
  <c r="AG2971" i="2"/>
  <c r="AG1869" i="2"/>
  <c r="AG2904" i="2"/>
  <c r="AG1957" i="2"/>
  <c r="AG2972" i="2"/>
  <c r="AG3057" i="2"/>
  <c r="AG3058" i="2"/>
  <c r="AG2870" i="2"/>
  <c r="AG2506" i="2"/>
  <c r="AG2505" i="2"/>
  <c r="AG1946" i="2"/>
  <c r="AG2833" i="2"/>
  <c r="AG2974" i="2"/>
  <c r="AG2834" i="2"/>
  <c r="AG3108" i="2"/>
  <c r="AG3107" i="2"/>
  <c r="AG3106" i="2"/>
  <c r="AG3279" i="2"/>
  <c r="AG3278" i="2"/>
  <c r="AG2957" i="2"/>
  <c r="AG2926" i="2"/>
  <c r="AG2871" i="2"/>
  <c r="AG1947" i="2"/>
  <c r="AG3011" i="2"/>
  <c r="AG2827" i="2"/>
  <c r="AG2956" i="2"/>
  <c r="AG2955" i="2"/>
  <c r="AG2927" i="2"/>
  <c r="AG1948" i="2"/>
  <c r="AG3068" i="2"/>
  <c r="AG1853" i="2"/>
  <c r="AG2757" i="2"/>
  <c r="AG1852" i="2"/>
  <c r="AG1851" i="2"/>
  <c r="AG1492" i="2"/>
  <c r="AG1491" i="2"/>
  <c r="AG3098" i="2"/>
  <c r="AG1899" i="2"/>
  <c r="AG1802" i="2"/>
  <c r="AG1949" i="2"/>
  <c r="AG233" i="2"/>
  <c r="AG2538" i="2"/>
  <c r="AG1961" i="2"/>
  <c r="AG3097" i="2"/>
  <c r="AG1871" i="2"/>
  <c r="AG2857" i="2"/>
  <c r="AG1872" i="2"/>
  <c r="AG546" i="2"/>
  <c r="AG2975" i="2"/>
  <c r="AG2958" i="2"/>
  <c r="AG3069" i="2"/>
  <c r="AG1910" i="2"/>
  <c r="AG3265" i="2"/>
  <c r="AG2872" i="2"/>
  <c r="AG659" i="2"/>
  <c r="AG658" i="2"/>
  <c r="AG2959" i="2"/>
  <c r="AG2758" i="2"/>
  <c r="AG3096" i="2"/>
  <c r="AG3095" i="2"/>
  <c r="AG3165" i="2"/>
  <c r="AG3018" i="2"/>
  <c r="AG1960" i="2"/>
  <c r="AG1803" i="2"/>
  <c r="AG1494" i="2"/>
  <c r="AG1493" i="2"/>
  <c r="AG3262" i="2"/>
  <c r="AG3261" i="2"/>
  <c r="AG3221" i="2"/>
  <c r="AG3222" i="2"/>
  <c r="AG3082" i="2"/>
  <c r="AG2873" i="2"/>
  <c r="AG2829" i="2"/>
  <c r="AG3035" i="2"/>
  <c r="AG2970" i="2"/>
  <c r="AG1900" i="2"/>
  <c r="AG2830" i="2"/>
  <c r="AG2539" i="2"/>
  <c r="AG3081" i="2"/>
  <c r="AG1911" i="2"/>
  <c r="AG3080" i="2"/>
  <c r="AG2828" i="2"/>
  <c r="AG232" i="2"/>
  <c r="AG3038" i="2"/>
  <c r="AG1804" i="2"/>
  <c r="AG390" i="2"/>
  <c r="AG3034" i="2"/>
  <c r="AG2540" i="2"/>
  <c r="AG1966" i="2"/>
  <c r="AG3270" i="2"/>
  <c r="AG2858" i="2"/>
  <c r="AG1236" i="2"/>
  <c r="AG547" i="2"/>
  <c r="AG1912" i="2"/>
  <c r="AG2976" i="2"/>
  <c r="AG391" i="2"/>
  <c r="AG1235" i="2"/>
  <c r="AG1968" i="2"/>
  <c r="AG2464" i="2"/>
  <c r="AG2960" i="2"/>
  <c r="AG1967" i="2"/>
  <c r="AG3282" i="2"/>
  <c r="AG3281" i="2"/>
  <c r="AG2465" i="2"/>
  <c r="AG1913" i="2"/>
  <c r="AG1784" i="2"/>
  <c r="AG1783" i="2"/>
  <c r="AG3056" i="2"/>
  <c r="AG3055" i="2"/>
  <c r="AG3054" i="2"/>
  <c r="AG3051" i="2"/>
  <c r="AG1279" i="2"/>
  <c r="AG2759" i="2"/>
  <c r="AG2961" i="2"/>
  <c r="AG392" i="2"/>
  <c r="AG2969" i="2"/>
  <c r="AG3439" i="2"/>
  <c r="AG2946" i="2"/>
  <c r="AG1801" i="2"/>
  <c r="AG1794" i="2"/>
  <c r="AG364" i="2"/>
  <c r="AG1909" i="2"/>
  <c r="AG1795" i="2"/>
  <c r="AG2911" i="2"/>
  <c r="AG2852" i="2"/>
  <c r="AG2912" i="2"/>
  <c r="AG1916" i="2"/>
  <c r="AG654" i="2"/>
  <c r="AG165" i="2"/>
  <c r="AG164" i="2"/>
  <c r="AG1686" i="2"/>
  <c r="AG3223" i="2"/>
  <c r="AG3210" i="2"/>
  <c r="AG3209" i="2"/>
  <c r="AG3208" i="2"/>
  <c r="AG3178" i="2"/>
  <c r="AG1632" i="2"/>
  <c r="AG333" i="2"/>
  <c r="AG3269" i="2"/>
  <c r="AG366" i="2"/>
  <c r="AG3177" i="2"/>
  <c r="AG60" i="2"/>
  <c r="AG3224" i="2"/>
  <c r="AG61" i="2"/>
  <c r="AG2966" i="2"/>
  <c r="AG3275" i="2"/>
  <c r="AG3036" i="2"/>
  <c r="AG2968" i="2"/>
  <c r="AG2854" i="2"/>
  <c r="AG3180" i="2"/>
  <c r="AG3179" i="2"/>
  <c r="AG365" i="2"/>
  <c r="AG3204" i="2"/>
  <c r="AG1805" i="2"/>
  <c r="AG3033" i="2"/>
  <c r="AG3213" i="2"/>
  <c r="AG3212" i="2"/>
  <c r="AG3246" i="2"/>
  <c r="AG2913" i="2"/>
  <c r="AG3060" i="2"/>
  <c r="AG3059" i="2"/>
  <c r="AG2967" i="2"/>
  <c r="AG1867" i="2"/>
  <c r="AG1866" i="2"/>
  <c r="AG1868" i="2"/>
  <c r="AG1660" i="2"/>
  <c r="AG1661" i="2"/>
  <c r="AG3247" i="2"/>
  <c r="AG2837" i="2"/>
  <c r="AG3192" i="2"/>
  <c r="AG3191" i="2"/>
  <c r="AG163" i="2"/>
  <c r="AG162" i="2"/>
  <c r="AG3077" i="2"/>
  <c r="AG1855" i="2"/>
  <c r="AG3076" i="2"/>
  <c r="AG2860" i="2"/>
  <c r="AG1854" i="2"/>
  <c r="AG2838" i="2"/>
  <c r="AG3045" i="2"/>
  <c r="AG2859" i="2"/>
  <c r="AG3046" i="2"/>
  <c r="AG1217" i="2"/>
  <c r="AG1216" i="2"/>
  <c r="AG1215" i="2"/>
  <c r="AG3047" i="2"/>
  <c r="AG3078" i="2"/>
  <c r="AG3079" i="2"/>
  <c r="AG657" i="2"/>
  <c r="AG1963" i="2"/>
  <c r="AG1791" i="2"/>
  <c r="AG3039" i="2"/>
  <c r="AG2839" i="2"/>
  <c r="AG3258" i="2"/>
  <c r="AG1857" i="2"/>
  <c r="AG1856" i="2"/>
  <c r="AG1792" i="2"/>
  <c r="AG2080" i="2"/>
  <c r="AG3181" i="2"/>
  <c r="AG3259" i="2"/>
  <c r="AG1793" i="2"/>
  <c r="AG3260" i="2"/>
  <c r="AG1496" i="2"/>
  <c r="AG3182" i="2"/>
  <c r="AG3006" i="2"/>
  <c r="AG3253" i="2"/>
  <c r="AG3252" i="2"/>
  <c r="AG3007" i="2"/>
  <c r="AG841" i="2"/>
  <c r="AG130" i="2"/>
  <c r="AG3008" i="2"/>
  <c r="AG1915" i="2"/>
  <c r="AG1914" i="2"/>
  <c r="AG1964" i="2"/>
  <c r="AG2841" i="2"/>
  <c r="AG1385" i="2"/>
  <c r="AG2840" i="2"/>
  <c r="AG1386" i="2"/>
  <c r="AG3249" i="2"/>
  <c r="AG2940" i="2"/>
  <c r="AG2939" i="2"/>
  <c r="AG3248" i="2"/>
  <c r="AG1680" i="2"/>
  <c r="AG1024" i="2"/>
  <c r="AG1023" i="2"/>
  <c r="AG3040" i="2"/>
  <c r="AG3161" i="2"/>
  <c r="AG3160" i="2"/>
  <c r="AG2997" i="2"/>
  <c r="AG2996" i="2"/>
  <c r="AG2995" i="2"/>
  <c r="AG2994" i="2"/>
  <c r="AG426" i="2"/>
  <c r="AG1387" i="2"/>
  <c r="AG3251" i="2"/>
  <c r="AG3250" i="2"/>
  <c r="AG1388" i="2"/>
  <c r="AG2843" i="2"/>
  <c r="AG2018" i="2"/>
  <c r="AG2842" i="2"/>
  <c r="AG2019" i="2"/>
  <c r="AG887" i="2"/>
  <c r="AG3294" i="2"/>
  <c r="AG3293" i="2"/>
  <c r="AG2980" i="2"/>
  <c r="AG2979" i="2"/>
  <c r="AG1198" i="2"/>
  <c r="AG1197" i="2"/>
  <c r="AG1196" i="2"/>
  <c r="AG1195" i="2"/>
  <c r="AG3287" i="2"/>
  <c r="AG3286" i="2"/>
  <c r="AG1550" i="2"/>
  <c r="AG3236" i="2"/>
  <c r="AG3331" i="2"/>
  <c r="AG3237" i="2"/>
  <c r="AG1800" i="2"/>
  <c r="AG1799" i="2"/>
  <c r="AG3299" i="2"/>
  <c r="AG1877" i="2"/>
  <c r="AG3061" i="2"/>
  <c r="AG3238" i="2"/>
  <c r="AG1798" i="2"/>
  <c r="AG1973" i="2"/>
  <c r="AG1974" i="2"/>
  <c r="AG2045" i="2"/>
  <c r="AG1186" i="2"/>
  <c r="AG2044" i="2"/>
  <c r="AG149" i="2"/>
  <c r="AG1359" i="2"/>
  <c r="AG1358" i="2"/>
  <c r="AG2207" i="2"/>
  <c r="AG148" i="2"/>
  <c r="AG45" i="2"/>
  <c r="AG44" i="2"/>
  <c r="AG2079" i="2"/>
  <c r="AG1922" i="2"/>
  <c r="AG3174" i="2"/>
  <c r="AG3220" i="2"/>
  <c r="AG1921" i="2"/>
  <c r="AG3309" i="2"/>
  <c r="AG1344" i="2"/>
  <c r="AG1920" i="2"/>
  <c r="AG783" i="2"/>
  <c r="AG2206" i="2"/>
  <c r="AG878" i="2"/>
  <c r="AG3310" i="2"/>
  <c r="AG880" i="2"/>
  <c r="AG784" i="2"/>
  <c r="AG3296" i="2"/>
  <c r="AG3295" i="2"/>
  <c r="AG879" i="2"/>
  <c r="AG1919" i="2"/>
  <c r="AG1965" i="2"/>
  <c r="AG1918" i="2"/>
  <c r="AG1917" i="2"/>
  <c r="AG1617" i="2"/>
  <c r="AG3324" i="2"/>
  <c r="AG3321" i="2"/>
  <c r="AG3323" i="2"/>
  <c r="AG3322" i="2"/>
  <c r="AG3283" i="2"/>
  <c r="AG1970" i="2"/>
  <c r="AG1969" i="2"/>
  <c r="AG3298" i="2"/>
  <c r="AG2947" i="2"/>
  <c r="AG3173" i="2"/>
  <c r="AG2948" i="2"/>
  <c r="AG3172" i="2"/>
  <c r="AG3329" i="2"/>
  <c r="AG3214" i="2"/>
  <c r="AG2187" i="2"/>
  <c r="AG3328" i="2"/>
  <c r="AG755" i="2"/>
  <c r="AG756" i="2"/>
  <c r="AG3330" i="2"/>
  <c r="AG3337" i="2"/>
  <c r="AG2015" i="2"/>
  <c r="AG1349" i="2"/>
  <c r="AG1348" i="2"/>
  <c r="AG1347" i="2"/>
  <c r="AG1346" i="2"/>
  <c r="AG358" i="2"/>
  <c r="AG357" i="2"/>
  <c r="AG3347" i="2"/>
  <c r="AG3346" i="2"/>
  <c r="AG2014" i="2"/>
  <c r="AG1529" i="2"/>
  <c r="AG3332" i="2"/>
  <c r="AG2205" i="2"/>
  <c r="AG3327" i="2"/>
  <c r="AG3326" i="2"/>
  <c r="AG3313" i="2"/>
  <c r="AG3314" i="2"/>
  <c r="AG1269" i="2"/>
  <c r="AG1268" i="2"/>
  <c r="AG758" i="2"/>
  <c r="AG757" i="2"/>
  <c r="AG3325" i="2"/>
  <c r="AG3300" i="2"/>
  <c r="AG3301" i="2"/>
  <c r="AG303" i="2"/>
  <c r="AG124" i="2"/>
  <c r="AG1662" i="2"/>
  <c r="AG1663" i="2"/>
  <c r="AG125" i="2"/>
  <c r="AG2861" i="2"/>
  <c r="AG3302" i="2"/>
  <c r="AG1292" i="2"/>
  <c r="AG2862" i="2"/>
  <c r="AG304" i="2"/>
  <c r="AG2637" i="2"/>
  <c r="AG2636" i="2"/>
  <c r="AG3297" i="2"/>
  <c r="AG3215" i="2"/>
  <c r="AG359" i="2"/>
  <c r="AG2046" i="2"/>
  <c r="AG3308" i="2"/>
  <c r="AG3284" i="2"/>
  <c r="AG3285" i="2"/>
  <c r="AG126" i="2"/>
  <c r="AG1374" i="2"/>
  <c r="AG3307" i="2"/>
  <c r="AG127" i="2"/>
  <c r="AG2863" i="2"/>
  <c r="AG2864" i="2"/>
  <c r="AG2884" i="2"/>
  <c r="AG2883" i="2"/>
  <c r="AG3334" i="2"/>
  <c r="AG3333" i="2"/>
  <c r="AG3277" i="2"/>
  <c r="AG3276" i="2"/>
  <c r="AG3385" i="2"/>
  <c r="AG611" i="2"/>
  <c r="AG3317" i="2"/>
  <c r="AG2915" i="2"/>
  <c r="AG2914" i="2"/>
  <c r="AG3318" i="2"/>
  <c r="AG3362" i="2"/>
  <c r="AG1571" i="2"/>
  <c r="AG3231" i="2"/>
  <c r="AG3367" i="2"/>
  <c r="AG3366" i="2"/>
  <c r="AG3312" i="2"/>
  <c r="AG2058" i="2"/>
  <c r="AG3199" i="2"/>
  <c r="AG3316" i="2"/>
  <c r="AG3315" i="2"/>
  <c r="AG3344" i="2"/>
  <c r="AG1534" i="2"/>
  <c r="AG1056" i="2"/>
  <c r="AG1055" i="2"/>
  <c r="AG1696" i="2"/>
  <c r="AG1695" i="2"/>
  <c r="AG1694" i="2"/>
  <c r="AG1693" i="2"/>
  <c r="AG1692" i="2"/>
  <c r="AG1691" i="2"/>
  <c r="AG1690" i="2"/>
  <c r="AG1689" i="2"/>
  <c r="AG1698" i="2"/>
  <c r="AG1697" i="2"/>
  <c r="AG71" i="2"/>
  <c r="AG3200" i="2"/>
  <c r="AG260" i="2"/>
  <c r="AG259" i="2"/>
  <c r="AG257" i="2"/>
  <c r="AG258" i="2"/>
  <c r="AG430" i="2"/>
  <c r="AG3351" i="2"/>
  <c r="AG3350" i="2"/>
  <c r="AG3353" i="2"/>
  <c r="AG3352" i="2"/>
  <c r="AG415" i="2"/>
  <c r="AG3355" i="2"/>
  <c r="AG3354" i="2"/>
  <c r="AG3357" i="2"/>
  <c r="AG3356" i="2"/>
  <c r="AG1625" i="2"/>
  <c r="AG3288" i="2"/>
  <c r="AG3386" i="2"/>
  <c r="AG1626" i="2"/>
  <c r="AG3413" i="2"/>
  <c r="AG3397" i="2"/>
  <c r="AG3396" i="2"/>
  <c r="AG3414" i="2"/>
  <c r="AG3359" i="2"/>
  <c r="AG3358" i="2"/>
  <c r="AG2882" i="2"/>
  <c r="AG3361" i="2"/>
  <c r="AG3360" i="2"/>
  <c r="AG3392" i="2"/>
  <c r="AG3393" i="2"/>
  <c r="AG603" i="2"/>
  <c r="AG2881" i="2"/>
  <c r="AG3440" i="2"/>
  <c r="AG3340" i="2"/>
  <c r="AG3341" i="2"/>
  <c r="AG3336" i="2"/>
  <c r="AG3380" i="2"/>
  <c r="AG3381" i="2"/>
  <c r="AG3391" i="2"/>
  <c r="AG3390" i="2"/>
  <c r="AG118" i="2"/>
  <c r="AG117" i="2"/>
  <c r="AG116" i="2"/>
  <c r="AG115" i="2"/>
  <c r="AG1535" i="2"/>
  <c r="AG1665" i="2"/>
  <c r="AG1664" i="2"/>
  <c r="AG3424" i="2"/>
  <c r="AG3423" i="2"/>
  <c r="AG3422" i="2"/>
  <c r="AG3421" i="2"/>
  <c r="AG3369" i="2"/>
  <c r="AG3368" i="2"/>
  <c r="AG3371" i="2"/>
  <c r="AG3370" i="2"/>
  <c r="AG3375" i="2"/>
  <c r="AG3374" i="2"/>
  <c r="AG3373" i="2"/>
  <c r="AG3372" i="2"/>
  <c r="AG3384" i="2"/>
  <c r="AG3377" i="2"/>
  <c r="AG3376" i="2"/>
  <c r="AG3569" i="2"/>
  <c r="AG3389" i="2"/>
  <c r="AG3388" i="2"/>
  <c r="AG2824" i="2"/>
  <c r="AG3205" i="2"/>
  <c r="AG1722" i="2"/>
  <c r="AG3335" i="2"/>
  <c r="AG1723" i="2"/>
  <c r="AG1971" i="2"/>
  <c r="AG713" i="2"/>
  <c r="AG1972" i="2"/>
  <c r="AG3403" i="2"/>
  <c r="AG714" i="2"/>
  <c r="AG590" i="2"/>
  <c r="AG995" i="2"/>
  <c r="AG994" i="2"/>
  <c r="AG1923" i="2"/>
  <c r="AG591" i="2"/>
  <c r="AG1313" i="2"/>
  <c r="AG1266" i="2"/>
  <c r="AG1267" i="2"/>
  <c r="AG3348" i="2"/>
  <c r="AG1312" i="2"/>
  <c r="AG3349" i="2"/>
  <c r="AG1288" i="2"/>
  <c r="AG702" i="2"/>
  <c r="AG701" i="2"/>
  <c r="AG700" i="2"/>
  <c r="AG699" i="2"/>
  <c r="AG3449" i="2"/>
  <c r="AG3395" i="2"/>
  <c r="AG3394" i="2"/>
  <c r="AG706" i="2"/>
  <c r="AG705" i="2"/>
  <c r="AG704" i="2"/>
  <c r="AG703" i="2"/>
  <c r="AG3448" i="2"/>
  <c r="AG72" i="2"/>
  <c r="AG3429" i="2"/>
  <c r="AG3430" i="2"/>
  <c r="AG3399" i="2"/>
  <c r="AG3398" i="2"/>
  <c r="AG3433" i="2"/>
  <c r="AG302" i="2"/>
  <c r="AG3434" i="2"/>
  <c r="AG698" i="2"/>
  <c r="AG697" i="2"/>
  <c r="AG692" i="2"/>
  <c r="AG691" i="2"/>
  <c r="AG3239" i="2"/>
  <c r="AG1812" i="2"/>
  <c r="AG696" i="2"/>
  <c r="AG695" i="2"/>
  <c r="AG694" i="2"/>
  <c r="AG693" i="2"/>
  <c r="AG3432" i="2"/>
  <c r="AG64" i="2"/>
  <c r="AG3435" i="2"/>
  <c r="AG3431" i="2"/>
  <c r="AG1813" i="2"/>
  <c r="AG1551" i="2"/>
  <c r="AG3416" i="2"/>
  <c r="AG65" i="2"/>
  <c r="AG1130" i="2"/>
  <c r="AG3345" i="2"/>
  <c r="AG3417" i="2"/>
  <c r="AG690" i="2"/>
  <c r="AG689" i="2"/>
  <c r="AG686" i="2"/>
  <c r="AG685" i="2"/>
  <c r="AG684" i="2"/>
  <c r="AG683" i="2"/>
  <c r="AG1131" i="2"/>
  <c r="AG688" i="2"/>
  <c r="AG687" i="2"/>
  <c r="AG2140" i="2"/>
  <c r="AG2139" i="2"/>
  <c r="AG2138" i="2"/>
  <c r="AG2137" i="2"/>
  <c r="AG2286" i="2"/>
  <c r="AG1418" i="2"/>
  <c r="AG268" i="2"/>
  <c r="AG3426" i="2"/>
  <c r="AG3425" i="2"/>
  <c r="AG269" i="2"/>
  <c r="AG1134" i="2"/>
  <c r="AG267" i="2"/>
  <c r="AG1345" i="2"/>
  <c r="AG600" i="2"/>
  <c r="AG599" i="2"/>
  <c r="AG270" i="2"/>
  <c r="AG3436" i="2"/>
  <c r="AG2142" i="2"/>
  <c r="AG2141" i="2"/>
  <c r="AG3437" i="2"/>
  <c r="AG1814" i="2"/>
  <c r="AG1865" i="2"/>
  <c r="AG1864" i="2"/>
  <c r="AG3476" i="2"/>
  <c r="AG3477" i="2"/>
  <c r="AG1863" i="2"/>
  <c r="AG1862" i="2"/>
  <c r="AG3472" i="2"/>
  <c r="AG3461" i="2"/>
  <c r="AG904" i="2"/>
  <c r="AG3474" i="2"/>
  <c r="AG3475" i="2"/>
  <c r="AG3339" i="2"/>
  <c r="AG3473" i="2"/>
  <c r="AG292" i="2"/>
  <c r="AG3460" i="2"/>
  <c r="AG3406" i="2"/>
  <c r="AG562" i="2"/>
  <c r="AG1424" i="2"/>
  <c r="AG1425" i="2"/>
  <c r="AG561" i="2"/>
  <c r="AG3405" i="2"/>
  <c r="AG3463" i="2"/>
  <c r="AG1315" i="2"/>
  <c r="AG1145" i="2"/>
  <c r="AG362" i="2"/>
  <c r="AG1004" i="2"/>
  <c r="AG3459" i="2"/>
  <c r="AG3464" i="2"/>
  <c r="AG3338" i="2"/>
  <c r="AG1146" i="2"/>
  <c r="AG1003" i="2"/>
  <c r="AG3465" i="2"/>
  <c r="AG3404" i="2"/>
  <c r="AG1005" i="2"/>
  <c r="AG3466" i="2"/>
  <c r="AG604" i="2"/>
  <c r="AG1861" i="2"/>
  <c r="AG1860" i="2"/>
  <c r="AG1859" i="2"/>
  <c r="AG1858" i="2"/>
  <c r="AG3452" i="2"/>
  <c r="AG3451" i="2"/>
  <c r="AG2885" i="2"/>
  <c r="AG2886" i="2"/>
  <c r="AG286" i="2"/>
  <c r="AG285" i="2"/>
  <c r="AG1466" i="2"/>
  <c r="AG2037" i="2"/>
  <c r="AG3409" i="2"/>
  <c r="AG3408" i="2"/>
  <c r="AG3407" i="2"/>
  <c r="AG2057" i="2"/>
  <c r="AG2977" i="2"/>
  <c r="AG3305" i="2"/>
  <c r="AG3454" i="2"/>
  <c r="AG3453" i="2"/>
  <c r="AG1308" i="2"/>
  <c r="AG210" i="2"/>
  <c r="AG1309" i="2"/>
  <c r="AG2978" i="2"/>
  <c r="AG1472" i="2"/>
  <c r="AG1471" i="2"/>
  <c r="AG46" i="2"/>
  <c r="AG1132" i="2"/>
  <c r="AG1133" i="2"/>
  <c r="AG39" i="2"/>
  <c r="AG1575" i="2"/>
  <c r="AG1467" i="2"/>
  <c r="AG171" i="2"/>
  <c r="AG1497" i="2"/>
  <c r="AG3490" i="2"/>
  <c r="AG3491" i="2"/>
  <c r="AG3450" i="2"/>
  <c r="AG507" i="2"/>
  <c r="AG508" i="2"/>
  <c r="AG3415" i="2"/>
  <c r="AG3444" i="2"/>
  <c r="AG3443" i="2"/>
  <c r="AG3446" i="2"/>
  <c r="AG3445" i="2"/>
  <c r="AG1204" i="2"/>
  <c r="AG3363" i="2"/>
  <c r="AG1205" i="2"/>
  <c r="AG1206" i="2"/>
  <c r="AG1878" i="2"/>
  <c r="AG1207" i="2"/>
  <c r="AG1382" i="2"/>
  <c r="AG3364" i="2"/>
  <c r="AG3525" i="2"/>
  <c r="AG190" i="2"/>
  <c r="AG3365" i="2"/>
  <c r="AG1879" i="2"/>
  <c r="AG189" i="2"/>
  <c r="AG3455" i="2"/>
  <c r="AG1821" i="2"/>
  <c r="AG188" i="2"/>
  <c r="AG1820" i="2"/>
  <c r="AG187" i="2"/>
  <c r="AG3306" i="2"/>
  <c r="AG1377" i="2"/>
  <c r="AG1568" i="2"/>
  <c r="AG3485" i="2"/>
  <c r="AG3484" i="2"/>
  <c r="AG3441" i="2"/>
  <c r="AG3487" i="2"/>
  <c r="AG3486" i="2"/>
  <c r="AG1569" i="2"/>
  <c r="AG3442" i="2"/>
  <c r="AG3206" i="2"/>
  <c r="AG3500" i="2"/>
  <c r="AG3501" i="2"/>
  <c r="AG3499" i="2"/>
  <c r="AG3489" i="2"/>
  <c r="AG3488" i="2"/>
  <c r="AG3207" i="2"/>
  <c r="AG3498" i="2"/>
  <c r="AG50" i="2"/>
  <c r="AG3320" i="2"/>
  <c r="AG1479" i="2"/>
  <c r="AG3502" i="2"/>
  <c r="AG1667" i="2"/>
  <c r="AG3504" i="2"/>
  <c r="AG3503" i="2"/>
  <c r="AG3505" i="2"/>
  <c r="AG3411" i="2"/>
  <c r="AG3497" i="2"/>
  <c r="AG3496" i="2"/>
  <c r="AG3412" i="2"/>
  <c r="AG3410" i="2"/>
  <c r="AG3495" i="2"/>
  <c r="AG3470" i="2"/>
  <c r="AG1770" i="2"/>
  <c r="AG3494" i="2"/>
  <c r="AG1769" i="2"/>
  <c r="AG1572" i="2"/>
  <c r="AG3479" i="2"/>
  <c r="AG3478" i="2"/>
  <c r="AG3319" i="2"/>
  <c r="AG1573" i="2"/>
  <c r="AG3428" i="2"/>
  <c r="AG3427" i="2"/>
  <c r="AG1620" i="2"/>
  <c r="AG1731" i="2"/>
  <c r="AG3121" i="2"/>
  <c r="AG3120" i="2"/>
  <c r="AG3119" i="2"/>
  <c r="AG3471" i="2"/>
  <c r="AG1730" i="2"/>
  <c r="AG2639" i="2"/>
  <c r="AG2638" i="2"/>
  <c r="AG498" i="2"/>
  <c r="AG197" i="2"/>
  <c r="AG2916" i="2"/>
  <c r="AG2917" i="2"/>
  <c r="AG196" i="2"/>
  <c r="AG3468" i="2"/>
  <c r="AG3462" i="2"/>
  <c r="AG3469" i="2"/>
  <c r="AG199" i="2"/>
  <c r="AG198" i="2"/>
  <c r="AG3456" i="2"/>
  <c r="AG3529" i="2"/>
  <c r="AG3528" i="2"/>
  <c r="AG1047" i="2"/>
  <c r="AG1046" i="2"/>
  <c r="AG1169" i="2"/>
  <c r="AG314" i="2"/>
  <c r="AG3527" i="2"/>
  <c r="AG315" i="2"/>
  <c r="AG3526" i="2"/>
  <c r="AG3467" i="2"/>
  <c r="AG613" i="2"/>
  <c r="AG3520" i="2"/>
  <c r="AG924" i="2"/>
  <c r="AG3521" i="2"/>
  <c r="AG3518" i="2"/>
  <c r="AG3519" i="2"/>
  <c r="AG925" i="2"/>
  <c r="AG3256" i="2"/>
  <c r="AG3458" i="2"/>
  <c r="AG612" i="2"/>
  <c r="AG3523" i="2"/>
  <c r="AG3522" i="2"/>
  <c r="AG2897" i="2"/>
  <c r="AG2898" i="2"/>
  <c r="AG1098" i="2"/>
  <c r="AG1099" i="2"/>
  <c r="AG3508" i="2"/>
  <c r="AG3510" i="2"/>
  <c r="AG3257" i="2"/>
  <c r="AG1100" i="2"/>
  <c r="AG3512" i="2"/>
  <c r="AG3511" i="2"/>
  <c r="AG317" i="2"/>
  <c r="AG316" i="2"/>
  <c r="AG137" i="2"/>
  <c r="AG138" i="2"/>
  <c r="AG3481" i="2"/>
  <c r="AG3480" i="2"/>
  <c r="AG3513" i="2"/>
  <c r="AG3514" i="2"/>
  <c r="AG3515" i="2"/>
  <c r="AG388" i="2"/>
  <c r="AG761" i="2"/>
  <c r="AG749" i="2"/>
  <c r="AG3516" i="2"/>
  <c r="AG1454" i="2"/>
  <c r="AG750" i="2"/>
  <c r="AG3530" i="2"/>
  <c r="AG3457" i="2"/>
  <c r="AG745" i="2"/>
  <c r="AG1931" i="2"/>
  <c r="AG1453" i="2"/>
  <c r="AG1672" i="2"/>
  <c r="AG1671" i="2"/>
  <c r="AG746" i="2"/>
  <c r="AG3211" i="2"/>
  <c r="AG1452" i="2"/>
  <c r="AG747" i="2"/>
  <c r="AG1670" i="2"/>
  <c r="AG748" i="2"/>
  <c r="AG389" i="2"/>
  <c r="AG3559" i="2"/>
  <c r="AG927" i="2"/>
  <c r="AG3558" i="2"/>
  <c r="AG3557" i="2"/>
  <c r="AG3560" i="2"/>
  <c r="AG318" i="2"/>
  <c r="AG319" i="2"/>
  <c r="AG3531" i="2"/>
  <c r="AG928" i="2"/>
  <c r="AG3532" i="2"/>
  <c r="AG929" i="2"/>
  <c r="AG905" i="2"/>
  <c r="AG907" i="2"/>
  <c r="AG906" i="2"/>
  <c r="AG3590" i="2"/>
  <c r="AG3533" i="2"/>
  <c r="AG3534" i="2"/>
  <c r="AG3420" i="2"/>
  <c r="AG3447" i="2"/>
  <c r="AG3600" i="2"/>
  <c r="AG225" i="2"/>
  <c r="AG224" i="2"/>
  <c r="AG3544" i="2"/>
  <c r="AG1074" i="2"/>
  <c r="AG1073" i="2"/>
  <c r="AG223" i="2"/>
  <c r="AG3561" i="2"/>
  <c r="AG3545" i="2"/>
  <c r="AG3549" i="2"/>
  <c r="AG3550" i="2"/>
  <c r="AG3562" i="2"/>
  <c r="AG3551" i="2"/>
  <c r="AG3552" i="2"/>
  <c r="AG3553" i="2"/>
  <c r="AG3564" i="2"/>
  <c r="AG3563" i="2"/>
  <c r="AG3554" i="2"/>
  <c r="AG152" i="2"/>
  <c r="AG3547" i="2"/>
  <c r="AG3546" i="2"/>
  <c r="AG153" i="2"/>
  <c r="AG3565" i="2"/>
  <c r="AG3555" i="2"/>
  <c r="AG3556" i="2"/>
  <c r="AG3387" i="2"/>
  <c r="AG1170" i="2"/>
  <c r="AG111" i="2"/>
  <c r="AG3615" i="2"/>
  <c r="AG151" i="2"/>
  <c r="AG150" i="2"/>
  <c r="AG3616" i="2"/>
  <c r="AG3379" i="2"/>
  <c r="AG3378" i="2"/>
  <c r="AG767" i="2"/>
  <c r="AG155" i="2"/>
  <c r="AG110" i="2"/>
  <c r="AG154" i="2"/>
  <c r="AG3610" i="2"/>
  <c r="AG3419" i="2"/>
  <c r="AG3418" i="2"/>
  <c r="AG3581" i="2"/>
  <c r="AG917" i="2"/>
  <c r="AG916" i="2"/>
  <c r="AG3543" i="2"/>
  <c r="AG3535" i="2"/>
  <c r="AG3536" i="2"/>
  <c r="AG3538" i="2"/>
  <c r="AG2195" i="2"/>
  <c r="AG248" i="2"/>
  <c r="AG3601" i="2"/>
  <c r="AG247" i="2"/>
  <c r="AG3584" i="2"/>
  <c r="AG3597" i="2"/>
  <c r="AG2267" i="2"/>
  <c r="AG246" i="2"/>
  <c r="AG3539" i="2"/>
  <c r="AG3537" i="2"/>
  <c r="AG3124" i="2"/>
  <c r="AG3582" i="2"/>
  <c r="AG3342" i="2"/>
  <c r="AG3343" i="2"/>
  <c r="AG3583" i="2"/>
  <c r="AG1306" i="2"/>
  <c r="AG1305" i="2"/>
  <c r="AG3591" i="2"/>
  <c r="AG3592" i="2"/>
  <c r="AG3507" i="2"/>
  <c r="AG3506" i="2"/>
  <c r="AG3041" i="2"/>
  <c r="AG3595" i="2"/>
  <c r="AG2846" i="2"/>
  <c r="AG3596" i="2"/>
  <c r="AG934" i="2"/>
  <c r="AG3268" i="2"/>
  <c r="AG503" i="2"/>
  <c r="AG3572" i="2"/>
  <c r="AG3267" i="2"/>
  <c r="AG3570" i="2"/>
  <c r="AG3571" i="2"/>
  <c r="AG504" i="2"/>
  <c r="AG3266" i="2"/>
  <c r="AG3586" i="2"/>
  <c r="AG3585" i="2"/>
  <c r="AG2523" i="2"/>
  <c r="AG465" i="2"/>
  <c r="AG3621" i="2"/>
  <c r="AG3598" i="2"/>
  <c r="AG466" i="2"/>
  <c r="AG3593" i="2"/>
  <c r="AG3622" i="2"/>
  <c r="AG3594" i="2"/>
  <c r="AG3599" i="2"/>
  <c r="AG2524" i="2"/>
  <c r="AG3609" i="2"/>
  <c r="AG3548" i="2"/>
  <c r="AG523" i="2"/>
  <c r="AG168" i="2"/>
  <c r="AG3578" i="2"/>
  <c r="AG169" i="2"/>
  <c r="AG524" i="2"/>
  <c r="AG243" i="2"/>
  <c r="AG3617" i="2"/>
  <c r="AG244" i="2"/>
  <c r="AG159" i="2"/>
  <c r="AG3618" i="2"/>
  <c r="AG160" i="2"/>
  <c r="AG158" i="2"/>
  <c r="AG3576" i="2"/>
  <c r="AG3602" i="2"/>
  <c r="AG3575" i="2"/>
  <c r="AG245" i="2"/>
  <c r="AG3619" i="2"/>
  <c r="AG3608" i="2"/>
  <c r="AG3607" i="2"/>
  <c r="AG3606" i="2"/>
  <c r="AG3611" i="2"/>
  <c r="AG3605" i="2"/>
  <c r="AG3612" i="2"/>
  <c r="AG3613" i="2"/>
  <c r="AG3614" i="2"/>
  <c r="AG3587" i="2"/>
  <c r="AG3588" i="2"/>
  <c r="AG166" i="2"/>
  <c r="AG3579" i="2"/>
  <c r="AG3580" i="2"/>
  <c r="AG3623" i="2"/>
  <c r="AG3654" i="2"/>
  <c r="AG3653" i="2"/>
  <c r="AG3620" i="2"/>
  <c r="AG3568" i="2"/>
  <c r="AG3567" i="2"/>
  <c r="AG3566" i="2"/>
  <c r="AG3624" i="2"/>
  <c r="AG240" i="2"/>
  <c r="AG473" i="2"/>
  <c r="AG474" i="2"/>
  <c r="AG475" i="2"/>
  <c r="AG239" i="2"/>
  <c r="AG234" i="2"/>
  <c r="AG238" i="2"/>
  <c r="AG237" i="2"/>
  <c r="AG235" i="2"/>
  <c r="AG3483" i="2"/>
  <c r="AG236" i="2"/>
  <c r="AG3658" i="2"/>
  <c r="AG3657" i="2"/>
  <c r="AG3524" i="2"/>
  <c r="AG3482" i="2"/>
  <c r="AG3603" i="2"/>
  <c r="AG3604" i="2"/>
  <c r="AG2189" i="2"/>
  <c r="AG1778" i="2"/>
  <c r="AG3659" i="2"/>
  <c r="AG3660" i="2"/>
  <c r="AG3644" i="2"/>
  <c r="AG3629" i="2"/>
  <c r="AG3645" i="2"/>
  <c r="AG3628" i="2"/>
  <c r="AG3634" i="2"/>
  <c r="AG3661" i="2"/>
  <c r="AG3635" i="2"/>
  <c r="AG3662" i="2"/>
  <c r="AG3655" i="2"/>
  <c r="AG3656" i="2"/>
  <c r="AG3641" i="2"/>
  <c r="AG89" i="2"/>
  <c r="AG3640" i="2"/>
  <c r="AG3665" i="2"/>
  <c r="AG915" i="2"/>
  <c r="AG914" i="2"/>
  <c r="AG3681" i="2"/>
  <c r="AG3637" i="2"/>
  <c r="AG3682" i="2"/>
  <c r="AG3636" i="2"/>
  <c r="AG1077" i="2"/>
  <c r="AG1078" i="2"/>
  <c r="AG3642" i="2"/>
  <c r="AG981" i="2"/>
  <c r="AG3643" i="2"/>
  <c r="AG3683" i="2"/>
  <c r="AG3684" i="2"/>
  <c r="AG982" i="2"/>
  <c r="AG379" i="2"/>
  <c r="AG983" i="2"/>
  <c r="AG380" i="2"/>
  <c r="AG1054" i="2"/>
  <c r="AG1053" i="2"/>
  <c r="AG984" i="2"/>
  <c r="AG978" i="2"/>
  <c r="AG3105" i="2"/>
  <c r="AG3104" i="2"/>
  <c r="AG979" i="2"/>
  <c r="AG3574" i="2"/>
  <c r="AG980" i="2"/>
  <c r="AG3692" i="2"/>
  <c r="AG3573" i="2"/>
  <c r="AG3493" i="2"/>
  <c r="AG3492" i="2"/>
  <c r="AG3303" i="2"/>
  <c r="AG3639" i="2"/>
  <c r="AG3648" i="2"/>
  <c r="AG3693" i="2"/>
  <c r="AG3304" i="2"/>
  <c r="AG3671" i="2"/>
  <c r="AG3649" i="2"/>
  <c r="AG2242" i="2"/>
  <c r="AG589" i="2"/>
  <c r="AG3675" i="2"/>
  <c r="AG3676" i="2"/>
  <c r="AG3674" i="2"/>
  <c r="AG3633" i="2"/>
  <c r="AG3632" i="2"/>
  <c r="AG3631" i="2"/>
  <c r="AG3630" i="2"/>
  <c r="AG3509" i="2"/>
  <c r="AG3517" i="2"/>
  <c r="AG2243" i="2"/>
  <c r="AG3638" i="2"/>
  <c r="AG760" i="2"/>
  <c r="AG104" i="2"/>
  <c r="AG3687" i="2"/>
  <c r="AG3663" i="2"/>
  <c r="AG3664" i="2"/>
  <c r="AG103" i="2"/>
  <c r="AG3672" i="2"/>
  <c r="AG102" i="2"/>
  <c r="AG3677" i="2"/>
  <c r="AG3678" i="2"/>
  <c r="AG3652" i="2"/>
  <c r="AG3651" i="2"/>
  <c r="AG3650" i="2"/>
  <c r="AG101" i="2"/>
  <c r="AG264" i="2"/>
  <c r="AG100" i="2"/>
  <c r="AG263" i="2"/>
  <c r="AG3673" i="2"/>
  <c r="AG3666" i="2"/>
  <c r="AG3686" i="2"/>
  <c r="AG3685" i="2"/>
  <c r="AG265" i="2"/>
  <c r="AG3667" i="2"/>
  <c r="AG266" i="2"/>
  <c r="AG3668" i="2"/>
  <c r="AG2078" i="2"/>
  <c r="AG2077" i="2"/>
  <c r="AG3122" i="2"/>
  <c r="AG3123" i="2"/>
  <c r="AG58" i="2"/>
  <c r="AG3703" i="2"/>
  <c r="AG3646" i="2"/>
  <c r="AG3311" i="2"/>
  <c r="AG57" i="2"/>
  <c r="AG3698" i="2"/>
  <c r="AG3697" i="2"/>
  <c r="AG3647" i="2"/>
  <c r="AG55" i="2"/>
  <c r="AG56" i="2"/>
  <c r="AG3707" i="2"/>
  <c r="AG3708" i="2"/>
  <c r="AG559" i="2"/>
  <c r="AG54" i="2"/>
  <c r="AG211" i="2"/>
  <c r="AG894" i="2"/>
  <c r="AG895" i="2"/>
  <c r="AG2587" i="2"/>
  <c r="AG3688" i="2"/>
  <c r="AG3689" i="2"/>
  <c r="AG108" i="2"/>
  <c r="AG113" i="2"/>
  <c r="AG109" i="2"/>
  <c r="AG114" i="2"/>
  <c r="AG3540" i="2"/>
  <c r="AG3162" i="2"/>
  <c r="AG3701" i="2"/>
  <c r="AG3702" i="2"/>
  <c r="AG3163" i="2"/>
  <c r="AG3541" i="2"/>
  <c r="AG3706" i="2"/>
  <c r="AG3705" i="2"/>
  <c r="AG3699" i="2"/>
  <c r="AG3700" i="2"/>
  <c r="AG3542" i="2"/>
  <c r="AG299" i="2"/>
  <c r="AG3691" i="2"/>
  <c r="AG3690" i="2"/>
  <c r="AG1653" i="2"/>
  <c r="AG3695" i="2"/>
  <c r="AG3696" i="2"/>
  <c r="AG3062" i="2"/>
  <c r="AG3063" i="2"/>
  <c r="AG3730" i="2"/>
  <c r="AG3729" i="2"/>
  <c r="AG3728" i="2"/>
  <c r="AG3727" i="2"/>
  <c r="AG3726" i="2"/>
  <c r="AG3725" i="2"/>
  <c r="AG3704" i="2"/>
  <c r="AG3716" i="2"/>
  <c r="AG3724" i="2"/>
  <c r="AG3722" i="2"/>
  <c r="AG3723" i="2"/>
  <c r="AG3709" i="2"/>
  <c r="AG3669" i="2"/>
  <c r="AG3626" i="2"/>
  <c r="AG3625" i="2"/>
  <c r="AG3627" i="2"/>
  <c r="AG3735" i="2"/>
  <c r="AG3733" i="2"/>
  <c r="AG3737" i="2"/>
  <c r="AG3736" i="2"/>
  <c r="AG3740" i="2"/>
  <c r="AG3739" i="2"/>
  <c r="AG3738" i="2"/>
  <c r="AG3670" i="2"/>
  <c r="AG3741" i="2"/>
  <c r="AG3734" i="2"/>
  <c r="AG3589" i="2"/>
  <c r="AG3732" i="2"/>
  <c r="AG3731" i="2"/>
  <c r="AG3742" i="2"/>
  <c r="AG2092" i="2"/>
  <c r="AG277" i="2"/>
  <c r="AG2093" i="2"/>
  <c r="AG3711" i="2"/>
  <c r="AG284" i="2"/>
  <c r="AG283" i="2"/>
  <c r="AG276" i="2"/>
  <c r="AG275" i="2"/>
  <c r="AG3712" i="2"/>
  <c r="AG278" i="2"/>
  <c r="AG3710" i="2"/>
  <c r="AG3713" i="2"/>
  <c r="AG3694" i="2"/>
  <c r="AG3717" i="2"/>
  <c r="AG3718" i="2"/>
  <c r="AG3032" i="2"/>
  <c r="AG3031" i="2"/>
  <c r="AG242" i="2"/>
  <c r="AG241" i="2"/>
  <c r="AG3752" i="2"/>
  <c r="AG3751" i="2"/>
  <c r="AG3750" i="2"/>
  <c r="AG3749" i="2"/>
  <c r="AG3748" i="2"/>
  <c r="AG3747" i="2"/>
  <c r="AG3715" i="2"/>
  <c r="AG3714" i="2"/>
  <c r="AG75" i="2"/>
  <c r="AG76" i="2"/>
  <c r="AG3746" i="2"/>
  <c r="AG3382" i="2"/>
  <c r="AG3383" i="2"/>
  <c r="AG80" i="2"/>
  <c r="AG2447" i="2"/>
  <c r="AG81" i="2"/>
  <c r="AG2446" i="2"/>
  <c r="AG3745" i="2"/>
  <c r="AG1370" i="2"/>
  <c r="AG3720" i="2"/>
  <c r="AG3719" i="2"/>
  <c r="AG3753" i="2"/>
  <c r="AG3754" i="2"/>
  <c r="AG3755" i="2"/>
  <c r="AG3721" i="2"/>
  <c r="AG3756" i="2"/>
  <c r="AG3757" i="2"/>
  <c r="AG3758" i="2"/>
  <c r="AG3400" i="2"/>
  <c r="AG3743" i="2"/>
  <c r="AG3401" i="2"/>
  <c r="AG47" i="2"/>
  <c r="AG173" i="2"/>
  <c r="AG172" i="2"/>
  <c r="AG3764" i="2"/>
  <c r="AG3763" i="2"/>
  <c r="AG174" i="2"/>
  <c r="AG176" i="2"/>
  <c r="AG175" i="2"/>
  <c r="AG3762" i="2"/>
  <c r="AG3761" i="2"/>
  <c r="AG3760" i="2"/>
  <c r="AG3679" i="2"/>
  <c r="AG3680" i="2"/>
  <c r="AG3744" i="2"/>
  <c r="AG177" i="2"/>
  <c r="AG3759" i="2"/>
  <c r="AG37" i="2"/>
  <c r="AG28" i="2"/>
  <c r="AG29" i="2"/>
  <c r="AG3765" i="2"/>
  <c r="AG3766" i="2"/>
  <c r="AG6" i="2"/>
  <c r="AK10" i="2"/>
  <c r="AK9" i="2"/>
  <c r="AJ10" i="2"/>
  <c r="AK13" i="2"/>
  <c r="AJ13" i="2"/>
  <c r="AF256" i="2" l="1"/>
  <c r="AF1625" i="2"/>
  <c r="AF3196" i="2"/>
  <c r="AF3311" i="2"/>
  <c r="AF3521" i="2"/>
  <c r="AF3599" i="2"/>
  <c r="AF3723" i="2"/>
  <c r="AF2352" i="2"/>
  <c r="AF280" i="2"/>
  <c r="AF508" i="2"/>
  <c r="AF2641" i="2"/>
  <c r="AF3259" i="2"/>
  <c r="AF3322" i="2"/>
  <c r="AF3655" i="2"/>
  <c r="AF3695" i="2"/>
  <c r="AF96" i="2"/>
  <c r="AF97" i="2" s="1"/>
  <c r="AF1358" i="2"/>
  <c r="AF2432" i="2"/>
  <c r="AF3406" i="2"/>
  <c r="AF3606" i="2"/>
  <c r="AF3664" i="2"/>
  <c r="AF2252" i="2"/>
  <c r="AF109" i="2"/>
  <c r="AF1146" i="2"/>
  <c r="AF1657" i="2"/>
  <c r="AF1720" i="2"/>
  <c r="AF2141" i="2"/>
  <c r="AF2434" i="2"/>
  <c r="AF2522" i="2"/>
  <c r="AF2920" i="2"/>
  <c r="AF3047" i="2"/>
  <c r="AF3123" i="2"/>
  <c r="AF3207" i="2"/>
  <c r="AF3536" i="2"/>
  <c r="AF1098" i="2"/>
  <c r="AF879" i="2"/>
  <c r="AF2436" i="2"/>
  <c r="AF2589" i="2" s="1"/>
  <c r="AF2581" i="2"/>
  <c r="AF2879" i="2"/>
  <c r="AF3010" i="2"/>
  <c r="AF3053" i="2"/>
  <c r="AF3410" i="2"/>
  <c r="AF1133" i="2"/>
  <c r="AF124" i="2"/>
  <c r="AF1662" i="2" s="1"/>
  <c r="AF545" i="2"/>
  <c r="AF1660" i="2"/>
  <c r="AF2749" i="2"/>
  <c r="AF2841" i="2"/>
  <c r="AF2881" i="2"/>
  <c r="AF3417" i="2"/>
  <c r="AF2327" i="2"/>
  <c r="AF2526" i="2"/>
  <c r="AF2843" i="2"/>
  <c r="AF3215" i="2"/>
  <c r="AF3281" i="2"/>
  <c r="AF3282" i="2" s="1"/>
  <c r="AF1253" i="2"/>
  <c r="AF319" i="2"/>
  <c r="AF1423" i="2"/>
  <c r="AF1730" i="2"/>
  <c r="AF2147" i="2"/>
  <c r="AF2369" i="2"/>
  <c r="AF2465" i="2"/>
  <c r="AF2886" i="2"/>
  <c r="AF3224" i="2"/>
  <c r="AF3627" i="2"/>
  <c r="AF3677" i="2"/>
  <c r="AF225" i="2"/>
  <c r="AF138" i="2"/>
  <c r="AF1740" i="2"/>
  <c r="AF2591" i="2"/>
  <c r="AF2846" i="2"/>
  <c r="AF2898" i="2"/>
  <c r="AF2954" i="2"/>
  <c r="AF3028" i="2"/>
  <c r="AF3173" i="2"/>
  <c r="AF3285" i="2"/>
  <c r="AF3442" i="2"/>
  <c r="AF581" i="2"/>
  <c r="AF149" i="2"/>
  <c r="AF591" i="2"/>
  <c r="AF2378" i="2"/>
  <c r="AF2504" i="2"/>
  <c r="AF2594" i="2"/>
  <c r="AF2850" i="2"/>
  <c r="AF3030" i="2"/>
  <c r="AF3075" i="2"/>
  <c r="AF3341" i="2"/>
  <c r="AF3635" i="2"/>
  <c r="AF3689" i="2"/>
  <c r="AF2453" i="2"/>
  <c r="AF388" i="2"/>
  <c r="AF929" i="2"/>
  <c r="AF1587" i="2"/>
  <c r="AF1770" i="2"/>
  <c r="AF2596" i="2"/>
  <c r="AF2763" i="2"/>
  <c r="AF2854" i="2"/>
  <c r="AF3077" i="2"/>
  <c r="AF3298" i="2"/>
  <c r="AF3343" i="2"/>
  <c r="AF3469" i="2"/>
  <c r="AF3574" i="2"/>
  <c r="AF3636" i="2"/>
  <c r="AF1077" i="2" s="1"/>
  <c r="AF643" i="2"/>
  <c r="AF2183" i="2"/>
  <c r="AF392" i="2"/>
  <c r="AF1267" i="2"/>
  <c r="AF1688" i="2"/>
  <c r="AF1974" i="2"/>
  <c r="AF3079" i="2"/>
  <c r="AF3178" i="2"/>
  <c r="AF3301" i="2"/>
  <c r="AF3365" i="2"/>
  <c r="AF3476" i="2"/>
  <c r="AF3576" i="2"/>
  <c r="AF2220" i="2"/>
  <c r="AF2345" i="2"/>
  <c r="AF245" i="2"/>
  <c r="AF400" i="2"/>
  <c r="AF169" i="2"/>
  <c r="AF1011" i="2"/>
  <c r="AF2019" i="2"/>
  <c r="AF2391" i="2"/>
  <c r="AF3236" i="2"/>
  <c r="AF3380" i="2"/>
  <c r="AF714" i="2"/>
  <c r="AF76" i="2"/>
  <c r="AF248" i="2"/>
  <c r="AF727" i="2"/>
  <c r="AF2797" i="2"/>
  <c r="AF3181" i="2"/>
  <c r="AF3304" i="2"/>
  <c r="AF3392" i="2"/>
  <c r="AF3483" i="2"/>
  <c r="AF3592" i="2"/>
  <c r="AF3641" i="2"/>
  <c r="AF3700" i="2"/>
  <c r="AF8" i="2"/>
  <c r="AF264" i="2"/>
  <c r="AF1821" i="2"/>
  <c r="AF2045" i="2"/>
  <c r="AF2401" i="2"/>
  <c r="AF2619" i="2"/>
  <c r="AF3247" i="2"/>
  <c r="AF3594" i="2"/>
  <c r="AF3643" i="2"/>
  <c r="AF3702" i="2"/>
  <c r="AF10" i="2"/>
  <c r="AF1392" i="2" s="1"/>
  <c r="AF1836" i="2"/>
  <c r="AF2423" i="2"/>
  <c r="AF2978" i="2"/>
  <c r="AF1309" i="2" s="1"/>
  <c r="AF3195" i="2"/>
  <c r="AF3249" i="2"/>
  <c r="AF3596" i="2"/>
  <c r="AF3041" i="2" s="1"/>
  <c r="AF3713" i="2"/>
  <c r="AF2281" i="2"/>
  <c r="AF2457" i="2"/>
  <c r="AF2344" i="2"/>
  <c r="AF2452" i="2"/>
  <c r="AF3631" i="2"/>
  <c r="AF3632" i="2"/>
  <c r="AF2248" i="2"/>
  <c r="AF2221" i="2"/>
  <c r="AF2222" i="2"/>
  <c r="AF2238" i="2"/>
  <c r="AF2223" i="2"/>
  <c r="AF2239" i="2"/>
  <c r="AF2257" i="2"/>
  <c r="AF2218" i="2"/>
  <c r="AF2209" i="2"/>
  <c r="AF2210" i="2"/>
  <c r="AF2211" i="2"/>
  <c r="AF1099" i="2"/>
  <c r="AF2182" i="2"/>
  <c r="AF3675" i="2"/>
  <c r="AF3651" i="2"/>
  <c r="AF3607" i="2"/>
  <c r="AF3626" i="2"/>
  <c r="AF3408" i="2"/>
  <c r="AF3405" i="2"/>
  <c r="AF3411" i="2"/>
  <c r="AF3237" i="2"/>
  <c r="AF3271" i="2"/>
  <c r="AF3260" i="2"/>
  <c r="AF3267" i="2"/>
  <c r="AF3570" i="2" s="1"/>
  <c r="AF3273" i="2"/>
  <c r="AF3081" i="2"/>
  <c r="AF2830" i="2" s="1"/>
  <c r="AF2997" i="2"/>
  <c r="AF3074" i="2"/>
  <c r="AF3072" i="2"/>
  <c r="AF3037" i="2"/>
  <c r="AF3045" i="2"/>
  <c r="AF2859" i="2" s="1"/>
  <c r="AF3120" i="2"/>
  <c r="AF2922" i="2"/>
  <c r="AF3039" i="2"/>
  <c r="AF3060" i="2"/>
  <c r="AF3194" i="2"/>
  <c r="AF3040" i="2"/>
  <c r="AF3057" i="2"/>
  <c r="AF2972" i="2" s="1"/>
  <c r="AF3052" i="2"/>
  <c r="AF3198" i="2"/>
  <c r="AF3209" i="2"/>
  <c r="AF3223" i="2" s="1"/>
  <c r="AF2995" i="2"/>
  <c r="AF3006" i="2"/>
  <c r="AF2924" i="2"/>
  <c r="AF3011" i="2"/>
  <c r="AF2852" i="2"/>
  <c r="AF2923" i="2"/>
  <c r="AF1902" i="2" s="1"/>
  <c r="AF2853" i="2"/>
  <c r="AF2862" i="2"/>
  <c r="AF2914" i="2"/>
  <c r="AF2925" i="2"/>
  <c r="AF2583" i="2"/>
  <c r="AF2765" i="2"/>
  <c r="AF2845" i="2"/>
  <c r="AF2863" i="2"/>
  <c r="AF127" i="2" s="1"/>
  <c r="AF2916" i="2"/>
  <c r="AF2926" i="2"/>
  <c r="AF2927" i="2"/>
  <c r="AF3026" i="2"/>
  <c r="AF3027" i="2"/>
  <c r="AF2764" i="2"/>
  <c r="AF2527" i="2"/>
  <c r="AF2528" i="2"/>
  <c r="AF2827" i="2"/>
  <c r="AF2617" i="2"/>
  <c r="AF2766" i="2"/>
  <c r="AF2598" i="2"/>
  <c r="AF2618" i="2"/>
  <c r="AF2829" i="2"/>
  <c r="AF3082" i="2" s="1"/>
  <c r="AF3222" i="2" s="1"/>
  <c r="AF2688" i="2"/>
  <c r="AF2379" i="2"/>
  <c r="AF2595" i="2"/>
  <c r="AF2593" i="2"/>
  <c r="AF2938" i="2" s="1"/>
  <c r="AF1857" i="2"/>
  <c r="AF2127" i="2"/>
  <c r="AF2105" i="2"/>
  <c r="AF2129" i="2"/>
  <c r="AF2172" i="2"/>
  <c r="AF2174" i="2"/>
  <c r="AF2135" i="2"/>
  <c r="AF2126" i="2"/>
  <c r="AF2134" i="2"/>
  <c r="AF2142" i="2"/>
  <c r="AF2173" i="2"/>
  <c r="AF2128" i="2"/>
  <c r="AF2136" i="2"/>
  <c r="AF2168" i="2"/>
  <c r="AF2130" i="2"/>
  <c r="AF2138" i="2"/>
  <c r="AF2131" i="2"/>
  <c r="AF2139" i="2"/>
  <c r="AF2132" i="2"/>
  <c r="AF2140" i="2"/>
  <c r="AF1856" i="2"/>
  <c r="AF1852" i="2"/>
  <c r="AF1853" i="2" s="1"/>
  <c r="AF1404" i="2"/>
  <c r="AF1216" i="2"/>
  <c r="AF1359" i="2"/>
  <c r="AF1349" i="2"/>
  <c r="AF1847" i="2"/>
  <c r="AF1591" i="2"/>
  <c r="AF1623" i="2"/>
  <c r="AF1422" i="2"/>
  <c r="AF1624" i="2"/>
  <c r="AF1590" i="2"/>
  <c r="AF1347" i="2"/>
  <c r="AF1356" i="2"/>
  <c r="AF880" i="2"/>
  <c r="AF3310" i="2" s="1"/>
  <c r="AF1012" i="2"/>
  <c r="AF906" i="2"/>
  <c r="AF728" i="2"/>
  <c r="AF734" i="2"/>
  <c r="AF726" i="2"/>
  <c r="AF731" i="2"/>
  <c r="AF249" i="2"/>
  <c r="AF251" i="2"/>
  <c r="AF254" i="2"/>
  <c r="AF255" i="2"/>
  <c r="AF226" i="2"/>
  <c r="AJ11" i="2"/>
  <c r="AF228" i="2"/>
  <c r="AF473" i="2"/>
  <c r="AF474" i="2" s="1"/>
  <c r="AF267" i="2"/>
  <c r="AF396" i="2"/>
  <c r="AF269" i="2"/>
  <c r="AF397" i="2"/>
  <c r="AF224" i="2"/>
  <c r="AF244" i="2"/>
  <c r="AF401" i="2"/>
  <c r="AF496" i="2"/>
  <c r="AF1209" i="2" s="1"/>
  <c r="AF402" i="2"/>
  <c r="AF314" i="2"/>
  <c r="AF316" i="2"/>
  <c r="AF317" i="2"/>
  <c r="AF227" i="2"/>
  <c r="AF318" i="2"/>
  <c r="AF229" i="2"/>
  <c r="AF247" i="2"/>
  <c r="AK14" i="2"/>
  <c r="AK15" i="2" s="1"/>
  <c r="AJ14" i="2"/>
  <c r="AJ15" i="2" s="1"/>
  <c r="AK11" i="2"/>
  <c r="AF3058" i="2" l="1"/>
  <c r="AF266" i="2" l="1"/>
  <c r="AF3667" i="2"/>
  <c r="AF3668" i="2" s="1"/>
  <c r="AF2857" i="2"/>
  <c r="AF1871" i="2"/>
  <c r="AF3097" i="2"/>
  <c r="AF1961" i="2"/>
  <c r="AF61" i="2"/>
  <c r="AF2966" i="2"/>
  <c r="AF181" i="2"/>
  <c r="AF2515" i="2"/>
  <c r="AF259" i="2"/>
  <c r="AF257" i="2"/>
  <c r="AF260" i="2"/>
  <c r="AF3200" i="2"/>
  <c r="AF391" i="2"/>
  <c r="AF1235" i="2"/>
  <c r="AF2877" i="2"/>
  <c r="AF2993" i="2"/>
  <c r="AF3645" i="2"/>
  <c r="AF3628" i="2"/>
  <c r="AF2868" i="2"/>
  <c r="AF276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tc={6A05AD61-CEF2-4E16-921E-B58F3740132C}</author>
    <author>tc={834983D2-8341-409B-A82C-453923E9D57C}</author>
    <author>tc={6055B2BD-F438-4C0B-AEDB-AC6B8D6CB8DA}</author>
  </authors>
  <commentList>
    <comment ref="AF1" authorId="0" shapeId="0" xr:uid="{6A05AD61-CEF2-4E16-921E-B58F3740132C}">
      <text>
        <t>[Threaded comment]
Your version of Excel allows you to read this threaded comment; however, any edits to it will get removed if the file is opened in a newer version of Excel. Learn more: https://go.microsoft.com/fwlink/?linkid=870924
Comment:
    Add output from steam turbine to combined cycle turbines
Steam turbine should be about 1/2 of the combustion turbine</t>
      </text>
    </comment>
    <comment ref="AJ6" authorId="1" shapeId="0" xr:uid="{834983D2-8341-409B-A82C-453923E9D57C}">
      <text>
        <t>[Threaded comment]
Your version of Excel allows you to read this threaded comment; however, any edits to it will get removed if the file is opened in a newer version of Excel. Learn more: https://go.microsoft.com/fwlink/?linkid=870924
Comment:
    "turbine" includes other turbines and combustion turbines</t>
      </text>
    </comment>
    <comment ref="AJ7" authorId="2" shapeId="0" xr:uid="{6055B2BD-F438-4C0B-AEDB-AC6B8D6CB8DA}">
      <text>
        <t>[Threaded comment]
Your version of Excel allows you to read this threaded comment; however, any edits to it will get removed if the file is opened in a newer version of Excel. Learn more: https://go.microsoft.com/fwlink/?linkid=870924
Comment:
    Electric Utility
Cogeneration
Industrial Turbine
Small Power Producer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tc={64371D7C-B75C-4B10-9964-8FB6B5ADB294}</author>
    <author>tc={9DDFD394-7C96-420A-9434-69E2E8BAEBB2}</author>
  </authors>
  <commentList>
    <comment ref="AL6" authorId="0" shapeId="0" xr:uid="{64371D7C-B75C-4B10-9964-8FB6B5ADB294}">
      <text>
        <t>[Threaded comment]
Your version of Excel allows you to read this threaded comment; however, any edits to it will get removed if the file is opened in a newer version of Excel. Learn more: https://go.microsoft.com/fwlink/?linkid=870924
Comment:
    "turbine" includes other turbines and combustion turbines</t>
      </text>
    </comment>
    <comment ref="AL7" authorId="1" shapeId="0" xr:uid="{9DDFD394-7C96-420A-9434-69E2E8BAEBB2}">
      <text>
        <t>[Threaded comment]
Your version of Excel allows you to read this threaded comment; however, any edits to it will get removed if the file is opened in a newer version of Excel. Learn more: https://go.microsoft.com/fwlink/?linkid=870924
Comment:
    Electric Utility
Cogeneration
Industrial Turbine
Small Power Producer</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<sst xmlns="http://schemas.openxmlformats.org/spreadsheetml/2006/main" count="83134" uniqueCount="8329">
  <si>
    <t>State</t>
  </si>
  <si>
    <t>Facility Name</t>
  </si>
  <si>
    <t>Facility ID</t>
  </si>
  <si>
    <t>Unit ID</t>
  </si>
  <si>
    <t>Associated Stacks</t>
  </si>
  <si>
    <t>Year</t>
  </si>
  <si>
    <t>Program Code</t>
  </si>
  <si>
    <t>Primary Rep Info</t>
  </si>
  <si>
    <t>EPA Region</t>
  </si>
  <si>
    <t>NERC Region</t>
  </si>
  <si>
    <t>County</t>
  </si>
  <si>
    <t>County Code</t>
  </si>
  <si>
    <t>FIPS Code</t>
  </si>
  <si>
    <t>Source Category</t>
  </si>
  <si>
    <t>Latitude</t>
  </si>
  <si>
    <t>Longitude</t>
  </si>
  <si>
    <t>Owner/Operator</t>
  </si>
  <si>
    <t>SO2 Phase</t>
  </si>
  <si>
    <t>NOx Phase</t>
  </si>
  <si>
    <t>Unit Type</t>
  </si>
  <si>
    <t>Primary Fuel Type</t>
  </si>
  <si>
    <t>Secondary Fuel Type</t>
  </si>
  <si>
    <t>SO2 Controls</t>
  </si>
  <si>
    <t>NOx Controls</t>
  </si>
  <si>
    <t>PM Controls</t>
  </si>
  <si>
    <t>Hg Controls</t>
  </si>
  <si>
    <t>Commercial Operation Date</t>
  </si>
  <si>
    <t>Operating Status</t>
  </si>
  <si>
    <t>Max Hourly HI Rate (mmBtu/hr)</t>
  </si>
  <si>
    <t>Associated Generators &amp; Nameplate Capacity (MWe)</t>
  </si>
  <si>
    <t>Nameplate Capacity (MWe)</t>
  </si>
  <si>
    <t>SCR</t>
  </si>
  <si>
    <t>AL</t>
  </si>
  <si>
    <t>Barry</t>
  </si>
  <si>
    <t>CS0AAN</t>
  </si>
  <si>
    <t>ARP, CSNOX, CSOSG2, CSSO2G2</t>
  </si>
  <si>
    <t>SERC</t>
  </si>
  <si>
    <t>Mobile County</t>
  </si>
  <si>
    <t>AL097</t>
  </si>
  <si>
    <t>Electric Utility</t>
  </si>
  <si>
    <t>Alabama Power Company (Owner),Alabama Power Company (Operator)</t>
  </si>
  <si>
    <t>Phase 2</t>
  </si>
  <si>
    <t>Phase 2 Group 1</t>
  </si>
  <si>
    <t>Tangentially-fired</t>
  </si>
  <si>
    <t>Pipeline Natural Gas</t>
  </si>
  <si>
    <t>Low NOx Burner Technology w/ Closed-coupled OFA,Selective Non-catalytic Reduction</t>
  </si>
  <si>
    <t>Operating</t>
  </si>
  <si>
    <t>1 (153.1)</t>
  </si>
  <si>
    <t>Begin Date</t>
  </si>
  <si>
    <t>2 (153.1)</t>
  </si>
  <si>
    <t>End Date</t>
  </si>
  <si>
    <t>Low NOx Burner Technology w/ Separated OFA,Selective Non-catalytic Reduction</t>
  </si>
  <si>
    <t>4 (403.8)</t>
  </si>
  <si>
    <t>Min Heat Input Rating (MMBtu/h)</t>
  </si>
  <si>
    <t>ARP, CSNOX, CSOSG2, CSSO2G2, MATS</t>
  </si>
  <si>
    <t>Coal</t>
  </si>
  <si>
    <t>Wet Limestone</t>
  </si>
  <si>
    <t>Low NOx Burner Technology w/ Separated OFA,Selective Catalytic Reduction</t>
  </si>
  <si>
    <t>Electrostatic Precipitator</t>
  </si>
  <si>
    <t>Catalyst (gold, palladium, or other) used to oxidize mercury</t>
  </si>
  <si>
    <t>5 (788.8)</t>
  </si>
  <si>
    <t>Max Heat Input Rating (MMBtu/h)</t>
  </si>
  <si>
    <t>ARP, CSNOX, CSOSG2, CSSO2G2, NSPS4T</t>
  </si>
  <si>
    <t>Combined cycle (Started Jul 17, 2023)</t>
  </si>
  <si>
    <t>Dry Low NOx Burners,Selective Catalytic Reduction</t>
  </si>
  <si>
    <t>Operating (Started 07/17/2023)</t>
  </si>
  <si>
    <t>A3C1 (457), A3ST (305.1)</t>
  </si>
  <si>
    <t>Combustion Turbine Type</t>
  </si>
  <si>
    <t>Turbine</t>
  </si>
  <si>
    <t>Combined</t>
  </si>
  <si>
    <t>6A</t>
  </si>
  <si>
    <t>Combined cycle</t>
  </si>
  <si>
    <t>A1CT (170.1), A1ST (191.8)</t>
  </si>
  <si>
    <t>6B</t>
  </si>
  <si>
    <t>A1ST (191.8), A1CT2 (170.1)</t>
  </si>
  <si>
    <t>7A</t>
  </si>
  <si>
    <t>A2C1 (170.1), A2ST (191.8)</t>
  </si>
  <si>
    <t>Number of Combusiton Turbines</t>
  </si>
  <si>
    <t>7B</t>
  </si>
  <si>
    <t>A2ST (191.8), A2C2 (170.1)</t>
  </si>
  <si>
    <t>Number in with "selective"</t>
  </si>
  <si>
    <t>Greene County</t>
  </si>
  <si>
    <t>CS0EBN</t>
  </si>
  <si>
    <t>AL063</t>
  </si>
  <si>
    <t>Alabama Power Company (Owner),Mississippi Power Company (Owner),Alabama Power Company (Operator)</t>
  </si>
  <si>
    <t>Phase 2 Group 2</t>
  </si>
  <si>
    <t>Cell burner boiler</t>
  </si>
  <si>
    <t>Low NOx Cell Burner</t>
  </si>
  <si>
    <t>1 (299.2)</t>
  </si>
  <si>
    <t>Dry bottom wall-fired boiler</t>
  </si>
  <si>
    <t>Low NOx Burner Technology (Dry Bottom only)</t>
  </si>
  <si>
    <t>2 (269.3)</t>
  </si>
  <si>
    <t>CT10</t>
  </si>
  <si>
    <t>Combustion turbine</t>
  </si>
  <si>
    <t>Diesel Oil</t>
  </si>
  <si>
    <t>Water Injection</t>
  </si>
  <si>
    <t>GT10 (80)</t>
  </si>
  <si>
    <t>Number of Category Combusiton Turbines</t>
  </si>
  <si>
    <t>CT2</t>
  </si>
  <si>
    <t>GT2 (80)</t>
  </si>
  <si>
    <t>Number in Category with SCR</t>
  </si>
  <si>
    <t>CT3</t>
  </si>
  <si>
    <t>GT3 (80)</t>
  </si>
  <si>
    <t>CT4</t>
  </si>
  <si>
    <t>GT4 (80)</t>
  </si>
  <si>
    <t>CT5</t>
  </si>
  <si>
    <t>GT5 (80)</t>
  </si>
  <si>
    <t>CT6</t>
  </si>
  <si>
    <t>GT6 (80)</t>
  </si>
  <si>
    <t>CT7</t>
  </si>
  <si>
    <t>GT7 (80)</t>
  </si>
  <si>
    <t>CT8</t>
  </si>
  <si>
    <t>GT8 (80)</t>
  </si>
  <si>
    <t>CT9</t>
  </si>
  <si>
    <t>GT9 (80)</t>
  </si>
  <si>
    <t>E C Gaston</t>
  </si>
  <si>
    <t>CS0CAN</t>
  </si>
  <si>
    <t>Shelby County</t>
  </si>
  <si>
    <t>AL117</t>
  </si>
  <si>
    <t>Alabama Power Company (Owner),Georgia Power Company (Owner),Southern Company (Owner),Alabama Power Company (Operator)</t>
  </si>
  <si>
    <t>Table 1</t>
  </si>
  <si>
    <t>Phase 1 Group 1</t>
  </si>
  <si>
    <t>1 (272)</t>
  </si>
  <si>
    <t>Baghouse,Electrostatic Precipitator</t>
  </si>
  <si>
    <t>2 (272)</t>
  </si>
  <si>
    <t>CS0CBN</t>
  </si>
  <si>
    <t>3 (272)</t>
  </si>
  <si>
    <t>ST4 (244.8)</t>
  </si>
  <si>
    <t>MS5A, MS5B</t>
  </si>
  <si>
    <t>Halogenated PAC Sorbent Injection,Catalyst (gold, palladium, or other) used to oxidize mercury</t>
  </si>
  <si>
    <t>5 (952)</t>
  </si>
  <si>
    <t>Colbert</t>
  </si>
  <si>
    <t>CCT1</t>
  </si>
  <si>
    <t>CSNOX, CSOSG2, CSSO2G2</t>
  </si>
  <si>
    <t>Colbert County</t>
  </si>
  <si>
    <t>AL033</t>
  </si>
  <si>
    <t>Tennessee Valley Authority (Owner),Tennessee Valley Authority (Operator)</t>
  </si>
  <si>
    <t>GT1 (59.5)</t>
  </si>
  <si>
    <t>CCT10</t>
  </si>
  <si>
    <t>Combustion turbine (Started Jun 30, 2023)</t>
  </si>
  <si>
    <t>Dry Low NOx Burners</t>
  </si>
  <si>
    <t>Operating (Started 06/30/2023)</t>
  </si>
  <si>
    <t>CCT10 (210)</t>
  </si>
  <si>
    <t>CCT11</t>
  </si>
  <si>
    <t>Combustion turbine (Started Jul 05, 2023)</t>
  </si>
  <si>
    <t>Operating (Started 07/05/2023)</t>
  </si>
  <si>
    <t>CCT11 (210)</t>
  </si>
  <si>
    <t>CCT2</t>
  </si>
  <si>
    <t>GT2 (59.5)</t>
  </si>
  <si>
    <t>CCT3</t>
  </si>
  <si>
    <t>GT3 (59.5)</t>
  </si>
  <si>
    <t>CCT4</t>
  </si>
  <si>
    <t>GT4 (59.5)</t>
  </si>
  <si>
    <t>CCT5</t>
  </si>
  <si>
    <t>GT5 (59.5)</t>
  </si>
  <si>
    <t>CCT6</t>
  </si>
  <si>
    <t>GT6 (59.5)</t>
  </si>
  <si>
    <t>CCT7</t>
  </si>
  <si>
    <t>GT7 (59.5)</t>
  </si>
  <si>
    <t>CCT8</t>
  </si>
  <si>
    <t>GT8 (59.5)</t>
  </si>
  <si>
    <t>CCT9</t>
  </si>
  <si>
    <t>Combustion turbine (Started Jun 19, 2023)</t>
  </si>
  <si>
    <t>Operating (Started 06/19/2023)</t>
  </si>
  <si>
    <t>CCT9 (210)</t>
  </si>
  <si>
    <t>KY</t>
  </si>
  <si>
    <t>Smith Generating Facility</t>
  </si>
  <si>
    <t>SCT1</t>
  </si>
  <si>
    <t>ARP, CSNOX, CSOSG2E, CSSO2G1</t>
  </si>
  <si>
    <t>ECAR</t>
  </si>
  <si>
    <t>Clark County</t>
  </si>
  <si>
    <t>KY049</t>
  </si>
  <si>
    <t>East Kentucky Power Cooperative (Owner),East Kentucky Power Cooperative (Operator)</t>
  </si>
  <si>
    <t>Residual Oil</t>
  </si>
  <si>
    <t>GT1 (150)</t>
  </si>
  <si>
    <t>SCT10</t>
  </si>
  <si>
    <t>Water Injection,Selective Catalytic Reduction</t>
  </si>
  <si>
    <t>GT10 (98)</t>
  </si>
  <si>
    <t>SCT2</t>
  </si>
  <si>
    <t>GT2 (150)</t>
  </si>
  <si>
    <t>SCT3</t>
  </si>
  <si>
    <t>GT3 (150)</t>
  </si>
  <si>
    <t>SCT4</t>
  </si>
  <si>
    <t>Dry Low NOx Burners,Water Injection</t>
  </si>
  <si>
    <t>GT4 (108)</t>
  </si>
  <si>
    <t>SCT5</t>
  </si>
  <si>
    <t>GT5 (108)</t>
  </si>
  <si>
    <t>SCT6</t>
  </si>
  <si>
    <t>GT6 (98)</t>
  </si>
  <si>
    <t>SCT7</t>
  </si>
  <si>
    <t>GT7 (98)</t>
  </si>
  <si>
    <t>SCT9</t>
  </si>
  <si>
    <t>GT9 (98)</t>
  </si>
  <si>
    <t>Charles R Lowman</t>
  </si>
  <si>
    <t>CC1</t>
  </si>
  <si>
    <t>ARP, CSNOX, CSOSG2, NSPS4T</t>
  </si>
  <si>
    <t>Washington County</t>
  </si>
  <si>
    <t>AL129</t>
  </si>
  <si>
    <t>PowerSouth Energy Cooperative, Inc. (Owner),PowerSouth Energy Cooperative, Inc. (Operator)</t>
  </si>
  <si>
    <t>Combined cycle (Started Feb 19, 2023)</t>
  </si>
  <si>
    <t>Ammonia Injection (Began Feb 19, 2023),Dry Low NOx Burners,Selective Catalytic Reduction</t>
  </si>
  <si>
    <t>Operating (Started 02/19/2023)</t>
  </si>
  <si>
    <t>LEC1 (454.5), LEC2 (272.2)</t>
  </si>
  <si>
    <t>NE</t>
  </si>
  <si>
    <t>Platte</t>
  </si>
  <si>
    <t>ARP, CSNOX, CSSO2G2, MATS</t>
  </si>
  <si>
    <t>514 (Ended May 03, 2023), 607758 (Started May 03, 2023)</t>
  </si>
  <si>
    <t>MAPP</t>
  </si>
  <si>
    <t>Hall County</t>
  </si>
  <si>
    <t>NE079</t>
  </si>
  <si>
    <t>Grand Island Utilities Department (Owner),Grand Island Utilities Department (Operator)</t>
  </si>
  <si>
    <t>Early Election</t>
  </si>
  <si>
    <t>Dry Lime FGD</t>
  </si>
  <si>
    <t>Low NOx Burner Technology w/ Closed-coupled/Separated OFA</t>
  </si>
  <si>
    <t>Halogenated PAC Sorbent Injection</t>
  </si>
  <si>
    <t>1 (109.8)</t>
  </si>
  <si>
    <t>Gerald Whelan Energy Center</t>
  </si>
  <si>
    <t>Adams County</t>
  </si>
  <si>
    <t>NE001</t>
  </si>
  <si>
    <t>City of Hastings (Owner),Nebraska Municipal Energy Agency (Operator)</t>
  </si>
  <si>
    <t>Overfire Air</t>
  </si>
  <si>
    <t>1 (77)</t>
  </si>
  <si>
    <t>Public Power Generation Agency (Owner),Public Power Generation Agency (Operator)</t>
  </si>
  <si>
    <t>Selective Catalytic Reduction</t>
  </si>
  <si>
    <t>2 (220)</t>
  </si>
  <si>
    <t>KS</t>
  </si>
  <si>
    <t>Holcomb</t>
  </si>
  <si>
    <t>SGU1</t>
  </si>
  <si>
    <t>SPP</t>
  </si>
  <si>
    <t>Finney County</t>
  </si>
  <si>
    <t>KS055</t>
  </si>
  <si>
    <t>Sunflower Electric Power Corporation (Owner),Sunflower Electric Power Corporation (Operator)</t>
  </si>
  <si>
    <t>Baghouse</t>
  </si>
  <si>
    <t>1 (387)</t>
  </si>
  <si>
    <t>AZ</t>
  </si>
  <si>
    <t>Cholla</t>
  </si>
  <si>
    <t>ARP, MATS</t>
  </si>
  <si>
    <t>WECC</t>
  </si>
  <si>
    <t>Navajo County</t>
  </si>
  <si>
    <t>AZ017</t>
  </si>
  <si>
    <t>Arizona Public Service Company (Owner),Arizona Public Service Company (Operator)</t>
  </si>
  <si>
    <t>Wet Lime FGD</t>
  </si>
  <si>
    <t>Low NOx Burner Technology w/ Separated OFA</t>
  </si>
  <si>
    <t>1 (113.6)</t>
  </si>
  <si>
    <t>3 (288.9)</t>
  </si>
  <si>
    <t>Ocotillo Power Plant</t>
  </si>
  <si>
    <t>GT3</t>
  </si>
  <si>
    <t>ARP</t>
  </si>
  <si>
    <t>Maricopa County</t>
  </si>
  <si>
    <t>AZ013</t>
  </si>
  <si>
    <t>GT3 (102)</t>
  </si>
  <si>
    <t>GT4</t>
  </si>
  <si>
    <t>GT4 (102)</t>
  </si>
  <si>
    <t>GT5</t>
  </si>
  <si>
    <t>GT5 (102)</t>
  </si>
  <si>
    <t>GT6</t>
  </si>
  <si>
    <t>GT6 (102)</t>
  </si>
  <si>
    <t>GT7</t>
  </si>
  <si>
    <t>GT7 (102)</t>
  </si>
  <si>
    <t>APS West Phoenix Power Plant</t>
  </si>
  <si>
    <t>CC4</t>
  </si>
  <si>
    <t>607692 (Ended Aug 11, 2023), 610626 (Started Aug 11, 2023)</t>
  </si>
  <si>
    <t>C4-2 (44.6), C4-1 (91)</t>
  </si>
  <si>
    <t>CC5A</t>
  </si>
  <si>
    <t>C5-1 (184), C5-3 (201)</t>
  </si>
  <si>
    <t>CC5B</t>
  </si>
  <si>
    <t>C5-3 (201), C5-2 (184)</t>
  </si>
  <si>
    <t>APS Saguaro Power Plant</t>
  </si>
  <si>
    <t>Pinal County</t>
  </si>
  <si>
    <t>AZ021</t>
  </si>
  <si>
    <t>GE1 (91)</t>
  </si>
  <si>
    <t>Yucca Power Plant</t>
  </si>
  <si>
    <t>608778 (Ended Aug 03, 2023), 610509 (Started Aug 03, 2023)</t>
  </si>
  <si>
    <t>Yuma County</t>
  </si>
  <si>
    <t>AZ027</t>
  </si>
  <si>
    <t>Imperial Irrigation District (Owner),Arizona Public Service Company (Operator)</t>
  </si>
  <si>
    <t>ST1 (86.7)</t>
  </si>
  <si>
    <t>GT5 (60.5)</t>
  </si>
  <si>
    <t>GT6 (60.5)</t>
  </si>
  <si>
    <t>De Moss Petrie Generating Station</t>
  </si>
  <si>
    <t>GT1</t>
  </si>
  <si>
    <t>Pima County</t>
  </si>
  <si>
    <t>AZ019</t>
  </si>
  <si>
    <t>Tucson Electric Power Company (Owner),Tucson Electric Power Company (Operator)</t>
  </si>
  <si>
    <t>Natural Gas</t>
  </si>
  <si>
    <t>GT2 (85)</t>
  </si>
  <si>
    <t>Irvington Generating Station</t>
  </si>
  <si>
    <t>ST3 (113.6)</t>
  </si>
  <si>
    <t>Other Gas</t>
  </si>
  <si>
    <t>Low NOx Burner Technology w/ Overfire Air</t>
  </si>
  <si>
    <t>4 (173.3)</t>
  </si>
  <si>
    <t>SC</t>
  </si>
  <si>
    <t>Cross</t>
  </si>
  <si>
    <t>ARP, CSNOX, CSSO2G2, MATS, SIPNOX</t>
  </si>
  <si>
    <t>Berkeley County</t>
  </si>
  <si>
    <t>SC015</t>
  </si>
  <si>
    <t>Santee Cooper (Owner),Santee Cooper (Operator)</t>
  </si>
  <si>
    <t>Selective Catalytic Reduction,Low NOx Burner Technology w/ Overfire Air</t>
  </si>
  <si>
    <t>1 (590.9)</t>
  </si>
  <si>
    <t>Selective Catalytic Reduction,Low NOx Burner Technology w/ Closed-coupled OFA</t>
  </si>
  <si>
    <t>2 (556.2)</t>
  </si>
  <si>
    <t>Low NOx Burner Technology w/ Closed-coupled/Separated OFA,Selective Catalytic Reduction</t>
  </si>
  <si>
    <t>3 (580)</t>
  </si>
  <si>
    <t>4 (580)</t>
  </si>
  <si>
    <t>FL</t>
  </si>
  <si>
    <t>Seminole (136)</t>
  </si>
  <si>
    <t>Putnam County</t>
  </si>
  <si>
    <t>FL107</t>
  </si>
  <si>
    <t>Seminole Electric Cooperative, Inc. (Owner),Seminole Electric Cooperative, Inc. (Operator)</t>
  </si>
  <si>
    <t>1 (714.6)</t>
  </si>
  <si>
    <t>2 (714.6)</t>
  </si>
  <si>
    <t>CT1</t>
  </si>
  <si>
    <t>ARP, NSPS4T</t>
  </si>
  <si>
    <t>CT1 (384.2), ST (414.8)</t>
  </si>
  <si>
    <t>ST (414.8), CT2 (384.2)</t>
  </si>
  <si>
    <t>Agua Fria Generating Station</t>
  </si>
  <si>
    <t>Salt River Project (Owner),Salt River Project (Operator)</t>
  </si>
  <si>
    <t>AF1 (113.6)</t>
  </si>
  <si>
    <t>AF2 (113.6)</t>
  </si>
  <si>
    <t>Dry bottom turbo-fired boiler</t>
  </si>
  <si>
    <t>AF3 (163.2)</t>
  </si>
  <si>
    <t>AF7 (49.5)</t>
  </si>
  <si>
    <t>AF8 (49.5)</t>
  </si>
  <si>
    <t>Kyrene Generating Station</t>
  </si>
  <si>
    <t>K-7</t>
  </si>
  <si>
    <t>KY7A (122), KY7 (170)</t>
  </si>
  <si>
    <t>Apache Station</t>
  </si>
  <si>
    <t>Cochise County</t>
  </si>
  <si>
    <t>AZ003</t>
  </si>
  <si>
    <t>Arizona Electric Power Cooperative (Owner),Arizona Electric Power Cooperative (Operator)</t>
  </si>
  <si>
    <t>ST1 (85.05)</t>
  </si>
  <si>
    <t>Electrostatic Precipitator,Wet Scrubber</t>
  </si>
  <si>
    <t>ST2 (194.7)</t>
  </si>
  <si>
    <t>ST3 (194.7)</t>
  </si>
  <si>
    <t>GT4 (60.5)</t>
  </si>
  <si>
    <t>OK</t>
  </si>
  <si>
    <t>Grand River Dam Authority</t>
  </si>
  <si>
    <t>ARP, CSOSG2, MATS</t>
  </si>
  <si>
    <t>Mayes County</t>
  </si>
  <si>
    <t>OK097</t>
  </si>
  <si>
    <t>Grand River Dam Authority (Owner),Grand River Dam Authority (Operator)</t>
  </si>
  <si>
    <t>Diesel Oil, Pipeline Natural Gas</t>
  </si>
  <si>
    <t>1 (490)</t>
  </si>
  <si>
    <t>Grand River Dam Authority (Owner),KAMO Power (Owner),Oklahoma Municipal Power Authority (Owner),Grand River Dam Authority (Operator)</t>
  </si>
  <si>
    <t>Untreated PAC Sorbent Injection</t>
  </si>
  <si>
    <t>2 (520)</t>
  </si>
  <si>
    <t>ARP, CSOSG2</t>
  </si>
  <si>
    <t>3CT (365.5), 3ST (204)</t>
  </si>
  <si>
    <t>AR</t>
  </si>
  <si>
    <t>Lake Catherine</t>
  </si>
  <si>
    <t>609775 (Ended Mar 31, 2023), 610584 (Started Mar 31, 2023)</t>
  </si>
  <si>
    <t>Hot Spring County</t>
  </si>
  <si>
    <t>AR059</t>
  </si>
  <si>
    <t>Entergy Corporation (Owner),Entergy Corporation (Operator)</t>
  </si>
  <si>
    <t>4 (552.5)</t>
  </si>
  <si>
    <t>Thomas Fitzhugh</t>
  </si>
  <si>
    <t>537 (Ended Aug 22, 2023), 500535 (Started Aug 22, 2023)</t>
  </si>
  <si>
    <t>Franklin County</t>
  </si>
  <si>
    <t>AR047</t>
  </si>
  <si>
    <t>Arkansas Electric Cooperative Corporation (Owner),Arkansas Electric Cooperative Corporation (Operator)</t>
  </si>
  <si>
    <t>1 (59), 2 (106)</t>
  </si>
  <si>
    <t>Carl Bailey</t>
  </si>
  <si>
    <t>537 (Ended Aug 21, 2023), 500535 (Started Aug 21, 2023)</t>
  </si>
  <si>
    <t>Woodruff County</t>
  </si>
  <si>
    <t>AR147</t>
  </si>
  <si>
    <t>1 (120)</t>
  </si>
  <si>
    <t>McClellan</t>
  </si>
  <si>
    <t>Ouachita County</t>
  </si>
  <si>
    <t>AR103</t>
  </si>
  <si>
    <t>1 (136)</t>
  </si>
  <si>
    <t>CA</t>
  </si>
  <si>
    <t>Moss Landing Power Plant</t>
  </si>
  <si>
    <t>1A</t>
  </si>
  <si>
    <t>Monterey County</t>
  </si>
  <si>
    <t>CA053</t>
  </si>
  <si>
    <t>Moss Landing Power Company LLC (Owner),Moss Landing Power Company LLC (Operator)</t>
  </si>
  <si>
    <t>CT1A (275), ST1 (233)</t>
  </si>
  <si>
    <t>2A</t>
  </si>
  <si>
    <t>ST1 (233), CT1B (275)</t>
  </si>
  <si>
    <t>3A</t>
  </si>
  <si>
    <t>ST2 (233), CT2A (275)</t>
  </si>
  <si>
    <t>4A</t>
  </si>
  <si>
    <t>ST2 (233), CT2B (275)</t>
  </si>
  <si>
    <t>TX</t>
  </si>
  <si>
    <t>Limestone</t>
  </si>
  <si>
    <t>LIM1</t>
  </si>
  <si>
    <t>ARP, CSOSG2, MATS, TXSO2</t>
  </si>
  <si>
    <t>ERCOT</t>
  </si>
  <si>
    <t>Limestone County</t>
  </si>
  <si>
    <t>TX293</t>
  </si>
  <si>
    <t>NRG Energy, Inc (Owner),NRG Energy, Inc (Operator)</t>
  </si>
  <si>
    <t>1 (813.4)</t>
  </si>
  <si>
    <t>LIM2</t>
  </si>
  <si>
    <t>2 (813.4)</t>
  </si>
  <si>
    <t>Cabrillo Power I Encina Power Station</t>
  </si>
  <si>
    <t>San Diego County</t>
  </si>
  <si>
    <t>CA073</t>
  </si>
  <si>
    <t>Carlsbad Energy Center LLC (Owner),Carlsbad Energy Center LLC (Operator)</t>
  </si>
  <si>
    <t>CEC6 (105.3)</t>
  </si>
  <si>
    <t>CEC7 (105.3)</t>
  </si>
  <si>
    <t>CEC8 (105.3)</t>
  </si>
  <si>
    <t>CEC9 (105.3)</t>
  </si>
  <si>
    <t>CEC10 (105.3)</t>
  </si>
  <si>
    <t>AES Alamitos</t>
  </si>
  <si>
    <t>Los Angeles County</t>
  </si>
  <si>
    <t>CA037</t>
  </si>
  <si>
    <t>AES Corporation (Owner),AES Corporation (Operator)</t>
  </si>
  <si>
    <t>3 (333)</t>
  </si>
  <si>
    <t>4 (333)</t>
  </si>
  <si>
    <t>5 (495)</t>
  </si>
  <si>
    <t>1A (231.4), 1S (241.1)</t>
  </si>
  <si>
    <t>1S (241.1), 1B (231.4)</t>
  </si>
  <si>
    <t>El Segundo</t>
  </si>
  <si>
    <t>604895 (Ended Jan 15, 2023), 609365 (Started Jan 15, 2023)</t>
  </si>
  <si>
    <t>El Segundo Power, LLC (Owner),NRG El Segundo Operations Inc. (Operator)</t>
  </si>
  <si>
    <t>6 (70), 5 (198)</t>
  </si>
  <si>
    <t>8 (70), 7 (198)</t>
  </si>
  <si>
    <t>AES Huntington Beach</t>
  </si>
  <si>
    <t>Orange County</t>
  </si>
  <si>
    <t>CA059</t>
  </si>
  <si>
    <t>2 (217.6)</t>
  </si>
  <si>
    <t>1B (231.4), 1S (241.1)</t>
  </si>
  <si>
    <t>Long Beach Generating Station</t>
  </si>
  <si>
    <t>Long Beach Generation, LLC (Owner),Long Beach Generation, LLC (Operator)</t>
  </si>
  <si>
    <t>CT1 (63)</t>
  </si>
  <si>
    <t>CT2 (63)</t>
  </si>
  <si>
    <t>CT3 (63)</t>
  </si>
  <si>
    <t>CT4 (63)</t>
  </si>
  <si>
    <t>Ormond Beach Power, LLC.</t>
  </si>
  <si>
    <t>Ventura County</t>
  </si>
  <si>
    <t>CA111</t>
  </si>
  <si>
    <t>Ormond Beach Power, LLC (Owner),Ormond Beach Power, LLC (Operator)</t>
  </si>
  <si>
    <t>1 (806.4)</t>
  </si>
  <si>
    <t>2 (806.4)</t>
  </si>
  <si>
    <t>AES Redondo Beach</t>
  </si>
  <si>
    <t>5 (175)</t>
  </si>
  <si>
    <t>6 (175)</t>
  </si>
  <si>
    <t>8 (480)</t>
  </si>
  <si>
    <t>Mountainview Generating Station</t>
  </si>
  <si>
    <t>San Bernardino County</t>
  </si>
  <si>
    <t>CA071</t>
  </si>
  <si>
    <t>Southern California Edison Company (Owner),Southern California Edison Company (Operator)</t>
  </si>
  <si>
    <t>Dry Low NOx Burners,Ammonia Injection,Selective Catalytic Reduction</t>
  </si>
  <si>
    <t>MV3C (209.2), MV3A (175.7)</t>
  </si>
  <si>
    <t>MV3B (175.7), MV3C (209.2)</t>
  </si>
  <si>
    <t>MV4A (175.7), MV4C (209.2)</t>
  </si>
  <si>
    <t>MV4C (209.2), MV4B (175.7)</t>
  </si>
  <si>
    <t>Grayson Power Plant</t>
  </si>
  <si>
    <t>606760 (Ended Sep 12, 2023), 610773 (Started Sep 12, 2023)</t>
  </si>
  <si>
    <t>City of Glendale (Owner),City of Glendale (Operator)</t>
  </si>
  <si>
    <t>Diesel Oil, Other Gas</t>
  </si>
  <si>
    <t>Operating (Retired 05/12/2023)</t>
  </si>
  <si>
    <t>4 (44)</t>
  </si>
  <si>
    <t>Other Gas, Residual Oil</t>
  </si>
  <si>
    <t>Other</t>
  </si>
  <si>
    <t>Operating (Retired 04/27/2023)</t>
  </si>
  <si>
    <t>5 (44)</t>
  </si>
  <si>
    <t>9 (50)</t>
  </si>
  <si>
    <t>IL</t>
  </si>
  <si>
    <t>Joliet 29</t>
  </si>
  <si>
    <t>CS7172</t>
  </si>
  <si>
    <t>ARP, CSNOX, CSOSG3, CSSO2G1</t>
  </si>
  <si>
    <t>MAIN</t>
  </si>
  <si>
    <t>Will County</t>
  </si>
  <si>
    <t>IL197</t>
  </si>
  <si>
    <t>Midwest Generation EME, LLC (Owner),Midwest Generation EME, LLC (Operator)</t>
  </si>
  <si>
    <t>Operating (Retired 09/01/2023)</t>
  </si>
  <si>
    <t>7 (660)</t>
  </si>
  <si>
    <t>CS8182</t>
  </si>
  <si>
    <t>8 (660)</t>
  </si>
  <si>
    <t>El Centro</t>
  </si>
  <si>
    <t>Imperial County</t>
  </si>
  <si>
    <t>CA025</t>
  </si>
  <si>
    <t>Imperial Irrigation District (Owner),Imperial Irrigation District (Operator)</t>
  </si>
  <si>
    <t>4 (81.6)</t>
  </si>
  <si>
    <t>2A (89.9), 2 (34.5)</t>
  </si>
  <si>
    <t>31 (43.2), 30 (65.9)</t>
  </si>
  <si>
    <t>30 (65.9), 32 (43.2)</t>
  </si>
  <si>
    <t>Harbor Generating Station</t>
  </si>
  <si>
    <t>Los Angeles Department of Water and Power (Owner),Los Angeles Department of Water and Power (Operator)</t>
  </si>
  <si>
    <t>GT10 (60.5)</t>
  </si>
  <si>
    <t>GT11 (60.5)</t>
  </si>
  <si>
    <t>GT12 (60.5)</t>
  </si>
  <si>
    <t>GT13 (60.5)</t>
  </si>
  <si>
    <t>GT14 (60.5)</t>
  </si>
  <si>
    <t>**10A</t>
  </si>
  <si>
    <t>5 (86.3), 10A (80)</t>
  </si>
  <si>
    <t>**10B</t>
  </si>
  <si>
    <t>10B (80), 5 (86.3)</t>
  </si>
  <si>
    <t>Haynes Generating Station</t>
  </si>
  <si>
    <t>1 (230)</t>
  </si>
  <si>
    <t>2 (230)</t>
  </si>
  <si>
    <t>9 (182.8), 8 (264.3)</t>
  </si>
  <si>
    <t>10 (182.8), 8 (264.3)</t>
  </si>
  <si>
    <t>11 (108.2)</t>
  </si>
  <si>
    <t>12 (108.2)</t>
  </si>
  <si>
    <t>13 (108.2)</t>
  </si>
  <si>
    <t>14 (108.2)</t>
  </si>
  <si>
    <t>15 (108.2)</t>
  </si>
  <si>
    <t>16 (108.2)</t>
  </si>
  <si>
    <t>Scattergood Generating Station</t>
  </si>
  <si>
    <t>1 (163.2)</t>
  </si>
  <si>
    <t>2 (163.2)</t>
  </si>
  <si>
    <t>5 (108.8), 4 (209.5)</t>
  </si>
  <si>
    <t>6 (103)</t>
  </si>
  <si>
    <t>7 (103)</t>
  </si>
  <si>
    <t>Valley Generating Station</t>
  </si>
  <si>
    <t>5 (47)</t>
  </si>
  <si>
    <t>8 (311), 6 (215)</t>
  </si>
  <si>
    <t>7 (215), 8 (311)</t>
  </si>
  <si>
    <t>Glenarm</t>
  </si>
  <si>
    <t>610313 (Ended Nov 28, 2023), 610846 (Started Nov 28, 2023)</t>
  </si>
  <si>
    <t>City of Pasadena Water and Power Department (Owner),City of Pasadena Water and Power Department (Operator)</t>
  </si>
  <si>
    <t>GT3 (47.2)</t>
  </si>
  <si>
    <t>GT4 (47.2)</t>
  </si>
  <si>
    <t>STG5 (16.78), CTG5 (59.1)</t>
  </si>
  <si>
    <t>CO</t>
  </si>
  <si>
    <t>Cherokee</t>
  </si>
  <si>
    <t>CO001</t>
  </si>
  <si>
    <t>Public Service Company of Colorado (Owner),Public Service Company of Colorado (Operator)</t>
  </si>
  <si>
    <t>4 (388)</t>
  </si>
  <si>
    <t>5 (175), 7 (250)</t>
  </si>
  <si>
    <t>6 (175), 7 (250)</t>
  </si>
  <si>
    <t>Comanche (470)</t>
  </si>
  <si>
    <t>Pueblo County</t>
  </si>
  <si>
    <t>CO101</t>
  </si>
  <si>
    <t>2 (370)</t>
  </si>
  <si>
    <t>Public Service Company of Colorado (Owner),Intermountain Rural Electric Authority (Owner),Holy Cross Energy (Owner) (Ended Jul 19, 2023),Holy Cross Energy (Owner) (Started Jul 19, 2023),Public Service Company of Colorado (Operator)</t>
  </si>
  <si>
    <t>3 (750)</t>
  </si>
  <si>
    <t>Martin Drake</t>
  </si>
  <si>
    <t>A1</t>
  </si>
  <si>
    <t>El Paso County</t>
  </si>
  <si>
    <t>CO041</t>
  </si>
  <si>
    <t>Colorado Springs Utilities (Owner),Colorado Springs Utilities (Operator)</t>
  </si>
  <si>
    <t>Combustion turbine (Started Mar 08, 2023)</t>
  </si>
  <si>
    <t>Operating (Started 03/08/2023)</t>
  </si>
  <si>
    <t>A1 (40.63)</t>
  </si>
  <si>
    <t>A2</t>
  </si>
  <si>
    <t>Combustion turbine (Started Mar 09, 2023)</t>
  </si>
  <si>
    <t>Operating (Started 03/09/2023)</t>
  </si>
  <si>
    <t>A2 (40.63)</t>
  </si>
  <si>
    <t>A3</t>
  </si>
  <si>
    <t>Combustion turbine (Started Mar 18, 2023)</t>
  </si>
  <si>
    <t>Operating (Started 03/18/2023)</t>
  </si>
  <si>
    <t>A3 (40.63)</t>
  </si>
  <si>
    <t>A4</t>
  </si>
  <si>
    <t>Combustion turbine (Started Mar 27, 2023)</t>
  </si>
  <si>
    <t>Operating (Started 03/27/2023)</t>
  </si>
  <si>
    <t>A4 (40.63)</t>
  </si>
  <si>
    <t>A5</t>
  </si>
  <si>
    <t>Combustion turbine (Started Mar 29, 2023)</t>
  </si>
  <si>
    <t>Operating (Started 03/29/2023)</t>
  </si>
  <si>
    <t>A5 (40.63)</t>
  </si>
  <si>
    <t>A6</t>
  </si>
  <si>
    <t>Combustion turbine (Started Apr 13, 2023)</t>
  </si>
  <si>
    <t>Operating (Started 04/13/2023)</t>
  </si>
  <si>
    <t>A6 (40.63)</t>
  </si>
  <si>
    <t>Hayden</t>
  </si>
  <si>
    <t>H1</t>
  </si>
  <si>
    <t>Routt County</t>
  </si>
  <si>
    <t>CO107</t>
  </si>
  <si>
    <t>Public Service Company of Colorado (Owner),Pacificorp Energy Generation (Owner),Public Service Company of Colorado (Operator)</t>
  </si>
  <si>
    <t>Diesel Oil, Natural Gas</t>
  </si>
  <si>
    <t>Low NOx Burner Technology w/ Overfire Air,Selective Catalytic Reduction</t>
  </si>
  <si>
    <t>1 (190)</t>
  </si>
  <si>
    <t>H2</t>
  </si>
  <si>
    <t>Public Service Company of Colorado (Owner),Salt River Project (Owner),Pacificorp Energy Generation (Owner),Public Service Company of Colorado (Operator)</t>
  </si>
  <si>
    <t>2 (275.4)</t>
  </si>
  <si>
    <t>McWilliams</t>
  </si>
  <si>
    <t>**4</t>
  </si>
  <si>
    <t>Covington County</t>
  </si>
  <si>
    <t>AL039</t>
  </si>
  <si>
    <t>1 (7.5), 3 (25), 2 (7.5), 4 (106)</t>
  </si>
  <si>
    <t>**V1</t>
  </si>
  <si>
    <t>VAN3 (177), VAN1 (166)</t>
  </si>
  <si>
    <t>**V2</t>
  </si>
  <si>
    <t>VAN2 (166), VAN3 (177)</t>
  </si>
  <si>
    <t>CT</t>
  </si>
  <si>
    <t>Devon</t>
  </si>
  <si>
    <t>ARP, RGGI, SIPNOX</t>
  </si>
  <si>
    <t>NPCC</t>
  </si>
  <si>
    <t>New Haven County</t>
  </si>
  <si>
    <t>CT009</t>
  </si>
  <si>
    <t>Devon Power, LLC (Owner),Devon Power, LLC (Operator)</t>
  </si>
  <si>
    <t>11 (43)</t>
  </si>
  <si>
    <t>12 (43)</t>
  </si>
  <si>
    <t>13 (43)</t>
  </si>
  <si>
    <t>14 (43)</t>
  </si>
  <si>
    <t>GenConn Devon LLC (Owner),Devon Power, LLC (Operator)</t>
  </si>
  <si>
    <t>15 (50)</t>
  </si>
  <si>
    <t>16 (50)</t>
  </si>
  <si>
    <t>17 (50)</t>
  </si>
  <si>
    <t>18 (50)</t>
  </si>
  <si>
    <t>Montville</t>
  </si>
  <si>
    <t>ARP, MATS, RGGI, SIPNOX</t>
  </si>
  <si>
    <t>New London County</t>
  </si>
  <si>
    <t>CT011</t>
  </si>
  <si>
    <t>Montville Power, LLC (Owner),Montville Power, LLC (Operator)</t>
  </si>
  <si>
    <t>5 (75)</t>
  </si>
  <si>
    <t>6 (414.9)</t>
  </si>
  <si>
    <t>Middletown</t>
  </si>
  <si>
    <t>Middlesex County</t>
  </si>
  <si>
    <t>CT007</t>
  </si>
  <si>
    <t>Middletown Power, LLC (Owner),Middletown Power, LLC (Operator)</t>
  </si>
  <si>
    <t>Overfire Air,Selective Non-catalytic Reduction</t>
  </si>
  <si>
    <t>2 (113.6)</t>
  </si>
  <si>
    <t>Cyclone boiler</t>
  </si>
  <si>
    <t>Water Injection,Selective Non-catalytic Reduction</t>
  </si>
  <si>
    <t>3 (239.4)</t>
  </si>
  <si>
    <t>4 (414.9)</t>
  </si>
  <si>
    <t>GenConn Middletown, LLC (Owner),Middletown Power, LLC (Operator)</t>
  </si>
  <si>
    <t>Selective Catalytic Reduction,Water Injection</t>
  </si>
  <si>
    <t>12 (50)</t>
  </si>
  <si>
    <t>13 (50)</t>
  </si>
  <si>
    <t>14 (50)</t>
  </si>
  <si>
    <t>South Meadow Station</t>
  </si>
  <si>
    <t>11A</t>
  </si>
  <si>
    <t>RGGI, SIPNOX</t>
  </si>
  <si>
    <t>Hartford County</t>
  </si>
  <si>
    <t>CT003</t>
  </si>
  <si>
    <t>Connecticut Resources Recovery Authority (Owner),Northwest Generation Services (Northwest Utilities) (Operator) (Ended Jun 12, 2023),NAES Corporation (Operator) (Started Jun 12, 2023)</t>
  </si>
  <si>
    <t>Operating (Retired 06/01/2023)</t>
  </si>
  <si>
    <t>11 (41.9)</t>
  </si>
  <si>
    <t>11B</t>
  </si>
  <si>
    <t>12A</t>
  </si>
  <si>
    <t>12 (41.9)</t>
  </si>
  <si>
    <t>12B</t>
  </si>
  <si>
    <t>13A</t>
  </si>
  <si>
    <t>13 (41.9)</t>
  </si>
  <si>
    <t>13B</t>
  </si>
  <si>
    <t>14A</t>
  </si>
  <si>
    <t>14 (41.9)</t>
  </si>
  <si>
    <t>14B</t>
  </si>
  <si>
    <t>Curtis H. Stanton Energy Center</t>
  </si>
  <si>
    <t>FL095</t>
  </si>
  <si>
    <t>Florida Municipal Power Agency (Owner),Orlando Utilities Commission (Owner),Kissimmee Utility Authority (Owner),Orlando Utilities Commission (Operator)</t>
  </si>
  <si>
    <t>1 (464.6)</t>
  </si>
  <si>
    <t>Florida Municipal Power Agency (Owner),Orlando Utilities Commission (Owner),Orlando Utilities Commission (Operator)</t>
  </si>
  <si>
    <t>Other Gas, Pipeline Natural Gas</t>
  </si>
  <si>
    <t>Low NOx Burner Technology (Dry Bottom only),Selective Catalytic Reduction</t>
  </si>
  <si>
    <t>2 (464.6)</t>
  </si>
  <si>
    <t>CCB</t>
  </si>
  <si>
    <t>Orlando Utilities Commission (Owner),Orlando Utilities Commission (Operator)</t>
  </si>
  <si>
    <t>Dry Low NOx Burners,Water Injection,Selective Catalytic Reduction</t>
  </si>
  <si>
    <t>B1 (203.2), B (129.8)</t>
  </si>
  <si>
    <t>Bridgeport Harbor Station</t>
  </si>
  <si>
    <t>BHB5</t>
  </si>
  <si>
    <t>Fairfield County</t>
  </si>
  <si>
    <t>CT001</t>
  </si>
  <si>
    <t>PSEG Power Connecticut, LLC (Owner) (Ended Apr 13, 2023),GB II Connecticut LLC (Owner) (Started Apr 13, 2023),PSEG Power Connecticut, LLC (Operator) (Ended Apr 13, 2023),Consolidated Asset Management Services, LLC (Operator) (Started Apr 13, 2023)</t>
  </si>
  <si>
    <t>501 (375), 502 (200.6)</t>
  </si>
  <si>
    <t>VT</t>
  </si>
  <si>
    <t>J C McNeil</t>
  </si>
  <si>
    <t>Chittenden County</t>
  </si>
  <si>
    <t>VT007</t>
  </si>
  <si>
    <t>Burlington Electric Department (Owner),Central Vermont Public Service Corporation (Owner),Green Mountain Power Corporation (Owner),Montaup Electric Company (Owner),VT Public Power Supply Authority (Owner),Burlington Electric Department (Operator)</t>
  </si>
  <si>
    <t>Other boiler</t>
  </si>
  <si>
    <t>Wood</t>
  </si>
  <si>
    <t>Cyclone,Electrostatic Precipitator</t>
  </si>
  <si>
    <t>1 (50)</t>
  </si>
  <si>
    <t>DE</t>
  </si>
  <si>
    <t>Christiana Substation</t>
  </si>
  <si>
    <t>New Castle County</t>
  </si>
  <si>
    <t>DE003</t>
  </si>
  <si>
    <t>Calpine Mid-Atlantic Generation, LLC (Owner),Calpine Operating Services Company, Inc. (Operator)</t>
  </si>
  <si>
    <t>CH11 (26.6)</t>
  </si>
  <si>
    <t>CH14 (26.6)</t>
  </si>
  <si>
    <t>Edge Moor</t>
  </si>
  <si>
    <t>MAAC</t>
  </si>
  <si>
    <t>Selective Non-catalytic Reduction</t>
  </si>
  <si>
    <t>3 (75)</t>
  </si>
  <si>
    <t>4 (176.8)</t>
  </si>
  <si>
    <t>Cyclone</t>
  </si>
  <si>
    <t>5 (446)</t>
  </si>
  <si>
    <t>Indian River</t>
  </si>
  <si>
    <t>Sussex County</t>
  </si>
  <si>
    <t>DE005</t>
  </si>
  <si>
    <t>Indian River Power, LLC (Owner),Indian River Power, LLC (Operator)</t>
  </si>
  <si>
    <t>Low NOx Burner Technology w/ Overfire Air,Selective Non-catalytic Reduction,Selective Catalytic Reduction</t>
  </si>
  <si>
    <t>4 (442.4)</t>
  </si>
  <si>
    <t>MD</t>
  </si>
  <si>
    <t>Brandon Shores</t>
  </si>
  <si>
    <t>ARP, CSNOX, CSOSG3, CSSO2G1, MATS, RGGI</t>
  </si>
  <si>
    <t>606983 (Ended Jul 19, 2023), 606950 (Started Jul 19, 2023)</t>
  </si>
  <si>
    <t>Anne Arundel County</t>
  </si>
  <si>
    <t>MD003</t>
  </si>
  <si>
    <t>Raven Power Fort Smallwood LLC (Owner),Raven Power Fort Smallwood LLC (Operator)</t>
  </si>
  <si>
    <t>Cyclone,Baghouse</t>
  </si>
  <si>
    <t>1 (785)</t>
  </si>
  <si>
    <t>2 (785)</t>
  </si>
  <si>
    <t>WA</t>
  </si>
  <si>
    <t>Fredonia Generating Station</t>
  </si>
  <si>
    <t>610010 (Ended May 09, 2023), 610011 (Started May 09, 2023)</t>
  </si>
  <si>
    <t>Skagit County</t>
  </si>
  <si>
    <t>WA057</t>
  </si>
  <si>
    <t>Puget Sound Energy, Inc. (Owner),Puget Sound Energy, Inc. (Operator)</t>
  </si>
  <si>
    <t>3 (58.9)</t>
  </si>
  <si>
    <t>4 (58.9)</t>
  </si>
  <si>
    <t>Cape Canaveral</t>
  </si>
  <si>
    <t>CCCT3A</t>
  </si>
  <si>
    <t>Brevard County</t>
  </si>
  <si>
    <t>FL009</t>
  </si>
  <si>
    <t>Florida Power &amp; Light Company (Owner),Florida Power &amp; Light Company (Operator)</t>
  </si>
  <si>
    <t>3A (265), 3ST (500)</t>
  </si>
  <si>
    <t>CCCT3B</t>
  </si>
  <si>
    <t>3ST (500), 3B (265)</t>
  </si>
  <si>
    <t>CCCT3C</t>
  </si>
  <si>
    <t>3ST (500), 3C (265)</t>
  </si>
  <si>
    <t>Fort Myers</t>
  </si>
  <si>
    <t>FMCT2A</t>
  </si>
  <si>
    <t>Lee County</t>
  </si>
  <si>
    <t>FL071</t>
  </si>
  <si>
    <t>ST2 (402.1), 2A (188.2), ST1 (156.3)</t>
  </si>
  <si>
    <t>FMCT2B</t>
  </si>
  <si>
    <t>ST2 (402.1), 2B (188.2), ST1 (156.3)</t>
  </si>
  <si>
    <t>FMCT2C</t>
  </si>
  <si>
    <t>ST2 (402.1), 2C (188.2), ST1 (156.3)</t>
  </si>
  <si>
    <t>FMCT2D</t>
  </si>
  <si>
    <t>2D (188.2), ST2 (402.1), ST1 (156.3)</t>
  </si>
  <si>
    <t>FMCT2E</t>
  </si>
  <si>
    <t>2E (188.2), ST2 (402.1), ST1 (156.3)</t>
  </si>
  <si>
    <t>FMCT2F</t>
  </si>
  <si>
    <t>2F (188.2), ST2 (402.1), ST1 (156.3)</t>
  </si>
  <si>
    <t>PFM3A</t>
  </si>
  <si>
    <t>CT1 (188.2)</t>
  </si>
  <si>
    <t>PFM3B</t>
  </si>
  <si>
    <t>CT2 (188.2)</t>
  </si>
  <si>
    <t>PFM3C</t>
  </si>
  <si>
    <t>PFM3C (229.5)</t>
  </si>
  <si>
    <t>PFM3D</t>
  </si>
  <si>
    <t>PFM3D (229.5)</t>
  </si>
  <si>
    <t>Lauderdale</t>
  </si>
  <si>
    <t>PFL6A</t>
  </si>
  <si>
    <t>Broward County</t>
  </si>
  <si>
    <t>FL011</t>
  </si>
  <si>
    <t>PFL6A (200)</t>
  </si>
  <si>
    <t>PFL6B</t>
  </si>
  <si>
    <t>PFL6B (200)</t>
  </si>
  <si>
    <t>PFL6C</t>
  </si>
  <si>
    <t>PFL6C (200)</t>
  </si>
  <si>
    <t>PFL6D</t>
  </si>
  <si>
    <t>PFL6D (200)</t>
  </si>
  <si>
    <t>PFL6E</t>
  </si>
  <si>
    <t>PFL6E (200)</t>
  </si>
  <si>
    <t>PFL7A</t>
  </si>
  <si>
    <t>7GT1 (385.6), ST7 (391.8)</t>
  </si>
  <si>
    <t>PFL7B</t>
  </si>
  <si>
    <t>ST7 (391.8), 7GT2 (385.6)</t>
  </si>
  <si>
    <t>Port Everglades</t>
  </si>
  <si>
    <t>PECT5A</t>
  </si>
  <si>
    <t>5A (280), 5ST (454)</t>
  </si>
  <si>
    <t>PECT5B</t>
  </si>
  <si>
    <t>5ST (454), 5B (280)</t>
  </si>
  <si>
    <t>PECT5C</t>
  </si>
  <si>
    <t>5ST (454), 5C (280)</t>
  </si>
  <si>
    <t>Riviera Beach Energy Center</t>
  </si>
  <si>
    <t>RBCT5A</t>
  </si>
  <si>
    <t>Palm Beach County</t>
  </si>
  <si>
    <t>FL099</t>
  </si>
  <si>
    <t>5A (265), 5ST (500)</t>
  </si>
  <si>
    <t>RBCT5B</t>
  </si>
  <si>
    <t>5ST (500), 5B (265)</t>
  </si>
  <si>
    <t>RBCT5C</t>
  </si>
  <si>
    <t>5ST (500), 5C (265)</t>
  </si>
  <si>
    <t>Sanford</t>
  </si>
  <si>
    <t>SNCT4A</t>
  </si>
  <si>
    <t>Volusia County</t>
  </si>
  <si>
    <t>FL127</t>
  </si>
  <si>
    <t>4 (436.1), 4A (188.2)</t>
  </si>
  <si>
    <t>SNCT4B</t>
  </si>
  <si>
    <t>4B (188.2), 4 (436.1)</t>
  </si>
  <si>
    <t>SNCT4C</t>
  </si>
  <si>
    <t>4C (188.2), 4 (436.1)</t>
  </si>
  <si>
    <t>SNCT4D</t>
  </si>
  <si>
    <t>4 (436.1), 4D (188.2)</t>
  </si>
  <si>
    <t>SNCT5A</t>
  </si>
  <si>
    <t>5A (188.2), 5 (436.1)</t>
  </si>
  <si>
    <t>SNCT5B</t>
  </si>
  <si>
    <t>5 (436.1), 5B (188.2)</t>
  </si>
  <si>
    <t>SNCT5C</t>
  </si>
  <si>
    <t>5C (188.2), 5 (436.1)</t>
  </si>
  <si>
    <t>SNCT5D</t>
  </si>
  <si>
    <t>5 (436.1), 5D (188.2)</t>
  </si>
  <si>
    <t>Turkey Point</t>
  </si>
  <si>
    <t>TPCT5A</t>
  </si>
  <si>
    <t>Miami-Dade County</t>
  </si>
  <si>
    <t>FL086</t>
  </si>
  <si>
    <t>Dry Low NOx Burners,Water Injection,Ammonia Injection,Selective Catalytic Reduction</t>
  </si>
  <si>
    <t>5CA (472), 5CTA (188.2)</t>
  </si>
  <si>
    <t>TPCT5B</t>
  </si>
  <si>
    <t>5CTB (188.2), 5CA (472)</t>
  </si>
  <si>
    <t>TPCT5C</t>
  </si>
  <si>
    <t>5CA (472), 5CTC (188.2)</t>
  </si>
  <si>
    <t>TPCT5D</t>
  </si>
  <si>
    <t>5CTD (188.2), 5CA (472)</t>
  </si>
  <si>
    <t>Crystal River</t>
  </si>
  <si>
    <t>FRCC</t>
  </si>
  <si>
    <t>Citrus County</t>
  </si>
  <si>
    <t>FL017</t>
  </si>
  <si>
    <t>Duke Energy Florida, LLC (Owner),Duke Energy Florida, LLC (Operator)</t>
  </si>
  <si>
    <t>Wet Scrubber,Electrostatic Precipitator</t>
  </si>
  <si>
    <t>ST4 (739.3)</t>
  </si>
  <si>
    <t>5 (739.3)</t>
  </si>
  <si>
    <t>1GTA</t>
  </si>
  <si>
    <t>1GTA (310.3), CC1ST (364.7)</t>
  </si>
  <si>
    <t>1GTB</t>
  </si>
  <si>
    <t>1GTB (310.3), CC1ST (364.7)</t>
  </si>
  <si>
    <t>2GTA</t>
  </si>
  <si>
    <t>2GTA (310.3), CC2ST (364.7)</t>
  </si>
  <si>
    <t>2GTB</t>
  </si>
  <si>
    <t>CC2ST (364.7), 2GTB (310.3)</t>
  </si>
  <si>
    <t>P L Bartow</t>
  </si>
  <si>
    <t>Pinellas County</t>
  </si>
  <si>
    <t>FL103</t>
  </si>
  <si>
    <t>4ST (420), 4AGT (215)</t>
  </si>
  <si>
    <t>4B</t>
  </si>
  <si>
    <t>4BGT (215), 4ST (420)</t>
  </si>
  <si>
    <t>4C</t>
  </si>
  <si>
    <t>4CGT (215), 4ST (420)</t>
  </si>
  <si>
    <t>4D</t>
  </si>
  <si>
    <t>4DGT (215), 4ST (420)</t>
  </si>
  <si>
    <t>Gulf Clean Energy Center</t>
  </si>
  <si>
    <t>CS45</t>
  </si>
  <si>
    <t>Escambia County</t>
  </si>
  <si>
    <t>FL033</t>
  </si>
  <si>
    <t>4 (93.8)</t>
  </si>
  <si>
    <t>5 (93.8)</t>
  </si>
  <si>
    <t>CS67</t>
  </si>
  <si>
    <t>6 (369.8)</t>
  </si>
  <si>
    <t>7 (578)</t>
  </si>
  <si>
    <t>8A</t>
  </si>
  <si>
    <t>8A (225)</t>
  </si>
  <si>
    <t>8B</t>
  </si>
  <si>
    <t>8B (225)</t>
  </si>
  <si>
    <t>8C</t>
  </si>
  <si>
    <t>8C (225)</t>
  </si>
  <si>
    <t>8D</t>
  </si>
  <si>
    <t>8D (225)</t>
  </si>
  <si>
    <t>Lansing Smith Generating Plant</t>
  </si>
  <si>
    <t>Bay County</t>
  </si>
  <si>
    <t>FL005</t>
  </si>
  <si>
    <t>3A (203.2), 3S (213.3)</t>
  </si>
  <si>
    <t>3S (213.3), 3B (203.2)</t>
  </si>
  <si>
    <t>Big Bend</t>
  </si>
  <si>
    <t>BB03</t>
  </si>
  <si>
    <t>Hillsborough County</t>
  </si>
  <si>
    <t>FL057</t>
  </si>
  <si>
    <t>Tampa Electric Company (Owner),Tampa Electric Company (Operator)</t>
  </si>
  <si>
    <t>Wet bottom turbo-fired boiler</t>
  </si>
  <si>
    <t>Wet Limestone (Retired Apr 26, 2023)</t>
  </si>
  <si>
    <t>Other,Ammonia Injection,Selective Catalytic Reduction (Retired Apr 26, 2023)</t>
  </si>
  <si>
    <t>Electrostatic Precipitator (Retired Apr 26, 2023)</t>
  </si>
  <si>
    <t>Operating (Retired 04/26/2023)</t>
  </si>
  <si>
    <t>ST3 (445.5)</t>
  </si>
  <si>
    <t>BB04</t>
  </si>
  <si>
    <t>Low NOx Burner Technology w/ Separated OFA,Ammonia Injection,Selective Catalytic Reduction</t>
  </si>
  <si>
    <t>ST4 (486)</t>
  </si>
  <si>
    <t>BB05</t>
  </si>
  <si>
    <t>Selective Catalytic Reduction,Dry Low NOx Burners</t>
  </si>
  <si>
    <t>GT5 (392), BBST1 (445.5)</t>
  </si>
  <si>
    <t>BB06</t>
  </si>
  <si>
    <t>BBST1 (445.5), GT6 (392)</t>
  </si>
  <si>
    <t>CT4A</t>
  </si>
  <si>
    <t>GT4 (62)</t>
  </si>
  <si>
    <t>CT4B</t>
  </si>
  <si>
    <t>Deerhaven</t>
  </si>
  <si>
    <t>B1</t>
  </si>
  <si>
    <t>Alachua County</t>
  </si>
  <si>
    <t>FL001</t>
  </si>
  <si>
    <t>Gainesville Regional Utilities (Owner),Gainesville Regional Utilities (Operator)</t>
  </si>
  <si>
    <t>1 (75)</t>
  </si>
  <si>
    <t>B2</t>
  </si>
  <si>
    <t>Selective Catalytic Reduction,Overfire Air</t>
  </si>
  <si>
    <t>2 (250.8)</t>
  </si>
  <si>
    <t>GT3 (96.1)</t>
  </si>
  <si>
    <t>J R Kelly</t>
  </si>
  <si>
    <t>CT04 (96.1), 8-2 (45.5), 8 (50)</t>
  </si>
  <si>
    <t>J D Kennedy</t>
  </si>
  <si>
    <t>Duval County</t>
  </si>
  <si>
    <t>FL031</t>
  </si>
  <si>
    <t>JEA (Owner),JEA (Operator)</t>
  </si>
  <si>
    <t>GT37 (185)</t>
  </si>
  <si>
    <t>GT38 (185)</t>
  </si>
  <si>
    <t>Northside</t>
  </si>
  <si>
    <t>ST3 (563.7)</t>
  </si>
  <si>
    <t>Circulating fluidized bed boiler</t>
  </si>
  <si>
    <t>Petroleum Coke, Wood</t>
  </si>
  <si>
    <t>1 (297.5)</t>
  </si>
  <si>
    <t>2 (297.5)</t>
  </si>
  <si>
    <t>Tom G Smith</t>
  </si>
  <si>
    <t>S-3</t>
  </si>
  <si>
    <t>City of Lake Worth Utilities (Owner),City of Lake Worth Utilities (Operator)</t>
  </si>
  <si>
    <t>S3 (26.5)</t>
  </si>
  <si>
    <t>Charles Larsen Memorial Power Plant</t>
  </si>
  <si>
    <t>**8</t>
  </si>
  <si>
    <t>605107 (Ended Apr 25, 2023), 609551 (Started Apr 25, 2023)(Ended Jun 02, 2023), 610687 (Started Jun 02, 2023)</t>
  </si>
  <si>
    <t>Polk County</t>
  </si>
  <si>
    <t>FL105</t>
  </si>
  <si>
    <t>City of Lakeland - Lakeland Electric (Owner),City of Lakeland - Lakeland Electric (Operator)</t>
  </si>
  <si>
    <t>5 (25), 8 (101.5)</t>
  </si>
  <si>
    <t>C D McIntosh Jr Power Plant</t>
  </si>
  <si>
    <t>5CT (249), 5ST (120)</t>
  </si>
  <si>
    <t>MGT2</t>
  </si>
  <si>
    <t>GT2 (135)</t>
  </si>
  <si>
    <t>Indian River (683)</t>
  </si>
  <si>
    <t>**C</t>
  </si>
  <si>
    <t>C (130)</t>
  </si>
  <si>
    <t>**D</t>
  </si>
  <si>
    <t>D (130)</t>
  </si>
  <si>
    <t>Arvah B Hopkins</t>
  </si>
  <si>
    <t>Leon County</t>
  </si>
  <si>
    <t>FL073</t>
  </si>
  <si>
    <t>City of Tallahassee (Owner),City of Tallahassee (Operator)</t>
  </si>
  <si>
    <t>CT2A (187.5), 2 (259.3)</t>
  </si>
  <si>
    <t>HC3</t>
  </si>
  <si>
    <t>GT3 (60.5)</t>
  </si>
  <si>
    <t>HC4</t>
  </si>
  <si>
    <t>S O Purdom</t>
  </si>
  <si>
    <t>Wakulla County</t>
  </si>
  <si>
    <t>FL129</t>
  </si>
  <si>
    <t>9 (87), 8 (160)</t>
  </si>
  <si>
    <t>GA</t>
  </si>
  <si>
    <t>Bowen</t>
  </si>
  <si>
    <t>1BLR</t>
  </si>
  <si>
    <t>MS1BYP, MS1FGD</t>
  </si>
  <si>
    <t>ARP, CSNOX, CSOSG1, CSSO2G2, MATS</t>
  </si>
  <si>
    <t>609716 (Ended May 09, 2023), 610669 (Started May 09, 2023)</t>
  </si>
  <si>
    <t>Bartow County</t>
  </si>
  <si>
    <t>GA015</t>
  </si>
  <si>
    <t>Georgia Power Company (Owner),Georgia Power Company (Operator)</t>
  </si>
  <si>
    <t>Additives to Enhance PAC and Existing Equipment Performance,Halogenated PAC Sorbent Injection</t>
  </si>
  <si>
    <t>1 (805.8)</t>
  </si>
  <si>
    <t>2BLR</t>
  </si>
  <si>
    <t>MS2BYP, MS2FGD</t>
  </si>
  <si>
    <t>2 (788.8)</t>
  </si>
  <si>
    <t>3BLR</t>
  </si>
  <si>
    <t>MS3BYP, MS3FGD</t>
  </si>
  <si>
    <t>Additives to Enhance PAC and Existing Equipment Performance</t>
  </si>
  <si>
    <t>3 (952)</t>
  </si>
  <si>
    <t>4BLR</t>
  </si>
  <si>
    <t>MS4BYP, MS4FGD</t>
  </si>
  <si>
    <t>4 (952)</t>
  </si>
  <si>
    <t>Jack McDonough</t>
  </si>
  <si>
    <t>3AA</t>
  </si>
  <si>
    <t>CSNOX, CSOSG1, CSSO2G2</t>
  </si>
  <si>
    <t>Cobb County</t>
  </si>
  <si>
    <t>GA067</t>
  </si>
  <si>
    <t>3A (41.8)</t>
  </si>
  <si>
    <t>3AB</t>
  </si>
  <si>
    <t>3BA</t>
  </si>
  <si>
    <t>3B (41.8)</t>
  </si>
  <si>
    <t>3BB</t>
  </si>
  <si>
    <t>ARP, CSNOX, CSOSG1, CSSO2G2</t>
  </si>
  <si>
    <t>4 (375), CT4A (232.5)</t>
  </si>
  <si>
    <t>CT4B (232.5), 4 (375)</t>
  </si>
  <si>
    <t>5A</t>
  </si>
  <si>
    <t>5 (375), 5ACT (232.5)</t>
  </si>
  <si>
    <t>5B</t>
  </si>
  <si>
    <t>5 (375), 5BCT (232.5)</t>
  </si>
  <si>
    <t>6ACT (232.5), 6 (375)</t>
  </si>
  <si>
    <t>6 (375), 6BCT (232.5)</t>
  </si>
  <si>
    <t>McManus</t>
  </si>
  <si>
    <t>Glynn County</t>
  </si>
  <si>
    <t>GA127</t>
  </si>
  <si>
    <t>3A (55.4)</t>
  </si>
  <si>
    <t>3B</t>
  </si>
  <si>
    <t>3B (55.4)</t>
  </si>
  <si>
    <t>3C</t>
  </si>
  <si>
    <t>3C (55.4)</t>
  </si>
  <si>
    <t>4A (55.4)</t>
  </si>
  <si>
    <t>4B (55.4)</t>
  </si>
  <si>
    <t>4C (55.4)</t>
  </si>
  <si>
    <t>4D (55.4)</t>
  </si>
  <si>
    <t>4E</t>
  </si>
  <si>
    <t>4E (55.4)</t>
  </si>
  <si>
    <t>4F</t>
  </si>
  <si>
    <t>4F (55.4)</t>
  </si>
  <si>
    <t>Yates</t>
  </si>
  <si>
    <t>Y6BR</t>
  </si>
  <si>
    <t>Coweta County</t>
  </si>
  <si>
    <t>GA077</t>
  </si>
  <si>
    <t>Low NOx Burner Technology w/ Separated OFA,Other</t>
  </si>
  <si>
    <t>6 (403.8)</t>
  </si>
  <si>
    <t>Y7BR</t>
  </si>
  <si>
    <t>7 (403.8)</t>
  </si>
  <si>
    <t>Ponca</t>
  </si>
  <si>
    <t>Kay County</t>
  </si>
  <si>
    <t>OK071</t>
  </si>
  <si>
    <t>Oklahoma Municipal Power Authority (Owner),Oklahoma Municipal Power Authority (Operator)</t>
  </si>
  <si>
    <t>2 (48)</t>
  </si>
  <si>
    <t>1 (20.2), 3 (54)</t>
  </si>
  <si>
    <t>4 (60.5)</t>
  </si>
  <si>
    <t>Grand Tower Energy Center, LLC</t>
  </si>
  <si>
    <t>CT01</t>
  </si>
  <si>
    <t>Jackson County</t>
  </si>
  <si>
    <t>IL077</t>
  </si>
  <si>
    <t>Grand Tower Energy Center, LLC (Owner),Grand Tower Energy Center, LLC (Operator)</t>
  </si>
  <si>
    <t>1 (248), 3 (85.7)</t>
  </si>
  <si>
    <t>CT02</t>
  </si>
  <si>
    <t>4 (113.6), 2 (200)</t>
  </si>
  <si>
    <t>Joliet 9</t>
  </si>
  <si>
    <t>Combustion Modification/Fuel Reburning,Overfire Air,Selective Non-catalytic Reduction</t>
  </si>
  <si>
    <t>6 (360.4)</t>
  </si>
  <si>
    <t>Kincaid Generating Station</t>
  </si>
  <si>
    <t>CS0102</t>
  </si>
  <si>
    <t>ARP, CSNOX, CSOSG3, CSSO2G1, MATS</t>
  </si>
  <si>
    <t>Christian County</t>
  </si>
  <si>
    <t>IL021</t>
  </si>
  <si>
    <t>Kincaid Generation, LLC (Owner),Kincaid Generation, LLC (Operator)</t>
  </si>
  <si>
    <t>Dry Sorbent Injection</t>
  </si>
  <si>
    <t>Overfire Air,Selective Catalytic Reduction</t>
  </si>
  <si>
    <t>1 (659.5)</t>
  </si>
  <si>
    <t>2 (659.5)</t>
  </si>
  <si>
    <t>Powerton</t>
  </si>
  <si>
    <t>CS0506</t>
  </si>
  <si>
    <t>Tazewell County</t>
  </si>
  <si>
    <t>IL179</t>
  </si>
  <si>
    <t>5 (892.8)</t>
  </si>
  <si>
    <t>6 (892.8)</t>
  </si>
  <si>
    <t>Waukegan</t>
  </si>
  <si>
    <t>CSNOX, CSOSG3, CSSO2G1</t>
  </si>
  <si>
    <t>Lake County</t>
  </si>
  <si>
    <t>IL097</t>
  </si>
  <si>
    <t>Midwest Generation LLC (Owner),Midwest Generation LLC (Operator)</t>
  </si>
  <si>
    <t>311 (38)</t>
  </si>
  <si>
    <t>312 (38)</t>
  </si>
  <si>
    <t>321 (38)</t>
  </si>
  <si>
    <t>322 (38)</t>
  </si>
  <si>
    <t>Fisk</t>
  </si>
  <si>
    <t>Cook County</t>
  </si>
  <si>
    <t>IL031</t>
  </si>
  <si>
    <t>Small Power Producer</t>
  </si>
  <si>
    <t>331 (38)</t>
  </si>
  <si>
    <t>332 (38)</t>
  </si>
  <si>
    <t>341 (38)</t>
  </si>
  <si>
    <t>342 (22.8)</t>
  </si>
  <si>
    <t>Baldwin Energy Complex</t>
  </si>
  <si>
    <t>Randolph County</t>
  </si>
  <si>
    <t>IL157</t>
  </si>
  <si>
    <t>Dynegy Midwest Generation Inc. (Owner),Dynegy Midwest Generation Inc. (Operator)</t>
  </si>
  <si>
    <t>1 (623.05)</t>
  </si>
  <si>
    <t>2 (634.5)</t>
  </si>
  <si>
    <t>Venice</t>
  </si>
  <si>
    <t>CT03</t>
  </si>
  <si>
    <t>Madison County</t>
  </si>
  <si>
    <t>IL119</t>
  </si>
  <si>
    <t>Union Electric Company (Owner),Union Electric Company (Operator)</t>
  </si>
  <si>
    <t>GT3 (200)</t>
  </si>
  <si>
    <t>CT04</t>
  </si>
  <si>
    <t>GT4 (200)</t>
  </si>
  <si>
    <t>CT05</t>
  </si>
  <si>
    <t>GT5 (125)</t>
  </si>
  <si>
    <t>CT2A</t>
  </si>
  <si>
    <t>GT2 (61)</t>
  </si>
  <si>
    <t>CT2B</t>
  </si>
  <si>
    <t>Dallman</t>
  </si>
  <si>
    <t>Sangamon County</t>
  </si>
  <si>
    <t>IL167</t>
  </si>
  <si>
    <t>City of Springfield, IL (Owner),City of Springfield, IL (Operator)</t>
  </si>
  <si>
    <t>Wet bottom wall-fired boiler</t>
  </si>
  <si>
    <t>4 (230.1)</t>
  </si>
  <si>
    <t>3 (207.4)</t>
  </si>
  <si>
    <t>Marion</t>
  </si>
  <si>
    <t>Williamson County</t>
  </si>
  <si>
    <t>IL199</t>
  </si>
  <si>
    <t>Southern Illinois Power Cooperative (Owner),Southern Illinois Power Cooperative (Operator)</t>
  </si>
  <si>
    <t>5 (83)</t>
  </si>
  <si>
    <t>6 (83)</t>
  </si>
  <si>
    <t>Refuse, Wood</t>
  </si>
  <si>
    <t>Fluidized Bed Limestone Injection</t>
  </si>
  <si>
    <t>1 (33), 2 (33), 3 (33)</t>
  </si>
  <si>
    <t>IN</t>
  </si>
  <si>
    <t>Clifty Creek</t>
  </si>
  <si>
    <t>CS013</t>
  </si>
  <si>
    <t>Jefferson County</t>
  </si>
  <si>
    <t>IN077</t>
  </si>
  <si>
    <t>Indiana-Kentucky Electric Corporation (Owner),Indiana-Kentucky Electric Corporation (Operator)</t>
  </si>
  <si>
    <t>Wet Lime FGD,Wet Limestone</t>
  </si>
  <si>
    <t>1 (217.3)</t>
  </si>
  <si>
    <t>2 (217.3)</t>
  </si>
  <si>
    <t>3 (217.3)</t>
  </si>
  <si>
    <t>CS046</t>
  </si>
  <si>
    <t>4 (217.3)</t>
  </si>
  <si>
    <t>5 (217.3)</t>
  </si>
  <si>
    <t>6 (217.3)</t>
  </si>
  <si>
    <t>IPL - Harding Street Station (EW Stout)</t>
  </si>
  <si>
    <t>610241 (Ended Jan 12, 2023), 610537 (Started Jan 12, 2023)</t>
  </si>
  <si>
    <t>Marion County</t>
  </si>
  <si>
    <t>IN097</t>
  </si>
  <si>
    <t>Indianapolis Power &amp; Light Company (Owner),Indianapolis Power &amp; Light Company (Operator)</t>
  </si>
  <si>
    <t>Low NOx Burner Technology w/ Separated OFA,Combustion Modification/Fuel Reburning</t>
  </si>
  <si>
    <t>5 (113.6)</t>
  </si>
  <si>
    <t>6 (113.6)</t>
  </si>
  <si>
    <t>Selective Catalytic Reduction,Combustion Modification/Fuel Reburning</t>
  </si>
  <si>
    <t>7 (470.9)</t>
  </si>
  <si>
    <t>GT6 (201)</t>
  </si>
  <si>
    <t>IPL - Eagle Valley Generating Station</t>
  </si>
  <si>
    <t>610241 (Ended Jul 21, 2023), 610733 (Started Jul 19, 2023), 609098 (Started Jul 21, 2023)(Ended Jul 19, 2023)</t>
  </si>
  <si>
    <t>Morgan County</t>
  </si>
  <si>
    <t>IN109</t>
  </si>
  <si>
    <t>AES Indiana (Owner),AES Indiana (Operator)</t>
  </si>
  <si>
    <t>GT1 (207), STG1 (230)</t>
  </si>
  <si>
    <t>GT2</t>
  </si>
  <si>
    <t>GT2 (207), STG1 (230)</t>
  </si>
  <si>
    <t>IPL - Petersburg Generating Station</t>
  </si>
  <si>
    <t>MS2B, MS2S</t>
  </si>
  <si>
    <t>Pike County</t>
  </si>
  <si>
    <t>IN125</t>
  </si>
  <si>
    <t>Wet Limestone,Sodium Based</t>
  </si>
  <si>
    <t>Additives to Enhance PAC and Existing Equipment Performance,Untreated PAC Sorbent Injection</t>
  </si>
  <si>
    <t>Operating (Retired 06/30/2023)</t>
  </si>
  <si>
    <t>ST2 (471)</t>
  </si>
  <si>
    <t>Other (Non PAC) Sorbent Injection,Untreated PAC Sorbent Injection</t>
  </si>
  <si>
    <t>ST3 (574.4)</t>
  </si>
  <si>
    <t>Low NOx Burner Technology w/ Closed-coupled/Separated OFA,Low NOx Burner Technology w/ Closed-coupled OFA</t>
  </si>
  <si>
    <t>4 (574.2)</t>
  </si>
  <si>
    <t>Michigan City Generating Station</t>
  </si>
  <si>
    <t>LaPorte County</t>
  </si>
  <si>
    <t>IN091</t>
  </si>
  <si>
    <t>Northern Indiana Public Service Company (Owner),Northern Indiana Public Service Company (Operator)</t>
  </si>
  <si>
    <t>12 (540)</t>
  </si>
  <si>
    <t>Cayuga</t>
  </si>
  <si>
    <t>Vermillion County</t>
  </si>
  <si>
    <t>IN165</t>
  </si>
  <si>
    <t>Duke Energy Indiana, LLC (Owner),Duke Energy Indiana, LLC (Operator)</t>
  </si>
  <si>
    <t>1 (531)</t>
  </si>
  <si>
    <t>2 (531)</t>
  </si>
  <si>
    <t>CT4 (121)</t>
  </si>
  <si>
    <t>Edwardsport Generating Station</t>
  </si>
  <si>
    <t>CTG1</t>
  </si>
  <si>
    <t>Knox County</t>
  </si>
  <si>
    <t>IN083</t>
  </si>
  <si>
    <t>Integrated gasification combined cycle</t>
  </si>
  <si>
    <t>Selective Catalytic Reduction (Began Jun 14, 2023)</t>
  </si>
  <si>
    <t>ST (321.9), CT1 (234)</t>
  </si>
  <si>
    <t>CTG2</t>
  </si>
  <si>
    <t>CT2 (234), ST (321.9)</t>
  </si>
  <si>
    <t>Noblesville</t>
  </si>
  <si>
    <t>Hamilton County</t>
  </si>
  <si>
    <t>IN057</t>
  </si>
  <si>
    <t>3 (76), 1 (50), 2 (50)</t>
  </si>
  <si>
    <t>1 (50), 2 (50), 4 (76)</t>
  </si>
  <si>
    <t>2 (50), 5 (76), 1 (50)</t>
  </si>
  <si>
    <t>F B Culley Generating Station</t>
  </si>
  <si>
    <t>CS023, MS2</t>
  </si>
  <si>
    <t>606261 (Ended Mar 30, 2023), 610621 (Started Mar 30, 2023)</t>
  </si>
  <si>
    <t>Warrick County</t>
  </si>
  <si>
    <t>IN173</t>
  </si>
  <si>
    <t>Southern Indiana Gas and Electric Company (Owner),Southern Indiana Gas and Electric Company (Operator)</t>
  </si>
  <si>
    <t>2 (100)</t>
  </si>
  <si>
    <t>CS023</t>
  </si>
  <si>
    <t>Sodium Based</t>
  </si>
  <si>
    <t>3 (289)</t>
  </si>
  <si>
    <t>NC</t>
  </si>
  <si>
    <t>Butler-Warner Generation Plant</t>
  </si>
  <si>
    <t>GT-1</t>
  </si>
  <si>
    <t>CP1</t>
  </si>
  <si>
    <t>CSNOX, CSSO2G1, SIPNOX</t>
  </si>
  <si>
    <t>Cumberland County</t>
  </si>
  <si>
    <t>NC051</t>
  </si>
  <si>
    <t>Public Works Commission-Fayetteville (Owner),Public Works Commission-Fayetteville (Operator)</t>
  </si>
  <si>
    <t>1 (28.8), 9 (73)</t>
  </si>
  <si>
    <t>GT-2</t>
  </si>
  <si>
    <t>9 (73), 2 (28.8)</t>
  </si>
  <si>
    <t>GT-3</t>
  </si>
  <si>
    <t>9 (73), 3 (28.8)</t>
  </si>
  <si>
    <t>GT-4</t>
  </si>
  <si>
    <t>4 (28.8)</t>
  </si>
  <si>
    <t>GT-5</t>
  </si>
  <si>
    <t>5 (28.8)</t>
  </si>
  <si>
    <t>GT-6</t>
  </si>
  <si>
    <t>9 (73), 6 (28.8)</t>
  </si>
  <si>
    <t>GT-7</t>
  </si>
  <si>
    <t>7 (28.8), 9 (73)</t>
  </si>
  <si>
    <t>GT-8</t>
  </si>
  <si>
    <t>8 (28.8), 9 (73)</t>
  </si>
  <si>
    <t>Whitewater Valley</t>
  </si>
  <si>
    <t>CS12</t>
  </si>
  <si>
    <t>Wayne County</t>
  </si>
  <si>
    <t>IN177</t>
  </si>
  <si>
    <t>Richmond Power and Light (Owner),Indiana Municipal Power Agency (Operator)</t>
  </si>
  <si>
    <t>Low NOx Burner Technology (Dry Bottom only),Ammonia Injection,Overfire Air</t>
  </si>
  <si>
    <t>Electrostatic Precipitator,Baghouse</t>
  </si>
  <si>
    <t>1 (33)</t>
  </si>
  <si>
    <t>Low NOx Burner Technology w/ Separated OFA,Ammonia Injection,Overfire Air</t>
  </si>
  <si>
    <t>2 (60.9)</t>
  </si>
  <si>
    <t>IA</t>
  </si>
  <si>
    <t>Lansing</t>
  </si>
  <si>
    <t>ARP, CSNOX, CSOSG2, CSSO2G1, MATS</t>
  </si>
  <si>
    <t>Allamakee County</t>
  </si>
  <si>
    <t>IA005</t>
  </si>
  <si>
    <t>Interstate Power &amp; Light Company (Owner),Interstate Power &amp; Light Company (Operator)</t>
  </si>
  <si>
    <t>Low NOx Burner Technology (Dry Bottom only),Ammonia Injection,Selective Catalytic Reduction</t>
  </si>
  <si>
    <t>4 (274.5)</t>
  </si>
  <si>
    <t>Marshalltown CTs</t>
  </si>
  <si>
    <t>CSNOX, CSOSG2, CSSO2G1</t>
  </si>
  <si>
    <t>Marshall County</t>
  </si>
  <si>
    <t>IA127</t>
  </si>
  <si>
    <t>1 (63)</t>
  </si>
  <si>
    <t>1B</t>
  </si>
  <si>
    <t>2 (63)</t>
  </si>
  <si>
    <t>2B</t>
  </si>
  <si>
    <t>3 (63)</t>
  </si>
  <si>
    <t>Prairie Creek</t>
  </si>
  <si>
    <t>Linn County</t>
  </si>
  <si>
    <t>IA113</t>
  </si>
  <si>
    <t>3 (50)</t>
  </si>
  <si>
    <t>ARP, CSNOX, CSOSG2, CSSO2G1</t>
  </si>
  <si>
    <t>4 (148.8)</t>
  </si>
  <si>
    <t>Walter Scott Jr. Energy Center</t>
  </si>
  <si>
    <t>609505 (Ended May 19, 2023), 610382 (Started May 19, 2023)</t>
  </si>
  <si>
    <t>Pottawattamie County</t>
  </si>
  <si>
    <t>IA155</t>
  </si>
  <si>
    <t>Atlantic Municipal Utilities (Owner),Central Iowa Power Cooperative (Owner),Corn Belt Power Cooperative (Owner),MidAmerican Energy Company (Owner),Cedar Falls Utilities (Owner),MidAmerican Energy Company (Operator)</t>
  </si>
  <si>
    <t>3 (725.9)</t>
  </si>
  <si>
    <t>Central Iowa Power Cooperative (Owner),Corn Belt Power Cooperative (Owner),Lincoln Electric System (Owner),MidAmerican Energy Company (Owner),Nebraska Municipal Energy Agency (Owner),New Hampton Light Plant (Owner),Spencer Municipal Utilities (Owner),Sumner Municipal Light Plant (Owner),Waverly Light &amp; Power (Owner),Cedar Falls Utilities (Owner),Eldridge Electric and Water Utilities (Owner),Alta Municipal Utilities (Owner),West Bend Municipal Utilities (Owner),MidAmerican Energy Company (Operator)</t>
  </si>
  <si>
    <t>4 (923)</t>
  </si>
  <si>
    <t>George Neal North</t>
  </si>
  <si>
    <t>Woodbury County</t>
  </si>
  <si>
    <t>IA193</t>
  </si>
  <si>
    <t>MidAmerican Energy Company (Owner),Alliant Energy - Interstate Power &amp; Light (Owner),MidAmerican Energy Company (Operator)</t>
  </si>
  <si>
    <t>Low NOx Burner Technology w/ Overfire Air,Selective Non-catalytic Reduction</t>
  </si>
  <si>
    <t>3 (549.8)</t>
  </si>
  <si>
    <t>Burlington (IA)</t>
  </si>
  <si>
    <t>Des Moines County</t>
  </si>
  <si>
    <t>IA057</t>
  </si>
  <si>
    <t>Low NOx Burner Technology w/ Closed-coupled/Separated OFA,Overfire Air</t>
  </si>
  <si>
    <t>1 (212)</t>
  </si>
  <si>
    <t>Ames</t>
  </si>
  <si>
    <t>Story County</t>
  </si>
  <si>
    <t>IA169</t>
  </si>
  <si>
    <t>City of Ames (Owner),City of Ames (Operator)</t>
  </si>
  <si>
    <t>Refuse</t>
  </si>
  <si>
    <t>Low NOx Burner Technology w/ Closed-coupled OFA</t>
  </si>
  <si>
    <t>7 (33)</t>
  </si>
  <si>
    <t>8 (65)</t>
  </si>
  <si>
    <t>Streeter Station</t>
  </si>
  <si>
    <t>Black Hawk County</t>
  </si>
  <si>
    <t>IA013</t>
  </si>
  <si>
    <t>Cedar Falls Municipal Electric (Owner),Cedar Falls Municipal Electric (Operator)</t>
  </si>
  <si>
    <t>7 (35)</t>
  </si>
  <si>
    <t>Muscatine</t>
  </si>
  <si>
    <t>Muscatine County</t>
  </si>
  <si>
    <t>IA139</t>
  </si>
  <si>
    <t>Muscatine Power and Water (Owner),Muscatine Power and Water (Operator)</t>
  </si>
  <si>
    <t>8 (75)</t>
  </si>
  <si>
    <t>9 (175.5)</t>
  </si>
  <si>
    <t>Summit Lake</t>
  </si>
  <si>
    <t>1G</t>
  </si>
  <si>
    <t>Union County</t>
  </si>
  <si>
    <t>IA175</t>
  </si>
  <si>
    <t>Central Iowa Power Cooperative (Owner),Central Iowa Power Cooperative (Operator)</t>
  </si>
  <si>
    <t>GT1 (27)</t>
  </si>
  <si>
    <t>2G</t>
  </si>
  <si>
    <t>GT2 (35.3)</t>
  </si>
  <si>
    <t>Earl F Wisdom</t>
  </si>
  <si>
    <t>Clay County</t>
  </si>
  <si>
    <t>IA041</t>
  </si>
  <si>
    <t>Corn Belt Power Cooperative (Owner),Corn Belt Power Cooperative (Operator)</t>
  </si>
  <si>
    <t>Basin Electric Power Cooperative (Owner),Corn Belt Power Cooperative (Owner),Corn Belt Power Cooperative (Operator)</t>
  </si>
  <si>
    <t>2 (96)</t>
  </si>
  <si>
    <t>Cimarron River</t>
  </si>
  <si>
    <t>Seward County</t>
  </si>
  <si>
    <t>KS175</t>
  </si>
  <si>
    <t>1 (62)</t>
  </si>
  <si>
    <t>Fort Dodge aka Judson Large</t>
  </si>
  <si>
    <t>Ford County</t>
  </si>
  <si>
    <t>KS057</t>
  </si>
  <si>
    <t>4 (160)</t>
  </si>
  <si>
    <t>Great Bend Station aka Arthur Mullergren</t>
  </si>
  <si>
    <t>Barton County</t>
  </si>
  <si>
    <t>KS009</t>
  </si>
  <si>
    <t>3 (105)</t>
  </si>
  <si>
    <t>Riverton</t>
  </si>
  <si>
    <t>609869 (Ended Dec 19, 2023), 610864 (Started Dec 19, 2023)</t>
  </si>
  <si>
    <t>Cherokee County</t>
  </si>
  <si>
    <t>KS021</t>
  </si>
  <si>
    <t>Empire District Electric Company (Owner),Empire District Electric Company (Operator)</t>
  </si>
  <si>
    <t>12-2 (118.8), 12 (150)</t>
  </si>
  <si>
    <t>Gordon Evans Energy Center</t>
  </si>
  <si>
    <t>E1CT</t>
  </si>
  <si>
    <t>Sedgwick County</t>
  </si>
  <si>
    <t>KS173</t>
  </si>
  <si>
    <t>Evergy, Inc. (Owner),Evergy, Inc. (Operator)</t>
  </si>
  <si>
    <t>GT1 (88)</t>
  </si>
  <si>
    <t>E2CT</t>
  </si>
  <si>
    <t>GT2 (88)</t>
  </si>
  <si>
    <t>E3CT</t>
  </si>
  <si>
    <t>GT3 (180)</t>
  </si>
  <si>
    <t>La Cygne</t>
  </si>
  <si>
    <t>KS107</t>
  </si>
  <si>
    <t>1 (893)</t>
  </si>
  <si>
    <t>Other Oil</t>
  </si>
  <si>
    <t>Low NOx Burner Technology w/ Overfire Air,Low NOx Burner Technology (Dry Bottom only),Overfire Air,Selective Catalytic Reduction</t>
  </si>
  <si>
    <t>2 (685)</t>
  </si>
  <si>
    <t>Hutchinson Energy Center</t>
  </si>
  <si>
    <t>CT-1</t>
  </si>
  <si>
    <t>Reno County</t>
  </si>
  <si>
    <t>KS155</t>
  </si>
  <si>
    <t>GT1 (79.1)</t>
  </si>
  <si>
    <t>CT-2</t>
  </si>
  <si>
    <t>GT2 (79.1)</t>
  </si>
  <si>
    <t>CT-3</t>
  </si>
  <si>
    <t>GT3 (79.1)</t>
  </si>
  <si>
    <t>CT-4</t>
  </si>
  <si>
    <t>GT4 (84.3)</t>
  </si>
  <si>
    <t>Lawrence Energy Center</t>
  </si>
  <si>
    <t>MS4N, MS4S</t>
  </si>
  <si>
    <t>Douglas County</t>
  </si>
  <si>
    <t>KS045</t>
  </si>
  <si>
    <t>Baghouse,Wet Scrubber</t>
  </si>
  <si>
    <t>4 (135)</t>
  </si>
  <si>
    <t>5 (415)</t>
  </si>
  <si>
    <t>Chanute 2</t>
  </si>
  <si>
    <t>Neosho County</t>
  </si>
  <si>
    <t>KS133</t>
  </si>
  <si>
    <t>City of Chanute (Owner),City of Chanute (Operator)</t>
  </si>
  <si>
    <t>14 (60)</t>
  </si>
  <si>
    <t>Coffeyville</t>
  </si>
  <si>
    <t>Montgomery County</t>
  </si>
  <si>
    <t>KS125</t>
  </si>
  <si>
    <t>Coffeyville Municipal Light &amp; Power (Owner),Coffeyville Municipal Light &amp; Power (Operator)</t>
  </si>
  <si>
    <t>7 (40)</t>
  </si>
  <si>
    <t>Quindaro</t>
  </si>
  <si>
    <t>Wyandotte County</t>
  </si>
  <si>
    <t>KS209</t>
  </si>
  <si>
    <t>Kansas City Board of Public Utilities (Owner),Kansas City Board of Public Utilities (Operator)</t>
  </si>
  <si>
    <t>GT2 (64.7)</t>
  </si>
  <si>
    <t>GT3 (64.7)</t>
  </si>
  <si>
    <t>McPherson 2</t>
  </si>
  <si>
    <t>CP001</t>
  </si>
  <si>
    <t>McPherson County</t>
  </si>
  <si>
    <t>KS113</t>
  </si>
  <si>
    <t>McPherson Board of Public Utilities (Owner),McPherson Board of Public Utilities (Operator)</t>
  </si>
  <si>
    <t>GT1 (65.5)</t>
  </si>
  <si>
    <t>GT2 (65.5)</t>
  </si>
  <si>
    <t>GT3 (65.5)</t>
  </si>
  <si>
    <t>Garden City</t>
  </si>
  <si>
    <t>S-2</t>
  </si>
  <si>
    <t>S2 (105)</t>
  </si>
  <si>
    <t>S-4</t>
  </si>
  <si>
    <t>S4 (71.2)</t>
  </si>
  <si>
    <t>S-5</t>
  </si>
  <si>
    <t>S5 (71.2)</t>
  </si>
  <si>
    <t>Big Sandy</t>
  </si>
  <si>
    <t>BSU1</t>
  </si>
  <si>
    <t>608993 (Ended Apr 12, 2023), 610620 (Started Apr 12, 2023)</t>
  </si>
  <si>
    <t>Lawrence County</t>
  </si>
  <si>
    <t>KY127</t>
  </si>
  <si>
    <t>Kentucky Power Company (Owner),Kentucky Power Company (Operator)</t>
  </si>
  <si>
    <t>Low NOx Burner Technology (Dry Bottom only),Overfire Air</t>
  </si>
  <si>
    <t>1 (280.5)</t>
  </si>
  <si>
    <t>E W Brown</t>
  </si>
  <si>
    <t>ARP, CSNOX, CSOSG2E, CSSO2G1, MATS</t>
  </si>
  <si>
    <t>Mercer County</t>
  </si>
  <si>
    <t>KY167</t>
  </si>
  <si>
    <t>LGE and KU Energy LLC (Owner),LGE and KU Energy LLC (Operator)</t>
  </si>
  <si>
    <t>Wet Scrubber,Baghouse</t>
  </si>
  <si>
    <t>3 (446.4)</t>
  </si>
  <si>
    <t>LGE and KU Energy LLC (Owner),Kentucky Utilities Company (Owner),Kentucky Utilities Company (Operator)</t>
  </si>
  <si>
    <t>5 (123)</t>
  </si>
  <si>
    <t>6 (181)</t>
  </si>
  <si>
    <t>7 (181)</t>
  </si>
  <si>
    <t>8 (126)</t>
  </si>
  <si>
    <t>9 (126)</t>
  </si>
  <si>
    <t>10 (126)</t>
  </si>
  <si>
    <t>11 (126)</t>
  </si>
  <si>
    <t>Ghent</t>
  </si>
  <si>
    <t>Carroll County</t>
  </si>
  <si>
    <t>KY041</t>
  </si>
  <si>
    <t>Kentucky Utilities Company (Owner),Kentucky Utilities Company (Operator)</t>
  </si>
  <si>
    <t>1 (556.9)</t>
  </si>
  <si>
    <t>Untreated PAC Sorbent Injection,Additives to Enhance PAC and Existing Equipment Performance</t>
  </si>
  <si>
    <t>2 (556.4)</t>
  </si>
  <si>
    <t>3 (556.6)</t>
  </si>
  <si>
    <t>4 (556.2)</t>
  </si>
  <si>
    <t>Cane Run</t>
  </si>
  <si>
    <t>KY111</t>
  </si>
  <si>
    <t>Kentucky Utilities Company (Owner),LG&amp;E and KU Energy, LLC (Operator)</t>
  </si>
  <si>
    <t>7A (260), 7-STG (287)</t>
  </si>
  <si>
    <t>7-STG (287), 7B (260)</t>
  </si>
  <si>
    <t>Mill Creek</t>
  </si>
  <si>
    <t>1 (355.5)</t>
  </si>
  <si>
    <t>2 (355.5)</t>
  </si>
  <si>
    <t>Baghouse,Electrostatic Precipitator,Wet Scrubber</t>
  </si>
  <si>
    <t>3 (462.6)</t>
  </si>
  <si>
    <t>4 (543.6)</t>
  </si>
  <si>
    <t>Paddy's Run</t>
  </si>
  <si>
    <t>CSNOX, CSOSG2E, CSSO2G1</t>
  </si>
  <si>
    <t>Kentucky Utilities Company (Owner),LGE and KU Energy LLC (Owner),LGE and KU Energy LLC (Operator)</t>
  </si>
  <si>
    <t>12 (32.6)</t>
  </si>
  <si>
    <t>13 (178)</t>
  </si>
  <si>
    <t>Paradise</t>
  </si>
  <si>
    <t>PCC1</t>
  </si>
  <si>
    <t>ARP, CSNOX, CSOSG2E, CSSO2G1, NSPS4T</t>
  </si>
  <si>
    <t>Muhlenberg County</t>
  </si>
  <si>
    <t>KY177</t>
  </si>
  <si>
    <t>STG1 (470), CTG1 (226)</t>
  </si>
  <si>
    <t>PCC2</t>
  </si>
  <si>
    <t>CTG2 (226), STG1 (470)</t>
  </si>
  <si>
    <t>PCC3</t>
  </si>
  <si>
    <t>CTG3 (226), STG1 (470)</t>
  </si>
  <si>
    <t>Shawnee</t>
  </si>
  <si>
    <t>CSSH15</t>
  </si>
  <si>
    <t>McCracken County</t>
  </si>
  <si>
    <t>KY145</t>
  </si>
  <si>
    <t>1 (175)</t>
  </si>
  <si>
    <t>2 (175)</t>
  </si>
  <si>
    <t>3 (175)</t>
  </si>
  <si>
    <t>4 (175)</t>
  </si>
  <si>
    <t>CSSH60</t>
  </si>
  <si>
    <t>7 (175)</t>
  </si>
  <si>
    <t>8 (175)</t>
  </si>
  <si>
    <t>9 (175)</t>
  </si>
  <si>
    <t>Robert Reid</t>
  </si>
  <si>
    <t>RT</t>
  </si>
  <si>
    <t>Webster County</t>
  </si>
  <si>
    <t>KY233</t>
  </si>
  <si>
    <t>Big Rivers Electric Corporation (Owner),Big Rivers Electric Corporation (Operator)</t>
  </si>
  <si>
    <t>GEN2 (98.9)</t>
  </si>
  <si>
    <t>John S. Cooper</t>
  </si>
  <si>
    <t>CS1</t>
  </si>
  <si>
    <t>Pulaski County</t>
  </si>
  <si>
    <t>KY199</t>
  </si>
  <si>
    <t>1 (100)</t>
  </si>
  <si>
    <t>2 (221)</t>
  </si>
  <si>
    <t>LA</t>
  </si>
  <si>
    <t>Louisiana 1</t>
  </si>
  <si>
    <t>ARP, CSOSG2E</t>
  </si>
  <si>
    <t>East Baton Rouge Parish</t>
  </si>
  <si>
    <t>LA033</t>
  </si>
  <si>
    <t>Entergy Corporation (Owner),EthosEnergy Power Operations (West), LLC (Operator)</t>
  </si>
  <si>
    <t>Process Gas</t>
  </si>
  <si>
    <t>1A (23)</t>
  </si>
  <si>
    <t>2A (62.5)</t>
  </si>
  <si>
    <t>3A (63)</t>
  </si>
  <si>
    <t>4A (129)</t>
  </si>
  <si>
    <t>Entergy Corporation (Owner),ExxonMobil Oil Corporation (Owner),EthosEnergy Power Operations (West), LLC (Operator)</t>
  </si>
  <si>
    <t>5A (173.3)</t>
  </si>
  <si>
    <t>R S Nelson</t>
  </si>
  <si>
    <t>ARP, CSOSG2E, MATS</t>
  </si>
  <si>
    <t>Calcasieu Parish</t>
  </si>
  <si>
    <t>LA019</t>
  </si>
  <si>
    <t>Sam Rayburn G &amp; T, Inc (Owner),Sam Rayburn Municipal Power Agency (Owner),Entergy Corporation (Owner),Entergy Corporation (Operator)</t>
  </si>
  <si>
    <t>6 (614.6)</t>
  </si>
  <si>
    <t>Coughlin Power Station</t>
  </si>
  <si>
    <t>Evangeline Parish</t>
  </si>
  <si>
    <t>LA039</t>
  </si>
  <si>
    <t>Cleco Power LLC (Owner),Cleco Power LLC (Operator)</t>
  </si>
  <si>
    <t>U6CT (188.7), 7 (243), 6 (125)</t>
  </si>
  <si>
    <t>6 (125), U7CT (188.5), 7 (243)</t>
  </si>
  <si>
    <t>7 (243), U72 (188.5), 6 (125)</t>
  </si>
  <si>
    <t>Teche Power Station</t>
  </si>
  <si>
    <t>St. Mary Parish</t>
  </si>
  <si>
    <t>LA101</t>
  </si>
  <si>
    <t>3 (348.5)</t>
  </si>
  <si>
    <t>4 (35)</t>
  </si>
  <si>
    <t>Little Gypsy</t>
  </si>
  <si>
    <t>St. Charles Parish</t>
  </si>
  <si>
    <t>LA089</t>
  </si>
  <si>
    <t>Combustion Modification/Fuel Reburning</t>
  </si>
  <si>
    <t>2 (420.8)</t>
  </si>
  <si>
    <t>3 (582.3)</t>
  </si>
  <si>
    <t>Ninemile Point</t>
  </si>
  <si>
    <t>Jefferson Parish</t>
  </si>
  <si>
    <t>LA051</t>
  </si>
  <si>
    <t>4 (895.1)</t>
  </si>
  <si>
    <t>5 (895.1)</t>
  </si>
  <si>
    <t>6A (194.7), 6C (260.1)</t>
  </si>
  <si>
    <t>6C (260.1), 6B (194.7)</t>
  </si>
  <si>
    <t>Sterlington</t>
  </si>
  <si>
    <t>7AB</t>
  </si>
  <si>
    <t>Ouachita Parish</t>
  </si>
  <si>
    <t>LA073</t>
  </si>
  <si>
    <t>7C (101), 7A (59.3)</t>
  </si>
  <si>
    <t>Arsenal Hill Power Plant</t>
  </si>
  <si>
    <t>Caddo Parish</t>
  </si>
  <si>
    <t>LA017</t>
  </si>
  <si>
    <t>Southwestern Electric Power Company (Owner),Southwestern Electric Power Company (Operator)</t>
  </si>
  <si>
    <t>5 (100)</t>
  </si>
  <si>
    <t>CTG-6A</t>
  </si>
  <si>
    <t>6A (184), 6STG (256)</t>
  </si>
  <si>
    <t>CTG-6B</t>
  </si>
  <si>
    <t>6STG (256), 6B (184)</t>
  </si>
  <si>
    <t>Lieberman Power Plant</t>
  </si>
  <si>
    <t>3 (100)</t>
  </si>
  <si>
    <t>4 (100)</t>
  </si>
  <si>
    <t>Houma</t>
  </si>
  <si>
    <t>Terrebonne Parish</t>
  </si>
  <si>
    <t>LA109</t>
  </si>
  <si>
    <t>Terrebonne Parish (Owner),Terrebonne Parish (Operator)</t>
  </si>
  <si>
    <t>15 (25.5)</t>
  </si>
  <si>
    <t>16 (40.8)</t>
  </si>
  <si>
    <t>Big Cajun 1</t>
  </si>
  <si>
    <t>1B1</t>
  </si>
  <si>
    <t>Pointe Coupee Parish</t>
  </si>
  <si>
    <t>LA077</t>
  </si>
  <si>
    <t>Louisiana Generating, LLC (Owner),Louisiana Generating, LLC (Operator)</t>
  </si>
  <si>
    <t>Low NOx Burner Technology (Dry Bottom only),Other</t>
  </si>
  <si>
    <t>1 (115)</t>
  </si>
  <si>
    <t>1B2</t>
  </si>
  <si>
    <t>2 (115)</t>
  </si>
  <si>
    <t>Big Cajun 1 Peaking Power, LLC (Owner),Louisiana Generating, LLC (Operator)</t>
  </si>
  <si>
    <t>3 (132.8)</t>
  </si>
  <si>
    <t>4 (132.8)</t>
  </si>
  <si>
    <t>ME</t>
  </si>
  <si>
    <t>William F Wyman</t>
  </si>
  <si>
    <t>ARP, MATS, RGGI</t>
  </si>
  <si>
    <t>ME005</t>
  </si>
  <si>
    <t>FPL Energy Wyman, LLC (Owner),FPL Energy Wyman, LLC (Operator)</t>
  </si>
  <si>
    <t>3 (113.6)</t>
  </si>
  <si>
    <t>Green Mountain Power Corporation (Owner),Massachusetts Municipal Wholesale Electric (Owner),Northeast Utilities Service Company (Owner),FPL Energy Wyman IV, LLC (Owner),Exelon New England (Owner),Lyndonville Electric Department (Owner),FPL Energy Wyman IV, LLC (Operator)</t>
  </si>
  <si>
    <t>4 (632.4)</t>
  </si>
  <si>
    <t>Herbert A Wagner</t>
  </si>
  <si>
    <t>1 (135)</t>
  </si>
  <si>
    <t>ARP, CSNOX, CSOSG3, CSSO2G1, RGGI</t>
  </si>
  <si>
    <t>Low NOx Burner Technology (Dry Bottom only),Selective Non-catalytic Reduction</t>
  </si>
  <si>
    <t>2 (145)</t>
  </si>
  <si>
    <t>3 (355)</t>
  </si>
  <si>
    <t>4 (426)</t>
  </si>
  <si>
    <t>Perryman</t>
  </si>
  <si>
    <t>CS6A</t>
  </si>
  <si>
    <t>Harford County</t>
  </si>
  <si>
    <t>MD025</t>
  </si>
  <si>
    <t>Constellation Power Service Generation LLC (Owner),Constellation Power Service Generation LLC (Operator)</t>
  </si>
  <si>
    <t>6 (120)</t>
  </si>
  <si>
    <t>**51</t>
  </si>
  <si>
    <t>GT5 (192)</t>
  </si>
  <si>
    <t>CSNOX, CSOSG3, CSSO2G1, RGGI</t>
  </si>
  <si>
    <t>GT1 (51)</t>
  </si>
  <si>
    <t>GT3 (51)</t>
  </si>
  <si>
    <t>GT4 (51)</t>
  </si>
  <si>
    <t>Vienna</t>
  </si>
  <si>
    <t>Dorchester County</t>
  </si>
  <si>
    <t>MD019</t>
  </si>
  <si>
    <t>Vienna Power, LLC (Owner),Vienna Power, LLC (Operator)</t>
  </si>
  <si>
    <t>8 (162)</t>
  </si>
  <si>
    <t>Chalk Point</t>
  </si>
  <si>
    <t>Prince George's County</t>
  </si>
  <si>
    <t>MD033</t>
  </si>
  <si>
    <t>GenOn Chalk Point, LLC (Owner),GenOn Chalk Point, LLC (Operator)</t>
  </si>
  <si>
    <t>3 (640)</t>
  </si>
  <si>
    <t>4 (640)</t>
  </si>
  <si>
    <t>**GT3</t>
  </si>
  <si>
    <t>GT3 (99)</t>
  </si>
  <si>
    <t>**GT4</t>
  </si>
  <si>
    <t>GT4 (99)</t>
  </si>
  <si>
    <t>**GT5</t>
  </si>
  <si>
    <t>GT5 (120)</t>
  </si>
  <si>
    <t>**GT6</t>
  </si>
  <si>
    <t>GT6 (120)</t>
  </si>
  <si>
    <t>GenOn Mid-Atlantic, LLC (Owner),GenOn Chalk Point, LLC (Owner),GenOn Chalk Point, LLC (Operator)</t>
  </si>
  <si>
    <t>GT2 (35)</t>
  </si>
  <si>
    <t>SMECO</t>
  </si>
  <si>
    <t>South Maryland Electric Cooperative (Owner),GenOn Chalk Point, LLC (Operator)</t>
  </si>
  <si>
    <t>SGT1 (93)</t>
  </si>
  <si>
    <t>Dickerson</t>
  </si>
  <si>
    <t>MD031</t>
  </si>
  <si>
    <t>GenOn Mid-Atlantic, LLC (Owner),GenOn Mid-Atlantic, LLC (Operator)</t>
  </si>
  <si>
    <t>GT2 (168)</t>
  </si>
  <si>
    <t>GT3 (168)</t>
  </si>
  <si>
    <t>Morgantown</t>
  </si>
  <si>
    <t>Charles County</t>
  </si>
  <si>
    <t>MD017</t>
  </si>
  <si>
    <t>3 (65)</t>
  </si>
  <si>
    <t>4 (65)</t>
  </si>
  <si>
    <t>5 (65)</t>
  </si>
  <si>
    <t>6 (65)</t>
  </si>
  <si>
    <t>MA</t>
  </si>
  <si>
    <t>Mystic</t>
  </si>
  <si>
    <t>MA017</t>
  </si>
  <si>
    <t>Exelon Generation Company LLC (Owner),Exelon Generation Company LLC (Operator)</t>
  </si>
  <si>
    <t>GT81 (278.6), ST85 (315)</t>
  </si>
  <si>
    <t>GT82 (278.6), ST85 (315)</t>
  </si>
  <si>
    <t>ST96 (315), GT93 (278.6)</t>
  </si>
  <si>
    <t>GT94 (278.6), ST96 (315)</t>
  </si>
  <si>
    <t>Medway Station</t>
  </si>
  <si>
    <t>J1T1</t>
  </si>
  <si>
    <t>Norfolk County</t>
  </si>
  <si>
    <t>MA021</t>
  </si>
  <si>
    <t>Exelon New England Holdings, LLC (Owner),Exelon West Medway, LLC (Operator)</t>
  </si>
  <si>
    <t>GT1 (45)</t>
  </si>
  <si>
    <t>J1T2</t>
  </si>
  <si>
    <t>J2T1</t>
  </si>
  <si>
    <t>GT2 (45)</t>
  </si>
  <si>
    <t>J2T2</t>
  </si>
  <si>
    <t>J3T1</t>
  </si>
  <si>
    <t>GT3 (45)</t>
  </si>
  <si>
    <t>J3T2</t>
  </si>
  <si>
    <t>Kendall Green Energy LLC</t>
  </si>
  <si>
    <t>Kendall Green Energy LLC (Owner),Kendall Green Energy LLC (Operator)</t>
  </si>
  <si>
    <t>3 (27.2), 2 (23)</t>
  </si>
  <si>
    <t>3 (27.2), 3 (27.2)</t>
  </si>
  <si>
    <t>GEN4 (186.2), 1 (17.2), 3 (27.2), 2 (23)</t>
  </si>
  <si>
    <t>Canal Station</t>
  </si>
  <si>
    <t>Barnstable County</t>
  </si>
  <si>
    <t>MA001</t>
  </si>
  <si>
    <t>Canal Generating LLC (Owner),Canal Generating LLC (Operator)</t>
  </si>
  <si>
    <t>Low NOx Burner Technology w/ Overfire Air,Other,Selective Catalytic Reduction,Combustion Modification/Fuel Reburning</t>
  </si>
  <si>
    <t>1 (542.5)</t>
  </si>
  <si>
    <t>Low NOx Burner Technology w/ Overfire Air,Overfire Air,Combustion Modification/Fuel Reburning</t>
  </si>
  <si>
    <t>2 (529.62)</t>
  </si>
  <si>
    <t>Canal 3 Generating LLC (Owner),Canal 3 Generating LLC (Operator)</t>
  </si>
  <si>
    <t>3 (330)</t>
  </si>
  <si>
    <t>Potter</t>
  </si>
  <si>
    <t>Town of Braintree Electric Light Department (Owner),Town of Braintree Electric Light Department (Operator)</t>
  </si>
  <si>
    <t>Steam Injection</t>
  </si>
  <si>
    <t>CC2 (76), CC3 (25)</t>
  </si>
  <si>
    <t>Water Injection,Ammonia Injection,Selective Catalytic Reduction</t>
  </si>
  <si>
    <t>WAT1 (58)</t>
  </si>
  <si>
    <t>WAT2 (58)</t>
  </si>
  <si>
    <t>Waters River</t>
  </si>
  <si>
    <t>Essex County</t>
  </si>
  <si>
    <t>MA009</t>
  </si>
  <si>
    <t>Peabody Municipal Light Plant (Owner),Peabody Municipal Light Plant (Operator)</t>
  </si>
  <si>
    <t>2 (49.9)</t>
  </si>
  <si>
    <t>Cleary Flood</t>
  </si>
  <si>
    <t>Bristol County</t>
  </si>
  <si>
    <t>MA005</t>
  </si>
  <si>
    <t>Hudson Light and Power Department (Owner),North Attleborough Electric Dept. (Owner),Taunton Municipal Lighting Plant (Owner),Taunton Municipal Lighting Plant (Operator)</t>
  </si>
  <si>
    <t>9A (23), CA9 (95)</t>
  </si>
  <si>
    <t>MI</t>
  </si>
  <si>
    <t>Dan E Karn</t>
  </si>
  <si>
    <t>MI017</t>
  </si>
  <si>
    <t>Consumers Energy Company (Owner),Consumers Energy Company (Operator)</t>
  </si>
  <si>
    <t>1 (265)</t>
  </si>
  <si>
    <t>2 (265)</t>
  </si>
  <si>
    <t>CS0009</t>
  </si>
  <si>
    <t>3 (605)</t>
  </si>
  <si>
    <t>4 (626.3)</t>
  </si>
  <si>
    <t>J H Campbell</t>
  </si>
  <si>
    <t>Ottawa County</t>
  </si>
  <si>
    <t>MI139</t>
  </si>
  <si>
    <t>Low NOx Cell Burner,Selective Catalytic Reduction</t>
  </si>
  <si>
    <t>2 (385)</t>
  </si>
  <si>
    <t>Bay City Electric Light &amp; Power (Owner),Charlevoix Municipal Utilities (Owner),Chelsea Electric &amp; Water Department (Owner),Consumers Energy Company (Owner),Harbor Springs Electricity Dept. (Owner),Hart Board of Power and Light (Owner),Holland Board of Public Works (Owner),Lowell Light &amp; Power Board (Owner),Petoskey Electric Light Department (Owner),Portland Electric Light and Power (Owner),Traverse City Light &amp; Power (Owner),Wolverine Power Supply Cooperative, Inc. (Owner),Michigan Public Power Agency (Owner),Consumers Energy Company (Operator)</t>
  </si>
  <si>
    <t>3 (871)</t>
  </si>
  <si>
    <t>Delray</t>
  </si>
  <si>
    <t>CTG111</t>
  </si>
  <si>
    <t>609535 (Ended Mar 22, 2023), 610607 (Started Mar 22, 2023)</t>
  </si>
  <si>
    <t>MI163</t>
  </si>
  <si>
    <t>Detroit Edison Company (Owner),Detroit Edison Company (Operator)</t>
  </si>
  <si>
    <t>11-1 (76)</t>
  </si>
  <si>
    <t>CTG121</t>
  </si>
  <si>
    <t>12-1 (76)</t>
  </si>
  <si>
    <t>Hancock Peakers</t>
  </si>
  <si>
    <t>Oakland County</t>
  </si>
  <si>
    <t>MI125</t>
  </si>
  <si>
    <t>5 (41.9)</t>
  </si>
  <si>
    <t>CTG122</t>
  </si>
  <si>
    <t>6 (41.9)</t>
  </si>
  <si>
    <t>Monroe</t>
  </si>
  <si>
    <t>Monroe County</t>
  </si>
  <si>
    <t>MI115</t>
  </si>
  <si>
    <t>1 (817.2)</t>
  </si>
  <si>
    <t>2 (822.6)</t>
  </si>
  <si>
    <t>3 (822.6)</t>
  </si>
  <si>
    <t>4 (817.2)</t>
  </si>
  <si>
    <t>Wyandotte</t>
  </si>
  <si>
    <t>Wyandotte Municipal Services (Owner),Wyandotte Municipal Services (Operator)</t>
  </si>
  <si>
    <t>Stoker</t>
  </si>
  <si>
    <t>5 (22), 6 (7.5), 4 (11.5), 7 (32)</t>
  </si>
  <si>
    <t>5 (22), 6 (7.5), 7 (32), 4 (11.5)</t>
  </si>
  <si>
    <t>MN</t>
  </si>
  <si>
    <t>Laskin Energy Center</t>
  </si>
  <si>
    <t>CS0001</t>
  </si>
  <si>
    <t>ARP, CSNOX, CSSO2G2</t>
  </si>
  <si>
    <t>St. Louis County</t>
  </si>
  <si>
    <t>MN137</t>
  </si>
  <si>
    <t>Minnesota Power, Inc. (Owner),Minnesota Power, Inc. (Operator)</t>
  </si>
  <si>
    <t>1 (58)</t>
  </si>
  <si>
    <t>2 (58)</t>
  </si>
  <si>
    <t>Boswell Energy Center</t>
  </si>
  <si>
    <t>Itasca County</t>
  </si>
  <si>
    <t>MN061</t>
  </si>
  <si>
    <t>3 (364.5)</t>
  </si>
  <si>
    <t>Wisconsin Public Power Inc (Owner),Minnesota Power, Inc. (Owner),Minnesota Power, Inc. (Operator)</t>
  </si>
  <si>
    <t>Selective Non-catalytic Reduction,Low NOx Burner Technology w/ Closed-coupled/Separated OFA</t>
  </si>
  <si>
    <t>4 (558)</t>
  </si>
  <si>
    <t>Hibbard Energy Center</t>
  </si>
  <si>
    <t>Cogeneration</t>
  </si>
  <si>
    <t>3 (35.3)</t>
  </si>
  <si>
    <t>4 (37.5)</t>
  </si>
  <si>
    <t>Black Dog</t>
  </si>
  <si>
    <t>Dakota County</t>
  </si>
  <si>
    <t>MN037</t>
  </si>
  <si>
    <t>Northern States Power (Xcel Energy) (Owner),Northern States Power (Xcel Energy) (Operator)</t>
  </si>
  <si>
    <t>2 (137), 5 (187.9), 2 (137)</t>
  </si>
  <si>
    <t>6-1 (215)</t>
  </si>
  <si>
    <t>High Bridge</t>
  </si>
  <si>
    <t>Ramsey County</t>
  </si>
  <si>
    <t>MN123</t>
  </si>
  <si>
    <t>Xcel Energy (Owner),Xcel Energy (Operator)</t>
  </si>
  <si>
    <t>7 (196), 9 (250)</t>
  </si>
  <si>
    <t>9 (250), 8 (196)</t>
  </si>
  <si>
    <t>Inver Hills</t>
  </si>
  <si>
    <t>CSNOX, CSSO2G2</t>
  </si>
  <si>
    <t>1 (54.4)</t>
  </si>
  <si>
    <t>2 (54.4)</t>
  </si>
  <si>
    <t>3 (54.4)</t>
  </si>
  <si>
    <t>4 (54.4)</t>
  </si>
  <si>
    <t>5 (54.4)</t>
  </si>
  <si>
    <t>6 (54.4)</t>
  </si>
  <si>
    <t>Allen S King</t>
  </si>
  <si>
    <t>MN163</t>
  </si>
  <si>
    <t>1 (598.4)</t>
  </si>
  <si>
    <t>Riverside (1927)</t>
  </si>
  <si>
    <t>Hennepin County</t>
  </si>
  <si>
    <t>MN053</t>
  </si>
  <si>
    <t>9 (192.1), ST7 (165)</t>
  </si>
  <si>
    <t>ST7 (165), 10 (192.1)</t>
  </si>
  <si>
    <t>New Ulm</t>
  </si>
  <si>
    <t>609385 (Ended Apr 19, 2023), 609386 (Started Apr 19, 2023)</t>
  </si>
  <si>
    <t>Brown County</t>
  </si>
  <si>
    <t>MN015</t>
  </si>
  <si>
    <t>City of New Ulm (Owner),New Ulm Public Utilities (Operator)</t>
  </si>
  <si>
    <t>7 (26)</t>
  </si>
  <si>
    <t>Cambridge Station</t>
  </si>
  <si>
    <t>Isanti County</t>
  </si>
  <si>
    <t>MN059</t>
  </si>
  <si>
    <t>Great River Energy (Owner),Great River Energy (Operator)</t>
  </si>
  <si>
    <t>1 (29)</t>
  </si>
  <si>
    <t>2 (224)</t>
  </si>
  <si>
    <t>Elk River</t>
  </si>
  <si>
    <t>ERPS11</t>
  </si>
  <si>
    <t>Sherburne County</t>
  </si>
  <si>
    <t>MN141</t>
  </si>
  <si>
    <t>CT (225)</t>
  </si>
  <si>
    <t>Maple Lake Station</t>
  </si>
  <si>
    <t>Wright County</t>
  </si>
  <si>
    <t>MN171</t>
  </si>
  <si>
    <t>5A (29.3)</t>
  </si>
  <si>
    <t>MS</t>
  </si>
  <si>
    <t>Chevron Cogenerating Station</t>
  </si>
  <si>
    <t>MS059</t>
  </si>
  <si>
    <t>Mississippi Power Company (Owner),Mississippi Power Company (Operator)</t>
  </si>
  <si>
    <t>5 (74.6)</t>
  </si>
  <si>
    <t>Watson Electric Generating Plant</t>
  </si>
  <si>
    <t>Harrison County</t>
  </si>
  <si>
    <t>MS047</t>
  </si>
  <si>
    <t>4 (250)</t>
  </si>
  <si>
    <t>5 (500)</t>
  </si>
  <si>
    <t>Baxter Wilson</t>
  </si>
  <si>
    <t>Warren County</t>
  </si>
  <si>
    <t>MS149</t>
  </si>
  <si>
    <t>Operating (Retired 03/30/2023)</t>
  </si>
  <si>
    <t>1 (544.6)</t>
  </si>
  <si>
    <t>Moselle Generation Complex</t>
  </si>
  <si>
    <t>Jones County</t>
  </si>
  <si>
    <t>MS067</t>
  </si>
  <si>
    <t>Cooperative Energy (Owner),Cooperative Energy (Operator)</t>
  </si>
  <si>
    <t>5 (95)</t>
  </si>
  <si>
    <t>GTG1 (138), 1 (65)</t>
  </si>
  <si>
    <t>2 (65), GTG2 (138)</t>
  </si>
  <si>
    <t>4 (90)</t>
  </si>
  <si>
    <t>MO</t>
  </si>
  <si>
    <t>Hawthorn</t>
  </si>
  <si>
    <t>MO095</t>
  </si>
  <si>
    <t>6 (164)</t>
  </si>
  <si>
    <t>7 (85)</t>
  </si>
  <si>
    <t>8 (85)</t>
  </si>
  <si>
    <t>9 (140)</t>
  </si>
  <si>
    <t>5 (550)</t>
  </si>
  <si>
    <t>Northeast Generating Station</t>
  </si>
  <si>
    <t>11 (64)</t>
  </si>
  <si>
    <t>12 (64)</t>
  </si>
  <si>
    <t>13 (64)</t>
  </si>
  <si>
    <t>14 (64)</t>
  </si>
  <si>
    <t>15 (64)</t>
  </si>
  <si>
    <t>16 (64)</t>
  </si>
  <si>
    <t>17 (64)</t>
  </si>
  <si>
    <t>18 (64)</t>
  </si>
  <si>
    <t>Fairgrounds</t>
  </si>
  <si>
    <t>Cole County</t>
  </si>
  <si>
    <t>MO051</t>
  </si>
  <si>
    <t>1 (68)</t>
  </si>
  <si>
    <t>Ralph Green Station</t>
  </si>
  <si>
    <t>Cass County</t>
  </si>
  <si>
    <t>MO037</t>
  </si>
  <si>
    <t>RG3 (71)</t>
  </si>
  <si>
    <t>Lake Road</t>
  </si>
  <si>
    <t>Buchanan County</t>
  </si>
  <si>
    <t>MO021</t>
  </si>
  <si>
    <t>5 (85)</t>
  </si>
  <si>
    <t>Labadie</t>
  </si>
  <si>
    <t>MO071</t>
  </si>
  <si>
    <t>1 (573.8)</t>
  </si>
  <si>
    <t>2 (573.8)</t>
  </si>
  <si>
    <t>3 (621)</t>
  </si>
  <si>
    <t>4 (621)</t>
  </si>
  <si>
    <t>Sioux</t>
  </si>
  <si>
    <t>St. Charles County</t>
  </si>
  <si>
    <t>MO183</t>
  </si>
  <si>
    <t>Overfire Air,Other</t>
  </si>
  <si>
    <t>1 (549.8)</t>
  </si>
  <si>
    <t>2 (549.8)</t>
  </si>
  <si>
    <t>Chillicothe</t>
  </si>
  <si>
    <t>GT1A</t>
  </si>
  <si>
    <t>CP0</t>
  </si>
  <si>
    <t>Livingston County</t>
  </si>
  <si>
    <t>MO117</t>
  </si>
  <si>
    <t>Chillicothe Municipal Utilities (Owner),Chillicothe Municipal Utilities (Operator)</t>
  </si>
  <si>
    <t>GT1 (40)</t>
  </si>
  <si>
    <t>GT1B</t>
  </si>
  <si>
    <t>GT2A</t>
  </si>
  <si>
    <t>GT2 (40)</t>
  </si>
  <si>
    <t>GT2B</t>
  </si>
  <si>
    <t>Columbia</t>
  </si>
  <si>
    <t>CS5</t>
  </si>
  <si>
    <t>606121 (Ended May 10, 2023), 600862 (Started May 10, 2023)</t>
  </si>
  <si>
    <t>Boone County</t>
  </si>
  <si>
    <t>MO019</t>
  </si>
  <si>
    <t>City of Columbia (Owner),City of Columbia (Operator)</t>
  </si>
  <si>
    <t>5 (16.5), 8 (35), 7 (22)</t>
  </si>
  <si>
    <t>8 (35)</t>
  </si>
  <si>
    <t>Higginsville Municipal Power Plant</t>
  </si>
  <si>
    <t>609185 (Ended Jan 25, 2023), 608461 (Started Jan 25, 2023)</t>
  </si>
  <si>
    <t>Lafayette County</t>
  </si>
  <si>
    <t>MO107</t>
  </si>
  <si>
    <t>City of Higginsville, MO (Owner),City of Higginsville, MO (Operator)</t>
  </si>
  <si>
    <t>4 (60)</t>
  </si>
  <si>
    <t>James River</t>
  </si>
  <si>
    <t>**GT1</t>
  </si>
  <si>
    <t>MO077</t>
  </si>
  <si>
    <t>City of Springfield, MO (Owner),City of Springfield, MO (Operator)</t>
  </si>
  <si>
    <t>GT1 (96)</t>
  </si>
  <si>
    <t>**GT2</t>
  </si>
  <si>
    <t>GT2 (93)</t>
  </si>
  <si>
    <t>New Madrid Power Plant</t>
  </si>
  <si>
    <t>New Madrid County</t>
  </si>
  <si>
    <t>MO143</t>
  </si>
  <si>
    <t>Associated Electric Cooperative, Inc. (Owner),Associated Electric Cooperative, Inc. (Operator)</t>
  </si>
  <si>
    <t>1 (600)</t>
  </si>
  <si>
    <t>2 (600)</t>
  </si>
  <si>
    <t>Thomas Hill Energy Center</t>
  </si>
  <si>
    <t>MB1</t>
  </si>
  <si>
    <t>MO175</t>
  </si>
  <si>
    <t>1 (180)</t>
  </si>
  <si>
    <t>MB2</t>
  </si>
  <si>
    <t>2 (285)</t>
  </si>
  <si>
    <t>MB3</t>
  </si>
  <si>
    <t>Overfire Air,Low NOx Burner Technology (Dry Bottom only),Selective Catalytic Reduction</t>
  </si>
  <si>
    <t>3 (670)</t>
  </si>
  <si>
    <t>MT</t>
  </si>
  <si>
    <t>Glendive Generating Station</t>
  </si>
  <si>
    <t>Dawson County</t>
  </si>
  <si>
    <t>MT021</t>
  </si>
  <si>
    <t>Montana Dakota Utilities Company (Owner),Montana Dakota Utilities Company (Operator)</t>
  </si>
  <si>
    <t>GT-2 (43)</t>
  </si>
  <si>
    <t>Canaday</t>
  </si>
  <si>
    <t>Gosper County</t>
  </si>
  <si>
    <t>NE073</t>
  </si>
  <si>
    <t>Nebraska Public Power District (Owner),Nebraska Public Power District (Operator)</t>
  </si>
  <si>
    <t>1 (108.8)</t>
  </si>
  <si>
    <t>Lon D Wright Power Plant</t>
  </si>
  <si>
    <t>Dodge County</t>
  </si>
  <si>
    <t>NE053</t>
  </si>
  <si>
    <t>City of Fremont (Owner),City of Fremont (Operator)</t>
  </si>
  <si>
    <t>8 (91.5)</t>
  </si>
  <si>
    <t>50T</t>
  </si>
  <si>
    <t>5OT (42.1)</t>
  </si>
  <si>
    <t>C W Burdick</t>
  </si>
  <si>
    <t>GT2 (46)</t>
  </si>
  <si>
    <t>GT3 (46)</t>
  </si>
  <si>
    <t>J Street</t>
  </si>
  <si>
    <t>Lancaster County</t>
  </si>
  <si>
    <t>NE109</t>
  </si>
  <si>
    <t>Lincoln Electric System (Owner),Lincoln Electric System (Operator)</t>
  </si>
  <si>
    <t>1 (27)</t>
  </si>
  <si>
    <t>Hallam Peaking</t>
  </si>
  <si>
    <t>1 (56.7)</t>
  </si>
  <si>
    <t>Hebron Peaking</t>
  </si>
  <si>
    <t>Thayer County</t>
  </si>
  <si>
    <t>NE169</t>
  </si>
  <si>
    <t>McCook Peaking</t>
  </si>
  <si>
    <t>Red Willow County</t>
  </si>
  <si>
    <t>NE145</t>
  </si>
  <si>
    <t>Sheldon</t>
  </si>
  <si>
    <t>Lincoln Electric System (Owner),Nebraska Public Power District (Owner),Nebraska Public Power District (Operator)</t>
  </si>
  <si>
    <t>2 (119.9)</t>
  </si>
  <si>
    <t>Jones Street</t>
  </si>
  <si>
    <t>CP100</t>
  </si>
  <si>
    <t>610192 (Ended Aug 22, 2023), 610761 (Started Aug 22, 2023)</t>
  </si>
  <si>
    <t>NE055</t>
  </si>
  <si>
    <t>Omaha Public Power District (Owner),Omaha Public Power District (Operator)</t>
  </si>
  <si>
    <t>1 (56.5)</t>
  </si>
  <si>
    <t>2 (56.5)</t>
  </si>
  <si>
    <t>North Omaha Station</t>
  </si>
  <si>
    <t>CS000A</t>
  </si>
  <si>
    <t>1 (73.5)</t>
  </si>
  <si>
    <t>2 (108.8)</t>
  </si>
  <si>
    <t>3 (108.8)</t>
  </si>
  <si>
    <t>4 (136)</t>
  </si>
  <si>
    <t>5 (217.6)</t>
  </si>
  <si>
    <t>Sarpy County Station</t>
  </si>
  <si>
    <t>Sarpy County</t>
  </si>
  <si>
    <t>NE153</t>
  </si>
  <si>
    <t>1 (55.4)</t>
  </si>
  <si>
    <t>2 (55.4)</t>
  </si>
  <si>
    <t>3 (120)</t>
  </si>
  <si>
    <t>CT5A</t>
  </si>
  <si>
    <t>5 (58.9)</t>
  </si>
  <si>
    <t>CT5B</t>
  </si>
  <si>
    <t>NV</t>
  </si>
  <si>
    <t>Clark</t>
  </si>
  <si>
    <t>CS11</t>
  </si>
  <si>
    <t>NV003</t>
  </si>
  <si>
    <t>NV Energy (Owner),NV Energy (Operator)</t>
  </si>
  <si>
    <t>11 (64.3)</t>
  </si>
  <si>
    <t>12 (64.3)</t>
  </si>
  <si>
    <t>CS13</t>
  </si>
  <si>
    <t>13 (64.3)</t>
  </si>
  <si>
    <t>CS14</t>
  </si>
  <si>
    <t>14 (64.3)</t>
  </si>
  <si>
    <t>15A</t>
  </si>
  <si>
    <t>CS15</t>
  </si>
  <si>
    <t>15 (64.3)</t>
  </si>
  <si>
    <t>15B</t>
  </si>
  <si>
    <t>16A</t>
  </si>
  <si>
    <t>CS16</t>
  </si>
  <si>
    <t>16 (64.3)</t>
  </si>
  <si>
    <t>16B</t>
  </si>
  <si>
    <t>17A</t>
  </si>
  <si>
    <t>CS17</t>
  </si>
  <si>
    <t>17 (64.3)</t>
  </si>
  <si>
    <t>17B</t>
  </si>
  <si>
    <t>18A</t>
  </si>
  <si>
    <t>CS18</t>
  </si>
  <si>
    <t>18 (64.3)</t>
  </si>
  <si>
    <t>18B</t>
  </si>
  <si>
    <t>19A</t>
  </si>
  <si>
    <t>CS19</t>
  </si>
  <si>
    <t>19 (64.3)</t>
  </si>
  <si>
    <t>19B</t>
  </si>
  <si>
    <t>20A</t>
  </si>
  <si>
    <t>CS20</t>
  </si>
  <si>
    <t>20 (64.3)</t>
  </si>
  <si>
    <t>20B</t>
  </si>
  <si>
    <t>21A</t>
  </si>
  <si>
    <t>CS21</t>
  </si>
  <si>
    <t>21 (64.3)</t>
  </si>
  <si>
    <t>21B</t>
  </si>
  <si>
    <t>22A</t>
  </si>
  <si>
    <t>CS22</t>
  </si>
  <si>
    <t>22 (64.3)</t>
  </si>
  <si>
    <t>22B</t>
  </si>
  <si>
    <t>Fort Churchill</t>
  </si>
  <si>
    <t>Lyon County</t>
  </si>
  <si>
    <t>NV019</t>
  </si>
  <si>
    <t>Sierra Pacific Power Company (Owner),Sierra Pacific Power Company (Operator)</t>
  </si>
  <si>
    <t>1 (105.2)</t>
  </si>
  <si>
    <t>2 (105.2)</t>
  </si>
  <si>
    <t>Tracy</t>
  </si>
  <si>
    <t>Storey County</t>
  </si>
  <si>
    <t>NV029</t>
  </si>
  <si>
    <t>3 (122)</t>
  </si>
  <si>
    <t>GT3 (85)</t>
  </si>
  <si>
    <t>GT4 (85)</t>
  </si>
  <si>
    <t>4 (69.7), 5 (50.2)</t>
  </si>
  <si>
    <t>8 (183), 10 (367)</t>
  </si>
  <si>
    <t>10 (367), 9 (183)</t>
  </si>
  <si>
    <t>NH</t>
  </si>
  <si>
    <t>Merrimack</t>
  </si>
  <si>
    <t>CS001</t>
  </si>
  <si>
    <t>ARP, MATS, NHNOX, RGGI</t>
  </si>
  <si>
    <t>Merrimack County</t>
  </si>
  <si>
    <t>NH013</t>
  </si>
  <si>
    <t>GSP Merrimack LLC (Owner),GSP Merrimack LLC (Operator)</t>
  </si>
  <si>
    <t>2 (345.6)</t>
  </si>
  <si>
    <t>Schiller</t>
  </si>
  <si>
    <t>Rockingham County</t>
  </si>
  <si>
    <t>NH015</t>
  </si>
  <si>
    <t>GSP Schiller LLC (Owner),GSP Schiller LLC (Operator)</t>
  </si>
  <si>
    <t>Selective Non-catalytic Reduction,Low NOx Burner Technology w/ Overfire Air</t>
  </si>
  <si>
    <t>Halogenated PAC Sorbent Injection,Sodium Based</t>
  </si>
  <si>
    <t>4 (50)</t>
  </si>
  <si>
    <t>ARP, NHNOX, RGGI</t>
  </si>
  <si>
    <t>Coal, Pipeline Natural Gas</t>
  </si>
  <si>
    <t>5 (50)</t>
  </si>
  <si>
    <t>6 (50)</t>
  </si>
  <si>
    <t>NJ</t>
  </si>
  <si>
    <t>Carlls Corner Energy Center</t>
  </si>
  <si>
    <t>NJ011</t>
  </si>
  <si>
    <t>Calpine New Jersey Generation, LLC (Owner),Calpine Operating Services Company, Inc. (Operator)</t>
  </si>
  <si>
    <t>CA1 (41.9)</t>
  </si>
  <si>
    <t>CA2 (41.9)</t>
  </si>
  <si>
    <t>Sayreville</t>
  </si>
  <si>
    <t>NJ023</t>
  </si>
  <si>
    <t>Sayreville Power, LLC (Owner),Sayreville Power, LLC (Operator)</t>
  </si>
  <si>
    <t>GT4 (53)</t>
  </si>
  <si>
    <t>GT3 (53)</t>
  </si>
  <si>
    <t>GT2 (53)</t>
  </si>
  <si>
    <t>GT1 (53)</t>
  </si>
  <si>
    <t>Gilbert Generating Station</t>
  </si>
  <si>
    <t>Hunterdon County</t>
  </si>
  <si>
    <t>NJ019</t>
  </si>
  <si>
    <t>Gilbert Power, LLC (Owner),Gilbert Power, LLC (Operator)</t>
  </si>
  <si>
    <t>8 (135), 4 (53.7)</t>
  </si>
  <si>
    <t>8 (135), 5 (53.7)</t>
  </si>
  <si>
    <t>6 (53.7), 8 (135)</t>
  </si>
  <si>
    <t>7 (53.7), 8 (135)</t>
  </si>
  <si>
    <t>9 (161)</t>
  </si>
  <si>
    <t>Bergen Generating Station</t>
  </si>
  <si>
    <t>Bergen County</t>
  </si>
  <si>
    <t>NJ003</t>
  </si>
  <si>
    <t>Kindle Energy LLC (Owner),CAMS, LLC (Operator)</t>
  </si>
  <si>
    <t>1 (325.22), 1101 (112.5)</t>
  </si>
  <si>
    <t>1201 (112.5), 1 (325.22)</t>
  </si>
  <si>
    <t>1301 (112.5), 1 (325.22)</t>
  </si>
  <si>
    <t>1 (325.22), 1401 (112.5)</t>
  </si>
  <si>
    <t>2101 (174), 2301 (258.4)</t>
  </si>
  <si>
    <t>2301 (258.4), 2201 (174.2)</t>
  </si>
  <si>
    <t>Burlington Generating Station</t>
  </si>
  <si>
    <t>Burlington County</t>
  </si>
  <si>
    <t>NJ005</t>
  </si>
  <si>
    <t>121 (60.5)</t>
  </si>
  <si>
    <t>122 (60.5)</t>
  </si>
  <si>
    <t>123 (60.5)</t>
  </si>
  <si>
    <t>124 (60.5)</t>
  </si>
  <si>
    <t>Kearny Generating Station</t>
  </si>
  <si>
    <t>Hudson County</t>
  </si>
  <si>
    <t>NJ017</t>
  </si>
  <si>
    <t>N121 (60.5)</t>
  </si>
  <si>
    <t>N122 (60.5)</t>
  </si>
  <si>
    <t>N123 (60.5)</t>
  </si>
  <si>
    <t>N124 (60.5)</t>
  </si>
  <si>
    <t>131 (49)</t>
  </si>
  <si>
    <t>132 (49)</t>
  </si>
  <si>
    <t>133 (49)</t>
  </si>
  <si>
    <t>134 (49)</t>
  </si>
  <si>
    <t>141 (49)</t>
  </si>
  <si>
    <t>142 (49)</t>
  </si>
  <si>
    <t>Linden Generating Station</t>
  </si>
  <si>
    <t>NJ039</t>
  </si>
  <si>
    <t>PSEG Fossil, LLC (Owner),Parkway Generation Operating LLC (Owner),CAMS, LLC (Operator)</t>
  </si>
  <si>
    <t>5 (96.1)</t>
  </si>
  <si>
    <t>6 (96.1)</t>
  </si>
  <si>
    <t>7 (96.1)</t>
  </si>
  <si>
    <t>8 (96.1)</t>
  </si>
  <si>
    <t>1001 (315), 1101 (193)</t>
  </si>
  <si>
    <t>1201 (193), 1001 (315)</t>
  </si>
  <si>
    <t>2101 (193), 2001 (315)</t>
  </si>
  <si>
    <t>2001 (315), 2201 (193)</t>
  </si>
  <si>
    <t>Salem Generating Station</t>
  </si>
  <si>
    <t>Salem County</t>
  </si>
  <si>
    <t>NJ033</t>
  </si>
  <si>
    <t>PSEG Nuclear, LLC (Owner),PSEG Nuclear, LLC (Operator)</t>
  </si>
  <si>
    <t>3 (41.9)</t>
  </si>
  <si>
    <t>Sewaren Generating Station</t>
  </si>
  <si>
    <t>Parkway Generation Sewaren Energy Center LLC (Owner),CAMS, LLC (Operator)</t>
  </si>
  <si>
    <t>702 (287), 701 (430)</t>
  </si>
  <si>
    <t>Howard M Down</t>
  </si>
  <si>
    <t>U11</t>
  </si>
  <si>
    <t>City of Vineland (Owner),City of Vineland (Operator)</t>
  </si>
  <si>
    <t>NM</t>
  </si>
  <si>
    <t>Four Corners Steam Elec Station</t>
  </si>
  <si>
    <t>609434 (Ended Aug 01, 2023), 607445 (Started Aug 01, 2023)</t>
  </si>
  <si>
    <t>San Juan County</t>
  </si>
  <si>
    <t>NM045</t>
  </si>
  <si>
    <t>Arizona Public Service Company (Owner),Public Service Company of New Mexico (Owner),Tucson Electric Power Company (Owner),Salt River Project (Owner),Navajo Transitional Energy Company, LLC (Owner),Arizona Public Service Company (Operator)</t>
  </si>
  <si>
    <t>4 (825)</t>
  </si>
  <si>
    <t>5 (825)</t>
  </si>
  <si>
    <t>Rio Grande</t>
  </si>
  <si>
    <t>Dona Ana County</t>
  </si>
  <si>
    <t>NM013</t>
  </si>
  <si>
    <t>El Paso Electric Company (Owner),El Paso Electric Company (Operator)</t>
  </si>
  <si>
    <t>7 (50)</t>
  </si>
  <si>
    <t>8 (166.5)</t>
  </si>
  <si>
    <t>9 (106)</t>
  </si>
  <si>
    <t>Maddox</t>
  </si>
  <si>
    <t>051B</t>
  </si>
  <si>
    <t>Lea County</t>
  </si>
  <si>
    <t>NM025</t>
  </si>
  <si>
    <t>Southwestern Public Service Company (Owner),Southwestern Public Service Company (Operator)</t>
  </si>
  <si>
    <t>1 (114)</t>
  </si>
  <si>
    <t>Reeves Generating Station</t>
  </si>
  <si>
    <t>Bernalillo County</t>
  </si>
  <si>
    <t>NM001</t>
  </si>
  <si>
    <t>Public Service Company of New Mexico (Owner),Public Service Company of New Mexico (Operator)</t>
  </si>
  <si>
    <t>1 (52)</t>
  </si>
  <si>
    <t>2 (52)</t>
  </si>
  <si>
    <t>Cunningham</t>
  </si>
  <si>
    <t>121B</t>
  </si>
  <si>
    <t>122B</t>
  </si>
  <si>
    <t>2 (190.4)</t>
  </si>
  <si>
    <t>123T</t>
  </si>
  <si>
    <t>3 (126.9)</t>
  </si>
  <si>
    <t>124T</t>
  </si>
  <si>
    <t>4 (126.9)</t>
  </si>
  <si>
    <t>NY</t>
  </si>
  <si>
    <t>Danskammer Generating Station</t>
  </si>
  <si>
    <t>NY071</t>
  </si>
  <si>
    <t>Danskammer Energy, LLC (Owner),Danskammer Energy, LLC (Operator)</t>
  </si>
  <si>
    <t>1 (72)</t>
  </si>
  <si>
    <t>2 (73.5)</t>
  </si>
  <si>
    <t>3 (147.1)</t>
  </si>
  <si>
    <t>4 (239.4)</t>
  </si>
  <si>
    <t>Arthur Kill</t>
  </si>
  <si>
    <t>CS0002</t>
  </si>
  <si>
    <t>Richmond County</t>
  </si>
  <si>
    <t>NY085</t>
  </si>
  <si>
    <t>Arthur Kill Power, LLC (Owner),NRG Energy, Inc (Operator) (Ended Apr 13, 2023),Arthur Kill Operating Services LLC (Operator) (Started Apr 13, 2023)</t>
  </si>
  <si>
    <t>GT1 (16.3), 2 (376.2)</t>
  </si>
  <si>
    <t>3 (535.5)</t>
  </si>
  <si>
    <t>CT0001</t>
  </si>
  <si>
    <t>Arthur Kill Power, LLC (Owner),Arthur Kill Power, LLC (Operator) (Ended Apr 13, 2023),Arthur Kill Operating Services LLC (Operator) (Started Apr 13, 2023)</t>
  </si>
  <si>
    <t>GT1 (16.3)</t>
  </si>
  <si>
    <t>East River</t>
  </si>
  <si>
    <t>New York County</t>
  </si>
  <si>
    <t>NY061</t>
  </si>
  <si>
    <t>Consolidated Edison of New York, Inc. (Owner),Consolidated Edison of New York, Inc. (Operator)</t>
  </si>
  <si>
    <t>Ammonia Injection,Selective Catalytic Reduction</t>
  </si>
  <si>
    <t>2 (180)</t>
  </si>
  <si>
    <t>6 (156.3)</t>
  </si>
  <si>
    <t>7 (200)</t>
  </si>
  <si>
    <t>Gowanus Generating Station</t>
  </si>
  <si>
    <t>CT01-1</t>
  </si>
  <si>
    <t>CP0001</t>
  </si>
  <si>
    <t>Kings County</t>
  </si>
  <si>
    <t>NY047</t>
  </si>
  <si>
    <t>Astoria Generating Company, LP (Owner),Astoria Operating Services, Inc. (Operator)</t>
  </si>
  <si>
    <t>GT11 (20)</t>
  </si>
  <si>
    <t>CT01-2</t>
  </si>
  <si>
    <t>GT12 (20)</t>
  </si>
  <si>
    <t>CT01-3</t>
  </si>
  <si>
    <t>GT13 (20)</t>
  </si>
  <si>
    <t>CT01-4</t>
  </si>
  <si>
    <t>GT14 (20)</t>
  </si>
  <si>
    <t>CT01-5</t>
  </si>
  <si>
    <t>GT15 (20)</t>
  </si>
  <si>
    <t>CT01-6</t>
  </si>
  <si>
    <t>GT16 (20)</t>
  </si>
  <si>
    <t>CT01-7</t>
  </si>
  <si>
    <t>GT17 (20)</t>
  </si>
  <si>
    <t>CT01-8</t>
  </si>
  <si>
    <t>GT18 (20)</t>
  </si>
  <si>
    <t>CT02-1</t>
  </si>
  <si>
    <t>GT21 (20)</t>
  </si>
  <si>
    <t>CT02-2</t>
  </si>
  <si>
    <t>GT22 (20)</t>
  </si>
  <si>
    <t>CT02-3</t>
  </si>
  <si>
    <t>GT23 (20)</t>
  </si>
  <si>
    <t>CT02-4</t>
  </si>
  <si>
    <t>GT24 (20)</t>
  </si>
  <si>
    <t>CT02-5</t>
  </si>
  <si>
    <t>GT25 (20)</t>
  </si>
  <si>
    <t>CT02-6</t>
  </si>
  <si>
    <t>GT26 (20)</t>
  </si>
  <si>
    <t>CT02-7</t>
  </si>
  <si>
    <t>GT27 (20)</t>
  </si>
  <si>
    <t>CT02-8</t>
  </si>
  <si>
    <t>GT28 (20)</t>
  </si>
  <si>
    <t>CT03-1</t>
  </si>
  <si>
    <t>GT31 (20)</t>
  </si>
  <si>
    <t>CT03-2</t>
  </si>
  <si>
    <t>GT32 (20)</t>
  </si>
  <si>
    <t>CT03-3</t>
  </si>
  <si>
    <t>GT33 (20)</t>
  </si>
  <si>
    <t>CT03-4</t>
  </si>
  <si>
    <t>GT34 (20)</t>
  </si>
  <si>
    <t>CT03-5</t>
  </si>
  <si>
    <t>GT35 (20)</t>
  </si>
  <si>
    <t>CT03-6</t>
  </si>
  <si>
    <t>GT36 (20)</t>
  </si>
  <si>
    <t>CT03-7</t>
  </si>
  <si>
    <t>GT37 (20)</t>
  </si>
  <si>
    <t>CT03-8</t>
  </si>
  <si>
    <t>GT38 (20)</t>
  </si>
  <si>
    <t>CT04-1</t>
  </si>
  <si>
    <t>GT41 (20)</t>
  </si>
  <si>
    <t>CT04-2</t>
  </si>
  <si>
    <t>GT42 (20)</t>
  </si>
  <si>
    <t>CT04-3</t>
  </si>
  <si>
    <t>GT43 (20)</t>
  </si>
  <si>
    <t>CT04-4</t>
  </si>
  <si>
    <t>GT44 (20)</t>
  </si>
  <si>
    <t>CT04-5</t>
  </si>
  <si>
    <t>GT45 (20)</t>
  </si>
  <si>
    <t>CT04-6</t>
  </si>
  <si>
    <t>GT46 (20)</t>
  </si>
  <si>
    <t>CT04-7</t>
  </si>
  <si>
    <t>GT47 (20)</t>
  </si>
  <si>
    <t>CT04-8</t>
  </si>
  <si>
    <t>GT48 (20)</t>
  </si>
  <si>
    <t>Narrows Generating Station</t>
  </si>
  <si>
    <t>NT11 (22)</t>
  </si>
  <si>
    <t>NT12 (22)</t>
  </si>
  <si>
    <t>NT13 (22)</t>
  </si>
  <si>
    <t>NT14 (22)</t>
  </si>
  <si>
    <t>NT15 (22)</t>
  </si>
  <si>
    <t>NT16 (22)</t>
  </si>
  <si>
    <t>NT17 (22)</t>
  </si>
  <si>
    <t>NT18 (22)</t>
  </si>
  <si>
    <t>NT21 (22)</t>
  </si>
  <si>
    <t>NT22 (22)</t>
  </si>
  <si>
    <t>NT23 (22)</t>
  </si>
  <si>
    <t>NT24 (22)</t>
  </si>
  <si>
    <t>NT25 (22)</t>
  </si>
  <si>
    <t>NT26 (22)</t>
  </si>
  <si>
    <t>NT27 (22)</t>
  </si>
  <si>
    <t>NT28 (22)</t>
  </si>
  <si>
    <t>Ravenswood Generating Station</t>
  </si>
  <si>
    <t>Queens County</t>
  </si>
  <si>
    <t>NY081</t>
  </si>
  <si>
    <t>Helix Ravenswood, LLC (Owner),Helix Ravenswood, LLC (Operator)</t>
  </si>
  <si>
    <t>1 (400)</t>
  </si>
  <si>
    <t>2 (400)</t>
  </si>
  <si>
    <t>3 (1027.7)</t>
  </si>
  <si>
    <t>GT1 (18.6)</t>
  </si>
  <si>
    <t>CT0010</t>
  </si>
  <si>
    <t>GT10 (25)</t>
  </si>
  <si>
    <t>CT0011</t>
  </si>
  <si>
    <t>GT11 (25)</t>
  </si>
  <si>
    <t>UCC001</t>
  </si>
  <si>
    <t>Dry Low NOx Burners,Ammonia Injection</t>
  </si>
  <si>
    <t>4 (170), 4S (80)</t>
  </si>
  <si>
    <t>74th Street</t>
  </si>
  <si>
    <t>ARP, SIPNOX</t>
  </si>
  <si>
    <t>11 (35)</t>
  </si>
  <si>
    <t>CT0002</t>
  </si>
  <si>
    <t>GT2 (18.6)</t>
  </si>
  <si>
    <t>E F Barrett</t>
  </si>
  <si>
    <t>Nassau County</t>
  </si>
  <si>
    <t>NY059</t>
  </si>
  <si>
    <t>National Grid Generation LLC (Owner),National Grid Generation LLC (Operator)</t>
  </si>
  <si>
    <t>ST1 (175)</t>
  </si>
  <si>
    <t>ST2 (175)</t>
  </si>
  <si>
    <t>U00004</t>
  </si>
  <si>
    <t>GT1 (18)</t>
  </si>
  <si>
    <t>U00005</t>
  </si>
  <si>
    <t>GT2 (18)</t>
  </si>
  <si>
    <t>U00006</t>
  </si>
  <si>
    <t>3 (18)</t>
  </si>
  <si>
    <t>U00007</t>
  </si>
  <si>
    <t>4 (18)</t>
  </si>
  <si>
    <t>U00008</t>
  </si>
  <si>
    <t>5 (18)</t>
  </si>
  <si>
    <t>U00009</t>
  </si>
  <si>
    <t>6 (18)</t>
  </si>
  <si>
    <t>U00011</t>
  </si>
  <si>
    <t>8 (18)</t>
  </si>
  <si>
    <t>U00012</t>
  </si>
  <si>
    <t>9 (41.9)</t>
  </si>
  <si>
    <t>U00013</t>
  </si>
  <si>
    <t>U00014</t>
  </si>
  <si>
    <t>10 (41.9)</t>
  </si>
  <si>
    <t>U00015</t>
  </si>
  <si>
    <t>U00016</t>
  </si>
  <si>
    <t>U00017</t>
  </si>
  <si>
    <t>U00018</t>
  </si>
  <si>
    <t>U00019</t>
  </si>
  <si>
    <t>Glenwood</t>
  </si>
  <si>
    <t>U00020</t>
  </si>
  <si>
    <t>GT2 (55)</t>
  </si>
  <si>
    <t>U00021</t>
  </si>
  <si>
    <t>GT3 (55)</t>
  </si>
  <si>
    <t>Northport</t>
  </si>
  <si>
    <t>Suffolk County</t>
  </si>
  <si>
    <t>NY103</t>
  </si>
  <si>
    <t>Overfire Air,Low NOx Burner Technology w/ Separated OFA</t>
  </si>
  <si>
    <t>ST1 (387)</t>
  </si>
  <si>
    <t>2 (387)</t>
  </si>
  <si>
    <t>3 (387)</t>
  </si>
  <si>
    <t>4 (387)</t>
  </si>
  <si>
    <t>UGT001</t>
  </si>
  <si>
    <t>GT1 (16)</t>
  </si>
  <si>
    <t>Port Jefferson Energy Center</t>
  </si>
  <si>
    <t>3 (188)</t>
  </si>
  <si>
    <t>4 (188)</t>
  </si>
  <si>
    <t>UGT002</t>
  </si>
  <si>
    <t>National Grid Port Jefferson Energy Center LLC (Owner),National Grid Port Jefferson Energy Center LLC (Operator)</t>
  </si>
  <si>
    <t>UGT003</t>
  </si>
  <si>
    <t>West Babylon Facility</t>
  </si>
  <si>
    <t>4 (52.4)</t>
  </si>
  <si>
    <t>Greenidge Generation LLC</t>
  </si>
  <si>
    <t>Yates County</t>
  </si>
  <si>
    <t>NY123</t>
  </si>
  <si>
    <t>Greenidge Generation LLC (Owner),Greenidge Generation LLC (Operator)</t>
  </si>
  <si>
    <t>Low NOx Burner Technology w/ Closed-coupled OFA,Selective Catalytic Reduction</t>
  </si>
  <si>
    <t>4 (105.9)</t>
  </si>
  <si>
    <t>Bethlehem Energy Center (Albany)</t>
  </si>
  <si>
    <t>Albany County</t>
  </si>
  <si>
    <t>NY001</t>
  </si>
  <si>
    <t>PSEG Power New York, Inc. (Owner) (Ended Apr 13, 2023),GB II New York LLC (Owner) (Started Apr 13, 2023),PSEG Power New York, Inc. (Operator) (Ended Apr 13, 2023),Consolidated Asset Management Services, LLC (Operator) (Started Apr 13, 2023)</t>
  </si>
  <si>
    <t>5 (194), 8 (310)</t>
  </si>
  <si>
    <t>8 (310), 6 (194)</t>
  </si>
  <si>
    <t>8 (310), 7 (194)</t>
  </si>
  <si>
    <t>Oswego Harbor Power</t>
  </si>
  <si>
    <t>Oswego County</t>
  </si>
  <si>
    <t>NY075</t>
  </si>
  <si>
    <t>Oswego Harbor Power, LLC (Owner),Oswego Harbor Power, LLC (Operator) (Ended Apr 13, 2023),Consolidated Asset Management Services, LLC (Operator) (Started Apr 13, 2023)</t>
  </si>
  <si>
    <t>ST5 (902)</t>
  </si>
  <si>
    <t>ST6 (902)</t>
  </si>
  <si>
    <t>Bowline Generating Station</t>
  </si>
  <si>
    <t>1427 (Ended Dec 22, 2023), 609131 (Started Dec 22, 2023)</t>
  </si>
  <si>
    <t>Rockland County</t>
  </si>
  <si>
    <t>NY087</t>
  </si>
  <si>
    <t>GenOn Bowline, LLC (Owner),Bowline Generating Station, LLC (Owner) (Started Dec 22, 2023),GenOn Bowline, LLC (Operator) (Ended Dec 22, 2023),Bowline Generating Station, LLC (Operator) (Started Dec 22, 2023)</t>
  </si>
  <si>
    <t>1 (640)</t>
  </si>
  <si>
    <t>2 (640)</t>
  </si>
  <si>
    <t>Hillburn</t>
  </si>
  <si>
    <t>AER NY-GEN, LLC (Owner),AER NY-GEN, LLC (Operator)</t>
  </si>
  <si>
    <t>GEN1 (46.5)</t>
  </si>
  <si>
    <t>Shoemaker</t>
  </si>
  <si>
    <t>SHOE (41.9)</t>
  </si>
  <si>
    <t>Freeport Power Plant No. 2</t>
  </si>
  <si>
    <t>606228 (Ended Dec 19, 2023), 605682 (Started Dec 19, 2023)</t>
  </si>
  <si>
    <t>Incorporated Village of Freeport (Owner),Incorporated Village of Freeport (Operator)</t>
  </si>
  <si>
    <t>CT5 (50)</t>
  </si>
  <si>
    <t>RGGI</t>
  </si>
  <si>
    <t>3 (18.2)</t>
  </si>
  <si>
    <t>S A Carlson</t>
  </si>
  <si>
    <t>Chautauqua County</t>
  </si>
  <si>
    <t>NY013</t>
  </si>
  <si>
    <t>Jamestown Board of Public Utilities (Owner),Jamestown Board of Public Utilities (Operator)</t>
  </si>
  <si>
    <t>5 (30.5), 6 (27.2)</t>
  </si>
  <si>
    <t>6 (27.2), 5 (30.5)</t>
  </si>
  <si>
    <t>7 (47.3), 5 (30.5), 6 (27.2)</t>
  </si>
  <si>
    <t>Asheville</t>
  </si>
  <si>
    <t>ARP, CSNOX, CSSO2G1, SIPNOX</t>
  </si>
  <si>
    <t>609197 (Ended Feb 24, 2023), 608414 (Started Feb 24, 2023)</t>
  </si>
  <si>
    <t>Buncombe County</t>
  </si>
  <si>
    <t>NC021</t>
  </si>
  <si>
    <t>Duke Energy Progress, LLC (Owner),Duke Energy Progress, LLC (Operator)</t>
  </si>
  <si>
    <t>GT1 (211.7)</t>
  </si>
  <si>
    <t>GT2 (211.8)</t>
  </si>
  <si>
    <t>ARP, CSNOX, CSSO2G1</t>
  </si>
  <si>
    <t>CT5 (191.2), ST6 (102)</t>
  </si>
  <si>
    <t>CT7 (191.2), ST8 (102)</t>
  </si>
  <si>
    <t>Blewett</t>
  </si>
  <si>
    <t>Anson County</t>
  </si>
  <si>
    <t>NC007</t>
  </si>
  <si>
    <t>Duke Energy Progress, Inc. (Owner),Duke Energy Progress, Inc. (Operator)</t>
  </si>
  <si>
    <t>GT1 (17.5)</t>
  </si>
  <si>
    <t>GT2 (17.5)</t>
  </si>
  <si>
    <t>GT3 (17.5)</t>
  </si>
  <si>
    <t>GT4 (17.5)</t>
  </si>
  <si>
    <t>H F Lee Steam Electric Plant</t>
  </si>
  <si>
    <t>NC191</t>
  </si>
  <si>
    <t>GT5 (211.8)</t>
  </si>
  <si>
    <t>GT6 (211.8)</t>
  </si>
  <si>
    <t>GT7 (211.8)</t>
  </si>
  <si>
    <t>GT8 (211.8)</t>
  </si>
  <si>
    <t>GT9 (211.8)</t>
  </si>
  <si>
    <t>01A</t>
  </si>
  <si>
    <t>1A (180), ST1 (380)</t>
  </si>
  <si>
    <t>01B</t>
  </si>
  <si>
    <t>ST1 (380), 1B (180)</t>
  </si>
  <si>
    <t>01C</t>
  </si>
  <si>
    <t>ST1 (380), 1C (180)</t>
  </si>
  <si>
    <t>Roxboro</t>
  </si>
  <si>
    <t>ARP, CSNOX, CSSO2G1, MATS, SIPNOX</t>
  </si>
  <si>
    <t>Person County</t>
  </si>
  <si>
    <t>NC145</t>
  </si>
  <si>
    <t>1 (410.9)</t>
  </si>
  <si>
    <t>Low NOx Burner Technology w/ Separated OFA,Overfire Air,Selective Catalytic Reduction</t>
  </si>
  <si>
    <t>2 (657)</t>
  </si>
  <si>
    <t>CS003A</t>
  </si>
  <si>
    <t>Low NOx Burner Technology (Dry Bottom only),Overfire Air,Selective Catalytic Reduction</t>
  </si>
  <si>
    <t>3 (745.2)</t>
  </si>
  <si>
    <t>CS004A</t>
  </si>
  <si>
    <t>NC Eastern Municipal Power Agency (Owner),Duke Energy Progress, LLC (Owner),Duke Energy Progress, LLC (Operator)</t>
  </si>
  <si>
    <t>4 (745.2)</t>
  </si>
  <si>
    <t>L V Sutton</t>
  </si>
  <si>
    <t>New Hanover County</t>
  </si>
  <si>
    <t>NC129</t>
  </si>
  <si>
    <t>4 (45)</t>
  </si>
  <si>
    <t>5 (45)</t>
  </si>
  <si>
    <t>CA1 (288), CT1 (181)</t>
  </si>
  <si>
    <t>CT2 (181), CA1 (288)</t>
  </si>
  <si>
    <t>W H Weatherspoon</t>
  </si>
  <si>
    <t>609197 (Ended May 02, 2023), 608414 (Started May 02, 2023)</t>
  </si>
  <si>
    <t>Robeson County</t>
  </si>
  <si>
    <t>NC155</t>
  </si>
  <si>
    <t>GT1 (39.7)</t>
  </si>
  <si>
    <t>GT2 (39.7)</t>
  </si>
  <si>
    <t>GT3 (48.6)</t>
  </si>
  <si>
    <t>GT4 (48.6)</t>
  </si>
  <si>
    <t>G G Allen</t>
  </si>
  <si>
    <t>CS125</t>
  </si>
  <si>
    <t>Gaston County</t>
  </si>
  <si>
    <t>NC071</t>
  </si>
  <si>
    <t>Duke Energy Carolinas, LLC (Owner),Duke Energy Carolinas, LLC (Operator)</t>
  </si>
  <si>
    <t>Low NOx Burner Technology w/ Closed-coupled/Separated OFA,Selective Non-catalytic Reduction</t>
  </si>
  <si>
    <t>1 (165)</t>
  </si>
  <si>
    <t>5 (275)</t>
  </si>
  <si>
    <t>Buck</t>
  </si>
  <si>
    <t>11C</t>
  </si>
  <si>
    <t>Rowan County</t>
  </si>
  <si>
    <t>NC159</t>
  </si>
  <si>
    <t>ST10 (320.5), CT11 (171.5)</t>
  </si>
  <si>
    <t>12C</t>
  </si>
  <si>
    <t>CT12 (171.5), ST10 (320.5)</t>
  </si>
  <si>
    <t>Cliffside</t>
  </si>
  <si>
    <t>Cleveland County</t>
  </si>
  <si>
    <t>NC045</t>
  </si>
  <si>
    <t>5 (570.9)</t>
  </si>
  <si>
    <t>6 (905)</t>
  </si>
  <si>
    <t>Dan River</t>
  </si>
  <si>
    <t>NC157</t>
  </si>
  <si>
    <t>CT8 (171.5), ST7 (320.5)</t>
  </si>
  <si>
    <t>9C</t>
  </si>
  <si>
    <t>ST7 (320.5), CT9 (171.5)</t>
  </si>
  <si>
    <t>Marshall</t>
  </si>
  <si>
    <t>Catawba County</t>
  </si>
  <si>
    <t>NC035</t>
  </si>
  <si>
    <t>1 (350)</t>
  </si>
  <si>
    <t>2 (350)</t>
  </si>
  <si>
    <t>Diesel Oil, Other Oil, Pipeline Natural Gas</t>
  </si>
  <si>
    <t>3 (648)</t>
  </si>
  <si>
    <t>4 (648)</t>
  </si>
  <si>
    <t>ND</t>
  </si>
  <si>
    <t>R M Heskett</t>
  </si>
  <si>
    <t>Morton County</t>
  </si>
  <si>
    <t>ND059</t>
  </si>
  <si>
    <t>3 (88)</t>
  </si>
  <si>
    <t>Leland Olds</t>
  </si>
  <si>
    <t>ND057</t>
  </si>
  <si>
    <t>Basin Electric Power Cooperative (Owner),Basin Electric Power Cooperative (Operator)</t>
  </si>
  <si>
    <t>Low NOx Burner Technology (Dry Bottom only),Overfire Air,Selective Non-catalytic Reduction</t>
  </si>
  <si>
    <t>1 (216)</t>
  </si>
  <si>
    <t>2 (440)</t>
  </si>
  <si>
    <t>Milton R Young</t>
  </si>
  <si>
    <t>Oliver County</t>
  </si>
  <si>
    <t>ND065</t>
  </si>
  <si>
    <t>Minnkota Power Cooperative, Inc. (Owner),Minnkota Power Cooperative, Inc. (Operator)</t>
  </si>
  <si>
    <t>1 (270)</t>
  </si>
  <si>
    <t>Square Butte Electric Cooperative (Owner),Minnkota Power Cooperative, Inc. (Operator)</t>
  </si>
  <si>
    <t>Dual Alkali,Wet Lime FGD</t>
  </si>
  <si>
    <t>2 (518)</t>
  </si>
  <si>
    <t>OH</t>
  </si>
  <si>
    <t>Cardinal</t>
  </si>
  <si>
    <t>OH081</t>
  </si>
  <si>
    <t>AEP Generation Resources, Inc. (Owner),Cardinal Operating Company (Operator)</t>
  </si>
  <si>
    <t>1 (615.2)</t>
  </si>
  <si>
    <t>Buckeye Power, Inc. (Owner),Cardinal Operating Company (Operator)</t>
  </si>
  <si>
    <t>2 (615.2)</t>
  </si>
  <si>
    <t>3 (650)</t>
  </si>
  <si>
    <t>Dicks Creek Power Company LLC</t>
  </si>
  <si>
    <t>Butler County</t>
  </si>
  <si>
    <t>OH017</t>
  </si>
  <si>
    <t>Dicks Creek Power Company LLC (Owner),Dicks Creek Power Company LLC (Operator)</t>
  </si>
  <si>
    <t>Miami Fort Power Station</t>
  </si>
  <si>
    <t>OH061</t>
  </si>
  <si>
    <t>Miami Fort Power Company LLC (Owner),Miami Fort Power Company LLC (Operator)</t>
  </si>
  <si>
    <t>6 (168)</t>
  </si>
  <si>
    <t>7 (512)</t>
  </si>
  <si>
    <t>Selective Catalytic Reduction,Low NOx Burner Technology (Dry Bottom only),Low NOx Cell Burner</t>
  </si>
  <si>
    <t>8 (512)</t>
  </si>
  <si>
    <t>Frank M Tait Station</t>
  </si>
  <si>
    <t>OH113</t>
  </si>
  <si>
    <t>Tait Electric Generating Station, LLC (Owner),Tait Electric Generating Station, LLC (Operator)</t>
  </si>
  <si>
    <t>GT1 (103.5)</t>
  </si>
  <si>
    <t>GT2 (106.1)</t>
  </si>
  <si>
    <t>O H Hutchings</t>
  </si>
  <si>
    <t>H-7</t>
  </si>
  <si>
    <t>O.H. Hutchings CT, LLC (Owner),O.H. Hutchings CT, LLC (Operator)</t>
  </si>
  <si>
    <t>7 (32.6)</t>
  </si>
  <si>
    <t>Niles</t>
  </si>
  <si>
    <t>CTA</t>
  </si>
  <si>
    <t>Trumbull County</t>
  </si>
  <si>
    <t>OH155</t>
  </si>
  <si>
    <t>Niles Power, LLC (Owner),Niles Power, LLC (Operator)</t>
  </si>
  <si>
    <t>W H Sammis</t>
  </si>
  <si>
    <t>CSA, CSB</t>
  </si>
  <si>
    <t>606947 (Ended Oct 12, 2023), 609474 (Started Oct 12, 2023)</t>
  </si>
  <si>
    <t>FirstEnergy Generation, LLC (Owner),FirstEnergy Generation, LLC (Operator)</t>
  </si>
  <si>
    <t>Operating (Retired 05/31/2023)</t>
  </si>
  <si>
    <t>5 (334.1)</t>
  </si>
  <si>
    <t>6 (680)</t>
  </si>
  <si>
    <t>7 (680)</t>
  </si>
  <si>
    <t>West Lorain</t>
  </si>
  <si>
    <t>609990 (Ended Apr 12, 2023), 609482 (Started Apr 12, 2023)</t>
  </si>
  <si>
    <t>Lorain County</t>
  </si>
  <si>
    <t>OH093</t>
  </si>
  <si>
    <t>Vermillion Power, LLC (Owner),Vermillion Power, LLC (Operator)</t>
  </si>
  <si>
    <t>2 (85)</t>
  </si>
  <si>
    <t>3 (85)</t>
  </si>
  <si>
    <t>4 (85)</t>
  </si>
  <si>
    <t>6 (85)</t>
  </si>
  <si>
    <t>1A (65.3)</t>
  </si>
  <si>
    <t>1B (65.3)</t>
  </si>
  <si>
    <t>Kyger Creek</t>
  </si>
  <si>
    <t>Gallia County</t>
  </si>
  <si>
    <t>OH053</t>
  </si>
  <si>
    <t>Ohio Valley Electric Corporation (Owner),Ohio Valley Electric Corporation (Operator)</t>
  </si>
  <si>
    <t>CS35</t>
  </si>
  <si>
    <t>Bay Shore</t>
  </si>
  <si>
    <t>605863 (Ended Apr 11, 2023), 609193 (Started Apr 11, 2023)(Ended Apr 11, 2023), 610326 (Started Apr 11, 2023)</t>
  </si>
  <si>
    <t>Lucas County</t>
  </si>
  <si>
    <t>OH095</t>
  </si>
  <si>
    <t>Walleye Power, LLC (Owner),Walleye Power, LLC (Operator)</t>
  </si>
  <si>
    <t>Petroleum Coke</t>
  </si>
  <si>
    <t>1 (140.6)</t>
  </si>
  <si>
    <t>Richland Peaking Station</t>
  </si>
  <si>
    <t>CTG4</t>
  </si>
  <si>
    <t>Defiance County</t>
  </si>
  <si>
    <t>OH039</t>
  </si>
  <si>
    <t>Richland-Stryker Generation LLC (Owner),Richland-Stryker Generation LLC (Operator)</t>
  </si>
  <si>
    <t>4 (130)</t>
  </si>
  <si>
    <t>CTG5</t>
  </si>
  <si>
    <t>5 (130)</t>
  </si>
  <si>
    <t>CTG6</t>
  </si>
  <si>
    <t>6 (130)</t>
  </si>
  <si>
    <t>Horseshoe Lake</t>
  </si>
  <si>
    <t>Oklahoma County</t>
  </si>
  <si>
    <t>OK109</t>
  </si>
  <si>
    <t>Oklahoma Gas &amp; Electric Company (Owner),Oklahoma Gas &amp; Electric Company (Operator)</t>
  </si>
  <si>
    <t>6 (163)</t>
  </si>
  <si>
    <t>GT7 (27), ST7 (219)</t>
  </si>
  <si>
    <t>8 (442)</t>
  </si>
  <si>
    <t>9 (60.5)</t>
  </si>
  <si>
    <t>10 (60.5)</t>
  </si>
  <si>
    <t>Muskogee</t>
  </si>
  <si>
    <t>Muskogee County</t>
  </si>
  <si>
    <t>OK101</t>
  </si>
  <si>
    <t>4 (572)</t>
  </si>
  <si>
    <t>5 (572)</t>
  </si>
  <si>
    <t>6 (572)</t>
  </si>
  <si>
    <t>Mustang</t>
  </si>
  <si>
    <t>T10</t>
  </si>
  <si>
    <t>Canadian County</t>
  </si>
  <si>
    <t>OK017</t>
  </si>
  <si>
    <t>GT5 (60)</t>
  </si>
  <si>
    <t>T11</t>
  </si>
  <si>
    <t>GT6 (60)</t>
  </si>
  <si>
    <t>T12</t>
  </si>
  <si>
    <t>GT7 (60)</t>
  </si>
  <si>
    <t>T6</t>
  </si>
  <si>
    <t>GT1 (60)</t>
  </si>
  <si>
    <t>T7</t>
  </si>
  <si>
    <t>GT2 (60)</t>
  </si>
  <si>
    <t>T8</t>
  </si>
  <si>
    <t>GT3 (60)</t>
  </si>
  <si>
    <t>T9</t>
  </si>
  <si>
    <t>GT4 (60)</t>
  </si>
  <si>
    <t>Seminole (2956)</t>
  </si>
  <si>
    <t>Seminole County</t>
  </si>
  <si>
    <t>OK133</t>
  </si>
  <si>
    <t>1 (567)</t>
  </si>
  <si>
    <t>2 (567)</t>
  </si>
  <si>
    <t>3 (567)</t>
  </si>
  <si>
    <t>Northeastern</t>
  </si>
  <si>
    <t>Rogers County</t>
  </si>
  <si>
    <t>OK131</t>
  </si>
  <si>
    <t>Public Service Company of Oklahoma (Owner),Public Service Company of Oklahoma (Operator)</t>
  </si>
  <si>
    <t>2 (441.8)</t>
  </si>
  <si>
    <t>Overfire Air,Low NOx Burner Technology w/ Closed-coupled OFA</t>
  </si>
  <si>
    <t>3 (441.2)</t>
  </si>
  <si>
    <t>3301A</t>
  </si>
  <si>
    <t>1A (178.5), 1 (170)</t>
  </si>
  <si>
    <t>3301B</t>
  </si>
  <si>
    <t>1B (178.5), 1 (170)</t>
  </si>
  <si>
    <t>Southwestern</t>
  </si>
  <si>
    <t>Caddo County</t>
  </si>
  <si>
    <t>OK015</t>
  </si>
  <si>
    <t>2 (80.3)</t>
  </si>
  <si>
    <t>Low NOx Cell Burner,Overfire Air</t>
  </si>
  <si>
    <t>3 (332)</t>
  </si>
  <si>
    <t>4 (89)</t>
  </si>
  <si>
    <t>5 (89)</t>
  </si>
  <si>
    <t>801N</t>
  </si>
  <si>
    <t>1 (84)</t>
  </si>
  <si>
    <t>801S</t>
  </si>
  <si>
    <t>Tulsa</t>
  </si>
  <si>
    <t>Tulsa County</t>
  </si>
  <si>
    <t>OK143</t>
  </si>
  <si>
    <t>2 (170)</t>
  </si>
  <si>
    <t>4 (170)</t>
  </si>
  <si>
    <t>Anadarko</t>
  </si>
  <si>
    <t>Western Farmers Electric Cooperative, Inc. (Owner),Western Farmers Electric Cooperative, Inc. (Operator)</t>
  </si>
  <si>
    <t>3 (44)</t>
  </si>
  <si>
    <t>7 (45)</t>
  </si>
  <si>
    <t>8 (45)</t>
  </si>
  <si>
    <t>9 (45)</t>
  </si>
  <si>
    <t>10 (45)</t>
  </si>
  <si>
    <t>11 (45)</t>
  </si>
  <si>
    <t>Mooreland</t>
  </si>
  <si>
    <t>Woodward County</t>
  </si>
  <si>
    <t>OK153</t>
  </si>
  <si>
    <t>1 (44)</t>
  </si>
  <si>
    <t>2 (125)</t>
  </si>
  <si>
    <t>Other,Overfire Air</t>
  </si>
  <si>
    <t>3 (135)</t>
  </si>
  <si>
    <t>PA</t>
  </si>
  <si>
    <t>Brunot Island Power Station</t>
  </si>
  <si>
    <t>Allegheny County</t>
  </si>
  <si>
    <t>PA003</t>
  </si>
  <si>
    <t>Brunot Island Power, LLC (Owner),Brunot Island Power, LLC (Operator)</t>
  </si>
  <si>
    <t>3 (65.3), ST4 (136.9)</t>
  </si>
  <si>
    <t>1A (24.3)</t>
  </si>
  <si>
    <t>2A (65.3), ST4 (136.9)</t>
  </si>
  <si>
    <t>ST4 (136.9), 2B (65.3)</t>
  </si>
  <si>
    <t>Mountain</t>
  </si>
  <si>
    <t>PA041</t>
  </si>
  <si>
    <t>Mountain Power, LLC (Owner),Mountain Power, LLC (Operator)</t>
  </si>
  <si>
    <t>1 (26.6)</t>
  </si>
  <si>
    <t>2 (26.6)</t>
  </si>
  <si>
    <t>Portland</t>
  </si>
  <si>
    <t>Northampton County</t>
  </si>
  <si>
    <t>PA095</t>
  </si>
  <si>
    <t>Portland Power, LLC (Owner),Portland Power, LLC (Operator)</t>
  </si>
  <si>
    <t>5 (156)</t>
  </si>
  <si>
    <t>Tolna</t>
  </si>
  <si>
    <t>York County</t>
  </si>
  <si>
    <t>PA133</t>
  </si>
  <si>
    <t>Tolna Power, LLC (Owner),Tolna Power, LLC (Operator)</t>
  </si>
  <si>
    <t>Conemaugh</t>
  </si>
  <si>
    <t>Indiana County</t>
  </si>
  <si>
    <t>PA063</t>
  </si>
  <si>
    <t>Conemaugh Power LLC (Owner),Chief Conemaugh Power, LLC (Owner),Montour, LLC (Owner),Conemaugh Power Pass-Through Holders LLC (Owner),Chief Conemaugh Power II, LLC (Owner),KeyCon Operating, LLC (Operator)</t>
  </si>
  <si>
    <t>1 (936)</t>
  </si>
  <si>
    <t>2 (936)</t>
  </si>
  <si>
    <t>Homer City</t>
  </si>
  <si>
    <t>609375 (Ended Dec 04, 2023), 602170 (Started Dec 04, 2023)</t>
  </si>
  <si>
    <t>Homer City Generation LP (Owner),NRG Homer City Services LLC (Operator)</t>
  </si>
  <si>
    <t>Operating (Retired 07/01/2023)</t>
  </si>
  <si>
    <t>1 (660)</t>
  </si>
  <si>
    <t>2 (660)</t>
  </si>
  <si>
    <t>3 (692)</t>
  </si>
  <si>
    <t>Seward</t>
  </si>
  <si>
    <t>Seward Generation, LLC (Owner),Seward Generation, LLC (Operator)</t>
  </si>
  <si>
    <t>Coal Refuse</t>
  </si>
  <si>
    <t>FB1 (585)</t>
  </si>
  <si>
    <t>Shawville</t>
  </si>
  <si>
    <t>Clearfield County</t>
  </si>
  <si>
    <t>PA033</t>
  </si>
  <si>
    <t>Shawville Power, LLC (Owner),Shawville Power, LLC (Operator)</t>
  </si>
  <si>
    <t>1 (125)</t>
  </si>
  <si>
    <t>3 (187.5)</t>
  </si>
  <si>
    <t>4 (187.5)</t>
  </si>
  <si>
    <t>Warren</t>
  </si>
  <si>
    <t>PA123</t>
  </si>
  <si>
    <t>Warren Generation, LLC (Owner),Warren Generation, LLC (Operator)</t>
  </si>
  <si>
    <t>3 (53)</t>
  </si>
  <si>
    <t>Keystone</t>
  </si>
  <si>
    <t>Armstrong County</t>
  </si>
  <si>
    <t>PA005</t>
  </si>
  <si>
    <t>Keystone Power LLC (Owner),Chief Keystone Power, LLC (Owner),Montour, LLC (Owner),Keystone Power Pass-Through Holders LLC (Owner),Chief Keystone Power II, LLC (Owner),Keystone Operating, LLC (Operator)</t>
  </si>
  <si>
    <t>New Castle</t>
  </si>
  <si>
    <t>PA073</t>
  </si>
  <si>
    <t>New Castle Power, LLC (Owner),New Castle Power, LLC (Operator)</t>
  </si>
  <si>
    <t>3 (97.8)</t>
  </si>
  <si>
    <t>4 (113.6)</t>
  </si>
  <si>
    <t>5 (136)</t>
  </si>
  <si>
    <t>Brunner Island, LLC</t>
  </si>
  <si>
    <t>CS102F</t>
  </si>
  <si>
    <t>Brunner Island, LLC (Owner),Brunner Island, LLC (Operator)</t>
  </si>
  <si>
    <t>Natural Gas, Other Oil, Pipeline Natural Gas</t>
  </si>
  <si>
    <t>1 (363.3)</t>
  </si>
  <si>
    <t>2 (405)</t>
  </si>
  <si>
    <t>3 (790.4)</t>
  </si>
  <si>
    <t>Martins Creek, LLC</t>
  </si>
  <si>
    <t>MC Project Company LLC (Owner),Martins Creek SES (Operator)</t>
  </si>
  <si>
    <t>3 (850.5)</t>
  </si>
  <si>
    <t>4 (850.5)</t>
  </si>
  <si>
    <t>Montour, LLC</t>
  </si>
  <si>
    <t>Montour County</t>
  </si>
  <si>
    <t>PA093</t>
  </si>
  <si>
    <t>Montour, LLC (Owner),Montour, LLC (Operator)</t>
  </si>
  <si>
    <t>Natural Gas, Other Oil</t>
  </si>
  <si>
    <t>1 (805.5)</t>
  </si>
  <si>
    <t>2 (819)</t>
  </si>
  <si>
    <t>Eddystone Generating Station</t>
  </si>
  <si>
    <t>CS034</t>
  </si>
  <si>
    <t>Delaware County</t>
  </si>
  <si>
    <t>PA045</t>
  </si>
  <si>
    <t>3 (395)</t>
  </si>
  <si>
    <t>4 (395)</t>
  </si>
  <si>
    <t>Richmond</t>
  </si>
  <si>
    <t>Philadelphia County</t>
  </si>
  <si>
    <t>PA101</t>
  </si>
  <si>
    <t>91 (50)</t>
  </si>
  <si>
    <t>92 (50)</t>
  </si>
  <si>
    <t>Hunlock Creek Energy Center</t>
  </si>
  <si>
    <t>Luzerne County</t>
  </si>
  <si>
    <t>PA079</t>
  </si>
  <si>
    <t>UGI Development Company (Owner),UGI Development Company (Operator)</t>
  </si>
  <si>
    <t>5 (50), 3 (50)</t>
  </si>
  <si>
    <t>6 (50), 3 (50)</t>
  </si>
  <si>
    <t>RI</t>
  </si>
  <si>
    <t>Manchester Street Station</t>
  </si>
  <si>
    <t>Providence County</t>
  </si>
  <si>
    <t>RI007</t>
  </si>
  <si>
    <t>Manchester Street, LLC (Owner),Manchester Street, LLC (Operator)</t>
  </si>
  <si>
    <t>Dry Low NOx Burners,Selective Catalytic Reduction,Steam Injection</t>
  </si>
  <si>
    <t>GE9A (125), GEN9 (46)</t>
  </si>
  <si>
    <t>G10A (125), GE10 (48)</t>
  </si>
  <si>
    <t>G11A (125), GE11 (46)</t>
  </si>
  <si>
    <t>Darlington County</t>
  </si>
  <si>
    <t>ARP, CSNOX, CSSO2G2, SIPNOX</t>
  </si>
  <si>
    <t>SC031</t>
  </si>
  <si>
    <t>12 (158)</t>
  </si>
  <si>
    <t>13 (158)</t>
  </si>
  <si>
    <t>W S Lee</t>
  </si>
  <si>
    <t>Anderson County</t>
  </si>
  <si>
    <t>SC007</t>
  </si>
  <si>
    <t>Duke Energy Carolinas, LLC (Owner),NC Electric Membership Corporation (Owner),Duke Energy Carolinas, LLC (Operator)</t>
  </si>
  <si>
    <t>CT11 (243), ST10 (362)</t>
  </si>
  <si>
    <t>ST10 (362), CT12 (243)</t>
  </si>
  <si>
    <t>7C</t>
  </si>
  <si>
    <t>7 (41)</t>
  </si>
  <si>
    <t>8 (41)</t>
  </si>
  <si>
    <t>Hagood</t>
  </si>
  <si>
    <t>HAG4</t>
  </si>
  <si>
    <t>Charleston County</t>
  </si>
  <si>
    <t>SC019</t>
  </si>
  <si>
    <t>South Carolina Electric &amp; Gas Company (Owner),South Carolina Electric &amp; Gas Company (Operator)</t>
  </si>
  <si>
    <t>4 (122)</t>
  </si>
  <si>
    <t>McMeekin</t>
  </si>
  <si>
    <t>MCM1</t>
  </si>
  <si>
    <t>Lexington County</t>
  </si>
  <si>
    <t>SC063</t>
  </si>
  <si>
    <t>1 (130.6)</t>
  </si>
  <si>
    <t>MCM2</t>
  </si>
  <si>
    <t>2 (130.6)</t>
  </si>
  <si>
    <t>Urquhart</t>
  </si>
  <si>
    <t>URQ3</t>
  </si>
  <si>
    <t>Aiken County</t>
  </si>
  <si>
    <t>SC003</t>
  </si>
  <si>
    <t>URQ4</t>
  </si>
  <si>
    <t>GT4 (58.9)</t>
  </si>
  <si>
    <t>URQ5</t>
  </si>
  <si>
    <t>CT1 (198.9), 2 (75), 1 (75)</t>
  </si>
  <si>
    <t>URQ6</t>
  </si>
  <si>
    <t>1 (75), CT2 (198.9), 2 (75)</t>
  </si>
  <si>
    <t>Wateree</t>
  </si>
  <si>
    <t>WAT1</t>
  </si>
  <si>
    <t>CS001, MS1</t>
  </si>
  <si>
    <t>Richland County</t>
  </si>
  <si>
    <t>SC079</t>
  </si>
  <si>
    <t>1 (385.9)</t>
  </si>
  <si>
    <t>WAT2</t>
  </si>
  <si>
    <t>CS001, MS2</t>
  </si>
  <si>
    <t>2 (385.9)</t>
  </si>
  <si>
    <t>Williams</t>
  </si>
  <si>
    <t>WIL1</t>
  </si>
  <si>
    <t>South Carolina Generating Company (Owner),South Carolina Generating Company (Operator)</t>
  </si>
  <si>
    <t>ST1 (632.7)</t>
  </si>
  <si>
    <t>Hilton Head Gas Turbine Site</t>
  </si>
  <si>
    <t>CSNOX, CSSO2G2, SIPNOX</t>
  </si>
  <si>
    <t>Beaufort County</t>
  </si>
  <si>
    <t>SC013</t>
  </si>
  <si>
    <t>3 (64.7)</t>
  </si>
  <si>
    <t>Myrtle Beach Gas Turbine Site</t>
  </si>
  <si>
    <t>Horry County</t>
  </si>
  <si>
    <t>SC051</t>
  </si>
  <si>
    <t>3 (26.6)</t>
  </si>
  <si>
    <t>4 (26.6)</t>
  </si>
  <si>
    <t>5 (35.3)</t>
  </si>
  <si>
    <t>SD</t>
  </si>
  <si>
    <t>Aberdeen Generating Station</t>
  </si>
  <si>
    <t>SD013</t>
  </si>
  <si>
    <t>NorthWestern Energy (Owner),NorthWestern Energy (Operator)</t>
  </si>
  <si>
    <t>2 (60)</t>
  </si>
  <si>
    <t>Huron</t>
  </si>
  <si>
    <t>**2A</t>
  </si>
  <si>
    <t>Beadle County</t>
  </si>
  <si>
    <t>SD005</t>
  </si>
  <si>
    <t>Northwestern Public Service Company (Owner),Northwestern Public Service Company (Operator)</t>
  </si>
  <si>
    <t>2A (42.9)</t>
  </si>
  <si>
    <t>**2B</t>
  </si>
  <si>
    <t>TN</t>
  </si>
  <si>
    <t>Allen</t>
  </si>
  <si>
    <t>ACC1</t>
  </si>
  <si>
    <t>ARP, CSNOX, CSOSG2, CSSO2G1, NSPS4T</t>
  </si>
  <si>
    <t>TN157</t>
  </si>
  <si>
    <t>STG1 (470), CTG1 (330)</t>
  </si>
  <si>
    <t>ACC2</t>
  </si>
  <si>
    <t>CTG2 (330), STG1 (470)</t>
  </si>
  <si>
    <t>ACT17</t>
  </si>
  <si>
    <t>G17 (59.6)</t>
  </si>
  <si>
    <t>ACT18</t>
  </si>
  <si>
    <t>G18 (59.6)</t>
  </si>
  <si>
    <t>ACT19</t>
  </si>
  <si>
    <t>G19 (59.6)</t>
  </si>
  <si>
    <t>ACT20</t>
  </si>
  <si>
    <t>G20 (59.6)</t>
  </si>
  <si>
    <t>Bull Run</t>
  </si>
  <si>
    <t>TN001</t>
  </si>
  <si>
    <t>1 (950)</t>
  </si>
  <si>
    <t>Cumberland</t>
  </si>
  <si>
    <t>Stewart County</t>
  </si>
  <si>
    <t>TN161</t>
  </si>
  <si>
    <t>1 (1300)</t>
  </si>
  <si>
    <t>2 (1300)</t>
  </si>
  <si>
    <t>Gallatin</t>
  </si>
  <si>
    <t>Sumner County</t>
  </si>
  <si>
    <t>TN165</t>
  </si>
  <si>
    <t>1 (300)</t>
  </si>
  <si>
    <t>2 (300)</t>
  </si>
  <si>
    <t>3 (327.6)</t>
  </si>
  <si>
    <t>4 (327.6)</t>
  </si>
  <si>
    <t>GCT1</t>
  </si>
  <si>
    <t>GT1 (81.3)</t>
  </si>
  <si>
    <t>GCT2</t>
  </si>
  <si>
    <t>GT2 (81.3)</t>
  </si>
  <si>
    <t>GCT3</t>
  </si>
  <si>
    <t>GT3 (81.3)</t>
  </si>
  <si>
    <t>GCT4</t>
  </si>
  <si>
    <t>GT4 (81.3)</t>
  </si>
  <si>
    <t>GCT5</t>
  </si>
  <si>
    <t>GT5 (84.5)</t>
  </si>
  <si>
    <t>GCT6</t>
  </si>
  <si>
    <t>GT6 (84.5)</t>
  </si>
  <si>
    <t>GCT7</t>
  </si>
  <si>
    <t>GT7 (84.5)</t>
  </si>
  <si>
    <t>GCT8</t>
  </si>
  <si>
    <t>GT8 (84.5)</t>
  </si>
  <si>
    <t>John Sevier</t>
  </si>
  <si>
    <t>JCC1</t>
  </si>
  <si>
    <t>Hawkins County</t>
  </si>
  <si>
    <t>TN073</t>
  </si>
  <si>
    <t>STG1 (414), CTG1 (179.4)</t>
  </si>
  <si>
    <t>JCC2</t>
  </si>
  <si>
    <t>CTG2 (179.4), STG1 (414)</t>
  </si>
  <si>
    <t>JCC3</t>
  </si>
  <si>
    <t>CTG3 (179.4), STG1 (414)</t>
  </si>
  <si>
    <t>Johnsonville</t>
  </si>
  <si>
    <t>JCT1</t>
  </si>
  <si>
    <t>Humphreys County</t>
  </si>
  <si>
    <t>TN085</t>
  </si>
  <si>
    <t>GT1 (68)</t>
  </si>
  <si>
    <t>JCT10</t>
  </si>
  <si>
    <t>G10 (68)</t>
  </si>
  <si>
    <t>JCT11</t>
  </si>
  <si>
    <t>G11 (68)</t>
  </si>
  <si>
    <t>JCT12</t>
  </si>
  <si>
    <t>G12 (68)</t>
  </si>
  <si>
    <t>JCT13</t>
  </si>
  <si>
    <t>G13 (68)</t>
  </si>
  <si>
    <t>JCT14</t>
  </si>
  <si>
    <t>G14 (68)</t>
  </si>
  <si>
    <t>JCT15</t>
  </si>
  <si>
    <t>G15 (68)</t>
  </si>
  <si>
    <t>JCT16</t>
  </si>
  <si>
    <t>G16 (68)</t>
  </si>
  <si>
    <t>JCT17</t>
  </si>
  <si>
    <t>G17 (84.5)</t>
  </si>
  <si>
    <t>JCT18</t>
  </si>
  <si>
    <t>G18 (84.5)</t>
  </si>
  <si>
    <t>JCT19</t>
  </si>
  <si>
    <t>G19 (84.5)</t>
  </si>
  <si>
    <t>JCT2</t>
  </si>
  <si>
    <t>GT2 (68)</t>
  </si>
  <si>
    <t>JCT20</t>
  </si>
  <si>
    <t>G20 (84.5)</t>
  </si>
  <si>
    <t>JCT3</t>
  </si>
  <si>
    <t>GT3 (68)</t>
  </si>
  <si>
    <t>JCT4</t>
  </si>
  <si>
    <t>GT4 (68)</t>
  </si>
  <si>
    <t>JCT5</t>
  </si>
  <si>
    <t>GT5 (68)</t>
  </si>
  <si>
    <t>JCT6</t>
  </si>
  <si>
    <t>GT6 (68)</t>
  </si>
  <si>
    <t>JCT7</t>
  </si>
  <si>
    <t>GT7 (68)</t>
  </si>
  <si>
    <t>JCT8</t>
  </si>
  <si>
    <t>GT8 (68)</t>
  </si>
  <si>
    <t>JCT9</t>
  </si>
  <si>
    <t>GT9 (68)</t>
  </si>
  <si>
    <t>Kingston</t>
  </si>
  <si>
    <t>CSN19, CSS19</t>
  </si>
  <si>
    <t>Roane County</t>
  </si>
  <si>
    <t>TN145</t>
  </si>
  <si>
    <t>5 (200)</t>
  </si>
  <si>
    <t>6 (200)</t>
  </si>
  <si>
    <t>8 (200)</t>
  </si>
  <si>
    <t>9 (200)</t>
  </si>
  <si>
    <t>Laredo</t>
  </si>
  <si>
    <t>Webb County</t>
  </si>
  <si>
    <t>TX479</t>
  </si>
  <si>
    <t>Laredo LLC (Owner),Laredo LLC (Operator)</t>
  </si>
  <si>
    <t>Nueces Bay</t>
  </si>
  <si>
    <t>Nueces County</t>
  </si>
  <si>
    <t>TX355</t>
  </si>
  <si>
    <t>Nueces Bay LLC (Owner),Nueces Bay LLC (Operator)</t>
  </si>
  <si>
    <t>8 (172), 7 (351)</t>
  </si>
  <si>
    <t>7 (351), 9 (172)</t>
  </si>
  <si>
    <t>Victoria Power Station</t>
  </si>
  <si>
    <t>Victoria County</t>
  </si>
  <si>
    <t>TX469</t>
  </si>
  <si>
    <t>Victoria WLE, LP (Owner),Victoria WLE, LP (Operator)</t>
  </si>
  <si>
    <t>7 (196.9), 5 (160)</t>
  </si>
  <si>
    <t>Lake Hubbard</t>
  </si>
  <si>
    <t>Dallas County</t>
  </si>
  <si>
    <t>TX113</t>
  </si>
  <si>
    <t>Luminant Generation Company LLC (Owner),Luminant Generation Company LLC (Operator)</t>
  </si>
  <si>
    <t>1 (396.5)</t>
  </si>
  <si>
    <t>Mountain Creek Generating Station</t>
  </si>
  <si>
    <t>607415 (Ended Sep 21, 2023), 610786 (Started Sep 21, 2023)</t>
  </si>
  <si>
    <t>Mountain Creek Power, LLC (Owner),Mountain Creek Power, LLC (Operator)</t>
  </si>
  <si>
    <t>Low NOx Burner Technology (Dry Bottom only),Combustion Modification/Fuel Reburning</t>
  </si>
  <si>
    <t>6 (136)</t>
  </si>
  <si>
    <t>7 (136)</t>
  </si>
  <si>
    <t>8 (581)</t>
  </si>
  <si>
    <t>Newman Power Station</t>
  </si>
  <si>
    <t>TX141</t>
  </si>
  <si>
    <t>1 (81.6)</t>
  </si>
  <si>
    <t>ARP, CSOSG2, TXSO2</t>
  </si>
  <si>
    <t>2 (81.6)</t>
  </si>
  <si>
    <t>3 (115.2)</t>
  </si>
  <si>
    <t>CT1 (85), 4 (120)</t>
  </si>
  <si>
    <t>**5</t>
  </si>
  <si>
    <t>CT2 (85), 4 (120)</t>
  </si>
  <si>
    <t>GT-6A</t>
  </si>
  <si>
    <t>5CT1 (86.5), 5CA1 (165)</t>
  </si>
  <si>
    <t>GT-6B</t>
  </si>
  <si>
    <t>5CA1 (165), 5CT2 (86.5)</t>
  </si>
  <si>
    <t>Lewis Creek</t>
  </si>
  <si>
    <t>TX339</t>
  </si>
  <si>
    <t>1 (271.4)</t>
  </si>
  <si>
    <t>2 (271.4)</t>
  </si>
  <si>
    <t>Sabine</t>
  </si>
  <si>
    <t>TX361</t>
  </si>
  <si>
    <t>1 (239.4)</t>
  </si>
  <si>
    <t>3 (473.4)</t>
  </si>
  <si>
    <t>4 (591.6)</t>
  </si>
  <si>
    <t>5 (507.4)</t>
  </si>
  <si>
    <t>Cedar Bayou</t>
  </si>
  <si>
    <t>CBY1</t>
  </si>
  <si>
    <t>Chambers County</t>
  </si>
  <si>
    <t>TX071</t>
  </si>
  <si>
    <t>1 (765)</t>
  </si>
  <si>
    <t>CBY2</t>
  </si>
  <si>
    <t>2 (765)</t>
  </si>
  <si>
    <t>W A Parish</t>
  </si>
  <si>
    <t>WAP1</t>
  </si>
  <si>
    <t>Fort Bend County</t>
  </si>
  <si>
    <t>TX157</t>
  </si>
  <si>
    <t>1 (187.9)</t>
  </si>
  <si>
    <t>WAP2</t>
  </si>
  <si>
    <t>2 (187.9)</t>
  </si>
  <si>
    <t>WAP3</t>
  </si>
  <si>
    <t>3 (299.2)</t>
  </si>
  <si>
    <t>WAP4</t>
  </si>
  <si>
    <t>4 (580.5)</t>
  </si>
  <si>
    <t>WAP5</t>
  </si>
  <si>
    <t>5 (734.1)</t>
  </si>
  <si>
    <t>WAP6</t>
  </si>
  <si>
    <t>6 (734.1)</t>
  </si>
  <si>
    <t>WAP7</t>
  </si>
  <si>
    <t>7 (614.6)</t>
  </si>
  <si>
    <t>WAP8</t>
  </si>
  <si>
    <t>MS1, MS2</t>
  </si>
  <si>
    <t>Sodium Based,Wet Lime FGD</t>
  </si>
  <si>
    <t>Low NOx Burner Technology w/ Closed-coupled/Separated OFA,Selective Catalytic Reduction,Ammonia Injection</t>
  </si>
  <si>
    <t>8 (614.6)</t>
  </si>
  <si>
    <t>Knox Lee Power Plant</t>
  </si>
  <si>
    <t>Gregg County</t>
  </si>
  <si>
    <t>TX183</t>
  </si>
  <si>
    <t>5 (323.7)</t>
  </si>
  <si>
    <t>Wilkes Power Plant</t>
  </si>
  <si>
    <t>TX315</t>
  </si>
  <si>
    <t>1 (179.5)</t>
  </si>
  <si>
    <t>2 (351)</t>
  </si>
  <si>
    <t>3 (351)</t>
  </si>
  <si>
    <t>Jones Station</t>
  </si>
  <si>
    <t>151B</t>
  </si>
  <si>
    <t>Lubbock County</t>
  </si>
  <si>
    <t>TX303</t>
  </si>
  <si>
    <t>1 (248)</t>
  </si>
  <si>
    <t>152B</t>
  </si>
  <si>
    <t>Diesel Oil, Other Oil</t>
  </si>
  <si>
    <t>2 (248)</t>
  </si>
  <si>
    <t>153T</t>
  </si>
  <si>
    <t>3 (203)</t>
  </si>
  <si>
    <t>154T</t>
  </si>
  <si>
    <t>4 (203)</t>
  </si>
  <si>
    <t>Nichols Station</t>
  </si>
  <si>
    <t>141B</t>
  </si>
  <si>
    <t>Potter County</t>
  </si>
  <si>
    <t>TX375</t>
  </si>
  <si>
    <t>142B</t>
  </si>
  <si>
    <t>2 (114)</t>
  </si>
  <si>
    <t>143B</t>
  </si>
  <si>
    <t>3 (248)</t>
  </si>
  <si>
    <t>Plant X</t>
  </si>
  <si>
    <t>111B</t>
  </si>
  <si>
    <t>Lamb County</t>
  </si>
  <si>
    <t>TX279</t>
  </si>
  <si>
    <t>1 (48)</t>
  </si>
  <si>
    <t>112B</t>
  </si>
  <si>
    <t>2 (98)</t>
  </si>
  <si>
    <t>114B</t>
  </si>
  <si>
    <t>4 (190.4)</t>
  </si>
  <si>
    <t>Graham</t>
  </si>
  <si>
    <t>Young County</t>
  </si>
  <si>
    <t>TX503</t>
  </si>
  <si>
    <t>1 (247.8)</t>
  </si>
  <si>
    <t>Combustion Modification/Fuel Reburning,Overfire Air</t>
  </si>
  <si>
    <t>Handley Generating Station</t>
  </si>
  <si>
    <t>607440 (Ended Jun 15, 2023), 606830 (Started Jun 15, 2023)</t>
  </si>
  <si>
    <t>Tarrant County</t>
  </si>
  <si>
    <t>TX439</t>
  </si>
  <si>
    <t>ExGen Handley Power, LLC (Owner),ExGen Handley Power, LLC (Operator)</t>
  </si>
  <si>
    <t>Combustion Modification/Fuel Reburning,Selective Catalytic Reduction</t>
  </si>
  <si>
    <t>3 (405)</t>
  </si>
  <si>
    <t>4 (455)</t>
  </si>
  <si>
    <t>5 (455)</t>
  </si>
  <si>
    <t>Stryker Creek</t>
  </si>
  <si>
    <t>TX073</t>
  </si>
  <si>
    <t>ST1 (176.8)</t>
  </si>
  <si>
    <t>ST2 (526.7)</t>
  </si>
  <si>
    <t>Trinidad</t>
  </si>
  <si>
    <t>Henderson County</t>
  </si>
  <si>
    <t>TX213</t>
  </si>
  <si>
    <t>6 (239.4)</t>
  </si>
  <si>
    <t>Silas Ray</t>
  </si>
  <si>
    <t>Cameron County</t>
  </si>
  <si>
    <t>TX061</t>
  </si>
  <si>
    <t>Brownsville Public Utilities Board (Owner),Brownsville Public Utilities Board (Operator)</t>
  </si>
  <si>
    <t>6 (22), 9 (51)</t>
  </si>
  <si>
    <t>10 (51)</t>
  </si>
  <si>
    <t>Ray Olinger</t>
  </si>
  <si>
    <t>BW2</t>
  </si>
  <si>
    <t>Collin County</t>
  </si>
  <si>
    <t>TX085</t>
  </si>
  <si>
    <t>Garland Power and Light, City of Garland (Owner),Garland Power and Light, City of Garland (Operator)</t>
  </si>
  <si>
    <t>2 (113)</t>
  </si>
  <si>
    <t>BW3</t>
  </si>
  <si>
    <t>3 (156)</t>
  </si>
  <si>
    <t>CE1</t>
  </si>
  <si>
    <t>GE4</t>
  </si>
  <si>
    <t>4 (83)</t>
  </si>
  <si>
    <t>Sim Gideon</t>
  </si>
  <si>
    <t>Bastrop County</t>
  </si>
  <si>
    <t>TX021</t>
  </si>
  <si>
    <t>Lower Colorado River Authority (Owner),Lower Colorado River Authority (Operator)</t>
  </si>
  <si>
    <t>1 (144)</t>
  </si>
  <si>
    <t>2 (144)</t>
  </si>
  <si>
    <t>J Robert Massengale Generating Station</t>
  </si>
  <si>
    <t>City of Lubbock (Owner),City of Lubbock (Operator)</t>
  </si>
  <si>
    <t>8 (40), 7 (22)</t>
  </si>
  <si>
    <t>Leon Creek</t>
  </si>
  <si>
    <t>CGT1</t>
  </si>
  <si>
    <t>Bexar County</t>
  </si>
  <si>
    <t>TX029</t>
  </si>
  <si>
    <t>City of San Antonio (Owner),City of San Antonio (Operator)</t>
  </si>
  <si>
    <t>CGT1 (57)</t>
  </si>
  <si>
    <t>CGT2</t>
  </si>
  <si>
    <t>CGT2 (57)</t>
  </si>
  <si>
    <t>CGT3</t>
  </si>
  <si>
    <t>CGT3 (57)</t>
  </si>
  <si>
    <t>CGT4</t>
  </si>
  <si>
    <t>CGT4 (57)</t>
  </si>
  <si>
    <t>O W Sommers</t>
  </si>
  <si>
    <t>1 (446)</t>
  </si>
  <si>
    <t>2 (446)</t>
  </si>
  <si>
    <t>V H Braunig</t>
  </si>
  <si>
    <t>1 (225)</t>
  </si>
  <si>
    <t>2 (252)</t>
  </si>
  <si>
    <t>3 (417)</t>
  </si>
  <si>
    <t>CGT5</t>
  </si>
  <si>
    <t>5 (61)</t>
  </si>
  <si>
    <t>CGT6</t>
  </si>
  <si>
    <t>6 (61)</t>
  </si>
  <si>
    <t>CGT7</t>
  </si>
  <si>
    <t>7 (61)</t>
  </si>
  <si>
    <t>CGT8</t>
  </si>
  <si>
    <t>8 (61)</t>
  </si>
  <si>
    <t>CP01</t>
  </si>
  <si>
    <t>CT01 (175), ST012 (200)</t>
  </si>
  <si>
    <t>ST012 (200), CT02 (175)</t>
  </si>
  <si>
    <t>R W Miller</t>
  </si>
  <si>
    <t>610322 (Ended Jun 25, 2023), 605624 (Started Jun 25, 2023)</t>
  </si>
  <si>
    <t>Palo Pinto County</t>
  </si>
  <si>
    <t>TX363</t>
  </si>
  <si>
    <t>Brazos Electric Power Cooperative, Inc. (Owner),Brazos Electric Power Cooperative, Inc. (Operator)</t>
  </si>
  <si>
    <t>1 (66)</t>
  </si>
  <si>
    <t>3 (200)</t>
  </si>
  <si>
    <t>Sam Rayburn Plant</t>
  </si>
  <si>
    <t>South Texas Electric Cooperative (Owner),South Texas Electric Cooperative (Operator)</t>
  </si>
  <si>
    <t>7 (49.2), 10 (42)</t>
  </si>
  <si>
    <t>8 (49.2), 10 (42)</t>
  </si>
  <si>
    <t>9 (49.2), 10 (42)</t>
  </si>
  <si>
    <t>UT</t>
  </si>
  <si>
    <t>Gadsby</t>
  </si>
  <si>
    <t>Salt Lake County</t>
  </si>
  <si>
    <t>UT035</t>
  </si>
  <si>
    <t>Pacificorp Energy Generation (Owner),Pacificorp Energy Generation (Operator)</t>
  </si>
  <si>
    <t>1 (69)</t>
  </si>
  <si>
    <t>2 (69)</t>
  </si>
  <si>
    <t>4 (40)</t>
  </si>
  <si>
    <t>5 (40)</t>
  </si>
  <si>
    <t>6 (40)</t>
  </si>
  <si>
    <t>Berlin 5</t>
  </si>
  <si>
    <t>A</t>
  </si>
  <si>
    <t>VT023</t>
  </si>
  <si>
    <t>Green Mountain Power Corporation (Owner),Green Mountain Power Corporation (Operator)</t>
  </si>
  <si>
    <t>GT1 (41.8)</t>
  </si>
  <si>
    <t>B</t>
  </si>
  <si>
    <t>Penny Lane Gas Turbine</t>
  </si>
  <si>
    <t>Burlington Electric Department (Owner),Burlington Electric Department (Operator)</t>
  </si>
  <si>
    <t>GT1 (25.5)</t>
  </si>
  <si>
    <t>VA</t>
  </si>
  <si>
    <t>Clinch River</t>
  </si>
  <si>
    <t>CS012</t>
  </si>
  <si>
    <t>Russell County</t>
  </si>
  <si>
    <t>VA167</t>
  </si>
  <si>
    <t>Appalachian Power Company (Owner),Appalachian Power Company (Operator)</t>
  </si>
  <si>
    <t>Dry bottom vertically-fired boiler</t>
  </si>
  <si>
    <t>1 (237.5)</t>
  </si>
  <si>
    <t>2 (237.5)</t>
  </si>
  <si>
    <t>Tasley Energy Center</t>
  </si>
  <si>
    <t>TA10</t>
  </si>
  <si>
    <t>Accomack County</t>
  </si>
  <si>
    <t>VA001</t>
  </si>
  <si>
    <t>TAS (33)</t>
  </si>
  <si>
    <t>Chesterfield Power Station</t>
  </si>
  <si>
    <t>Chesterfield County</t>
  </si>
  <si>
    <t>VA041</t>
  </si>
  <si>
    <t>Virginia Electric &amp; Power Company (Owner),Dominion Generation (Operator)</t>
  </si>
  <si>
    <t>Wet Lime FGD (Retired May 31, 2023)</t>
  </si>
  <si>
    <t>Low NOx Burner Technology w/ Separated OFA (Retired May 31, 2023),Selective Catalytic Reduction (Retired May 31, 2023)</t>
  </si>
  <si>
    <t>Electrostatic Precipitator (Retired May 31, 2023)</t>
  </si>
  <si>
    <t>5 (359)</t>
  </si>
  <si>
    <t>Wet Limestone (Retired May 31, 2023)</t>
  </si>
  <si>
    <t>Low NOx Burner Technology w/ Closed-coupled/Separated OFA (Retired May 31, 2023),Selective Catalytic Reduction (Retired May 31, 2023)</t>
  </si>
  <si>
    <t>Baghouse (Retired May 31, 2023),Wet Scrubber (Retired May 31, 2023)</t>
  </si>
  <si>
    <t>6 (693.9)</t>
  </si>
  <si>
    <t>CT7 (145), CW7 (74.4)</t>
  </si>
  <si>
    <t>**8A</t>
  </si>
  <si>
    <t>CT8 (148), CW8 (79.2)</t>
  </si>
  <si>
    <t>Possum Point Power Station</t>
  </si>
  <si>
    <t>Prince William County</t>
  </si>
  <si>
    <t>VA153</t>
  </si>
  <si>
    <t>6ST (265), 6A (174)</t>
  </si>
  <si>
    <t>6B (174), 6ST (265)</t>
  </si>
  <si>
    <t>Yorktown Power Station</t>
  </si>
  <si>
    <t>VA199</t>
  </si>
  <si>
    <t>Other (Retired Jun 30, 2023)</t>
  </si>
  <si>
    <t>3 (882)</t>
  </si>
  <si>
    <t>Centralia</t>
  </si>
  <si>
    <t>BW22</t>
  </si>
  <si>
    <t>609228 (Ended Aug 15, 2023), 610743 (Started Aug 15, 2023)</t>
  </si>
  <si>
    <t>Lewis County</t>
  </si>
  <si>
    <t>WA041</t>
  </si>
  <si>
    <t>TransAlta (Owner),TransAlta (Operator)</t>
  </si>
  <si>
    <t>2 (730)</t>
  </si>
  <si>
    <t>WV</t>
  </si>
  <si>
    <t>John E Amos</t>
  </si>
  <si>
    <t>WV079</t>
  </si>
  <si>
    <t>1 (816.3)</t>
  </si>
  <si>
    <t>2 (816.3)</t>
  </si>
  <si>
    <t>3 (1300)</t>
  </si>
  <si>
    <t>Fort Martin Power Station</t>
  </si>
  <si>
    <t>Monongalia County</t>
  </si>
  <si>
    <t>WV061</t>
  </si>
  <si>
    <t>Monongahela Power Company (Owner),Monongahela Power Company (Operator)</t>
  </si>
  <si>
    <t>1 (576)</t>
  </si>
  <si>
    <t>2 (576)</t>
  </si>
  <si>
    <t>Harrison Power Station</t>
  </si>
  <si>
    <t>WV033</t>
  </si>
  <si>
    <t>1 (684)</t>
  </si>
  <si>
    <t>2 (684)</t>
  </si>
  <si>
    <t>3 (684)</t>
  </si>
  <si>
    <t>Mitchell (WV)</t>
  </si>
  <si>
    <t>WV051</t>
  </si>
  <si>
    <t>Kentucky Power Company (Owner),Wheeling Power Company (Owner),Kentucky Power Company (Operator)</t>
  </si>
  <si>
    <t>Mount Storm Power Station</t>
  </si>
  <si>
    <t>CS0</t>
  </si>
  <si>
    <t>Grant County</t>
  </si>
  <si>
    <t>WV023</t>
  </si>
  <si>
    <t>1 (570.2)</t>
  </si>
  <si>
    <t>2 (570.2)</t>
  </si>
  <si>
    <t>3 (522)</t>
  </si>
  <si>
    <t>WI</t>
  </si>
  <si>
    <t>Bay Front</t>
  </si>
  <si>
    <t>Ashland County</t>
  </si>
  <si>
    <t>WI003</t>
  </si>
  <si>
    <t>Other,Overfire Air,Selective Non-catalytic Reduction</t>
  </si>
  <si>
    <t>5 (20), 4 (20), 6 (28)</t>
  </si>
  <si>
    <t>6 (28), 4 (20), 5 (20)</t>
  </si>
  <si>
    <t>Fitchburg Generating Station</t>
  </si>
  <si>
    <t>Dane County</t>
  </si>
  <si>
    <t>WI025</t>
  </si>
  <si>
    <t>Madison Gas &amp; Electric Company (Owner),Madison Gas &amp; Electric Company (Operator)</t>
  </si>
  <si>
    <t>Blount Street</t>
  </si>
  <si>
    <t>French Island</t>
  </si>
  <si>
    <t>La Crosse County</t>
  </si>
  <si>
    <t>WI063</t>
  </si>
  <si>
    <t>3 (78.8)</t>
  </si>
  <si>
    <t>4 (78.8)</t>
  </si>
  <si>
    <t>Wheaton Generating Plant</t>
  </si>
  <si>
    <t>Chippewa County</t>
  </si>
  <si>
    <t>WI017</t>
  </si>
  <si>
    <t>2 (72)</t>
  </si>
  <si>
    <t>3 (72)</t>
  </si>
  <si>
    <t>4 (72)</t>
  </si>
  <si>
    <t>5 (81)</t>
  </si>
  <si>
    <t>6 (81)</t>
  </si>
  <si>
    <t>Port Washington Generating Station</t>
  </si>
  <si>
    <t>605792 (Ended Oct 02, 2023), 610765 (Started Oct 02, 2023)</t>
  </si>
  <si>
    <t>Ozaukee County</t>
  </si>
  <si>
    <t>WI089</t>
  </si>
  <si>
    <t>We Energies (Owner),We Energies (Operator)</t>
  </si>
  <si>
    <t>1CT1 (167), ST1 (269)</t>
  </si>
  <si>
    <t>1CT2 (167), ST1 (269)</t>
  </si>
  <si>
    <t>2CT1 (155), ST2 (269)</t>
  </si>
  <si>
    <t>2CT2 (155), ST2 (269)</t>
  </si>
  <si>
    <t>South Oak Creek</t>
  </si>
  <si>
    <t>Milwaukee County</t>
  </si>
  <si>
    <t>WI079</t>
  </si>
  <si>
    <t>Wisconsin Electric Power Company (Owner),Wisconsin Electric Power Company (Operator)</t>
  </si>
  <si>
    <t>6 (275)</t>
  </si>
  <si>
    <t>CS2</t>
  </si>
  <si>
    <t>7 (317.6)</t>
  </si>
  <si>
    <t>8 (324)</t>
  </si>
  <si>
    <t>Valley (WEPCO)</t>
  </si>
  <si>
    <t>2 (136)</t>
  </si>
  <si>
    <t>Edgewater (4050)</t>
  </si>
  <si>
    <t>Sheboygan County</t>
  </si>
  <si>
    <t>WI117</t>
  </si>
  <si>
    <t>Wisconsin Power &amp; Light Company (Owner),Wisconsin Power &amp; Light Company (Operator)</t>
  </si>
  <si>
    <t>5 (380)</t>
  </si>
  <si>
    <t>Pulliam</t>
  </si>
  <si>
    <t>WI009</t>
  </si>
  <si>
    <t>Wisconsin Public Service Corporation (Owner),Wisconsin Public Service Corporation (Operator)</t>
  </si>
  <si>
    <t>31 (91)</t>
  </si>
  <si>
    <t>West Marinette</t>
  </si>
  <si>
    <t>**33</t>
  </si>
  <si>
    <t>Marinette County</t>
  </si>
  <si>
    <t>WI075</t>
  </si>
  <si>
    <t>33 (83.5)</t>
  </si>
  <si>
    <t>**34</t>
  </si>
  <si>
    <t>Madison Gas &amp; Electric Company (Owner),Wisconsin Public Service Corporation (Operator)</t>
  </si>
  <si>
    <t>34 (90)</t>
  </si>
  <si>
    <t>31A</t>
  </si>
  <si>
    <t>31 (41.9)</t>
  </si>
  <si>
    <t>31B</t>
  </si>
  <si>
    <t>32A</t>
  </si>
  <si>
    <t>32 (41.9)</t>
  </si>
  <si>
    <t>32B</t>
  </si>
  <si>
    <t>Weston</t>
  </si>
  <si>
    <t>Marathon County</t>
  </si>
  <si>
    <t>WI073</t>
  </si>
  <si>
    <t>Operating (Retired 02/07/2023)</t>
  </si>
  <si>
    <t>2 (75)</t>
  </si>
  <si>
    <t>Low NOx Burner Technology w/ Separated OFA,Low NOx Burner Technology w/ Closed-coupled OFA</t>
  </si>
  <si>
    <t>Regenerative Activated Coke Technology</t>
  </si>
  <si>
    <t>3 (321.6)</t>
  </si>
  <si>
    <t>Wisconsin Public Service Corporation (Owner),Dairyland Power Cooperative (Owner),Wisconsin Public Service Corporation (Operator)</t>
  </si>
  <si>
    <t>4 (595)</t>
  </si>
  <si>
    <t>Operating (Retired 07/27/2023)</t>
  </si>
  <si>
    <t>32 (51)</t>
  </si>
  <si>
    <t>Manitowoc</t>
  </si>
  <si>
    <t>Manitowoc County</t>
  </si>
  <si>
    <t>WI071</t>
  </si>
  <si>
    <t>Manitowoc Public Utilities (Owner),Manitowoc Public Utilities (Operator)</t>
  </si>
  <si>
    <t>Coal, Other Solid Fuel</t>
  </si>
  <si>
    <t>4 (10), 6 (32), 5 (22)</t>
  </si>
  <si>
    <t>9 (63.4)</t>
  </si>
  <si>
    <t>WY</t>
  </si>
  <si>
    <t>Dave Johnston</t>
  </si>
  <si>
    <t>BW41</t>
  </si>
  <si>
    <t>Converse County</t>
  </si>
  <si>
    <t>WY009</t>
  </si>
  <si>
    <t>Pacificorp (Owner),Pacificorp (Operator)</t>
  </si>
  <si>
    <t>1 (106)</t>
  </si>
  <si>
    <t>BW42</t>
  </si>
  <si>
    <t>2 (106)</t>
  </si>
  <si>
    <t>BW43</t>
  </si>
  <si>
    <t>3 (220)</t>
  </si>
  <si>
    <t>BW44</t>
  </si>
  <si>
    <t>4 (330)</t>
  </si>
  <si>
    <t>Naughton</t>
  </si>
  <si>
    <t>Lincoln County</t>
  </si>
  <si>
    <t>WY023</t>
  </si>
  <si>
    <t>1 (160)</t>
  </si>
  <si>
    <t>2 (210)</t>
  </si>
  <si>
    <t>Power Lane Steam Plant</t>
  </si>
  <si>
    <t>Hunt County</t>
  </si>
  <si>
    <t>TX231</t>
  </si>
  <si>
    <t>Greenville Electric Utility System (Owner),Greenville Electric Utility System (Operator)</t>
  </si>
  <si>
    <t>ST2 (25)</t>
  </si>
  <si>
    <t>ST3 (43.2)</t>
  </si>
  <si>
    <t>Spencer</t>
  </si>
  <si>
    <t>Denton County</t>
  </si>
  <si>
    <t>TX121</t>
  </si>
  <si>
    <t>4 (61)</t>
  </si>
  <si>
    <t>J P Madgett</t>
  </si>
  <si>
    <t>Buffalo County</t>
  </si>
  <si>
    <t>WI011</t>
  </si>
  <si>
    <t>Dairyland Power Cooperative (Owner),Dairyland Power Cooperative (Operator)</t>
  </si>
  <si>
    <t>T C Ferguson Power Plant</t>
  </si>
  <si>
    <t>Llano County</t>
  </si>
  <si>
    <t>TX299</t>
  </si>
  <si>
    <t>STG (204), CT-1 (185.3)</t>
  </si>
  <si>
    <t>CT-2 (185.3), STG (204)</t>
  </si>
  <si>
    <t>Barney M. Davis</t>
  </si>
  <si>
    <t>Barney Davis LLC (Owner),Barney Davis LLC (Operator)</t>
  </si>
  <si>
    <t>1 (352)</t>
  </si>
  <si>
    <t>3 (172), 2 (351)</t>
  </si>
  <si>
    <t>4 (172), 2 (351)</t>
  </si>
  <si>
    <t>Riverside (4940)</t>
  </si>
  <si>
    <t>1 (457)</t>
  </si>
  <si>
    <t>2 (460)</t>
  </si>
  <si>
    <t>3 (89)</t>
  </si>
  <si>
    <t>Cumberland Energy Center</t>
  </si>
  <si>
    <t>Conectiv Atlantic Generation, LLC (Owner),Conectiv Atlantic Generation, LLC (Operator)</t>
  </si>
  <si>
    <t>CUMB (99.4)</t>
  </si>
  <si>
    <t>CUMB2 (103)</t>
  </si>
  <si>
    <t>James H Miller Jr</t>
  </si>
  <si>
    <t>AL073</t>
  </si>
  <si>
    <t>Alabama Electric Cooperative, Inc. (Owner),Alabama Power Company (Owner),Alabama Power Company (Operator)</t>
  </si>
  <si>
    <t>Selective Catalytic Reduction,Low NOx Burner Technology (Dry Bottom only)</t>
  </si>
  <si>
    <t>1 (705.5)</t>
  </si>
  <si>
    <t>2 (705.5)</t>
  </si>
  <si>
    <t>3 (705.5)</t>
  </si>
  <si>
    <t>4 (705.5)</t>
  </si>
  <si>
    <t>Pleasants Power Station</t>
  </si>
  <si>
    <t>609711 (Ended Aug 01, 2023), 610739 (Started Aug 01, 2023)(Ended Sep 06, 2023), 607881 (Started Sep 06, 2023), 603196 (Started Sep 06, 2023)(Ended Sep 06, 2023)</t>
  </si>
  <si>
    <t>Pleasants County</t>
  </si>
  <si>
    <t>WV073</t>
  </si>
  <si>
    <t>Pleasants LLC (Owner) (Ended Aug 01, 2023),ETEM Remediation Two LLC (Owner) (Started Aug 01, 2023),Pleasants LLC (Operator) (Ended Aug 01, 2023),ETEM Remediation Two LLC (Operator) (Started Aug 01, 2023)</t>
  </si>
  <si>
    <t>White Bluff</t>
  </si>
  <si>
    <t>AR069</t>
  </si>
  <si>
    <t>Arkansas Electric Cooperative Corporation (Owner),City of Jonesboro (Owner),Conway Corporation (Owner),West Memphis Utilities (Owner),Entergy Corporation (Owner),Entergy Corporation (Operator)</t>
  </si>
  <si>
    <t>1 (850)</t>
  </si>
  <si>
    <t>2 (850)</t>
  </si>
  <si>
    <t>Olive</t>
  </si>
  <si>
    <t>City of Burbank (Owner),City of Burbank (Operator)</t>
  </si>
  <si>
    <t>O1 (44)</t>
  </si>
  <si>
    <t>O2 (55)</t>
  </si>
  <si>
    <t>Newton</t>
  </si>
  <si>
    <t>Jasper County</t>
  </si>
  <si>
    <t>IL079</t>
  </si>
  <si>
    <t>Illinois Power Generating Company (Owner),Illinois Power Generating Company (Operator)</t>
  </si>
  <si>
    <t>Low NOx Burner Technology w/ Closed-coupled/Separated OFA,Other</t>
  </si>
  <si>
    <t>1 (617.4)</t>
  </si>
  <si>
    <t>East Bend</t>
  </si>
  <si>
    <t>KY015</t>
  </si>
  <si>
    <t>Duke Energy Kentucky, Inc. (Owner),Duke Energy Kentucky, Inc. (Operator)</t>
  </si>
  <si>
    <t>2 (669.3)</t>
  </si>
  <si>
    <t>Craig</t>
  </si>
  <si>
    <t>C1</t>
  </si>
  <si>
    <t>Moffat County</t>
  </si>
  <si>
    <t>CO081</t>
  </si>
  <si>
    <t>Platte River Power Authority (Owner),Tri-State Generation &amp; Transmission (Owner),Salt River Project (Owner),Pacificorp Energy Generation (Owner),Xcel Energy (Owner),Tri-State Generation &amp; Transmission (Operator)</t>
  </si>
  <si>
    <t>C2</t>
  </si>
  <si>
    <t>Platte River Power Authority (Owner),Pacificorp Energy Generation (Owner),Tri-State Generation &amp; Transmission (Owner),Salt River Project (Owner),Xcel Energy (Owner),Tri-State Generation &amp; Transmission (Operator)</t>
  </si>
  <si>
    <t>C3</t>
  </si>
  <si>
    <t>Tri-State Generation &amp; Transmission (Owner),Tri-State Generation &amp; Transmission (Operator)</t>
  </si>
  <si>
    <t>3 (446)</t>
  </si>
  <si>
    <t>Coal Creek</t>
  </si>
  <si>
    <t>McLean County</t>
  </si>
  <si>
    <t>ND055</t>
  </si>
  <si>
    <t>Rainbow Energy Center, LLC (Owner),Rainbow Energy Center, LLC (Operator)</t>
  </si>
  <si>
    <t>1 (605)</t>
  </si>
  <si>
    <t>2 (605)</t>
  </si>
  <si>
    <t>Belle River</t>
  </si>
  <si>
    <t>St. Clair County</t>
  </si>
  <si>
    <t>MI147</t>
  </si>
  <si>
    <t>Detroit Edison Company (Owner),Michigan Public Power Agency (Owner),Detroit Edison Company (Operator)</t>
  </si>
  <si>
    <t>ST1 (697.5)</t>
  </si>
  <si>
    <t>ST2 (697.5)</t>
  </si>
  <si>
    <t>12-1 (85.3)</t>
  </si>
  <si>
    <t>12-2 (85.3)</t>
  </si>
  <si>
    <t>CTG131</t>
  </si>
  <si>
    <t>13-1 (85.3)</t>
  </si>
  <si>
    <t>Greenwood</t>
  </si>
  <si>
    <t>1 (815.4)</t>
  </si>
  <si>
    <t>11-1 (85.3)</t>
  </si>
  <si>
    <t>CTG112</t>
  </si>
  <si>
    <t>11-2 (85.3)</t>
  </si>
  <si>
    <t>11-3 (85.3)</t>
  </si>
  <si>
    <t>H L Spurlock</t>
  </si>
  <si>
    <t>Mason County</t>
  </si>
  <si>
    <t>KY161</t>
  </si>
  <si>
    <t>Electrostatic Precipitator,Wet ESP,Wet Scrubber</t>
  </si>
  <si>
    <t>1 (340)</t>
  </si>
  <si>
    <t>Wet ESP,Wet Scrubber,Electrostatic Precipitator</t>
  </si>
  <si>
    <t>2 (610)</t>
  </si>
  <si>
    <t>Dry Lime FGD,Fluidized Bed Limestone Injection</t>
  </si>
  <si>
    <t>3 (294)</t>
  </si>
  <si>
    <t>4 (300)</t>
  </si>
  <si>
    <t>Manatee</t>
  </si>
  <si>
    <t>MTCT3A</t>
  </si>
  <si>
    <t>Manatee County</t>
  </si>
  <si>
    <t>FL081</t>
  </si>
  <si>
    <t>A (188.2), 3 (471.8)</t>
  </si>
  <si>
    <t>MTCT3B</t>
  </si>
  <si>
    <t>B (188.2), 3 (471.8)</t>
  </si>
  <si>
    <t>MTCT3C</t>
  </si>
  <si>
    <t>3 (471.8), C (188.2)</t>
  </si>
  <si>
    <t>MTCT3D</t>
  </si>
  <si>
    <t>3 (471.8), D (188.2)</t>
  </si>
  <si>
    <t>PMT1</t>
  </si>
  <si>
    <t>1 (863.3)</t>
  </si>
  <si>
    <t>PMT2</t>
  </si>
  <si>
    <t>2 (863.3)</t>
  </si>
  <si>
    <t>Martin</t>
  </si>
  <si>
    <t>HRSG3A</t>
  </si>
  <si>
    <t>Martin County</t>
  </si>
  <si>
    <t>FL085</t>
  </si>
  <si>
    <t>3ST (204), 3GT1 (204)</t>
  </si>
  <si>
    <t>HRSG3B</t>
  </si>
  <si>
    <t>3GT2 (204), 3ST (204)</t>
  </si>
  <si>
    <t>HRSG4A</t>
  </si>
  <si>
    <t>4GT1 (204), 4ST (204)</t>
  </si>
  <si>
    <t>HRSG4B</t>
  </si>
  <si>
    <t>4GT2 (204), 4ST (204)</t>
  </si>
  <si>
    <t>PMR8A</t>
  </si>
  <si>
    <t>Selective Catalytic Reduction,Dry Low NOx Burners,Water Injection</t>
  </si>
  <si>
    <t>8 (471.7), 8A (188.2)</t>
  </si>
  <si>
    <t>PMR8B</t>
  </si>
  <si>
    <t>8B (188.2), 8 (471.7)</t>
  </si>
  <si>
    <t>PMR8C</t>
  </si>
  <si>
    <t>8C (188.2), 8 (471.7)</t>
  </si>
  <si>
    <t>PMR8D</t>
  </si>
  <si>
    <t>8 (471.7), 8D (188.2)</t>
  </si>
  <si>
    <t>Debary</t>
  </si>
  <si>
    <t>**10</t>
  </si>
  <si>
    <t>10 (115)</t>
  </si>
  <si>
    <t>**7</t>
  </si>
  <si>
    <t>7 (115)</t>
  </si>
  <si>
    <t>8 (115)</t>
  </si>
  <si>
    <t>**9</t>
  </si>
  <si>
    <t>9 (115)</t>
  </si>
  <si>
    <t>Big Cajun 2</t>
  </si>
  <si>
    <t>2B1</t>
  </si>
  <si>
    <t>1 (611)</t>
  </si>
  <si>
    <t>2B2</t>
  </si>
  <si>
    <t>Low NOx Burner Technology w/ Overfire Air,Selective Non-catalytic Reduction,Other</t>
  </si>
  <si>
    <t>2 (611)</t>
  </si>
  <si>
    <t>2B3</t>
  </si>
  <si>
    <t>Louisiana Generating, LLC (Owner),Entergy Corporation (Owner),Louisiana Generating, LLC (Operator)</t>
  </si>
  <si>
    <t>3 (611)</t>
  </si>
  <si>
    <t>Cascade Creek</t>
  </si>
  <si>
    <t>Olmsted County</t>
  </si>
  <si>
    <t>MN109</t>
  </si>
  <si>
    <t>Rochester Public Utilities (Owner),Rochester Public Utilities (Operator)</t>
  </si>
  <si>
    <t>1 (35)</t>
  </si>
  <si>
    <t>R D Morrow Senior Generating Plant</t>
  </si>
  <si>
    <t>ARP, CSOSG2, NSPS4T</t>
  </si>
  <si>
    <t>Lamar County</t>
  </si>
  <si>
    <t>MS073</t>
  </si>
  <si>
    <t>CTG (402), STG (155)</t>
  </si>
  <si>
    <t>Electrifarm</t>
  </si>
  <si>
    <t>MidAmerican Energy Company (Owner),MidAmerican Energy Company (Operator)</t>
  </si>
  <si>
    <t>1 (71.2)</t>
  </si>
  <si>
    <t>2 (89)</t>
  </si>
  <si>
    <t>3 (103.9)</t>
  </si>
  <si>
    <t>Nearman Creek</t>
  </si>
  <si>
    <t>CT4 (97)</t>
  </si>
  <si>
    <t>N1</t>
  </si>
  <si>
    <t>1 (261)</t>
  </si>
  <si>
    <t>Iatan</t>
  </si>
  <si>
    <t>Platte County</t>
  </si>
  <si>
    <t>MO165</t>
  </si>
  <si>
    <t>Evergy, Inc. (Owner),The Empire District Electric Co - a Liberty Utilities Co (Owner),Evergy, Inc. (Operator)</t>
  </si>
  <si>
    <t>Low NOx Burner Technology w/ Overfire Air,Overfire Air,Selective Catalytic Reduction</t>
  </si>
  <si>
    <t>1 (725)</t>
  </si>
  <si>
    <t>Kansas Electric Power Cooperative (Owner),Evergy, Inc. (Owner),Missouri Joint Municipal Electric Utility Commission (Owner),The Empire District Electric Co - a Liberty Utilities Co (Owner),Evergy, Inc. (Operator)</t>
  </si>
  <si>
    <t>2 (914)</t>
  </si>
  <si>
    <t>Jeffrey Energy Center</t>
  </si>
  <si>
    <t>Pottawatomie County</t>
  </si>
  <si>
    <t>KS149</t>
  </si>
  <si>
    <t>1 (800)</t>
  </si>
  <si>
    <t>2 (800)</t>
  </si>
  <si>
    <t>3 (800)</t>
  </si>
  <si>
    <t>Trimble County</t>
  </si>
  <si>
    <t>KY223</t>
  </si>
  <si>
    <t>Illinois Municipal Electric Agency (Owner),Indiana Municipal Power Agency (Owner),LGE and KU Energy LLC (Owner),LGE and KU Energy LLC (Operator)</t>
  </si>
  <si>
    <t>1 (566.1)</t>
  </si>
  <si>
    <t>MS-2A, MS-2B</t>
  </si>
  <si>
    <t>Illinois Municipal Electric Agency (Owner),Indiana Municipal Power Agency (Owner),Kentucky Utilities Company (Owner),LGE and KU Energy LLC (Owner),LGE and KU Energy LLC (Operator)</t>
  </si>
  <si>
    <t>Baghouse,Electrostatic Precipitator,Wet ESP,Wet Scrubber</t>
  </si>
  <si>
    <t>2 (750)</t>
  </si>
  <si>
    <t>5 (174)</t>
  </si>
  <si>
    <t>6 (174)</t>
  </si>
  <si>
    <t>7 (174)</t>
  </si>
  <si>
    <t>8 (174)</t>
  </si>
  <si>
    <t>9 (174)</t>
  </si>
  <si>
    <t>10 (174)</t>
  </si>
  <si>
    <t>Daniel Electric Generating Plant</t>
  </si>
  <si>
    <t>Gulf Power Company (Owner),Mississippi Power Company (Owner),Mississippi Power Company (Operator)</t>
  </si>
  <si>
    <t>1 (500)</t>
  </si>
  <si>
    <t>2 (500)</t>
  </si>
  <si>
    <t>3 (185.5), 3ST (195.2)</t>
  </si>
  <si>
    <t>3ST (195.2), 3CT (185.5)</t>
  </si>
  <si>
    <t>4 (185.5), 4ST (195.2)</t>
  </si>
  <si>
    <t>4CT (185.5), 4ST (195.2)</t>
  </si>
  <si>
    <t>Greenwood Energy Center</t>
  </si>
  <si>
    <t>GEC1 (58)</t>
  </si>
  <si>
    <t>GEC2 (58)</t>
  </si>
  <si>
    <t>GEC3 (58)</t>
  </si>
  <si>
    <t>GEC4 (58)</t>
  </si>
  <si>
    <t>Colstrip</t>
  </si>
  <si>
    <t>609730 (Ended May 10, 2023), 605006 (Started May 10, 2023)</t>
  </si>
  <si>
    <t>Rosebud County</t>
  </si>
  <si>
    <t>MT087</t>
  </si>
  <si>
    <t>Avista Corporation (Owner),Pacificorp Energy Generation (Owner),Portland General Electric Company (Owner),Talen Montana, LLC (Owner),Puget Sound Energy, Inc. (Owner),Talen Montana, LLC (Operator)</t>
  </si>
  <si>
    <t>Wet Scrubber</t>
  </si>
  <si>
    <t>3 (778)</t>
  </si>
  <si>
    <t>Avista Corporation (Owner),NorthWestern Energy, LLC (Owner),Pacificorp Energy Generation (Owner),Portland General Electric Company (Owner),Talen Montana, LLC (Owner),Puget Sound Energy, Inc. (Owner),Talen Montana, LLC (Operator)</t>
  </si>
  <si>
    <t>4 (778)</t>
  </si>
  <si>
    <t>Gerald Gentleman Station</t>
  </si>
  <si>
    <t>NE111</t>
  </si>
  <si>
    <t>1 (681.3)</t>
  </si>
  <si>
    <t>2 (681.3)</t>
  </si>
  <si>
    <t>Stony Brook Energy Center</t>
  </si>
  <si>
    <t>608883 (Ended Sep 26, 2023), 610790 (Started Sep 26, 2023)</t>
  </si>
  <si>
    <t>Hampden County</t>
  </si>
  <si>
    <t>MA013</t>
  </si>
  <si>
    <t>Massachusetts Municipal Wholesale Electric (Owner),Green Mountain Power Corporation (Owner),Village of Lydonville (Owner),Massachusetts Municipal Wholesale Electric (Operator)</t>
  </si>
  <si>
    <t>CT1 (85), CA1 (105)</t>
  </si>
  <si>
    <t>Water Injection,Dry Low NOx Burners</t>
  </si>
  <si>
    <t>CA1 (105), CT2 (85)</t>
  </si>
  <si>
    <t>CT3 (85), CA1 (105)</t>
  </si>
  <si>
    <t>Massachusetts Municipal Wholesale Electric (Owner),Massachusetts Municipal Wholesale Electric (Operator)</t>
  </si>
  <si>
    <t>1 (85)</t>
  </si>
  <si>
    <t>R M Schahfer Generating Station</t>
  </si>
  <si>
    <t>IN073</t>
  </si>
  <si>
    <t>17 (423.5)</t>
  </si>
  <si>
    <t>18 (423.5)</t>
  </si>
  <si>
    <t>16A (129)</t>
  </si>
  <si>
    <t>16B (129)</t>
  </si>
  <si>
    <t>Wet ESP,Wet Scrubber</t>
  </si>
  <si>
    <t>Northern States Power (Xcel Energy) (Owner),Southern Minnesota Municipal Power Agency (Owner),Northern States Power (Xcel Energy) (Operator)</t>
  </si>
  <si>
    <t>3 (809)</t>
  </si>
  <si>
    <t>Sooner</t>
  </si>
  <si>
    <t>Noble County</t>
  </si>
  <si>
    <t>OK103</t>
  </si>
  <si>
    <t>1 (568)</t>
  </si>
  <si>
    <t>2 (568)</t>
  </si>
  <si>
    <t>Nebraska City Station</t>
  </si>
  <si>
    <t>Otoe County</t>
  </si>
  <si>
    <t>NE131</t>
  </si>
  <si>
    <t>1 (691)</t>
  </si>
  <si>
    <t>2 (725)</t>
  </si>
  <si>
    <t>Big Stone</t>
  </si>
  <si>
    <t>SD051</t>
  </si>
  <si>
    <t>Montana Dakota Utilities Company (Owner),Northwestern Public Service Company (Owner),Otter Tail Power Company (Owner),Otter Tail Power Company (Operator)</t>
  </si>
  <si>
    <t>Diesel Oil, Wood</t>
  </si>
  <si>
    <t>1 (456)</t>
  </si>
  <si>
    <t>Wyodak</t>
  </si>
  <si>
    <t>BW91</t>
  </si>
  <si>
    <t>Campbell County</t>
  </si>
  <si>
    <t>WY005</t>
  </si>
  <si>
    <t>Black Hills Corporation (Owner),Pacificorp (Owner),Pacificorp (Operator)</t>
  </si>
  <si>
    <t>1 (335)</t>
  </si>
  <si>
    <t>Fort St. Vrain</t>
  </si>
  <si>
    <t>Weld County</t>
  </si>
  <si>
    <t>CO123</t>
  </si>
  <si>
    <t>2 (130), 1 (336)</t>
  </si>
  <si>
    <t>3 (135), 1 (336)</t>
  </si>
  <si>
    <t>4 (130), 1 (336)</t>
  </si>
  <si>
    <t>5 (146)</t>
  </si>
  <si>
    <t>6 (146)</t>
  </si>
  <si>
    <t>Gibson</t>
  </si>
  <si>
    <t>Gibson County</t>
  </si>
  <si>
    <t>IN051</t>
  </si>
  <si>
    <t>1 (668)</t>
  </si>
  <si>
    <t>2 (668)</t>
  </si>
  <si>
    <t>3 (668)</t>
  </si>
  <si>
    <t>4 (668)</t>
  </si>
  <si>
    <t>Indiana Municipal Power Agency (Owner),Wabash Valley Power Alliance (Owner),Duke Energy Indiana, LLC (Owner),Duke Energy Indiana, LLC (Operator)</t>
  </si>
  <si>
    <t>5 (668)</t>
  </si>
  <si>
    <t>McIntosh (6124)</t>
  </si>
  <si>
    <t>Effingham County</t>
  </si>
  <si>
    <t>GA103</t>
  </si>
  <si>
    <t>CT1 (80)</t>
  </si>
  <si>
    <t>CT2 (80)</t>
  </si>
  <si>
    <t>CT3 (80)</t>
  </si>
  <si>
    <t>CT4 (80)</t>
  </si>
  <si>
    <t>CT5 (80)</t>
  </si>
  <si>
    <t>CT6 (80)</t>
  </si>
  <si>
    <t>CT7 (80)</t>
  </si>
  <si>
    <t>CT8 (80)</t>
  </si>
  <si>
    <t>A B Brown Generating Station</t>
  </si>
  <si>
    <t>Posey County</t>
  </si>
  <si>
    <t>IN129</t>
  </si>
  <si>
    <t>Dual Alkali</t>
  </si>
  <si>
    <t>4 (80)</t>
  </si>
  <si>
    <t>5 (80)</t>
  </si>
  <si>
    <t>Flint Creek Power Plant</t>
  </si>
  <si>
    <t>Benton County</t>
  </si>
  <si>
    <t>AR007</t>
  </si>
  <si>
    <t>Arkansas Electric Cooperative Corporation (Owner),Southwestern Electric Power Company (Owner),Southwestern Electric Power Company (Operator)</t>
  </si>
  <si>
    <t>1 (510.8)</t>
  </si>
  <si>
    <t>Welsh Power Plant</t>
  </si>
  <si>
    <t>Titus County</t>
  </si>
  <si>
    <t>TX449</t>
  </si>
  <si>
    <t>1 (558)</t>
  </si>
  <si>
    <t>3 (558)</t>
  </si>
  <si>
    <t>Martin Lake</t>
  </si>
  <si>
    <t>Rusk County</t>
  </si>
  <si>
    <t>TX401</t>
  </si>
  <si>
    <t>1 (793.2)</t>
  </si>
  <si>
    <t>2 (793.2)</t>
  </si>
  <si>
    <t>3 (793.2)</t>
  </si>
  <si>
    <t>Rush Island</t>
  </si>
  <si>
    <t>MO099</t>
  </si>
  <si>
    <t>1 (621)</t>
  </si>
  <si>
    <t>2 (621)</t>
  </si>
  <si>
    <t>New Haven Harbor</t>
  </si>
  <si>
    <t>NHB1</t>
  </si>
  <si>
    <t>1 (460)</t>
  </si>
  <si>
    <t>NHHS2</t>
  </si>
  <si>
    <t>PSEG New Haven LLC (Owner) (Ended Apr 13, 2023),GB II New Haven LLC (Owner) (Started Apr 13, 2023),PSEG New Haven LLC (Operator) (Ended Apr 13, 2023),Consolidated Asset Management Services, LLC (Operator) (Started Apr 13, 2023)</t>
  </si>
  <si>
    <t>2 (60.5)</t>
  </si>
  <si>
    <t>NHHS3</t>
  </si>
  <si>
    <t>3 (60.5)</t>
  </si>
  <si>
    <t>NHHS4</t>
  </si>
  <si>
    <t>Hunter</t>
  </si>
  <si>
    <t>Emery County</t>
  </si>
  <si>
    <t>UT015</t>
  </si>
  <si>
    <t>Utah Municipal Power Agency (Owner),Pacificorp (Owner),Pacificorp (Operator)</t>
  </si>
  <si>
    <t>1 (430)</t>
  </si>
  <si>
    <t>Deseret Generation &amp; Transmission (Owner),Utah Associated Municipal Power Systems (Owner),Pacificorp (Owner),Pacificorp (Operator)</t>
  </si>
  <si>
    <t>2 (430)</t>
  </si>
  <si>
    <t>3 (460)</t>
  </si>
  <si>
    <t>Rockport</t>
  </si>
  <si>
    <t>Spencer County</t>
  </si>
  <si>
    <t>IN147</t>
  </si>
  <si>
    <t>Indiana Michigan Power Company (Owner),Indiana Michigan Power Company (Operator)</t>
  </si>
  <si>
    <t>Passive Lessors (Owner),Indiana Michigan Power Company (Operator)</t>
  </si>
  <si>
    <t>Coronado Generating Station</t>
  </si>
  <si>
    <t>U1B</t>
  </si>
  <si>
    <t>Apache County</t>
  </si>
  <si>
    <t>AZ001</t>
  </si>
  <si>
    <t>CO1 (410.9)</t>
  </si>
  <si>
    <t>U2B</t>
  </si>
  <si>
    <t>CO2 (410.9)</t>
  </si>
  <si>
    <t>Coleto Creek</t>
  </si>
  <si>
    <t>Goliad County</t>
  </si>
  <si>
    <t>TX175</t>
  </si>
  <si>
    <t>Coleto Creek Power, LLC (Owner),Coleto Creek Power, LLC (Operator)</t>
  </si>
  <si>
    <t>1 (632)</t>
  </si>
  <si>
    <t>Sam Seymour</t>
  </si>
  <si>
    <t>Fayette County</t>
  </si>
  <si>
    <t>TX149</t>
  </si>
  <si>
    <t>City of Austin (Owner),Lower Colorado River Authority (Owner),Lower Colorado River Authority (Operator)</t>
  </si>
  <si>
    <t>Diesel Oil, Other Solid Fuel</t>
  </si>
  <si>
    <t>1 (615)</t>
  </si>
  <si>
    <t>2 (615)</t>
  </si>
  <si>
    <t>Oak Grove</t>
  </si>
  <si>
    <t>Robertson County</t>
  </si>
  <si>
    <t>TX395</t>
  </si>
  <si>
    <t>Oak Grove Management Company LLC (Owner),Oak Grove Management Company LLC (Operator)</t>
  </si>
  <si>
    <t>OG1 (916.8)</t>
  </si>
  <si>
    <t>OG2 (878.6)</t>
  </si>
  <si>
    <t>San Miguel</t>
  </si>
  <si>
    <t>SM-1</t>
  </si>
  <si>
    <t>Atascosa County</t>
  </si>
  <si>
    <t>TX013</t>
  </si>
  <si>
    <t>San Miguel Electric Cooperative, Inc. (Owner),San Miguel Electric Cooperative, Inc. (Operator)</t>
  </si>
  <si>
    <t>Overfire Air,Low NOx Burner Technology (Dry Bottom only)</t>
  </si>
  <si>
    <t>1 (410)</t>
  </si>
  <si>
    <t>Brame Energy Center</t>
  </si>
  <si>
    <t>Rapides Parish</t>
  </si>
  <si>
    <t>LA079</t>
  </si>
  <si>
    <t>1 (445.5)</t>
  </si>
  <si>
    <t>Lafayette Public Power Authority (Owner),Louisiana Energy &amp; Power Authority (Owner),Cleco Power LLC (Owner),Cleco Power LLC (Operator)</t>
  </si>
  <si>
    <t>2 (558)</t>
  </si>
  <si>
    <t>3 (703.8)</t>
  </si>
  <si>
    <t>Harrington Station</t>
  </si>
  <si>
    <t>061B</t>
  </si>
  <si>
    <t>Low NOx Burner Technology w/ Separated OFA,Overfire Air</t>
  </si>
  <si>
    <t>1 (360)</t>
  </si>
  <si>
    <t>062B</t>
  </si>
  <si>
    <t>2 (360)</t>
  </si>
  <si>
    <t>063B</t>
  </si>
  <si>
    <t>3 (360)</t>
  </si>
  <si>
    <t>Tolk Station</t>
  </si>
  <si>
    <t>171B</t>
  </si>
  <si>
    <t>172B</t>
  </si>
  <si>
    <t>John Twitty Energy Center</t>
  </si>
  <si>
    <t>Diesel Oil, Natural Gas, Pipeline Natural Gas</t>
  </si>
  <si>
    <t>Other,Selective Catalytic Reduction</t>
  </si>
  <si>
    <t>ST1 (233)</t>
  </si>
  <si>
    <t>Natural Gas, Pipeline Natural Gas</t>
  </si>
  <si>
    <t>Other (Non PAC) Sorbent Injection</t>
  </si>
  <si>
    <t>ST2 (310)</t>
  </si>
  <si>
    <t>CT1A</t>
  </si>
  <si>
    <t>GT1 (57)</t>
  </si>
  <si>
    <t>CT1B</t>
  </si>
  <si>
    <t>GT2 (51.6)</t>
  </si>
  <si>
    <t>Laramie River</t>
  </si>
  <si>
    <t>WY031</t>
  </si>
  <si>
    <t>Basin Electric Power Cooperative (Owner),County of Los Alamos (Owner),Heartland Consumers Power District (Owner),Lincoln Electric System (Owner),Nebraska Municipal Energy Agency (Owner),Tri-State Generation &amp; Transmission (Owner),Western Minnesota Municipal Power (Owner),Wyoming Municipal Power Agency (Owner),Basin Electric Power Cooperative (Operator)</t>
  </si>
  <si>
    <t>Overfire Air,Selective Catalytic Reduction,Low NOx Burner Technology (Dry Bottom only)</t>
  </si>
  <si>
    <t>1 (570)</t>
  </si>
  <si>
    <t>Overfire Air,Selective Non-catalytic Reduction,Low NOx Burner Technology (Dry Bottom only)</t>
  </si>
  <si>
    <t>2 (570)</t>
  </si>
  <si>
    <t>3 (570)</t>
  </si>
  <si>
    <t>Merom</t>
  </si>
  <si>
    <t>1SG1</t>
  </si>
  <si>
    <t>Sullivan County</t>
  </si>
  <si>
    <t>IN153</t>
  </si>
  <si>
    <t>Hallador Power Company LLC (Owner),Hallador Power Company LLC (Operator)</t>
  </si>
  <si>
    <t>1 (540)</t>
  </si>
  <si>
    <t>2SG1</t>
  </si>
  <si>
    <t>2 (540)</t>
  </si>
  <si>
    <t>Empire District Elec Co Energy Ctr</t>
  </si>
  <si>
    <t>MO097</t>
  </si>
  <si>
    <t>1 (129)</t>
  </si>
  <si>
    <t>2 (129)</t>
  </si>
  <si>
    <t>Roland C. Dansby Power Plant</t>
  </si>
  <si>
    <t>Brazos County</t>
  </si>
  <si>
    <t>TX041</t>
  </si>
  <si>
    <t>Bryan Texas Utilities (Owner),Bryan Texas Utilities (Operator)</t>
  </si>
  <si>
    <t>1 (105)</t>
  </si>
  <si>
    <t>2 (50)</t>
  </si>
  <si>
    <t>Pawnee</t>
  </si>
  <si>
    <t>CO087</t>
  </si>
  <si>
    <t>1 (547)</t>
  </si>
  <si>
    <t>Winyah</t>
  </si>
  <si>
    <t>Georgetown County</t>
  </si>
  <si>
    <t>SC043</t>
  </si>
  <si>
    <t>1 (315)</t>
  </si>
  <si>
    <t>2 (315)</t>
  </si>
  <si>
    <t>3 (315)</t>
  </si>
  <si>
    <t>4 (315)</t>
  </si>
  <si>
    <t>Mayo</t>
  </si>
  <si>
    <t>CS005A</t>
  </si>
  <si>
    <t>1 (735.8)</t>
  </si>
  <si>
    <t>Germantown Power Plant</t>
  </si>
  <si>
    <t>WI131</t>
  </si>
  <si>
    <t>5 (85.4)</t>
  </si>
  <si>
    <t>P30</t>
  </si>
  <si>
    <t>1 (61.2)</t>
  </si>
  <si>
    <t>P31</t>
  </si>
  <si>
    <t>P32</t>
  </si>
  <si>
    <t>2 (61.2)</t>
  </si>
  <si>
    <t>P33</t>
  </si>
  <si>
    <t>P34</t>
  </si>
  <si>
    <t>3 (61.2)</t>
  </si>
  <si>
    <t>P35</t>
  </si>
  <si>
    <t>P36</t>
  </si>
  <si>
    <t>4 (61.2)</t>
  </si>
  <si>
    <t>P37</t>
  </si>
  <si>
    <t>Ottumwa</t>
  </si>
  <si>
    <t>Wapello County</t>
  </si>
  <si>
    <t>IA179</t>
  </si>
  <si>
    <t>MidAmerican Energy Company (Owner),Interstate Power &amp; Light Company (Owner),Interstate Power &amp; Light Company (Operator)</t>
  </si>
  <si>
    <t>Other,Baghouse,Electrostatic Precipitator</t>
  </si>
  <si>
    <t>1 (726)</t>
  </si>
  <si>
    <t>Scherer</t>
  </si>
  <si>
    <t>GA207</t>
  </si>
  <si>
    <t>Dalton Utilities (Owner),Municipal Electric Authority of Georgia (Owner),Georgia Power Company (Owner),Oglethorpe Power Company (Owner),Georgia Power Company (Operator)</t>
  </si>
  <si>
    <t>1 (891)</t>
  </si>
  <si>
    <t>2 (891)</t>
  </si>
  <si>
    <t>3 (891)</t>
  </si>
  <si>
    <t>Allen B Wilson Combustion Turbine Plant</t>
  </si>
  <si>
    <t>608132 (Ended Jan 11, 2023), 610511 (Started Jan 11, 2023)</t>
  </si>
  <si>
    <t>Burke County</t>
  </si>
  <si>
    <t>GA033</t>
  </si>
  <si>
    <t>Georgia Power Company (Owner),Southern Company (Operator)</t>
  </si>
  <si>
    <t>5A (60.5)</t>
  </si>
  <si>
    <t>5B (60.5)</t>
  </si>
  <si>
    <t>1C</t>
  </si>
  <si>
    <t>5C (60.5)</t>
  </si>
  <si>
    <t>1D</t>
  </si>
  <si>
    <t>5D (60.5)</t>
  </si>
  <si>
    <t>1E</t>
  </si>
  <si>
    <t>5E (60.5)</t>
  </si>
  <si>
    <t>1F</t>
  </si>
  <si>
    <t>5F (60.5)</t>
  </si>
  <si>
    <t>Mountaineer (1301)</t>
  </si>
  <si>
    <t>WV053</t>
  </si>
  <si>
    <t>Hutchinson - Plant 2</t>
  </si>
  <si>
    <t>McLeod County</t>
  </si>
  <si>
    <t>MN085</t>
  </si>
  <si>
    <t>Hutchinson Utilities Commission (Owner),Hutchinson Utilities Commission (Operator)</t>
  </si>
  <si>
    <t>2 (54), 3 (11.5)</t>
  </si>
  <si>
    <t>Rokeby</t>
  </si>
  <si>
    <t>1 (72.4)</t>
  </si>
  <si>
    <t>2 (95.4)</t>
  </si>
  <si>
    <t>3 (95.4)</t>
  </si>
  <si>
    <t>Dayton Avenue Substation</t>
  </si>
  <si>
    <t>GT2 (57.4)</t>
  </si>
  <si>
    <t>Antelope Valley</t>
  </si>
  <si>
    <t>Additives to Enhance PAC and Existing Equipment Performance,Untreated PAC Sorbent Injection,Other (Non PAC) Sorbent Injection</t>
  </si>
  <si>
    <t>1 (435)</t>
  </si>
  <si>
    <t>2 (435)</t>
  </si>
  <si>
    <t>Intermountain</t>
  </si>
  <si>
    <t>1SGA</t>
  </si>
  <si>
    <t>Millard County</t>
  </si>
  <si>
    <t>UT027</t>
  </si>
  <si>
    <t>Intermountain Power Agency (Owner),Intermountain Power Service Corporation (Operator)</t>
  </si>
  <si>
    <t>1 (820)</t>
  </si>
  <si>
    <t>2SGA</t>
  </si>
  <si>
    <t>2 (820)</t>
  </si>
  <si>
    <t>Stock Island</t>
  </si>
  <si>
    <t>FL087</t>
  </si>
  <si>
    <t>Florida Municipal Power Agency (Owner),Keys Energy Service (Operator)</t>
  </si>
  <si>
    <t>GT4 (42)</t>
  </si>
  <si>
    <t>Alfred L Pierce Generating Station</t>
  </si>
  <si>
    <t>AP-1</t>
  </si>
  <si>
    <t>609773 (Ended Apr 06, 2023), 609382 (Started Apr 06, 2023)(Ended Oct 20, 2023), 604966 (Started Oct 20, 2023)</t>
  </si>
  <si>
    <t>MPH AL Pierce, LLC (Owner),MPH AL Pierce, LLC (Operator)</t>
  </si>
  <si>
    <t>4 (84)</t>
  </si>
  <si>
    <t>R D Green</t>
  </si>
  <si>
    <t>G1</t>
  </si>
  <si>
    <t>1 (263.7)</t>
  </si>
  <si>
    <t>G2</t>
  </si>
  <si>
    <t>2 (263.7)</t>
  </si>
  <si>
    <t>Independence</t>
  </si>
  <si>
    <t>Independence County</t>
  </si>
  <si>
    <t>AR063</t>
  </si>
  <si>
    <t>Arkansas Electric Cooperative Corporation (Owner),City of Jonesboro (Owner),City of Osceola (Owner),Conway Corporation (Owner),West Memphis Utilities (Owner),Entergy Corporation (Owner),Entergy Corporation (Operator)</t>
  </si>
  <si>
    <t>Mexico</t>
  </si>
  <si>
    <t>Audrain County</t>
  </si>
  <si>
    <t>MO007</t>
  </si>
  <si>
    <t>Moberly</t>
  </si>
  <si>
    <t>Moreau</t>
  </si>
  <si>
    <t>Louisa</t>
  </si>
  <si>
    <t>Louisa County</t>
  </si>
  <si>
    <t>IA115</t>
  </si>
  <si>
    <t>Central Iowa Power Cooperative (Owner),MidAmerican Energy Company (Owner),Geneseo Municipal Electric Utility (Owner),Waverly Light &amp; Power (Owner),Tipton Municipal Utilities (Owner),Harlan Municipal Utilities (Owner),Eldridge Electric and Water Utilities (Owner),Alliant Energy - Interstate Power &amp; Light (Owner),MidAmerican Energy Company (Operator)</t>
  </si>
  <si>
    <t>1 (738)</t>
  </si>
  <si>
    <t>Alcoa Allowance Management Inc</t>
  </si>
  <si>
    <t>Industrial Boiler</t>
  </si>
  <si>
    <t>Vectren Corporation (Owner),Alcoa Allowance Management, Inc. (Owner),Alcoa Allowance Management, Inc. (Operator)</t>
  </si>
  <si>
    <t>4 (323)</t>
  </si>
  <si>
    <t>Rock Lake Station</t>
  </si>
  <si>
    <t>Pine County</t>
  </si>
  <si>
    <t>MN115</t>
  </si>
  <si>
    <t>1 (29.3)</t>
  </si>
  <si>
    <t>Rawhide Energy Station</t>
  </si>
  <si>
    <t>Larimer County</t>
  </si>
  <si>
    <t>CO069</t>
  </si>
  <si>
    <t>Platte River Power Authority (Owner),Platte River Power Authority (Operator)</t>
  </si>
  <si>
    <t>1 (305)</t>
  </si>
  <si>
    <t>A (82)</t>
  </si>
  <si>
    <t>B (82)</t>
  </si>
  <si>
    <t>C</t>
  </si>
  <si>
    <t>C (82)</t>
  </si>
  <si>
    <t>D</t>
  </si>
  <si>
    <t>D (82)</t>
  </si>
  <si>
    <t>F</t>
  </si>
  <si>
    <t>F (150)</t>
  </si>
  <si>
    <t>Sikeston</t>
  </si>
  <si>
    <t>Scott County</t>
  </si>
  <si>
    <t>MO201</t>
  </si>
  <si>
    <t>City of Carthage (Owner),City of Columbia (Owner),City of Fulton (Owner),Sikeston Bd. of Municipal Utilities (Owner),Sikeston Bd. of Municipal Utilities (Operator)</t>
  </si>
  <si>
    <t>Hugo</t>
  </si>
  <si>
    <t>Choctaw County</t>
  </si>
  <si>
    <t>OK023</t>
  </si>
  <si>
    <t>1 (475)</t>
  </si>
  <si>
    <t>West Station</t>
  </si>
  <si>
    <t>D B Wilson</t>
  </si>
  <si>
    <t>W1</t>
  </si>
  <si>
    <t>Ohio County</t>
  </si>
  <si>
    <t>KY183</t>
  </si>
  <si>
    <t>1 (509.5)</t>
  </si>
  <si>
    <t>St. Bonifacius Station</t>
  </si>
  <si>
    <t>Carver County</t>
  </si>
  <si>
    <t>MN019</t>
  </si>
  <si>
    <t>East 12th Street</t>
  </si>
  <si>
    <t>Cowley County</t>
  </si>
  <si>
    <t>KS035</t>
  </si>
  <si>
    <t>City of Winfield Kansas (Owner),City of Winfield Kansas (Operator)</t>
  </si>
  <si>
    <t>4 (26.5)</t>
  </si>
  <si>
    <t>Twin Oaks</t>
  </si>
  <si>
    <t>U1</t>
  </si>
  <si>
    <t>610098 (Ended Sep 19, 2023), 606769 (Started Sep 19, 2023)</t>
  </si>
  <si>
    <t>Major Oak Power, LLC (Owner),Major Oak Power, LLC (Operator) (Ended Sep 19, 2023),NAES Corporation (Operator) (Started Sep 19, 2023)</t>
  </si>
  <si>
    <t>1 (174.6)</t>
  </si>
  <si>
    <t>U2</t>
  </si>
  <si>
    <t>2 (174.6)</t>
  </si>
  <si>
    <t>Gravel Neck Combustion Turbine</t>
  </si>
  <si>
    <t>Surry County</t>
  </si>
  <si>
    <t>VA181</t>
  </si>
  <si>
    <t>3 (92)</t>
  </si>
  <si>
    <t>4 (92)</t>
  </si>
  <si>
    <t>5 (92)</t>
  </si>
  <si>
    <t>6 (92)</t>
  </si>
  <si>
    <t>McIntosh (7063)</t>
  </si>
  <si>
    <t>**1</t>
  </si>
  <si>
    <t>Other turbine</t>
  </si>
  <si>
    <t>1 (110)</t>
  </si>
  <si>
    <t>**2</t>
  </si>
  <si>
    <t>**3</t>
  </si>
  <si>
    <t>3 (113)</t>
  </si>
  <si>
    <t>5 (170)</t>
  </si>
  <si>
    <t>Harry Allen</t>
  </si>
  <si>
    <t>GT1 (78)</t>
  </si>
  <si>
    <t>7 (223.5), 5 (167.5)</t>
  </si>
  <si>
    <t>**6</t>
  </si>
  <si>
    <t>6 (167.5), 7 (223.5)</t>
  </si>
  <si>
    <t>J K Spruce</t>
  </si>
  <si>
    <t>1 (546)</t>
  </si>
  <si>
    <t>Forked River Power</t>
  </si>
  <si>
    <t>CPFG01</t>
  </si>
  <si>
    <t>Ocean County</t>
  </si>
  <si>
    <t>NJ029</t>
  </si>
  <si>
    <t>Forked River Power, LLC (Owner),IHI Power Services Corporation (Operator)</t>
  </si>
  <si>
    <t>1 (38.4)</t>
  </si>
  <si>
    <t>2 (38.4)</t>
  </si>
  <si>
    <t>Pleasant Hill Energy Center</t>
  </si>
  <si>
    <t>IA153</t>
  </si>
  <si>
    <t>1 (46.4)</t>
  </si>
  <si>
    <t>2 (46.4)</t>
  </si>
  <si>
    <t>3 (97)</t>
  </si>
  <si>
    <t>Wading River Facility</t>
  </si>
  <si>
    <t>UGT007</t>
  </si>
  <si>
    <t>Other,Water Injection</t>
  </si>
  <si>
    <t>1 (79.5)</t>
  </si>
  <si>
    <t>UGT008</t>
  </si>
  <si>
    <t>02 (79.5)</t>
  </si>
  <si>
    <t>UGT009</t>
  </si>
  <si>
    <t>03 (79.5)</t>
  </si>
  <si>
    <t>UGT013</t>
  </si>
  <si>
    <t>GT1 (52.9)</t>
  </si>
  <si>
    <t>UGT014</t>
  </si>
  <si>
    <t>Hay Road</t>
  </si>
  <si>
    <t>Water Injection,Overfire Air</t>
  </si>
  <si>
    <t>HR1 (103.5), HR4 (207)</t>
  </si>
  <si>
    <t>HR4 (207), HR2 (103.5)</t>
  </si>
  <si>
    <t>Water Injection,Overfire Air,Selective Catalytic Reduction</t>
  </si>
  <si>
    <t>HR8 (230), HR5 (144)</t>
  </si>
  <si>
    <t>HR6 (144), HR8 (230)</t>
  </si>
  <si>
    <t>HR8 (230), HR7 (144)</t>
  </si>
  <si>
    <t>HR4 (207), HR3 (103.5)</t>
  </si>
  <si>
    <t>Lime Creek</t>
  </si>
  <si>
    <t>Cerro Gordo County</t>
  </si>
  <si>
    <t>IA033</t>
  </si>
  <si>
    <t>1 (41.4)</t>
  </si>
  <si>
    <t>2 (41.4)</t>
  </si>
  <si>
    <t>Woodsdale</t>
  </si>
  <si>
    <t>GT1 (81.6)</t>
  </si>
  <si>
    <t>GT2 (81.6)</t>
  </si>
  <si>
    <t>GT3 (81.6)</t>
  </si>
  <si>
    <t>GT4 (81.6)</t>
  </si>
  <si>
    <t>GT5 (81.6)</t>
  </si>
  <si>
    <t>GT6 (81.6)</t>
  </si>
  <si>
    <t>Concord</t>
  </si>
  <si>
    <t>WI055</t>
  </si>
  <si>
    <t>1 (95.4)</t>
  </si>
  <si>
    <t>4 (95.4)</t>
  </si>
  <si>
    <t>South Fond Du Lac</t>
  </si>
  <si>
    <t>**CT1</t>
  </si>
  <si>
    <t>Fond du Lac County</t>
  </si>
  <si>
    <t>WI039</t>
  </si>
  <si>
    <t>Wisconsin Public Power Inc (Owner),Wisconsin Power &amp; Light Company (Operator)</t>
  </si>
  <si>
    <t>CT1 (86)</t>
  </si>
  <si>
    <t>**CT2</t>
  </si>
  <si>
    <t>CT2 (86)</t>
  </si>
  <si>
    <t>**CT3</t>
  </si>
  <si>
    <t>CT3 (86)</t>
  </si>
  <si>
    <t>**CT4</t>
  </si>
  <si>
    <t>CT4 (86)</t>
  </si>
  <si>
    <t>Cope Station</t>
  </si>
  <si>
    <t>COP1</t>
  </si>
  <si>
    <t>Orangeburg County</t>
  </si>
  <si>
    <t>SC075</t>
  </si>
  <si>
    <t>Selective Catalytic Reduction,Low NOx Burner Technology w/ Separated OFA</t>
  </si>
  <si>
    <t>ST1 (417.4)</t>
  </si>
  <si>
    <t>Darbytown Combustion Turbine</t>
  </si>
  <si>
    <t>Henrico County</t>
  </si>
  <si>
    <t>VA087</t>
  </si>
  <si>
    <t>1 (92.1)</t>
  </si>
  <si>
    <t>2 (92.1)</t>
  </si>
  <si>
    <t>3 (92.1)</t>
  </si>
  <si>
    <t>4 (92.1)</t>
  </si>
  <si>
    <t>Clover Power Station</t>
  </si>
  <si>
    <t>Halifax County</t>
  </si>
  <si>
    <t>VA083</t>
  </si>
  <si>
    <t>Old Dominion Electric Cooperative (Owner),Virginia Electric &amp; Power Company (Owner),Dominion Generation (Operator)</t>
  </si>
  <si>
    <t>Selective Non-catalytic Reduction,Other</t>
  </si>
  <si>
    <t>1 (424)</t>
  </si>
  <si>
    <t>2 (424)</t>
  </si>
  <si>
    <t>Angus Anson</t>
  </si>
  <si>
    <t>Minnehaha County</t>
  </si>
  <si>
    <t>SD099</t>
  </si>
  <si>
    <t>2 (105)</t>
  </si>
  <si>
    <t>4 (195.7)</t>
  </si>
  <si>
    <t>Cane Island</t>
  </si>
  <si>
    <t>605043 (Ended Oct 04, 2023), 610800 (Started Oct 04, 2023)</t>
  </si>
  <si>
    <t>Osceola County</t>
  </si>
  <si>
    <t>FL097</t>
  </si>
  <si>
    <t>Florida Municipal Power Agency (Owner),Kissimmee Utility Authority (Operator)</t>
  </si>
  <si>
    <t>2 (80), 2A (40)</t>
  </si>
  <si>
    <t>3A (82.5), 3 (167.5)</t>
  </si>
  <si>
    <t>4 (180), 4A (143.5)</t>
  </si>
  <si>
    <t>Polk</t>
  </si>
  <si>
    <t>1CT (190), 1CA (133.4)</t>
  </si>
  <si>
    <t>2CC (463), 2 (165)</t>
  </si>
  <si>
    <t>2CC (463), 3 (165)</t>
  </si>
  <si>
    <t>4 (165), 2CC (463)</t>
  </si>
  <si>
    <t>5 (165), 2CC (463)</t>
  </si>
  <si>
    <t>Reedy Creek Central Energy Plant</t>
  </si>
  <si>
    <t>Reedy Creek Improvement District (Owner),Reedy Creek Energy Services, Inc. (Operator)</t>
  </si>
  <si>
    <t>GTG (61.5), STG (8.5)</t>
  </si>
  <si>
    <t>48th Street Peaking Station</t>
  </si>
  <si>
    <t>Allegan County</t>
  </si>
  <si>
    <t>MI005</t>
  </si>
  <si>
    <t>City of Holland (Owner),City of Holland (Operator)</t>
  </si>
  <si>
    <t>9 (83.5)</t>
  </si>
  <si>
    <t>7 (39.1)</t>
  </si>
  <si>
    <t>8 (39.1)</t>
  </si>
  <si>
    <t>Woodland Generation Station</t>
  </si>
  <si>
    <t>Stanislaus County</t>
  </si>
  <si>
    <t>CA099</t>
  </si>
  <si>
    <t>Modesto Irrigation District (Owner),Modesto Irrigation District (Operator)</t>
  </si>
  <si>
    <t>Water Injection,Selective Catalytic Reduction,Steam Injection</t>
  </si>
  <si>
    <t>NA1 (50.4)</t>
  </si>
  <si>
    <t>3 (37.73), 2 (60.49)</t>
  </si>
  <si>
    <t>Paris</t>
  </si>
  <si>
    <t>Kenosha County</t>
  </si>
  <si>
    <t>WI059</t>
  </si>
  <si>
    <t>Lincoln Combustion Turbine</t>
  </si>
  <si>
    <t>NC109</t>
  </si>
  <si>
    <t>Duke Energy Corporation (Owner),Duke Energy Corporation (Operator)</t>
  </si>
  <si>
    <t>1 (102)</t>
  </si>
  <si>
    <t>2 (102)</t>
  </si>
  <si>
    <t>3 (102)</t>
  </si>
  <si>
    <t>4 (102)</t>
  </si>
  <si>
    <t>5 (102)</t>
  </si>
  <si>
    <t>6 (102)</t>
  </si>
  <si>
    <t>7 (102)</t>
  </si>
  <si>
    <t>8 (102)</t>
  </si>
  <si>
    <t>9 (102)</t>
  </si>
  <si>
    <t>10 (102)</t>
  </si>
  <si>
    <t>11 (102)</t>
  </si>
  <si>
    <t>12 (102)</t>
  </si>
  <si>
    <t>13 (102)</t>
  </si>
  <si>
    <t>14 (102)</t>
  </si>
  <si>
    <t>15 (102)</t>
  </si>
  <si>
    <t>16 (102)</t>
  </si>
  <si>
    <t>17 (571)</t>
  </si>
  <si>
    <t>Sherman Avenue</t>
  </si>
  <si>
    <t>SHER (112.8)</t>
  </si>
  <si>
    <t>State Line (MO)</t>
  </si>
  <si>
    <t>1 (123)</t>
  </si>
  <si>
    <t>Empire District Electric Company (Owner),Westar Energy, Inc. (Owner),Empire District Electric Company (Operator)</t>
  </si>
  <si>
    <t>2-1 (181), 2-3 (206.5)</t>
  </si>
  <si>
    <t>2-2 (180), 2-3 (206.5)</t>
  </si>
  <si>
    <t>Hines Energy Complex</t>
  </si>
  <si>
    <t>1ST (199.8), 1GT (173.4)</t>
  </si>
  <si>
    <t>1GT2 (173.4), 1ST (199.8)</t>
  </si>
  <si>
    <t>2ST (190), 2GT (190)</t>
  </si>
  <si>
    <t>2GT2 (190), 2ST (190)</t>
  </si>
  <si>
    <t>3ST (190), 3GT (207)</t>
  </si>
  <si>
    <t>3GT2 (207), 3ST (190)</t>
  </si>
  <si>
    <t>4GT (170), 4ST (190)</t>
  </si>
  <si>
    <t>4ST (190), 4GT2 (170)</t>
  </si>
  <si>
    <t>Redding Power Plant</t>
  </si>
  <si>
    <t>Shasta County</t>
  </si>
  <si>
    <t>CA089</t>
  </si>
  <si>
    <t>Redding Electric Utility (Owner),Redding Electric Utility (Operator)</t>
  </si>
  <si>
    <t>Richard M Flynn (Holtsville)</t>
  </si>
  <si>
    <t>New York Power Authority (Owner),New York Power Authority (Operator)</t>
  </si>
  <si>
    <t>NA1 (108), NA2 (56)</t>
  </si>
  <si>
    <t>Almond Power Plant</t>
  </si>
  <si>
    <t>Turlock Irrigation District (Owner),Turlock Irrigation District (Operator)</t>
  </si>
  <si>
    <t>Selective Catalytic Reduction,Steam Injection</t>
  </si>
  <si>
    <t>1 (55)</t>
  </si>
  <si>
    <t>2 (54)</t>
  </si>
  <si>
    <t>3 (54)</t>
  </si>
  <si>
    <t>4 (54)</t>
  </si>
  <si>
    <t>Van Sant</t>
  </si>
  <si>
    <t>**11</t>
  </si>
  <si>
    <t>Kent County</t>
  </si>
  <si>
    <t>DE001</t>
  </si>
  <si>
    <t>City of Dover (Owner),City of Dover (Operator)</t>
  </si>
  <si>
    <t>1 (45.1)</t>
  </si>
  <si>
    <t>San Jacinto Steam Electric Station</t>
  </si>
  <si>
    <t>SJS1</t>
  </si>
  <si>
    <t>Harris County</t>
  </si>
  <si>
    <t>TX201</t>
  </si>
  <si>
    <t>1 (88.2)</t>
  </si>
  <si>
    <t>SJS2</t>
  </si>
  <si>
    <t>2 (88.2)</t>
  </si>
  <si>
    <t>Richmond (IN)</t>
  </si>
  <si>
    <t>RCT1</t>
  </si>
  <si>
    <t>2453 (Ended Jan 31, 2023), 610360 (Started Jan 31, 2023)</t>
  </si>
  <si>
    <t>Indiana Municipal Power Agency (Owner),Indiana Municipal Power Agency (Operator)</t>
  </si>
  <si>
    <t>RCT1 (38.7)</t>
  </si>
  <si>
    <t>RCT2</t>
  </si>
  <si>
    <t>RCT2 (38.7)</t>
  </si>
  <si>
    <t>Anderson</t>
  </si>
  <si>
    <t>ACT1</t>
  </si>
  <si>
    <t>IN095</t>
  </si>
  <si>
    <t>ACT1 (38.7)</t>
  </si>
  <si>
    <t>ACT2</t>
  </si>
  <si>
    <t>ACT2 (38.7)</t>
  </si>
  <si>
    <t>ACT3</t>
  </si>
  <si>
    <t>ACT3 (84)</t>
  </si>
  <si>
    <t>George Neal South</t>
  </si>
  <si>
    <t>Algona Municipal Utilities (Owner),Bancroft Municipal Utilities (Owner),Corn Belt Power Cooperative (Owner),Graettinger Municipal Utilities (Owner),Laurens Municipal Light &amp; Power (Owner),MidAmerican Energy Company (Owner),Milford Municipal Utilities (Owner),Northwest Iowa Power Cooperative (Owner),Spencer Municipal Utilities (Owner),Webster City Light &amp; Power (Owner),Cedar Falls Utilities (Owner),NorthWestern Energy (Owner),Coon Rapids Municipal Utilities (Owner),Alliant Energy - Interstate Power &amp; Light (Owner),MidAmerican Energy Company (Operator)</t>
  </si>
  <si>
    <t>4 (639.9)</t>
  </si>
  <si>
    <t>University of Florida</t>
  </si>
  <si>
    <t>P1 (43)</t>
  </si>
  <si>
    <t>Robins</t>
  </si>
  <si>
    <t>Houston County</t>
  </si>
  <si>
    <t>GA153</t>
  </si>
  <si>
    <t>1 (91.9)</t>
  </si>
  <si>
    <t>2 (91.9)</t>
  </si>
  <si>
    <t>OR</t>
  </si>
  <si>
    <t>Coyote Springs</t>
  </si>
  <si>
    <t>608084 (Ended Oct 04, 2023), 610795 (Started Oct 04, 2023)</t>
  </si>
  <si>
    <t>Morrow County</t>
  </si>
  <si>
    <t>OR049</t>
  </si>
  <si>
    <t>Portland General Electric Company (Owner),Portland General Electric Company (Operator)</t>
  </si>
  <si>
    <t>Water Injection,Dry Low NOx Burners,Selective Catalytic Reduction</t>
  </si>
  <si>
    <t>2 (80.6), 1 (185.8)</t>
  </si>
  <si>
    <t>Avista Corporation (Owner),Portland General Electric Company (Operator)</t>
  </si>
  <si>
    <t>CT2 (170), ST2 (117)</t>
  </si>
  <si>
    <t>Midulla Generating Station</t>
  </si>
  <si>
    <t>Hardee County</t>
  </si>
  <si>
    <t>FL049</t>
  </si>
  <si>
    <t>CT1 (157.5), ST3 (189)</t>
  </si>
  <si>
    <t>CT2 (157.5), ST3 (189)</t>
  </si>
  <si>
    <t>GT8 (60)</t>
  </si>
  <si>
    <t>Interstate</t>
  </si>
  <si>
    <t>1 (138.6)</t>
  </si>
  <si>
    <t>NCPA Combustion Turbine Project #2</t>
  </si>
  <si>
    <t>NA1</t>
  </si>
  <si>
    <t>602222 (Ended Jan 26, 2023), 609556 (Started Jan 26, 2023)</t>
  </si>
  <si>
    <t>San Joaquin County</t>
  </si>
  <si>
    <t>CA077</t>
  </si>
  <si>
    <t>Northern California Power Agency (Owner),Northern California Power Agency (Operator)</t>
  </si>
  <si>
    <t>NA1 (50)</t>
  </si>
  <si>
    <t>ID</t>
  </si>
  <si>
    <t>Rathdrum Combustion Turbine Project</t>
  </si>
  <si>
    <t>Kootenai County</t>
  </si>
  <si>
    <t>ID055</t>
  </si>
  <si>
    <t>Avista Corporation (Owner),Avista Corporation (Operator)</t>
  </si>
  <si>
    <t>1 (83.5)</t>
  </si>
  <si>
    <t>2 (83.5)</t>
  </si>
  <si>
    <t>Neil Simpson II</t>
  </si>
  <si>
    <t>609425 (Ended Jul 13, 2023), 610712 (Started Jul 13, 2023)</t>
  </si>
  <si>
    <t>Black Hills Power, Inc (Owner),Black Hills Power, Inc (Operator)</t>
  </si>
  <si>
    <t>McPherson Municipal Power Plant #3</t>
  </si>
  <si>
    <t>NA1 (115.6)</t>
  </si>
  <si>
    <t>Carson Power Plant</t>
  </si>
  <si>
    <t>Sacramento County</t>
  </si>
  <si>
    <t>CA067</t>
  </si>
  <si>
    <t>Sacramento Mun Utility District Financing Author (Owner),EthosEnergy Group Power Plant Services (Operator)</t>
  </si>
  <si>
    <t>1 (54), 2 (17.5)</t>
  </si>
  <si>
    <t>CCCT (54)</t>
  </si>
  <si>
    <t>Procter and Gamble Power Plant</t>
  </si>
  <si>
    <t>CT1A (49.9), CCST (49.9)</t>
  </si>
  <si>
    <t>CT1B (49.9), CCST (49.9)</t>
  </si>
  <si>
    <t>CT1C (44)</t>
  </si>
  <si>
    <t>Campbell Power Plant</t>
  </si>
  <si>
    <t>CCCT (118.8), CCST (55.3)</t>
  </si>
  <si>
    <t>St. Francis Power Plant</t>
  </si>
  <si>
    <t>Dunklin County</t>
  </si>
  <si>
    <t>MO069</t>
  </si>
  <si>
    <t>Associated Electric Cooperative, Inc. (Owner),Duke Energy Corporation (Owner),Associated Electric Cooperative, Inc. (Operator)</t>
  </si>
  <si>
    <t>1 (289)</t>
  </si>
  <si>
    <t>2 (289)</t>
  </si>
  <si>
    <t>River Road</t>
  </si>
  <si>
    <t>WA011</t>
  </si>
  <si>
    <t>Clark Public Utilities (Owner),General Electric Contractual Services (Operator)</t>
  </si>
  <si>
    <t>Washington County Cogen (Olin)</t>
  </si>
  <si>
    <t>1 (69.3), 2 (39.7)</t>
  </si>
  <si>
    <t>SABIC Innovative Plastics - Burkville</t>
  </si>
  <si>
    <t>Lowndes County</t>
  </si>
  <si>
    <t>AL085</t>
  </si>
  <si>
    <t>Alabama Power Company (Owner),SABIC Innovative Plastics US LLC (Operator)</t>
  </si>
  <si>
    <t>1 (82.2), 2 (14.8)</t>
  </si>
  <si>
    <t>Tiger Bay</t>
  </si>
  <si>
    <t>CW1 (82.9), CT1 (195.3)</t>
  </si>
  <si>
    <t>Plant H. Allen Franklin</t>
  </si>
  <si>
    <t>602440 (Ended Oct 24, 2023), 610766 (Started Oct 24, 2023)</t>
  </si>
  <si>
    <t>AL081</t>
  </si>
  <si>
    <t>Southern Company (Owner),Georgia Power Company (Operator)</t>
  </si>
  <si>
    <t>CT1A (203.1), ST1 (213.3)</t>
  </si>
  <si>
    <t>ST1 (213.3), CT1B (203.1)</t>
  </si>
  <si>
    <t>ST2 (281.9), CT2A (203.1)</t>
  </si>
  <si>
    <t>CT2B (203.1), ST2 (281.9)</t>
  </si>
  <si>
    <t>ST3 (281.9), CT3A (203.1)</t>
  </si>
  <si>
    <t>CT3B (203.1), ST3 (281.9)</t>
  </si>
  <si>
    <t>Theodore Cogeneration</t>
  </si>
  <si>
    <t>1 (229), 2 (88.4)</t>
  </si>
  <si>
    <t>Essex Power Plant</t>
  </si>
  <si>
    <t>Stoddard County</t>
  </si>
  <si>
    <t>MO207</t>
  </si>
  <si>
    <t>1 (121.2)</t>
  </si>
  <si>
    <t>Nodaway Power Plant</t>
  </si>
  <si>
    <t>Nodaway County</t>
  </si>
  <si>
    <t>MO147</t>
  </si>
  <si>
    <t>1 (103.7)</t>
  </si>
  <si>
    <t>2 (103.7)</t>
  </si>
  <si>
    <t>Chouteau Power Plant</t>
  </si>
  <si>
    <t>1 (175.6), 3 (181.9)</t>
  </si>
  <si>
    <t>2 (175.6), 3 (181.9)</t>
  </si>
  <si>
    <t>6 (181.9), 4 (178)</t>
  </si>
  <si>
    <t>5 (175.5), 6 (181.9)</t>
  </si>
  <si>
    <t>Georgetown Substation</t>
  </si>
  <si>
    <t>GT1 (85.3)</t>
  </si>
  <si>
    <t>GT2 (73.6)</t>
  </si>
  <si>
    <t>GT3 (73.6)</t>
  </si>
  <si>
    <t>GT4 (85.3)</t>
  </si>
  <si>
    <t>Tilton Power Station</t>
  </si>
  <si>
    <t>610062 (Ended Apr 11, 2023), 610628 (Started Apr 11, 2023)</t>
  </si>
  <si>
    <t>Vermilion County</t>
  </si>
  <si>
    <t>IL183</t>
  </si>
  <si>
    <t>Tilton Energy LLC (Owner),Tilton Energy LLC (Operator)</t>
  </si>
  <si>
    <t>1 (47)</t>
  </si>
  <si>
    <t>2 (47)</t>
  </si>
  <si>
    <t>3 (47)</t>
  </si>
  <si>
    <t>4 (47)</t>
  </si>
  <si>
    <t>Calpine Hidalgo Energy Center</t>
  </si>
  <si>
    <t>HRSG1</t>
  </si>
  <si>
    <t>Hidalgo County</t>
  </si>
  <si>
    <t>TX215</t>
  </si>
  <si>
    <t>Calpine Hidalgo Energy Center, LP (Owner),Brownsville Public Utilities Board (Owner),Calpine Operating Services Company, Inc. (Operator)</t>
  </si>
  <si>
    <t>STG1 (233), CTG1 (207)</t>
  </si>
  <si>
    <t>HRSG2</t>
  </si>
  <si>
    <t>CTG2 (207), STG1 (233)</t>
  </si>
  <si>
    <t>Henry County Generating Station</t>
  </si>
  <si>
    <t>Henry County</t>
  </si>
  <si>
    <t>IN065</t>
  </si>
  <si>
    <t>1 (43)</t>
  </si>
  <si>
    <t>2 (43)</t>
  </si>
  <si>
    <t>3 (43)</t>
  </si>
  <si>
    <t>MPC Generating</t>
  </si>
  <si>
    <t>Walton County</t>
  </si>
  <si>
    <t>GA297</t>
  </si>
  <si>
    <t>MPC Generating, LLC (Owner),MPC Generating, LLC (Operator)</t>
  </si>
  <si>
    <t>1 (184)</t>
  </si>
  <si>
    <t>2 (184)</t>
  </si>
  <si>
    <t>Dahlberg (Jackson County)</t>
  </si>
  <si>
    <t>GA157</t>
  </si>
  <si>
    <t>Georgia Power Company (Owner),Southern Company (Owner),Georgia Power Company (Operator)</t>
  </si>
  <si>
    <t>3 (91.9)</t>
  </si>
  <si>
    <t>4 (91.9)</t>
  </si>
  <si>
    <t>5 (91.9)</t>
  </si>
  <si>
    <t>6 (91.9)</t>
  </si>
  <si>
    <t>7 (91.9)</t>
  </si>
  <si>
    <t>8 (91.9)</t>
  </si>
  <si>
    <t>9 (91.9)</t>
  </si>
  <si>
    <t>10 (91.9)</t>
  </si>
  <si>
    <t>Sowega Power Project</t>
  </si>
  <si>
    <t>605751 (Ended Mar 09, 2023), 605752 (Started Mar 09, 2023)</t>
  </si>
  <si>
    <t>Mitchell County</t>
  </si>
  <si>
    <t>GA205</t>
  </si>
  <si>
    <t>Sowega Power (Owner),Sowega Power (Operator)</t>
  </si>
  <si>
    <t>CTG2 (60)</t>
  </si>
  <si>
    <t>CTG3 (60)</t>
  </si>
  <si>
    <t>Omega JV2 Hamilton</t>
  </si>
  <si>
    <t>P001</t>
  </si>
  <si>
    <t>Omega JV2, AMP-Ohio (Owner),American Municipal Power - Ohio (Operator)</t>
  </si>
  <si>
    <t>1 (32)</t>
  </si>
  <si>
    <t>Omega JV2 Bowling Green</t>
  </si>
  <si>
    <t>Wood County</t>
  </si>
  <si>
    <t>OH173</t>
  </si>
  <si>
    <t>Bonanza</t>
  </si>
  <si>
    <t>Uintah County</t>
  </si>
  <si>
    <t>UT047</t>
  </si>
  <si>
    <t>Deseret Generation &amp; Transmission (Owner),Utah Municipal Power Agency (Owner),Deseret Generation &amp; Transmission (Operator)</t>
  </si>
  <si>
    <t>Richmond County Plant</t>
  </si>
  <si>
    <t>NC153</t>
  </si>
  <si>
    <t>001 (211.8)</t>
  </si>
  <si>
    <t>002 (211.8)</t>
  </si>
  <si>
    <t>003 (211.8)</t>
  </si>
  <si>
    <t>004 (211.8)</t>
  </si>
  <si>
    <t>6 (195.3)</t>
  </si>
  <si>
    <t>ST4 (195.3), 7 (195.3)</t>
  </si>
  <si>
    <t>ST4 (195.3), 8 (195.3)</t>
  </si>
  <si>
    <t>9 (229), ST5 (271)</t>
  </si>
  <si>
    <t>ST5 (271), 10 (229)</t>
  </si>
  <si>
    <t>Sewell Creek Energy</t>
  </si>
  <si>
    <t>3066 (Ended Jan 31, 2023), 610555 (Started Jan 31, 2023)</t>
  </si>
  <si>
    <t>GA233</t>
  </si>
  <si>
    <t>Smarr EMC (Owner),Oglethorpe Power Corporation (Operator)</t>
  </si>
  <si>
    <t>1 (121)</t>
  </si>
  <si>
    <t>2 (121)</t>
  </si>
  <si>
    <t>3 (164)</t>
  </si>
  <si>
    <t>4 (164)</t>
  </si>
  <si>
    <t>Alsey Station</t>
  </si>
  <si>
    <t>609344 (Ended May 08, 2023), 610633 (Started May 08, 2023)</t>
  </si>
  <si>
    <t>IL171</t>
  </si>
  <si>
    <t>Prairie Power Incorporated (Owner),Prairie Power Incorporated (Operator)</t>
  </si>
  <si>
    <t>ACT1 (30)</t>
  </si>
  <si>
    <t>ACT2 (30)</t>
  </si>
  <si>
    <t>ACT5</t>
  </si>
  <si>
    <t>ACT5 (25)</t>
  </si>
  <si>
    <t>ACT6</t>
  </si>
  <si>
    <t>ACT6 (48)</t>
  </si>
  <si>
    <t>Fulton</t>
  </si>
  <si>
    <t>Hempstead County</t>
  </si>
  <si>
    <t>AR057</t>
  </si>
  <si>
    <t>1 (153)</t>
  </si>
  <si>
    <t>Plant Rowan County</t>
  </si>
  <si>
    <t>Southern Company (Owner),Southern Company (Operator)</t>
  </si>
  <si>
    <t>001 (161.8)</t>
  </si>
  <si>
    <t>002 (161.8)</t>
  </si>
  <si>
    <t>003 (161.8)</t>
  </si>
  <si>
    <t>4 (177.3), STG (195)</t>
  </si>
  <si>
    <t>5 (166.6), STG (195)</t>
  </si>
  <si>
    <t>Smarr Energy Facility</t>
  </si>
  <si>
    <t>John S. Rainey Generating Station</t>
  </si>
  <si>
    <t>CT1A (165), ST1S (190)</t>
  </si>
  <si>
    <t>ST1S (190), CT1B (165)</t>
  </si>
  <si>
    <t>CT2A (165)</t>
  </si>
  <si>
    <t>CT2B (165)</t>
  </si>
  <si>
    <t>CT3A (84)</t>
  </si>
  <si>
    <t>CT3B (84)</t>
  </si>
  <si>
    <t>CT4A (84)</t>
  </si>
  <si>
    <t>Rock Springs Generating Facility</t>
  </si>
  <si>
    <t>608604 (Ended Sep 26, 2023), 610789 (Started Sep 26, 2023)</t>
  </si>
  <si>
    <t>Cecil County</t>
  </si>
  <si>
    <t>MD015</t>
  </si>
  <si>
    <t>Old Dominion Electric Cooperative (Owner),Essential Power Rock Springs, LLC (Operator)</t>
  </si>
  <si>
    <t>2 (190)</t>
  </si>
  <si>
    <t>Essential Power Rock Springs, LLC (Owner),Essential Power Rock Springs, LLC (Operator)</t>
  </si>
  <si>
    <t>3 (190)</t>
  </si>
  <si>
    <t>4 (190)</t>
  </si>
  <si>
    <t>Marsh Run Generation Facility</t>
  </si>
  <si>
    <t>EU1</t>
  </si>
  <si>
    <t>Fauquier County</t>
  </si>
  <si>
    <t>VA061</t>
  </si>
  <si>
    <t>Old Dominion Electric Cooperative (Owner),Old Dominion Electric Cooperative (Operator)</t>
  </si>
  <si>
    <t>1 (172.3)</t>
  </si>
  <si>
    <t>EU2</t>
  </si>
  <si>
    <t>2 (172.3)</t>
  </si>
  <si>
    <t>EU3</t>
  </si>
  <si>
    <t>3 (172.3)</t>
  </si>
  <si>
    <t>Louisa Generation Facility</t>
  </si>
  <si>
    <t>VA109</t>
  </si>
  <si>
    <t>1 (84.5)</t>
  </si>
  <si>
    <t>2 (84.5)</t>
  </si>
  <si>
    <t>3 (84.5)</t>
  </si>
  <si>
    <t>EU4</t>
  </si>
  <si>
    <t>4 (84.5)</t>
  </si>
  <si>
    <t>EU5</t>
  </si>
  <si>
    <t>5 (171.1)</t>
  </si>
  <si>
    <t>Remington Combustion Turbine Station</t>
  </si>
  <si>
    <t>1 (178.5)</t>
  </si>
  <si>
    <t>2 (178.5)</t>
  </si>
  <si>
    <t>3 (178.5)</t>
  </si>
  <si>
    <t>4 (178.5)</t>
  </si>
  <si>
    <t>Ladysmith Combustion Turbine Sta</t>
  </si>
  <si>
    <t>Caroline County</t>
  </si>
  <si>
    <t>VA033</t>
  </si>
  <si>
    <t>3 (192.1)</t>
  </si>
  <si>
    <t>4 (192.1)</t>
  </si>
  <si>
    <t>5 (192.1)</t>
  </si>
  <si>
    <t>Freedom Power Project</t>
  </si>
  <si>
    <t>IL051</t>
  </si>
  <si>
    <t>Southwestern Electric Cooperative, Inc. (Owner),Southwestern Electric Cooperative, Inc. (Operator)</t>
  </si>
  <si>
    <t>CT1 (47)</t>
  </si>
  <si>
    <t>Pleasant Valley Station</t>
  </si>
  <si>
    <t>Mower County</t>
  </si>
  <si>
    <t>MN099</t>
  </si>
  <si>
    <t>11 (197)</t>
  </si>
  <si>
    <t>12 (197)</t>
  </si>
  <si>
    <t>13 (147.5)</t>
  </si>
  <si>
    <t>Minnesota River Station</t>
  </si>
  <si>
    <t>U001</t>
  </si>
  <si>
    <t>City of Chaska (Owner),Minnesota Municipal Power Agency (Operator)</t>
  </si>
  <si>
    <t>UOO1 (49)</t>
  </si>
  <si>
    <t>Lagoon Creek</t>
  </si>
  <si>
    <t>LCC1</t>
  </si>
  <si>
    <t>Haywood County</t>
  </si>
  <si>
    <t>TN075</t>
  </si>
  <si>
    <t>CTG1 (173.4), STG1 (257.6)</t>
  </si>
  <si>
    <t>LCC2</t>
  </si>
  <si>
    <t>STG1 (257.6), CTG2 (173.4)</t>
  </si>
  <si>
    <t>LCT1</t>
  </si>
  <si>
    <t>GT1 (84.5)</t>
  </si>
  <si>
    <t>LCT10</t>
  </si>
  <si>
    <t>GT10 (86.2)</t>
  </si>
  <si>
    <t>LCT11</t>
  </si>
  <si>
    <t>GT11 (86.2)</t>
  </si>
  <si>
    <t>LCT12</t>
  </si>
  <si>
    <t>GT12 (86.2)</t>
  </si>
  <si>
    <t>LCT2</t>
  </si>
  <si>
    <t>GT2 (84.5)</t>
  </si>
  <si>
    <t>LCT3</t>
  </si>
  <si>
    <t>GT3 (84.5)</t>
  </si>
  <si>
    <t>LCT4</t>
  </si>
  <si>
    <t>GT4 (84.5)</t>
  </si>
  <si>
    <t>LCT5</t>
  </si>
  <si>
    <t>LCT6</t>
  </si>
  <si>
    <t>LCT7</t>
  </si>
  <si>
    <t>LCT8</t>
  </si>
  <si>
    <t>LCT9</t>
  </si>
  <si>
    <t>GT9 (86.2)</t>
  </si>
  <si>
    <t>Brandy Branch</t>
  </si>
  <si>
    <t>001 (203.8)</t>
  </si>
  <si>
    <t>Dry Low NOx Burners,Selective Catalytic Reduction,Water Injection</t>
  </si>
  <si>
    <t>002 (203.8), 004 (268.4)</t>
  </si>
  <si>
    <t>003 (203.8), 004 (268.4)</t>
  </si>
  <si>
    <t>Holden Power Plant</t>
  </si>
  <si>
    <t>Johnson County</t>
  </si>
  <si>
    <t>MO101</t>
  </si>
  <si>
    <t>11 (107.1)</t>
  </si>
  <si>
    <t>12 (107.1)</t>
  </si>
  <si>
    <t>13 (107.1)</t>
  </si>
  <si>
    <t>Elk Mound Generating Station</t>
  </si>
  <si>
    <t>1 (51)</t>
  </si>
  <si>
    <t>2 (51)</t>
  </si>
  <si>
    <t>Glenwood Landing Energy Center</t>
  </si>
  <si>
    <t>UGT011</t>
  </si>
  <si>
    <t>UGT012</t>
  </si>
  <si>
    <t>National Grid Glenwood Energy Center LLC (Owner),National Grid Glenwood Energy Center LLC (Operator)</t>
  </si>
  <si>
    <t>GT4 (45)</t>
  </si>
  <si>
    <t>GT5 (45)</t>
  </si>
  <si>
    <t>Encogen Generating Station</t>
  </si>
  <si>
    <t>610010 (Ended May 02, 2023), 610011 (Started May 02, 2023)(Ended May 02, 2023)</t>
  </si>
  <si>
    <t>Whatcom County</t>
  </si>
  <si>
    <t>WA073</t>
  </si>
  <si>
    <t>CTG1 (39.4), STG (58.2)</t>
  </si>
  <si>
    <t>STG (58.2), CTG2 (39.4)</t>
  </si>
  <si>
    <t>STG (58.2), CTG3 (39.4)</t>
  </si>
  <si>
    <t>Robert P Mone</t>
  </si>
  <si>
    <t>Van Wert County</t>
  </si>
  <si>
    <t>OH161</t>
  </si>
  <si>
    <t>National Power Cooperative, Inc. (Owner),Buckeye Power, Inc. (Operator)</t>
  </si>
  <si>
    <t>1 (198)</t>
  </si>
  <si>
    <t>2 (198)</t>
  </si>
  <si>
    <t>3 (198)</t>
  </si>
  <si>
    <t>Bayside Power Station</t>
  </si>
  <si>
    <t>1A (169), 1ST (239)</t>
  </si>
  <si>
    <t>1ST (239), 1B (169)</t>
  </si>
  <si>
    <t>CT1C</t>
  </si>
  <si>
    <t>1ST (239), 1C (169)</t>
  </si>
  <si>
    <t>2A (169), 2ST (414)</t>
  </si>
  <si>
    <t>2ST (414), 2B (169)</t>
  </si>
  <si>
    <t>CT2C</t>
  </si>
  <si>
    <t>2C (169), 2ST (414)</t>
  </si>
  <si>
    <t>CT2D</t>
  </si>
  <si>
    <t>2ST (414), 2D (169)</t>
  </si>
  <si>
    <t>CT3A</t>
  </si>
  <si>
    <t>3 (62)</t>
  </si>
  <si>
    <t>CT3B</t>
  </si>
  <si>
    <t>4 (62)</t>
  </si>
  <si>
    <t>5 (62)</t>
  </si>
  <si>
    <t>CT6A</t>
  </si>
  <si>
    <t>6 (62)</t>
  </si>
  <si>
    <t>CT6B</t>
  </si>
  <si>
    <t>Terry Bundy Generating Station</t>
  </si>
  <si>
    <t>SVGS2</t>
  </si>
  <si>
    <t>2 (45), 1 (27)</t>
  </si>
  <si>
    <t>SVGS3</t>
  </si>
  <si>
    <t>1 (27), 3 (45)</t>
  </si>
  <si>
    <t>SVGS4</t>
  </si>
  <si>
    <t>E B Harris Generating Plant</t>
  </si>
  <si>
    <t>602440 (Ended Oct 31, 2023), 610766 (Started Oct 31, 2023)</t>
  </si>
  <si>
    <t>Autauga County</t>
  </si>
  <si>
    <t>AL001</t>
  </si>
  <si>
    <t>Southern Company (Owner),Alabama Power Company (Operator)</t>
  </si>
  <si>
    <t>ST1 (284), CT1A (203.2)</t>
  </si>
  <si>
    <t>CT1B (203.2), ST1 (284)</t>
  </si>
  <si>
    <t>ST2 (282), CT2A (203.2)</t>
  </si>
  <si>
    <t>CT2B (203.2), ST2 (282)</t>
  </si>
  <si>
    <t>Sand Hill Energy Center</t>
  </si>
  <si>
    <t>SH1</t>
  </si>
  <si>
    <t>Travis County</t>
  </si>
  <si>
    <t>TX453</t>
  </si>
  <si>
    <t>City of Austin (Owner),City of Austin (Operator)</t>
  </si>
  <si>
    <t>SH1 (60.5)</t>
  </si>
  <si>
    <t>SH2</t>
  </si>
  <si>
    <t>SH2 (60.5)</t>
  </si>
  <si>
    <t>SH3</t>
  </si>
  <si>
    <t>SH3 (60.5)</t>
  </si>
  <si>
    <t>SH4</t>
  </si>
  <si>
    <t>SH4 (60.5)</t>
  </si>
  <si>
    <t>SH5</t>
  </si>
  <si>
    <t>5C (191.1), 5A (198.9)</t>
  </si>
  <si>
    <t>SH6</t>
  </si>
  <si>
    <t>SH6 (60.5)</t>
  </si>
  <si>
    <t>SH7</t>
  </si>
  <si>
    <t>SH7 (60.5)</t>
  </si>
  <si>
    <t>H W Pirkey Power Plant</t>
  </si>
  <si>
    <t>TX203</t>
  </si>
  <si>
    <t>Northeast Texas Electric Cooperative (Owner),Oklahoma Municipal Power Authority (Owner),Southwestern Electric Power Company (Owner),Southwestern Electric Power Company (Operator)</t>
  </si>
  <si>
    <t>Low NOx Burner Technology (Dry Bottom only),Low NOx Burner Technology w/ Overfire Air</t>
  </si>
  <si>
    <t>1 (720.5)</t>
  </si>
  <si>
    <t>McCartney Generating Station</t>
  </si>
  <si>
    <t>MGS1A</t>
  </si>
  <si>
    <t>MGS1 (58.9)</t>
  </si>
  <si>
    <t>MGS1B</t>
  </si>
  <si>
    <t>MGS2A</t>
  </si>
  <si>
    <t>MGS2 (58.9)</t>
  </si>
  <si>
    <t>MGS2B</t>
  </si>
  <si>
    <t>Vernon Boulevard</t>
  </si>
  <si>
    <t>VB01</t>
  </si>
  <si>
    <t>VB01 (47)</t>
  </si>
  <si>
    <t>VB02</t>
  </si>
  <si>
    <t>VB02 (47)</t>
  </si>
  <si>
    <t>23rd and 3rd</t>
  </si>
  <si>
    <t>1 (47), 2 (47)</t>
  </si>
  <si>
    <t>Brentwood</t>
  </si>
  <si>
    <t>BW01</t>
  </si>
  <si>
    <t>Hell Gate</t>
  </si>
  <si>
    <t>HG01</t>
  </si>
  <si>
    <t>Bronx County</t>
  </si>
  <si>
    <t>NY005</t>
  </si>
  <si>
    <t>HG01 (47)</t>
  </si>
  <si>
    <t>HG02</t>
  </si>
  <si>
    <t>HG02 (47)</t>
  </si>
  <si>
    <t>Harlem River Yard</t>
  </si>
  <si>
    <t>HR01</t>
  </si>
  <si>
    <t>HR01 (47)</t>
  </si>
  <si>
    <t>HR02</t>
  </si>
  <si>
    <t>HR02 (47)</t>
  </si>
  <si>
    <t>North 1st</t>
  </si>
  <si>
    <t>NO1</t>
  </si>
  <si>
    <t>N01 (47)</t>
  </si>
  <si>
    <t>Talbot Energy Facility</t>
  </si>
  <si>
    <t>Talbot County</t>
  </si>
  <si>
    <t>GA263</t>
  </si>
  <si>
    <t>Oglethorpe Power Corporation (Owner),Oglethorpe Power Corporation (Operator)</t>
  </si>
  <si>
    <t>3 (121)</t>
  </si>
  <si>
    <t>4 (121)</t>
  </si>
  <si>
    <t>5 (121)</t>
  </si>
  <si>
    <t>6 (121)</t>
  </si>
  <si>
    <t>Chattahoochee Energy Facility</t>
  </si>
  <si>
    <t>Heard County</t>
  </si>
  <si>
    <t>GA149</t>
  </si>
  <si>
    <t>1 (176), 3 (187.7)</t>
  </si>
  <si>
    <t>2 (176), 3 (187.7)</t>
  </si>
  <si>
    <t>Lakefield Junction Generating</t>
  </si>
  <si>
    <t>MN091</t>
  </si>
  <si>
    <t>4 (105)</t>
  </si>
  <si>
    <t>5 (105)</t>
  </si>
  <si>
    <t>CT06</t>
  </si>
  <si>
    <t>6 (105)</t>
  </si>
  <si>
    <t>Osawatomie Generating Station</t>
  </si>
  <si>
    <t>Miami County</t>
  </si>
  <si>
    <t>KS121</t>
  </si>
  <si>
    <t>West Gardner Generating Station</t>
  </si>
  <si>
    <t>KS091</t>
  </si>
  <si>
    <t>Wansley (7946)</t>
  </si>
  <si>
    <t>CT9A</t>
  </si>
  <si>
    <t>Municipal Electric Authority of Georgia (Owner),Municipal Electric Authority of Georgia (Operator)</t>
  </si>
  <si>
    <t>CT2 (171), ST1 (226)</t>
  </si>
  <si>
    <t>CT9B</t>
  </si>
  <si>
    <t>CT1 (171), ST1 (226)</t>
  </si>
  <si>
    <t>Solway Plant</t>
  </si>
  <si>
    <t>Beltrami County</t>
  </si>
  <si>
    <t>MN007</t>
  </si>
  <si>
    <t>Otter Tail Power Company (Owner),Otter Tail Power Company (Operator)</t>
  </si>
  <si>
    <t>Hoosier Energy Lawrence Co Station</t>
  </si>
  <si>
    <t>IN093</t>
  </si>
  <si>
    <t>Hoosier Energy REC, Inc. (Owner),Hoosier Energy REC, Inc. (Operator)</t>
  </si>
  <si>
    <t>6 (47)</t>
  </si>
  <si>
    <t>Evander Andrews Power Complex</t>
  </si>
  <si>
    <t>608322 (Ended Oct 31, 2023), 609418 (Started Oct 31, 2023)</t>
  </si>
  <si>
    <t>Elmore County</t>
  </si>
  <si>
    <t>ID039</t>
  </si>
  <si>
    <t>Idaho Power Company (Owner),Idaho Power Company (Operator)</t>
  </si>
  <si>
    <t>1 (179)</t>
  </si>
  <si>
    <t>2 (45.9)</t>
  </si>
  <si>
    <t>3 (45.9)</t>
  </si>
  <si>
    <t>Kemper County</t>
  </si>
  <si>
    <t>KCT1</t>
  </si>
  <si>
    <t>MS069</t>
  </si>
  <si>
    <t>GT1 (93)</t>
  </si>
  <si>
    <t>KCT2</t>
  </si>
  <si>
    <t>KCT3</t>
  </si>
  <si>
    <t>GT3 (93)</t>
  </si>
  <si>
    <t>KCT4</t>
  </si>
  <si>
    <t>GT4 (93)</t>
  </si>
  <si>
    <t>Warren F. Sam Beasley Pwr Station</t>
  </si>
  <si>
    <t>Delaware Municipal Electric Corporation (Owner),Delaware Municipal Electric Corporation (Operator)</t>
  </si>
  <si>
    <t>001 (45)</t>
  </si>
  <si>
    <t>002 (51)</t>
  </si>
  <si>
    <t>Peno Creek Energy Center</t>
  </si>
  <si>
    <t>MO163</t>
  </si>
  <si>
    <t>1 (57)</t>
  </si>
  <si>
    <t>2 (57)</t>
  </si>
  <si>
    <t>3 (57)</t>
  </si>
  <si>
    <t>4 (57)</t>
  </si>
  <si>
    <t>Lordsburg Generating Station</t>
  </si>
  <si>
    <t>NM023</t>
  </si>
  <si>
    <t>2 (44)</t>
  </si>
  <si>
    <t>Sumpter Plant</t>
  </si>
  <si>
    <t>Wolverine Power Supply Cooperative, Inc. (Owner),Wolverine Power Supply Cooperative, Inc. (Operator)</t>
  </si>
  <si>
    <t>Pyramid Generating Station</t>
  </si>
  <si>
    <t>1 (45)</t>
  </si>
  <si>
    <t>2 (45)</t>
  </si>
  <si>
    <t>3 (45)</t>
  </si>
  <si>
    <t>Mill Creek Combustion Turbine Station</t>
  </si>
  <si>
    <t>SC021</t>
  </si>
  <si>
    <t>1 (90)</t>
  </si>
  <si>
    <t>2 (90)</t>
  </si>
  <si>
    <t>3 (90)</t>
  </si>
  <si>
    <t>5 (90)</t>
  </si>
  <si>
    <t>6 (90)</t>
  </si>
  <si>
    <t>7 (90)</t>
  </si>
  <si>
    <t>8 (90)</t>
  </si>
  <si>
    <t>Kalkaska CT Project #1</t>
  </si>
  <si>
    <t>Kalkaska County</t>
  </si>
  <si>
    <t>MI079</t>
  </si>
  <si>
    <t>Michigan Public Power Agency (Owner),Traverse City Light &amp; Power (Operator)</t>
  </si>
  <si>
    <t>Water Injection,Other</t>
  </si>
  <si>
    <t>001 (60.5)</t>
  </si>
  <si>
    <t>Greater Des Moines Energy Center</t>
  </si>
  <si>
    <t>GT1 (190.4), ST1 (195.5)</t>
  </si>
  <si>
    <t>ST1 (195.5), GT2 (190.4)</t>
  </si>
  <si>
    <t>Lake</t>
  </si>
  <si>
    <t>L1 (48)</t>
  </si>
  <si>
    <t>Silver Creek Generating Plant</t>
  </si>
  <si>
    <t>Jefferson Davis County</t>
  </si>
  <si>
    <t>MS065</t>
  </si>
  <si>
    <t>Sylvarena Generating Plant</t>
  </si>
  <si>
    <t>Smith County</t>
  </si>
  <si>
    <t>MS129</t>
  </si>
  <si>
    <t>West Campus Cogeneration Facility</t>
  </si>
  <si>
    <t>1 (54), STG1 (61.3)</t>
  </si>
  <si>
    <t>STG1 (61.3), CT2 (54)</t>
  </si>
  <si>
    <t>Grays Harbor Energy Center</t>
  </si>
  <si>
    <t>Grays Harbor County</t>
  </si>
  <si>
    <t>WA027</t>
  </si>
  <si>
    <t>Grays Harbor Energy, LLC (Owner),Grays Harbor Energy, LLC (Operator)</t>
  </si>
  <si>
    <t>CT1 (175), ST1 (300)</t>
  </si>
  <si>
    <t>ST1 (300), CT2 (175)</t>
  </si>
  <si>
    <t>Beatrice</t>
  </si>
  <si>
    <t>Gage County</t>
  </si>
  <si>
    <t>NE067</t>
  </si>
  <si>
    <t>CT1 (76.6), ST1 (93.9)</t>
  </si>
  <si>
    <t>ST1 (93.9), CT2 (76.6)</t>
  </si>
  <si>
    <t>Newington</t>
  </si>
  <si>
    <t>GSP Newington LLC (Owner),GSP Newington LLC (Operator)</t>
  </si>
  <si>
    <t>Low NOx Burner Technology w/ Separated OFA,Water Injection</t>
  </si>
  <si>
    <t>1 (414)</t>
  </si>
  <si>
    <t>Roseton Generating LLC</t>
  </si>
  <si>
    <t>Castleton Commodities International (CCI) (Owner),Castleton Commodities International (CCI) (Operator)</t>
  </si>
  <si>
    <t>Holtsville Facility</t>
  </si>
  <si>
    <t>U00001</t>
  </si>
  <si>
    <t>U00002</t>
  </si>
  <si>
    <t>U00003</t>
  </si>
  <si>
    <t>2 (56.7)</t>
  </si>
  <si>
    <t>3 (56.7)</t>
  </si>
  <si>
    <t>4 (56.7)</t>
  </si>
  <si>
    <t>5 (56.7)</t>
  </si>
  <si>
    <t>U00010</t>
  </si>
  <si>
    <t>6 (56.7)</t>
  </si>
  <si>
    <t>7 (56.7)</t>
  </si>
  <si>
    <t>8 (56.7)</t>
  </si>
  <si>
    <t>9 (56.7)</t>
  </si>
  <si>
    <t>10 (56.7)</t>
  </si>
  <si>
    <t>Mickleton Energy Center</t>
  </si>
  <si>
    <t>Gloucester County</t>
  </si>
  <si>
    <t>NJ015</t>
  </si>
  <si>
    <t>MICK (71.2)</t>
  </si>
  <si>
    <t>Croydon Generating Station</t>
  </si>
  <si>
    <t>Bucks County</t>
  </si>
  <si>
    <t>PA017</t>
  </si>
  <si>
    <t>11 (50)</t>
  </si>
  <si>
    <t>21 (50)</t>
  </si>
  <si>
    <t>22 (50)</t>
  </si>
  <si>
    <t>31 (50)</t>
  </si>
  <si>
    <t>32 (50)</t>
  </si>
  <si>
    <t>41 (50)</t>
  </si>
  <si>
    <t>42 (50)</t>
  </si>
  <si>
    <t>Factory Gas Turbine</t>
  </si>
  <si>
    <t>Columbia County</t>
  </si>
  <si>
    <t>WI021</t>
  </si>
  <si>
    <t>Wisconsin Public Service Corporation (Owner),Wisconsin Power &amp; Light Company (Owner),Madison Gas &amp; Electric Company (Owner),Wisconsin Power &amp; Light Company (Operator)</t>
  </si>
  <si>
    <t>1 (512)</t>
  </si>
  <si>
    <t>2 (511)</t>
  </si>
  <si>
    <t>Blue Lake Generating Plant</t>
  </si>
  <si>
    <t>MN139</t>
  </si>
  <si>
    <t>4 (63)</t>
  </si>
  <si>
    <t>7 (195)</t>
  </si>
  <si>
    <t>8 (195)</t>
  </si>
  <si>
    <t>Sycamore Combustion Turbine</t>
  </si>
  <si>
    <t>1 (78.8)</t>
  </si>
  <si>
    <t>2 (78.8)</t>
  </si>
  <si>
    <t>Emery Station</t>
  </si>
  <si>
    <t>11 (173), ST1 (244.6)</t>
  </si>
  <si>
    <t>ST1 (244.6), 12 (173)</t>
  </si>
  <si>
    <t>Clifton Station</t>
  </si>
  <si>
    <t>CL1</t>
  </si>
  <si>
    <t>KS201</t>
  </si>
  <si>
    <t>1 (78.75)</t>
  </si>
  <si>
    <t>Belews Creek</t>
  </si>
  <si>
    <t>Stokes County</t>
  </si>
  <si>
    <t>NC169</t>
  </si>
  <si>
    <t>Low NOx Cell Burner,Overfire Air,Selective Catalytic Reduction</t>
  </si>
  <si>
    <t>1 (1080.1)</t>
  </si>
  <si>
    <t>2 (1080.1)</t>
  </si>
  <si>
    <t>Anclote</t>
  </si>
  <si>
    <t>Pasco County</t>
  </si>
  <si>
    <t>FL101</t>
  </si>
  <si>
    <t>1 (556.2)</t>
  </si>
  <si>
    <t>Intercession City</t>
  </si>
  <si>
    <t>P10 (115)</t>
  </si>
  <si>
    <t>Georgia Power Company (Owner),Duke Energy Florida, LLC (Owner),Duke Energy Florida, LLC (Operator)</t>
  </si>
  <si>
    <t>P11 (165)</t>
  </si>
  <si>
    <t>**12</t>
  </si>
  <si>
    <t>P12 (115)</t>
  </si>
  <si>
    <t>**13</t>
  </si>
  <si>
    <t>P13 (115)</t>
  </si>
  <si>
    <t>**14</t>
  </si>
  <si>
    <t>P14 (115)</t>
  </si>
  <si>
    <t>P7 (115)</t>
  </si>
  <si>
    <t>P8 (115)</t>
  </si>
  <si>
    <t>P9 (115)</t>
  </si>
  <si>
    <t>Pouch Terminal</t>
  </si>
  <si>
    <t>PT01</t>
  </si>
  <si>
    <t>PT01 (47)</t>
  </si>
  <si>
    <t>Gerald Andrus</t>
  </si>
  <si>
    <t>MS151</t>
  </si>
  <si>
    <t>1 (781.5)</t>
  </si>
  <si>
    <t>Waterford 1 &amp; 2</t>
  </si>
  <si>
    <t>Low NOx Cell Burner,Combustion Modification/Fuel Reburning</t>
  </si>
  <si>
    <t>2 (445.5)</t>
  </si>
  <si>
    <t>Comanche (8059)</t>
  </si>
  <si>
    <t>Comanche County</t>
  </si>
  <si>
    <t>OK031</t>
  </si>
  <si>
    <t>1G1 (85), 1S (106.8)</t>
  </si>
  <si>
    <t>1S (106.8), 1G2 (85)</t>
  </si>
  <si>
    <t>Jim Bridger</t>
  </si>
  <si>
    <t>BW71</t>
  </si>
  <si>
    <t>Sweetwater County</t>
  </si>
  <si>
    <t>WY037</t>
  </si>
  <si>
    <t>Idaho Power Company (Owner),Pacificorp (Owner),Pacificorp (Operator)</t>
  </si>
  <si>
    <t>1 (530)</t>
  </si>
  <si>
    <t>BW72</t>
  </si>
  <si>
    <t>2 (530)</t>
  </si>
  <si>
    <t>BW73</t>
  </si>
  <si>
    <t>3 (530)</t>
  </si>
  <si>
    <t>BW74</t>
  </si>
  <si>
    <t>4 (530)</t>
  </si>
  <si>
    <t>Santan</t>
  </si>
  <si>
    <t>ST5A (153.8), ST5S (314.5)</t>
  </si>
  <si>
    <t>ST5S (314.5), ST5B (153.8)</t>
  </si>
  <si>
    <t>ST6S (136.1), ST6A (153.8)</t>
  </si>
  <si>
    <t>Huntington</t>
  </si>
  <si>
    <t>1 (445)</t>
  </si>
  <si>
    <t>2 (450)</t>
  </si>
  <si>
    <t>Gen J M Gavin</t>
  </si>
  <si>
    <t>Gavin Power, LLC (Owner),Consolidated Asset Management Services, LLC (Operator)</t>
  </si>
  <si>
    <t>Ray D Nixon</t>
  </si>
  <si>
    <t>1 (207)</t>
  </si>
  <si>
    <t>GT1 (35.8)</t>
  </si>
  <si>
    <t>GT2 (35.8)</t>
  </si>
  <si>
    <t>Coyote</t>
  </si>
  <si>
    <t>Montana Dakota Utilities Company (Owner),Northern Municipal Power Agency (Owner),Northwestern Public Service Company (Owner),Otter Tail Power Company (Owner),Otter Tail Power Company (Operator)</t>
  </si>
  <si>
    <t>1 (450)</t>
  </si>
  <si>
    <t>Springerville Generating Station</t>
  </si>
  <si>
    <t>1 (424.8)</t>
  </si>
  <si>
    <t>2 (424.8)</t>
  </si>
  <si>
    <t>Salt River Project (Owner),Tucson Electric Power Company (Operator)</t>
  </si>
  <si>
    <t>4 (458.1)</t>
  </si>
  <si>
    <t>TS3</t>
  </si>
  <si>
    <t>Tri-State Generation &amp; Transmission (Owner),Tucson Electric Power Company (Operator)</t>
  </si>
  <si>
    <t>3 (458.1)</t>
  </si>
  <si>
    <t>North Valmy</t>
  </si>
  <si>
    <t>Humboldt County</t>
  </si>
  <si>
    <t>NV013</t>
  </si>
  <si>
    <t>Idaho Power Company (Owner),Sierra Pacific Power Company (Owner),Sierra Pacific Power Company (Operator)</t>
  </si>
  <si>
    <t>1 (254.3)</t>
  </si>
  <si>
    <t>2 (267)</t>
  </si>
  <si>
    <t>Astoria Generating Station</t>
  </si>
  <si>
    <t>2 (200)</t>
  </si>
  <si>
    <t>31RH</t>
  </si>
  <si>
    <t>CP30</t>
  </si>
  <si>
    <t>3 (376.2)</t>
  </si>
  <si>
    <t>32SH</t>
  </si>
  <si>
    <t>51RH</t>
  </si>
  <si>
    <t>CP50</t>
  </si>
  <si>
    <t>ST5 (387.2)</t>
  </si>
  <si>
    <t>52SH</t>
  </si>
  <si>
    <t>1 (15)</t>
  </si>
  <si>
    <t>Energy Center Dover LLC</t>
  </si>
  <si>
    <t>606162 (Ended Jan 24, 2023), 607793 (Started Jan 24, 2023)</t>
  </si>
  <si>
    <t>Energy Center Dover LLC (Owner) (Ended Mar 14, 2023),Cartier Energy, LLC (Owner) (Started Mar 14, 2023),DCO Operations, LLC (Operator)</t>
  </si>
  <si>
    <t>KD-1 (50), COG1 (18)</t>
  </si>
  <si>
    <t>KD-2 (50)</t>
  </si>
  <si>
    <t>Calpine Gilroy Cogen, LP</t>
  </si>
  <si>
    <t>S-100</t>
  </si>
  <si>
    <t>Santa Clara County</t>
  </si>
  <si>
    <t>CA085</t>
  </si>
  <si>
    <t>Calpine Corporation (Owner),Calpine Corporation (Operator)</t>
  </si>
  <si>
    <t>GEN2 (40), GEN1 (90)</t>
  </si>
  <si>
    <t>Taconite Harbor Energy Center</t>
  </si>
  <si>
    <t>MN031</t>
  </si>
  <si>
    <t>Operating (Retired 03/31/2023)</t>
  </si>
  <si>
    <t>GEN1 (84)</t>
  </si>
  <si>
    <t>GEN2 (84)</t>
  </si>
  <si>
    <t>Gilberton Power Company</t>
  </si>
  <si>
    <t>Schuylkill County</t>
  </si>
  <si>
    <t>PA107</t>
  </si>
  <si>
    <t>Gilberton Power Company (Owner),Gilberton Power Company (Operator)</t>
  </si>
  <si>
    <t>GEN1 (88.4)</t>
  </si>
  <si>
    <t>Colver Green Energy</t>
  </si>
  <si>
    <t>AAB01</t>
  </si>
  <si>
    <t>Cambria County</t>
  </si>
  <si>
    <t>PA021</t>
  </si>
  <si>
    <t>Generation Holdings LP (Owner),Colver Green Energy LLC (Operator)</t>
  </si>
  <si>
    <t>Ammonia Injection</t>
  </si>
  <si>
    <t>COLV (118)</t>
  </si>
  <si>
    <t>Grant Town Power Plant</t>
  </si>
  <si>
    <t>CSNOX, CSOSG2E, CSSO2G1, MATS</t>
  </si>
  <si>
    <t>WV049</t>
  </si>
  <si>
    <t>American Bituminous Power Partners (Owner),Edison Mission Operation &amp; Maintenance (Operator)</t>
  </si>
  <si>
    <t>Selective Non-catalytic Reduction,Combustion Modification/Fuel Reburning</t>
  </si>
  <si>
    <t>GEN1 (95.7)</t>
  </si>
  <si>
    <t>Power Island</t>
  </si>
  <si>
    <t>Brazoria County</t>
  </si>
  <si>
    <t>TX039</t>
  </si>
  <si>
    <t>INEOS USA LLC (Owner),INEOS USA LLC (Operator)</t>
  </si>
  <si>
    <t>Future</t>
  </si>
  <si>
    <t>GEN2 (50)</t>
  </si>
  <si>
    <t>GEN3 (50)</t>
  </si>
  <si>
    <t>Fresno Cogeneration Partners, LP</t>
  </si>
  <si>
    <t>GEN1</t>
  </si>
  <si>
    <t>Fresno County</t>
  </si>
  <si>
    <t>CA019</t>
  </si>
  <si>
    <t>Fresno Cogeneration Partners, LP (Owner),Wellhead Electric Company, Inc (Operator)</t>
  </si>
  <si>
    <t>GEN4 (71.2), GEN2 (12.5)</t>
  </si>
  <si>
    <t>Carson Cogeneration Company</t>
  </si>
  <si>
    <t>D1</t>
  </si>
  <si>
    <t>Carson Cogeneration Company (Owner),Energy Holdings (Operator)</t>
  </si>
  <si>
    <t>GEN1 (45.3), GEN2 (10.5)</t>
  </si>
  <si>
    <t>MBTA South Boston Power Facility</t>
  </si>
  <si>
    <t>609738 (Ended Apr 27, 2023), 610656 (Started Apr 27, 2023)</t>
  </si>
  <si>
    <t>MA025</t>
  </si>
  <si>
    <t>Massachusetts Bay Transportation Authority (Owner),Massachusetts Bay Transportation Authority (Operator)</t>
  </si>
  <si>
    <t>6 (69)</t>
  </si>
  <si>
    <t>Castleton Power, LLC</t>
  </si>
  <si>
    <t>Rensselaer County</t>
  </si>
  <si>
    <t>NY083</t>
  </si>
  <si>
    <t>Castleton Power, LLC (Owner),Castleton Energy Services (Operator)</t>
  </si>
  <si>
    <t>GEN2 (25), GEN1 (47)</t>
  </si>
  <si>
    <t>King City Power Plant</t>
  </si>
  <si>
    <t>Gilroy Energy Center, LLC (Owner),Calpine Operating Services Company, Inc. (Operator)</t>
  </si>
  <si>
    <t>CTG1 (47.3)</t>
  </si>
  <si>
    <t>GTG</t>
  </si>
  <si>
    <t>Calpine King City Cogen, LLC (Owner),Calpine Operating Services Company, Inc. (Operator)</t>
  </si>
  <si>
    <t>STG (42.4), GTG (90.8)</t>
  </si>
  <si>
    <t>Bellingham</t>
  </si>
  <si>
    <t>CP1, CS1</t>
  </si>
  <si>
    <t>Northeast Energy Associates, LP (Owner),Northeast Energy Associates, LP (Operator)</t>
  </si>
  <si>
    <t>CT1 (128.7), ST1 (128.7)</t>
  </si>
  <si>
    <t>ST1 (128.7), CT2 (128.7)</t>
  </si>
  <si>
    <t>Sayreville Power LP</t>
  </si>
  <si>
    <t>Sayreville Power LP (Owner),Sayreville Power LP (Operator)</t>
  </si>
  <si>
    <t>ST1 (143.4), CT1 (143.4)</t>
  </si>
  <si>
    <t>ST1 (143.4), CT2 (143.4)</t>
  </si>
  <si>
    <t>Mt. Carmel Cogeneration</t>
  </si>
  <si>
    <t>SG-101</t>
  </si>
  <si>
    <t>600910 (Ended Sep 27, 2023), 609034 (Started Sep 27, 2023)</t>
  </si>
  <si>
    <t>Northumberland County</t>
  </si>
  <si>
    <t>PA097</t>
  </si>
  <si>
    <t>Mt. Carmel Cogeneration, Inc. (Owner),Mt. Carmel Cogeneration, Inc. (Operator)</t>
  </si>
  <si>
    <t>TG1 (46)</t>
  </si>
  <si>
    <t>Yuba City Energy Center</t>
  </si>
  <si>
    <t>Sutter County</t>
  </si>
  <si>
    <t>CA101</t>
  </si>
  <si>
    <t>GEN1 (49.5)</t>
  </si>
  <si>
    <t>Greenleaf One</t>
  </si>
  <si>
    <t>CTGA</t>
  </si>
  <si>
    <t>California Department of Water Resources (Owner),Calpine Greenleaf Holdings, Inc. (Operator)</t>
  </si>
  <si>
    <t>CTGA (34.9)</t>
  </si>
  <si>
    <t>CTGB</t>
  </si>
  <si>
    <t>CTGB (34.9)</t>
  </si>
  <si>
    <t>Kingsburg Cogen Facility</t>
  </si>
  <si>
    <t>KES Kingsburg, LP (Owner),KES Kingsburg, LP (Operator)</t>
  </si>
  <si>
    <t>GEN1 (23.1), GEN2 (13.1)</t>
  </si>
  <si>
    <t>Black River Generation, LLC</t>
  </si>
  <si>
    <t>E0001</t>
  </si>
  <si>
    <t>CS-1</t>
  </si>
  <si>
    <t>NY045</t>
  </si>
  <si>
    <t>Black River Generation, LLC (Owner),Black River Generation, LLC (Operator)</t>
  </si>
  <si>
    <t>Other Solid Fuel, Petroleum Coke, Tire Derived Fuel</t>
  </si>
  <si>
    <t>GEN1 (55.5)</t>
  </si>
  <si>
    <t>E0002</t>
  </si>
  <si>
    <t>E0003</t>
  </si>
  <si>
    <t>Craven County Wood Energy</t>
  </si>
  <si>
    <t>ES5A</t>
  </si>
  <si>
    <t>610325 (Ended Nov 21, 2023), 610840 (Started Nov 21, 2023)</t>
  </si>
  <si>
    <t>Craven County</t>
  </si>
  <si>
    <t>NC049</t>
  </si>
  <si>
    <t>Decker Energy (Owner),Hydra-Co Enterprises, Inc (Owner),Craven County Wood Energy, LP (Operator) (Ended Nov 21, 2023),CMS Enterprises Co. (Operator) (Started Nov 21, 2023)</t>
  </si>
  <si>
    <t>Other Solid Fuel</t>
  </si>
  <si>
    <t>1UNI (50)</t>
  </si>
  <si>
    <t>Algonquin Power Windsor Locks, LLC</t>
  </si>
  <si>
    <t>609011 (Ended Jun 15, 2023), 607688 (Started Jun 15, 2023)</t>
  </si>
  <si>
    <t>Algonquin Power Windsor Locks, LLC (Owner),Algonquin Power Windsor Locks, LLC (Operator)</t>
  </si>
  <si>
    <t>GTG (40), STG (16)</t>
  </si>
  <si>
    <t>Ebensburg Power Company</t>
  </si>
  <si>
    <t>Ebensburg Power Company (Owner),Ebensburg Power Company (Operator)</t>
  </si>
  <si>
    <t>GEN1 (57.6)</t>
  </si>
  <si>
    <t>Beaver Falls, LLC</t>
  </si>
  <si>
    <t>NY049</t>
  </si>
  <si>
    <t>SBF LLC (Owner),SBF LLC (Operator)</t>
  </si>
  <si>
    <t>GEN2 (42.3), GEN1 (65.5)</t>
  </si>
  <si>
    <t>Allegany Station No. 133</t>
  </si>
  <si>
    <t>Allegany County</t>
  </si>
  <si>
    <t>NY003</t>
  </si>
  <si>
    <t>Allegany Generating Station (Owner),Allegany Generating Station (Operator)</t>
  </si>
  <si>
    <t>2 (25), 1 (42)</t>
  </si>
  <si>
    <t>Carthage Energy</t>
  </si>
  <si>
    <t>Carthage Energy, LLC (Owner),Wood Group Power Operations, Inc. (Operator)</t>
  </si>
  <si>
    <t>GEN1 (41), GEN2 (22)</t>
  </si>
  <si>
    <t>Syracuse, LLC</t>
  </si>
  <si>
    <t>Onondaga County</t>
  </si>
  <si>
    <t>NY067</t>
  </si>
  <si>
    <t>GEN1 (65.5), GEN2 (37.2)</t>
  </si>
  <si>
    <t>Hopewell Cogeneration Facility</t>
  </si>
  <si>
    <t>Hopewell city</t>
  </si>
  <si>
    <t>VA670</t>
  </si>
  <si>
    <t>Hopewell Power Generation, LLC (Owner),Hopewell Power Generation, LLC (Operator)</t>
  </si>
  <si>
    <t>ST1 (96), GT1 (89)</t>
  </si>
  <si>
    <t>GT2 (89), ST1 (96)</t>
  </si>
  <si>
    <t>GT3 (89), ST1 (96)</t>
  </si>
  <si>
    <t>Bear Mountain Limited</t>
  </si>
  <si>
    <t>Kern County</t>
  </si>
  <si>
    <t>CA029</t>
  </si>
  <si>
    <t>ContourGlobal (Owner),ContourGlobal (Operator)</t>
  </si>
  <si>
    <t>GEN1 (46)</t>
  </si>
  <si>
    <t>Badger Creek Limited</t>
  </si>
  <si>
    <t>River Valley</t>
  </si>
  <si>
    <t>Le Flore County</t>
  </si>
  <si>
    <t>OK079</t>
  </si>
  <si>
    <t>GEN1 (175)</t>
  </si>
  <si>
    <t>GEN2 (175)</t>
  </si>
  <si>
    <t>AES Warrior Run</t>
  </si>
  <si>
    <t>605554 (Ended Oct 09, 2023), 608660 (Started Oct 09, 2023)</t>
  </si>
  <si>
    <t>MD001</t>
  </si>
  <si>
    <t>Ammonia Injection,Selective Non-catalytic Reduction</t>
  </si>
  <si>
    <t>GEN1 (229)</t>
  </si>
  <si>
    <t>Brush Power Projects</t>
  </si>
  <si>
    <t>Colorado Power Partnership (Owner),Colorado Energy Management, LLC (Operator)</t>
  </si>
  <si>
    <t>GT2 (25)</t>
  </si>
  <si>
    <t>MS4A, MS4B</t>
  </si>
  <si>
    <t>BIV Generation Company, LLC (Owner),Colorado Energy Management, LLC (Operator)</t>
  </si>
  <si>
    <t>GT4 (23.8), ST4 (90)</t>
  </si>
  <si>
    <t>ST4 (90), GT5 (23.8)</t>
  </si>
  <si>
    <t>Selkirk Cogen Partners</t>
  </si>
  <si>
    <t>CTG101</t>
  </si>
  <si>
    <t>Selkirk Cogen Partners, LP (Owner),Selkirk Cogen Partners, LP (Operator)</t>
  </si>
  <si>
    <t>GEN2 (12), GEN1 (95.2)</t>
  </si>
  <si>
    <t>CTG201</t>
  </si>
  <si>
    <t>GEN3 (95.2), GEN5 (148.4)</t>
  </si>
  <si>
    <t>CTG301</t>
  </si>
  <si>
    <t>GEN5 (148.4), GEN4 (95.5)</t>
  </si>
  <si>
    <t>MASSPOWER</t>
  </si>
  <si>
    <t>MASSPOWER, LLC (Owner),MASSPOWER, LLC (Operator)</t>
  </si>
  <si>
    <t>GEN1 (87), GEN3 (72)</t>
  </si>
  <si>
    <t>GEN2 (87), GEN3 (72)</t>
  </si>
  <si>
    <t>Morgantown Energy Facility</t>
  </si>
  <si>
    <t>CFB1</t>
  </si>
  <si>
    <t>608848 (Ended Oct 17, 2023), 602378 (Started Oct 17, 2023)</t>
  </si>
  <si>
    <t>Morgantown Energy Associates (Owner),Morgantown Energy Associates (Operator)</t>
  </si>
  <si>
    <t>GEN1 (69)</t>
  </si>
  <si>
    <t>CFB2</t>
  </si>
  <si>
    <t>Midland Cogeneration Venture</t>
  </si>
  <si>
    <t>Midland County</t>
  </si>
  <si>
    <t>MI111</t>
  </si>
  <si>
    <t>Midland Cogeneration Venture, LP (Owner),Midland Cogeneration Venture, LP (Operator)</t>
  </si>
  <si>
    <t>GT3 (87.2), BP15 (13.5), ST1 (410)</t>
  </si>
  <si>
    <t>ST1 (410), GT4 (87.2), BP15 (13.5)</t>
  </si>
  <si>
    <t>ST1 (410), GT5 (87.2), BP15 (13.5)</t>
  </si>
  <si>
    <t>BP15 (13.5), GT6 (87.2), ST1 (410)</t>
  </si>
  <si>
    <t>GT7 (87.2), ST1 (410), BP15 (13.5)</t>
  </si>
  <si>
    <t>ST1 (410), GT8 (87.2), BP15 (13.5)</t>
  </si>
  <si>
    <t>BP15 (13.5), GT9 (87.2), ST1 (410)</t>
  </si>
  <si>
    <t>BP15 (13.5), GT10 (87.2), ST1 (410)</t>
  </si>
  <si>
    <t>GT11 (87.2), ST1 (410), BP15 (13.5)</t>
  </si>
  <si>
    <t>GT12 (87.2), ST1 (410), BP15 (13.5)</t>
  </si>
  <si>
    <t>ST1 (410), GT13 (87.2), BP15 (13.5)</t>
  </si>
  <si>
    <t>BP15 (13.5), GT14 (87.2), ST1 (410)</t>
  </si>
  <si>
    <t>BP15 (13.5), ST1 (410)</t>
  </si>
  <si>
    <t>ST1 (410), BP15 (13.5)</t>
  </si>
  <si>
    <t>Camden Plant Holding, LLC</t>
  </si>
  <si>
    <t>Camden County</t>
  </si>
  <si>
    <t>NJ007</t>
  </si>
  <si>
    <t>Camden Plant Holding, LLC (Owner),Morris Energy Operations Co. LLC (Operator)</t>
  </si>
  <si>
    <t>GEN2 (61.8), GEN1 (95.2)</t>
  </si>
  <si>
    <t>Las Vegas Generating Station</t>
  </si>
  <si>
    <t>Nevada Power Company dba NV Energy (Owner),Nevada Power Company dba NV Energy (Operator)</t>
  </si>
  <si>
    <t>GEN2 (11.5), GEN1 (49.8)</t>
  </si>
  <si>
    <t>GEN7 (27.8), GEN3 (60.5)</t>
  </si>
  <si>
    <t>GEN4 (60.5), GEN7 (27.8)</t>
  </si>
  <si>
    <t>GEN8 (27.8), GEN5 (60.5)</t>
  </si>
  <si>
    <t>GEN6 (60.5), GEN8 (27.8)</t>
  </si>
  <si>
    <t>Hopewell Power Station</t>
  </si>
  <si>
    <t>1 (71.1)</t>
  </si>
  <si>
    <t>Altavista Power Station</t>
  </si>
  <si>
    <t>VA031</t>
  </si>
  <si>
    <t>GEN1 (71.1), 1 (71.1)</t>
  </si>
  <si>
    <t>Southampton Power Station</t>
  </si>
  <si>
    <t>Southampton County</t>
  </si>
  <si>
    <t>VA175</t>
  </si>
  <si>
    <t>Selective Non-catalytic Reduction,Overfire Air</t>
  </si>
  <si>
    <t>E. F. Oxnard Energy Facility</t>
  </si>
  <si>
    <t>EF Oxnard LLC (Owner),EF Oxnard LLC (Operator)</t>
  </si>
  <si>
    <t>GTG (48.5)</t>
  </si>
  <si>
    <t>AG - Energy</t>
  </si>
  <si>
    <t>St. Lawrence County</t>
  </si>
  <si>
    <t>NY089</t>
  </si>
  <si>
    <t>AG Energy, LP (Owner),AG Energy, LP (Operator)</t>
  </si>
  <si>
    <t>GEN1 (45), GEN3 (26.9)</t>
  </si>
  <si>
    <t>GEN3 (26.9), GEN2 (23.6)</t>
  </si>
  <si>
    <t>Grayling Generating Station</t>
  </si>
  <si>
    <t>Crawford County</t>
  </si>
  <si>
    <t>MI039</t>
  </si>
  <si>
    <t>Grayling Generating Station, LP (Owner),Grayling Generating Station, LP (Operator)</t>
  </si>
  <si>
    <t>Natural Gas, Tire Derived Fuel</t>
  </si>
  <si>
    <t>GEN1 (38)</t>
  </si>
  <si>
    <t>Deer Island Treatment</t>
  </si>
  <si>
    <t>S42</t>
  </si>
  <si>
    <t>Industrial Turbine</t>
  </si>
  <si>
    <t>Massachusetts Water Resources Authority (Owner),Massachusetts Water Resources Authority (Operator)</t>
  </si>
  <si>
    <t>G101 (26)</t>
  </si>
  <si>
    <t>S43</t>
  </si>
  <si>
    <t>G201 (26)</t>
  </si>
  <si>
    <t>Northshore Mining Silver Bay Power</t>
  </si>
  <si>
    <t>PB1</t>
  </si>
  <si>
    <t>MN075</t>
  </si>
  <si>
    <t>Cliffs Natural Resources - Northshore Mining Company (Owner),Silver Bay Power Company (Operator)</t>
  </si>
  <si>
    <t>PB2</t>
  </si>
  <si>
    <t>GEN2 (82)</t>
  </si>
  <si>
    <t>Hazleton Generation</t>
  </si>
  <si>
    <t>TURB2</t>
  </si>
  <si>
    <t>Hazleton Generation, LLC (Owner),Lakeside Energy, LLC (Operator)</t>
  </si>
  <si>
    <t>GEN2 (33)</t>
  </si>
  <si>
    <t>TURB3</t>
  </si>
  <si>
    <t>GEN3 (33)</t>
  </si>
  <si>
    <t>TURB4</t>
  </si>
  <si>
    <t>GEN4 (33)</t>
  </si>
  <si>
    <t>TURBIN</t>
  </si>
  <si>
    <t>GEN1 (72.5)</t>
  </si>
  <si>
    <t>Pittsfield Generating</t>
  </si>
  <si>
    <t>Berkshire County</t>
  </si>
  <si>
    <t>MA003</t>
  </si>
  <si>
    <t>Pittsfield Generating Company, LP (Owner),IHI Power Services Corporation (Operator)</t>
  </si>
  <si>
    <t>GEN1 (40), GEN4 (53.4)</t>
  </si>
  <si>
    <t>GEN2 (40), GEN4 (53.4)</t>
  </si>
  <si>
    <t>GEN4 (53.4), GEN3 (40)</t>
  </si>
  <si>
    <t>Linden Cogeneration Facility</t>
  </si>
  <si>
    <t>Cogen Technologies Linden Venture (Owner),NAES Corporation (Operator)</t>
  </si>
  <si>
    <t>Diesel Oil, Process Gas</t>
  </si>
  <si>
    <t>GTG6 (172), STG3 (95.2), STG2 (95.2), STG1 (95.2)</t>
  </si>
  <si>
    <t>GTG1 (88), STG3 (95.2), STG1 (95.2), STG2 (95.2)</t>
  </si>
  <si>
    <t>GTG2 (88), STG2 (95.2), STG1 (95.2), STG3 (95.2)</t>
  </si>
  <si>
    <t>GTG3 (88), STG3 (95.2), STG1 (95.2), STG2 (95.2)</t>
  </si>
  <si>
    <t>STG1 (95.2), STG2 (95.2), STG3 (95.2), GTG4 (88)</t>
  </si>
  <si>
    <t>GTG5 (88), STG1 (95.2), STG3 (95.2), STG2 (95.2)</t>
  </si>
  <si>
    <t>Paris Energy Center</t>
  </si>
  <si>
    <t>610098 (Ended Jun 19, 2023), 609382 (Started Jun 19, 2023)</t>
  </si>
  <si>
    <t>TX277</t>
  </si>
  <si>
    <t>Paris Generation, LP (Owner),Paris Generation, LP (Operator)</t>
  </si>
  <si>
    <t>GEN1 (80), GEN3 (90)</t>
  </si>
  <si>
    <t>GEN3 (90), GEN2 (80)</t>
  </si>
  <si>
    <t>New Gulf Power Facility</t>
  </si>
  <si>
    <t>Wharton County</t>
  </si>
  <si>
    <t>TX481</t>
  </si>
  <si>
    <t>Wharton County Generation, LLC (Owner),Wharton County Generation, LLC (Operator)</t>
  </si>
  <si>
    <t>GEN1 (78.7)</t>
  </si>
  <si>
    <t>Bucksport Generation LLC</t>
  </si>
  <si>
    <t>GEN4</t>
  </si>
  <si>
    <t>ARP, RGGI</t>
  </si>
  <si>
    <t>Hancock County</t>
  </si>
  <si>
    <t>ME009</t>
  </si>
  <si>
    <t>Bucksport Generation LLC (Owner),Bucksport Generation LLC (Operator)</t>
  </si>
  <si>
    <t>GEN4 (186.9)</t>
  </si>
  <si>
    <t>PEI Power Corporation</t>
  </si>
  <si>
    <t>Lackawanna County</t>
  </si>
  <si>
    <t>PA069</t>
  </si>
  <si>
    <t>Cayuga Power (Owner),PEI Power LLC (Owner),PEI Power LLC (Operator)</t>
  </si>
  <si>
    <t>GEN2 (60.5)</t>
  </si>
  <si>
    <t>Luke Paper Company</t>
  </si>
  <si>
    <t>PR003</t>
  </si>
  <si>
    <t>CSPR06</t>
  </si>
  <si>
    <t>Pulp &amp; Paper Mill</t>
  </si>
  <si>
    <t>Luke Paper Company (Owner),Luke Paper Company (Operator)</t>
  </si>
  <si>
    <t>GEN2 (30), GEN1 (35)</t>
  </si>
  <si>
    <t>PR004</t>
  </si>
  <si>
    <t>PR005</t>
  </si>
  <si>
    <t>GEN1 (35), GEN2 (30)</t>
  </si>
  <si>
    <t>Bethpage Energy Center</t>
  </si>
  <si>
    <t>TBG Cogen Partners (Owner),Calpine Operating Services Company, Inc. (Operator)</t>
  </si>
  <si>
    <t>GEN1 (33.7), GEN3 (16.2)</t>
  </si>
  <si>
    <t>GEN3 (16.2), GEN2 (33.7)</t>
  </si>
  <si>
    <t>CPN Bethpage 3rd Turbine, Inc. (Owner),Calpine Operating Services Company, Inc. (Operator)</t>
  </si>
  <si>
    <t>GEN5 (60)</t>
  </si>
  <si>
    <t>Bethpage Energy Center 3, LLC (Owner),Calpine Operating Services Company, Inc. (Operator)</t>
  </si>
  <si>
    <t>GEN7 (36), GEN6 (60)</t>
  </si>
  <si>
    <t>Pixelle Specialty Solutions</t>
  </si>
  <si>
    <t>P H Glatfelter Company (Owner),Pixelle Specialty Solutions LLC (Owner),Pixelle Specialty Solutions LLC (Operator)</t>
  </si>
  <si>
    <t>Residual Oil, Process Sludge, Wood</t>
  </si>
  <si>
    <t>GEN5 (45.9), GEN3 (5.1), GEN6 (39.2), GEN4 (7.5), GEN2 (6), GEN1 (6)</t>
  </si>
  <si>
    <t>GEN3 (5.1), GEN6 (39.2), GEN1 (6), GEN4 (7.5)</t>
  </si>
  <si>
    <t>Indeck-Silver Springs Energy Center</t>
  </si>
  <si>
    <t>Wyoming County</t>
  </si>
  <si>
    <t>NY121</t>
  </si>
  <si>
    <t>Indeck Energy Services of Silver Springs (Owner),Indeck Energy Services of Silver Springs (Operator)</t>
  </si>
  <si>
    <t>GEN1 (39.4), GEN2 (17.3)</t>
  </si>
  <si>
    <t>Indeck-Oswego Energy Center</t>
  </si>
  <si>
    <t>Indeck-Oswego Limited Partnership (Owner),Indeck-Oswego Limited Partnership (Operator)</t>
  </si>
  <si>
    <t>GEN1 (41.3), GEN2 (16.3)</t>
  </si>
  <si>
    <t>Indeck-Yerkes Energy Center</t>
  </si>
  <si>
    <t>Erie County</t>
  </si>
  <si>
    <t>NY029</t>
  </si>
  <si>
    <t>Indeck-Yerkes Limited Partnership (Owner),Indeck-Yerkes Limited Partnership (Operator)</t>
  </si>
  <si>
    <t>GEN1 (40.7), GEN2 (19.4)</t>
  </si>
  <si>
    <t>Indeck-Corinth Energy Center</t>
  </si>
  <si>
    <t>Saratoga County</t>
  </si>
  <si>
    <t>NY091</t>
  </si>
  <si>
    <t>Indeck-Corinth Limited Partnership (Owner),Indeck-Corinth Limited Partnership (Operator)</t>
  </si>
  <si>
    <t>GEN2 (55), GEN1 (92)</t>
  </si>
  <si>
    <t>Procter &amp; Gamble Paper Products</t>
  </si>
  <si>
    <t>608217 (Ended Dec 20, 2023), 610871 (Started Dec 20, 2023)</t>
  </si>
  <si>
    <t>PA131</t>
  </si>
  <si>
    <t>Procter and Gamble Paper Products Company (Owner),Procter and Gamble Paper Products Company (Operator)</t>
  </si>
  <si>
    <t>GEN1 (53.6)</t>
  </si>
  <si>
    <t>GEN3 (64)</t>
  </si>
  <si>
    <t>Covanta Niagara</t>
  </si>
  <si>
    <t>R1B01</t>
  </si>
  <si>
    <t>Niagara County</t>
  </si>
  <si>
    <t>NY063</t>
  </si>
  <si>
    <t>Covanta Niagara, LLC (Owner),Covanta Niagara, LLC (Operator)</t>
  </si>
  <si>
    <t>GEN1 (25), GEN2 (25)</t>
  </si>
  <si>
    <t>R1B02</t>
  </si>
  <si>
    <t>Rosemary Power Station</t>
  </si>
  <si>
    <t>NC083</t>
  </si>
  <si>
    <t>GEN1 (86), GEN3 (54)</t>
  </si>
  <si>
    <t>GEN2 (40), GEN3 (54)</t>
  </si>
  <si>
    <t>Frontier Generating Station</t>
  </si>
  <si>
    <t>CC01</t>
  </si>
  <si>
    <t>GT01 (72.5), ST01 (49.9)</t>
  </si>
  <si>
    <t>Eagle Point Power Generation</t>
  </si>
  <si>
    <t>Eagle Point Power Generation, LLC (Owner),Eagle Point Power Generation, LLC (Operator)</t>
  </si>
  <si>
    <t>GTG1 (90), STG4 (26), STG1 (45)</t>
  </si>
  <si>
    <t>STG4 (26), STG1 (45), GTG2 (90)</t>
  </si>
  <si>
    <t>Rausch Creek Generation, LLC</t>
  </si>
  <si>
    <t>Robert Rivkin (Owner),Rausch Creek Generation, LLC (Operator)</t>
  </si>
  <si>
    <t>GEN1 (34)</t>
  </si>
  <si>
    <t>McKittrick Limited</t>
  </si>
  <si>
    <t>GEN1 (48)</t>
  </si>
  <si>
    <t>ExxonMobil Beaumont Refinery</t>
  </si>
  <si>
    <t>61STK1</t>
  </si>
  <si>
    <t>TX245</t>
  </si>
  <si>
    <t>ExxonMobil Oil Corporation (Owner),ExxonMobil Oil Corporation (Operator)</t>
  </si>
  <si>
    <t>TG41 (165)</t>
  </si>
  <si>
    <t>61STK2</t>
  </si>
  <si>
    <t>TG42 (165)</t>
  </si>
  <si>
    <t>61STK3</t>
  </si>
  <si>
    <t>TG43 (165)</t>
  </si>
  <si>
    <t>J M Shafer</t>
  </si>
  <si>
    <t>S001</t>
  </si>
  <si>
    <t>LMA (57.4), STA (52.2), STB (52.2)</t>
  </si>
  <si>
    <t>S002</t>
  </si>
  <si>
    <t>STB (52.2), STA (52.2), LMB (57.4)</t>
  </si>
  <si>
    <t>S003</t>
  </si>
  <si>
    <t>STB (52.2), LMC (57.4), STA (52.2)</t>
  </si>
  <si>
    <t>S004</t>
  </si>
  <si>
    <t>STB (52.2), STA (52.2), LMD (57.4)</t>
  </si>
  <si>
    <t>S005</t>
  </si>
  <si>
    <t>STB (52.2), LME (57.4), STA (52.2)</t>
  </si>
  <si>
    <t>Sterling Power Plant</t>
  </si>
  <si>
    <t>Oneida County</t>
  </si>
  <si>
    <t>NY065</t>
  </si>
  <si>
    <t>Sterling Power Partners, LP (Owner),Sterling Power Partners, LP (Operator)</t>
  </si>
  <si>
    <t>GEN1 (47.7), GEN2 (16.5)</t>
  </si>
  <si>
    <t>Panther Creek Energy Facility</t>
  </si>
  <si>
    <t>CSNOX, CSOSG3, CSSO2G1, MATS, RGGI</t>
  </si>
  <si>
    <t>606793 (Ended Nov 21, 2023), 602154 (Started Nov 21, 2023)</t>
  </si>
  <si>
    <t>Carbon County</t>
  </si>
  <si>
    <t>PA025</t>
  </si>
  <si>
    <t>Panther Creek Power Operating, LLC (Owner),Panther Creek Power Operating, LLC (Operator)</t>
  </si>
  <si>
    <t>GEN1 (94)</t>
  </si>
  <si>
    <t>EFS Parlin Holdings, LLC</t>
  </si>
  <si>
    <t>EFS Parlin Holdings, LLC (Owner),GE Energy Services (Operator)</t>
  </si>
  <si>
    <t>GEN1 (45.9), GEN3 (21.6)</t>
  </si>
  <si>
    <t>GEN2 (45.9), GEN4 (21.6)</t>
  </si>
  <si>
    <t>Odyssey Energy Altura Cogen, LLC</t>
  </si>
  <si>
    <t>ENG101</t>
  </si>
  <si>
    <t>Odyssey Energy Altura Cogen, LLC (Owner),Odyssey Energy Altura Cogen, LLC (Operator)</t>
  </si>
  <si>
    <t>GEN6 (129.2), GEN1 (84.9)</t>
  </si>
  <si>
    <t>ENG201</t>
  </si>
  <si>
    <t>GEN2 (84.9), GEN6 (129.2)</t>
  </si>
  <si>
    <t>ENG301</t>
  </si>
  <si>
    <t>GEN6 (129.2), GEN3 (84.9)</t>
  </si>
  <si>
    <t>ENG401</t>
  </si>
  <si>
    <t>GEN6 (129.2), GEN4 (84.9)</t>
  </si>
  <si>
    <t>ENG501</t>
  </si>
  <si>
    <t>GEN6 (129.2), GEN5 (84.9)</t>
  </si>
  <si>
    <t>ENG601</t>
  </si>
  <si>
    <t>GEN6 (129.2), GEN7 (84.9)</t>
  </si>
  <si>
    <t>TES Filer City Station</t>
  </si>
  <si>
    <t>CSNOX, CSOSG3, CSSO2G1, MATS</t>
  </si>
  <si>
    <t>Manistee County</t>
  </si>
  <si>
    <t>MI101</t>
  </si>
  <si>
    <t>T.E.S. Filer City Station Limited Partnership (Owner),NorthStar Clean Energy (Operator)</t>
  </si>
  <si>
    <t>Pipeline Natural Gas, Tire Derived Fuel, Wood</t>
  </si>
  <si>
    <t>GEN1 (70)</t>
  </si>
  <si>
    <t>Elmwood Power LLC</t>
  </si>
  <si>
    <t>Elmwood Power LLC (Owner),Elmwood Power LLC (Operator)</t>
  </si>
  <si>
    <t>GEN1 (56.3), GEN2 (16.4)</t>
  </si>
  <si>
    <t>Salinas River Cogeneration Facility</t>
  </si>
  <si>
    <t>Salinas River Cogeneration Company (Owner),Salinas River Cogeneration Company (Operator)</t>
  </si>
  <si>
    <t>K100 (38.9)</t>
  </si>
  <si>
    <t>Northampton Generating Plant</t>
  </si>
  <si>
    <t>NGC01</t>
  </si>
  <si>
    <t>Northampton Generating Company (Owner),Northampton Generating Company (Operator)</t>
  </si>
  <si>
    <t>Coal, Other Solid Fuel, Petroleum Coke, Tire Derived Fuel, Wood</t>
  </si>
  <si>
    <t>GEN1 (125)</t>
  </si>
  <si>
    <t>Hardee Power Station</t>
  </si>
  <si>
    <t>Hardee Power Partners (Owner),Invenergy LLC (Operator)</t>
  </si>
  <si>
    <t>GEN5 (86.5)</t>
  </si>
  <si>
    <t>Scrubgrass Generating Plant</t>
  </si>
  <si>
    <t>Venango County</t>
  </si>
  <si>
    <t>PA121</t>
  </si>
  <si>
    <t>Scrubgrass Generating Company (Owner),Scrubgrass Generating Company (Operator)</t>
  </si>
  <si>
    <t>GEN1 (94.8)</t>
  </si>
  <si>
    <t>Carr Street Generating Station</t>
  </si>
  <si>
    <t>Carr Street Generating Station, LP (Owner),Brookfield Renewable Energy Group (Operator)</t>
  </si>
  <si>
    <t>Water Injection,Ammonia Injection</t>
  </si>
  <si>
    <t>GEN1 (48.8), GEN3 (27.8)</t>
  </si>
  <si>
    <t>GEN3 (27.8), GEN2 (48.8)</t>
  </si>
  <si>
    <t>Ryegate Associates</t>
  </si>
  <si>
    <t>Caledonia County</t>
  </si>
  <si>
    <t>VT005</t>
  </si>
  <si>
    <t>1 (20)</t>
  </si>
  <si>
    <t>Ocean State Power</t>
  </si>
  <si>
    <t>Ocean State Power (Owner),Ocean State Power (Operator)</t>
  </si>
  <si>
    <t>GEN1 (82.8), GEN3 (88.6)</t>
  </si>
  <si>
    <t>GEN3 (88.6), GEN2 (82.8)</t>
  </si>
  <si>
    <t>Doswell Limited Partnership</t>
  </si>
  <si>
    <t>Hanover County</t>
  </si>
  <si>
    <t>VA085</t>
  </si>
  <si>
    <t>Doswell Limited Partnership (Owner),Doswell Limited Partnership (Operator)</t>
  </si>
  <si>
    <t>GEN1 (119.6), GEN6 (132), GEN3 (132)</t>
  </si>
  <si>
    <t>GEN6 (132), GEN3 (132), GEN2 (119.6)</t>
  </si>
  <si>
    <t>GEN6 (132), GEN4 (119.6), GEN3 (132)</t>
  </si>
  <si>
    <t>GEN3 (132), GEN6 (132), GEN5 (119.6)</t>
  </si>
  <si>
    <t>GEN7 (170)</t>
  </si>
  <si>
    <t>GEN8 (170)</t>
  </si>
  <si>
    <t>GEN9 (170)</t>
  </si>
  <si>
    <t>Dartmouth Power</t>
  </si>
  <si>
    <t>Dartmouth Power Associates, LP (Owner),North American Energy Services (Operator)</t>
  </si>
  <si>
    <t>GEN2 (32), GEN1 (45)</t>
  </si>
  <si>
    <t>Elizabeth River Combustion Turbine Sta</t>
  </si>
  <si>
    <t>Chesapeake city</t>
  </si>
  <si>
    <t>VA550</t>
  </si>
  <si>
    <t>GEN1 (129.6)</t>
  </si>
  <si>
    <t>GEN2 (129.6)</t>
  </si>
  <si>
    <t>GEN3 (129.6)</t>
  </si>
  <si>
    <t>Texas City Cogeneration</t>
  </si>
  <si>
    <t>GT-A</t>
  </si>
  <si>
    <t>610469 (Ended Jul 25, 2023), 610153 (Started Jul 25, 2023)</t>
  </si>
  <si>
    <t>Galveston County</t>
  </si>
  <si>
    <t>TX167</t>
  </si>
  <si>
    <t>Texas City Cogeneration, LP (Owner),Calpine Operating Services Company, Inc. (Operator)</t>
  </si>
  <si>
    <t>GEN1 (141), GEN2 (103)</t>
  </si>
  <si>
    <t>GT-B</t>
  </si>
  <si>
    <t>GEN3 (103), GEN1 (141)</t>
  </si>
  <si>
    <t>GT-C</t>
  </si>
  <si>
    <t>GEN4 (103), GEN1 (141)</t>
  </si>
  <si>
    <t>C. R. Wing Cogeneration Plant</t>
  </si>
  <si>
    <t>610060 (Ended Feb 21, 2023), 610578 (Started Feb 21, 2023)</t>
  </si>
  <si>
    <t>Howard County</t>
  </si>
  <si>
    <t>TX227</t>
  </si>
  <si>
    <t>BHER Power Resources, Inc. (Owner),BHER Power Resources, Inc. (Operator)</t>
  </si>
  <si>
    <t>GEN1 (77.5), GEN3 (75)</t>
  </si>
  <si>
    <t>GEN3 (75), GEN2 (77.5)</t>
  </si>
  <si>
    <t>Delaware City Refinery</t>
  </si>
  <si>
    <t>DCPP4</t>
  </si>
  <si>
    <t>Petroleum Refinery</t>
  </si>
  <si>
    <t>Delaware City Refining Company (Owner),Delaware City Refining Company (Operator)</t>
  </si>
  <si>
    <t>G2 (27.5), G3 (75), G4 (10), G1 (27.5)</t>
  </si>
  <si>
    <t>Rensselaer Cogen</t>
  </si>
  <si>
    <t>1GTDBS</t>
  </si>
  <si>
    <t>Rensselaer Generating LLC (Owner),Rensselaer Generating LLC (Operator)</t>
  </si>
  <si>
    <t>GEN1 (58), GEN2 (45.9)</t>
  </si>
  <si>
    <t>Lockport</t>
  </si>
  <si>
    <t>Lockport Energy Associates, LP (Owner),Lockport Energy Associates, LP (Operator)</t>
  </si>
  <si>
    <t>GEN4 (75.3), GEN1 (51)</t>
  </si>
  <si>
    <t>GEN2 (51), GEN4 (75.3)</t>
  </si>
  <si>
    <t>GEN4 (75.3), GEN3 (51)</t>
  </si>
  <si>
    <t>Indeck-Olean Energy Center</t>
  </si>
  <si>
    <t>Cattaraugus County</t>
  </si>
  <si>
    <t>NY009</t>
  </si>
  <si>
    <t>Indeck-Olean Limited Partnership (Owner),Indeck-Olean Limited Partnership (Operator)</t>
  </si>
  <si>
    <t>GEN2 (44.7), GEN1 (46)</t>
  </si>
  <si>
    <t>Spruance Operating Services, LLC</t>
  </si>
  <si>
    <t>BLR03A</t>
  </si>
  <si>
    <t>Richmond city</t>
  </si>
  <si>
    <t>VA760</t>
  </si>
  <si>
    <t>Spruance Genco, LLC (Owner),Spruance Operating Services, LLC (Owner) (Started May 11, 2023),Spruance Genco, LLC (Operator) (Ended May 11, 2023),Spruance Operating Services, LLC (Operator) (Started May 11, 2023)</t>
  </si>
  <si>
    <t>GEN3 (67.5)</t>
  </si>
  <si>
    <t>BLR03B</t>
  </si>
  <si>
    <t>BLR04A</t>
  </si>
  <si>
    <t>GEN4 (67.5)</t>
  </si>
  <si>
    <t>BLR04B</t>
  </si>
  <si>
    <t>KIAC Cogeneration</t>
  </si>
  <si>
    <t>GEN3 (27), GEN1 (47.1)</t>
  </si>
  <si>
    <t>GEN2 (47.1), GEN3 (27)</t>
  </si>
  <si>
    <t>Fortistar North Tonawanda Inc</t>
  </si>
  <si>
    <t>NTCT1</t>
  </si>
  <si>
    <t>Fortistar (Owner),North American Energy Services (Operator)</t>
  </si>
  <si>
    <t>GEN1 (38.3), GEN2 (17)</t>
  </si>
  <si>
    <t>Nissequogue Energy Center</t>
  </si>
  <si>
    <t>Nissequogue Cogen Partners (Owner),Calpine Operating Services Company, Inc. (Operator)</t>
  </si>
  <si>
    <t>GEN1 (42)</t>
  </si>
  <si>
    <t>DTE Stockton</t>
  </si>
  <si>
    <t>BIOMS1</t>
  </si>
  <si>
    <t>DTE Energy Services (Owner),DTE Energy Services (Operator)</t>
  </si>
  <si>
    <t>STG (49.9)</t>
  </si>
  <si>
    <t>Saguaro</t>
  </si>
  <si>
    <t>A01</t>
  </si>
  <si>
    <t>610569 (Started Feb 14, 2023)</t>
  </si>
  <si>
    <t>Saguaro Power Company (Owner) (Started Feb 14, 2023),Consolidated Asset Management Services, LLC (Operator) (Started Feb 14, 2023)</t>
  </si>
  <si>
    <t>CTG1 (35), STG (29.1)</t>
  </si>
  <si>
    <t>A02</t>
  </si>
  <si>
    <t>STG (29.1), CTG2 (35)</t>
  </si>
  <si>
    <t>Ocean State Power II</t>
  </si>
  <si>
    <t>GEN3 (88.6), GEN1 (82.8)</t>
  </si>
  <si>
    <t>GEN2 (82.8), GEN3 (88.6)</t>
  </si>
  <si>
    <t>Orange Cogeneration Facility</t>
  </si>
  <si>
    <t>Orange Cogeneration Limited Partnership (Owner),Northern Star Generation Services Company LLC (Operator)</t>
  </si>
  <si>
    <t>APC1 (54), APC3 (28.7)</t>
  </si>
  <si>
    <t>APC3 (28.7), APC2 (54)</t>
  </si>
  <si>
    <t>Cadillac Renewable Energy</t>
  </si>
  <si>
    <t>EUBLR</t>
  </si>
  <si>
    <t>610840 (Ended Dec 01, 2023), 610804 (Started Dec 01, 2023)</t>
  </si>
  <si>
    <t>Wexford County</t>
  </si>
  <si>
    <t>MI165</t>
  </si>
  <si>
    <t>Cadillac Renewable Energy (Owner),Delta Power Services (Operator)</t>
  </si>
  <si>
    <t>GEN1 (40)</t>
  </si>
  <si>
    <t>Mulberry Cogeneration Facility</t>
  </si>
  <si>
    <t>Polk Power Partners, LP (Owner),Northern Star Generation Services Company LLC (Operator)</t>
  </si>
  <si>
    <t>ST1 (49.5), GT1 (82)</t>
  </si>
  <si>
    <t>Orlando CoGen</t>
  </si>
  <si>
    <t>Orlando CoGen Limited, LP (Owner),Northern Star Generation Services Company LLC (Operator)</t>
  </si>
  <si>
    <t>GEN1 (144)</t>
  </si>
  <si>
    <t>Sumas Generating Station</t>
  </si>
  <si>
    <t>GEN2 (37.7), GEN1 (87.8)</t>
  </si>
  <si>
    <t>Ferndale Generating Station</t>
  </si>
  <si>
    <t>CT-1A</t>
  </si>
  <si>
    <t>Puget Sound Energy, Inc. (Owner),NAES Corporation (Operator)</t>
  </si>
  <si>
    <t>ST1 (93.7), CT1A (95.9)</t>
  </si>
  <si>
    <t>CT-1B</t>
  </si>
  <si>
    <t>CT1B (95.9), ST1 (93.7)</t>
  </si>
  <si>
    <t>Sithe/Independence Power Partners, L.P. (Owner),Sithe/Independence Power Partners, L.P. (Operator)</t>
  </si>
  <si>
    <t>1 (169.2), 5 (204.5)</t>
  </si>
  <si>
    <t>2 (169.2), 5 (204.5)</t>
  </si>
  <si>
    <t>3 (169.2), 6 (204.5)</t>
  </si>
  <si>
    <t>4 (169.2), 6 (204.5)</t>
  </si>
  <si>
    <t>Saranac Power Partners, LP</t>
  </si>
  <si>
    <t>Clinton County</t>
  </si>
  <si>
    <t>NY019</t>
  </si>
  <si>
    <t>Saranac Power Partners, LP (Owner),Falcon Power Operating Company (Operator)</t>
  </si>
  <si>
    <t>GEN1 (95.2), GEN3 (95.2)</t>
  </si>
  <si>
    <t>GEN2 (95.2), GEN3 (95.2)</t>
  </si>
  <si>
    <t>Tanner Street Generation, LLC</t>
  </si>
  <si>
    <t>Tanner Street Generation LLC (Owner),Tanner Street Generation LLC (Operator)</t>
  </si>
  <si>
    <t>TRENT (57.9), VAX (27.9)</t>
  </si>
  <si>
    <t>Massena Energy Facility</t>
  </si>
  <si>
    <t>Power City Partners, LP (Owner),MEG OP Co (Morris Energy Group Operating Company) (Operator)</t>
  </si>
  <si>
    <t>GEN2 (35.3), GEN1 (66.6)</t>
  </si>
  <si>
    <t>Batavia Energy</t>
  </si>
  <si>
    <t>Genesee County</t>
  </si>
  <si>
    <t>NY037</t>
  </si>
  <si>
    <t>Seneca Power Partners, LP (Owner),Seneca Power Partners, LP (Operator)</t>
  </si>
  <si>
    <t>GEN2 (18.6), GEN1 (47.7)</t>
  </si>
  <si>
    <t>Pratt &amp; Whitney, East Hartford</t>
  </si>
  <si>
    <t>Pratt &amp; Whitney, Division of Raytheon Technologies Corp (Owner),Pratt &amp; Whitney, Division of Raytheon Technologies Corp (Operator)</t>
  </si>
  <si>
    <t>FT-8 (32)</t>
  </si>
  <si>
    <t>St. Nicholas Cogeneration Project</t>
  </si>
  <si>
    <t>Schuylkill Energy Resources, Inc. (Owner),Schuylkill Energy Resources, Inc. (Operator)</t>
  </si>
  <si>
    <t>SNCP (99.2)</t>
  </si>
  <si>
    <t>Domtar Paper Company, LLC</t>
  </si>
  <si>
    <t>1147 (Ended Apr 03, 2023), 610528 (Started Apr 03, 2023)</t>
  </si>
  <si>
    <t>Elk County</t>
  </si>
  <si>
    <t>PA047</t>
  </si>
  <si>
    <t>Domtar Paper Company, LLC (Owner),Domtar Paper Company, LLC (Operator)</t>
  </si>
  <si>
    <t>PT1 (54)</t>
  </si>
  <si>
    <t>Lakewood</t>
  </si>
  <si>
    <t>604449 (Ended Mar 27, 2023), 608604 (Started Mar 27, 2023)(Ended Apr 04, 2023), 610610 (Started Apr 04, 2023)</t>
  </si>
  <si>
    <t>Lakewood Cogeneration, LP (Owner),Lakewood Cogeneration, LP (Operator)</t>
  </si>
  <si>
    <t>GEN1 (77.9), GEN3 (82.7)</t>
  </si>
  <si>
    <t>GEN2 (77.9), GEN3 (82.7)</t>
  </si>
  <si>
    <t>Yuma Cogeneration Associates</t>
  </si>
  <si>
    <t>California Energy Development Corporation (Owner),Falcon Power Operating Company (Operator)</t>
  </si>
  <si>
    <t>GEN1 (44.1), GEN2 (18.5)</t>
  </si>
  <si>
    <t>Goal Line</t>
  </si>
  <si>
    <t>Goal Line, LP (Owner),Goal Line, LP (Operator)</t>
  </si>
  <si>
    <t>STG (10.2), CTG (41.2)</t>
  </si>
  <si>
    <t>Genesee Power Station</t>
  </si>
  <si>
    <t>607102 (Ended Jun 21, 2023), 610325 (Started Jun 21, 2023)</t>
  </si>
  <si>
    <t>MI049</t>
  </si>
  <si>
    <t>Fortistar LLC (Owner),NorthStar Clean Energy (Owner),Genesee Power Station LP (Operator)</t>
  </si>
  <si>
    <t>Tire Derived Fuel</t>
  </si>
  <si>
    <t>GEN1 (35)</t>
  </si>
  <si>
    <t>Hermiston</t>
  </si>
  <si>
    <t>Umatilla County</t>
  </si>
  <si>
    <t>OR059</t>
  </si>
  <si>
    <t>Pacificorp Energy Generation (Owner),Perennial Power (Owner),Perennial Power (Operator)</t>
  </si>
  <si>
    <t>GEN2 (204.5), GEN1 (106.1)</t>
  </si>
  <si>
    <t>GEN3 (106.1), GEN4 (204.5)</t>
  </si>
  <si>
    <t>Live Oak Limited</t>
  </si>
  <si>
    <t>Grays Ferry Cogen Partnership</t>
  </si>
  <si>
    <t>Vicinity Energy Philadelphia, Inc. (Owner),Vicinity Energy Philadelphia, Inc. (Operator)</t>
  </si>
  <si>
    <t>GEN2 (135), GEN1 (57.6)</t>
  </si>
  <si>
    <t>Milford Power, LLC</t>
  </si>
  <si>
    <t>Worcester County</t>
  </si>
  <si>
    <t>MA027</t>
  </si>
  <si>
    <t>Milford Power, LLC (Owner),Milford Power, LLC (Operator)</t>
  </si>
  <si>
    <t>GT-1 (129), ST-1 (43)</t>
  </si>
  <si>
    <t>Johnson County Generation Facility</t>
  </si>
  <si>
    <t>EAST</t>
  </si>
  <si>
    <t>TX251</t>
  </si>
  <si>
    <t>ST-1 (104), GT-1 (154)</t>
  </si>
  <si>
    <t>Brandywine Power Facility</t>
  </si>
  <si>
    <t>604603 (Ended Feb 23, 2023), 610492 (Started Feb 23, 2023)(Ended Mar 06, 2023)</t>
  </si>
  <si>
    <t>KMC Thermo, LLC (Owner),KMC Thermo, LLC (Operator)</t>
  </si>
  <si>
    <t>Diesel Oil, Liquified Petroleum Gas</t>
  </si>
  <si>
    <t>1 (98.8), 3 (91.4)</t>
  </si>
  <si>
    <t>2 (98.8), 3 (91.4)</t>
  </si>
  <si>
    <t>Gordonsville Power Station</t>
  </si>
  <si>
    <t>GOR1 (97.2), GOR3 (53)</t>
  </si>
  <si>
    <t>GOR2 (97.2), GOR4 (53)</t>
  </si>
  <si>
    <t>Sun Peak Generating Station</t>
  </si>
  <si>
    <t>5657 (74)</t>
  </si>
  <si>
    <t>5658 (74)</t>
  </si>
  <si>
    <t>5659 (74)</t>
  </si>
  <si>
    <t>Brooklyn Navy Yard Cogeneration</t>
  </si>
  <si>
    <t>Brooklyn Navy Yard Cogeneration (Owner),Veolia North America (Operator)</t>
  </si>
  <si>
    <t>01 (128), 03 (40.3)</t>
  </si>
  <si>
    <t>02 (128), 04 (40.3)</t>
  </si>
  <si>
    <t>Michigan Power Limited Partnership</t>
  </si>
  <si>
    <t>608974 (Ended Jul 12, 2023), 608446 (Started Jul 12, 2023)</t>
  </si>
  <si>
    <t>MI105</t>
  </si>
  <si>
    <t>Michigan Power Limited Partnership (Owner),Michigan Power Limited Partnership (Operator)</t>
  </si>
  <si>
    <t>G101 (83.5), G001 (58)</t>
  </si>
  <si>
    <t>Cottage Grove Cogeneration</t>
  </si>
  <si>
    <t>604118 (Ended Feb 08, 2023), 610094 (Started Feb 08, 2023)</t>
  </si>
  <si>
    <t>LSP Cottage Grove, LP (Owner),D. E. Shaw Synoptic Acquisition 1, LLC (Owner) (Ended Feb 08, 2023),Polaris Cottage Grove, LLC (Owner) (Ended Feb 08, 2023),OGPA Cottage Grove, LLC (Owner) (Ended Feb 08, 2023),Cottage Grove Operating Services, LLC (Operator)</t>
  </si>
  <si>
    <t>STG1 (102), CTG1 (185)</t>
  </si>
  <si>
    <t>Whitewater Cogeneration Facility</t>
  </si>
  <si>
    <t>606904 (Ended Jan 05, 2023), 605792 (Started Jan 05, 2023)(Ended Oct 02, 2023), 610765 (Started Oct 02, 2023)</t>
  </si>
  <si>
    <t>LSP Whitewater, LP (Owner) (Ended Jan 05, 2023),D. E. Shaw Synoptic Acquisition 1, LLC (Owner) (Ended Jan 05, 2023),Polaris Whitewater, LLC (Owner) (Ended Jan 05, 2023),OGPA Whitewater, LLC (Owner) (Ended Jan 05, 2023),Wisconsin Electric Power Company (Owner) (Started Jan 05, 2023),Wisconsin Public Service Corporation (Owner) (Started Jan 05, 2023),Whitewater Operating Services, LLC (Operator) (Ended Jan 05, 2023),Wisconsin Electric Power Company (Operator) (Started Jan 05, 2023)</t>
  </si>
  <si>
    <t>STG1 (106.2), CTG1 (197)</t>
  </si>
  <si>
    <t>Sweeny Cogeneration Facility</t>
  </si>
  <si>
    <t>609745 (Ended Mar 07, 2023), 610592 (Started Mar 07, 2023)</t>
  </si>
  <si>
    <t>Sweeny Cogeneration, LP (Owner) (Ended Mar 07, 2023),Sweeny Cogeneration LLC (Owner) (Started Mar 07, 2023),Phillips 66 Company (Operator)</t>
  </si>
  <si>
    <t>Other Gas, Process Gas</t>
  </si>
  <si>
    <t>GEN1 (115)</t>
  </si>
  <si>
    <t>GEN2 (115)</t>
  </si>
  <si>
    <t>GEN3 (115)</t>
  </si>
  <si>
    <t>GEN4 (115)</t>
  </si>
  <si>
    <t>Dighton</t>
  </si>
  <si>
    <t>Dighton Power, LLC (Owner),Dighton Power, LLC (Operator)</t>
  </si>
  <si>
    <t>UNT1 (170)</t>
  </si>
  <si>
    <t>Depere Energy Center</t>
  </si>
  <si>
    <t>B01</t>
  </si>
  <si>
    <t>CT01 (187.3)</t>
  </si>
  <si>
    <t>Androscoggin Energy</t>
  </si>
  <si>
    <t>608598 (Ended Jul 11, 2023), 608771 (Started Jul 11, 2023)</t>
  </si>
  <si>
    <t>ME007</t>
  </si>
  <si>
    <t>Pixelle Androscoggin LLC (Owner),Pixelle Androscoggin LLC (Operator)</t>
  </si>
  <si>
    <t>CT01 (54.6)</t>
  </si>
  <si>
    <t>CT02 (54.6)</t>
  </si>
  <si>
    <t>CT03 (54.6)</t>
  </si>
  <si>
    <t>Rio Bravo Generating Station</t>
  </si>
  <si>
    <t>Mid-Georgia Cogeneration</t>
  </si>
  <si>
    <t>Mid-Georgia Cogeneration, LP (Owner),Mid-Georgia Cogeneration, LP (Operator)</t>
  </si>
  <si>
    <t>ST1 (110), CT1 (106.5)</t>
  </si>
  <si>
    <t>CT2 (106.5), ST1 (110)</t>
  </si>
  <si>
    <t>Berkshire Power</t>
  </si>
  <si>
    <t>Berkshire Power, LLC (Owner),Berkshire Power Company, LLC. (Owner),ABB Energy Ventures, Inc. (Operator)</t>
  </si>
  <si>
    <t>GEN2 (289)</t>
  </si>
  <si>
    <t>Bridgeport Energy</t>
  </si>
  <si>
    <t>BE1</t>
  </si>
  <si>
    <t>Bridgeport Energy, LLC (Owner),Bridgeport Energy, LLC (Operator)</t>
  </si>
  <si>
    <t>GEN3 (180), GEN1 (170)</t>
  </si>
  <si>
    <t>BE2</t>
  </si>
  <si>
    <t>GEN2 (170), GEN3 (180)</t>
  </si>
  <si>
    <t>Cherokee County Cogen</t>
  </si>
  <si>
    <t>CCCP1</t>
  </si>
  <si>
    <t>Cherokee County Cogen Partners, LP (Owner),Cherokee County Cogen Partners, LP (Operator)</t>
  </si>
  <si>
    <t>GT1 (76.5), ST1 (41.2)</t>
  </si>
  <si>
    <t>Pasadena Power Plant</t>
  </si>
  <si>
    <t>CG-1</t>
  </si>
  <si>
    <t>606487 (Ended Apr 25, 2023), 610469 (Started Apr 25, 2023)(Ended Oct 18, 2023), 610771 (Started Oct 18, 2023)</t>
  </si>
  <si>
    <t>Pasadena Cogeneration, LP (Owner),Calpine Operating Services Company, Inc. (Operator)</t>
  </si>
  <si>
    <t>STG1 (85), CTG1 (175)</t>
  </si>
  <si>
    <t>CG-2</t>
  </si>
  <si>
    <t>STG2 (185), CTG2 (185)</t>
  </si>
  <si>
    <t>CG-3</t>
  </si>
  <si>
    <t>CTG3 (185), STG2 (185)</t>
  </si>
  <si>
    <t>Tiverton Power, LLC</t>
  </si>
  <si>
    <t>606300 (Ended Sep 06, 2023), 610563 (Started Sep 06, 2023)</t>
  </si>
  <si>
    <t>Newport County</t>
  </si>
  <si>
    <t>RI005</t>
  </si>
  <si>
    <t>Tiverton Power LLC (Owner),Tiverton Power LLC (Operator)</t>
  </si>
  <si>
    <t>UNT2 (93.2), UNT1 (179.3)</t>
  </si>
  <si>
    <t>Tenaska Georgia Generating Station</t>
  </si>
  <si>
    <t>Tenaska Georgia Partners, LP (Owner),Tenaska Georgia Partners, LP (Operator)</t>
  </si>
  <si>
    <t>GTG1 (183.2)</t>
  </si>
  <si>
    <t>GTG2 (183.2)</t>
  </si>
  <si>
    <t>GTG3 (183.2)</t>
  </si>
  <si>
    <t>GTG4 (183.2)</t>
  </si>
  <si>
    <t>GTG5 (183.2)</t>
  </si>
  <si>
    <t>GTG6 (183.2)</t>
  </si>
  <si>
    <t>Tenaska Frontier Generating Station</t>
  </si>
  <si>
    <t>Grimes County</t>
  </si>
  <si>
    <t>TX185</t>
  </si>
  <si>
    <t>Tenaska Frontier Partners, Ltd. (Owner),Tenaska Frontier Partners, Ltd. (Operator)</t>
  </si>
  <si>
    <t>GTG1 (183.2), STG1 (390.1)</t>
  </si>
  <si>
    <t>GTG2 (183.2), STG1 (390.1)</t>
  </si>
  <si>
    <t>STG1 (390.1), GTG3 (183.2)</t>
  </si>
  <si>
    <t>Batesville Generation Facility</t>
  </si>
  <si>
    <t>Panola County</t>
  </si>
  <si>
    <t>MS107</t>
  </si>
  <si>
    <t>CTG1 (184.5), STG1 (112.5)</t>
  </si>
  <si>
    <t>STG2 (112.5), CTG2 (184.5)</t>
  </si>
  <si>
    <t>STG3 (112.5), CTG3 (184.5)</t>
  </si>
  <si>
    <t>Blackhawk Station</t>
  </si>
  <si>
    <t>Hutchinson County</t>
  </si>
  <si>
    <t>TX233</t>
  </si>
  <si>
    <t>Borger Energy Associates, LP (Owner),Borger Energy Associates, LP (Operator)</t>
  </si>
  <si>
    <t>UNT1 (126.9)</t>
  </si>
  <si>
    <t>UNT2B (117), UNT2 (126.9)</t>
  </si>
  <si>
    <t>Mustang Station</t>
  </si>
  <si>
    <t>609443 (Ended Jun 21, 2023), 610698 (Started Jun 21, 2023)</t>
  </si>
  <si>
    <t>Yoakum County</t>
  </si>
  <si>
    <t>TX501</t>
  </si>
  <si>
    <t>Golden Spread Electric Cooperative, Inc. (Owner),Golden Spread Electric Cooperative, Inc. (Operator)</t>
  </si>
  <si>
    <t>GEN1 (174.2), GEN3 (172.6)</t>
  </si>
  <si>
    <t>GEN3 (172.6), GEN2 (174.2)</t>
  </si>
  <si>
    <t>Maine Independence Station</t>
  </si>
  <si>
    <t>Penobscot County</t>
  </si>
  <si>
    <t>ME019</t>
  </si>
  <si>
    <t>Casco Bay Energy Company, LLC (Owner),Casco Bay Energy Company, LLC (Operator)</t>
  </si>
  <si>
    <t>GEN3 (194.6), GEN1 (176.6)</t>
  </si>
  <si>
    <t>GEN2 (176.6), GEN3 (194.6)</t>
  </si>
  <si>
    <t>Pine Bluff Energy Center</t>
  </si>
  <si>
    <t>Pine Bluff Energy, LLC (Owner),Calpine Operating Services Company, Inc. (Operator)</t>
  </si>
  <si>
    <t>CT01 (180), ST01 (56)</t>
  </si>
  <si>
    <t>Red Hills Generation Facility</t>
  </si>
  <si>
    <t>AA001</t>
  </si>
  <si>
    <t>MS019</t>
  </si>
  <si>
    <t>Choctaw Generation Limited Partnership, LLLP (Owner),Choctaw Generation, LP (Operator)</t>
  </si>
  <si>
    <t>RHGF (513.7)</t>
  </si>
  <si>
    <t>AA002</t>
  </si>
  <si>
    <t>Desert Star Energy Center</t>
  </si>
  <si>
    <t>EDE1</t>
  </si>
  <si>
    <t>San Diego Gas and Electric Company (Owner),San Diego Gas and Electric Company (Operator)</t>
  </si>
  <si>
    <t>ED01 (201), ED03 (196)</t>
  </si>
  <si>
    <t>EDE2</t>
  </si>
  <si>
    <t>ED02 (201), ED03 (196)</t>
  </si>
  <si>
    <t>Millennium Power</t>
  </si>
  <si>
    <t>Millennium Power Company, LLC (Owner),Millennium Power Company, LLC (Operator)</t>
  </si>
  <si>
    <t>ST01 (130), CT01 (230)</t>
  </si>
  <si>
    <t>Brownsville Combustion Turbine Plant</t>
  </si>
  <si>
    <t>AA-001</t>
  </si>
  <si>
    <t>1 (112)</t>
  </si>
  <si>
    <t>AA-002</t>
  </si>
  <si>
    <t>2 (112)</t>
  </si>
  <si>
    <t>AA-003</t>
  </si>
  <si>
    <t>3 (118)</t>
  </si>
  <si>
    <t>AA-004</t>
  </si>
  <si>
    <t>4 (118)</t>
  </si>
  <si>
    <t>Gregory Power Facility</t>
  </si>
  <si>
    <t>San Patricio County</t>
  </si>
  <si>
    <t>TX409</t>
  </si>
  <si>
    <t>Gregory Power Partners LLC (Owner),Gregory Power Partners LLC (Operator)</t>
  </si>
  <si>
    <t>GT1A (168), STG (100)</t>
  </si>
  <si>
    <t>STG (100), GT1B (168)</t>
  </si>
  <si>
    <t>Zeeland Generating Station</t>
  </si>
  <si>
    <t>1A (154)</t>
  </si>
  <si>
    <t>CC2</t>
  </si>
  <si>
    <t>1B (154)</t>
  </si>
  <si>
    <t>CC3</t>
  </si>
  <si>
    <t>2C (213.3), 2A (171)</t>
  </si>
  <si>
    <t>2B (171), 2C (213.3)</t>
  </si>
  <si>
    <t>Dearborn Industrial Generation</t>
  </si>
  <si>
    <t>BL1100</t>
  </si>
  <si>
    <t>3137 (Ended May 31, 2023), 610686 (Started May 31, 2023)</t>
  </si>
  <si>
    <t>Dearborn Industrial Generation, LLC (Owner),Dearborn Industrial Generation, LLC (Operator)</t>
  </si>
  <si>
    <t>ST1 (189)</t>
  </si>
  <si>
    <t>BL2100</t>
  </si>
  <si>
    <t>BL3100</t>
  </si>
  <si>
    <t>GT2100</t>
  </si>
  <si>
    <t>GT1 (166.5), ST1 (189)</t>
  </si>
  <si>
    <t>GT3100</t>
  </si>
  <si>
    <t>ST1 (189), GT2 (166.5)</t>
  </si>
  <si>
    <t>GTP1</t>
  </si>
  <si>
    <t>GTP1 (170)</t>
  </si>
  <si>
    <t>Taft Cogeneration Facility</t>
  </si>
  <si>
    <t>Occidental Chemical Corporation (Owner),Occidental Chemical Corporation (Operator)</t>
  </si>
  <si>
    <t>CT1 (178.5), ST1 (358.7)</t>
  </si>
  <si>
    <t>CT2 (178.5), ST1 (358.7)</t>
  </si>
  <si>
    <t>ST1 (358.7), CT3 (178.5)</t>
  </si>
  <si>
    <t>Midlothian Energy</t>
  </si>
  <si>
    <t>STK1</t>
  </si>
  <si>
    <t>Ellis County</t>
  </si>
  <si>
    <t>TX139</t>
  </si>
  <si>
    <t>Midlothian Energy, LLC (Owner),Midlothian Energy, LLC (Operator)</t>
  </si>
  <si>
    <t>STK1 (289)</t>
  </si>
  <si>
    <t>STK2</t>
  </si>
  <si>
    <t>STK2 (289)</t>
  </si>
  <si>
    <t>STK3</t>
  </si>
  <si>
    <t>STK3 (289)</t>
  </si>
  <si>
    <t>STK4</t>
  </si>
  <si>
    <t>STK4 (289)</t>
  </si>
  <si>
    <t>STK5</t>
  </si>
  <si>
    <t>STK5 (289)</t>
  </si>
  <si>
    <t>STK6</t>
  </si>
  <si>
    <t>STK6 (289)</t>
  </si>
  <si>
    <t>Lamar Power Plant</t>
  </si>
  <si>
    <t>La Frontera Holdings, LLC (Owner),Luminant Generation Company LLC (Operator)</t>
  </si>
  <si>
    <t>CTG1 (171.7), STG1 (202)</t>
  </si>
  <si>
    <t>CTG2 (171.7), STG1 (202)</t>
  </si>
  <si>
    <t>CTG3 (171.7), STG2 (202)</t>
  </si>
  <si>
    <t>STG2 (202), CTG4 (171.7)</t>
  </si>
  <si>
    <t>Frontera Generation Facility</t>
  </si>
  <si>
    <t>Frontera Generation, LP (Owner),Frontera Generation, LP (Operator)</t>
  </si>
  <si>
    <t>GEN1 (172), GEN3 (185)</t>
  </si>
  <si>
    <t>GEN3 (185), GEN2 (172)</t>
  </si>
  <si>
    <t>Rumford Power</t>
  </si>
  <si>
    <t>Oxford County</t>
  </si>
  <si>
    <t>ME017</t>
  </si>
  <si>
    <t>Rumford Power, Inc (Owner),Rumford Power, Inc (Operator)</t>
  </si>
  <si>
    <t>UNT2 (93.5), UNT1 (179.4)</t>
  </si>
  <si>
    <t>Kalamazoo River Generating Station</t>
  </si>
  <si>
    <t>Kalamazoo County</t>
  </si>
  <si>
    <t>MI077</t>
  </si>
  <si>
    <t>CMS Generation Michigan Power, LLC (Owner),CMS Generation Michigan Power, LLC (Operator)</t>
  </si>
  <si>
    <t>1 (73.5), 1 (73.5)</t>
  </si>
  <si>
    <t>Livingston Generating Station</t>
  </si>
  <si>
    <t>Otsego County</t>
  </si>
  <si>
    <t>MI137</t>
  </si>
  <si>
    <t>1 (42.9)</t>
  </si>
  <si>
    <t>2 (42.4)</t>
  </si>
  <si>
    <t>3 (42.4)</t>
  </si>
  <si>
    <t>4 (42.4)</t>
  </si>
  <si>
    <t>Klamath Cogeneration Project</t>
  </si>
  <si>
    <t>Klamath County</t>
  </si>
  <si>
    <t>OR035</t>
  </si>
  <si>
    <t>Klamath Energy, LLC (Owner),Klamath Energy, LLC (Operator)</t>
  </si>
  <si>
    <t>ST1 (178.5), CT1 (161.5)</t>
  </si>
  <si>
    <t>CT2 (161.5), ST1 (178.5)</t>
  </si>
  <si>
    <t>Rhode Island State Energy Center</t>
  </si>
  <si>
    <t>RISEP1</t>
  </si>
  <si>
    <t>608604 (Ended Aug 17, 2023), 610755 (Started Aug 17, 2023)</t>
  </si>
  <si>
    <t>Rhode Island State Energy Center, LP (Owner),NextEra Energy Operating Services, LLC (Operator)</t>
  </si>
  <si>
    <t>CTG1 (196), STG1 (204)</t>
  </si>
  <si>
    <t>RISEP2</t>
  </si>
  <si>
    <t>CTG2 (196), STG1 (204)</t>
  </si>
  <si>
    <t>Rocky Road Power, LLC</t>
  </si>
  <si>
    <t>T1</t>
  </si>
  <si>
    <t>Kane County</t>
  </si>
  <si>
    <t>IL089</t>
  </si>
  <si>
    <t>Rocky Road Power, LLC (Owner),Rocky Road Power, LLC (Operator)</t>
  </si>
  <si>
    <t>TG1 (121)</t>
  </si>
  <si>
    <t>T2</t>
  </si>
  <si>
    <t>TG2 (121)</t>
  </si>
  <si>
    <t>T3</t>
  </si>
  <si>
    <t>TG3 (35)</t>
  </si>
  <si>
    <t>T4</t>
  </si>
  <si>
    <t>T4 (121)</t>
  </si>
  <si>
    <t>Madison Generating Station</t>
  </si>
  <si>
    <t>CT1 (84.7)</t>
  </si>
  <si>
    <t>CT2 (84.7)</t>
  </si>
  <si>
    <t>CT3 (84.7)</t>
  </si>
  <si>
    <t>CT4 (84.7)</t>
  </si>
  <si>
    <t>CT5 (84.7)</t>
  </si>
  <si>
    <t>CT6 (84.7)</t>
  </si>
  <si>
    <t>CT7 (84.7)</t>
  </si>
  <si>
    <t>CT8 (84.7)</t>
  </si>
  <si>
    <t>Vermillion Generating Station</t>
  </si>
  <si>
    <t>Wabash Valley Power Alliance (Owner),Duke Energy Indiana, LLC (Owner),Duke Energy Indiana, LLC (Operator)</t>
  </si>
  <si>
    <t>Calpine Sutter Energy Center</t>
  </si>
  <si>
    <t>CT01 (212), ST01 (212)</t>
  </si>
  <si>
    <t>ST01 (212), CT02 (212)</t>
  </si>
  <si>
    <t>Rockingham County Combustion Turbine</t>
  </si>
  <si>
    <t>CT1 (180)</t>
  </si>
  <si>
    <t>CT2 (180)</t>
  </si>
  <si>
    <t>CT3 (180)</t>
  </si>
  <si>
    <t>CT4 (180)</t>
  </si>
  <si>
    <t>CT5 (180)</t>
  </si>
  <si>
    <t>R S Cogen LLC</t>
  </si>
  <si>
    <t>RS-5</t>
  </si>
  <si>
    <t>608481 (Ended Nov 06, 2023), 610709 (Started Nov 06, 2023)</t>
  </si>
  <si>
    <t>R S Cogen, LLC (Owner),Eagle US 2 LLC (Operator)</t>
  </si>
  <si>
    <t>RS-5 (195), RS-4 (103)</t>
  </si>
  <si>
    <t>RS-6</t>
  </si>
  <si>
    <t>RS-6 (195), RS-4 (103)</t>
  </si>
  <si>
    <t>SRO Cogen Limited Partnership</t>
  </si>
  <si>
    <t>CTG-1</t>
  </si>
  <si>
    <t>The Dow Chemical Company (Owner),The Dow Chemical Company (Operator)</t>
  </si>
  <si>
    <t>GT1A (184.5), ST1A (145)</t>
  </si>
  <si>
    <t>CTG-2</t>
  </si>
  <si>
    <t>ST1A (145), GT1B (184.5)</t>
  </si>
  <si>
    <t>Magic Valley Generating Station</t>
  </si>
  <si>
    <t>Calpine Construction Finance Company, L.P. (Owner),Calpine Operating Services Company, Inc. (Operator)</t>
  </si>
  <si>
    <t>CTG1 (267), STG (267)</t>
  </si>
  <si>
    <t>CTG2 (267), STG (267)</t>
  </si>
  <si>
    <t>Griffith Energy Project</t>
  </si>
  <si>
    <t>P1</t>
  </si>
  <si>
    <t>Mohave County</t>
  </si>
  <si>
    <t>AZ015</t>
  </si>
  <si>
    <t>Griffith Energy, LLC (Owner),Griffith Energy, LLC (Operator)</t>
  </si>
  <si>
    <t>CTG1 (176.7), STG (301.8)</t>
  </si>
  <si>
    <t>P2</t>
  </si>
  <si>
    <t>STG (301.8), CTG2 (176.7)</t>
  </si>
  <si>
    <t>Milford Power Company LLC</t>
  </si>
  <si>
    <t>Milford Power Company, LLC (Owner),Milford Power Company, LLC (Operator)</t>
  </si>
  <si>
    <t>CA01 (289)</t>
  </si>
  <si>
    <t>CA02 (289)</t>
  </si>
  <si>
    <t>Manchief Generating Station</t>
  </si>
  <si>
    <t>UN1 (142)</t>
  </si>
  <si>
    <t>UN2 (142)</t>
  </si>
  <si>
    <t>Walton County Power</t>
  </si>
  <si>
    <t>Walton County Power, LLC (Owner),Walton County Power, LLC (Operator)</t>
  </si>
  <si>
    <t>101G (176)</t>
  </si>
  <si>
    <t>102G (176)</t>
  </si>
  <si>
    <t>103G (176)</t>
  </si>
  <si>
    <t>Desert Basin Generating Station</t>
  </si>
  <si>
    <t>DBG1</t>
  </si>
  <si>
    <t>STG (272.1), CTG1 (187)</t>
  </si>
  <si>
    <t>DBG2</t>
  </si>
  <si>
    <t>CTG2 (187), STG (272.1)</t>
  </si>
  <si>
    <t>DBG4</t>
  </si>
  <si>
    <t>DBSGT4 (49.5)</t>
  </si>
  <si>
    <t>DBG5</t>
  </si>
  <si>
    <t>DBSGT5 (49.5)</t>
  </si>
  <si>
    <t>Kendall Energy Facility</t>
  </si>
  <si>
    <t>GTG-1</t>
  </si>
  <si>
    <t>Kendall County</t>
  </si>
  <si>
    <t>IL093</t>
  </si>
  <si>
    <t>Dynegy Power Corporation (Owner),Kendall Power Company LLC (Owner),Kendall Power Company LLC (Operator)</t>
  </si>
  <si>
    <t>CTG1 (180), STG1 (133)</t>
  </si>
  <si>
    <t>GTG-2</t>
  </si>
  <si>
    <t>CTG2 (180), STG2 (133)</t>
  </si>
  <si>
    <t>GTG-3</t>
  </si>
  <si>
    <t>STG3 (133), CTG3 (180)</t>
  </si>
  <si>
    <t>GTG-4</t>
  </si>
  <si>
    <t>CTG4 (180), STG4 (133)</t>
  </si>
  <si>
    <t>Tenaska Gateway Generating Station</t>
  </si>
  <si>
    <t>OGTDB1</t>
  </si>
  <si>
    <t>Tenaska Gateway Partners, Ltd. (Owner),Tenaska Gateway Partners, Ltd. (Operator)</t>
  </si>
  <si>
    <t>STG1 (390), GTG1 (183.2)</t>
  </si>
  <si>
    <t>OGTDB2</t>
  </si>
  <si>
    <t>STG1 (390), GTG2 (183.2)</t>
  </si>
  <si>
    <t>OGTDB3</t>
  </si>
  <si>
    <t>GTG3 (183.2), STG1 (390)</t>
  </si>
  <si>
    <t>Neenah Energy Facility</t>
  </si>
  <si>
    <t>Winnebago County</t>
  </si>
  <si>
    <t>WI139</t>
  </si>
  <si>
    <t>CT01 (186.6)</t>
  </si>
  <si>
    <t>CT02 (186.6)</t>
  </si>
  <si>
    <t>Rio Nogales Power Project, LP</t>
  </si>
  <si>
    <t>Guadalupe County</t>
  </si>
  <si>
    <t>TX187</t>
  </si>
  <si>
    <t>City Public Service (Owner),City Public Service (Operator)</t>
  </si>
  <si>
    <t>STG1 (373.2), CTG1 (175)</t>
  </si>
  <si>
    <t>CTG2 (175), STG1 (373.2)</t>
  </si>
  <si>
    <t>CTG-3</t>
  </si>
  <si>
    <t>CTG3 (175), STG1 (373.2)</t>
  </si>
  <si>
    <t>Walton Discover Power Facility</t>
  </si>
  <si>
    <t>Walton Discover LLC (Owner),Walton Discover LLC (Operator)</t>
  </si>
  <si>
    <t>UN1 (51.5)</t>
  </si>
  <si>
    <t>UN2 (51.5)</t>
  </si>
  <si>
    <t>Wolf Hollow Generating Station</t>
  </si>
  <si>
    <t>Hood County</t>
  </si>
  <si>
    <t>TX221</t>
  </si>
  <si>
    <t>Wolf Hollow I Power, LLC (Owner),Wolf Hollow I Power, LLC (Operator)</t>
  </si>
  <si>
    <t>CTG1 (264.8), ST (280)</t>
  </si>
  <si>
    <t>ST (280), CTG2 (264.8)</t>
  </si>
  <si>
    <t>Hawk Road Energy Facility</t>
  </si>
  <si>
    <t>CT1 (165)</t>
  </si>
  <si>
    <t>CT2 (165)</t>
  </si>
  <si>
    <t>CT3 (165)</t>
  </si>
  <si>
    <t>Hays Energy Facility</t>
  </si>
  <si>
    <t>Hays County</t>
  </si>
  <si>
    <t>TX209</t>
  </si>
  <si>
    <t>Hays Energy, LLC (Owner),Hays Energy, LLC (Operator)</t>
  </si>
  <si>
    <t>U1 (300)</t>
  </si>
  <si>
    <t>U2 (300)</t>
  </si>
  <si>
    <t>U3 (300)</t>
  </si>
  <si>
    <t>U4 (300)</t>
  </si>
  <si>
    <t>Green Country Energy, LLC</t>
  </si>
  <si>
    <t>CTGEN1</t>
  </si>
  <si>
    <t>Green Country Energy, LLC (Owner),Green Country Energy, LLC (Operator)</t>
  </si>
  <si>
    <t>STG1 (122), CTG1 (179.3)</t>
  </si>
  <si>
    <t>CTGEN2</t>
  </si>
  <si>
    <t>STG2 (122), CTG2 (179.3)</t>
  </si>
  <si>
    <t>CTGEN3</t>
  </si>
  <si>
    <t>CTG3 (179.3), STG3 (122)</t>
  </si>
  <si>
    <t>Worthington Generation</t>
  </si>
  <si>
    <t>IN055</t>
  </si>
  <si>
    <t>Lake Road Generating Company</t>
  </si>
  <si>
    <t>LRG1</t>
  </si>
  <si>
    <t>Windham County</t>
  </si>
  <si>
    <t>CT015</t>
  </si>
  <si>
    <t>Lake Road Generating Company, LLC (Owner),Lake Road Generating Company, LLC (Operator)</t>
  </si>
  <si>
    <t>U1 (280)</t>
  </si>
  <si>
    <t>LRG2</t>
  </si>
  <si>
    <t>U2 (280)</t>
  </si>
  <si>
    <t>LRG3</t>
  </si>
  <si>
    <t>U3 (280)</t>
  </si>
  <si>
    <t>La Paloma Generating Plant</t>
  </si>
  <si>
    <t>CXA La Paloma, LLC (Owner),CXA La Paloma, LLC (Operator)</t>
  </si>
  <si>
    <t>GEN1 (300)</t>
  </si>
  <si>
    <t>GEN2 (300)</t>
  </si>
  <si>
    <t>GEN3 (300)</t>
  </si>
  <si>
    <t>CTG-4</t>
  </si>
  <si>
    <t>GEN4 (300)</t>
  </si>
  <si>
    <t>Guadalupe Generating Station</t>
  </si>
  <si>
    <t>605862 (Ended Mar 29, 2023), 609260 (Started Mar 29, 2023)(Ended Sep 06, 2023), 610738 (Started Sep 06, 2023)</t>
  </si>
  <si>
    <t>Guadalupe Power Partners, LP (Owner),Calpine Operating Services Company, Inc. (Operator)</t>
  </si>
  <si>
    <t>CTG1 (184.6), STG1 (201.9)</t>
  </si>
  <si>
    <t>CTG2 (184.6), STG1 (201.9)</t>
  </si>
  <si>
    <t>CTG3 (184.6), STG2 (201.9)</t>
  </si>
  <si>
    <t>STG2 (201.9), CTG4 (184.6)</t>
  </si>
  <si>
    <t>Lost Pines 1</t>
  </si>
  <si>
    <t>GenTex Power Corporation (Owner),Lower Colorado River Authority (Operator)</t>
  </si>
  <si>
    <t>CTA (195.5), ST (204)</t>
  </si>
  <si>
    <t>ST (204), CTB (195.5)</t>
  </si>
  <si>
    <t>Bluegrass Generating Station</t>
  </si>
  <si>
    <t>GTG1</t>
  </si>
  <si>
    <t>Oldham County</t>
  </si>
  <si>
    <t>KY185</t>
  </si>
  <si>
    <t>CT1 (208)</t>
  </si>
  <si>
    <t>GTG2</t>
  </si>
  <si>
    <t>CT2 (208)</t>
  </si>
  <si>
    <t>GTG3</t>
  </si>
  <si>
    <t>CT3 (208)</t>
  </si>
  <si>
    <t>Calcasieu Plant</t>
  </si>
  <si>
    <t>G101 (155)</t>
  </si>
  <si>
    <t>G102 (165)</t>
  </si>
  <si>
    <t>Broad River Energy Center</t>
  </si>
  <si>
    <t>Broad River Energy, LLC (Owner),NAES Corporation (Operator)</t>
  </si>
  <si>
    <t>CT01 (197)</t>
  </si>
  <si>
    <t>CT02 (197)</t>
  </si>
  <si>
    <t>CT03 (197)</t>
  </si>
  <si>
    <t>CT04 (197)</t>
  </si>
  <si>
    <t>CT-5</t>
  </si>
  <si>
    <t>CT05 (197)</t>
  </si>
  <si>
    <t>Bastrop Clean Energy Center</t>
  </si>
  <si>
    <t>CTG-1A</t>
  </si>
  <si>
    <t>Bastrop Energy Partners, LP (Owner),Bastrop Energy Partners, LP (Operator)</t>
  </si>
  <si>
    <t>0001 (188.3), 0003 (242.3)</t>
  </si>
  <si>
    <t>CTG-1B</t>
  </si>
  <si>
    <t>0003 (242.3), 0002 (188.3)</t>
  </si>
  <si>
    <t>Granite Ridge Energy</t>
  </si>
  <si>
    <t>Granite Ridge Energy, LLC (Owner),Granite Ridge Energy, LLC (Operator)</t>
  </si>
  <si>
    <t>CT11 (260), STG (270)</t>
  </si>
  <si>
    <t>STG (270), CT12 (260)</t>
  </si>
  <si>
    <t>Bosque County Power Plant</t>
  </si>
  <si>
    <t>609260 (Ended Apr 25, 2023), 610469 (Started Apr 25, 2023)</t>
  </si>
  <si>
    <t>Bosque County</t>
  </si>
  <si>
    <t>TX035</t>
  </si>
  <si>
    <t>Calpine Bosque Energy Center, LLC (Owner),Calpine Operating Services Company, Inc. (Operator)</t>
  </si>
  <si>
    <t>GT-1 (154), ST-5 (250)</t>
  </si>
  <si>
    <t>ST-5 (250), GT-2 (154)</t>
  </si>
  <si>
    <t>GT-3 (154), ST-4 (95)</t>
  </si>
  <si>
    <t>Acadia Power Station</t>
  </si>
  <si>
    <t>Acadia Parish</t>
  </si>
  <si>
    <t>LA001</t>
  </si>
  <si>
    <t>CT11 (212), ST13 (264)</t>
  </si>
  <si>
    <t>ST13 (264), CT12 (212)</t>
  </si>
  <si>
    <t>Entergy Louisiana, LLC (Owner),Cleco Power LLC (Operator)</t>
  </si>
  <si>
    <t>CT24 (212), ST26 (264)</t>
  </si>
  <si>
    <t>CT25 (212), ST26 (264)</t>
  </si>
  <si>
    <t>Eastman Cogeneration Facility</t>
  </si>
  <si>
    <t>609996 (Ended Jan 17, 2023), 610405 (Started Jan 17, 2023)</t>
  </si>
  <si>
    <t>Eastman Cogeneration, LP (Owner),Eastman Cogeneration, LP (Operator)</t>
  </si>
  <si>
    <t>GEN1 (167), GEN3 (127)</t>
  </si>
  <si>
    <t>GEN3 (127), GEN2 (167)</t>
  </si>
  <si>
    <t>South Point Energy Center, LLC</t>
  </si>
  <si>
    <t>ST1 (236), A (236)</t>
  </si>
  <si>
    <t>ST1 (236), B (236)</t>
  </si>
  <si>
    <t>Dogwood Energy Facility</t>
  </si>
  <si>
    <t>Dogwood Energy, LLC (Owner),North American Energy Services (Operator)</t>
  </si>
  <si>
    <t>ST-1 (265), CT-1 (208)</t>
  </si>
  <si>
    <t>CT-2 (208), ST-1 (265)</t>
  </si>
  <si>
    <t>Rathdrum Power, LLC</t>
  </si>
  <si>
    <t>606904 (Ended Sep 08, 2023), 610747 (Started Sep 08, 2023)</t>
  </si>
  <si>
    <t>Rathdrum Power, LLC (Owner),Rathdrum Operating Services, Inc. (Operator)</t>
  </si>
  <si>
    <t>CTG1 (179.4), STG1 (122.1)</t>
  </si>
  <si>
    <t>Sunrise Power Company</t>
  </si>
  <si>
    <t>Sunrise Power Company, LLC (Owner),Sunrise Power Company, LLC (Operator)</t>
  </si>
  <si>
    <t>X718 (167.7), STG (270)</t>
  </si>
  <si>
    <t>STG (270), X719 (167.7)</t>
  </si>
  <si>
    <t>Nelson Energy Center</t>
  </si>
  <si>
    <t>IL103</t>
  </si>
  <si>
    <t>Invenergy LLC (Owner),Invenergy LLC (Operator)</t>
  </si>
  <si>
    <t>ST1 (133.5), CT1 (181.9)</t>
  </si>
  <si>
    <t>CT2 (179.4), ST2 (133.5)</t>
  </si>
  <si>
    <t>Channelview Cogeneration Facility</t>
  </si>
  <si>
    <t>CHV1</t>
  </si>
  <si>
    <t>EIF Channelview Cogeneration, LLC (Owner),EIF Channelview Cogeneration, LLC (Operator)</t>
  </si>
  <si>
    <t>GT1 (192.1), ST1 (149.9)</t>
  </si>
  <si>
    <t>CHV2</t>
  </si>
  <si>
    <t>ST1 (149.9), GT2 (192.1)</t>
  </si>
  <si>
    <t>CHV3</t>
  </si>
  <si>
    <t>GT3 (192.1), ST1 (149.9)</t>
  </si>
  <si>
    <t>CHV4</t>
  </si>
  <si>
    <t>ST1 (149.9), GT4 (192.1)</t>
  </si>
  <si>
    <t>Cordova Energy Company</t>
  </si>
  <si>
    <t>Rock Island County</t>
  </si>
  <si>
    <t>IL161</t>
  </si>
  <si>
    <t>Cordova Energy Company (Owner),Cordova Energy Company (Operator)</t>
  </si>
  <si>
    <t>PT11 (210), PT31 (191.2)</t>
  </si>
  <si>
    <t>PT31 (191.2), PT21 (210)</t>
  </si>
  <si>
    <t>Osceola</t>
  </si>
  <si>
    <t>OSC1</t>
  </si>
  <si>
    <t>CTG1 (200)</t>
  </si>
  <si>
    <t>OSC2</t>
  </si>
  <si>
    <t>CTG2 (200)</t>
  </si>
  <si>
    <t>OSC3</t>
  </si>
  <si>
    <t>CTG3 (200)</t>
  </si>
  <si>
    <t>Ontelaunee Energy Center</t>
  </si>
  <si>
    <t>Berks County</t>
  </si>
  <si>
    <t>PA011</t>
  </si>
  <si>
    <t>Ontelaunee Power Operating Company, LLC (Owner),Ontelaunee Power Operating Company, LLC (Operator)</t>
  </si>
  <si>
    <t>CTG1 (185), STG (200)</t>
  </si>
  <si>
    <t>CTG2 (185), STG (200)</t>
  </si>
  <si>
    <t>Springdale Generating Station (55196)</t>
  </si>
  <si>
    <t>Springdale Energy, LLC (Owner),Springdale Energy, LLC (Operator)</t>
  </si>
  <si>
    <t>UNT1 (43.9)</t>
  </si>
  <si>
    <t>UNT2 (43.9)</t>
  </si>
  <si>
    <t>Caledonia</t>
  </si>
  <si>
    <t>MS087</t>
  </si>
  <si>
    <t>Caledonia Power, LLC (Owner),Tennessee Valley Authority (Operator)</t>
  </si>
  <si>
    <t>STG1 (106), CTG1 (161)</t>
  </si>
  <si>
    <t>CTG2 (161), STG2 (106)</t>
  </si>
  <si>
    <t>CTG3 (161), STG3 (106)</t>
  </si>
  <si>
    <t>Riverside Generating Company</t>
  </si>
  <si>
    <t>GTG101</t>
  </si>
  <si>
    <t>Riverside Generating Company, LLC (Owner),Riverside Generating Company, LLC (Operator)</t>
  </si>
  <si>
    <t>GTG1 (208)</t>
  </si>
  <si>
    <t>GTG201</t>
  </si>
  <si>
    <t>GTG2 (208)</t>
  </si>
  <si>
    <t>GTG301</t>
  </si>
  <si>
    <t>GTG3 (208)</t>
  </si>
  <si>
    <t>GTG401</t>
  </si>
  <si>
    <t>GTG4 (208)</t>
  </si>
  <si>
    <t>GTG501</t>
  </si>
  <si>
    <t>GTG5 (208)</t>
  </si>
  <si>
    <t>Elwood Energy Facility</t>
  </si>
  <si>
    <t>607880 (Ended Mar 07, 2023), 610552 (Started Mar 07, 2023)</t>
  </si>
  <si>
    <t>Elwood Energy, LLC (Owner),Elwood Services Company, LLC (Operator)</t>
  </si>
  <si>
    <t>GT1 (191), GT11 (170)</t>
  </si>
  <si>
    <t>GT22 (170), GT2 (191)</t>
  </si>
  <si>
    <t>GT33 (170), GT3 (191)</t>
  </si>
  <si>
    <t>GT4 (191)</t>
  </si>
  <si>
    <t>GT5 (195), GT55 (172)</t>
  </si>
  <si>
    <t>GT6 (195)</t>
  </si>
  <si>
    <t>GT7 (195)</t>
  </si>
  <si>
    <t>GT8 (195)</t>
  </si>
  <si>
    <t>GT9 (195)</t>
  </si>
  <si>
    <t>Arapahoe Combustion Turbine Facility</t>
  </si>
  <si>
    <t>Denver County</t>
  </si>
  <si>
    <t>CO031</t>
  </si>
  <si>
    <t>SWG Arapahoe LLC (Owner),SWG Arapahoe LLC (Operator)</t>
  </si>
  <si>
    <t>UN5 (76), UN7 (51.8)</t>
  </si>
  <si>
    <t>UN6 (76), UN7 (51.8)</t>
  </si>
  <si>
    <t>Gibson City Energy Center, LLC</t>
  </si>
  <si>
    <t>GCTG1</t>
  </si>
  <si>
    <t>IL053</t>
  </si>
  <si>
    <t>Gibson City Energy Center, LLC (Owner),Gibson City Energy Center, LLC (Operator)</t>
  </si>
  <si>
    <t>GCTG2</t>
  </si>
  <si>
    <t>2 (135)</t>
  </si>
  <si>
    <t>Pinckneyville Power Plant</t>
  </si>
  <si>
    <t>Perry County</t>
  </si>
  <si>
    <t>IL145</t>
  </si>
  <si>
    <t>CT07</t>
  </si>
  <si>
    <t>CT08</t>
  </si>
  <si>
    <t>8 (50)</t>
  </si>
  <si>
    <t>Kinmundy Power Plant</t>
  </si>
  <si>
    <t>KCTG1</t>
  </si>
  <si>
    <t>IL121</t>
  </si>
  <si>
    <t>KCTG2</t>
  </si>
  <si>
    <t>Corpus Christi Energy Center</t>
  </si>
  <si>
    <t>CU1</t>
  </si>
  <si>
    <t>Corpus Christi Cogeneration, LP (Owner),Calpine Operating Services Company, Inc. (Operator)</t>
  </si>
  <si>
    <t>CT1 (190), ST1 (195.5)</t>
  </si>
  <si>
    <t>CU2</t>
  </si>
  <si>
    <t>CT2 (190), ST1 (195.5)</t>
  </si>
  <si>
    <t>Valmont Combustion Turbine Facility</t>
  </si>
  <si>
    <t>Boulder County</t>
  </si>
  <si>
    <t>CO013</t>
  </si>
  <si>
    <t>SWG Colorado, LLC (Owner),SWG Colorado, LLC (Operator)</t>
  </si>
  <si>
    <t>G7 (71.1)</t>
  </si>
  <si>
    <t>G8 (71.1)</t>
  </si>
  <si>
    <t>Afton Generating Station</t>
  </si>
  <si>
    <t>0002 (110), 0001 (177)</t>
  </si>
  <si>
    <t>Bellingham Power Generation LLC</t>
  </si>
  <si>
    <t>Bellingham Power Generation LLC (Owner),Bellingham Power Generation LLC (Operator)</t>
  </si>
  <si>
    <t>U1 (289)</t>
  </si>
  <si>
    <t>U2 (289)</t>
  </si>
  <si>
    <t>Blackstone Power Generation LLC</t>
  </si>
  <si>
    <t>Blackstone Power Generation LLC (Owner),Blackstone Power Generation LLC (Operator)</t>
  </si>
  <si>
    <t>Odessa Ector Generating Station</t>
  </si>
  <si>
    <t>Ector County</t>
  </si>
  <si>
    <t>TX135</t>
  </si>
  <si>
    <t>CTG1 (170), STG1 (224.2)</t>
  </si>
  <si>
    <t>CTG2 (170), STG1 (224.2)</t>
  </si>
  <si>
    <t>CTG3 (170), STG2 (224.2)</t>
  </si>
  <si>
    <t>STG2 (224.2), CTG4 (170)</t>
  </si>
  <si>
    <t>Morris Cogeneration, LLC</t>
  </si>
  <si>
    <t>CSNOX, CSOSG3, CSSO2G1, SIPNOX</t>
  </si>
  <si>
    <t>Grundy County</t>
  </si>
  <si>
    <t>IL063</t>
  </si>
  <si>
    <t>Morris CoGeneration, LLC (Owner),Morris CoGeneration, LLC (Operator)</t>
  </si>
  <si>
    <t>UNT1 (39), STG1 (62)</t>
  </si>
  <si>
    <t>STG1 (62), UNT2 (39)</t>
  </si>
  <si>
    <t>CTG3</t>
  </si>
  <si>
    <t>UNT3 (39), STG1 (62)</t>
  </si>
  <si>
    <t>Los Medanos Energy Center, LLC</t>
  </si>
  <si>
    <t>X724</t>
  </si>
  <si>
    <t>609261 (Ended Apr 24, 2023), 610469 (Started Apr 24, 2023)</t>
  </si>
  <si>
    <t>Contra Costa County</t>
  </si>
  <si>
    <t>CA013</t>
  </si>
  <si>
    <t>Los Medanos Energy Center, LLC (Owner),Los Medanos Energy Center, LLC (Operator)</t>
  </si>
  <si>
    <t>CTG1 (198.9), STG3 (280.5)</t>
  </si>
  <si>
    <t>X725</t>
  </si>
  <si>
    <t>STG3 (280.5), CTG2 (198.9)</t>
  </si>
  <si>
    <t>Hinds Energy Facility</t>
  </si>
  <si>
    <t>Hinds County</t>
  </si>
  <si>
    <t>MS049</t>
  </si>
  <si>
    <t>H04BS (49.1)</t>
  </si>
  <si>
    <t>H01</t>
  </si>
  <si>
    <t>H01 (176.63), H03 (198.05)</t>
  </si>
  <si>
    <t>H02</t>
  </si>
  <si>
    <t>H03 (198.05), H02 (176.63)</t>
  </si>
  <si>
    <t>Attala Generating Plant</t>
  </si>
  <si>
    <t>Attala County</t>
  </si>
  <si>
    <t>MS007</t>
  </si>
  <si>
    <t>A01 (180), A03 (198.1)</t>
  </si>
  <si>
    <t>A02 (180), A03 (198.1)</t>
  </si>
  <si>
    <t>Oswald Generating Station</t>
  </si>
  <si>
    <t>AR119</t>
  </si>
  <si>
    <t>G1 (47.8), G8 (105)</t>
  </si>
  <si>
    <t>G2 (47.8), G8 (105)</t>
  </si>
  <si>
    <t>G3</t>
  </si>
  <si>
    <t>G3 (47.8), G8 (105)</t>
  </si>
  <si>
    <t>G4</t>
  </si>
  <si>
    <t>G9 (105), G4 (47.8)</t>
  </si>
  <si>
    <t>G5</t>
  </si>
  <si>
    <t>G5 (47.8), G9 (105)</t>
  </si>
  <si>
    <t>G6</t>
  </si>
  <si>
    <t>G6 (47.8), G9 (105)</t>
  </si>
  <si>
    <t>G7</t>
  </si>
  <si>
    <t>G9 (105), G7 (82.8)</t>
  </si>
  <si>
    <t>Lincoln Generating Facility</t>
  </si>
  <si>
    <t>Lincoln Generating Facility, LLC (Owner),Lincoln Generating Facility, LLC (Operator)</t>
  </si>
  <si>
    <t>CTG1 (86.5)</t>
  </si>
  <si>
    <t>CTG2 (86.5)</t>
  </si>
  <si>
    <t>CTG3 (86.5)</t>
  </si>
  <si>
    <t>CTG4 (86.5)</t>
  </si>
  <si>
    <t>CTG-5</t>
  </si>
  <si>
    <t>CTG5 (86.5)</t>
  </si>
  <si>
    <t>CTG-6</t>
  </si>
  <si>
    <t>CTG6 (86.5)</t>
  </si>
  <si>
    <t>CTG-7</t>
  </si>
  <si>
    <t>CTG7 (86.5)</t>
  </si>
  <si>
    <t>CTG-8</t>
  </si>
  <si>
    <t>CTG8 (86.5)</t>
  </si>
  <si>
    <t>Ennis Power Company, LLC</t>
  </si>
  <si>
    <t>Ennis Power Company, LLC (Owner),Ennis Power Company, LLC (Operator)</t>
  </si>
  <si>
    <t>ST1 (133), GT1 (285)</t>
  </si>
  <si>
    <t>Wheatland Generating Facility LLC</t>
  </si>
  <si>
    <t>EU-01</t>
  </si>
  <si>
    <t>CTG1 (122)</t>
  </si>
  <si>
    <t>EU-02</t>
  </si>
  <si>
    <t>CTG2 (122)</t>
  </si>
  <si>
    <t>EU-03</t>
  </si>
  <si>
    <t>CTG3 (122)</t>
  </si>
  <si>
    <t>EU-04</t>
  </si>
  <si>
    <t>CTG4 (122)</t>
  </si>
  <si>
    <t>Oneta Energy Center</t>
  </si>
  <si>
    <t>606878 (Ended Feb 03, 2023), 609593 (Started Feb 03, 2023)</t>
  </si>
  <si>
    <t>Wagoner County</t>
  </si>
  <si>
    <t>OK145</t>
  </si>
  <si>
    <t>Oneta Power, LLC (Owner),Oneta Power, LLC (Operator)</t>
  </si>
  <si>
    <t>CTG1 (176), STG1 (255)</t>
  </si>
  <si>
    <t>STG1 (255), CTG2 (176)</t>
  </si>
  <si>
    <t>CTG3 (176), STG2 (255)</t>
  </si>
  <si>
    <t>STG2 (255), CTG4 (176)</t>
  </si>
  <si>
    <t>Freestone Power Generation</t>
  </si>
  <si>
    <t>Freestone County</t>
  </si>
  <si>
    <t>TX161</t>
  </si>
  <si>
    <t>Freestone Power Generation, LP (Owner),Calpine Operating Services Company, Inc. (Operator)</t>
  </si>
  <si>
    <t>GT1 (166.7), ST3 (184.6)</t>
  </si>
  <si>
    <t>GT2 (166.7), ST3 (184.6)</t>
  </si>
  <si>
    <t>ST6 (184.6), GT3 (166.7)</t>
  </si>
  <si>
    <t>ST6 (184.6), GT4 (166.7)</t>
  </si>
  <si>
    <t>Greenville Electric Gen Station</t>
  </si>
  <si>
    <t>G1CT1</t>
  </si>
  <si>
    <t>Darke County</t>
  </si>
  <si>
    <t>OH037</t>
  </si>
  <si>
    <t>Buckeye Power, Inc. (Owner),Buckeye Power, Inc. (Operator)</t>
  </si>
  <si>
    <t>GT1 (58.9)</t>
  </si>
  <si>
    <t>G1CT2</t>
  </si>
  <si>
    <t>G2CT1</t>
  </si>
  <si>
    <t>GT2 (58.9)</t>
  </si>
  <si>
    <t>G2CT2</t>
  </si>
  <si>
    <t>G3CT1</t>
  </si>
  <si>
    <t>GT3 (58.9)</t>
  </si>
  <si>
    <t>G3CT2</t>
  </si>
  <si>
    <t>G4CT1</t>
  </si>
  <si>
    <t>G4CT2</t>
  </si>
  <si>
    <t>Montpelier Electric Gen Station</t>
  </si>
  <si>
    <t>Wells County</t>
  </si>
  <si>
    <t>IN179</t>
  </si>
  <si>
    <t>Montpelier Generating Station, LLC (Owner),Montpelier Generating Station, LLC (Operator)</t>
  </si>
  <si>
    <t>GT1 (59)</t>
  </si>
  <si>
    <t>GT2 (59)</t>
  </si>
  <si>
    <t>GT3 (59)</t>
  </si>
  <si>
    <t>GT4 (59)</t>
  </si>
  <si>
    <t>Jack County Generation Facility</t>
  </si>
  <si>
    <t>Jack County</t>
  </si>
  <si>
    <t>TX237</t>
  </si>
  <si>
    <t>CT1 (198), ST1 (320)</t>
  </si>
  <si>
    <t>ST1 (320), CT2 (198)</t>
  </si>
  <si>
    <t>CT3 (198), ST2 (320)</t>
  </si>
  <si>
    <t>ST2 (320), CT4 (198)</t>
  </si>
  <si>
    <t>Liberty Electric Power Plant</t>
  </si>
  <si>
    <t>Liberty Electric Power, LLC (Owner),Liberty Electric Power, LLC (Operator)</t>
  </si>
  <si>
    <t>GTG1 (186), STG (242)</t>
  </si>
  <si>
    <t>STG (242), GTG2 (186)</t>
  </si>
  <si>
    <t>KY157</t>
  </si>
  <si>
    <t>CT5 (86)</t>
  </si>
  <si>
    <t>CT6 (86)</t>
  </si>
  <si>
    <t>CT7 (86)</t>
  </si>
  <si>
    <t>CT8 (86)</t>
  </si>
  <si>
    <t>Handsome Lake Energy</t>
  </si>
  <si>
    <t>EU-1A</t>
  </si>
  <si>
    <t>Handsome Lake Energy, LLC (Owner),Handsome Lake Energy, LLC (Operator)</t>
  </si>
  <si>
    <t>GT01 (58.9)</t>
  </si>
  <si>
    <t>EU-1B</t>
  </si>
  <si>
    <t>EU-2A</t>
  </si>
  <si>
    <t>GT02 (58.9)</t>
  </si>
  <si>
    <t>EU-2B</t>
  </si>
  <si>
    <t>EU-3A</t>
  </si>
  <si>
    <t>GT03 (58.9)</t>
  </si>
  <si>
    <t>EU-3B</t>
  </si>
  <si>
    <t>EU-4A</t>
  </si>
  <si>
    <t>GT04 (58.9)</t>
  </si>
  <si>
    <t>EU-4B</t>
  </si>
  <si>
    <t>EU-5A</t>
  </si>
  <si>
    <t>GT05 (58.9)</t>
  </si>
  <si>
    <t>EU-5B</t>
  </si>
  <si>
    <t>Audrain Power Plant</t>
  </si>
  <si>
    <t>Lee County Generating Station, LLC</t>
  </si>
  <si>
    <t>Lee County Generating Station, LLC (Owner),Lee County Generating Station, LLC (Operator)</t>
  </si>
  <si>
    <t>CT1 (101.8)</t>
  </si>
  <si>
    <t>CT2 (101.8)</t>
  </si>
  <si>
    <t>CT3 (101.8)</t>
  </si>
  <si>
    <t>CT4 (101.8)</t>
  </si>
  <si>
    <t>CT5 (101.8)</t>
  </si>
  <si>
    <t>CT6 (101.8)</t>
  </si>
  <si>
    <t>CT7 (101.8)</t>
  </si>
  <si>
    <t>CT8 (101.8)</t>
  </si>
  <si>
    <t>SCE1</t>
  </si>
  <si>
    <t>IL173</t>
  </si>
  <si>
    <t>Shelby County Energy Center, LLC (Owner),Shelby County Energy Center, LLC (Operator)</t>
  </si>
  <si>
    <t>CTG1 (60.5)</t>
  </si>
  <si>
    <t>SCE2</t>
  </si>
  <si>
    <t>CTG2 (60.5)</t>
  </si>
  <si>
    <t>SCE3</t>
  </si>
  <si>
    <t>CTG3 (60.5)</t>
  </si>
  <si>
    <t>SCE4</t>
  </si>
  <si>
    <t>CTG4 (60.5)</t>
  </si>
  <si>
    <t>SCE5</t>
  </si>
  <si>
    <t>CTG5 (60.5)</t>
  </si>
  <si>
    <t>SCE6</t>
  </si>
  <si>
    <t>CTG6 (60.5)</t>
  </si>
  <si>
    <t>SCE7</t>
  </si>
  <si>
    <t>CTG7 (60)</t>
  </si>
  <si>
    <t>SCE8</t>
  </si>
  <si>
    <t>CTG8 (60)</t>
  </si>
  <si>
    <t>Rockford Energy Center</t>
  </si>
  <si>
    <t>IL201</t>
  </si>
  <si>
    <t>Rockford Generation, LLC (Owner),Rockford Generation, LLC (Operator)</t>
  </si>
  <si>
    <t>0001 (166.5)</t>
  </si>
  <si>
    <t>0002 (166.5)</t>
  </si>
  <si>
    <t>Red Oak Power, LLC</t>
  </si>
  <si>
    <t>Red Oak Power, LLC (Owner),Red Oak Power, LLC (Operator)</t>
  </si>
  <si>
    <t>0001 (212), 0004 (280.5)</t>
  </si>
  <si>
    <t>0004 (280.5), 0002 (212)</t>
  </si>
  <si>
    <t>0003 (212), 0004 (280.5)</t>
  </si>
  <si>
    <t>Hog Bayou Energy Center</t>
  </si>
  <si>
    <t>COG01</t>
  </si>
  <si>
    <t>Mobile Energy, LLC (Owner),Mobile Energy, LLC (Operator)</t>
  </si>
  <si>
    <t>CT01 (200), ST01 (80)</t>
  </si>
  <si>
    <t>Santa Rosa Energy Center</t>
  </si>
  <si>
    <t>Santa Rosa County</t>
  </si>
  <si>
    <t>FL113</t>
  </si>
  <si>
    <t>Santa Rosa Energy, LLC (Owner),Santa Rosa Energy, LLC (Operator)</t>
  </si>
  <si>
    <t>CT01 (200.1), ST01 (74.5)</t>
  </si>
  <si>
    <t>Astoria Gas Turbine Power</t>
  </si>
  <si>
    <t>CT2-1A</t>
  </si>
  <si>
    <t>CP0002</t>
  </si>
  <si>
    <t>CSNOX, CSSO2G1, RGGI</t>
  </si>
  <si>
    <t>601596 (Ended Apr 07, 2023), 604509 (Started Apr 07, 2023)</t>
  </si>
  <si>
    <t>Astoria Gas Turbine Power LLC (Owner),Astoria Gas Turbine Power LLC (Operator)</t>
  </si>
  <si>
    <t>Operating (Retired 05/01/2023)</t>
  </si>
  <si>
    <t>2-1 (40)</t>
  </si>
  <si>
    <t>CT2-1B</t>
  </si>
  <si>
    <t>CT2-2A</t>
  </si>
  <si>
    <t>2-2 (40)</t>
  </si>
  <si>
    <t>CT2-2B</t>
  </si>
  <si>
    <t>CT2-3A</t>
  </si>
  <si>
    <t>2-3 (40)</t>
  </si>
  <si>
    <t>CT2-3B</t>
  </si>
  <si>
    <t>CT2-4A</t>
  </si>
  <si>
    <t>2-4 (40)</t>
  </si>
  <si>
    <t>CT2-4B</t>
  </si>
  <si>
    <t>CT3-1A</t>
  </si>
  <si>
    <t>CP0003</t>
  </si>
  <si>
    <t>3-1 (40)</t>
  </si>
  <si>
    <t>CT3-1B</t>
  </si>
  <si>
    <t>CT3-2A</t>
  </si>
  <si>
    <t>3-2 (40)</t>
  </si>
  <si>
    <t>CT3-2B</t>
  </si>
  <si>
    <t>CT3-3A</t>
  </si>
  <si>
    <t>3-3 (40)</t>
  </si>
  <si>
    <t>CT3-3B</t>
  </si>
  <si>
    <t>CT3-4A</t>
  </si>
  <si>
    <t>3-4 (40)</t>
  </si>
  <si>
    <t>CT3-4B</t>
  </si>
  <si>
    <t>CT4-1A</t>
  </si>
  <si>
    <t>CP0004</t>
  </si>
  <si>
    <t>4-1 (40)</t>
  </si>
  <si>
    <t>CT4-1B</t>
  </si>
  <si>
    <t>CT4-2A</t>
  </si>
  <si>
    <t>4-2 (40)</t>
  </si>
  <si>
    <t>CT4-2B</t>
  </si>
  <si>
    <t>CT4-3A</t>
  </si>
  <si>
    <t>4-3 (40)</t>
  </si>
  <si>
    <t>CT4-3B</t>
  </si>
  <si>
    <t>CT4-4A</t>
  </si>
  <si>
    <t>4-4 (40)</t>
  </si>
  <si>
    <t>CT4-4B</t>
  </si>
  <si>
    <t>Doyle Energy Facility</t>
  </si>
  <si>
    <t>CTG2 (72)</t>
  </si>
  <si>
    <t>CTG3 (72)</t>
  </si>
  <si>
    <t>CTG4 (101)</t>
  </si>
  <si>
    <t>CTG5 (101)</t>
  </si>
  <si>
    <t>Darby Electric Generating Station</t>
  </si>
  <si>
    <t>Pickaway County</t>
  </si>
  <si>
    <t>OH129</t>
  </si>
  <si>
    <t>Darby Power, LLC (Owner),Consolidated Asset Management Services, LLC (Operator)</t>
  </si>
  <si>
    <t>GT1 (94)</t>
  </si>
  <si>
    <t>GT2 (94)</t>
  </si>
  <si>
    <t>GT3 (94)</t>
  </si>
  <si>
    <t>GT4 (94)</t>
  </si>
  <si>
    <t>GT5 (94)</t>
  </si>
  <si>
    <t>GT6 (94)</t>
  </si>
  <si>
    <t>Tait Electric Generating Station</t>
  </si>
  <si>
    <t>GT7 (94)</t>
  </si>
  <si>
    <t>University Park Energy</t>
  </si>
  <si>
    <t>UP1</t>
  </si>
  <si>
    <t>University Park Energy, LLC (Owner),University Park Energy, LLC (Operator)</t>
  </si>
  <si>
    <t>UPG1 (57)</t>
  </si>
  <si>
    <t>UP10</t>
  </si>
  <si>
    <t>UPG5 (57)</t>
  </si>
  <si>
    <t>UP11</t>
  </si>
  <si>
    <t>UPG6 (57)</t>
  </si>
  <si>
    <t>UP12</t>
  </si>
  <si>
    <t>UP2</t>
  </si>
  <si>
    <t>UP3</t>
  </si>
  <si>
    <t>UPG2 (57)</t>
  </si>
  <si>
    <t>UP4</t>
  </si>
  <si>
    <t>UP5</t>
  </si>
  <si>
    <t>UPG3 (57)</t>
  </si>
  <si>
    <t>UP6</t>
  </si>
  <si>
    <t>UP7</t>
  </si>
  <si>
    <t>UPG4 (57)</t>
  </si>
  <si>
    <t>UP8</t>
  </si>
  <si>
    <t>UP9</t>
  </si>
  <si>
    <t>Gleason Combustion Turbine Plant</t>
  </si>
  <si>
    <t>Weakley County</t>
  </si>
  <si>
    <t>TN183</t>
  </si>
  <si>
    <t>CTG1 (185.4)</t>
  </si>
  <si>
    <t>CTG2 (191.2)</t>
  </si>
  <si>
    <t>CTG3 (191.2)</t>
  </si>
  <si>
    <t>Crete Energy Park</t>
  </si>
  <si>
    <t>Crete Energy Venture, LLC (Owner),Crete Energy Venture, LLC (Operator)</t>
  </si>
  <si>
    <t>GT1 (89)</t>
  </si>
  <si>
    <t>GT2 (89)</t>
  </si>
  <si>
    <t>GT3 (89)</t>
  </si>
  <si>
    <t>GT4 (89)</t>
  </si>
  <si>
    <t>Whiting Clean Energy, Inc.</t>
  </si>
  <si>
    <t>IN089</t>
  </si>
  <si>
    <t>Whiting Clean Energy, Inc. (Owner),Whiting Clean Energy, Inc. (Operator)</t>
  </si>
  <si>
    <t>CT1 (186), ST1 (213)</t>
  </si>
  <si>
    <t>CT2 (186), ST1 (213)</t>
  </si>
  <si>
    <t>AMP-Ohio Gas Turbines Bowling Green</t>
  </si>
  <si>
    <t>American Municipal Power - Ohio (Owner),American Municipal Power - Ohio (Operator)</t>
  </si>
  <si>
    <t>CT1 (33)</t>
  </si>
  <si>
    <t>AMP-Ohio Gas Turbines Galion</t>
  </si>
  <si>
    <t>OH033</t>
  </si>
  <si>
    <t>AMP-Ohio Gas Turbines Napoleon</t>
  </si>
  <si>
    <t>OH069</t>
  </si>
  <si>
    <t>Edward L Addison Generating Plant</t>
  </si>
  <si>
    <t>Upson County</t>
  </si>
  <si>
    <t>GA293</t>
  </si>
  <si>
    <t>Southern Power Company (Owner),Southern Power Company (Operator)</t>
  </si>
  <si>
    <t>712 (167)</t>
  </si>
  <si>
    <t>713 (167)</t>
  </si>
  <si>
    <t>714 (167)</t>
  </si>
  <si>
    <t>715 (167)</t>
  </si>
  <si>
    <t>Southaven Combined Cycle Plant</t>
  </si>
  <si>
    <t>DeSoto County</t>
  </si>
  <si>
    <t>MS033</t>
  </si>
  <si>
    <t>CTG1 (196), STG1 (122)</t>
  </si>
  <si>
    <t>STG2 (122), CTG2 (196)</t>
  </si>
  <si>
    <t>STG3 (122), CTG3 (196)</t>
  </si>
  <si>
    <t>Jackson Generating Station</t>
  </si>
  <si>
    <t>7EA</t>
  </si>
  <si>
    <t>MI075</t>
  </si>
  <si>
    <t>7EA (79.2), ST2 (105), ST1 (105)</t>
  </si>
  <si>
    <t>LM1</t>
  </si>
  <si>
    <t>LM1 (50), ST1 (105), ST2 (105)</t>
  </si>
  <si>
    <t>LM2</t>
  </si>
  <si>
    <t>LM2 (50), ST1 (105), ST2 (105)</t>
  </si>
  <si>
    <t>LM3</t>
  </si>
  <si>
    <t>ST1 (105), LM3 (50), ST2 (105)</t>
  </si>
  <si>
    <t>LM4</t>
  </si>
  <si>
    <t>ST2 (105), LM4 (50), ST1 (105)</t>
  </si>
  <si>
    <t>LM5</t>
  </si>
  <si>
    <t>ST1 (105), LM5 (50), ST2 (105)</t>
  </si>
  <si>
    <t>LM6</t>
  </si>
  <si>
    <t>ST2 (105), ST1 (105), LM6 (50)</t>
  </si>
  <si>
    <t>Tenaska Lindsay Hill Generating Station</t>
  </si>
  <si>
    <t>Tenaska Alabama Partners, LP (Owner),Tenaska Alabama Partners, LP (Operator)</t>
  </si>
  <si>
    <t>GTG1 (183.1)</t>
  </si>
  <si>
    <t>GTG2 (183.1)</t>
  </si>
  <si>
    <t>GTG3 (183.1), STG1 (390.1)</t>
  </si>
  <si>
    <t>Ceredo Generating Station</t>
  </si>
  <si>
    <t>WV099</t>
  </si>
  <si>
    <t>01 (86.5)</t>
  </si>
  <si>
    <t>02 (86.5)</t>
  </si>
  <si>
    <t>03 (86.5)</t>
  </si>
  <si>
    <t>04 (86.5)</t>
  </si>
  <si>
    <t>05 (86.5)</t>
  </si>
  <si>
    <t>06 (86.5)</t>
  </si>
  <si>
    <t>Aurora</t>
  </si>
  <si>
    <t>AGS01</t>
  </si>
  <si>
    <t>DuPage County</t>
  </si>
  <si>
    <t>IL043</t>
  </si>
  <si>
    <t>Aurora Generation, LLC. (Owner),Aurora Generation, LLC. (Operator)</t>
  </si>
  <si>
    <t>AGS01 (213)</t>
  </si>
  <si>
    <t>AGS02</t>
  </si>
  <si>
    <t>AGS02 (213)</t>
  </si>
  <si>
    <t>AGS03</t>
  </si>
  <si>
    <t>AGS03 (213)</t>
  </si>
  <si>
    <t>AGS04</t>
  </si>
  <si>
    <t>AGS04 (213)</t>
  </si>
  <si>
    <t>AGS05</t>
  </si>
  <si>
    <t>AGS05 (71)</t>
  </si>
  <si>
    <t>AGS06</t>
  </si>
  <si>
    <t>AGS06 (71)</t>
  </si>
  <si>
    <t>AGS07</t>
  </si>
  <si>
    <t>AGS07 (71)</t>
  </si>
  <si>
    <t>AGS08</t>
  </si>
  <si>
    <t>AGS08 (71)</t>
  </si>
  <si>
    <t>AGS09</t>
  </si>
  <si>
    <t>AGS09 (71)</t>
  </si>
  <si>
    <t>AGS10</t>
  </si>
  <si>
    <t>AGS10 (71)</t>
  </si>
  <si>
    <t>Southeast Chicago Energy Project</t>
  </si>
  <si>
    <t>CTG10</t>
  </si>
  <si>
    <t>CTG10 (36.5)</t>
  </si>
  <si>
    <t>CTG11</t>
  </si>
  <si>
    <t>CTG11 (36.5)</t>
  </si>
  <si>
    <t>CTG12</t>
  </si>
  <si>
    <t>CTG12 (36.5)</t>
  </si>
  <si>
    <t>CTG5 (36.5)</t>
  </si>
  <si>
    <t>CTG6 (36.5)</t>
  </si>
  <si>
    <t>CTG7</t>
  </si>
  <si>
    <t>CTG7 (36.5)</t>
  </si>
  <si>
    <t>CTG8</t>
  </si>
  <si>
    <t>CTG8 (36.5)</t>
  </si>
  <si>
    <t>CTG9</t>
  </si>
  <si>
    <t>CTG9 (36.5)</t>
  </si>
  <si>
    <t>Arlington Valley Energy Facility</t>
  </si>
  <si>
    <t>Arlington Valley, LLC (Owner),Arlington Valley, LLC (Operator)</t>
  </si>
  <si>
    <t>STG1 (317), CTG1 (198)</t>
  </si>
  <si>
    <t>CTG2 (198), STG1 (317)</t>
  </si>
  <si>
    <t>Front Range Power Plant</t>
  </si>
  <si>
    <t>1 (154), 3 (233)</t>
  </si>
  <si>
    <t>3 (233), 2 (154)</t>
  </si>
  <si>
    <t>Big Sandy Peaker Plant</t>
  </si>
  <si>
    <t>GS01</t>
  </si>
  <si>
    <t>CP100, CP200</t>
  </si>
  <si>
    <t>Big Sandy Peaker Plant, LLC (Owner),Big Sandy Peaker Plant, LLC (Operator)</t>
  </si>
  <si>
    <t>BSG1 (57)</t>
  </si>
  <si>
    <t>GS02</t>
  </si>
  <si>
    <t>GS03</t>
  </si>
  <si>
    <t>BSG2 (57)</t>
  </si>
  <si>
    <t>GS04</t>
  </si>
  <si>
    <t>GS05</t>
  </si>
  <si>
    <t>BSG3 (57)</t>
  </si>
  <si>
    <t>GS06</t>
  </si>
  <si>
    <t>GS07</t>
  </si>
  <si>
    <t>BSG4 (57)</t>
  </si>
  <si>
    <t>GS08</t>
  </si>
  <si>
    <t>GS09</t>
  </si>
  <si>
    <t>BSG5 (57)</t>
  </si>
  <si>
    <t>GS10</t>
  </si>
  <si>
    <t>GS11</t>
  </si>
  <si>
    <t>BSG6 (57)</t>
  </si>
  <si>
    <t>GS12</t>
  </si>
  <si>
    <t>Wolf Hills Energy</t>
  </si>
  <si>
    <t>WH01</t>
  </si>
  <si>
    <t>VA191</t>
  </si>
  <si>
    <t>Wolf Hills Energy, LLC (Owner),Wolf Hills Energy, LLC (Operator)</t>
  </si>
  <si>
    <t>WHG1 (57)</t>
  </si>
  <si>
    <t>WH02</t>
  </si>
  <si>
    <t>WH03</t>
  </si>
  <si>
    <t>CP100, CP300</t>
  </si>
  <si>
    <t>WHG2 (57)</t>
  </si>
  <si>
    <t>WH04</t>
  </si>
  <si>
    <t>WH05</t>
  </si>
  <si>
    <t>CP100, CP400</t>
  </si>
  <si>
    <t>WHG3 (57)</t>
  </si>
  <si>
    <t>WH06</t>
  </si>
  <si>
    <t>WH07</t>
  </si>
  <si>
    <t>CP100, CP500</t>
  </si>
  <si>
    <t>WHG4 (57)</t>
  </si>
  <si>
    <t>WH08</t>
  </si>
  <si>
    <t>WH09</t>
  </si>
  <si>
    <t>CP100, CP600</t>
  </si>
  <si>
    <t>WHG5 (57)</t>
  </si>
  <si>
    <t>WH10</t>
  </si>
  <si>
    <t>Oleander Power Project</t>
  </si>
  <si>
    <t>O-1</t>
  </si>
  <si>
    <t>Oleander Power Project, LP (Owner),Oleander Power Project, LP (Operator)</t>
  </si>
  <si>
    <t>OG1 (190)</t>
  </si>
  <si>
    <t>O-2</t>
  </si>
  <si>
    <t>OG2 (190)</t>
  </si>
  <si>
    <t>O-3</t>
  </si>
  <si>
    <t>OG3 (190)</t>
  </si>
  <si>
    <t>O-4</t>
  </si>
  <si>
    <t>OG4 (190)</t>
  </si>
  <si>
    <t>O-5</t>
  </si>
  <si>
    <t>OG5 (190)</t>
  </si>
  <si>
    <t>Decatur Energy Center</t>
  </si>
  <si>
    <t>AL103</t>
  </si>
  <si>
    <t>Decatur Energy Center, LLC (Owner),Decatur Energy Center, LLC (Operator)</t>
  </si>
  <si>
    <t>CTG1 (180), STG1 (171)</t>
  </si>
  <si>
    <t>CTG2 (180), STG1 (171)</t>
  </si>
  <si>
    <t>STG1 (171), CTG3 (180)</t>
  </si>
  <si>
    <t>Morgan Energy Center</t>
  </si>
  <si>
    <t>Morgan Energy Center, LLC (Owner),Calpine Operating Services Company, Inc. (Operator)</t>
  </si>
  <si>
    <t>CTG1 (187), STG1 (198.7)</t>
  </si>
  <si>
    <t>STG1 (198.7), CTG2 (187)</t>
  </si>
  <si>
    <t>STG1 (198.7), CTG3 (187)</t>
  </si>
  <si>
    <t>Westbrook Energy Center</t>
  </si>
  <si>
    <t>GTG1 (184.2), STG3 (195.5)</t>
  </si>
  <si>
    <t>GTG2 (184.2), STG3 (195.5)</t>
  </si>
  <si>
    <t>Blythe Energy</t>
  </si>
  <si>
    <t>Riverside County</t>
  </si>
  <si>
    <t>CA065</t>
  </si>
  <si>
    <t>Blythe Energy Inc. (Owner),Blythe Energy Inc. (Operator)</t>
  </si>
  <si>
    <t>CT1 (170), ST1 (227)</t>
  </si>
  <si>
    <t>ST1 (227), CT2 (170)</t>
  </si>
  <si>
    <t>Calumet Energy Team, LLC</t>
  </si>
  <si>
    <t>Calumet Energy Team, LLC (Owner),IPA Operations, Inc. (Operator)</t>
  </si>
  <si>
    <t>CT11 (156)</t>
  </si>
  <si>
    <t>CT12 (156)</t>
  </si>
  <si>
    <t>Covert Generating Station</t>
  </si>
  <si>
    <t>601740 (Ended May 31, 2023), 607360 (Started May 31, 2023)</t>
  </si>
  <si>
    <t>Van Buren County</t>
  </si>
  <si>
    <t>MI159</t>
  </si>
  <si>
    <t>New Covert Generating Company, LLC (Owner) (Ended May 31, 2023),Consumers Energy Company (Owner) (Started May 31, 2023),New Covert Generating Company, LLC (Operator) (Ended Apr 13, 2023),Consolidated Asset Management Services, LLC (Operator) (Started Apr 13, 2023)</t>
  </si>
  <si>
    <t>1A (147), 1 (245)</t>
  </si>
  <si>
    <t>2A (147), 2 (245)</t>
  </si>
  <si>
    <t>3 (245), 3A (147)</t>
  </si>
  <si>
    <t>Fairless Energy Center</t>
  </si>
  <si>
    <t>Fairless Energy, LLC (Owner),Fairless Energy, LLC (Operator)</t>
  </si>
  <si>
    <t>CT1A (198.9), ST1 (271.2)</t>
  </si>
  <si>
    <t>ST1 (271.2), CT1B (198.9)</t>
  </si>
  <si>
    <t>CT2A (198.9), ST2 (271.2)</t>
  </si>
  <si>
    <t>ST2 (271.2), CT2B (198.9)</t>
  </si>
  <si>
    <t>Channel Energy Center</t>
  </si>
  <si>
    <t>Channel Energy Center, LLC (Owner),Calpine Operating Services Company, Inc. (Operator)</t>
  </si>
  <si>
    <t>CTG1 (215), ST-1 (285)</t>
  </si>
  <si>
    <t>CTG2 (215), ST-1 (285)</t>
  </si>
  <si>
    <t>CTG3 (180), ST-1 (285)</t>
  </si>
  <si>
    <t>Baconton Power</t>
  </si>
  <si>
    <t>1307 (Ended Mar 08, 2023), 1308 (Started Mar 08, 2023)</t>
  </si>
  <si>
    <t>Baconton Power (Owner) (Ended Mar 09, 2023),Baconton Energy Facility (Owner) (Started Mar 09, 2023) (Ended Apr 10, 2023),Baconton Power (Owner) (Started Mar 09, 2023) (Ended Mar 09, 2023),Sowega Power 100 LLC (Owner) (Started Apr 10, 2023),Baconton Power (Operator) (Ended Mar 09, 2023),Baconton Energy Facility (Operator) (Started Mar 09, 2023) (Ended Apr 10, 2023),Baconton Power (Operator) (Started Mar 09, 2023) (Ended Mar 09, 2023),Sowega Power 100 LLC (Operator) (Started Apr 10, 2023)</t>
  </si>
  <si>
    <t>CT1 (60)</t>
  </si>
  <si>
    <t>Baconton Power (Owner),Oglethorpe Power Corporation (Owner) (Started Jun 22, 2023),Baconton Power (Operator) (Ended Jun 22, 2023),Oglethorpe Power Corporation (Operator) (Started Jun 22, 2023)</t>
  </si>
  <si>
    <t>CT5 (60)</t>
  </si>
  <si>
    <t>Gila River Power Station</t>
  </si>
  <si>
    <t>1CTGA</t>
  </si>
  <si>
    <t>CTG1 (174), ST9 (271)</t>
  </si>
  <si>
    <t>1CTGB</t>
  </si>
  <si>
    <t>ST9 (271), CTG2 (174)</t>
  </si>
  <si>
    <t>2CTGA</t>
  </si>
  <si>
    <t>Tucson Electric Power Company (Owner),Salt River Project (Operator)</t>
  </si>
  <si>
    <t>CTG3 (174), ST10 (271)</t>
  </si>
  <si>
    <t>2CTGB</t>
  </si>
  <si>
    <t>ST10 (271), CTG4 (174)</t>
  </si>
  <si>
    <t>3CTGA</t>
  </si>
  <si>
    <t>Tucson Electric Power Company (Owner),UNS Electric, Inc. (Owner),Salt River Project (Operator)</t>
  </si>
  <si>
    <t>ST11 (271), CTG5 (174)</t>
  </si>
  <si>
    <t>3CTGB</t>
  </si>
  <si>
    <t>ST11 (271), CTG6 (174)</t>
  </si>
  <si>
    <t>4CTGA</t>
  </si>
  <si>
    <t>CTG7 (174), ST12 (271)</t>
  </si>
  <si>
    <t>4CTGB</t>
  </si>
  <si>
    <t>CTG8 (174), ST12 (271)</t>
  </si>
  <si>
    <t>Fore River Energy Center</t>
  </si>
  <si>
    <t>Calpine Fore River Energy Center LLC (Owner),Calpine Operating Services Company, Inc. (Operator)</t>
  </si>
  <si>
    <t>ST15 (315), GT11 (278.6)</t>
  </si>
  <si>
    <t>GT12 (278.6), ST15 (315)</t>
  </si>
  <si>
    <t>Wise County Power Company, LLC</t>
  </si>
  <si>
    <t>Wise County</t>
  </si>
  <si>
    <t>TX497</t>
  </si>
  <si>
    <t>Wise County Power Company, LLC (Owner),Wise County Power Company, LLC (Operator)</t>
  </si>
  <si>
    <t>ST1 (262), GT1 (242)</t>
  </si>
  <si>
    <t>GT2 (242), ST1 (262)</t>
  </si>
  <si>
    <t>Chuck Lenzie Generating Station</t>
  </si>
  <si>
    <t>CTG1 (201.5), ST1 (329.8)</t>
  </si>
  <si>
    <t>CTG2 (201.5), ST1 (329.8)</t>
  </si>
  <si>
    <t>ST2 (329.8), CTG3 (201.5)</t>
  </si>
  <si>
    <t>ST2 (329.8), CTG4 (201.5)</t>
  </si>
  <si>
    <t>Baytown Energy Center</t>
  </si>
  <si>
    <t>610153 (Ended Aug 16, 2023), 607172 (Started Aug 16, 2023)</t>
  </si>
  <si>
    <t>Baytown Energy Center, LP (Owner),Calpine Operating Services Company, Inc. (Operator)</t>
  </si>
  <si>
    <t>CTG1 (210), STG1 (275)</t>
  </si>
  <si>
    <t>CTG2 (214.8), STG1 (275)</t>
  </si>
  <si>
    <t>CTG3 (214.8), STG1 (275)</t>
  </si>
  <si>
    <t>Hermiston Power Plant</t>
  </si>
  <si>
    <t>Hermiston Power Partnership (Owner),Hermiston Power Partnership (Operator)</t>
  </si>
  <si>
    <t>STG1 (264.4), CTG1 (212.5)</t>
  </si>
  <si>
    <t>CTG2 (212.5), STG1 (264.4)</t>
  </si>
  <si>
    <t>Washington County Power</t>
  </si>
  <si>
    <t>GA303</t>
  </si>
  <si>
    <t>Washington County Power, LLC (Owner),Washington County Power, LLC (Operator) (Ended Jan 19, 2023),SEPG Operating Services (Operator) (Started Jan 19, 2023)</t>
  </si>
  <si>
    <t>1 (176)</t>
  </si>
  <si>
    <t>Washington County Power, LLC (Owner) (Ended Jan 19, 2023),Oglethorpe Power Corporation (Owner) (Started Jan 19, 2023),Washington County Power, LLC (Operator) (Ended Jan 19, 2023),SEPG Operating Services (Operator) (Started Jan 19, 2023)</t>
  </si>
  <si>
    <t>2 (176)</t>
  </si>
  <si>
    <t>3 (176)</t>
  </si>
  <si>
    <t>4 (176)</t>
  </si>
  <si>
    <t>Delta Energy Center, LLC</t>
  </si>
  <si>
    <t>Delta Energy Center, LLC (Owner),Delta Energy Center, LLC (Operator)</t>
  </si>
  <si>
    <t>CTG1 (212), STG1 (306)</t>
  </si>
  <si>
    <t>STG1 (306), CTG2 (212)</t>
  </si>
  <si>
    <t>CTG3 (213.5), STG1 (306)</t>
  </si>
  <si>
    <t>Holland Energy Facility</t>
  </si>
  <si>
    <t>606531 (Ended Feb 22, 2023), 604752 (Started Feb 22, 2023)</t>
  </si>
  <si>
    <t>Hoosier Energy REC, Inc. (Owner),Wabash Valley Power Alliance (Owner),NAES Corporation (Operator)</t>
  </si>
  <si>
    <t>STG1 (345.1), CTG1 (178.5)</t>
  </si>
  <si>
    <t>CTG2 (178.5), STG1 (345.1)</t>
  </si>
  <si>
    <t>Helix Ironwood LLC</t>
  </si>
  <si>
    <t>Lebanon County</t>
  </si>
  <si>
    <t>PA075</t>
  </si>
  <si>
    <t>Helix Ironwood, LLC (Owner),Helix Ironwood, LLC (Operator)</t>
  </si>
  <si>
    <t>ST4 (230), CT1 (259.2)</t>
  </si>
  <si>
    <t>CT2 (259.2), ST4 (230)</t>
  </si>
  <si>
    <t>Dell Power Plant</t>
  </si>
  <si>
    <t>Mississippi County</t>
  </si>
  <si>
    <t>AR093</t>
  </si>
  <si>
    <t>STG (281), CTG1 (199)</t>
  </si>
  <si>
    <t>CTG2 (199), STG (281)</t>
  </si>
  <si>
    <t>Luna Energy Facility</t>
  </si>
  <si>
    <t>Luna County</t>
  </si>
  <si>
    <t>NM029</t>
  </si>
  <si>
    <t>STG1 (300), CTG1 (175)</t>
  </si>
  <si>
    <t>CTG2 (175), STG1 (300)</t>
  </si>
  <si>
    <t>Otay Mesa Energy Center, LLC</t>
  </si>
  <si>
    <t>Otay Mesa Energy Center, LLC (Owner),Otay Mesa Energy Center, LLC (Operator)</t>
  </si>
  <si>
    <t>1-01 (198.9), 1-03 (290.7)</t>
  </si>
  <si>
    <t>1-03 (290.7), 1-02 (198.9)</t>
  </si>
  <si>
    <t>Armstrong Power, LLC</t>
  </si>
  <si>
    <t>Armstrong Power, LLC (Owner),Armstrong Power, LLC (Operator)</t>
  </si>
  <si>
    <t>1 (172)</t>
  </si>
  <si>
    <t>2 (172)</t>
  </si>
  <si>
    <t>3 (172)</t>
  </si>
  <si>
    <t>4 (172)</t>
  </si>
  <si>
    <t>Troy Energy, LLC</t>
  </si>
  <si>
    <t>Troy Energy, LLC (Owner),Troy Energy, LLC (Operator)</t>
  </si>
  <si>
    <t>1 (196.9)</t>
  </si>
  <si>
    <t>2 (196.9)</t>
  </si>
  <si>
    <t>3 (196.9)</t>
  </si>
  <si>
    <t>4 (196.9)</t>
  </si>
  <si>
    <t>Pleasants Energy, LLC</t>
  </si>
  <si>
    <t>Pleasants Energy, LLC (Owner),Pleasants Energy, LLC (Operator)</t>
  </si>
  <si>
    <t>Dresden Energy Facility</t>
  </si>
  <si>
    <t>Muskingum County</t>
  </si>
  <si>
    <t>OH119</t>
  </si>
  <si>
    <t>1 (198.9), 3 (280.5)</t>
  </si>
  <si>
    <t>3 (280.5), 2 (198.9)</t>
  </si>
  <si>
    <t>Brazos Valley Energy, LP</t>
  </si>
  <si>
    <t>Brazos Valley Energy, LP (Owner),Calpine Operating Services Company, Inc. (Operator)</t>
  </si>
  <si>
    <t>CTG1 (200), STG1 (275.6)</t>
  </si>
  <si>
    <t>STG1 (275.6), CTG2 (200)</t>
  </si>
  <si>
    <t>Cottonwood Energy Project</t>
  </si>
  <si>
    <t>Newton County</t>
  </si>
  <si>
    <t>TX351</t>
  </si>
  <si>
    <t>Cottonwood Energy Company, LP (Owner),NRG COTTONWOOD TENANT LLC (Operator)</t>
  </si>
  <si>
    <t>ST1 (156), CT1 (190)</t>
  </si>
  <si>
    <t>CT2 (190), ST2 (156)</t>
  </si>
  <si>
    <t>ST3 (156), CT3 (190)</t>
  </si>
  <si>
    <t>CT4 (190), ST4 (156)</t>
  </si>
  <si>
    <t>Sugar Creek Generating Station</t>
  </si>
  <si>
    <t>CT11</t>
  </si>
  <si>
    <t>Vigo County</t>
  </si>
  <si>
    <t>IN167</t>
  </si>
  <si>
    <t>CT01 (159), ST1 (237.3)</t>
  </si>
  <si>
    <t>CT12</t>
  </si>
  <si>
    <t>ST1 (237.3), CT02 (159)</t>
  </si>
  <si>
    <t>LaPorte Generating Station</t>
  </si>
  <si>
    <t>Colorado Bend I Power, LLC (Owner),LaPorte Power, LLC (Operator)</t>
  </si>
  <si>
    <t>GT1 (44)</t>
  </si>
  <si>
    <t>GT2 (44)</t>
  </si>
  <si>
    <t>GT3 (44)</t>
  </si>
  <si>
    <t>GT4 (44)</t>
  </si>
  <si>
    <t>New Harquahala Generating Company</t>
  </si>
  <si>
    <t>New Harquahala Generating Co., LLC (Owner),North American Energy Services (Operator)</t>
  </si>
  <si>
    <t>CTG1 (281.7), STG1 (160)</t>
  </si>
  <si>
    <t>STG2 (160), CTG2 (281.7)</t>
  </si>
  <si>
    <t>CTG3 (281.7), STG3 (160)</t>
  </si>
  <si>
    <t>Astoria Energy</t>
  </si>
  <si>
    <t>Astoria Energy, LLC (Owner),NAES Corporation (Operator)</t>
  </si>
  <si>
    <t>ST1 (180), CT1 (170)</t>
  </si>
  <si>
    <t>CT2 (170), ST1 (180)</t>
  </si>
  <si>
    <t>ST2 (180), CT3 (170)</t>
  </si>
  <si>
    <t>ST2 (180), CT4 (170)</t>
  </si>
  <si>
    <t>Gans Generating Facility</t>
  </si>
  <si>
    <t>PA051</t>
  </si>
  <si>
    <t>Gans Energy, LLC (Owner),Gans Energy, LLC (Operator)</t>
  </si>
  <si>
    <t>UNT8 (43.9)</t>
  </si>
  <si>
    <t>UNT9 (43.9)</t>
  </si>
  <si>
    <t>Union Power Station</t>
  </si>
  <si>
    <t>AR139</t>
  </si>
  <si>
    <t>STG1 (255), CTG1 (176)</t>
  </si>
  <si>
    <t>CTG2 (176), STG1 (255)</t>
  </si>
  <si>
    <t>CTG5 (176), STG3 (255)</t>
  </si>
  <si>
    <t>CTG6 (176), STG3 (255)</t>
  </si>
  <si>
    <t>STG4 (255), CTG7 (176)</t>
  </si>
  <si>
    <t>STG4 (255), CTG8 (176)</t>
  </si>
  <si>
    <t>Commonwealth Chesapeake</t>
  </si>
  <si>
    <t>CT-001</t>
  </si>
  <si>
    <t>Commonwealth Chesapeake Company (Owner),Commonwealth Chesapeake Company (Operator)</t>
  </si>
  <si>
    <t>UNT1 (57.5)</t>
  </si>
  <si>
    <t>CT-002</t>
  </si>
  <si>
    <t>UNT2 (57.5)</t>
  </si>
  <si>
    <t>CT-003</t>
  </si>
  <si>
    <t>UNT3 (57.5)</t>
  </si>
  <si>
    <t>CT-004</t>
  </si>
  <si>
    <t>UNT4 (57.5)</t>
  </si>
  <si>
    <t>CT-005</t>
  </si>
  <si>
    <t>UNT5 (57.5)</t>
  </si>
  <si>
    <t>CT-006</t>
  </si>
  <si>
    <t>UNT6 (57.5)</t>
  </si>
  <si>
    <t>CT-007</t>
  </si>
  <si>
    <t>UNT7 (57.5)</t>
  </si>
  <si>
    <t>Thomas A. Smith Energy Facility</t>
  </si>
  <si>
    <t>CCCT1</t>
  </si>
  <si>
    <t>Murray County</t>
  </si>
  <si>
    <t>GA213</t>
  </si>
  <si>
    <t>1GT1 (147), 1STG (302)</t>
  </si>
  <si>
    <t>CCCT2</t>
  </si>
  <si>
    <t>1STG (302), 1GT2 (147)</t>
  </si>
  <si>
    <t>CCCT3</t>
  </si>
  <si>
    <t>2GT1 (147), 2STG (302)</t>
  </si>
  <si>
    <t>CCCT4</t>
  </si>
  <si>
    <t>2STG (302), 2GT2 (147)</t>
  </si>
  <si>
    <t>Columbia Energy Center (SC)</t>
  </si>
  <si>
    <t>Calhoun County</t>
  </si>
  <si>
    <t>SC017</t>
  </si>
  <si>
    <t>CT1 (170), ST1 (274.5)</t>
  </si>
  <si>
    <t>ST1 (274.5), CT2 (170)</t>
  </si>
  <si>
    <t>Rockgen Energy Center</t>
  </si>
  <si>
    <t>RockGen Energy, LLC (Owner),RockGen Energy, LLC (Operator)</t>
  </si>
  <si>
    <t>CT-01 (172)</t>
  </si>
  <si>
    <t>CT-02 (172)</t>
  </si>
  <si>
    <t>CT-03 (172)</t>
  </si>
  <si>
    <t>Zion Energy Center</t>
  </si>
  <si>
    <t>604293 (Ended Apr 25, 2023), 610469 (Started Apr 25, 2023)(Ended Aug 02, 2023), 610446 (Started Aug 02, 2023)</t>
  </si>
  <si>
    <t>Zion Energy Center, LLC (Owner),Calpine Operating Services Company, Inc. (Operator)</t>
  </si>
  <si>
    <t>CTG1 (160)</t>
  </si>
  <si>
    <t>CTG2 (160)</t>
  </si>
  <si>
    <t>CTG3 (160)</t>
  </si>
  <si>
    <t>Metcalf Energy Center</t>
  </si>
  <si>
    <t>Metcalf Energy Center, LLC (Owner),Metcalf Energy Center, LLC (Operator)</t>
  </si>
  <si>
    <t>CTG1 (200), STG1 (235)</t>
  </si>
  <si>
    <t>STG1 (235), CTG2 (200)</t>
  </si>
  <si>
    <t>Crossroads Energy Center (CPU)</t>
  </si>
  <si>
    <t>Coahoma County</t>
  </si>
  <si>
    <t>MS027</t>
  </si>
  <si>
    <t>Clarksdale Public Utilities (Owner),Clarksdale Public Utilities (Operator)</t>
  </si>
  <si>
    <t>CT01 (76.6)</t>
  </si>
  <si>
    <t>CT02 (76.6)</t>
  </si>
  <si>
    <t>CT03 (76.6)</t>
  </si>
  <si>
    <t>CT04 (76.6)</t>
  </si>
  <si>
    <t>Washington Power Company LLC</t>
  </si>
  <si>
    <t>OH167</t>
  </si>
  <si>
    <t>Washington Power Generation LLC (Owner),Washington Power Generation LLC (Operator)</t>
  </si>
  <si>
    <t>CT1 (198.9), ST1 (317.1)</t>
  </si>
  <si>
    <t>CT2 (198.9), ST1 (317.1)</t>
  </si>
  <si>
    <t>Elk Hills Power</t>
  </si>
  <si>
    <t>Elk Hills Power, LLC (Owner),Elk Hills Power, LLC (Operator)</t>
  </si>
  <si>
    <t>CTG1 (199), STG (225)</t>
  </si>
  <si>
    <t>CTG2 (199), STG (225)</t>
  </si>
  <si>
    <t>Rolling Hills Generating LLC</t>
  </si>
  <si>
    <t>Vinton County</t>
  </si>
  <si>
    <t>OH163</t>
  </si>
  <si>
    <t>Rolling Hills Generating, LLC (Owner),Rolling Hills Generating, LLC (Operator)</t>
  </si>
  <si>
    <t>CT-1 (209)</t>
  </si>
  <si>
    <t>CT-2 (209)</t>
  </si>
  <si>
    <t>CT-3 (209)</t>
  </si>
  <si>
    <t>CT-4 (209)</t>
  </si>
  <si>
    <t>CT-5 (209)</t>
  </si>
  <si>
    <t>Renaissance Power</t>
  </si>
  <si>
    <t>Montcalm County</t>
  </si>
  <si>
    <t>MI117</t>
  </si>
  <si>
    <t>Renaissance Power, LLC (Owner),Renaissance Power, LLC (Operator)</t>
  </si>
  <si>
    <t>CT1 (170)</t>
  </si>
  <si>
    <t>CT2 (170)</t>
  </si>
  <si>
    <t>CT3 (170)</t>
  </si>
  <si>
    <t>CT4 (170)</t>
  </si>
  <si>
    <t>Carville Energy Center</t>
  </si>
  <si>
    <t>Iberville Parish</t>
  </si>
  <si>
    <t>LA047</t>
  </si>
  <si>
    <t>Carville Energy, LLC (Owner),Carville Energy, LLC (Operator)</t>
  </si>
  <si>
    <t>STG (196), CTG1 (187)</t>
  </si>
  <si>
    <t>COG02</t>
  </si>
  <si>
    <t>CTG2 (187), STG (196)</t>
  </si>
  <si>
    <t>Athens Generating Company</t>
  </si>
  <si>
    <t>NY039</t>
  </si>
  <si>
    <t>New Athens Generating Company, LLC (Owner),New Athens Generating Company, LLC (Operator)</t>
  </si>
  <si>
    <t>ST1 (141), CT1 (300)</t>
  </si>
  <si>
    <t>CT2 (300), ST2 (141)</t>
  </si>
  <si>
    <t>CT3 (300), ST3 (141)</t>
  </si>
  <si>
    <t>Bobby C. Smith Jr. Energy Facility</t>
  </si>
  <si>
    <t>UNT1 (199.4), STG (197.8)</t>
  </si>
  <si>
    <t>STG (197.8), UNT2 (199.4)</t>
  </si>
  <si>
    <t>Calhoun Generating Facility</t>
  </si>
  <si>
    <t>AL015</t>
  </si>
  <si>
    <t>CAL1 (187)</t>
  </si>
  <si>
    <t>CAL2 (187)</t>
  </si>
  <si>
    <t>CAL3 (187)</t>
  </si>
  <si>
    <t>CAL4 (187)</t>
  </si>
  <si>
    <t>Hillabee Energy Center</t>
  </si>
  <si>
    <t>Tallapoosa County</t>
  </si>
  <si>
    <t>AL123</t>
  </si>
  <si>
    <t>CER Generation, LLC (Owner),CER Generation, LLC (Operator)</t>
  </si>
  <si>
    <t>HEC1 (258.4), HECS (306)</t>
  </si>
  <si>
    <t>HECS (306), HEC2 (258.4)</t>
  </si>
  <si>
    <t>Osprey Energy Center</t>
  </si>
  <si>
    <t>OECS (260), OEC1 (192.1)</t>
  </si>
  <si>
    <t>OEC2 (192.1), OECS (260)</t>
  </si>
  <si>
    <t>Shady Hills</t>
  </si>
  <si>
    <t>GT101</t>
  </si>
  <si>
    <t>Shady Hills Power Company, LLC (Owner),Shady Hills Power Company, LLC (Operator)</t>
  </si>
  <si>
    <t>G101 (171)</t>
  </si>
  <si>
    <t>GT201</t>
  </si>
  <si>
    <t>G201 (171)</t>
  </si>
  <si>
    <t>GT301</t>
  </si>
  <si>
    <t>G301 (171)</t>
  </si>
  <si>
    <t>Vandolah Power Project</t>
  </si>
  <si>
    <t>Vandolah Power Company, LLC (Owner),Vandolah Power Company, LLC (Operator)</t>
  </si>
  <si>
    <t>G101 (170)</t>
  </si>
  <si>
    <t>G201 (170)</t>
  </si>
  <si>
    <t>G301 (170)</t>
  </si>
  <si>
    <t>GT401</t>
  </si>
  <si>
    <t>G401 (170)</t>
  </si>
  <si>
    <t>Raccoon Creek Power Plant</t>
  </si>
  <si>
    <t>CT-01</t>
  </si>
  <si>
    <t>IL025</t>
  </si>
  <si>
    <t>CT01 (114)</t>
  </si>
  <si>
    <t>CT-02</t>
  </si>
  <si>
    <t>CT02 (114)</t>
  </si>
  <si>
    <t>CT-03</t>
  </si>
  <si>
    <t>CT03 (114)</t>
  </si>
  <si>
    <t>CT-04</t>
  </si>
  <si>
    <t>CT04 (114)</t>
  </si>
  <si>
    <t>Hot Spring Energy Facility</t>
  </si>
  <si>
    <t>CT1 (198.9), ST1 (317)</t>
  </si>
  <si>
    <t>ST1 (317), CT2 (198.9)</t>
  </si>
  <si>
    <t>Plaquemine Cogen Facility</t>
  </si>
  <si>
    <t>Dow Chemical Company (Owner),Dow Chemical Company (Operator)</t>
  </si>
  <si>
    <t>G500 (171.1), ST5 (195)</t>
  </si>
  <si>
    <t>ST5 (195), G600 (171.1)</t>
  </si>
  <si>
    <t>ST5 (195), G700 (171.1)</t>
  </si>
  <si>
    <t>ST5 (195), G800 (171.1)</t>
  </si>
  <si>
    <t>Bayou Cove Peaking Power Plant</t>
  </si>
  <si>
    <t>NRG South Central - Bayou Cove (Owner),NRG South Central - Bayou Cove (Operator)</t>
  </si>
  <si>
    <t>0001 (110)</t>
  </si>
  <si>
    <t>0002 (110)</t>
  </si>
  <si>
    <t>0003 (110)</t>
  </si>
  <si>
    <t>0004 (110)</t>
  </si>
  <si>
    <t>Elgin Energy Center, LLC</t>
  </si>
  <si>
    <t>Elgin Energy Center, LLC (Owner),Elgin Energy Center, LLC (Operator)</t>
  </si>
  <si>
    <t>CT01 (135)</t>
  </si>
  <si>
    <t>CT02 (135)</t>
  </si>
  <si>
    <t>CT03 (135)</t>
  </si>
  <si>
    <t>CT04 (135)</t>
  </si>
  <si>
    <t>Tenaska Virginia Generating Station</t>
  </si>
  <si>
    <t>CTGDB1</t>
  </si>
  <si>
    <t>Fluvanna County</t>
  </si>
  <si>
    <t>VA065</t>
  </si>
  <si>
    <t>Tenaska Virginia Partners, LP (Owner),Tenaska Virginia Partners, LP (Operator)</t>
  </si>
  <si>
    <t>STG1 (396.2), CTG1 (183.3)</t>
  </si>
  <si>
    <t>CTGDB2</t>
  </si>
  <si>
    <t>CTG2 (183.3), STG1 (396.2)</t>
  </si>
  <si>
    <t>CTGDB3</t>
  </si>
  <si>
    <t>CTG3 (183.3), STG1 (396.2)</t>
  </si>
  <si>
    <t>Central Alabama Gen Station</t>
  </si>
  <si>
    <t>CTG1 (183.3), ST1 (390.1)</t>
  </si>
  <si>
    <t>ST1 (390.1), CTG2 (183.3)</t>
  </si>
  <si>
    <t>ST1 (390.1), CTG3 (183.3)</t>
  </si>
  <si>
    <t>Columbia Energy Center (MO)</t>
  </si>
  <si>
    <t>CT01 (48)</t>
  </si>
  <si>
    <t>CT02 (48)</t>
  </si>
  <si>
    <t>CT03 (48)</t>
  </si>
  <si>
    <t>CT04 (48)</t>
  </si>
  <si>
    <t>Magnolia Combined Cycle Plant</t>
  </si>
  <si>
    <t>MS009</t>
  </si>
  <si>
    <t>CTG1 (178.5), STG1 (156)</t>
  </si>
  <si>
    <t>STG2 (156), CTG2 (178.5)</t>
  </si>
  <si>
    <t>STG3 (156), CTG3 (178.5)</t>
  </si>
  <si>
    <t>Fountain Valley Power Plant</t>
  </si>
  <si>
    <t>Fountain Valley Power, LLC (Owner),Fountain Valley Power, LLC (Operator)</t>
  </si>
  <si>
    <t>S1 (43)</t>
  </si>
  <si>
    <t>S2 (43)</t>
  </si>
  <si>
    <t>S3 (43)</t>
  </si>
  <si>
    <t>S4 (43)</t>
  </si>
  <si>
    <t>S5 (43)</t>
  </si>
  <si>
    <t>S6 (43)</t>
  </si>
  <si>
    <t>Redhawk Generating Facility</t>
  </si>
  <si>
    <t>CC1A</t>
  </si>
  <si>
    <t>608735 (Ended Aug 03, 2023), 607692 (Started Aug 03, 2023)</t>
  </si>
  <si>
    <t>CT1A (182), ST1 (204)</t>
  </si>
  <si>
    <t>CC1B</t>
  </si>
  <si>
    <t>ST1 (204), CT1B (182)</t>
  </si>
  <si>
    <t>CC2A</t>
  </si>
  <si>
    <t>ST2 (204), CT2A (182)</t>
  </si>
  <si>
    <t>CC2B</t>
  </si>
  <si>
    <t>ST2 (204), CT2B (182)</t>
  </si>
  <si>
    <t>McClain Energy Facility</t>
  </si>
  <si>
    <t>McClain County</t>
  </si>
  <si>
    <t>OK087</t>
  </si>
  <si>
    <t>Oklahoma Gas &amp; Electric Company (Owner),Oklahoma Municipal Power Authority (Owner),Oklahoma Gas &amp; Electric Company (Operator)</t>
  </si>
  <si>
    <t>CT1 (150.1), ST1 (168.3)</t>
  </si>
  <si>
    <t>ST1 (168.3), CT2 (150.1)</t>
  </si>
  <si>
    <t>Indeck-Niles Energy Center</t>
  </si>
  <si>
    <t>EUCT1</t>
  </si>
  <si>
    <t>ARP, CSNOX, CSOSG3, CSSO2G1, NSPS4T</t>
  </si>
  <si>
    <t>MI027</t>
  </si>
  <si>
    <t>Indeck Niles, LLC (Owner),Indeck Niles, LLC (Operator)</t>
  </si>
  <si>
    <t>CT1 (370.6), ST1 (368.1)</t>
  </si>
  <si>
    <t>EUCT2</t>
  </si>
  <si>
    <t>CT2 (370.6), ST1 (368.1)</t>
  </si>
  <si>
    <t>Redbud Power Plant</t>
  </si>
  <si>
    <t>Oklahoma Municipal Power Authority (Owner),Grand River Dam Authority (Owner),OGE Energy Corporation (Owner),OGE Energy Corporation (Operator)</t>
  </si>
  <si>
    <t>CT01 (198.9), ST01 (159.5)</t>
  </si>
  <si>
    <t>CT02 (198.9), ST02 (159.5)</t>
  </si>
  <si>
    <t>CT03 (198.9), ST03 (159.5)</t>
  </si>
  <si>
    <t>ST04 (159.5), CT04 (198.9)</t>
  </si>
  <si>
    <t>Deer Park Energy Center</t>
  </si>
  <si>
    <t>Deer Park Energy Center, LP (Owner),Calpine Operating Services Company, Inc. (Operator)</t>
  </si>
  <si>
    <t>STG1 (276), CTG1 (180)</t>
  </si>
  <si>
    <t>CTG2 (180), STG1 (276)</t>
  </si>
  <si>
    <t>STG1 (276), CTG3 (180)</t>
  </si>
  <si>
    <t>STG1 (276), CTG4 (180)</t>
  </si>
  <si>
    <t>STG1 (276), CTG5 (180)</t>
  </si>
  <si>
    <t>Ouachita Plant</t>
  </si>
  <si>
    <t>CTG2 (179.3), STG2 (122)</t>
  </si>
  <si>
    <t>STG3 (122), CTG3 (179.3)</t>
  </si>
  <si>
    <t>South Houston Green Power Site</t>
  </si>
  <si>
    <t>EPN801</t>
  </si>
  <si>
    <t>South Houston Green Power, LLC (Owner),South Houston Green Power, LLC (Operator)</t>
  </si>
  <si>
    <t>ST805 (250), TR1 (167), ST1 (110)</t>
  </si>
  <si>
    <t>EPN802</t>
  </si>
  <si>
    <t>TR2 (167), ST805 (250), ST1 (110)</t>
  </si>
  <si>
    <t>EPN803</t>
  </si>
  <si>
    <t>ST805 (250), TR3 (167), ST1 (110)</t>
  </si>
  <si>
    <t>Neil Simpson II (CT2)</t>
  </si>
  <si>
    <t>Consolidated WY Municipalities Electric Power System JPB (Owner),Black Hills Power, Inc (Operator)</t>
  </si>
  <si>
    <t>Lange</t>
  </si>
  <si>
    <t>609425 (Ended Jul 14, 2023), 610711 (Started Jul 14, 2023)</t>
  </si>
  <si>
    <t>Pennington County</t>
  </si>
  <si>
    <t>SD103</t>
  </si>
  <si>
    <t>0001 (44)</t>
  </si>
  <si>
    <t>Wygen I</t>
  </si>
  <si>
    <t>Municipal Energy Agency of Nebraska (Owner),Black Hills Wyoming, LLC (Owner),Black Hills Power, Inc (Operator)</t>
  </si>
  <si>
    <t>0001 (100)</t>
  </si>
  <si>
    <t>Forney Power Plant</t>
  </si>
  <si>
    <t>Kaufman County</t>
  </si>
  <si>
    <t>TX257</t>
  </si>
  <si>
    <t>U1 (172), ST1 (414)</t>
  </si>
  <si>
    <t>ST1 (414), U2 (172)</t>
  </si>
  <si>
    <t>U3</t>
  </si>
  <si>
    <t>ST1 (414), U3 (172)</t>
  </si>
  <si>
    <t>U4</t>
  </si>
  <si>
    <t>U4 (172), ST2 (414)</t>
  </si>
  <si>
    <t>U5</t>
  </si>
  <si>
    <t>U5 (169.8), ST2 (414)</t>
  </si>
  <si>
    <t>U6</t>
  </si>
  <si>
    <t>ST2 (414), U6 (169.8)</t>
  </si>
  <si>
    <t>Mesquite Generating Station</t>
  </si>
  <si>
    <t>Mesquite Power, LLC (Owner),Mesquite Power Operations, LLC (Operator)</t>
  </si>
  <si>
    <t>ST1 (321), GT1 (170)</t>
  </si>
  <si>
    <t>ST1 (321), GT2 (170)</t>
  </si>
  <si>
    <t>GT3 (170), ST2 (321)</t>
  </si>
  <si>
    <t>GT4 (170), ST2 (321)</t>
  </si>
  <si>
    <t>Goldendale Generating Station</t>
  </si>
  <si>
    <t>Klickitat County</t>
  </si>
  <si>
    <t>WA039</t>
  </si>
  <si>
    <t>G1 (170), G2 (114.3)</t>
  </si>
  <si>
    <t>Washington Parish Energy Center</t>
  </si>
  <si>
    <t>CTG01</t>
  </si>
  <si>
    <t>Washington Parish</t>
  </si>
  <si>
    <t>LA117</t>
  </si>
  <si>
    <t>CTG1 (207)</t>
  </si>
  <si>
    <t>CTG02</t>
  </si>
  <si>
    <t>CTG2 (207)</t>
  </si>
  <si>
    <t>Goose Creek Power Plant</t>
  </si>
  <si>
    <t>Piatt County</t>
  </si>
  <si>
    <t>IL147</t>
  </si>
  <si>
    <t>CT-05</t>
  </si>
  <si>
    <t>CT05 (114)</t>
  </si>
  <si>
    <t>CT-06</t>
  </si>
  <si>
    <t>CT06 (114)</t>
  </si>
  <si>
    <t>CalPeak Power - Vaca Dixon</t>
  </si>
  <si>
    <t>Solano County</t>
  </si>
  <si>
    <t>CA095</t>
  </si>
  <si>
    <t>CalPeak Power - Vaca Dixon, LLC (Owner),CalPeak Power - Vaca Dixon, LLC (Operator)</t>
  </si>
  <si>
    <t>CPP1 (60.5)</t>
  </si>
  <si>
    <t>Tenaska Kiamichi Generating Station</t>
  </si>
  <si>
    <t>Pittsburg County</t>
  </si>
  <si>
    <t>OK121</t>
  </si>
  <si>
    <t>Kiowa Power Partners, LLC (Owner),Kiowa Power Partners, LLC (Operator)</t>
  </si>
  <si>
    <t>STG1 (317.2), CTG1 (183.9)</t>
  </si>
  <si>
    <t>CTG2 (183.9), STG1 (317.2)</t>
  </si>
  <si>
    <t>STG2 (317.2), CTG3 (183.9)</t>
  </si>
  <si>
    <t>CTGDB4</t>
  </si>
  <si>
    <t>STG2 (317.2), CTG4 (183.9)</t>
  </si>
  <si>
    <t>Lawrenceburg Energy Facility</t>
  </si>
  <si>
    <t>Dearborn County</t>
  </si>
  <si>
    <t>IN029</t>
  </si>
  <si>
    <t>Lawrenceburg Power, LLC (Owner),Consolidated Asset Management Services, LLC (Operator)</t>
  </si>
  <si>
    <t>1100 (174), 0100 (268)</t>
  </si>
  <si>
    <t>0100 (268), 1200 (174)</t>
  </si>
  <si>
    <t>2100 (174), 0200 (268)</t>
  </si>
  <si>
    <t>0200 (268), 2200 (174)</t>
  </si>
  <si>
    <t>Waterford Plant</t>
  </si>
  <si>
    <t>Waterford Power, LLC (Owner),Consolidated Asset Management Services, LLC (Operator)</t>
  </si>
  <si>
    <t>CTG1 (174.2), ST1 (399)</t>
  </si>
  <si>
    <t>CTG2 (174.2), ST1 (399)</t>
  </si>
  <si>
    <t>CTG3 (174.2), ST1 (399)</t>
  </si>
  <si>
    <t>Limon Generating Station</t>
  </si>
  <si>
    <t>L1</t>
  </si>
  <si>
    <t>CO073</t>
  </si>
  <si>
    <t>Tri-State G &amp; T Association, Inc. (Owner),Tri-State G &amp; T Association, Inc. (Operator)</t>
  </si>
  <si>
    <t>L1 (82)</t>
  </si>
  <si>
    <t>L2</t>
  </si>
  <si>
    <t>L2 (82)</t>
  </si>
  <si>
    <t>Frank Knutson Station</t>
  </si>
  <si>
    <t>BR1</t>
  </si>
  <si>
    <t>BR1 (82)</t>
  </si>
  <si>
    <t>BR2</t>
  </si>
  <si>
    <t>BR2 (82)</t>
  </si>
  <si>
    <t>CalPeak Power - Panoche</t>
  </si>
  <si>
    <t>CalPeak Power - Panoche, LLC (Owner),CalPeak Power - Panoche, LLC (Operator)</t>
  </si>
  <si>
    <t>CPP2 (60.5)</t>
  </si>
  <si>
    <t>CalPeak Power - Border</t>
  </si>
  <si>
    <t>CalPeak Power - Border, LLC (Owner),CalPeak Power - Border, LLC (Operator)</t>
  </si>
  <si>
    <t>CPP4 (60.5)</t>
  </si>
  <si>
    <t>Cuyamaca Peak Energy</t>
  </si>
  <si>
    <t>607107 (Ended Mar 01, 2023), 607385 (Started Mar 01, 2023)</t>
  </si>
  <si>
    <t>CPP6 (48.7)</t>
  </si>
  <si>
    <t>CalPeak Power - Enterprise</t>
  </si>
  <si>
    <t>CalPeak Power - Enterprise, LLC (Owner),CalPeak Power - Enterprise, LLC (Operator)</t>
  </si>
  <si>
    <t>CPP7 (58.9)</t>
  </si>
  <si>
    <t>Apex Generating Station</t>
  </si>
  <si>
    <t>Southern California Public Power Authority (Owner),Los Angeles Department of Water and Power (Operator)</t>
  </si>
  <si>
    <t>CTG1 (174), STG1 (252.6)</t>
  </si>
  <si>
    <t>CTG2 (174), STG1 (252.6)</t>
  </si>
  <si>
    <t>Fayette Power Company LLC</t>
  </si>
  <si>
    <t>Fayette Power Company, LLC (Owner),Fayette Power Company, LLC (Operator)</t>
  </si>
  <si>
    <t>STG1 (317.1), CTG1 (163.5)</t>
  </si>
  <si>
    <t>CTG2 (163.5), STG1 (317.1)</t>
  </si>
  <si>
    <t>Wallingford Energy, LLC</t>
  </si>
  <si>
    <t>Wallingford Energy, LLC (Owner),Wallingford Energy, LLC (Operator)</t>
  </si>
  <si>
    <t>CTG1 (45)</t>
  </si>
  <si>
    <t>CTG2 (45)</t>
  </si>
  <si>
    <t>CTG3 (45)</t>
  </si>
  <si>
    <t>CTG4 (45)</t>
  </si>
  <si>
    <t>CTG5 (45)</t>
  </si>
  <si>
    <t>CT06 (50)</t>
  </si>
  <si>
    <t>CT07 (50)</t>
  </si>
  <si>
    <t>High Desert Power Project</t>
  </si>
  <si>
    <t>High Desert Power Project, LLC (Owner),High Desert Power Project, LLC (Operator)</t>
  </si>
  <si>
    <t>CTG1 (177), STG1 (330)</t>
  </si>
  <si>
    <t>STG2 (330), CTG2 (177)</t>
  </si>
  <si>
    <t>CTG3 (177), STG3 (330)</t>
  </si>
  <si>
    <t>Sundance Power Plant</t>
  </si>
  <si>
    <t>CT1 (45)</t>
  </si>
  <si>
    <t>CT2 (45)</t>
  </si>
  <si>
    <t>CT3 (45)</t>
  </si>
  <si>
    <t>CT4 (45)</t>
  </si>
  <si>
    <t>CT5 (45)</t>
  </si>
  <si>
    <t>CT6 (45)</t>
  </si>
  <si>
    <t>CT7 (45)</t>
  </si>
  <si>
    <t>CT8 (45)</t>
  </si>
  <si>
    <t>CT09</t>
  </si>
  <si>
    <t>CT9 (45)</t>
  </si>
  <si>
    <t>CT10 (45)</t>
  </si>
  <si>
    <t>York Energy Center</t>
  </si>
  <si>
    <t>Calpine Mid Merit, LLC (Owner),Calpine Operating Services Company, Inc. (Operator)</t>
  </si>
  <si>
    <t>CTG1 (120), STG1 (200)</t>
  </si>
  <si>
    <t>STG1 (200), CTG2 (120)</t>
  </si>
  <si>
    <t>STG1 (200), CTG3 (120)</t>
  </si>
  <si>
    <t>CTG5 (234.9), STG2 (419.6)</t>
  </si>
  <si>
    <t>STG2 (419.6), CTG6 (234.9)</t>
  </si>
  <si>
    <t>Escondido Energy Center, LLC</t>
  </si>
  <si>
    <t>Wellhead Services, Inc. (Owner),Escondido Energy Center, LLC (Operator)</t>
  </si>
  <si>
    <t>1 (46.5)</t>
  </si>
  <si>
    <t>Chula Vista Energy Center</t>
  </si>
  <si>
    <t>Chula Vista Energy Center, LLC (Owner),Wellhead Electric Company, Inc (Operator)</t>
  </si>
  <si>
    <t>GEN1 (44)</t>
  </si>
  <si>
    <t>Indigo Generation Facility</t>
  </si>
  <si>
    <t>Wildflower Energy, LP (Owner),Diamond Generating Corporation (Owner),Wildflower Energy, LP (Operator)</t>
  </si>
  <si>
    <t>CTG1 (49.9)</t>
  </si>
  <si>
    <t>CTG2 (49.9)</t>
  </si>
  <si>
    <t>CTG3 (49.9)</t>
  </si>
  <si>
    <t>Larkspur Energy Faciity</t>
  </si>
  <si>
    <t>Klamath Generation Peakers</t>
  </si>
  <si>
    <t>GT1 (29.4)</t>
  </si>
  <si>
    <t>GT2 (29.4)</t>
  </si>
  <si>
    <t>GT3 (29.4)</t>
  </si>
  <si>
    <t>GT4 (29.4)</t>
  </si>
  <si>
    <t>McKinley Paper WI Company</t>
  </si>
  <si>
    <t>B06</t>
  </si>
  <si>
    <t>Outagamie County</t>
  </si>
  <si>
    <t>WI087</t>
  </si>
  <si>
    <t>Appleton Property Ventures, LLC (Owner),Appleton Property Ventures, LLC (Operator)</t>
  </si>
  <si>
    <t>GEN2 (5), GEN1 (48)</t>
  </si>
  <si>
    <t>Perryville Power Station</t>
  </si>
  <si>
    <t>ST-1 (237), CT-1 (210.5)</t>
  </si>
  <si>
    <t>CT-2 (210.5), ST-1 (237)</t>
  </si>
  <si>
    <t>2-CT (183)</t>
  </si>
  <si>
    <t>West Valley Power Plant</t>
  </si>
  <si>
    <t>Utah Municipal Power Agency (Owner),Utah Municipal Power Agency (Operator)</t>
  </si>
  <si>
    <t>U1 (43.4)</t>
  </si>
  <si>
    <t>U2 (43.4)</t>
  </si>
  <si>
    <t>U3 (43.4)</t>
  </si>
  <si>
    <t>U4 (43.4)</t>
  </si>
  <si>
    <t>U5 (43.4)</t>
  </si>
  <si>
    <t>Creed Energy Center</t>
  </si>
  <si>
    <t>UNIT1</t>
  </si>
  <si>
    <t>Creed Energy Center, LLC (Owner),Creed Energy Center, LLC (Operator)</t>
  </si>
  <si>
    <t>Lambie Energy Center</t>
  </si>
  <si>
    <t>Gilroy Energy Center, LLC (Owner),Gilroy Energy Center, LLC (Operator)</t>
  </si>
  <si>
    <t>Goose Haven Energy Center</t>
  </si>
  <si>
    <t>Goose Haven Energy Center, LLC (Owner),Goose Haven Energy Center, LLC (Operator)</t>
  </si>
  <si>
    <t>LSP University Park, LLC</t>
  </si>
  <si>
    <t>LSP University Park, LLC (Owner),LSP University Park, LLC (Operator)</t>
  </si>
  <si>
    <t>G1 (45)</t>
  </si>
  <si>
    <t>G2 (45)</t>
  </si>
  <si>
    <t>G3 (45)</t>
  </si>
  <si>
    <t>G4 (45)</t>
  </si>
  <si>
    <t>G5 (45)</t>
  </si>
  <si>
    <t>G6 (45)</t>
  </si>
  <si>
    <t>G7 (45)</t>
  </si>
  <si>
    <t>G8 (45)</t>
  </si>
  <si>
    <t>G9 (45)</t>
  </si>
  <si>
    <t>G10 (45)</t>
  </si>
  <si>
    <t>G11 (45)</t>
  </si>
  <si>
    <t>G12 (45)</t>
  </si>
  <si>
    <t>Riverside Energy Center</t>
  </si>
  <si>
    <t>Rock County</t>
  </si>
  <si>
    <t>WI105</t>
  </si>
  <si>
    <t>CTG1 (198), STG1 (299.7)</t>
  </si>
  <si>
    <t>STG1 (299.7), CTG2 (198)</t>
  </si>
  <si>
    <t>Wisconsin Power &amp; Light Company (Owner),Central Wisconsin Electric Cooperative (Owner),Adams-Columbia Electric Cooperative (Owner),Rock Energy Cooperative (Owner),Wisconsin Power &amp; Light Company (Operator)</t>
  </si>
  <si>
    <t>STG2 (260.1), CTG3 (232.9)</t>
  </si>
  <si>
    <t>CTG4 (232.9), STG2 (260.1)</t>
  </si>
  <si>
    <t>Blue Spruce Energy Center</t>
  </si>
  <si>
    <t>CT01 (145)</t>
  </si>
  <si>
    <t>CT02 (145)</t>
  </si>
  <si>
    <t>Spring Creek Power Plant</t>
  </si>
  <si>
    <t>Logan County</t>
  </si>
  <si>
    <t>OK083</t>
  </si>
  <si>
    <t>CT01 (80)</t>
  </si>
  <si>
    <t>CT02 (80)</t>
  </si>
  <si>
    <t>CT03 (80)</t>
  </si>
  <si>
    <t>CT04 (80)</t>
  </si>
  <si>
    <t>Chambersburg Units 12 &amp; 13</t>
  </si>
  <si>
    <t>PA055</t>
  </si>
  <si>
    <t>Chambersburg Energy, LLC (Owner),Chambersburg Energy, LLC (Operator)</t>
  </si>
  <si>
    <t>UN12 (44)</t>
  </si>
  <si>
    <t>UN13 (44)</t>
  </si>
  <si>
    <t>Pastoria Energy Facility</t>
  </si>
  <si>
    <t>Pastoria Energy Facility, LLC (Owner),Pastoria Energy Facility, LLC (Operator)</t>
  </si>
  <si>
    <t>CT01 (168), ST03 (185)</t>
  </si>
  <si>
    <t>CT002</t>
  </si>
  <si>
    <t>ST03 (185), CT02 (168)</t>
  </si>
  <si>
    <t>CT004</t>
  </si>
  <si>
    <t>ST05 (90), CT04 (168)</t>
  </si>
  <si>
    <t>Newington Energy</t>
  </si>
  <si>
    <t>Essential Power Newington, LLC (Owner),Essential Power Newington, LLC (Operator)</t>
  </si>
  <si>
    <t>GT-1 (185.6), ST (234.3)</t>
  </si>
  <si>
    <t>ST (234.3), GT-2 (185.6)</t>
  </si>
  <si>
    <t>Chehalis Generation Facility</t>
  </si>
  <si>
    <t>CT1 (171.8), CA (195.5)</t>
  </si>
  <si>
    <t>CT2 (171.8), CA (195.5)</t>
  </si>
  <si>
    <t>Harrison County Power Project</t>
  </si>
  <si>
    <t>609775 (Ended Mar 31, 2023), 610584 (Started Mar 31, 2023)(Ended Jul 25, 2023), 610734 (Started Jul 25, 2023)</t>
  </si>
  <si>
    <t>Northeast Texas Electric Cooperative (Owner),East Texas Electric Cooperative, Inc. (Owner),ENTERGY POWER OPERATIONS U.S. (Operator) (Ended Jul 25, 2023),NRG Energy Services (Operator) (Started Jul 25, 2023)</t>
  </si>
  <si>
    <t>GT-1 (170), ST-1 (230),</t>
  </si>
  <si>
    <t>ST-1 (230), GT-2 (170)</t>
  </si>
  <si>
    <t>Lower Mount Bethel Energy, LLC</t>
  </si>
  <si>
    <t>LMBE Project Company LLC (Owner),Lower Mount Bethel Energy, LLC (Operator)</t>
  </si>
  <si>
    <t>G3 (228.6), G1 (213)</t>
  </si>
  <si>
    <t>G2 (213), G3 (228.6)</t>
  </si>
  <si>
    <t>AL Sandersville Energy Facility</t>
  </si>
  <si>
    <t>AL Sandersville LLC (Owner),AL Sandersville LLC (Operator)</t>
  </si>
  <si>
    <t>CT1 (86.53)</t>
  </si>
  <si>
    <t>CT2 (86.53)</t>
  </si>
  <si>
    <t>CT3 (86.53)</t>
  </si>
  <si>
    <t>CT4 (86.53)</t>
  </si>
  <si>
    <t>CT5 (86.53)</t>
  </si>
  <si>
    <t>CT6 (86.53)</t>
  </si>
  <si>
    <t>CT7 (86.53)</t>
  </si>
  <si>
    <t>CT8 (86.53)</t>
  </si>
  <si>
    <t>Walter M. Higgins III Generating Station</t>
  </si>
  <si>
    <t>BHG1</t>
  </si>
  <si>
    <t>A01 (178) ST1 (332.4)</t>
  </si>
  <si>
    <t>BHG2</t>
  </si>
  <si>
    <t>ST1 (332.4), A02 (178)</t>
  </si>
  <si>
    <t>Bethlehem Power Plant</t>
  </si>
  <si>
    <t>Calpine Bethlehem, LLC (Owner),Calpine Operating Services Company, Inc. (Operator)</t>
  </si>
  <si>
    <t>CTG1 (140), STG4 (230)</t>
  </si>
  <si>
    <t>STG4 (230), CTG2 (140)</t>
  </si>
  <si>
    <t>STG4 (230), CTG3 (140)</t>
  </si>
  <si>
    <t>STG8 (230), CTG5 (140)</t>
  </si>
  <si>
    <t>CTG6 (140), STG8 (230)</t>
  </si>
  <si>
    <t>STG8 (230), CTG7 (140)</t>
  </si>
  <si>
    <t>Ackerman Combined Cycle Plant</t>
  </si>
  <si>
    <t>CT1 (270), ST1 (310.5)</t>
  </si>
  <si>
    <t>ST1 (310.5), CT2 (270)</t>
  </si>
  <si>
    <t>Hanford Energy Park Peaker</t>
  </si>
  <si>
    <t>HEP1</t>
  </si>
  <si>
    <t>CA031</t>
  </si>
  <si>
    <t>MRP San Joaquin Energy (Owner),MRP San Joaquin Energy (Operator)</t>
  </si>
  <si>
    <t>HEP1 (46.1)</t>
  </si>
  <si>
    <t>HEP2</t>
  </si>
  <si>
    <t>HEP2 (46.1)</t>
  </si>
  <si>
    <t>Bayswater Peaking Facility</t>
  </si>
  <si>
    <t>Bayswater Peaking Facility, LLC (Owner),Bayswater Peaking Facility, LLC (Operator)</t>
  </si>
  <si>
    <t>1 (60.5)</t>
  </si>
  <si>
    <t>Jamaica Bay Peaking Facility, LLC (Owner),Jamaica Bay Peaking Facility, LLC (Operator)</t>
  </si>
  <si>
    <t>Mint Farm Generating Station</t>
  </si>
  <si>
    <t>Cowlitz County</t>
  </si>
  <si>
    <t>WA015</t>
  </si>
  <si>
    <t>CTG1 (186), 1STG (133)</t>
  </si>
  <si>
    <t>Fremont Energy Center</t>
  </si>
  <si>
    <t>Sandusky County</t>
  </si>
  <si>
    <t>OH143</t>
  </si>
  <si>
    <t>Dry Low NOx Burners,Ammonia Injection,Selective Catalytic Reduction,Steam Injection</t>
  </si>
  <si>
    <t>CT01 (190.4), CA01 (358.7)</t>
  </si>
  <si>
    <t>CA01 (358.7), CT02 (190.4)</t>
  </si>
  <si>
    <t>CTG1 (179), STG1 (362)</t>
  </si>
  <si>
    <t>CTG2 (179), STG1 (362)</t>
  </si>
  <si>
    <t>CTG3 (179), STG1 (362)</t>
  </si>
  <si>
    <t>Nacogdoches Generating Facility</t>
  </si>
  <si>
    <t>BFB-1</t>
  </si>
  <si>
    <t>Nacogdoches County</t>
  </si>
  <si>
    <t>TX347</t>
  </si>
  <si>
    <t>Bubbling fluidized bed boiler</t>
  </si>
  <si>
    <t>BFB-1 (115)</t>
  </si>
  <si>
    <t>Springdale Generating Station (55710)</t>
  </si>
  <si>
    <t>Springdale Energy (Owner),Springdale Energy (Operator)</t>
  </si>
  <si>
    <t>UNT3 (175), UNT5 (186)</t>
  </si>
  <si>
    <t>UNT5 (186), UNT4 (175)</t>
  </si>
  <si>
    <t>Magnet Cove Generating Station</t>
  </si>
  <si>
    <t>SN-01</t>
  </si>
  <si>
    <t>GT1 (242), ST1 (262)</t>
  </si>
  <si>
    <t>SN-02</t>
  </si>
  <si>
    <t>ST1 (262), GT2 (242)</t>
  </si>
  <si>
    <t>Dean Peakers</t>
  </si>
  <si>
    <t>DTE East China, LLC (Owner),DTE East China, LLC (Operator)</t>
  </si>
  <si>
    <t>GT1 (89.4)</t>
  </si>
  <si>
    <t>GT2 (89.4)</t>
  </si>
  <si>
    <t>GT3 (89.4)</t>
  </si>
  <si>
    <t>GT4 (89.4)</t>
  </si>
  <si>
    <t>Bennett Mountain Power Project</t>
  </si>
  <si>
    <t>1 (173)</t>
  </si>
  <si>
    <t>Hanging Rock Power Company LLC</t>
  </si>
  <si>
    <t>OH087</t>
  </si>
  <si>
    <t>Hanging Rock Power Company LLC (Owner),Hanging Rock Power Company LLC (Operator)</t>
  </si>
  <si>
    <t>1GT1 (163.5), 1ST (317.1)</t>
  </si>
  <si>
    <t>1GT2 (163.5), 1ST (317.1)</t>
  </si>
  <si>
    <t>2ST (317.1), 2GT1 (163.5)</t>
  </si>
  <si>
    <t>2ST (317.1), 2GT2 (163.5)</t>
  </si>
  <si>
    <t>Buchanan Units 1 &amp; 2</t>
  </si>
  <si>
    <t>VA027</t>
  </si>
  <si>
    <t>Buchanan Generation, LLC (Owner),Buchanan Generation, LLC (Operator)</t>
  </si>
  <si>
    <t>Los Esteros Critical Energy Facility</t>
  </si>
  <si>
    <t>Los Esteros Critical Energy Fac, LLC (Owner),Los Esteros Critical Energy Fac, LLC (Operator)</t>
  </si>
  <si>
    <t>CAG5 (126.1), CTG1 (55)</t>
  </si>
  <si>
    <t>CTG2 (55), CAG5 (126.1)</t>
  </si>
  <si>
    <t>CAG5 (126.1), CTG3 (55)</t>
  </si>
  <si>
    <t>CTG4 (55), CAG5 (126.1)</t>
  </si>
  <si>
    <t>Hardin Generating Station</t>
  </si>
  <si>
    <t>Big Horn County</t>
  </si>
  <si>
    <t>MT003</t>
  </si>
  <si>
    <t>Rocky Mountain Power, LLC (Owner),Colorado Energy Management, LLC (Operator)</t>
  </si>
  <si>
    <t>UNT1 (121)</t>
  </si>
  <si>
    <t>Edgewood Energy</t>
  </si>
  <si>
    <t>607880 (Ended Mar 10, 2023), 610552 (Started Mar 10, 2023)</t>
  </si>
  <si>
    <t>J Power USA Development Co, Ltd. (Owner),J Power USA Development Co, Ltd. (Operator)</t>
  </si>
  <si>
    <t>CT01 (50)</t>
  </si>
  <si>
    <t>CT02 (50)</t>
  </si>
  <si>
    <t>Shoreham Energy</t>
  </si>
  <si>
    <t>Marcus Hook Energy, LP</t>
  </si>
  <si>
    <t>MARCUS HOOK ENERGY, L.P. (Owner),MARCUS HOOK ENERGY, L.P. (Operator)</t>
  </si>
  <si>
    <t>STG (271.5), CT1A (188.2)</t>
  </si>
  <si>
    <t>CTIB (188.2), STG (271.5)</t>
  </si>
  <si>
    <t>CT13 (188.2), STG (271.5)</t>
  </si>
  <si>
    <t>Valencia Power Plant</t>
  </si>
  <si>
    <t>Valencia County</t>
  </si>
  <si>
    <t>NM061</t>
  </si>
  <si>
    <t>Valencia Power, LLC (Owner),Valencia Power, LLC (Operator)</t>
  </si>
  <si>
    <t>Henrietta Peaker Plant</t>
  </si>
  <si>
    <t>HPP1</t>
  </si>
  <si>
    <t>HPP1 (49)</t>
  </si>
  <si>
    <t>HPP2</t>
  </si>
  <si>
    <t>HPP2 (49)</t>
  </si>
  <si>
    <t>Gilroy Energy Center, LLC</t>
  </si>
  <si>
    <t>S3 (45)</t>
  </si>
  <si>
    <t>S4 (45)</t>
  </si>
  <si>
    <t>S5 (45)</t>
  </si>
  <si>
    <t>Frederickson Power LP</t>
  </si>
  <si>
    <t>F1CT</t>
  </si>
  <si>
    <t>Pierce County</t>
  </si>
  <si>
    <t>WA053</t>
  </si>
  <si>
    <t>Puget Sound Energy, Inc. (Owner),Atlantic Power Services, LLC (Owner),Atlantic Power Services, LLC (Operator)</t>
  </si>
  <si>
    <t>FIST (102), FICT (167)</t>
  </si>
  <si>
    <t>Stanton A</t>
  </si>
  <si>
    <t>Stanton Clean Energy, LLC (Owner),Stanton Clean Energy, LLC (Operator)</t>
  </si>
  <si>
    <t>A (224), C (281.9)</t>
  </si>
  <si>
    <t>B (224), C (281.9)</t>
  </si>
  <si>
    <t>Rocky Mountain Energy Center</t>
  </si>
  <si>
    <t>CTG1 (185), STG1 (334.9)</t>
  </si>
  <si>
    <t>STG1 (334.9), CTG2 (185)</t>
  </si>
  <si>
    <t>Island Street Peaking Plant</t>
  </si>
  <si>
    <t>Wisconsin Public Power Inc (Owner),Wisconsin Public Power Inc (Operator)</t>
  </si>
  <si>
    <t>FT81 (60.5)</t>
  </si>
  <si>
    <t>Silverhawk Generating Station</t>
  </si>
  <si>
    <t>NV Energy (Owner),Southern Nevada Water Authority (Owner),NV Energy (Operator)</t>
  </si>
  <si>
    <t>CT1 (197.2), ST1 (270.3)</t>
  </si>
  <si>
    <t>A03</t>
  </si>
  <si>
    <t>CT2 (197.2), ST1 (270.3)</t>
  </si>
  <si>
    <t>Feather River Energy Center</t>
  </si>
  <si>
    <t>CTG1 (47)</t>
  </si>
  <si>
    <t>Wolfskill Energy Center</t>
  </si>
  <si>
    <t>Prairie State Generating Station</t>
  </si>
  <si>
    <t>IL189</t>
  </si>
  <si>
    <t>Illinois Municipal Electric Agency (Owner),Indiana Municipal Power Agency (Owner),Prairie Power Incorporated (Owner),Missouri Joint Municipal Electric Utility Commission (Owner),Northern Illinois Municipal Power (Owner),Kentucky Municipal Power Agency (Owner),Lively Grove Energy Partners, LLC (Owner),AMP368, LLC (Owner),Southern Illinois Power Cooperative (Owner),Prairie State Generating Company LLC (Operator)</t>
  </si>
  <si>
    <t>Electrostatic Precipitator,Wet ESP</t>
  </si>
  <si>
    <t>PC1 (877.2)</t>
  </si>
  <si>
    <t>PC2 (877.2)</t>
  </si>
  <si>
    <t>Jasper County Generating Facility</t>
  </si>
  <si>
    <t>SC053</t>
  </si>
  <si>
    <t>Dry Low NOx Burners,Water Injection,Ammonia Injection</t>
  </si>
  <si>
    <t>CT1 (198.9), ST1 (405)</t>
  </si>
  <si>
    <t>ST1 (405), CT2 (198.9)</t>
  </si>
  <si>
    <t>ST1 (405), CT3 (198.9)</t>
  </si>
  <si>
    <t>Tracy Combined Cycle Power Plant</t>
  </si>
  <si>
    <t>TPP1</t>
  </si>
  <si>
    <t>TPP1 (84.4), TCC1 (167.3)</t>
  </si>
  <si>
    <t>TPP2</t>
  </si>
  <si>
    <t>TCC1 (167.3), TPP2 (84.4)</t>
  </si>
  <si>
    <t>Rockford II Energy Center</t>
  </si>
  <si>
    <t>GT3 (166.5)</t>
  </si>
  <si>
    <t>Ocean Peaking Power</t>
  </si>
  <si>
    <t>OPP3</t>
  </si>
  <si>
    <t>Essential Power OPP, LLC (Owner),Essential Power OPP, LLC (Operator)</t>
  </si>
  <si>
    <t>OPP3 (194)</t>
  </si>
  <si>
    <t>OPP4</t>
  </si>
  <si>
    <t>OPP4 (194)</t>
  </si>
  <si>
    <t>Warren County Power Station</t>
  </si>
  <si>
    <t>VA187</t>
  </si>
  <si>
    <t>ST01 (561), CT01 (256)</t>
  </si>
  <si>
    <t>ST01 (561), CT02 (256)</t>
  </si>
  <si>
    <t>CT03 (256), ST01 (561)</t>
  </si>
  <si>
    <t>Agua Mansa Power</t>
  </si>
  <si>
    <t>AMP-1</t>
  </si>
  <si>
    <t>City of Colton (Owner),E I Colton, LLC (Operator)</t>
  </si>
  <si>
    <t>AMP1 (60.5)</t>
  </si>
  <si>
    <t>Riverview Energy Center</t>
  </si>
  <si>
    <t>Wansley CC (55965)</t>
  </si>
  <si>
    <t>ST6 (213.3), CT6A (203.1)</t>
  </si>
  <si>
    <t>ST6 (213.3), CT6B (203.1)</t>
  </si>
  <si>
    <t>ST7 (213.3), CT7A (203.1)</t>
  </si>
  <si>
    <t>CT7B (203.1), ST7 (213.3)</t>
  </si>
  <si>
    <t>Hawkeye Energy Greenport, LLC</t>
  </si>
  <si>
    <t>U-01</t>
  </si>
  <si>
    <t>Hawkeye Energy Greenport, LLC (Owner),Hawkeye Energy Greenport, LLC (Operator)</t>
  </si>
  <si>
    <t>U-01 (54)</t>
  </si>
  <si>
    <t>Cosumnes Power Plant</t>
  </si>
  <si>
    <t>1 (190), 2 (170)</t>
  </si>
  <si>
    <t>3 (170), 1 (190)</t>
  </si>
  <si>
    <t>Cass County Station</t>
  </si>
  <si>
    <t>NE025</t>
  </si>
  <si>
    <t>CT-1 (173)</t>
  </si>
  <si>
    <t>CT-2 (173)</t>
  </si>
  <si>
    <t>Hunterstown Combined Cycle</t>
  </si>
  <si>
    <t>CT101</t>
  </si>
  <si>
    <t>PA001</t>
  </si>
  <si>
    <t>Kestrel Acquisition LLC (Owner),NAES Corporation (Operator)</t>
  </si>
  <si>
    <t>101 (179), 401 (361)</t>
  </si>
  <si>
    <t>CT201</t>
  </si>
  <si>
    <t>201 (179), 401 (361)</t>
  </si>
  <si>
    <t>CT301</t>
  </si>
  <si>
    <t>301 (179), 401 (361)</t>
  </si>
  <si>
    <t>Bluffview Power Plant</t>
  </si>
  <si>
    <t>City of Farmington Electric Utility System (Owner),City of Farmington Electric Utility System (Operator)</t>
  </si>
  <si>
    <t>CTG1 (40), STG1 (27)</t>
  </si>
  <si>
    <t>Palomar Energy Center</t>
  </si>
  <si>
    <t>CTG1 (165), STG (229)</t>
  </si>
  <si>
    <t>STG (229), CTG2 (165)</t>
  </si>
  <si>
    <t>Exira Station</t>
  </si>
  <si>
    <t>U-1</t>
  </si>
  <si>
    <t>Audubon County</t>
  </si>
  <si>
    <t>IA009</t>
  </si>
  <si>
    <t>Western Minnesota Municipal Power (Owner),Missouri River Energy Services (Operator)</t>
  </si>
  <si>
    <t>U-1 (60.5)</t>
  </si>
  <si>
    <t>U-2</t>
  </si>
  <si>
    <t>U-2 (60.5)</t>
  </si>
  <si>
    <t>U-3</t>
  </si>
  <si>
    <t>U-3 (60.5)</t>
  </si>
  <si>
    <t>Walton Bainbridge Power Facility</t>
  </si>
  <si>
    <t>P1A</t>
  </si>
  <si>
    <t>Decatur County</t>
  </si>
  <si>
    <t>GA087</t>
  </si>
  <si>
    <t>Walton Bainbridge LLC (Owner),Walton Bainbridge LLC (Operator)</t>
  </si>
  <si>
    <t>SEG1 (40)</t>
  </si>
  <si>
    <t>P1B</t>
  </si>
  <si>
    <t>P2A</t>
  </si>
  <si>
    <t>SEGC (40)</t>
  </si>
  <si>
    <t>P2B</t>
  </si>
  <si>
    <t>AMEA Sylacauga Plant</t>
  </si>
  <si>
    <t>Talladega County</t>
  </si>
  <si>
    <t>AL121</t>
  </si>
  <si>
    <t>Alabama Municipal Electric Authority (Owner),Alabama Municipal Electric Authority (Operator)</t>
  </si>
  <si>
    <t>1 (49.3)</t>
  </si>
  <si>
    <t>2 (49.3)</t>
  </si>
  <si>
    <t>Donald Von Raesfeld</t>
  </si>
  <si>
    <t>PCT1</t>
  </si>
  <si>
    <t>Silicon Valley Power (Owner),Silicon Valley Power (Operator)</t>
  </si>
  <si>
    <t>CTG1 (50), STG (54)</t>
  </si>
  <si>
    <t>PCT2</t>
  </si>
  <si>
    <t>STG (54), CTG2 (50)</t>
  </si>
  <si>
    <t>Fox Energy Center</t>
  </si>
  <si>
    <t>CTG1 (198.9), STG (250)</t>
  </si>
  <si>
    <t>STG (250), CTG2 (198.9)</t>
  </si>
  <si>
    <t>Equus  Power I</t>
  </si>
  <si>
    <t>0001 (60)</t>
  </si>
  <si>
    <t>Malburg Generating Station</t>
  </si>
  <si>
    <t>M1</t>
  </si>
  <si>
    <t>City of Vernon (Owner),City of Vernon (Operator)</t>
  </si>
  <si>
    <t>M1 (42.2), M3 (55)</t>
  </si>
  <si>
    <t>M2</t>
  </si>
  <si>
    <t>M3 (55), M2 (42.2)</t>
  </si>
  <si>
    <t>Magnolia Power Project</t>
  </si>
  <si>
    <t>Southern California Public Power Authority (Owner),City of Burbank (Operator)</t>
  </si>
  <si>
    <t>1 (198.9), 2 (188.7)</t>
  </si>
  <si>
    <t>CPV Towantic Energy Center</t>
  </si>
  <si>
    <t>ARP, NSPS4T, RGGI, SIPNOX</t>
  </si>
  <si>
    <t>CPV Towantic, LLC (Owner),CPV Towantic, LLC (Operator)</t>
  </si>
  <si>
    <t>CTG1 (285), STG (280.5)</t>
  </si>
  <si>
    <t>STG (280.5), CTG2 (285)</t>
  </si>
  <si>
    <t>Elm Road Generating Station</t>
  </si>
  <si>
    <t>Wisconsin Electric Power Company (Owner),Madison Gas &amp; Electric Company (Owner),Wisconsin Public Power Inc (Owner),Wisconsin Electric Power Company (Operator)</t>
  </si>
  <si>
    <t>Baghouse,Wet ESP</t>
  </si>
  <si>
    <t>1 (701)</t>
  </si>
  <si>
    <t>2 (701)</t>
  </si>
  <si>
    <t>Walnut Energy Center</t>
  </si>
  <si>
    <t>Walnut Energy Center Authority (Owner),Turlock Irrigation District (Operator)</t>
  </si>
  <si>
    <t>1 (94.9), 3 (110.8)</t>
  </si>
  <si>
    <t>3 (110.8), 2 (94.9)</t>
  </si>
  <si>
    <t>Currant Creek Power Project</t>
  </si>
  <si>
    <t>CTG1A</t>
  </si>
  <si>
    <t>Juab County</t>
  </si>
  <si>
    <t>UT023</t>
  </si>
  <si>
    <t>CT1A (146.2), ST1 (274.5)</t>
  </si>
  <si>
    <t>CTG1B</t>
  </si>
  <si>
    <t>CT1B (146.2), ST1 (274.5)</t>
  </si>
  <si>
    <t>Mankato Energy Center</t>
  </si>
  <si>
    <t>ARP, CSNOX, CSSO2G2, NSPS4T</t>
  </si>
  <si>
    <t>Blue Earth County</t>
  </si>
  <si>
    <t>MN013</t>
  </si>
  <si>
    <t>Mankato Energy Center, LLC (Owner),Mankato Energy Center, LLC (Operator)</t>
  </si>
  <si>
    <t>STG1 (320), CTG1 (210)</t>
  </si>
  <si>
    <t>CTG2 (210), STG1 (320)</t>
  </si>
  <si>
    <t>T J Labbe Electric Generating Station</t>
  </si>
  <si>
    <t>Lafayette Parish</t>
  </si>
  <si>
    <t>LA055</t>
  </si>
  <si>
    <t>Lafayette Utilities System (Owner),Lafayette Utilities System (Operator)</t>
  </si>
  <si>
    <t>U-1 (61.2)</t>
  </si>
  <si>
    <t>U-2 (61.2)</t>
  </si>
  <si>
    <t>Ripon Generation Station</t>
  </si>
  <si>
    <t>1 (60.35)</t>
  </si>
  <si>
    <t>2 (60.35)</t>
  </si>
  <si>
    <t>Riverside Energy Resource Center</t>
  </si>
  <si>
    <t>City of Riverside, CA (Owner),City of Riverside, CA (Operator)</t>
  </si>
  <si>
    <t>McIntosh Combined Cycle Facility</t>
  </si>
  <si>
    <t>10A</t>
  </si>
  <si>
    <t>C10A (203.2), 10ST (281.9)</t>
  </si>
  <si>
    <t>10B</t>
  </si>
  <si>
    <t>10ST (281.9), C10B (203.2)</t>
  </si>
  <si>
    <t>C11A (203.2), 11ST (281.9)</t>
  </si>
  <si>
    <t>C11B (203.2), 11ST (281.9)</t>
  </si>
  <si>
    <t>South Harper Peaking Facility</t>
  </si>
  <si>
    <t>01 (113.8)</t>
  </si>
  <si>
    <t>02 (113.8)</t>
  </si>
  <si>
    <t>03 (113.8)</t>
  </si>
  <si>
    <t>Faribault Energy Park</t>
  </si>
  <si>
    <t>EU006</t>
  </si>
  <si>
    <t>Rice County</t>
  </si>
  <si>
    <t>MN131</t>
  </si>
  <si>
    <t>Minnesota Municipal Power Agency (Owner),Minnesota Municipal Power Agency (Operator)</t>
  </si>
  <si>
    <t>HRSG (122), EU01 (212.5)</t>
  </si>
  <si>
    <t>Sheboygan Falls Energy Facility</t>
  </si>
  <si>
    <t>Sheboygan Power, LLC (Owner),Wisconsin Power &amp; Light Company (Operator)</t>
  </si>
  <si>
    <t>1 (170)</t>
  </si>
  <si>
    <t>Nebo Power Station</t>
  </si>
  <si>
    <t>608254 (Ended Mar 07, 2023), 610595 (Started Mar 07, 2023)</t>
  </si>
  <si>
    <t>Utah County</t>
  </si>
  <si>
    <t>UT049</t>
  </si>
  <si>
    <t>Utah Associated Municipal Power Systems (Owner),Utah Associated Municipal Power Systems (Operator)</t>
  </si>
  <si>
    <t>GT1 (65), ST1 (75)</t>
  </si>
  <si>
    <t>Pinelawn Power</t>
  </si>
  <si>
    <t>CTG (50), STG (32)</t>
  </si>
  <si>
    <t>Poletti 500 MW CC</t>
  </si>
  <si>
    <t>CTG7A</t>
  </si>
  <si>
    <t>CA01 (188), CT01 (170)</t>
  </si>
  <si>
    <t>CTG7B</t>
  </si>
  <si>
    <t>CT02 (170), CA01 (188)</t>
  </si>
  <si>
    <t>TS Power Plant</t>
  </si>
  <si>
    <t>Eureka County</t>
  </si>
  <si>
    <t>NV011</t>
  </si>
  <si>
    <t>Newmont Nevada Energy Investment LLC (Owner),Newmont Nevada Energy Investment LLC (Operator)</t>
  </si>
  <si>
    <t>001 (242)</t>
  </si>
  <si>
    <t>Port Westward</t>
  </si>
  <si>
    <t>PWEU1</t>
  </si>
  <si>
    <t>OR009</t>
  </si>
  <si>
    <t>1 (312), 2 (171)</t>
  </si>
  <si>
    <t>Miramar Energy Facility</t>
  </si>
  <si>
    <t>1 (53)</t>
  </si>
  <si>
    <t>2 (53)</t>
  </si>
  <si>
    <t>Caithness Long Island Energy Center</t>
  </si>
  <si>
    <t>Caithness Energy (Owner),Siemens Power Generation Operating Services Co (Operator)</t>
  </si>
  <si>
    <t>CT01 (196.2), ST01 (152.7)</t>
  </si>
  <si>
    <t>Lake Side Power Plant</t>
  </si>
  <si>
    <t>CT01 (182.7), ST01 (225.9)</t>
  </si>
  <si>
    <t>ST01 (225.9), CT02 (182.7)</t>
  </si>
  <si>
    <t>CT21 (185.4), ST2 (284.4)</t>
  </si>
  <si>
    <t>ST2 (284.4), CT22 (185.4)</t>
  </si>
  <si>
    <t>Groton Generating Station</t>
  </si>
  <si>
    <t>GT01 (93.5)</t>
  </si>
  <si>
    <t>GT02 (95)</t>
  </si>
  <si>
    <t>Malaga Power</t>
  </si>
  <si>
    <t>Malaga Power, LLC (Owner),Malaga Power, LLC (Operator)</t>
  </si>
  <si>
    <t>GT-1 (60.5)</t>
  </si>
  <si>
    <t>GT-2 (60.5)</t>
  </si>
  <si>
    <t>Cannon Falls Energy Center</t>
  </si>
  <si>
    <t>Goodhue County</t>
  </si>
  <si>
    <t>MN049</t>
  </si>
  <si>
    <t>UNT1 (173.4)</t>
  </si>
  <si>
    <t>UNT2 (173.4)</t>
  </si>
  <si>
    <t>NCEMC Anson Plant</t>
  </si>
  <si>
    <t>ES1-A</t>
  </si>
  <si>
    <t>North Carolina Electric Membership Corporation (Owner),North Carolina Electric Membership Corporation (Operator)</t>
  </si>
  <si>
    <t>1 (61.9)</t>
  </si>
  <si>
    <t>ES1-B</t>
  </si>
  <si>
    <t>ES2-A</t>
  </si>
  <si>
    <t>2 (61.9)</t>
  </si>
  <si>
    <t>ES2-B</t>
  </si>
  <si>
    <t>ES3-A</t>
  </si>
  <si>
    <t>3 (61.9)</t>
  </si>
  <si>
    <t>ES3-B</t>
  </si>
  <si>
    <t>ES4-A</t>
  </si>
  <si>
    <t>4 (61.9)</t>
  </si>
  <si>
    <t>ES4-B</t>
  </si>
  <si>
    <t>ES5-A</t>
  </si>
  <si>
    <t>5 (61.9)</t>
  </si>
  <si>
    <t>ES5-B</t>
  </si>
  <si>
    <t>ES6-A</t>
  </si>
  <si>
    <t>6 (61.9)</t>
  </si>
  <si>
    <t>ES6-B</t>
  </si>
  <si>
    <t>Millcreek Power</t>
  </si>
  <si>
    <t>MC-1</t>
  </si>
  <si>
    <t>UT053</t>
  </si>
  <si>
    <t>City of St. George (Owner),City of St. George (Operator)</t>
  </si>
  <si>
    <t>MC1 (40)</t>
  </si>
  <si>
    <t>MC-2</t>
  </si>
  <si>
    <t>MC2 (40)</t>
  </si>
  <si>
    <t>Empire Generating Co, LLC</t>
  </si>
  <si>
    <t>Empire Generating Co, LLC (Owner),Empire Generating Co, LLC (Operator)</t>
  </si>
  <si>
    <t>CT11 (179), ST13 (295.7)</t>
  </si>
  <si>
    <t>ST13 (295.7), CT12 (179)</t>
  </si>
  <si>
    <t>Hargis-Hebert Electric Generating Statio</t>
  </si>
  <si>
    <t>NCEMC Hamlet Plant</t>
  </si>
  <si>
    <t>Roseville Energy Park</t>
  </si>
  <si>
    <t>Placer County</t>
  </si>
  <si>
    <t>CA061</t>
  </si>
  <si>
    <t>City of Roseville, CA (Owner),City of Roseville, CA (Operator)</t>
  </si>
  <si>
    <t>0003 (80), 0001 (42)</t>
  </si>
  <si>
    <t>0002 (42), 0003 (80)</t>
  </si>
  <si>
    <t>CT005</t>
  </si>
  <si>
    <t>California Department of Power and Water (Owner),City of Roseville, CA (Operator)</t>
  </si>
  <si>
    <t>0004 (30)</t>
  </si>
  <si>
    <t>CT006</t>
  </si>
  <si>
    <t>0005 (30)</t>
  </si>
  <si>
    <t>Wygen II</t>
  </si>
  <si>
    <t>Cheyenne Light, Fuel and Power (Owner),Black Hills Power, Inc (Operator)</t>
  </si>
  <si>
    <t>Mustang Station (56326)</t>
  </si>
  <si>
    <t>GEN1 (170)</t>
  </si>
  <si>
    <t>GEN2</t>
  </si>
  <si>
    <t>GEN2 (170)</t>
  </si>
  <si>
    <t>GEN3</t>
  </si>
  <si>
    <t>GEN3 (170)</t>
  </si>
  <si>
    <t>Harry D. Mattison Power Plant</t>
  </si>
  <si>
    <t>AR143</t>
  </si>
  <si>
    <t>1 (89)</t>
  </si>
  <si>
    <t>Quail Run Energy Center</t>
  </si>
  <si>
    <t>Quail Run Energy Partners, LP (Owner),Quail Run Energy Partners, LP (Operator)</t>
  </si>
  <si>
    <t>ST1 (125), CT1A (80)</t>
  </si>
  <si>
    <t>CT1B (80), ST1 (125)</t>
  </si>
  <si>
    <t>CT2A (80), ST2 (125)</t>
  </si>
  <si>
    <t>ST2 (125), CT2B (80)</t>
  </si>
  <si>
    <t>Colorado Bend Energy Center</t>
  </si>
  <si>
    <t>Colorado Bend I Power, LLC (Owner),Colorado Bend I Power, LLC (Operator)</t>
  </si>
  <si>
    <t>CT1A (80), ST1 (105.1)</t>
  </si>
  <si>
    <t>CT1B (80), ST1 (105.1)</t>
  </si>
  <si>
    <t>ST2 (115), CT2A (80)</t>
  </si>
  <si>
    <t>CT2B (80), ST2 (115)</t>
  </si>
  <si>
    <t>CT-4A</t>
  </si>
  <si>
    <t>CT-4A (46)</t>
  </si>
  <si>
    <t>CT-4B</t>
  </si>
  <si>
    <t>Combustion turbine (Started Jan 24, 2023)</t>
  </si>
  <si>
    <t>Operating (Started 01/24/2023)</t>
  </si>
  <si>
    <t>CT-4B (46)</t>
  </si>
  <si>
    <t>Hunlock Unit 4</t>
  </si>
  <si>
    <t>Hunlock Energy, LLC (Owner),Hunlock Energy, LLC (Operator)</t>
  </si>
  <si>
    <t>Treasure Coast Energy Center</t>
  </si>
  <si>
    <t>605043 (Ended Oct 12, 2023), 610809 (Started Oct 12, 2023)</t>
  </si>
  <si>
    <t>St. Lucie County</t>
  </si>
  <si>
    <t>FL111</t>
  </si>
  <si>
    <t>Florida Municipal Power Agency (Owner),Fort Pierce Utilities Authority (Operator)</t>
  </si>
  <si>
    <t>ST1 (191.8), CT1 (219.6)</t>
  </si>
  <si>
    <t>West County Energy Center</t>
  </si>
  <si>
    <t>WCCT1A</t>
  </si>
  <si>
    <t>Dry Low NOx Burners,Water Injection,Ammonia Injection,Other,Selective Catalytic Reduction</t>
  </si>
  <si>
    <t>1A (298), 1ST (527)</t>
  </si>
  <si>
    <t>WCCT1B</t>
  </si>
  <si>
    <t>1ST (527), 1B (298)</t>
  </si>
  <si>
    <t>WCCT1C</t>
  </si>
  <si>
    <t>1ST (527), 1C (298)</t>
  </si>
  <si>
    <t>WCCT2A</t>
  </si>
  <si>
    <t>2A (298), 2ST (527)</t>
  </si>
  <si>
    <t>WCCT2B</t>
  </si>
  <si>
    <t>2ST (527), 2B (298)</t>
  </si>
  <si>
    <t>WCCT2C</t>
  </si>
  <si>
    <t>2C (298), 2ST (527)</t>
  </si>
  <si>
    <t>WCCT3A</t>
  </si>
  <si>
    <t>Dry Low NOx Burners,Water Injection,Other,Selective Catalytic Reduction</t>
  </si>
  <si>
    <t>3ST (527), 3A (298)</t>
  </si>
  <si>
    <t>WCCT3B</t>
  </si>
  <si>
    <t>3B (298), 3ST (527)</t>
  </si>
  <si>
    <t>WCCT3C</t>
  </si>
  <si>
    <t>3C (298), 3ST (527)</t>
  </si>
  <si>
    <t>Spindle Hill Energy Center</t>
  </si>
  <si>
    <t>610236 (Ended Feb 21, 2023), 607330 (Started Feb 21, 2023)</t>
  </si>
  <si>
    <t>Spindle Hill Energy LLC (Owner),Invenergy LLC (Operator)</t>
  </si>
  <si>
    <t>GEN1 (197)</t>
  </si>
  <si>
    <t>GEN2 (197)</t>
  </si>
  <si>
    <t>Plum Point Energy Station</t>
  </si>
  <si>
    <t>Empire District Electric Company (Owner),East Texas Electric Cooperative, Inc. (Owner),Missouri Joint Municipal Electric Utility Commission (Owner),Municipal Energy Agency of Mississippi (Owner),Plum Point Energy Associates, Inc. (Owner),Plum Point Energy Associates, Inc. (Operator)</t>
  </si>
  <si>
    <t>STG1 (665)</t>
  </si>
  <si>
    <t>Hobbs Generating Station</t>
  </si>
  <si>
    <t>HOBB1</t>
  </si>
  <si>
    <t>604952 (Ended Nov 07, 2023), 605902 (Started Nov 07, 2023)</t>
  </si>
  <si>
    <t>Lea Power Partners, LLC (Owner),Lea Power Partners, LLC (Operator)</t>
  </si>
  <si>
    <t>GT1 (167), ST3 (275)</t>
  </si>
  <si>
    <t>HOBB2</t>
  </si>
  <si>
    <t>GT2 (167), ST3 (275)</t>
  </si>
  <si>
    <t>Russell City Energy Company LLC</t>
  </si>
  <si>
    <t>Alameda County</t>
  </si>
  <si>
    <t>CA001</t>
  </si>
  <si>
    <t>Russell City Energy Center, LLC (Owner),Russell City Energy Center, LLC (Operator)</t>
  </si>
  <si>
    <t>CTG1 (200), STG1 (255)</t>
  </si>
  <si>
    <t>STG1 (255), CTG2 (200)</t>
  </si>
  <si>
    <t>McGrath Generating Station</t>
  </si>
  <si>
    <t>GEN1 (49.9)</t>
  </si>
  <si>
    <t>Grapeland Generating Station</t>
  </si>
  <si>
    <t>1 (49.9)</t>
  </si>
  <si>
    <t>Mira Loma Generating Station</t>
  </si>
  <si>
    <t>Barre Generating Station</t>
  </si>
  <si>
    <t>Center Generating Station</t>
  </si>
  <si>
    <t>Gateway Generating Station</t>
  </si>
  <si>
    <t>Pacific Gas and Electric Company (Owner),Pacific Gas and Electric Company (Operator)</t>
  </si>
  <si>
    <t>A (203.2) C (213.3)</t>
  </si>
  <si>
    <t>C (213.3), B (203.2)</t>
  </si>
  <si>
    <t>Marshfield Utilities Combustion Turbine</t>
  </si>
  <si>
    <t>WI141</t>
  </si>
  <si>
    <t>Marshfield Utilities (Owner),Marshfield Utilities (Operator)</t>
  </si>
  <si>
    <t>1A (27.5)</t>
  </si>
  <si>
    <t>1B (27.5)</t>
  </si>
  <si>
    <t>Black Mountain Generating Station</t>
  </si>
  <si>
    <t>UNS Electric, Inc. (Owner),UNS Electric, Inc. (Operator)</t>
  </si>
  <si>
    <t>Emporia Energy Center</t>
  </si>
  <si>
    <t>EEC1</t>
  </si>
  <si>
    <t>KS111</t>
  </si>
  <si>
    <t>1 (40)</t>
  </si>
  <si>
    <t>EEC2</t>
  </si>
  <si>
    <t>2 (40)</t>
  </si>
  <si>
    <t>EEC3</t>
  </si>
  <si>
    <t>3 (40)</t>
  </si>
  <si>
    <t>EEC4</t>
  </si>
  <si>
    <t>EEC5</t>
  </si>
  <si>
    <t>5 (187)</t>
  </si>
  <si>
    <t>EEC6</t>
  </si>
  <si>
    <t>6 (187)</t>
  </si>
  <si>
    <t>EEC7</t>
  </si>
  <si>
    <t>7 (187)</t>
  </si>
  <si>
    <t>City Water &amp; Light - City of Jonesboro</t>
  </si>
  <si>
    <t>SN04</t>
  </si>
  <si>
    <t>Craighead County</t>
  </si>
  <si>
    <t>AR031</t>
  </si>
  <si>
    <t>Jonesboro City Water and Light (Owner),Jonesboro City Water and Light (Operator)</t>
  </si>
  <si>
    <t>SN04 (60.5)</t>
  </si>
  <si>
    <t>SN06</t>
  </si>
  <si>
    <t>SN06 (57.4)</t>
  </si>
  <si>
    <t>SN07</t>
  </si>
  <si>
    <t>SN07 (60.5)</t>
  </si>
  <si>
    <t>Colusa Generating Station</t>
  </si>
  <si>
    <t>Colusa County</t>
  </si>
  <si>
    <t>CA011</t>
  </si>
  <si>
    <t>A (181.5), C (349.4)</t>
  </si>
  <si>
    <t>C (349.4), B (181.5)</t>
  </si>
  <si>
    <t>Paducah Power Systems Plant 1</t>
  </si>
  <si>
    <t>EU01A</t>
  </si>
  <si>
    <t>Paducah Power System (Owner),Paducah Power System (Operator)</t>
  </si>
  <si>
    <t>1 (60)</t>
  </si>
  <si>
    <t>EU01B</t>
  </si>
  <si>
    <t>EU02A</t>
  </si>
  <si>
    <t>EU02B</t>
  </si>
  <si>
    <t>John W. Turk Jr. Power Plant</t>
  </si>
  <si>
    <t>Southwestern Electric Power Company (Owner),Arkansas Electric Cooperative Corporation (Owner),East Texas Electric Cooperative, Inc. (Owner),Oklahoma Municipal Power Authority (Owner),Southwestern Electric Power Company (Operator)</t>
  </si>
  <si>
    <t>Niland Gas Turbine Plant</t>
  </si>
  <si>
    <t>Wygen III</t>
  </si>
  <si>
    <t>Montana Dakota Utilities Company (Owner),Black Hills Power, Inc (Owner),Consolidated WY Municipalities Electric Power System JPB (Owner),Black Hills Power, Inc (Operator)</t>
  </si>
  <si>
    <t>San Jacinto County Peaking Facility</t>
  </si>
  <si>
    <t>SJCCT1</t>
  </si>
  <si>
    <t>San Jacinto County</t>
  </si>
  <si>
    <t>TX407</t>
  </si>
  <si>
    <t>East Texas Electric Cooperative, Inc. (Owner),EthosEnergy Group Power Plant Services (Operator)</t>
  </si>
  <si>
    <t>SJC1 (85)</t>
  </si>
  <si>
    <t>SJCCT2</t>
  </si>
  <si>
    <t>SJC2 (85)</t>
  </si>
  <si>
    <t>Hardin County Peaking Facility</t>
  </si>
  <si>
    <t>HCCT1</t>
  </si>
  <si>
    <t>609775 (Ended Feb 28, 2023), 610584 (Started Feb 28, 2023)</t>
  </si>
  <si>
    <t>Hardin County</t>
  </si>
  <si>
    <t>TX199</t>
  </si>
  <si>
    <t>Entergy Texas, Inc. (Owner),EthosEnergy Group Power Plant Services (Operator)</t>
  </si>
  <si>
    <t>HC1 (85)</t>
  </si>
  <si>
    <t>HCCT2</t>
  </si>
  <si>
    <t>HC2 (85)</t>
  </si>
  <si>
    <t>Culbertson Station</t>
  </si>
  <si>
    <t>Roosevelt County</t>
  </si>
  <si>
    <t>MT085</t>
  </si>
  <si>
    <t>01 (100)</t>
  </si>
  <si>
    <t>Dry Fork Station</t>
  </si>
  <si>
    <t>Halogenated PAC Sorbent Injection,Regenerative Activated Coke Technology</t>
  </si>
  <si>
    <t>01 (422)</t>
  </si>
  <si>
    <t>Deer Creek Station</t>
  </si>
  <si>
    <t>02 (154), 01 (170)</t>
  </si>
  <si>
    <t>Sandy Creek Energy Station</t>
  </si>
  <si>
    <t>S01</t>
  </si>
  <si>
    <t>McLennan County</t>
  </si>
  <si>
    <t>TX309</t>
  </si>
  <si>
    <t>Lower Colorado River Authority (Owner),Sandy Creek Energy Associates, LP (Owner),Brazos Sandy Creek Electric Cooperative, Inc. (Owner),Sandy Creek Services, LLC (Operator)</t>
  </si>
  <si>
    <t>S01 (1008)</t>
  </si>
  <si>
    <t>Waterbury Generation</t>
  </si>
  <si>
    <t>Waterbury Generation, LLC (Owner),Waterbury Generation, LLC (Operator)</t>
  </si>
  <si>
    <t>10 (96)</t>
  </si>
  <si>
    <t>Midway Peaking</t>
  </si>
  <si>
    <t>Midway Peaking, LLC (Owner),Midway Peaking, LLC (Operator)</t>
  </si>
  <si>
    <t>1 (60.9)</t>
  </si>
  <si>
    <t>Longview Power</t>
  </si>
  <si>
    <t>Longview Power, LLC (Owner),Longview Power, LLC (Operator)</t>
  </si>
  <si>
    <t>Other,Wet Limestone</t>
  </si>
  <si>
    <t>MKA01 (769)</t>
  </si>
  <si>
    <t>Winchester Power Park</t>
  </si>
  <si>
    <t>CGT1 (48)</t>
  </si>
  <si>
    <t>CGT2 (48)</t>
  </si>
  <si>
    <t>CGT3 (48)</t>
  </si>
  <si>
    <t>CGT4 (48)</t>
  </si>
  <si>
    <t>Spiritwood Station</t>
  </si>
  <si>
    <t>Stutsman County</t>
  </si>
  <si>
    <t>ND093</t>
  </si>
  <si>
    <t>Liquified Petroleum Gas, Pipeline Natural Gas</t>
  </si>
  <si>
    <t>1 (99)</t>
  </si>
  <si>
    <t>Kleen Energy Systems Project</t>
  </si>
  <si>
    <t>Kleen Energy Systems, LLC (Owner),Kleen Energy Systems, LLC (Operator)</t>
  </si>
  <si>
    <t>U1 (199), ST (295)</t>
  </si>
  <si>
    <t>ST (295), U2 (199)</t>
  </si>
  <si>
    <t>Greenland Energy Center</t>
  </si>
  <si>
    <t>1 (184.1)</t>
  </si>
  <si>
    <t>2 (184.1)</t>
  </si>
  <si>
    <t>Panoche Energy Center</t>
  </si>
  <si>
    <t>Panoche Energy Center, LLC (Owner),Panoche Energy Center, LLC (Operator)</t>
  </si>
  <si>
    <t>1 (108)</t>
  </si>
  <si>
    <t>2 (108)</t>
  </si>
  <si>
    <t>3 (108)</t>
  </si>
  <si>
    <t>4 (108)</t>
  </si>
  <si>
    <t>Cedar Bayou 4</t>
  </si>
  <si>
    <t>CBY41</t>
  </si>
  <si>
    <t>NRG Energy, Inc (Owner),Energy Co. (Owner),NRG Energy, Inc (Operator)</t>
  </si>
  <si>
    <t>4 (179.7), 41 (187.7)</t>
  </si>
  <si>
    <t>CBY42</t>
  </si>
  <si>
    <t>42 (187.7), 4 (179.7)</t>
  </si>
  <si>
    <t>Bear Garden Generating Station</t>
  </si>
  <si>
    <t>Buckingham County</t>
  </si>
  <si>
    <t>VA029</t>
  </si>
  <si>
    <t>1A (170), 1C (262)</t>
  </si>
  <si>
    <t>1C (262), 1B (170)</t>
  </si>
  <si>
    <t>Virginia City Hybrid Energy Center</t>
  </si>
  <si>
    <t>VA195</t>
  </si>
  <si>
    <t>Coal Refuse, Wood</t>
  </si>
  <si>
    <t>CPV St. Charles Energy Center</t>
  </si>
  <si>
    <t>CPV Maryland, LLC (Owner),Consolidated Asset Management Services, LLC (Operator)</t>
  </si>
  <si>
    <t>GTG1 (213), STGEN (315)</t>
  </si>
  <si>
    <t>GTG2 (213), STGEN (315)</t>
  </si>
  <si>
    <t>Dave Gates Generating Station</t>
  </si>
  <si>
    <t>Deer Lodge County</t>
  </si>
  <si>
    <t>MT023</t>
  </si>
  <si>
    <t>1 (67.7)</t>
  </si>
  <si>
    <t>2 (67.7)</t>
  </si>
  <si>
    <t>CS3</t>
  </si>
  <si>
    <t>3 (67.7)</t>
  </si>
  <si>
    <t>Orange Grove Project</t>
  </si>
  <si>
    <t>Orange Grove Energy, LP (Owner),Orange Grove Energy, LP (Operator)</t>
  </si>
  <si>
    <t>CTG1 (48)</t>
  </si>
  <si>
    <t>CTG2 (48)</t>
  </si>
  <si>
    <t>Valley Energy Center</t>
  </si>
  <si>
    <t>CPV Valley LLC (Owner),Diamond Generating Corporation (Operator)</t>
  </si>
  <si>
    <t>STG (300), CTG1 (234)</t>
  </si>
  <si>
    <t>CTG2 (234), STG (300)</t>
  </si>
  <si>
    <t>Coolidge Generating Station</t>
  </si>
  <si>
    <t>Coolidge Power, LLC (Owner),Coolidge Power, LLC (Operator)</t>
  </si>
  <si>
    <t>01 (60.5)</t>
  </si>
  <si>
    <t>02 (60.5)</t>
  </si>
  <si>
    <t>03 (60.5)</t>
  </si>
  <si>
    <t>04 (60.5)</t>
  </si>
  <si>
    <t>05 (60.5)</t>
  </si>
  <si>
    <t>06 (60.5)</t>
  </si>
  <si>
    <t>07 (60.5)</t>
  </si>
  <si>
    <t>08 (60.5)</t>
  </si>
  <si>
    <t>09 (60.5)</t>
  </si>
  <si>
    <t>11 (60.5)</t>
  </si>
  <si>
    <t>12 (60.5)</t>
  </si>
  <si>
    <t>West Deptford Energy Station</t>
  </si>
  <si>
    <t>E101</t>
  </si>
  <si>
    <t>West Deptford Energy Associates Urban Renewal, LP (Owner),West Deptford Energy, LLC (Operator)</t>
  </si>
  <si>
    <t>E101 (225), STG101 (304)</t>
  </si>
  <si>
    <t>E102</t>
  </si>
  <si>
    <t>STG101 (304), E102 (225)</t>
  </si>
  <si>
    <t>Bayonne Energy Center</t>
  </si>
  <si>
    <t>Bayonne Energy Center, LLC (Owner),Bayonne Energy Center, LLC (Operator)</t>
  </si>
  <si>
    <t>GT1 (64)</t>
  </si>
  <si>
    <t>GT10</t>
  </si>
  <si>
    <t>GT10 (64)</t>
  </si>
  <si>
    <t>GT2 (64)</t>
  </si>
  <si>
    <t>GT3 (64)</t>
  </si>
  <si>
    <t>GT4 (64)</t>
  </si>
  <si>
    <t>GT5 (64)</t>
  </si>
  <si>
    <t>GT6 (64)</t>
  </si>
  <si>
    <t>GT7 (64)</t>
  </si>
  <si>
    <t>GT8</t>
  </si>
  <si>
    <t>GT8 (64)</t>
  </si>
  <si>
    <t>GT9</t>
  </si>
  <si>
    <t>GT9 (64)</t>
  </si>
  <si>
    <t>Pueblo Airport Generating Station</t>
  </si>
  <si>
    <t>Black Hills Corporation (Owner),Black Hills Corporation (Operator)</t>
  </si>
  <si>
    <t>GT1 (100)</t>
  </si>
  <si>
    <t>GT2 (100)</t>
  </si>
  <si>
    <t>4 (40), 43 (20)</t>
  </si>
  <si>
    <t>43 (20), 5 (40)</t>
  </si>
  <si>
    <t>6 (40), 53 (20)</t>
  </si>
  <si>
    <t>7 (40), 53 (20)</t>
  </si>
  <si>
    <t>Black Hills/Colorado Electric Utility Company, LP (Owner),Black Hills Electric Generation, LLC (Operator)</t>
  </si>
  <si>
    <t>8 (40)</t>
  </si>
  <si>
    <t>El Cajon Energy Center</t>
  </si>
  <si>
    <t>El Cajon Energy, LLC (Owner),El Cajon Energy, LLC (Operator)</t>
  </si>
  <si>
    <t>Canyon Power Plant</t>
  </si>
  <si>
    <t>Southern California Public Power Authority (Owner),City of Anaheim (Operator)</t>
  </si>
  <si>
    <t>Langley Gulch Power Plant</t>
  </si>
  <si>
    <t>Payette County</t>
  </si>
  <si>
    <t>ID075</t>
  </si>
  <si>
    <t>STG (131), GTG (187)</t>
  </si>
  <si>
    <t>Cleveland County Generating Facility</t>
  </si>
  <si>
    <t>ES1</t>
  </si>
  <si>
    <t>ES1 (190)</t>
  </si>
  <si>
    <t>ES2</t>
  </si>
  <si>
    <t>ES2 (190)</t>
  </si>
  <si>
    <t>ES3</t>
  </si>
  <si>
    <t>ES3 (190)</t>
  </si>
  <si>
    <t>ES4</t>
  </si>
  <si>
    <t>ES4 (190)</t>
  </si>
  <si>
    <t>David M Ratcliffe</t>
  </si>
  <si>
    <t>AB-001</t>
  </si>
  <si>
    <t>1A (235.5), 1C (369)</t>
  </si>
  <si>
    <t>AB-002</t>
  </si>
  <si>
    <t>1B (235.5), 1C (369)</t>
  </si>
  <si>
    <t>Ivanpah 2</t>
  </si>
  <si>
    <t>BLR1</t>
  </si>
  <si>
    <t>Solar Partners I, LLC (Owner),NRG Energy, Inc (Operator)</t>
  </si>
  <si>
    <t>ST1 (133.4)</t>
  </si>
  <si>
    <t>Ivanpah 1</t>
  </si>
  <si>
    <t>Solar Partners II, LLC (Owner),NRG Energy, Inc (Operator)</t>
  </si>
  <si>
    <t>ST1 (126)</t>
  </si>
  <si>
    <t>Ivanpah 3</t>
  </si>
  <si>
    <t>Solar Partners VIII, LLC (Owner),NRG Energy, Inc (Operator)</t>
  </si>
  <si>
    <t>Cricket Valley Energy Center</t>
  </si>
  <si>
    <t>ARP, CSNOX, CSOSG3, CSSO2G1, NSPS4T, RGGI</t>
  </si>
  <si>
    <t>Dutchess County</t>
  </si>
  <si>
    <t>NY027</t>
  </si>
  <si>
    <t>Cricket Valley Energy Center LLC (Owner),Cricket Valley Energy Center LLC (Operator)</t>
  </si>
  <si>
    <t>CT1 (236.3), ST1 (174.3)</t>
  </si>
  <si>
    <t>U002</t>
  </si>
  <si>
    <t>CT2 (236.3), ST2 (174.3)</t>
  </si>
  <si>
    <t>U003</t>
  </si>
  <si>
    <t>ST3 (174.3), CT3 (236.3)</t>
  </si>
  <si>
    <t>Deerhaven Renewable Energy Center</t>
  </si>
  <si>
    <t>BFB1</t>
  </si>
  <si>
    <t>1 (116.1)</t>
  </si>
  <si>
    <t>Marsh Landing Generating Station</t>
  </si>
  <si>
    <t>NRG Marsh Landing LLC (Owner),NRG Energy, Inc (Operator)</t>
  </si>
  <si>
    <t>2 (207)</t>
  </si>
  <si>
    <t>3 (207)</t>
  </si>
  <si>
    <t>4 (207)</t>
  </si>
  <si>
    <t>Garrison Energy Center</t>
  </si>
  <si>
    <t>Garrison Energy Center, LLC (Owner),IHI Power Services Corporation (Operator)</t>
  </si>
  <si>
    <t>STG2 (126), CTG1 (235)</t>
  </si>
  <si>
    <t>Sentinel Energy Center, LLC</t>
  </si>
  <si>
    <t>CPV Sentinel, LLC (Owner),CPV Sentinel, LLC (Operator)</t>
  </si>
  <si>
    <t>CTG1 (108)</t>
  </si>
  <si>
    <t>CTG2 (108)</t>
  </si>
  <si>
    <t>CTG3 (108)</t>
  </si>
  <si>
    <t>CTG4 (108)</t>
  </si>
  <si>
    <t>CTG5 (108)</t>
  </si>
  <si>
    <t>CTG6 (108)</t>
  </si>
  <si>
    <t>CTG7 (108)</t>
  </si>
  <si>
    <t>CTG8 (108)</t>
  </si>
  <si>
    <t>Mariposa Energy Project</t>
  </si>
  <si>
    <t>607964 (Ended Apr 20, 2023), 606341 (Started Apr 20, 2023)</t>
  </si>
  <si>
    <t>Mariposa Energy, Limited Liability Corporation (Owner),Mariposa Energy, Limited Liability Corporation (Operator)</t>
  </si>
  <si>
    <t>CTG1 (49.87)</t>
  </si>
  <si>
    <t>CTG2 (49.87)</t>
  </si>
  <si>
    <t>CTG3 (49.87)</t>
  </si>
  <si>
    <t>CTG4 (49.87)</t>
  </si>
  <si>
    <t>Walnut Creek Energy Park</t>
  </si>
  <si>
    <t>Walnut Creek Energy, LLC (Owner),Walnut Creek Energy, LLC (Operator)</t>
  </si>
  <si>
    <t>GT3 (100)</t>
  </si>
  <si>
    <t>GT4 (100)</t>
  </si>
  <si>
    <t>GT5 (100)</t>
  </si>
  <si>
    <t>Pio Pico Energy Center LLC</t>
  </si>
  <si>
    <t>Pio Pico Energy Center LLC (Owner),Pio Pico Energy Center LLC (Operator)</t>
  </si>
  <si>
    <t>CTG1 (106)</t>
  </si>
  <si>
    <t>CTG2 (106)</t>
  </si>
  <si>
    <t>CTG3 (106)</t>
  </si>
  <si>
    <t>Algonquin Power Sanger</t>
  </si>
  <si>
    <t>Algonquin Power Sanger, LLC (Owner),Algonquin Power Sanger, LLC (Operator)</t>
  </si>
  <si>
    <t>STG2 (12.5), CTG (49)</t>
  </si>
  <si>
    <t>Cheyenne Prairie Generating Station</t>
  </si>
  <si>
    <t>Laramie County</t>
  </si>
  <si>
    <t>WY021</t>
  </si>
  <si>
    <t>Cheyenne Light, Fuel and Power (Owner),Black Hills Service Company LLC (Operator)</t>
  </si>
  <si>
    <t>01C (20), 01A (40)</t>
  </si>
  <si>
    <t>01B (40), 01C (20)</t>
  </si>
  <si>
    <t>02A (40)</t>
  </si>
  <si>
    <t>St. Joseph Energy Center LLC</t>
  </si>
  <si>
    <t>CTG01A</t>
  </si>
  <si>
    <t>St. Joseph County</t>
  </si>
  <si>
    <t>IN141</t>
  </si>
  <si>
    <t>St. Joseph Energy Center, LLC (Owner),St. Joseph Energy Center, LLC (Operator)</t>
  </si>
  <si>
    <t>CT1 (238), ST1 (260)</t>
  </si>
  <si>
    <t>CTG01B</t>
  </si>
  <si>
    <t>CT2 (238), ST1 (260)</t>
  </si>
  <si>
    <t>Woodbridge Energy Center</t>
  </si>
  <si>
    <t>CPV Shore, LLC (Owner),CPV Shore, LLC (Operator)</t>
  </si>
  <si>
    <t>CT001 (222.7), ST001 (327.5)</t>
  </si>
  <si>
    <t>ST001 (327.5), CT002 (222.7)</t>
  </si>
  <si>
    <t>Wabash River Highland Plant</t>
  </si>
  <si>
    <t>Wabash Valley Power Alliance (Owner),NAES Corporation (Operator)</t>
  </si>
  <si>
    <t>A (192)</t>
  </si>
  <si>
    <t>Antelope Elk Energy Center</t>
  </si>
  <si>
    <t>Hale County</t>
  </si>
  <si>
    <t>TX189</t>
  </si>
  <si>
    <t>ELK1 (202)</t>
  </si>
  <si>
    <t>ELK2 (202)</t>
  </si>
  <si>
    <t>ELK3 (202)</t>
  </si>
  <si>
    <t>Pioneer Generating Station</t>
  </si>
  <si>
    <t>Williams County</t>
  </si>
  <si>
    <t>ND105</t>
  </si>
  <si>
    <t>01 (45.2)</t>
  </si>
  <si>
    <t>02 (45.2)</t>
  </si>
  <si>
    <t>03 (45.2)</t>
  </si>
  <si>
    <t>Lonesome Creek Station</t>
  </si>
  <si>
    <t>McKenzie County</t>
  </si>
  <si>
    <t>ND053</t>
  </si>
  <si>
    <t>04 (45.2)</t>
  </si>
  <si>
    <t>05 (45.2)</t>
  </si>
  <si>
    <t>06 (45.2)</t>
  </si>
  <si>
    <t>Lodi Energy Center</t>
  </si>
  <si>
    <t>ST1 (130), CT1 (185)</t>
  </si>
  <si>
    <t>Temple Power Station</t>
  </si>
  <si>
    <t>604839 (Ended Jan 23, 2023), 606338 (Started Jan 23, 2023)</t>
  </si>
  <si>
    <t>Bell County</t>
  </si>
  <si>
    <t>TX027</t>
  </si>
  <si>
    <t>Temple Generation I, LLC (Owner),PPG - O&amp;M Panda Temple Power, LLC (Operator) (Ended Mar 17, 2023),Consolidated Asset Management Services, LLC (Operator) (Started Mar 17, 2023)</t>
  </si>
  <si>
    <t>CTG1 (232), STG1 (339.2)</t>
  </si>
  <si>
    <t>CTG2 (232), STG1 (339.2)</t>
  </si>
  <si>
    <t>CXA Temple 2, LLC (Owner),PPG - O&amp;M Panda Temple Power, LLC (Operator) (Ended Mar 17, 2023),Consolidated Asset Management Services, LLC (Operator) (Started Mar 17, 2023)</t>
  </si>
  <si>
    <t>CTG3 (232), STG2 (339.2)</t>
  </si>
  <si>
    <t>STG2 (339.2), CTG4 (232)</t>
  </si>
  <si>
    <t>Rayburn Energy Station</t>
  </si>
  <si>
    <t>602364 (Ended Jul 11, 2023), 610704 (Started Jul 11, 2023)</t>
  </si>
  <si>
    <t>Grayson County</t>
  </si>
  <si>
    <t>TX181</t>
  </si>
  <si>
    <t>Panda Sherman Power, LLC (Owner) (Ended Jun 21, 2023),Rayburn Energy Station LLC (Owner) (Started Jun 21, 2023),PPG - O&amp;M Panda Sherman Power, LLC (Operator) (Ended Jun 21, 2023),NAES Corporation (Operator) (Started Jun 21, 2023)</t>
  </si>
  <si>
    <t>STG1 (339.2), CTG2 (232)</t>
  </si>
  <si>
    <t>Burgess BioPower</t>
  </si>
  <si>
    <t>ST01</t>
  </si>
  <si>
    <t>Coos County</t>
  </si>
  <si>
    <t>NH007</t>
  </si>
  <si>
    <t>Berlin Station, LLC (Owner),Berlin Station, LLC (Operator)</t>
  </si>
  <si>
    <t>ST01 (75)</t>
  </si>
  <si>
    <t>Newark Energy Center</t>
  </si>
  <si>
    <t>NJ013</t>
  </si>
  <si>
    <t>Newark Energy Center, LLC (Owner),NAES Corporation (Operator)</t>
  </si>
  <si>
    <t>GT-1 (225), STG-1 (285)</t>
  </si>
  <si>
    <t>STG-1 (285), GT-2 (225)</t>
  </si>
  <si>
    <t>Delano Energy Center, LLC</t>
  </si>
  <si>
    <t>Tulare County</t>
  </si>
  <si>
    <t>CA107</t>
  </si>
  <si>
    <t>Delano Energy Center, LLC (Owner),Wellhead Services, Inc. (Operator)</t>
  </si>
  <si>
    <t>GEN1 (59.5)</t>
  </si>
  <si>
    <t>Rothschild Biomass Cogeneration Facility</t>
  </si>
  <si>
    <t>Wisconsin Electric Power Company (Owner),Domtar Paper Company, LLC (Operator)</t>
  </si>
  <si>
    <t>Clayville</t>
  </si>
  <si>
    <t>1 (64)</t>
  </si>
  <si>
    <t>Marshalltown Generating Station</t>
  </si>
  <si>
    <t>CTG1 (222.7), STG1 (237.15)</t>
  </si>
  <si>
    <t>STG1 (237.15), CTG2 (222.7)</t>
  </si>
  <si>
    <t>Brunswick County Power Station</t>
  </si>
  <si>
    <t>Brunswick County</t>
  </si>
  <si>
    <t>VA025</t>
  </si>
  <si>
    <t>CT01 (297.5), ST01 (579.7)</t>
  </si>
  <si>
    <t>CT02 (297.5), ST01 (579.7)</t>
  </si>
  <si>
    <t>CT03 (297.5), ST01 (579.7)</t>
  </si>
  <si>
    <t>La Luz Energy Center</t>
  </si>
  <si>
    <t>0001 (42.3)</t>
  </si>
  <si>
    <t>Charles D Lamb Energy Center</t>
  </si>
  <si>
    <t>1 (122)</t>
  </si>
  <si>
    <t>Carbon Capture Plant</t>
  </si>
  <si>
    <t>CTHRSG</t>
  </si>
  <si>
    <t>Petra Nova Parish Holdings, LLC (Owner),NRG Texas Power LLC (Operator)</t>
  </si>
  <si>
    <t>GT2 (102.7)</t>
  </si>
  <si>
    <t>Hamilton Liberty Generation Plant</t>
  </si>
  <si>
    <t>609236 (Ended Jul 05, 2023), 609117 (Started Jul 05, 2023)</t>
  </si>
  <si>
    <t>Bradford County</t>
  </si>
  <si>
    <t>PA015</t>
  </si>
  <si>
    <t>Hamilton Liberty, LLC (Owner),Cogentrix Energy Power Management LLC (Operator)</t>
  </si>
  <si>
    <t>GEN1 (435)</t>
  </si>
  <si>
    <t>GEN2 (435)</t>
  </si>
  <si>
    <t>Hamilton Patriot Generation Plant</t>
  </si>
  <si>
    <t>Lycoming County</t>
  </si>
  <si>
    <t>PA081</t>
  </si>
  <si>
    <t>Hamilton Patriot, LLC (Owner),Cogentrix Energy Power Management LLC (Operator)</t>
  </si>
  <si>
    <t>Lansing BWL REO Town Plant</t>
  </si>
  <si>
    <t>Ingham County</t>
  </si>
  <si>
    <t>MI065</t>
  </si>
  <si>
    <t>Lansing Board of Water and Light (Owner),Lansing Board of Water and Light (Operator)</t>
  </si>
  <si>
    <t>CTG1 (42), ST (14)</t>
  </si>
  <si>
    <t>ST (14), CTG2 (42)</t>
  </si>
  <si>
    <t>Ector County Energy Center</t>
  </si>
  <si>
    <t>Ector County Generation, LLC (Owner),IHI Power Services Corporation (Operator)</t>
  </si>
  <si>
    <t>CTG1 (173)</t>
  </si>
  <si>
    <t>CTG2 (173)</t>
  </si>
  <si>
    <t>LEPA Unit No. 1</t>
  </si>
  <si>
    <t>Louisiana Energy &amp; Power Authority (Owner),Louisiana Energy &amp; Power Authority (Operator)</t>
  </si>
  <si>
    <t>CTG1 (59), STG1 (17)</t>
  </si>
  <si>
    <t>Carty Generating Station</t>
  </si>
  <si>
    <t>CTEU1</t>
  </si>
  <si>
    <t>STG (198.9), GTG (304.2)</t>
  </si>
  <si>
    <t>Montana Power Station</t>
  </si>
  <si>
    <t>GT-1 (100)</t>
  </si>
  <si>
    <t>GT-2 (100)</t>
  </si>
  <si>
    <t>GT-3 (100)</t>
  </si>
  <si>
    <t>GT-4 (100)</t>
  </si>
  <si>
    <t>Shell Chemical Appalachia LLC</t>
  </si>
  <si>
    <t>Beaver County</t>
  </si>
  <si>
    <t>PA007</t>
  </si>
  <si>
    <t>Shell Chemical Appalachia LLC (Owner),Shell Chemical Appalachia LLC (Operator)</t>
  </si>
  <si>
    <t>GTG1 (41), STG2 (75), STG1 (75)</t>
  </si>
  <si>
    <t>STG2 (75), GTG2 (41), STG1 (75)</t>
  </si>
  <si>
    <t>STG1 (75), GTG3 (41), STG2 (75)</t>
  </si>
  <si>
    <t>Potomac Energy Center, LLC</t>
  </si>
  <si>
    <t>Loudoun County</t>
  </si>
  <si>
    <t>VA107</t>
  </si>
  <si>
    <t>Potomac Energy Center, LLC (Owner),Siemens Energy, Inc. (Operator)</t>
  </si>
  <si>
    <t>GEN3 (338), GEN1 (242)</t>
  </si>
  <si>
    <t>GEN2 (242), GEN3 (338)</t>
  </si>
  <si>
    <t>Cove Point LNG Terminal</t>
  </si>
  <si>
    <t>B921A</t>
  </si>
  <si>
    <t>Calvert County</t>
  </si>
  <si>
    <t>MD009</t>
  </si>
  <si>
    <t>Cove Point LNG, LP (Owner),Cove Point LNG, LP (Operator)</t>
  </si>
  <si>
    <t>5STA (65), 5STB (65)</t>
  </si>
  <si>
    <t>B921B</t>
  </si>
  <si>
    <t>GT501A</t>
  </si>
  <si>
    <t>5STB (65), 5STA (65)</t>
  </si>
  <si>
    <t>GT501B</t>
  </si>
  <si>
    <t>Holland Energy Park</t>
  </si>
  <si>
    <t>Holland Board of Public Works (Owner),Holland Board of Public Works (Operator)</t>
  </si>
  <si>
    <t>10 (53.1), 12 (43.2)</t>
  </si>
  <si>
    <t>12 (43.2), 11 (53.1)</t>
  </si>
  <si>
    <t>Wildcat Point Generation Facility</t>
  </si>
  <si>
    <t>ST1 (493), CT1 (310.3)</t>
  </si>
  <si>
    <t>CT2 (310.3), ST1 (493)</t>
  </si>
  <si>
    <t>Kings Mountain Energy Center</t>
  </si>
  <si>
    <t>ES-1</t>
  </si>
  <si>
    <t>ARP, CSNOX, CSSO2G1, NSPS4T, SIPNOX</t>
  </si>
  <si>
    <t>NTE Carolinas, LLC (Owner),NTE Carolinas, LLC (Operator)</t>
  </si>
  <si>
    <t>KMEC2 (284.8), KMEC1 (310.3)</t>
  </si>
  <si>
    <t>Middletown Energy Center</t>
  </si>
  <si>
    <t>Ohio Power Partners, LLC. (Owner),Ohio Power Partners, LLC. (Operator)</t>
  </si>
  <si>
    <t>MEC1 (310.3), MEC2 (284.8)</t>
  </si>
  <si>
    <t>Oregon Clean Energy Center</t>
  </si>
  <si>
    <t>Oregon Clean Energy LLC (Owner),Oregon Clean Energy LLC (Operator)</t>
  </si>
  <si>
    <t>CTG11 (328), STG10 (404)</t>
  </si>
  <si>
    <t>CTG12 (328), STG10 (404)</t>
  </si>
  <si>
    <t>Carroll County Energy</t>
  </si>
  <si>
    <t>OH019</t>
  </si>
  <si>
    <t>Carroll County Energy LLC (Owner),EthosEnergy Group Power Plant Services (Operator)</t>
  </si>
  <si>
    <t>CGT1 (235.5), SGT1 (361.3)</t>
  </si>
  <si>
    <t>SGT1 (361.3), CGT2 (235.5)</t>
  </si>
  <si>
    <t>Wolf Hollow II</t>
  </si>
  <si>
    <t>Wolf Hollow II Power, LLC (Owner),Wolf Hollow Services, LLC (Operator)</t>
  </si>
  <si>
    <t>CGT4 (400), STG6 (500.365)</t>
  </si>
  <si>
    <t>CGT5 (400), STG6 (500.365)</t>
  </si>
  <si>
    <t>Exelon West Medway II</t>
  </si>
  <si>
    <t>J4</t>
  </si>
  <si>
    <t>Exelon West Medway II, LLC (Owner),Exelon West Medway II, LLC (Operator)</t>
  </si>
  <si>
    <t>J5</t>
  </si>
  <si>
    <t>Moxie Freedom Generation Plant</t>
  </si>
  <si>
    <t>Moxie Freedom, LLC (Owner),Moxie Freedom, LLC (Operator)</t>
  </si>
  <si>
    <t>GEN1 (535.3)</t>
  </si>
  <si>
    <t>GEN2 (535.3)</t>
  </si>
  <si>
    <t>Greensville County Power Station</t>
  </si>
  <si>
    <t>Greensville County</t>
  </si>
  <si>
    <t>VA081</t>
  </si>
  <si>
    <t>CT01 (369.8), ST01 (663.9)</t>
  </si>
  <si>
    <t>CT02 (369.8), ST01 (663.9)</t>
  </si>
  <si>
    <t>ST01 (663.9), CT03 (369.8)</t>
  </si>
  <si>
    <t>Alpine Power Plant</t>
  </si>
  <si>
    <t>AL1</t>
  </si>
  <si>
    <t>AL1 (216)</t>
  </si>
  <si>
    <t>AL2</t>
  </si>
  <si>
    <t>AL2 (216)</t>
  </si>
  <si>
    <t>Colorado Bend II</t>
  </si>
  <si>
    <t>Colorado Bend II Power, LLC (Owner),Colorado Bend Services, LLC (Operator)</t>
  </si>
  <si>
    <t>STG9 (565), CT7 (401)</t>
  </si>
  <si>
    <t>CT8 (401), STG9 (565)</t>
  </si>
  <si>
    <t>Bacliff Generating Station</t>
  </si>
  <si>
    <t>BCGT1</t>
  </si>
  <si>
    <t>610181 (Ended Jun 27, 2023), 610703 (Started Jun 27, 2023)</t>
  </si>
  <si>
    <t>PHR Holdings, LLC (Owner),NAES Corporation (Operator)</t>
  </si>
  <si>
    <t>BCGT1 (71.2)</t>
  </si>
  <si>
    <t>BCGT2</t>
  </si>
  <si>
    <t>BCGT2 (71.2)</t>
  </si>
  <si>
    <t>BCGT3</t>
  </si>
  <si>
    <t>BCGT3 (71.2)</t>
  </si>
  <si>
    <t>BCGT4</t>
  </si>
  <si>
    <t>BCGT4 (71.2)</t>
  </si>
  <si>
    <t>BCGT5</t>
  </si>
  <si>
    <t>BCGT5 (71.2)</t>
  </si>
  <si>
    <t>BCGT6</t>
  </si>
  <si>
    <t>BCGT6 (71.2)</t>
  </si>
  <si>
    <t>Keys Energy Center</t>
  </si>
  <si>
    <t>609550 (Ended Mar 28, 2023), 610612 (Started Mar 28, 2023)</t>
  </si>
  <si>
    <t>Parkway Generation / Consolidated Asset Management Services / Keys Energy Center LLC (Owner),Parkway Generation / Consolidated Asset Management Services / Keys Energy Center LLC (Operator)</t>
  </si>
  <si>
    <t>11 (235), 10 (359)</t>
  </si>
  <si>
    <t>12 (235), 10 (359)</t>
  </si>
  <si>
    <t>Albany Green Energy LLC</t>
  </si>
  <si>
    <t>B0004</t>
  </si>
  <si>
    <t>Dougherty County</t>
  </si>
  <si>
    <t>GA095</t>
  </si>
  <si>
    <t>Albany Green Energy LLC (Owner),Albany Green Energy LLC (Operator)</t>
  </si>
  <si>
    <t>Okeechobee Clean Energy Center</t>
  </si>
  <si>
    <t>OCEC1A</t>
  </si>
  <si>
    <t>Okeechobee County</t>
  </si>
  <si>
    <t>FL093</t>
  </si>
  <si>
    <t>1A (376.6), 1ST (593.3)</t>
  </si>
  <si>
    <t>OCEC1B</t>
  </si>
  <si>
    <t>1B (376.6), 1ST (593.3)</t>
  </si>
  <si>
    <t>OCEC1C</t>
  </si>
  <si>
    <t>1C (376.6), 1ST (593.3)</t>
  </si>
  <si>
    <t>South Field Energy, LLC</t>
  </si>
  <si>
    <t>Columbiana County</t>
  </si>
  <si>
    <t>OH029</t>
  </si>
  <si>
    <t>South Field Energy, LLC (Owner),EthosEnergy Group Power Plant Services (Operator)</t>
  </si>
  <si>
    <t>STG1 (260), CTG1 (345)</t>
  </si>
  <si>
    <t>CTG2 (345), STG2 (260)</t>
  </si>
  <si>
    <t>Lackawanna Energy Center</t>
  </si>
  <si>
    <t>Lackawanna Energy Center LLC (Owner),Lackawanna Energy Center LLC (Operator)</t>
  </si>
  <si>
    <t>GEN1 (555)</t>
  </si>
  <si>
    <t>GEN2 (555)</t>
  </si>
  <si>
    <t>GEN3 (555)</t>
  </si>
  <si>
    <t>Hummel Station</t>
  </si>
  <si>
    <t>Snyder County</t>
  </si>
  <si>
    <t>PA109</t>
  </si>
  <si>
    <t>Hummel Station, LLC (Owner),Hummel Station, LLC (Operator)</t>
  </si>
  <si>
    <t>CTG1 (244.8), STG (460)</t>
  </si>
  <si>
    <t>STG (460), CTG2 (244.8)</t>
  </si>
  <si>
    <t>CTG3 (244.8), STG (460)</t>
  </si>
  <si>
    <t>Clean Energy Future - Lordstown, LLC</t>
  </si>
  <si>
    <t>Clean Energy Future - Lordstown, LLC (Owner),Clean Energy Future - Lordstown, LLC (Operator)</t>
  </si>
  <si>
    <t>STG1 (340), CTG1 (311)</t>
  </si>
  <si>
    <t>CTG2 (311), STG1 (340)</t>
  </si>
  <si>
    <t>Invenergy Nelson Expansion LLC</t>
  </si>
  <si>
    <t>606260 (Started Feb 23, 2023)</t>
  </si>
  <si>
    <t>Invenergy Nelson Expansion LLC (Owner) (Started Feb 23, 2023),Invenergy Services Thermal US LLC (Operator) (Started Feb 23, 2023)</t>
  </si>
  <si>
    <t>Combustion turbine (Started Apr 19, 2023)</t>
  </si>
  <si>
    <t>Dry Low NOx Burners (Began Apr 19, 2023),Water Injection (Began Apr 19, 2023)</t>
  </si>
  <si>
    <t>Operating (Started 04/19/2023)</t>
  </si>
  <si>
    <t>GEN3 (190)</t>
  </si>
  <si>
    <t>Combustion turbine (Started Apr 27, 2023)</t>
  </si>
  <si>
    <t>Dry Low NOx Burners (Began Apr 27, 2023),Water Injection (Began Apr 27, 2023)</t>
  </si>
  <si>
    <t>Operating (Started 04/27/2023)</t>
  </si>
  <si>
    <t>GEN4 (190)</t>
  </si>
  <si>
    <t>Port Comfort Peaking Facility</t>
  </si>
  <si>
    <t>609948 (Ended Dec 19, 2023), 603196 (Started Dec 19, 2023)(Ended Dec 19, 2023), 610327 (Started Dec 19, 2023)</t>
  </si>
  <si>
    <t>TX057</t>
  </si>
  <si>
    <t>Port Comfort Power, LLC (Owner),Port Comfort Power, LLC (Operator)</t>
  </si>
  <si>
    <t>PC1 (50)</t>
  </si>
  <si>
    <t>PC2 (50)</t>
  </si>
  <si>
    <t>Chamon Power, LLC</t>
  </si>
  <si>
    <t>Chamon Power, LLC (Owner),Chamon Power, LLC (Operator)</t>
  </si>
  <si>
    <t>CH1 (50)</t>
  </si>
  <si>
    <t>CH2 (50)</t>
  </si>
  <si>
    <t>Tenaska Westmoreland Generating Station</t>
  </si>
  <si>
    <t>Westmoreland County</t>
  </si>
  <si>
    <t>PA129</t>
  </si>
  <si>
    <t>Tenaska Pennsylvania Partners, LLC (Owner),Tenaska Pennsylvania Partners, LLC (Operator)</t>
  </si>
  <si>
    <t>CTG1 (370), STG1 (394)</t>
  </si>
  <si>
    <t>CTG2 (370), STG1 (394)</t>
  </si>
  <si>
    <t>Tejas Power Generation Unit 1</t>
  </si>
  <si>
    <t>Tejas Power Generation, LLC (Owner),Tejas Power Generation, LLC (Operator)</t>
  </si>
  <si>
    <t>GT-1 (128)</t>
  </si>
  <si>
    <t>CPV Fairview, LLC</t>
  </si>
  <si>
    <t>CPV Fairview, LLC (Owner),CPV Fairview, LLC (Operator)</t>
  </si>
  <si>
    <t>CTGEN1 (336), ST-1 (292)</t>
  </si>
  <si>
    <t>ST-1 (292), CTGEN2 (336)</t>
  </si>
  <si>
    <t>Stanton Energy Reliability Center</t>
  </si>
  <si>
    <t>Stanton Energy Reliability Center, LLC (Owner),Wellhead Services, Inc. (Operator)</t>
  </si>
  <si>
    <t>GT1 (60.5)</t>
  </si>
  <si>
    <t>D7</t>
  </si>
  <si>
    <t>GT2 (60.5)</t>
  </si>
  <si>
    <t>Salem Harbor Station NGCC</t>
  </si>
  <si>
    <t>602193 (Ended Sep 22, 2023), 603241 (Started Sep 22, 2023)</t>
  </si>
  <si>
    <t>Salem Harbor Power Development LP (Owner),Salem Harbor Power Development LP (Operator)</t>
  </si>
  <si>
    <t>3 (240.7), 1 (158.4)</t>
  </si>
  <si>
    <t>2 (158.4), 4 (240.7)</t>
  </si>
  <si>
    <t>NET Power La Porte Station</t>
  </si>
  <si>
    <t>1GT</t>
  </si>
  <si>
    <t>608815 (Ended Jun 15, 2023), 610693 (Started Jun 15, 2023)</t>
  </si>
  <si>
    <t>NET Power LLC (Owner),NET Power LLC (Operator)</t>
  </si>
  <si>
    <t>NPLPS (25.5)</t>
  </si>
  <si>
    <t>Montgomery County Power Station</t>
  </si>
  <si>
    <t>1C (500), 1A (250)</t>
  </si>
  <si>
    <t>1B (250), 1C (500)</t>
  </si>
  <si>
    <t>St. Charles Power Station</t>
  </si>
  <si>
    <t>1A (258), 1C (453)</t>
  </si>
  <si>
    <t>1B (258), 1C (453)</t>
  </si>
  <si>
    <t>Lake Charles Power Station</t>
  </si>
  <si>
    <t>1A (257), 1C (452.5)</t>
  </si>
  <si>
    <t>1B (257), 1C (452.5)</t>
  </si>
  <si>
    <t>Hickory Run Energy Station</t>
  </si>
  <si>
    <t>Hickory Run Energy, LLC (Owner),Hickory Run Energy, LLC (Operator)</t>
  </si>
  <si>
    <t>CTG1 (311), STG1 (450)</t>
  </si>
  <si>
    <t>STG1 (450), CTG2 (311)</t>
  </si>
  <si>
    <t>Birdsboro Power</t>
  </si>
  <si>
    <t>Birdsboro Power, LLC (Owner),Birdsboro Power, LLC (Operator)</t>
  </si>
  <si>
    <t>GEN1 (488)</t>
  </si>
  <si>
    <t>Astoria Station</t>
  </si>
  <si>
    <t>Deuel County</t>
  </si>
  <si>
    <t>SD039</t>
  </si>
  <si>
    <t>1 (349)</t>
  </si>
  <si>
    <t>Victoria City Peaking Facility</t>
  </si>
  <si>
    <t>TRES City Power LLC (Owner),TRES City Power LLC (Operator)</t>
  </si>
  <si>
    <t>VC-1 (50)</t>
  </si>
  <si>
    <t>VC-2 (50)</t>
  </si>
  <si>
    <t>Victoria Port Peaking Facility</t>
  </si>
  <si>
    <t>VP-1 (50)</t>
  </si>
  <si>
    <t>VP-2 (50)</t>
  </si>
  <si>
    <t>Long Ridge Energy Generation</t>
  </si>
  <si>
    <t>OH111</t>
  </si>
  <si>
    <t>Long Ridge Energy Generation LLC (Owner),Long Ridge Energy Generation LLC (Operator)</t>
  </si>
  <si>
    <t>HPPP1 (521.9)</t>
  </si>
  <si>
    <t>Victoria Port Power II Peaking Facility</t>
  </si>
  <si>
    <t>Victoria Port Power II LLC (Owner),Victoria Port Power II LLC (Operator)</t>
  </si>
  <si>
    <t>VP2-1 (50)</t>
  </si>
  <si>
    <t>VP2-2 (50)</t>
  </si>
  <si>
    <t>Blue Water Energy Center</t>
  </si>
  <si>
    <t>DTE Electric Company (Owner),DTE Electric Company (Operator)</t>
  </si>
  <si>
    <t>11 (394.4), 1S (478.6)</t>
  </si>
  <si>
    <t>1S (478.6), 12 (394.4)</t>
  </si>
  <si>
    <t>SJRR Power Peaking Facility</t>
  </si>
  <si>
    <t>SJRR Power LLC (Owner),SJRR Power LLC (Operator)</t>
  </si>
  <si>
    <t>SJ-1 (50)</t>
  </si>
  <si>
    <t>SJ-2 (50)</t>
  </si>
  <si>
    <t>Hill Top Energy Center</t>
  </si>
  <si>
    <t>PA059</t>
  </si>
  <si>
    <t>Hill Top Energy Center, LLC (Owner),Hill Top Energy Center, LLC (Operator)</t>
  </si>
  <si>
    <t>GEN1 (664.7)</t>
  </si>
  <si>
    <t>Jackson Generation, LLC</t>
  </si>
  <si>
    <t>CTG-01</t>
  </si>
  <si>
    <t>609706 (Ended Jan 30, 2023), 610552 (Started Jan 30, 2023)</t>
  </si>
  <si>
    <t>Jackson Generation, LLC (Owner),Jackson Generation, LLC (Operator)</t>
  </si>
  <si>
    <t>01 (644.3)</t>
  </si>
  <si>
    <t>CTG-02</t>
  </si>
  <si>
    <t>02 (644.3)</t>
  </si>
  <si>
    <t>Guernsey Power Station</t>
  </si>
  <si>
    <t>Guernsey County</t>
  </si>
  <si>
    <t>OH059</t>
  </si>
  <si>
    <t>Guernsey Power Station, LLC (Owner),Guernsey Power Station, LLC (Operator)</t>
  </si>
  <si>
    <t>GPS1 (652.8)</t>
  </si>
  <si>
    <t>P002</t>
  </si>
  <si>
    <t>GPS2 (652.8)</t>
  </si>
  <si>
    <t>P003</t>
  </si>
  <si>
    <t>GPS3 (652.8)</t>
  </si>
  <si>
    <t>Delta Energy Park</t>
  </si>
  <si>
    <t>DEPC2</t>
  </si>
  <si>
    <t>Eaton County</t>
  </si>
  <si>
    <t>MI045</t>
  </si>
  <si>
    <t>DEPC2 (58), DEPST (89.2)</t>
  </si>
  <si>
    <t>DEPC3</t>
  </si>
  <si>
    <t>DEPST (89.2), DEPC3 (58)</t>
  </si>
  <si>
    <t>DEPS1</t>
  </si>
  <si>
    <t>DEPS1 (58)</t>
  </si>
  <si>
    <t>HO Clarke Generating</t>
  </si>
  <si>
    <t>HO Clarke Generating, LLC (Owner),ProEnergy Services LLC (Operator)</t>
  </si>
  <si>
    <t>CTG-1 (60.5)</t>
  </si>
  <si>
    <t>CTG-2 (60.5)</t>
  </si>
  <si>
    <t>CTG-3 (60.5)</t>
  </si>
  <si>
    <t>CTG-4 (60.5)</t>
  </si>
  <si>
    <t>CTG-5 (60.5)</t>
  </si>
  <si>
    <t>CT-6</t>
  </si>
  <si>
    <t>CTG-6 (60.5)</t>
  </si>
  <si>
    <t>CT-7</t>
  </si>
  <si>
    <t>HO Clarke II, LLC (Owner),ProEnergy Services LLC (Operator)</t>
  </si>
  <si>
    <t>CTG-7 (60.5)</t>
  </si>
  <si>
    <t>CT-8</t>
  </si>
  <si>
    <t>CTG-8 (60.5)</t>
  </si>
  <si>
    <t>Topaz Generating</t>
  </si>
  <si>
    <t>Topaz Generating, LLC (Owner),ProEnergy Services LLC (Operator)</t>
  </si>
  <si>
    <t>CT-10</t>
  </si>
  <si>
    <t>Topaz II, LLC (Owner),ProEnergy Services LLC (Operator)</t>
  </si>
  <si>
    <t>CTG-10 (60.5)</t>
  </si>
  <si>
    <t>CT-9</t>
  </si>
  <si>
    <t>CTG-9 (60.5)</t>
  </si>
  <si>
    <t>CPV Three Rivers Energy Center</t>
  </si>
  <si>
    <t>CPV Three Rivers, LLC (Owner),Consolidated Asset Management Services, LLC (Operator)</t>
  </si>
  <si>
    <t>Combined cycle (Started Jan 04, 2023)</t>
  </si>
  <si>
    <t>Operating (Started 01/04/2023)</t>
  </si>
  <si>
    <t>GEN1 (625)</t>
  </si>
  <si>
    <t>Combined cycle (Started Apr 29, 2023)</t>
  </si>
  <si>
    <t>Operating (Started 04/29/2023)</t>
  </si>
  <si>
    <t>GEN2 (625)</t>
  </si>
  <si>
    <t>Braes Bayou Plant</t>
  </si>
  <si>
    <t>Braes Bayou Generating, LLC (Owner) (Ended Jan 09, 2023),Braes Bayou II LLC (Owner) (Started Jan 09, 2023),ProEnergy Services LLC (Operator)</t>
  </si>
  <si>
    <t>Braes Bayou Generating, LLC (Owner),ProEnergy Services LLC (Operator)</t>
  </si>
  <si>
    <t>Mark One Power Station</t>
  </si>
  <si>
    <t>Mark One Generating LLC (Owner),ProEnergy Services LLC (Operator)</t>
  </si>
  <si>
    <t>Brotman Power Station</t>
  </si>
  <si>
    <t>Brotman Generating LLC (Owner),ProEnergy Services LLC (Operator)</t>
  </si>
  <si>
    <t>Combustion turbine (Started May 05, 2023)</t>
  </si>
  <si>
    <t>Operating (Started 05/05/2023)</t>
  </si>
  <si>
    <t>Combustion turbine (Started Apr 12, 2023)</t>
  </si>
  <si>
    <t>Operating (Started 04/12/2023)</t>
  </si>
  <si>
    <t>Combustion turbine (Started Apr 03, 2023)</t>
  </si>
  <si>
    <t>Operating (Started 04/03/2023)</t>
  </si>
  <si>
    <t>Combustion turbine (Started Mar 17, 2023)</t>
  </si>
  <si>
    <t>Operating (Started 03/17/2023)</t>
  </si>
  <si>
    <t>Combustion turbine (Started Mar 16, 2023)</t>
  </si>
  <si>
    <t>Operating (Started 03/16/2023)</t>
  </si>
  <si>
    <t>Brotman Generating LLC (Owner) (Ended Jan 09, 2023),Brotman II LLC (Owner) (Started Jan 09, 2023),ProEnergy Services LLC (Operator)</t>
  </si>
  <si>
    <t>Combustion turbine (Started Jul 17, 2023)</t>
  </si>
  <si>
    <t>Combustion turbine (Started Aug 02, 2023)</t>
  </si>
  <si>
    <t>Operating (Started 08/02/2023)</t>
  </si>
  <si>
    <t>Hartwell Energy Facility</t>
  </si>
  <si>
    <t>MAG1</t>
  </si>
  <si>
    <t>Hart County</t>
  </si>
  <si>
    <t>GA147</t>
  </si>
  <si>
    <t>MAG1 (185)</t>
  </si>
  <si>
    <t>MAG2</t>
  </si>
  <si>
    <t>MAG2 (185)</t>
  </si>
  <si>
    <t>Operating Time Count</t>
  </si>
  <si>
    <t>Sum of the Operating Time</t>
  </si>
  <si>
    <t>Gross Load (MWh)</t>
  </si>
  <si>
    <t>Steam Load (1000 lb)</t>
  </si>
  <si>
    <t>SO2 Mass (short tons)</t>
  </si>
  <si>
    <t>SO2 Rate (lbs/mmBtu)</t>
  </si>
  <si>
    <t>CO2 Mass (short tons)</t>
  </si>
  <si>
    <t>NOx Mass (short tons)</t>
  </si>
  <si>
    <t>NOx Rate (lbs/mmBtu)</t>
  </si>
  <si>
    <t>Heat Input (mmBtu)</t>
  </si>
  <si>
    <t>Heat Input (MMBtu/h)</t>
  </si>
  <si>
    <t>NOx Emissions Rate 
(lb NOx/MWh-gross)</t>
  </si>
  <si>
    <t>2023 Capacity Factor</t>
  </si>
  <si>
    <t>Combined Cycle</t>
  </si>
  <si>
    <t>Simple Cycle</t>
  </si>
  <si>
    <t>CO2 Rate (short tons/mmBtu)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</si>
</sst>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_);[Red]\(#,##0.000\)"/>
    <numFmt numFmtId="165" formatCode="[$-409]d\-mmm\-yyyy;@"/>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sz val="8"/>
      <color rgb="FF00B05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0" fontId="18" fillId="0" borderId="0" xfId="0" applyFont="1"/>
    <xf numFmtId="16" fontId="18" fillId="0" borderId="0" xfId="0" applyNumberFormat="1" applyFont="1"/>
    <xf numFmtId="14" fontId="18" fillId="0" borderId="0" xfId="0" applyNumberFormat="1" applyFont="1"/>
    <xf numFmtId="0" fontId="18" fillId="0" borderId="0" xfId="0" applyFont="1" applyAlignment="1">
      <alignment wrapText="1"/>
    </xf>
    <xf numFmtId="38" fontId="18" fillId="0" borderId="0" xfId="0" applyNumberFormat="1" applyFont="1"/>
    <xf numFmtId="164" fontId="18" fillId="0" borderId="0" xfId="0" applyNumberFormat="1" applyFont="1"/>
    <xf numFmtId="38" fontId="18" fillId="0" borderId="0" xfId="0" applyNumberFormat="1" applyFont="1" applyAlignment="1">
      <alignment wrapText="1"/>
    </xf>
    <xf numFmtId="0" fontId="18" fillId="33" borderId="0" xfId="0" applyFont="1" applyFill="1" applyAlignment="1">
      <alignment wrapText="1"/>
    </xf>
    <xf numFmtId="0" fontId="18" fillId="33" borderId="0" xfId="0" applyFont="1" applyFill="1"/>
    <xf numFmtId="165" fontId="18" fillId="0" borderId="0" xfId="0" applyNumberFormat="1" applyFont="1"/>
    <xf numFmtId="9" fontId="18" fillId="0" borderId="0" xfId="42" applyFont="1"/>
    <xf numFmtId="0" fontId="18" fillId="34" borderId="0" xfId="0" applyFont="1" applyFill="1"/>
    <xf numFmtId="0" fontId="18" fillId="0" borderId="0" xfId="0" applyFont="1" applyFill="1"/>
    <xf numFmtId="38" fontId="18" fillId="34" borderId="0" xfId="0" applyNumberFormat="1" applyFont="1" applyFill="1"/>
    <xf numFmtId="0" fontId="19" fillId="0" borderId="0" xfId="0" applyFont="1" applyAlignment="1">
      <alignment wrapText="1"/>
    </xf>
    <xf numFmtId="38" fontId="19" fillId="0" borderId="0" xfId="0" applyNumberFormat="1" applyFont="1" applyAlignment="1">
      <alignment wrapText="1"/>
    </xf>
    <xf numFmtId="0" fontId="18" fillId="0" borderId="0" xfId="0" applyNumberFormat="1" applyFont="1"/>
    <xf numFmtId="164" fontId="18" fillId="0" borderId="0" xfId="0" applyNumberFormat="1" applyFont="1" applyAlignment="1">
      <alignment wrapText="1"/>
    </xf>
    <xf numFmtId="0" fontId="19" fillId="0" borderId="0" xfId="0" applyFont="1" applyFill="1" applyAlignment="1">
      <alignment horizontal="center" wrapText="1"/>
    </xf>
    <xf numFmtId="40" fontId="18" fillId="0" borderId="0" xfId="0" applyNumberFormat="1" applyFont="1" applyFill="1" applyAlignment="1">
      <alignment horizontal="center"/>
    </xf>
    <xf numFmtId="0" fontId="18" fillId="0" borderId="0" xfId="0" applyFont="1" applyFill="1" applyAlignment="1">
      <alignment horizontal="center"/>
    </xf>
    <xf numFmtId="40" fontId="18" fillId="0" borderId="0" xfId="0" applyNumberFormat="1" applyFont="1" applyAlignment="1">
      <alignment horizontal="center"/>
    </xf>
    <xf numFmtId="0" fontId="18" fillId="35" borderId="0" xfId="0" applyFont="1" applyFill="1" applyAlignment="1">
      <alignment wrapText="1"/>
    </xf>
    <xf numFmtId="0" fontId="18" fillId="35" borderId="0" xfId="0" applyFont="1" applyFill="1"/>
    <xf numFmtId="9" fontId="18" fillId="0" borderId="0" xfId="42" applyFont="1" applyFill="1" applyAlignment="1">
      <alignment horizontal="center"/>
    </xf>
    <xf numFmtId="9" fontId="18" fillId="34" borderId="0" xfId="42"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microsoft.com/office/2017/10/relationships/person" Target="persons/person.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ustomXml" Target="../customXml/item3.xml"/><Relationship Id="rId5" Type="http://schemas.openxmlformats.org/officeDocument/2006/relationships/sharedStrings" Target="sharedStrings.xml"/><Relationship Id="rId10" Type="http://schemas.openxmlformats.org/officeDocument/2006/relationships/customXml" Target="../customXml/item2.xml"/><Relationship Id="rId4" Type="http://schemas.openxmlformats.org/officeDocument/2006/relationships/styles" Target="styles.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Fellner, Christian" id="{8B9FA27A-CFFE-4E21-8D44-D515B38BF32F}" userId="S::Fellner.Christian@epa.gov::afc1a763-2c7e-412f-9718-71b3dd486fc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F1" dT="2024-06-25T19:25:32.96" personId="{8B9FA27A-CFFE-4E21-8D44-D515B38BF32F}" id="{6A05AD61-CEF2-4E16-921E-B58F3740132C}">
    <text>Add output from steam turbine to combined cycle turbines
Steam turbine should be about 1/2 of the combustion turbine</text>
  </threadedComment>
  <threadedComment ref="AJ6" dT="2024-08-27T14:49:28.04" personId="{8B9FA27A-CFFE-4E21-8D44-D515B38BF32F}" id="{834983D2-8341-409B-A82C-453923E9D57C}">
    <text>"turbine" includes other turbines and combustion turbines</text>
  </threadedComment>
  <threadedComment ref="AJ7" dT="2024-08-27T14:54:52.51" personId="{8B9FA27A-CFFE-4E21-8D44-D515B38BF32F}" id="{6055B2BD-F438-4C0B-AEDB-AC6B8D6CB8DA}">
    <text>Electric Utility
Cogeneration
Industrial Turbine
Small Power Producer</text>
  </threadedComment>
</ThreadedComments>
</file>

<file path=xl/threadedComments/threadedComment2.xml><?xml version="1.0" encoding="utf-8"?>
<ThreadedComments xmlns="http://schemas.microsoft.com/office/spreadsheetml/2018/threadedcomments" xmlns:x="http://schemas.openxmlformats.org/spreadsheetml/2006/main">
  <threadedComment ref="AL6" dT="2024-08-27T14:49:28.04" personId="{8B9FA27A-CFFE-4E21-8D44-D515B38BF32F}" id="{64371D7C-B75C-4B10-9964-8FB6B5ADB294}">
    <text>"turbine" includes other turbines and combustion turbines</text>
  </threadedComment>
  <threadedComment ref="AL7" dT="2024-08-27T14:54:52.51" personId="{8B9FA27A-CFFE-4E21-8D44-D515B38BF32F}" id="{9DDFD394-7C96-420A-9434-69E2E8BAEBB2}">
    <text>Electric Utility
Cogeneration
Industrial Turbine
Small Power Producer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0039-143C-4CFE-B860-0993C211D93A}">
  <dimension ref="A1:AN3768"/>
  <sheetViews>
    <sheetView zoomScaleNormal="100" workbookViewId="0">
      <pane xSplit="4" ySplit="1" topLeftCell="Y2" activePane="bottomRight" state="frozen"/>
      <selection pane="topRight" activeCell="E1" sqref="E1"/>
      <selection pane="bottomLeft" activeCell="A2" sqref="A2"/>
      <selection pane="bottomRight" activeCell="H13" sqref="H13"/>
    </sheetView>
  </sheetViews>
  <sheetFormatPr defaultColWidth="8.88671875" defaultRowHeight="10.199999999999999" x14ac:dyDescent="0.2"/>
  <cols>
    <col min="1" max="1" width="4.44140625" style="1" bestFit="1" customWidth="1"/>
    <col min="2" max="2" width="29.88671875" style="1" bestFit="1" customWidth="1"/>
    <col min="3" max="3" width="7.33203125" style="1" bestFit="1" customWidth="1"/>
    <col min="4" max="4" width="6.33203125" style="1" bestFit="1" customWidth="1"/>
    <col min="5" max="5" width="12.6640625" style="1" bestFit="1" customWidth="1"/>
    <col min="6" max="6" width="4.33203125" style="1" bestFit="1" customWidth="1"/>
    <col min="7" max="7" width="30.6640625" style="1" bestFit="1" customWidth="1"/>
    <col min="8" max="8" width="111" style="1" bestFit="1" customWidth="1"/>
    <col min="9" max="9" width="8" style="1" bestFit="1" customWidth="1"/>
    <col min="10" max="10" width="9" style="1" bestFit="1" customWidth="1"/>
    <col min="11" max="11" width="17.109375" style="1" bestFit="1" customWidth="1"/>
    <col min="12" max="12" width="9.109375" style="1" bestFit="1" customWidth="1"/>
    <col min="13" max="13" width="7.33203125" style="1" bestFit="1" customWidth="1"/>
    <col min="14" max="14" width="15.44140625" style="1" bestFit="1" customWidth="1"/>
    <col min="15" max="15" width="6.6640625" style="1" bestFit="1" customWidth="1"/>
    <col min="16" max="16" width="8" style="1" bestFit="1" customWidth="1"/>
    <col min="17" max="17" width="255.6640625" style="1" bestFit="1" customWidth="1"/>
    <col min="18" max="18" width="7.6640625" style="1" bestFit="1" customWidth="1"/>
    <col min="19" max="19" width="11.5546875" style="1" bestFit="1" customWidth="1"/>
    <col min="20" max="20" width="29.6640625" style="1" bestFit="1" customWidth="1"/>
    <col min="21" max="21" width="14.5546875" style="1" bestFit="1" customWidth="1"/>
    <col min="22" max="22" width="43.33203125" style="1" bestFit="1" customWidth="1"/>
    <col min="23" max="23" width="32.6640625" style="1" bestFit="1" customWidth="1"/>
    <col min="24" max="24" width="93.6640625" style="1" bestFit="1" customWidth="1"/>
    <col min="25" max="25" width="47.88671875" style="1" bestFit="1" customWidth="1"/>
    <col min="26" max="26" width="87.88671875" style="1" bestFit="1" customWidth="1"/>
    <col min="27" max="27" width="19.5546875" style="1" bestFit="1" customWidth="1"/>
    <col min="28" max="28" width="21.88671875" style="1" bestFit="1" customWidth="1"/>
    <col min="29" max="29" width="12.5546875" style="5" bestFit="1" customWidth="1"/>
    <col min="30" max="30" width="44.6640625" style="1" customWidth="1"/>
    <col min="31" max="31" width="13.109375" style="1" customWidth="1"/>
    <col min="32" max="32" width="12.44140625" style="5" customWidth="1"/>
    <col min="33" max="33" width="4.109375" style="1" customWidth="1"/>
    <col min="34" max="34" width="3.5546875" style="9" customWidth="1"/>
    <col min="35" max="35" width="29.88671875" style="1" customWidth="1"/>
    <col min="36" max="37" width="9.44140625" style="1" bestFit="1" customWidth="1"/>
    <col min="38" max="16384" width="8.88671875" style="1"/>
  </cols>
  <sheetData>
    <row r="1" spans="1:40" s="4" customFormat="1" ht="21" customHeight="1"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7" t="s">
        <v>28</v>
      </c>
      <c r="AD1" s="4" t="s">
        <v>29</v>
      </c>
      <c r="AE1" s="15" t="s">
        <v>3</v>
      </c>
      <c r="AF1" s="16" t="s">
        <v>30</v>
      </c>
      <c r="AG1" s="15" t="s">
        <v>31</v>
      </c>
      <c r="AH1" s="8"/>
    </row>
    <row r="2" spans="1:40" x14ac:dyDescent="0.2">
      <c r="A2" s="1" t="s">
        <v>32</v>
      </c>
      <c r="B2" s="1" t="s">
        <v>33</v>
      </c>
      <c r="C2" s="1">
        <v>3</v>
      </c>
      <c r="D2" s="1">
        <v>1</v>
      </c>
      <c r="E2" s="1" t="s">
        <v>34</v>
      </c>
      <c r="F2" s="1">
        <v>2023</v>
      </c>
      <c r="G2" s="1" t="s">
        <v>35</v>
      </c>
      <c r="H2" s="1">
        <v>605449</v>
      </c>
      <c r="I2" s="1">
        <v>4</v>
      </c>
      <c r="J2" s="1" t="s">
        <v>36</v>
      </c>
      <c r="K2" s="1" t="s">
        <v>37</v>
      </c>
      <c r="L2" s="1" t="s">
        <v>38</v>
      </c>
      <c r="M2" s="1">
        <v>97</v>
      </c>
      <c r="N2" s="1" t="s">
        <v>39</v>
      </c>
      <c r="O2" s="1">
        <v>31.006900000000002</v>
      </c>
      <c r="P2" s="1">
        <v>-88.010300000000001</v>
      </c>
      <c r="Q2" s="1" t="s">
        <v>40</v>
      </c>
      <c r="R2" s="1" t="s">
        <v>41</v>
      </c>
      <c r="S2" s="1" t="s">
        <v>42</v>
      </c>
      <c r="T2" s="1" t="s">
        <v>43</v>
      </c>
      <c r="U2" s="1" t="s">
        <v>44</v>
      </c>
      <c r="X2" s="1" t="s">
        <v>45</v>
      </c>
      <c r="AA2" s="3">
        <v>19767</v>
      </c>
      <c r="AB2" s="1" t="s">
        <v>46</v>
      </c>
      <c r="AC2" s="5">
        <v>2322</v>
      </c>
      <c r="AD2" s="1" t="s">
        <v>47</v>
      </c>
      <c r="AE2" s="1" t="str">
        <f>C2&amp;" "&amp;D2</f>
        <v>3 1</v>
      </c>
      <c r="AF2" s="5" t="str">
        <f>MID(AD2,FIND("(",AD2)+1,FIND(")",AD2)-FIND("(",AD2)-1)</f>
        <v>153.1</v>
      </c>
      <c r="AG2" s="1" t="str">
        <f t="shared" ref="AG2:AG65" si="0">IF(ISNUMBER(SEARCH("selective", X2)), "Y", "")</f>
        <v>Y</v>
      </c>
      <c r="AI2" s="1" t="s">
        <v>48</v>
      </c>
      <c r="AJ2" s="10">
        <v>43466</v>
      </c>
      <c r="AK2" s="10">
        <v>43466</v>
      </c>
      <c r="AN2" s="17"/>
    </row>
    <row r="3" spans="1:40" x14ac:dyDescent="0.2">
      <c r="A3" s="1" t="s">
        <v>32</v>
      </c>
      <c r="B3" s="1" t="s">
        <v>33</v>
      </c>
      <c r="C3" s="1">
        <v>3</v>
      </c>
      <c r="D3" s="1">
        <v>2</v>
      </c>
      <c r="E3" s="1" t="s">
        <v>34</v>
      </c>
      <c r="F3" s="1">
        <v>2023</v>
      </c>
      <c r="G3" s="1" t="s">
        <v>35</v>
      </c>
      <c r="H3" s="1">
        <v>605449</v>
      </c>
      <c r="I3" s="1">
        <v>4</v>
      </c>
      <c r="J3" s="1" t="s">
        <v>36</v>
      </c>
      <c r="K3" s="1" t="s">
        <v>37</v>
      </c>
      <c r="L3" s="1" t="s">
        <v>38</v>
      </c>
      <c r="M3" s="1">
        <v>97</v>
      </c>
      <c r="N3" s="1" t="s">
        <v>39</v>
      </c>
      <c r="O3" s="1">
        <v>31.006900000000002</v>
      </c>
      <c r="P3" s="1">
        <v>-88.010300000000001</v>
      </c>
      <c r="Q3" s="1" t="s">
        <v>40</v>
      </c>
      <c r="R3" s="1" t="s">
        <v>41</v>
      </c>
      <c r="S3" s="1" t="s">
        <v>42</v>
      </c>
      <c r="T3" s="1" t="s">
        <v>43</v>
      </c>
      <c r="U3" s="1" t="s">
        <v>44</v>
      </c>
      <c r="X3" s="1" t="s">
        <v>45</v>
      </c>
      <c r="AA3" s="3">
        <v>19917</v>
      </c>
      <c r="AB3" s="1" t="s">
        <v>46</v>
      </c>
      <c r="AC3" s="5">
        <v>2359</v>
      </c>
      <c r="AD3" s="1" t="s">
        <v>49</v>
      </c>
      <c r="AE3" s="1" t="str">
        <f t="shared" ref="AE3:AE66" si="1">C3&amp;" "&amp;D3</f>
        <v>3 2</v>
      </c>
      <c r="AF3" s="5" t="str">
        <f>MID(AD3,FIND("(",AD3)+1,FIND(")",AD3)-FIND("(",AD3)-1)</f>
        <v>153.1</v>
      </c>
      <c r="AG3" s="1" t="str">
        <f t="shared" si="0"/>
        <v>Y</v>
      </c>
      <c r="AI3" s="1" t="s">
        <v>50</v>
      </c>
      <c r="AJ3" s="10">
        <v>45658</v>
      </c>
      <c r="AK3" s="10">
        <v>45658</v>
      </c>
      <c r="AN3" s="17"/>
    </row>
    <row r="4" spans="1:40" x14ac:dyDescent="0.2">
      <c r="A4" s="1" t="s">
        <v>32</v>
      </c>
      <c r="B4" s="1" t="s">
        <v>33</v>
      </c>
      <c r="C4" s="1">
        <v>3</v>
      </c>
      <c r="D4" s="1">
        <v>4</v>
      </c>
      <c r="F4" s="1">
        <v>2023</v>
      </c>
      <c r="G4" s="1" t="s">
        <v>35</v>
      </c>
      <c r="H4" s="1">
        <v>605449</v>
      </c>
      <c r="I4" s="1">
        <v>4</v>
      </c>
      <c r="J4" s="1" t="s">
        <v>36</v>
      </c>
      <c r="K4" s="1" t="s">
        <v>37</v>
      </c>
      <c r="L4" s="1" t="s">
        <v>38</v>
      </c>
      <c r="M4" s="1">
        <v>97</v>
      </c>
      <c r="N4" s="1" t="s">
        <v>39</v>
      </c>
      <c r="O4" s="1">
        <v>31.006900000000002</v>
      </c>
      <c r="P4" s="1">
        <v>-88.010300000000001</v>
      </c>
      <c r="Q4" s="1" t="s">
        <v>40</v>
      </c>
      <c r="R4" s="1" t="s">
        <v>41</v>
      </c>
      <c r="S4" s="1" t="s">
        <v>42</v>
      </c>
      <c r="T4" s="1" t="s">
        <v>43</v>
      </c>
      <c r="U4" s="1" t="s">
        <v>44</v>
      </c>
      <c r="X4" s="1" t="s">
        <v>51</v>
      </c>
      <c r="AA4" s="3">
        <v>25568</v>
      </c>
      <c r="AB4" s="1" t="s">
        <v>46</v>
      </c>
      <c r="AC4" s="5">
        <v>3768</v>
      </c>
      <c r="AD4" s="1" t="s">
        <v>52</v>
      </c>
      <c r="AE4" s="1" t="str">
        <f t="shared" si="1"/>
        <v>3 4</v>
      </c>
      <c r="AF4" s="5" t="str">
        <f>MID(AD4,FIND("(",AD4)+1,FIND(")",AD4)-FIND("(",AD4)-1)</f>
        <v>403.8</v>
      </c>
      <c r="AG4" s="1" t="str">
        <f t="shared" si="0"/>
        <v>Y</v>
      </c>
      <c r="AI4" s="1" t="s">
        <v>53</v>
      </c>
      <c r="AJ4" s="5">
        <v>250</v>
      </c>
      <c r="AK4" s="5">
        <v>100</v>
      </c>
      <c r="AN4" s="17"/>
    </row>
    <row r="5" spans="1:40" x14ac:dyDescent="0.2">
      <c r="A5" s="1" t="s">
        <v>32</v>
      </c>
      <c r="B5" s="1" t="s">
        <v>33</v>
      </c>
      <c r="C5" s="1">
        <v>3</v>
      </c>
      <c r="D5" s="1">
        <v>5</v>
      </c>
      <c r="F5" s="1">
        <v>2023</v>
      </c>
      <c r="G5" s="1" t="s">
        <v>54</v>
      </c>
      <c r="H5" s="1">
        <v>605449</v>
      </c>
      <c r="I5" s="1">
        <v>4</v>
      </c>
      <c r="J5" s="1" t="s">
        <v>36</v>
      </c>
      <c r="K5" s="1" t="s">
        <v>37</v>
      </c>
      <c r="L5" s="1" t="s">
        <v>38</v>
      </c>
      <c r="M5" s="1">
        <v>97</v>
      </c>
      <c r="N5" s="1" t="s">
        <v>39</v>
      </c>
      <c r="O5" s="1">
        <v>31.006900000000002</v>
      </c>
      <c r="P5" s="1">
        <v>-88.010300000000001</v>
      </c>
      <c r="Q5" s="1" t="s">
        <v>40</v>
      </c>
      <c r="R5" s="1" t="s">
        <v>41</v>
      </c>
      <c r="S5" s="1" t="s">
        <v>42</v>
      </c>
      <c r="T5" s="1" t="s">
        <v>43</v>
      </c>
      <c r="U5" s="1" t="s">
        <v>55</v>
      </c>
      <c r="V5" s="1" t="s">
        <v>44</v>
      </c>
      <c r="W5" s="1" t="s">
        <v>56</v>
      </c>
      <c r="X5" s="1" t="s">
        <v>57</v>
      </c>
      <c r="Y5" s="1" t="s">
        <v>58</v>
      </c>
      <c r="Z5" s="1" t="s">
        <v>59</v>
      </c>
      <c r="AA5" s="3">
        <v>26225</v>
      </c>
      <c r="AB5" s="1" t="s">
        <v>46</v>
      </c>
      <c r="AC5" s="5">
        <v>11057</v>
      </c>
      <c r="AD5" s="1" t="s">
        <v>60</v>
      </c>
      <c r="AE5" s="1" t="str">
        <f t="shared" si="1"/>
        <v>3 5</v>
      </c>
      <c r="AF5" s="5" t="str">
        <f>MID(AD5,FIND("(",AD5)+1,FIND(")",AD5)-FIND("(",AD5)-1)</f>
        <v>788.8</v>
      </c>
      <c r="AG5" s="1" t="str">
        <f t="shared" si="0"/>
        <v>Y</v>
      </c>
      <c r="AI5" s="1" t="s">
        <v>61</v>
      </c>
      <c r="AJ5" s="5">
        <v>850</v>
      </c>
      <c r="AK5" s="5">
        <v>11000</v>
      </c>
      <c r="AN5" s="17"/>
    </row>
    <row r="6" spans="1:40" x14ac:dyDescent="0.2">
      <c r="A6" s="1" t="s">
        <v>32</v>
      </c>
      <c r="B6" s="1" t="s">
        <v>33</v>
      </c>
      <c r="C6" s="1">
        <v>3</v>
      </c>
      <c r="D6" s="1">
        <v>8</v>
      </c>
      <c r="F6" s="1">
        <v>2023</v>
      </c>
      <c r="G6" s="1" t="s">
        <v>62</v>
      </c>
      <c r="H6" s="1">
        <v>605449</v>
      </c>
      <c r="I6" s="1">
        <v>4</v>
      </c>
      <c r="J6" s="1" t="s">
        <v>36</v>
      </c>
      <c r="K6" s="1" t="s">
        <v>37</v>
      </c>
      <c r="L6" s="1" t="s">
        <v>38</v>
      </c>
      <c r="M6" s="1">
        <v>97</v>
      </c>
      <c r="N6" s="1" t="s">
        <v>39</v>
      </c>
      <c r="O6" s="1">
        <v>31.006900000000002</v>
      </c>
      <c r="P6" s="1">
        <v>-88.010300000000001</v>
      </c>
      <c r="Q6" s="1" t="s">
        <v>40</v>
      </c>
      <c r="R6" s="1" t="s">
        <v>41</v>
      </c>
      <c r="T6" s="1" t="s">
        <v>63</v>
      </c>
      <c r="U6" s="1" t="s">
        <v>44</v>
      </c>
      <c r="X6" s="1" t="s">
        <v>64</v>
      </c>
      <c r="AA6" s="3">
        <v>45124</v>
      </c>
      <c r="AB6" s="1" t="s">
        <v>65</v>
      </c>
      <c r="AC6" s="5">
        <v>4771</v>
      </c>
      <c r="AD6" s="1" t="s">
        <v>66</v>
      </c>
      <c r="AE6" s="1" t="str">
        <f t="shared" si="1"/>
        <v>3 8</v>
      </c>
      <c r="AF6" s="14">
        <f>MID(AD6,FIND("(",AD6)+1,FIND(")",AD6)-FIND("(",AD6)-1)+305.1</f>
        <v>762.1</v>
      </c>
      <c r="AG6" s="1" t="str">
        <f t="shared" si="0"/>
        <v>Y</v>
      </c>
      <c r="AI6" s="1" t="s">
        <v>67</v>
      </c>
      <c r="AJ6" s="1" t="s">
        <v>68</v>
      </c>
      <c r="AK6" s="1" t="s">
        <v>69</v>
      </c>
    </row>
    <row r="7" spans="1:40" x14ac:dyDescent="0.2">
      <c r="A7" s="1" t="s">
        <v>32</v>
      </c>
      <c r="B7" s="1" t="s">
        <v>33</v>
      </c>
      <c r="C7" s="1">
        <v>3</v>
      </c>
      <c r="D7" s="1" t="s">
        <v>70</v>
      </c>
      <c r="F7" s="1">
        <v>2023</v>
      </c>
      <c r="G7" s="1" t="s">
        <v>35</v>
      </c>
      <c r="H7" s="1">
        <v>605449</v>
      </c>
      <c r="I7" s="1">
        <v>4</v>
      </c>
      <c r="J7" s="1" t="s">
        <v>36</v>
      </c>
      <c r="K7" s="1" t="s">
        <v>37</v>
      </c>
      <c r="L7" s="1" t="s">
        <v>38</v>
      </c>
      <c r="M7" s="1">
        <v>97</v>
      </c>
      <c r="N7" s="1" t="s">
        <v>39</v>
      </c>
      <c r="O7" s="1">
        <v>31.006900000000002</v>
      </c>
      <c r="P7" s="1">
        <v>-88.010300000000001</v>
      </c>
      <c r="Q7" s="1" t="s">
        <v>40</v>
      </c>
      <c r="R7" s="1" t="s">
        <v>41</v>
      </c>
      <c r="T7" s="1" t="s">
        <v>71</v>
      </c>
      <c r="U7" s="1" t="s">
        <v>44</v>
      </c>
      <c r="X7" s="1" t="s">
        <v>64</v>
      </c>
      <c r="AA7" s="3">
        <v>36599</v>
      </c>
      <c r="AB7" s="1" t="s">
        <v>46</v>
      </c>
      <c r="AC7" s="5">
        <v>3000</v>
      </c>
      <c r="AD7" s="1" t="s">
        <v>72</v>
      </c>
      <c r="AE7" s="1" t="str">
        <f t="shared" si="1"/>
        <v>3 6A</v>
      </c>
      <c r="AF7" s="14">
        <f>MID(AD7,FIND("(",AD7)+1,FIND(")",AD7)-FIND("(",AD7)-1)+191.8/2</f>
        <v>266</v>
      </c>
      <c r="AG7" s="1" t="str">
        <f t="shared" si="0"/>
        <v>Y</v>
      </c>
      <c r="AI7" s="1" t="s">
        <v>13</v>
      </c>
      <c r="AJ7" s="1" t="s">
        <v>39</v>
      </c>
      <c r="AK7" s="1" t="str">
        <f>AJ7</f>
        <v>Electric Utility</v>
      </c>
    </row>
    <row r="8" spans="1:40" x14ac:dyDescent="0.2">
      <c r="A8" s="1" t="s">
        <v>32</v>
      </c>
      <c r="B8" s="1" t="s">
        <v>33</v>
      </c>
      <c r="C8" s="1">
        <v>3</v>
      </c>
      <c r="D8" s="1" t="s">
        <v>73</v>
      </c>
      <c r="F8" s="1">
        <v>2023</v>
      </c>
      <c r="G8" s="1" t="s">
        <v>35</v>
      </c>
      <c r="H8" s="1">
        <v>605449</v>
      </c>
      <c r="I8" s="1">
        <v>4</v>
      </c>
      <c r="J8" s="1" t="s">
        <v>36</v>
      </c>
      <c r="K8" s="1" t="s">
        <v>37</v>
      </c>
      <c r="L8" s="1" t="s">
        <v>38</v>
      </c>
      <c r="M8" s="1">
        <v>97</v>
      </c>
      <c r="N8" s="1" t="s">
        <v>39</v>
      </c>
      <c r="O8" s="1">
        <v>31.006900000000002</v>
      </c>
      <c r="P8" s="1">
        <v>-88.010300000000001</v>
      </c>
      <c r="Q8" s="1" t="s">
        <v>40</v>
      </c>
      <c r="R8" s="1" t="s">
        <v>41</v>
      </c>
      <c r="T8" s="1" t="s">
        <v>71</v>
      </c>
      <c r="U8" s="1" t="s">
        <v>44</v>
      </c>
      <c r="X8" s="1" t="s">
        <v>64</v>
      </c>
      <c r="AA8" s="3">
        <v>36606</v>
      </c>
      <c r="AB8" s="1" t="s">
        <v>46</v>
      </c>
      <c r="AC8" s="5">
        <v>3000</v>
      </c>
      <c r="AD8" s="1" t="s">
        <v>74</v>
      </c>
      <c r="AE8" s="1" t="str">
        <f t="shared" si="1"/>
        <v>3 6B</v>
      </c>
      <c r="AF8" s="14">
        <f>AF7</f>
        <v>266</v>
      </c>
      <c r="AG8" s="1" t="str">
        <f t="shared" si="0"/>
        <v>Y</v>
      </c>
    </row>
    <row r="9" spans="1:40" x14ac:dyDescent="0.2">
      <c r="A9" s="1" t="s">
        <v>32</v>
      </c>
      <c r="B9" s="1" t="s">
        <v>33</v>
      </c>
      <c r="C9" s="1">
        <v>3</v>
      </c>
      <c r="D9" s="1" t="s">
        <v>75</v>
      </c>
      <c r="F9" s="1">
        <v>2023</v>
      </c>
      <c r="G9" s="1" t="s">
        <v>35</v>
      </c>
      <c r="H9" s="1">
        <v>605449</v>
      </c>
      <c r="I9" s="1">
        <v>4</v>
      </c>
      <c r="J9" s="1" t="s">
        <v>36</v>
      </c>
      <c r="K9" s="1" t="s">
        <v>37</v>
      </c>
      <c r="L9" s="1" t="s">
        <v>38</v>
      </c>
      <c r="M9" s="1">
        <v>97</v>
      </c>
      <c r="N9" s="1" t="s">
        <v>39</v>
      </c>
      <c r="O9" s="1">
        <v>31.006900000000002</v>
      </c>
      <c r="P9" s="1">
        <v>-88.010300000000001</v>
      </c>
      <c r="Q9" s="1" t="s">
        <v>40</v>
      </c>
      <c r="R9" s="1" t="s">
        <v>41</v>
      </c>
      <c r="T9" s="1" t="s">
        <v>71</v>
      </c>
      <c r="U9" s="1" t="s">
        <v>44</v>
      </c>
      <c r="X9" s="1" t="s">
        <v>64</v>
      </c>
      <c r="AA9" s="3">
        <v>36904</v>
      </c>
      <c r="AB9" s="1" t="s">
        <v>46</v>
      </c>
      <c r="AC9" s="5">
        <v>3000</v>
      </c>
      <c r="AD9" s="1" t="s">
        <v>76</v>
      </c>
      <c r="AE9" s="1" t="str">
        <f t="shared" si="1"/>
        <v>3 7A</v>
      </c>
      <c r="AF9" s="14">
        <f>MID(AD9,FIND("(",AD9)+1,FIND(")",AD9)-FIND("(",AD9)-1)+191.8/2</f>
        <v>266</v>
      </c>
      <c r="AG9" s="1" t="str">
        <f t="shared" si="0"/>
        <v>Y</v>
      </c>
      <c r="AI9" s="1" t="s">
        <v>77</v>
      </c>
      <c r="AJ9" s="13">
        <f>COUNTIFS(AA:AA,"&gt;="&amp;AJ2,AA:AA,"&lt;="&amp;AJ3,AC:AC,"&gt;="&amp;AJ4,AC:AC,"&lt;="&amp;AJ5,T:T,"="&amp;"*turbine*")</f>
        <v>67</v>
      </c>
      <c r="AK9" s="13">
        <f>COUNTIFS(AA:AA,"&gt;="&amp;AK2,AA:AA,"&lt;="&amp;AK3,AC:AC,"&gt;="&amp;AK4,AC:AC,"&lt;="&amp;AK5,T:T,"="&amp;"*Combined*")</f>
        <v>53</v>
      </c>
    </row>
    <row r="10" spans="1:40" x14ac:dyDescent="0.2">
      <c r="A10" s="1" t="s">
        <v>32</v>
      </c>
      <c r="B10" s="1" t="s">
        <v>33</v>
      </c>
      <c r="C10" s="1">
        <v>3</v>
      </c>
      <c r="D10" s="1" t="s">
        <v>78</v>
      </c>
      <c r="F10" s="1">
        <v>2023</v>
      </c>
      <c r="G10" s="1" t="s">
        <v>35</v>
      </c>
      <c r="H10" s="1">
        <v>605449</v>
      </c>
      <c r="I10" s="1">
        <v>4</v>
      </c>
      <c r="J10" s="1" t="s">
        <v>36</v>
      </c>
      <c r="K10" s="1" t="s">
        <v>37</v>
      </c>
      <c r="L10" s="1" t="s">
        <v>38</v>
      </c>
      <c r="M10" s="1">
        <v>97</v>
      </c>
      <c r="N10" s="1" t="s">
        <v>39</v>
      </c>
      <c r="O10" s="1">
        <v>31.006900000000002</v>
      </c>
      <c r="P10" s="1">
        <v>-88.010300000000001</v>
      </c>
      <c r="Q10" s="1" t="s">
        <v>40</v>
      </c>
      <c r="R10" s="1" t="s">
        <v>41</v>
      </c>
      <c r="T10" s="1" t="s">
        <v>71</v>
      </c>
      <c r="U10" s="1" t="s">
        <v>44</v>
      </c>
      <c r="X10" s="1" t="s">
        <v>64</v>
      </c>
      <c r="AA10" s="3">
        <v>36909</v>
      </c>
      <c r="AB10" s="1" t="s">
        <v>46</v>
      </c>
      <c r="AC10" s="5">
        <v>3000</v>
      </c>
      <c r="AD10" s="1" t="s">
        <v>79</v>
      </c>
      <c r="AE10" s="1" t="str">
        <f t="shared" si="1"/>
        <v>3 7B</v>
      </c>
      <c r="AF10" s="14">
        <f>AF9</f>
        <v>266</v>
      </c>
      <c r="AG10" s="1" t="str">
        <f t="shared" si="0"/>
        <v>Y</v>
      </c>
      <c r="AI10" s="1" t="s">
        <v>80</v>
      </c>
      <c r="AJ10" s="13">
        <f>COUNTIFS(AA:AA,"&gt;="&amp;AJ2,AA:AA,"&lt;="&amp;AJ3,AC:AC,"&gt;="&amp;AJ4,AC:AC,"&lt;="&amp;AJ5,T:T,"="&amp;"*turbine*",X:X,"="&amp;"*Selective*")</f>
        <v>59</v>
      </c>
      <c r="AK10" s="13">
        <f>COUNTIFS(AA:AA,"&gt;="&amp;AK2,AA:AA,"&lt;="&amp;AK3,AC:AC,"&gt;="&amp;AK4,AC:AC,"&lt;="&amp;AK5,T:T,"="&amp;"*Combined*",X:X,"="&amp;"*Selective*")</f>
        <v>53</v>
      </c>
    </row>
    <row r="11" spans="1:40" x14ac:dyDescent="0.2">
      <c r="A11" s="1" t="s">
        <v>32</v>
      </c>
      <c r="B11" s="1" t="s">
        <v>81</v>
      </c>
      <c r="C11" s="1">
        <v>10</v>
      </c>
      <c r="D11" s="1">
        <v>1</v>
      </c>
      <c r="E11" s="1" t="s">
        <v>82</v>
      </c>
      <c r="F11" s="1">
        <v>2023</v>
      </c>
      <c r="G11" s="1" t="s">
        <v>35</v>
      </c>
      <c r="H11" s="1">
        <v>605449</v>
      </c>
      <c r="I11" s="1">
        <v>4</v>
      </c>
      <c r="J11" s="1" t="s">
        <v>36</v>
      </c>
      <c r="K11" s="1" t="s">
        <v>81</v>
      </c>
      <c r="L11" s="1" t="s">
        <v>83</v>
      </c>
      <c r="M11" s="1">
        <v>63</v>
      </c>
      <c r="N11" s="1" t="s">
        <v>39</v>
      </c>
      <c r="O11" s="1">
        <v>32.601700000000001</v>
      </c>
      <c r="P11" s="1">
        <v>-87.781099999999995</v>
      </c>
      <c r="Q11" s="1" t="s">
        <v>84</v>
      </c>
      <c r="R11" s="1" t="s">
        <v>41</v>
      </c>
      <c r="S11" s="1" t="s">
        <v>85</v>
      </c>
      <c r="T11" s="1" t="s">
        <v>86</v>
      </c>
      <c r="U11" s="1" t="s">
        <v>44</v>
      </c>
      <c r="X11" s="1" t="s">
        <v>87</v>
      </c>
      <c r="AA11" s="3">
        <v>23904</v>
      </c>
      <c r="AB11" s="1" t="s">
        <v>46</v>
      </c>
      <c r="AC11" s="5">
        <v>3386</v>
      </c>
      <c r="AD11" s="1" t="s">
        <v>88</v>
      </c>
      <c r="AE11" s="1" t="str">
        <f t="shared" si="1"/>
        <v>10 1</v>
      </c>
      <c r="AF11" s="5" t="str">
        <f t="shared" ref="AF11:AF46" si="2">MID(AD11,FIND("(",AD11)+1,FIND(")",AD11)-FIND("(",AD11)-1)</f>
        <v>299.2</v>
      </c>
      <c r="AG11" s="1" t="str">
        <f t="shared" si="0"/>
        <v/>
      </c>
      <c r="AJ11" s="11">
        <f>AJ10/AJ9</f>
        <v>0.88059701492537312</v>
      </c>
      <c r="AK11" s="11">
        <f>AK10/AK9</f>
        <v>1</v>
      </c>
    </row>
    <row r="12" spans="1:40" x14ac:dyDescent="0.2">
      <c r="A12" s="1" t="s">
        <v>32</v>
      </c>
      <c r="B12" s="1" t="s">
        <v>81</v>
      </c>
      <c r="C12" s="1">
        <v>10</v>
      </c>
      <c r="D12" s="1">
        <v>2</v>
      </c>
      <c r="E12" s="1" t="s">
        <v>82</v>
      </c>
      <c r="F12" s="1">
        <v>2023</v>
      </c>
      <c r="G12" s="1" t="s">
        <v>35</v>
      </c>
      <c r="H12" s="1">
        <v>605449</v>
      </c>
      <c r="I12" s="1">
        <v>4</v>
      </c>
      <c r="J12" s="1" t="s">
        <v>36</v>
      </c>
      <c r="K12" s="1" t="s">
        <v>81</v>
      </c>
      <c r="L12" s="1" t="s">
        <v>83</v>
      </c>
      <c r="M12" s="1">
        <v>63</v>
      </c>
      <c r="N12" s="1" t="s">
        <v>39</v>
      </c>
      <c r="O12" s="1">
        <v>32.601700000000001</v>
      </c>
      <c r="P12" s="1">
        <v>-87.781099999999995</v>
      </c>
      <c r="Q12" s="1" t="s">
        <v>84</v>
      </c>
      <c r="R12" s="1" t="s">
        <v>41</v>
      </c>
      <c r="S12" s="1" t="s">
        <v>42</v>
      </c>
      <c r="T12" s="1" t="s">
        <v>89</v>
      </c>
      <c r="U12" s="1" t="s">
        <v>44</v>
      </c>
      <c r="X12" s="1" t="s">
        <v>90</v>
      </c>
      <c r="AA12" s="3">
        <v>24318</v>
      </c>
      <c r="AB12" s="1" t="s">
        <v>46</v>
      </c>
      <c r="AC12" s="5">
        <v>3334</v>
      </c>
      <c r="AD12" s="1" t="s">
        <v>91</v>
      </c>
      <c r="AE12" s="1" t="str">
        <f t="shared" si="1"/>
        <v>10 2</v>
      </c>
      <c r="AF12" s="5" t="str">
        <f t="shared" si="2"/>
        <v>269.3</v>
      </c>
      <c r="AG12" s="1" t="str">
        <f t="shared" si="0"/>
        <v/>
      </c>
    </row>
    <row r="13" spans="1:40" x14ac:dyDescent="0.2">
      <c r="A13" s="1" t="s">
        <v>32</v>
      </c>
      <c r="B13" s="1" t="s">
        <v>81</v>
      </c>
      <c r="C13" s="1">
        <v>10</v>
      </c>
      <c r="D13" s="1" t="s">
        <v>92</v>
      </c>
      <c r="F13" s="1">
        <v>2023</v>
      </c>
      <c r="G13" s="1" t="s">
        <v>35</v>
      </c>
      <c r="H13" s="1">
        <v>605449</v>
      </c>
      <c r="I13" s="1">
        <v>4</v>
      </c>
      <c r="J13" s="1" t="s">
        <v>36</v>
      </c>
      <c r="K13" s="1" t="s">
        <v>81</v>
      </c>
      <c r="L13" s="1" t="s">
        <v>83</v>
      </c>
      <c r="M13" s="1">
        <v>63</v>
      </c>
      <c r="N13" s="1" t="s">
        <v>39</v>
      </c>
      <c r="O13" s="1">
        <v>32.601700000000001</v>
      </c>
      <c r="P13" s="1">
        <v>-87.781099999999995</v>
      </c>
      <c r="Q13" s="1" t="s">
        <v>40</v>
      </c>
      <c r="R13" s="1" t="s">
        <v>41</v>
      </c>
      <c r="T13" s="1" t="s">
        <v>93</v>
      </c>
      <c r="U13" s="1" t="s">
        <v>44</v>
      </c>
      <c r="V13" s="1" t="s">
        <v>94</v>
      </c>
      <c r="X13" s="1" t="s">
        <v>95</v>
      </c>
      <c r="AA13" s="3">
        <v>35214</v>
      </c>
      <c r="AB13" s="1" t="s">
        <v>46</v>
      </c>
      <c r="AC13" s="5">
        <v>1294</v>
      </c>
      <c r="AD13" s="1" t="s">
        <v>96</v>
      </c>
      <c r="AE13" s="1" t="str">
        <f t="shared" si="1"/>
        <v>10 CT10</v>
      </c>
      <c r="AF13" s="5" t="str">
        <f t="shared" si="2"/>
        <v>80</v>
      </c>
      <c r="AG13" s="1" t="str">
        <f t="shared" si="0"/>
        <v/>
      </c>
      <c r="AI13" s="1" t="s">
        <v>97</v>
      </c>
      <c r="AJ13" s="5">
        <f>COUNTIFS(AA:AA,"&gt;="&amp;AJ2,AA:AA,"&lt;="&amp;AJ3,AC:AC,"&gt;="&amp;AJ4,AC:AC,"&lt;="&amp;AJ5,N:N,"="&amp;AJ7,T:T,"="&amp;"*turbine*")</f>
        <v>67</v>
      </c>
      <c r="AK13" s="5">
        <f>COUNTIFS(AA:AA,"&gt;="&amp;AK2,AA:AA,"&lt;="&amp;AK3,AC:AC,"&gt;="&amp;AK4,AC:AC,"&lt;="&amp;AK5,N:N,"="&amp;AK7,T:T,"="&amp;"*Combined*")</f>
        <v>50</v>
      </c>
    </row>
    <row r="14" spans="1:40" x14ac:dyDescent="0.2">
      <c r="A14" s="1" t="s">
        <v>32</v>
      </c>
      <c r="B14" s="1" t="s">
        <v>81</v>
      </c>
      <c r="C14" s="1">
        <v>10</v>
      </c>
      <c r="D14" s="1" t="s">
        <v>98</v>
      </c>
      <c r="F14" s="1">
        <v>2023</v>
      </c>
      <c r="G14" s="1" t="s">
        <v>35</v>
      </c>
      <c r="H14" s="1">
        <v>605449</v>
      </c>
      <c r="I14" s="1">
        <v>4</v>
      </c>
      <c r="J14" s="1" t="s">
        <v>36</v>
      </c>
      <c r="K14" s="1" t="s">
        <v>81</v>
      </c>
      <c r="L14" s="1" t="s">
        <v>83</v>
      </c>
      <c r="M14" s="1">
        <v>63</v>
      </c>
      <c r="N14" s="1" t="s">
        <v>39</v>
      </c>
      <c r="O14" s="1">
        <v>32.601700000000001</v>
      </c>
      <c r="P14" s="1">
        <v>-87.781099999999995</v>
      </c>
      <c r="Q14" s="1" t="s">
        <v>40</v>
      </c>
      <c r="R14" s="1" t="s">
        <v>41</v>
      </c>
      <c r="T14" s="1" t="s">
        <v>93</v>
      </c>
      <c r="U14" s="1" t="s">
        <v>44</v>
      </c>
      <c r="V14" s="1" t="s">
        <v>94</v>
      </c>
      <c r="X14" s="1" t="s">
        <v>95</v>
      </c>
      <c r="AA14" s="3">
        <v>35214</v>
      </c>
      <c r="AB14" s="1" t="s">
        <v>46</v>
      </c>
      <c r="AC14" s="5">
        <v>1375</v>
      </c>
      <c r="AD14" s="1" t="s">
        <v>99</v>
      </c>
      <c r="AE14" s="1" t="str">
        <f t="shared" si="1"/>
        <v>10 CT2</v>
      </c>
      <c r="AF14" s="5" t="str">
        <f t="shared" si="2"/>
        <v>80</v>
      </c>
      <c r="AG14" s="1" t="str">
        <f t="shared" si="0"/>
        <v/>
      </c>
      <c r="AI14" s="1" t="s">
        <v>100</v>
      </c>
      <c r="AJ14" s="5">
        <f>COUNTIFS(AA:AA,"&gt;="&amp;AJ2,AA:AA,"&lt;="&amp;AJ3,AC:AC,"&gt;="&amp;AJ4,AC:AC,"&lt;="&amp;AJ5,N:N,"="&amp;AJ7,T:T,"="&amp;"*turbine*",AG:AG,"="&amp;"Y")</f>
        <v>59</v>
      </c>
      <c r="AK14" s="5">
        <f>COUNTIFS(AA:AA,"&gt;="&amp;AK2,AA:AA,"&lt;="&amp;AK3,AC:AC,"&gt;="&amp;AK4,AC:AC,"&lt;="&amp;AK5,N:N,"="&amp;AK7,T:T,"="&amp;"*Combined*",AG:AG,"="&amp;"Y")</f>
        <v>50</v>
      </c>
    </row>
    <row r="15" spans="1:40" x14ac:dyDescent="0.2">
      <c r="A15" s="1" t="s">
        <v>32</v>
      </c>
      <c r="B15" s="1" t="s">
        <v>81</v>
      </c>
      <c r="C15" s="1">
        <v>10</v>
      </c>
      <c r="D15" s="1" t="s">
        <v>101</v>
      </c>
      <c r="F15" s="1">
        <v>2023</v>
      </c>
      <c r="G15" s="1" t="s">
        <v>35</v>
      </c>
      <c r="H15" s="1">
        <v>605449</v>
      </c>
      <c r="I15" s="1">
        <v>4</v>
      </c>
      <c r="J15" s="1" t="s">
        <v>36</v>
      </c>
      <c r="K15" s="1" t="s">
        <v>81</v>
      </c>
      <c r="L15" s="1" t="s">
        <v>83</v>
      </c>
      <c r="M15" s="1">
        <v>63</v>
      </c>
      <c r="N15" s="1" t="s">
        <v>39</v>
      </c>
      <c r="O15" s="1">
        <v>32.601700000000001</v>
      </c>
      <c r="P15" s="1">
        <v>-87.781099999999995</v>
      </c>
      <c r="Q15" s="1" t="s">
        <v>40</v>
      </c>
      <c r="R15" s="1" t="s">
        <v>41</v>
      </c>
      <c r="T15" s="1" t="s">
        <v>93</v>
      </c>
      <c r="U15" s="1" t="s">
        <v>44</v>
      </c>
      <c r="V15" s="1" t="s">
        <v>94</v>
      </c>
      <c r="X15" s="1" t="s">
        <v>95</v>
      </c>
      <c r="AA15" s="3">
        <v>34848</v>
      </c>
      <c r="AB15" s="1" t="s">
        <v>46</v>
      </c>
      <c r="AC15" s="5">
        <v>1307.2</v>
      </c>
      <c r="AD15" s="1" t="s">
        <v>102</v>
      </c>
      <c r="AE15" s="1" t="str">
        <f t="shared" si="1"/>
        <v>10 CT3</v>
      </c>
      <c r="AF15" s="5" t="str">
        <f t="shared" si="2"/>
        <v>80</v>
      </c>
      <c r="AG15" s="1" t="str">
        <f t="shared" si="0"/>
        <v/>
      </c>
      <c r="AJ15" s="11">
        <f>AJ14/AJ13</f>
        <v>0.88059701492537312</v>
      </c>
      <c r="AK15" s="11">
        <f>AK14/AK13</f>
        <v>1</v>
      </c>
    </row>
    <row r="16" spans="1:40" x14ac:dyDescent="0.2">
      <c r="A16" s="1" t="s">
        <v>32</v>
      </c>
      <c r="B16" s="1" t="s">
        <v>81</v>
      </c>
      <c r="C16" s="1">
        <v>10</v>
      </c>
      <c r="D16" s="1" t="s">
        <v>103</v>
      </c>
      <c r="F16" s="1">
        <v>2023</v>
      </c>
      <c r="G16" s="1" t="s">
        <v>35</v>
      </c>
      <c r="H16" s="1">
        <v>605449</v>
      </c>
      <c r="I16" s="1">
        <v>4</v>
      </c>
      <c r="J16" s="1" t="s">
        <v>36</v>
      </c>
      <c r="K16" s="1" t="s">
        <v>81</v>
      </c>
      <c r="L16" s="1" t="s">
        <v>83</v>
      </c>
      <c r="M16" s="1">
        <v>63</v>
      </c>
      <c r="N16" s="1" t="s">
        <v>39</v>
      </c>
      <c r="O16" s="1">
        <v>32.601700000000001</v>
      </c>
      <c r="P16" s="1">
        <v>-87.781099999999995</v>
      </c>
      <c r="Q16" s="1" t="s">
        <v>40</v>
      </c>
      <c r="R16" s="1" t="s">
        <v>41</v>
      </c>
      <c r="T16" s="1" t="s">
        <v>93</v>
      </c>
      <c r="U16" s="1" t="s">
        <v>44</v>
      </c>
      <c r="V16" s="1" t="s">
        <v>94</v>
      </c>
      <c r="X16" s="1" t="s">
        <v>95</v>
      </c>
      <c r="AA16" s="3">
        <v>34848</v>
      </c>
      <c r="AB16" s="1" t="s">
        <v>46</v>
      </c>
      <c r="AC16" s="5">
        <v>1294</v>
      </c>
      <c r="AD16" s="1" t="s">
        <v>104</v>
      </c>
      <c r="AE16" s="1" t="str">
        <f t="shared" si="1"/>
        <v>10 CT4</v>
      </c>
      <c r="AF16" s="5" t="str">
        <f t="shared" si="2"/>
        <v>80</v>
      </c>
      <c r="AG16" s="1" t="str">
        <f t="shared" si="0"/>
        <v/>
      </c>
    </row>
    <row r="17" spans="1:33" x14ac:dyDescent="0.2">
      <c r="A17" s="1" t="s">
        <v>32</v>
      </c>
      <c r="B17" s="1" t="s">
        <v>81</v>
      </c>
      <c r="C17" s="1">
        <v>10</v>
      </c>
      <c r="D17" s="1" t="s">
        <v>105</v>
      </c>
      <c r="F17" s="1">
        <v>2023</v>
      </c>
      <c r="G17" s="1" t="s">
        <v>35</v>
      </c>
      <c r="H17" s="1">
        <v>605449</v>
      </c>
      <c r="I17" s="1">
        <v>4</v>
      </c>
      <c r="J17" s="1" t="s">
        <v>36</v>
      </c>
      <c r="K17" s="1" t="s">
        <v>81</v>
      </c>
      <c r="L17" s="1" t="s">
        <v>83</v>
      </c>
      <c r="M17" s="1">
        <v>63</v>
      </c>
      <c r="N17" s="1" t="s">
        <v>39</v>
      </c>
      <c r="O17" s="1">
        <v>32.601700000000001</v>
      </c>
      <c r="P17" s="1">
        <v>-87.781099999999995</v>
      </c>
      <c r="Q17" s="1" t="s">
        <v>40</v>
      </c>
      <c r="R17" s="1" t="s">
        <v>41</v>
      </c>
      <c r="T17" s="1" t="s">
        <v>93</v>
      </c>
      <c r="U17" s="1" t="s">
        <v>44</v>
      </c>
      <c r="V17" s="1" t="s">
        <v>94</v>
      </c>
      <c r="X17" s="1" t="s">
        <v>95</v>
      </c>
      <c r="AA17" s="3">
        <v>34848</v>
      </c>
      <c r="AB17" s="1" t="s">
        <v>46</v>
      </c>
      <c r="AC17" s="5">
        <v>1294</v>
      </c>
      <c r="AD17" s="1" t="s">
        <v>106</v>
      </c>
      <c r="AE17" s="1" t="str">
        <f t="shared" si="1"/>
        <v>10 CT5</v>
      </c>
      <c r="AF17" s="5" t="str">
        <f t="shared" si="2"/>
        <v>80</v>
      </c>
      <c r="AG17" s="1" t="str">
        <f t="shared" si="0"/>
        <v/>
      </c>
    </row>
    <row r="18" spans="1:33" x14ac:dyDescent="0.2">
      <c r="A18" s="1" t="s">
        <v>32</v>
      </c>
      <c r="B18" s="1" t="s">
        <v>81</v>
      </c>
      <c r="C18" s="1">
        <v>10</v>
      </c>
      <c r="D18" s="1" t="s">
        <v>107</v>
      </c>
      <c r="F18" s="1">
        <v>2023</v>
      </c>
      <c r="G18" s="1" t="s">
        <v>35</v>
      </c>
      <c r="H18" s="1">
        <v>605449</v>
      </c>
      <c r="I18" s="1">
        <v>4</v>
      </c>
      <c r="J18" s="1" t="s">
        <v>36</v>
      </c>
      <c r="K18" s="1" t="s">
        <v>81</v>
      </c>
      <c r="L18" s="1" t="s">
        <v>83</v>
      </c>
      <c r="M18" s="1">
        <v>63</v>
      </c>
      <c r="N18" s="1" t="s">
        <v>39</v>
      </c>
      <c r="O18" s="1">
        <v>32.601700000000001</v>
      </c>
      <c r="P18" s="1">
        <v>-87.781099999999995</v>
      </c>
      <c r="Q18" s="1" t="s">
        <v>40</v>
      </c>
      <c r="R18" s="1" t="s">
        <v>41</v>
      </c>
      <c r="T18" s="1" t="s">
        <v>93</v>
      </c>
      <c r="U18" s="1" t="s">
        <v>44</v>
      </c>
      <c r="V18" s="1" t="s">
        <v>94</v>
      </c>
      <c r="X18" s="1" t="s">
        <v>95</v>
      </c>
      <c r="AA18" s="3">
        <v>34848</v>
      </c>
      <c r="AB18" s="1" t="s">
        <v>46</v>
      </c>
      <c r="AC18" s="5">
        <v>1308.9000000000001</v>
      </c>
      <c r="AD18" s="1" t="s">
        <v>108</v>
      </c>
      <c r="AE18" s="1" t="str">
        <f t="shared" si="1"/>
        <v>10 CT6</v>
      </c>
      <c r="AF18" s="5" t="str">
        <f t="shared" si="2"/>
        <v>80</v>
      </c>
      <c r="AG18" s="1" t="str">
        <f t="shared" si="0"/>
        <v/>
      </c>
    </row>
    <row r="19" spans="1:33" x14ac:dyDescent="0.2">
      <c r="A19" s="1" t="s">
        <v>32</v>
      </c>
      <c r="B19" s="1" t="s">
        <v>81</v>
      </c>
      <c r="C19" s="1">
        <v>10</v>
      </c>
      <c r="D19" s="1" t="s">
        <v>109</v>
      </c>
      <c r="F19" s="1">
        <v>2023</v>
      </c>
      <c r="G19" s="1" t="s">
        <v>35</v>
      </c>
      <c r="H19" s="1">
        <v>605449</v>
      </c>
      <c r="I19" s="1">
        <v>4</v>
      </c>
      <c r="J19" s="1" t="s">
        <v>36</v>
      </c>
      <c r="K19" s="1" t="s">
        <v>81</v>
      </c>
      <c r="L19" s="1" t="s">
        <v>83</v>
      </c>
      <c r="M19" s="1">
        <v>63</v>
      </c>
      <c r="N19" s="1" t="s">
        <v>39</v>
      </c>
      <c r="O19" s="1">
        <v>32.601700000000001</v>
      </c>
      <c r="P19" s="1">
        <v>-87.781099999999995</v>
      </c>
      <c r="Q19" s="1" t="s">
        <v>40</v>
      </c>
      <c r="R19" s="1" t="s">
        <v>41</v>
      </c>
      <c r="T19" s="1" t="s">
        <v>93</v>
      </c>
      <c r="U19" s="1" t="s">
        <v>44</v>
      </c>
      <c r="V19" s="1" t="s">
        <v>94</v>
      </c>
      <c r="X19" s="1" t="s">
        <v>95</v>
      </c>
      <c r="AA19" s="3">
        <v>34848</v>
      </c>
      <c r="AB19" s="1" t="s">
        <v>46</v>
      </c>
      <c r="AC19" s="5">
        <v>1294</v>
      </c>
      <c r="AD19" s="1" t="s">
        <v>110</v>
      </c>
      <c r="AE19" s="1" t="str">
        <f t="shared" si="1"/>
        <v>10 CT7</v>
      </c>
      <c r="AF19" s="5" t="str">
        <f t="shared" si="2"/>
        <v>80</v>
      </c>
      <c r="AG19" s="1" t="str">
        <f t="shared" si="0"/>
        <v/>
      </c>
    </row>
    <row r="20" spans="1:33" x14ac:dyDescent="0.2">
      <c r="A20" s="1" t="s">
        <v>32</v>
      </c>
      <c r="B20" s="1" t="s">
        <v>81</v>
      </c>
      <c r="C20" s="1">
        <v>10</v>
      </c>
      <c r="D20" s="1" t="s">
        <v>111</v>
      </c>
      <c r="F20" s="1">
        <v>2023</v>
      </c>
      <c r="G20" s="1" t="s">
        <v>35</v>
      </c>
      <c r="H20" s="1">
        <v>605449</v>
      </c>
      <c r="I20" s="1">
        <v>4</v>
      </c>
      <c r="J20" s="1" t="s">
        <v>36</v>
      </c>
      <c r="K20" s="1" t="s">
        <v>81</v>
      </c>
      <c r="L20" s="1" t="s">
        <v>83</v>
      </c>
      <c r="M20" s="1">
        <v>63</v>
      </c>
      <c r="N20" s="1" t="s">
        <v>39</v>
      </c>
      <c r="O20" s="1">
        <v>32.601700000000001</v>
      </c>
      <c r="P20" s="1">
        <v>-87.781099999999995</v>
      </c>
      <c r="Q20" s="1" t="s">
        <v>40</v>
      </c>
      <c r="R20" s="1" t="s">
        <v>41</v>
      </c>
      <c r="T20" s="1" t="s">
        <v>93</v>
      </c>
      <c r="U20" s="1" t="s">
        <v>44</v>
      </c>
      <c r="V20" s="1" t="s">
        <v>94</v>
      </c>
      <c r="X20" s="1" t="s">
        <v>95</v>
      </c>
      <c r="AA20" s="3">
        <v>35214</v>
      </c>
      <c r="AB20" s="1" t="s">
        <v>46</v>
      </c>
      <c r="AC20" s="5">
        <v>1655</v>
      </c>
      <c r="AD20" s="1" t="s">
        <v>112</v>
      </c>
      <c r="AE20" s="1" t="str">
        <f t="shared" si="1"/>
        <v>10 CT8</v>
      </c>
      <c r="AF20" s="5" t="str">
        <f t="shared" si="2"/>
        <v>80</v>
      </c>
      <c r="AG20" s="1" t="str">
        <f t="shared" si="0"/>
        <v/>
      </c>
    </row>
    <row r="21" spans="1:33" x14ac:dyDescent="0.2">
      <c r="A21" s="1" t="s">
        <v>32</v>
      </c>
      <c r="B21" s="1" t="s">
        <v>81</v>
      </c>
      <c r="C21" s="1">
        <v>10</v>
      </c>
      <c r="D21" s="1" t="s">
        <v>113</v>
      </c>
      <c r="F21" s="1">
        <v>2023</v>
      </c>
      <c r="G21" s="1" t="s">
        <v>35</v>
      </c>
      <c r="H21" s="1">
        <v>605449</v>
      </c>
      <c r="I21" s="1">
        <v>4</v>
      </c>
      <c r="J21" s="1" t="s">
        <v>36</v>
      </c>
      <c r="K21" s="1" t="s">
        <v>81</v>
      </c>
      <c r="L21" s="1" t="s">
        <v>83</v>
      </c>
      <c r="M21" s="1">
        <v>63</v>
      </c>
      <c r="N21" s="1" t="s">
        <v>39</v>
      </c>
      <c r="O21" s="1">
        <v>32.601700000000001</v>
      </c>
      <c r="P21" s="1">
        <v>-87.781099999999995</v>
      </c>
      <c r="Q21" s="1" t="s">
        <v>40</v>
      </c>
      <c r="R21" s="1" t="s">
        <v>41</v>
      </c>
      <c r="T21" s="1" t="s">
        <v>93</v>
      </c>
      <c r="U21" s="1" t="s">
        <v>44</v>
      </c>
      <c r="V21" s="1" t="s">
        <v>94</v>
      </c>
      <c r="X21" s="1" t="s">
        <v>95</v>
      </c>
      <c r="AA21" s="3">
        <v>35214</v>
      </c>
      <c r="AB21" s="1" t="s">
        <v>46</v>
      </c>
      <c r="AC21" s="5">
        <v>1334.7</v>
      </c>
      <c r="AD21" s="1" t="s">
        <v>114</v>
      </c>
      <c r="AE21" s="1" t="str">
        <f t="shared" si="1"/>
        <v>10 CT9</v>
      </c>
      <c r="AF21" s="5" t="str">
        <f t="shared" si="2"/>
        <v>80</v>
      </c>
      <c r="AG21" s="1" t="str">
        <f t="shared" si="0"/>
        <v/>
      </c>
    </row>
    <row r="22" spans="1:33" x14ac:dyDescent="0.2">
      <c r="A22" s="1" t="s">
        <v>32</v>
      </c>
      <c r="B22" s="1" t="s">
        <v>115</v>
      </c>
      <c r="C22" s="1">
        <v>26</v>
      </c>
      <c r="D22" s="1">
        <v>1</v>
      </c>
      <c r="E22" s="1" t="s">
        <v>116</v>
      </c>
      <c r="F22" s="1">
        <v>2023</v>
      </c>
      <c r="G22" s="1" t="s">
        <v>35</v>
      </c>
      <c r="H22" s="1">
        <v>605449</v>
      </c>
      <c r="I22" s="1">
        <v>4</v>
      </c>
      <c r="J22" s="1" t="s">
        <v>36</v>
      </c>
      <c r="K22" s="1" t="s">
        <v>117</v>
      </c>
      <c r="L22" s="1" t="s">
        <v>118</v>
      </c>
      <c r="M22" s="1">
        <v>117</v>
      </c>
      <c r="N22" s="1" t="s">
        <v>39</v>
      </c>
      <c r="O22" s="1">
        <v>33.244199999999999</v>
      </c>
      <c r="P22" s="1">
        <v>-86.456699999999998</v>
      </c>
      <c r="Q22" s="1" t="s">
        <v>119</v>
      </c>
      <c r="R22" s="1" t="s">
        <v>120</v>
      </c>
      <c r="S22" s="1" t="s">
        <v>121</v>
      </c>
      <c r="T22" s="1" t="s">
        <v>89</v>
      </c>
      <c r="U22" s="1" t="s">
        <v>44</v>
      </c>
      <c r="V22" s="1" t="s">
        <v>55</v>
      </c>
      <c r="X22" s="1" t="s">
        <v>90</v>
      </c>
      <c r="Y22" s="1" t="s">
        <v>58</v>
      </c>
      <c r="AA22" s="3">
        <v>22037</v>
      </c>
      <c r="AB22" s="1" t="s">
        <v>46</v>
      </c>
      <c r="AC22" s="5">
        <v>5462</v>
      </c>
      <c r="AD22" s="1" t="s">
        <v>122</v>
      </c>
      <c r="AE22" s="1" t="str">
        <f t="shared" si="1"/>
        <v>26 1</v>
      </c>
      <c r="AF22" s="5" t="str">
        <f t="shared" si="2"/>
        <v>272</v>
      </c>
      <c r="AG22" s="1" t="str">
        <f t="shared" si="0"/>
        <v/>
      </c>
    </row>
    <row r="23" spans="1:33" x14ac:dyDescent="0.2">
      <c r="A23" s="1" t="s">
        <v>32</v>
      </c>
      <c r="B23" s="1" t="s">
        <v>115</v>
      </c>
      <c r="C23" s="1">
        <v>26</v>
      </c>
      <c r="D23" s="1">
        <v>2</v>
      </c>
      <c r="E23" s="1" t="s">
        <v>116</v>
      </c>
      <c r="F23" s="1">
        <v>2023</v>
      </c>
      <c r="G23" s="1" t="s">
        <v>35</v>
      </c>
      <c r="H23" s="1">
        <v>605449</v>
      </c>
      <c r="I23" s="1">
        <v>4</v>
      </c>
      <c r="J23" s="1" t="s">
        <v>36</v>
      </c>
      <c r="K23" s="1" t="s">
        <v>117</v>
      </c>
      <c r="L23" s="1" t="s">
        <v>118</v>
      </c>
      <c r="M23" s="1">
        <v>117</v>
      </c>
      <c r="N23" s="1" t="s">
        <v>39</v>
      </c>
      <c r="O23" s="1">
        <v>33.244199999999999</v>
      </c>
      <c r="P23" s="1">
        <v>-86.456699999999998</v>
      </c>
      <c r="Q23" s="1" t="s">
        <v>119</v>
      </c>
      <c r="R23" s="1" t="s">
        <v>120</v>
      </c>
      <c r="S23" s="1" t="s">
        <v>121</v>
      </c>
      <c r="T23" s="1" t="s">
        <v>89</v>
      </c>
      <c r="U23" s="1" t="s">
        <v>44</v>
      </c>
      <c r="V23" s="1" t="s">
        <v>55</v>
      </c>
      <c r="X23" s="1" t="s">
        <v>90</v>
      </c>
      <c r="Y23" s="1" t="s">
        <v>123</v>
      </c>
      <c r="AA23" s="3">
        <v>22098</v>
      </c>
      <c r="AB23" s="1" t="s">
        <v>46</v>
      </c>
      <c r="AC23" s="5">
        <v>5324</v>
      </c>
      <c r="AD23" s="1" t="s">
        <v>124</v>
      </c>
      <c r="AE23" s="1" t="str">
        <f t="shared" si="1"/>
        <v>26 2</v>
      </c>
      <c r="AF23" s="5" t="str">
        <f t="shared" si="2"/>
        <v>272</v>
      </c>
      <c r="AG23" s="1" t="str">
        <f t="shared" si="0"/>
        <v/>
      </c>
    </row>
    <row r="24" spans="1:33" x14ac:dyDescent="0.2">
      <c r="A24" s="1" t="s">
        <v>32</v>
      </c>
      <c r="B24" s="1" t="s">
        <v>115</v>
      </c>
      <c r="C24" s="1">
        <v>26</v>
      </c>
      <c r="D24" s="1">
        <v>3</v>
      </c>
      <c r="E24" s="1" t="s">
        <v>125</v>
      </c>
      <c r="F24" s="1">
        <v>2023</v>
      </c>
      <c r="G24" s="1" t="s">
        <v>35</v>
      </c>
      <c r="H24" s="1">
        <v>605449</v>
      </c>
      <c r="I24" s="1">
        <v>4</v>
      </c>
      <c r="J24" s="1" t="s">
        <v>36</v>
      </c>
      <c r="K24" s="1" t="s">
        <v>117</v>
      </c>
      <c r="L24" s="1" t="s">
        <v>118</v>
      </c>
      <c r="M24" s="1">
        <v>117</v>
      </c>
      <c r="N24" s="1" t="s">
        <v>39</v>
      </c>
      <c r="O24" s="1">
        <v>33.244199999999999</v>
      </c>
      <c r="P24" s="1">
        <v>-86.456699999999998</v>
      </c>
      <c r="Q24" s="1" t="s">
        <v>119</v>
      </c>
      <c r="R24" s="1" t="s">
        <v>120</v>
      </c>
      <c r="S24" s="1" t="s">
        <v>121</v>
      </c>
      <c r="T24" s="1" t="s">
        <v>89</v>
      </c>
      <c r="U24" s="1" t="s">
        <v>44</v>
      </c>
      <c r="V24" s="1" t="s">
        <v>55</v>
      </c>
      <c r="X24" s="1" t="s">
        <v>90</v>
      </c>
      <c r="Y24" s="1" t="s">
        <v>123</v>
      </c>
      <c r="AA24" s="3">
        <v>22068</v>
      </c>
      <c r="AB24" s="1" t="s">
        <v>46</v>
      </c>
      <c r="AC24" s="5">
        <v>5077.2</v>
      </c>
      <c r="AD24" s="1" t="s">
        <v>126</v>
      </c>
      <c r="AE24" s="1" t="str">
        <f t="shared" si="1"/>
        <v>26 3</v>
      </c>
      <c r="AF24" s="5" t="str">
        <f t="shared" si="2"/>
        <v>272</v>
      </c>
      <c r="AG24" s="1" t="str">
        <f t="shared" si="0"/>
        <v/>
      </c>
    </row>
    <row r="25" spans="1:33" x14ac:dyDescent="0.2">
      <c r="A25" s="1" t="s">
        <v>32</v>
      </c>
      <c r="B25" s="1" t="s">
        <v>115</v>
      </c>
      <c r="C25" s="1">
        <v>26</v>
      </c>
      <c r="D25" s="1">
        <v>4</v>
      </c>
      <c r="E25" s="1" t="s">
        <v>125</v>
      </c>
      <c r="F25" s="1">
        <v>2023</v>
      </c>
      <c r="G25" s="1" t="s">
        <v>35</v>
      </c>
      <c r="H25" s="1">
        <v>605449</v>
      </c>
      <c r="I25" s="1">
        <v>4</v>
      </c>
      <c r="J25" s="1" t="s">
        <v>36</v>
      </c>
      <c r="K25" s="1" t="s">
        <v>117</v>
      </c>
      <c r="L25" s="1" t="s">
        <v>118</v>
      </c>
      <c r="M25" s="1">
        <v>117</v>
      </c>
      <c r="N25" s="1" t="s">
        <v>39</v>
      </c>
      <c r="O25" s="1">
        <v>33.244199999999999</v>
      </c>
      <c r="P25" s="1">
        <v>-86.456699999999998</v>
      </c>
      <c r="Q25" s="1" t="s">
        <v>119</v>
      </c>
      <c r="R25" s="1" t="s">
        <v>120</v>
      </c>
      <c r="S25" s="1" t="s">
        <v>121</v>
      </c>
      <c r="T25" s="1" t="s">
        <v>89</v>
      </c>
      <c r="U25" s="1" t="s">
        <v>44</v>
      </c>
      <c r="V25" s="1" t="s">
        <v>55</v>
      </c>
      <c r="X25" s="1" t="s">
        <v>90</v>
      </c>
      <c r="Y25" s="1" t="s">
        <v>58</v>
      </c>
      <c r="AA25" s="3">
        <v>22798</v>
      </c>
      <c r="AB25" s="1" t="s">
        <v>46</v>
      </c>
      <c r="AC25" s="5">
        <v>3635</v>
      </c>
      <c r="AD25" s="1" t="s">
        <v>127</v>
      </c>
      <c r="AE25" s="1" t="str">
        <f t="shared" si="1"/>
        <v>26 4</v>
      </c>
      <c r="AF25" s="5" t="str">
        <f t="shared" si="2"/>
        <v>244.8</v>
      </c>
      <c r="AG25" s="1" t="str">
        <f t="shared" si="0"/>
        <v/>
      </c>
    </row>
    <row r="26" spans="1:33" x14ac:dyDescent="0.2">
      <c r="A26" s="1" t="s">
        <v>32</v>
      </c>
      <c r="B26" s="1" t="s">
        <v>115</v>
      </c>
      <c r="C26" s="1">
        <v>26</v>
      </c>
      <c r="D26" s="1">
        <v>5</v>
      </c>
      <c r="E26" s="1" t="s">
        <v>128</v>
      </c>
      <c r="F26" s="1">
        <v>2023</v>
      </c>
      <c r="G26" s="1" t="s">
        <v>54</v>
      </c>
      <c r="H26" s="1">
        <v>605449</v>
      </c>
      <c r="I26" s="1">
        <v>4</v>
      </c>
      <c r="J26" s="1" t="s">
        <v>36</v>
      </c>
      <c r="K26" s="1" t="s">
        <v>117</v>
      </c>
      <c r="L26" s="1" t="s">
        <v>118</v>
      </c>
      <c r="M26" s="1">
        <v>117</v>
      </c>
      <c r="N26" s="1" t="s">
        <v>39</v>
      </c>
      <c r="O26" s="1">
        <v>33.244199999999999</v>
      </c>
      <c r="P26" s="1">
        <v>-86.456699999999998</v>
      </c>
      <c r="Q26" s="1" t="s">
        <v>40</v>
      </c>
      <c r="R26" s="1" t="s">
        <v>120</v>
      </c>
      <c r="S26" s="1" t="s">
        <v>121</v>
      </c>
      <c r="T26" s="1" t="s">
        <v>43</v>
      </c>
      <c r="U26" s="1" t="s">
        <v>55</v>
      </c>
      <c r="V26" s="1" t="s">
        <v>44</v>
      </c>
      <c r="W26" s="1" t="s">
        <v>56</v>
      </c>
      <c r="X26" s="1" t="s">
        <v>57</v>
      </c>
      <c r="Y26" s="1" t="s">
        <v>123</v>
      </c>
      <c r="Z26" s="1" t="s">
        <v>129</v>
      </c>
      <c r="AA26" s="3">
        <v>27243</v>
      </c>
      <c r="AB26" s="1" t="s">
        <v>46</v>
      </c>
      <c r="AC26" s="5">
        <v>16078</v>
      </c>
      <c r="AD26" s="1" t="s">
        <v>130</v>
      </c>
      <c r="AE26" s="1" t="str">
        <f t="shared" si="1"/>
        <v>26 5</v>
      </c>
      <c r="AF26" s="5" t="str">
        <f t="shared" si="2"/>
        <v>952</v>
      </c>
      <c r="AG26" s="1" t="str">
        <f t="shared" si="0"/>
        <v>Y</v>
      </c>
    </row>
    <row r="27" spans="1:33" x14ac:dyDescent="0.2">
      <c r="A27" s="1" t="s">
        <v>32</v>
      </c>
      <c r="B27" s="1" t="s">
        <v>131</v>
      </c>
      <c r="C27" s="1">
        <v>47</v>
      </c>
      <c r="D27" s="1" t="s">
        <v>132</v>
      </c>
      <c r="F27" s="1">
        <v>2023</v>
      </c>
      <c r="G27" s="1" t="s">
        <v>133</v>
      </c>
      <c r="H27" s="1">
        <v>609315</v>
      </c>
      <c r="I27" s="1">
        <v>4</v>
      </c>
      <c r="K27" s="1" t="s">
        <v>134</v>
      </c>
      <c r="L27" s="1" t="s">
        <v>135</v>
      </c>
      <c r="M27" s="1">
        <v>33</v>
      </c>
      <c r="N27" s="1" t="s">
        <v>39</v>
      </c>
      <c r="O27" s="1">
        <v>34.743899999999996</v>
      </c>
      <c r="P27" s="1">
        <v>-87.848600000000005</v>
      </c>
      <c r="Q27" s="1" t="s">
        <v>136</v>
      </c>
      <c r="T27" s="1" t="s">
        <v>93</v>
      </c>
      <c r="U27" s="1" t="s">
        <v>44</v>
      </c>
      <c r="V27" s="1" t="s">
        <v>94</v>
      </c>
      <c r="AA27" s="3">
        <v>26359</v>
      </c>
      <c r="AB27" s="1" t="s">
        <v>46</v>
      </c>
      <c r="AC27" s="5">
        <v>760</v>
      </c>
      <c r="AD27" s="1" t="s">
        <v>137</v>
      </c>
      <c r="AE27" s="1" t="str">
        <f t="shared" si="1"/>
        <v>47 CCT1</v>
      </c>
      <c r="AF27" s="5" t="str">
        <f t="shared" si="2"/>
        <v>59.5</v>
      </c>
      <c r="AG27" s="1" t="str">
        <f t="shared" si="0"/>
        <v/>
      </c>
    </row>
    <row r="28" spans="1:33" x14ac:dyDescent="0.2">
      <c r="A28" s="1" t="s">
        <v>32</v>
      </c>
      <c r="B28" s="1" t="s">
        <v>131</v>
      </c>
      <c r="C28" s="1">
        <v>47</v>
      </c>
      <c r="D28" s="1" t="s">
        <v>138</v>
      </c>
      <c r="F28" s="1">
        <v>2023</v>
      </c>
      <c r="G28" s="1" t="s">
        <v>35</v>
      </c>
      <c r="H28" s="1">
        <v>609315</v>
      </c>
      <c r="I28" s="1">
        <v>4</v>
      </c>
      <c r="K28" s="1" t="s">
        <v>134</v>
      </c>
      <c r="L28" s="1" t="s">
        <v>135</v>
      </c>
      <c r="M28" s="1">
        <v>33</v>
      </c>
      <c r="N28" s="1" t="s">
        <v>39</v>
      </c>
      <c r="O28" s="1">
        <v>34.743899999999996</v>
      </c>
      <c r="P28" s="1">
        <v>-87.848600000000005</v>
      </c>
      <c r="Q28" s="1" t="s">
        <v>136</v>
      </c>
      <c r="R28" s="1" t="s">
        <v>41</v>
      </c>
      <c r="T28" s="1" t="s">
        <v>139</v>
      </c>
      <c r="U28" s="1" t="s">
        <v>44</v>
      </c>
      <c r="X28" s="12" t="s">
        <v>140</v>
      </c>
      <c r="AA28" s="3">
        <v>45107</v>
      </c>
      <c r="AB28" s="1" t="s">
        <v>141</v>
      </c>
      <c r="AC28" s="5">
        <v>2280</v>
      </c>
      <c r="AD28" s="1" t="s">
        <v>142</v>
      </c>
      <c r="AE28" s="1" t="str">
        <f t="shared" si="1"/>
        <v>47 CCT10</v>
      </c>
      <c r="AF28" s="5" t="str">
        <f t="shared" si="2"/>
        <v>210</v>
      </c>
      <c r="AG28" s="1" t="str">
        <f t="shared" si="0"/>
        <v/>
      </c>
    </row>
    <row r="29" spans="1:33" x14ac:dyDescent="0.2">
      <c r="A29" s="1" t="s">
        <v>32</v>
      </c>
      <c r="B29" s="1" t="s">
        <v>131</v>
      </c>
      <c r="C29" s="1">
        <v>47</v>
      </c>
      <c r="D29" s="1" t="s">
        <v>143</v>
      </c>
      <c r="F29" s="1">
        <v>2023</v>
      </c>
      <c r="G29" s="1" t="s">
        <v>35</v>
      </c>
      <c r="H29" s="1">
        <v>609315</v>
      </c>
      <c r="I29" s="1">
        <v>4</v>
      </c>
      <c r="K29" s="1" t="s">
        <v>134</v>
      </c>
      <c r="L29" s="1" t="s">
        <v>135</v>
      </c>
      <c r="M29" s="1">
        <v>33</v>
      </c>
      <c r="N29" s="1" t="s">
        <v>39</v>
      </c>
      <c r="O29" s="1">
        <v>34.743899999999996</v>
      </c>
      <c r="P29" s="1">
        <v>-87.848600000000005</v>
      </c>
      <c r="Q29" s="1" t="s">
        <v>136</v>
      </c>
      <c r="R29" s="1" t="s">
        <v>41</v>
      </c>
      <c r="T29" s="1" t="s">
        <v>144</v>
      </c>
      <c r="U29" s="1" t="s">
        <v>44</v>
      </c>
      <c r="X29" s="12" t="s">
        <v>140</v>
      </c>
      <c r="AA29" s="3">
        <v>45112</v>
      </c>
      <c r="AB29" s="1" t="s">
        <v>145</v>
      </c>
      <c r="AC29" s="5">
        <v>2280</v>
      </c>
      <c r="AD29" s="1" t="s">
        <v>146</v>
      </c>
      <c r="AE29" s="1" t="str">
        <f t="shared" si="1"/>
        <v>47 CCT11</v>
      </c>
      <c r="AF29" s="5" t="str">
        <f t="shared" si="2"/>
        <v>210</v>
      </c>
      <c r="AG29" s="1" t="str">
        <f t="shared" si="0"/>
        <v/>
      </c>
    </row>
    <row r="30" spans="1:33" x14ac:dyDescent="0.2">
      <c r="A30" s="1" t="s">
        <v>32</v>
      </c>
      <c r="B30" s="1" t="s">
        <v>131</v>
      </c>
      <c r="C30" s="1">
        <v>47</v>
      </c>
      <c r="D30" s="1" t="s">
        <v>147</v>
      </c>
      <c r="F30" s="1">
        <v>2023</v>
      </c>
      <c r="G30" s="1" t="s">
        <v>133</v>
      </c>
      <c r="H30" s="1">
        <v>609315</v>
      </c>
      <c r="I30" s="1">
        <v>4</v>
      </c>
      <c r="K30" s="1" t="s">
        <v>134</v>
      </c>
      <c r="L30" s="1" t="s">
        <v>135</v>
      </c>
      <c r="M30" s="1">
        <v>33</v>
      </c>
      <c r="N30" s="1" t="s">
        <v>39</v>
      </c>
      <c r="O30" s="1">
        <v>34.743899999999996</v>
      </c>
      <c r="P30" s="1">
        <v>-87.848600000000005</v>
      </c>
      <c r="Q30" s="1" t="s">
        <v>136</v>
      </c>
      <c r="T30" s="1" t="s">
        <v>93</v>
      </c>
      <c r="U30" s="1" t="s">
        <v>44</v>
      </c>
      <c r="V30" s="1" t="s">
        <v>94</v>
      </c>
      <c r="AA30" s="3">
        <v>26359</v>
      </c>
      <c r="AB30" s="1" t="s">
        <v>46</v>
      </c>
      <c r="AC30" s="5">
        <v>760</v>
      </c>
      <c r="AD30" s="1" t="s">
        <v>148</v>
      </c>
      <c r="AE30" s="1" t="str">
        <f t="shared" si="1"/>
        <v>47 CCT2</v>
      </c>
      <c r="AF30" s="5" t="str">
        <f t="shared" si="2"/>
        <v>59.5</v>
      </c>
      <c r="AG30" s="1" t="str">
        <f t="shared" si="0"/>
        <v/>
      </c>
    </row>
    <row r="31" spans="1:33" x14ac:dyDescent="0.2">
      <c r="A31" s="1" t="s">
        <v>32</v>
      </c>
      <c r="B31" s="1" t="s">
        <v>131</v>
      </c>
      <c r="C31" s="1">
        <v>47</v>
      </c>
      <c r="D31" s="1" t="s">
        <v>149</v>
      </c>
      <c r="F31" s="1">
        <v>2023</v>
      </c>
      <c r="G31" s="1" t="s">
        <v>133</v>
      </c>
      <c r="H31" s="1">
        <v>609315</v>
      </c>
      <c r="I31" s="1">
        <v>4</v>
      </c>
      <c r="K31" s="1" t="s">
        <v>134</v>
      </c>
      <c r="L31" s="1" t="s">
        <v>135</v>
      </c>
      <c r="M31" s="1">
        <v>33</v>
      </c>
      <c r="N31" s="1" t="s">
        <v>39</v>
      </c>
      <c r="O31" s="1">
        <v>34.743899999999996</v>
      </c>
      <c r="P31" s="1">
        <v>-87.848600000000005</v>
      </c>
      <c r="Q31" s="1" t="s">
        <v>136</v>
      </c>
      <c r="T31" s="1" t="s">
        <v>93</v>
      </c>
      <c r="U31" s="1" t="s">
        <v>44</v>
      </c>
      <c r="V31" s="1" t="s">
        <v>94</v>
      </c>
      <c r="AA31" s="3">
        <v>26359</v>
      </c>
      <c r="AB31" s="1" t="s">
        <v>46</v>
      </c>
      <c r="AC31" s="5">
        <v>760</v>
      </c>
      <c r="AD31" s="1" t="s">
        <v>150</v>
      </c>
      <c r="AE31" s="1" t="str">
        <f t="shared" si="1"/>
        <v>47 CCT3</v>
      </c>
      <c r="AF31" s="5" t="str">
        <f t="shared" si="2"/>
        <v>59.5</v>
      </c>
      <c r="AG31" s="1" t="str">
        <f t="shared" si="0"/>
        <v/>
      </c>
    </row>
    <row r="32" spans="1:33" x14ac:dyDescent="0.2">
      <c r="A32" s="1" t="s">
        <v>32</v>
      </c>
      <c r="B32" s="1" t="s">
        <v>131</v>
      </c>
      <c r="C32" s="1">
        <v>47</v>
      </c>
      <c r="D32" s="1" t="s">
        <v>151</v>
      </c>
      <c r="F32" s="1">
        <v>2023</v>
      </c>
      <c r="G32" s="1" t="s">
        <v>133</v>
      </c>
      <c r="H32" s="1">
        <v>609315</v>
      </c>
      <c r="I32" s="1">
        <v>4</v>
      </c>
      <c r="K32" s="1" t="s">
        <v>134</v>
      </c>
      <c r="L32" s="1" t="s">
        <v>135</v>
      </c>
      <c r="M32" s="1">
        <v>33</v>
      </c>
      <c r="N32" s="1" t="s">
        <v>39</v>
      </c>
      <c r="O32" s="1">
        <v>34.743899999999996</v>
      </c>
      <c r="P32" s="1">
        <v>-87.848600000000005</v>
      </c>
      <c r="Q32" s="1" t="s">
        <v>136</v>
      </c>
      <c r="T32" s="1" t="s">
        <v>93</v>
      </c>
      <c r="U32" s="1" t="s">
        <v>44</v>
      </c>
      <c r="V32" s="1" t="s">
        <v>94</v>
      </c>
      <c r="AA32" s="3">
        <v>26359</v>
      </c>
      <c r="AB32" s="1" t="s">
        <v>46</v>
      </c>
      <c r="AC32" s="5">
        <v>760</v>
      </c>
      <c r="AD32" s="1" t="s">
        <v>152</v>
      </c>
      <c r="AE32" s="1" t="str">
        <f t="shared" si="1"/>
        <v>47 CCT4</v>
      </c>
      <c r="AF32" s="5" t="str">
        <f t="shared" si="2"/>
        <v>59.5</v>
      </c>
      <c r="AG32" s="1" t="str">
        <f t="shared" si="0"/>
        <v/>
      </c>
    </row>
    <row r="33" spans="1:33" x14ac:dyDescent="0.2">
      <c r="A33" s="1" t="s">
        <v>32</v>
      </c>
      <c r="B33" s="1" t="s">
        <v>131</v>
      </c>
      <c r="C33" s="1">
        <v>47</v>
      </c>
      <c r="D33" s="1" t="s">
        <v>153</v>
      </c>
      <c r="F33" s="1">
        <v>2023</v>
      </c>
      <c r="G33" s="1" t="s">
        <v>133</v>
      </c>
      <c r="H33" s="1">
        <v>609315</v>
      </c>
      <c r="I33" s="1">
        <v>4</v>
      </c>
      <c r="K33" s="1" t="s">
        <v>134</v>
      </c>
      <c r="L33" s="1" t="s">
        <v>135</v>
      </c>
      <c r="M33" s="1">
        <v>33</v>
      </c>
      <c r="N33" s="1" t="s">
        <v>39</v>
      </c>
      <c r="O33" s="1">
        <v>34.743899999999996</v>
      </c>
      <c r="P33" s="1">
        <v>-87.848600000000005</v>
      </c>
      <c r="Q33" s="1" t="s">
        <v>136</v>
      </c>
      <c r="T33" s="1" t="s">
        <v>93</v>
      </c>
      <c r="U33" s="1" t="s">
        <v>44</v>
      </c>
      <c r="V33" s="1" t="s">
        <v>94</v>
      </c>
      <c r="AA33" s="3">
        <v>26359</v>
      </c>
      <c r="AB33" s="1" t="s">
        <v>46</v>
      </c>
      <c r="AC33" s="5">
        <v>760</v>
      </c>
      <c r="AD33" s="1" t="s">
        <v>154</v>
      </c>
      <c r="AE33" s="1" t="str">
        <f t="shared" si="1"/>
        <v>47 CCT5</v>
      </c>
      <c r="AF33" s="5" t="str">
        <f t="shared" si="2"/>
        <v>59.5</v>
      </c>
      <c r="AG33" s="1" t="str">
        <f t="shared" si="0"/>
        <v/>
      </c>
    </row>
    <row r="34" spans="1:33" x14ac:dyDescent="0.2">
      <c r="A34" s="1" t="s">
        <v>32</v>
      </c>
      <c r="B34" s="1" t="s">
        <v>131</v>
      </c>
      <c r="C34" s="1">
        <v>47</v>
      </c>
      <c r="D34" s="1" t="s">
        <v>155</v>
      </c>
      <c r="F34" s="1">
        <v>2023</v>
      </c>
      <c r="G34" s="1" t="s">
        <v>133</v>
      </c>
      <c r="H34" s="1">
        <v>609315</v>
      </c>
      <c r="I34" s="1">
        <v>4</v>
      </c>
      <c r="K34" s="1" t="s">
        <v>134</v>
      </c>
      <c r="L34" s="1" t="s">
        <v>135</v>
      </c>
      <c r="M34" s="1">
        <v>33</v>
      </c>
      <c r="N34" s="1" t="s">
        <v>39</v>
      </c>
      <c r="O34" s="1">
        <v>34.743899999999996</v>
      </c>
      <c r="P34" s="1">
        <v>-87.848600000000005</v>
      </c>
      <c r="Q34" s="1" t="s">
        <v>136</v>
      </c>
      <c r="T34" s="1" t="s">
        <v>93</v>
      </c>
      <c r="U34" s="1" t="s">
        <v>44</v>
      </c>
      <c r="V34" s="1" t="s">
        <v>94</v>
      </c>
      <c r="AA34" s="3">
        <v>26359</v>
      </c>
      <c r="AB34" s="1" t="s">
        <v>46</v>
      </c>
      <c r="AC34" s="5">
        <v>760</v>
      </c>
      <c r="AD34" s="1" t="s">
        <v>156</v>
      </c>
      <c r="AE34" s="1" t="str">
        <f t="shared" si="1"/>
        <v>47 CCT6</v>
      </c>
      <c r="AF34" s="5" t="str">
        <f t="shared" si="2"/>
        <v>59.5</v>
      </c>
      <c r="AG34" s="1" t="str">
        <f t="shared" si="0"/>
        <v/>
      </c>
    </row>
    <row r="35" spans="1:33" x14ac:dyDescent="0.2">
      <c r="A35" s="1" t="s">
        <v>32</v>
      </c>
      <c r="B35" s="1" t="s">
        <v>131</v>
      </c>
      <c r="C35" s="1">
        <v>47</v>
      </c>
      <c r="D35" s="1" t="s">
        <v>157</v>
      </c>
      <c r="F35" s="1">
        <v>2023</v>
      </c>
      <c r="G35" s="1" t="s">
        <v>133</v>
      </c>
      <c r="H35" s="1">
        <v>609315</v>
      </c>
      <c r="I35" s="1">
        <v>4</v>
      </c>
      <c r="K35" s="1" t="s">
        <v>134</v>
      </c>
      <c r="L35" s="1" t="s">
        <v>135</v>
      </c>
      <c r="M35" s="1">
        <v>33</v>
      </c>
      <c r="N35" s="1" t="s">
        <v>39</v>
      </c>
      <c r="O35" s="1">
        <v>34.743899999999996</v>
      </c>
      <c r="P35" s="1">
        <v>-87.848600000000005</v>
      </c>
      <c r="Q35" s="1" t="s">
        <v>136</v>
      </c>
      <c r="T35" s="1" t="s">
        <v>93</v>
      </c>
      <c r="U35" s="1" t="s">
        <v>44</v>
      </c>
      <c r="V35" s="1" t="s">
        <v>94</v>
      </c>
      <c r="AA35" s="3">
        <v>26359</v>
      </c>
      <c r="AB35" s="1" t="s">
        <v>46</v>
      </c>
      <c r="AC35" s="5">
        <v>760</v>
      </c>
      <c r="AD35" s="1" t="s">
        <v>158</v>
      </c>
      <c r="AE35" s="1" t="str">
        <f t="shared" si="1"/>
        <v>47 CCT7</v>
      </c>
      <c r="AF35" s="5" t="str">
        <f t="shared" si="2"/>
        <v>59.5</v>
      </c>
      <c r="AG35" s="1" t="str">
        <f t="shared" si="0"/>
        <v/>
      </c>
    </row>
    <row r="36" spans="1:33" x14ac:dyDescent="0.2">
      <c r="A36" s="1" t="s">
        <v>32</v>
      </c>
      <c r="B36" s="1" t="s">
        <v>131</v>
      </c>
      <c r="C36" s="1">
        <v>47</v>
      </c>
      <c r="D36" s="1" t="s">
        <v>159</v>
      </c>
      <c r="F36" s="1">
        <v>2023</v>
      </c>
      <c r="G36" s="1" t="s">
        <v>133</v>
      </c>
      <c r="H36" s="1">
        <v>609315</v>
      </c>
      <c r="I36" s="1">
        <v>4</v>
      </c>
      <c r="K36" s="1" t="s">
        <v>134</v>
      </c>
      <c r="L36" s="1" t="s">
        <v>135</v>
      </c>
      <c r="M36" s="1">
        <v>33</v>
      </c>
      <c r="N36" s="1" t="s">
        <v>39</v>
      </c>
      <c r="O36" s="1">
        <v>34.743899999999996</v>
      </c>
      <c r="P36" s="1">
        <v>-87.848600000000005</v>
      </c>
      <c r="Q36" s="1" t="s">
        <v>136</v>
      </c>
      <c r="T36" s="1" t="s">
        <v>93</v>
      </c>
      <c r="U36" s="1" t="s">
        <v>44</v>
      </c>
      <c r="V36" s="1" t="s">
        <v>94</v>
      </c>
      <c r="AA36" s="3">
        <v>26359</v>
      </c>
      <c r="AB36" s="1" t="s">
        <v>46</v>
      </c>
      <c r="AC36" s="5">
        <v>760</v>
      </c>
      <c r="AD36" s="1" t="s">
        <v>160</v>
      </c>
      <c r="AE36" s="1" t="str">
        <f t="shared" si="1"/>
        <v>47 CCT8</v>
      </c>
      <c r="AF36" s="5" t="str">
        <f t="shared" si="2"/>
        <v>59.5</v>
      </c>
      <c r="AG36" s="1" t="str">
        <f t="shared" si="0"/>
        <v/>
      </c>
    </row>
    <row r="37" spans="1:33" x14ac:dyDescent="0.2">
      <c r="A37" s="1" t="s">
        <v>32</v>
      </c>
      <c r="B37" s="1" t="s">
        <v>131</v>
      </c>
      <c r="C37" s="1">
        <v>47</v>
      </c>
      <c r="D37" s="1" t="s">
        <v>161</v>
      </c>
      <c r="F37" s="1">
        <v>2023</v>
      </c>
      <c r="G37" s="1" t="s">
        <v>35</v>
      </c>
      <c r="H37" s="1">
        <v>609315</v>
      </c>
      <c r="I37" s="1">
        <v>4</v>
      </c>
      <c r="K37" s="1" t="s">
        <v>134</v>
      </c>
      <c r="L37" s="1" t="s">
        <v>135</v>
      </c>
      <c r="M37" s="1">
        <v>33</v>
      </c>
      <c r="N37" s="1" t="s">
        <v>39</v>
      </c>
      <c r="O37" s="1">
        <v>34.743899999999996</v>
      </c>
      <c r="P37" s="1">
        <v>-87.848600000000005</v>
      </c>
      <c r="Q37" s="1" t="s">
        <v>136</v>
      </c>
      <c r="R37" s="1" t="s">
        <v>41</v>
      </c>
      <c r="T37" s="1" t="s">
        <v>162</v>
      </c>
      <c r="U37" s="1" t="s">
        <v>44</v>
      </c>
      <c r="X37" s="12" t="s">
        <v>140</v>
      </c>
      <c r="AA37" s="3">
        <v>45096</v>
      </c>
      <c r="AB37" s="1" t="s">
        <v>163</v>
      </c>
      <c r="AC37" s="5">
        <v>2280</v>
      </c>
      <c r="AD37" s="1" t="s">
        <v>164</v>
      </c>
      <c r="AE37" s="1" t="str">
        <f t="shared" si="1"/>
        <v>47 CCT9</v>
      </c>
      <c r="AF37" s="5" t="str">
        <f t="shared" si="2"/>
        <v>210</v>
      </c>
      <c r="AG37" s="1" t="str">
        <f t="shared" si="0"/>
        <v/>
      </c>
    </row>
    <row r="38" spans="1:33" x14ac:dyDescent="0.2">
      <c r="A38" s="1" t="s">
        <v>165</v>
      </c>
      <c r="B38" s="1" t="s">
        <v>166</v>
      </c>
      <c r="C38" s="1">
        <v>54</v>
      </c>
      <c r="D38" s="1" t="s">
        <v>167</v>
      </c>
      <c r="F38" s="1">
        <v>2023</v>
      </c>
      <c r="G38" s="1" t="s">
        <v>168</v>
      </c>
      <c r="H38" s="1">
        <v>605834</v>
      </c>
      <c r="I38" s="1">
        <v>4</v>
      </c>
      <c r="J38" s="1" t="s">
        <v>169</v>
      </c>
      <c r="K38" s="1" t="s">
        <v>170</v>
      </c>
      <c r="L38" s="1" t="s">
        <v>171</v>
      </c>
      <c r="M38" s="1">
        <v>49</v>
      </c>
      <c r="N38" s="1" t="s">
        <v>39</v>
      </c>
      <c r="O38" s="1">
        <v>37.882399999999997</v>
      </c>
      <c r="P38" s="1">
        <v>-84.102500000000006</v>
      </c>
      <c r="Q38" s="1" t="s">
        <v>172</v>
      </c>
      <c r="R38" s="1" t="s">
        <v>41</v>
      </c>
      <c r="T38" s="1" t="s">
        <v>93</v>
      </c>
      <c r="U38" s="1" t="s">
        <v>44</v>
      </c>
      <c r="V38" s="1" t="s">
        <v>173</v>
      </c>
      <c r="X38" s="1" t="s">
        <v>95</v>
      </c>
      <c r="AA38" s="3">
        <v>34789</v>
      </c>
      <c r="AB38" s="1" t="s">
        <v>46</v>
      </c>
      <c r="AC38" s="5">
        <v>1800</v>
      </c>
      <c r="AD38" s="1" t="s">
        <v>174</v>
      </c>
      <c r="AE38" s="1" t="str">
        <f t="shared" si="1"/>
        <v>54 SCT1</v>
      </c>
      <c r="AF38" s="5" t="str">
        <f t="shared" si="2"/>
        <v>150</v>
      </c>
      <c r="AG38" s="1" t="str">
        <f t="shared" si="0"/>
        <v/>
      </c>
    </row>
    <row r="39" spans="1:33" x14ac:dyDescent="0.2">
      <c r="A39" s="1" t="s">
        <v>165</v>
      </c>
      <c r="B39" s="1" t="s">
        <v>166</v>
      </c>
      <c r="C39" s="1">
        <v>54</v>
      </c>
      <c r="D39" s="1" t="s">
        <v>175</v>
      </c>
      <c r="F39" s="1">
        <v>2023</v>
      </c>
      <c r="G39" s="1" t="s">
        <v>168</v>
      </c>
      <c r="H39" s="1">
        <v>605834</v>
      </c>
      <c r="I39" s="1">
        <v>4</v>
      </c>
      <c r="J39" s="1" t="s">
        <v>169</v>
      </c>
      <c r="K39" s="1" t="s">
        <v>170</v>
      </c>
      <c r="L39" s="1" t="s">
        <v>171</v>
      </c>
      <c r="M39" s="1">
        <v>49</v>
      </c>
      <c r="N39" s="1" t="s">
        <v>39</v>
      </c>
      <c r="O39" s="1">
        <v>37.882399999999997</v>
      </c>
      <c r="P39" s="1">
        <v>-84.102500000000006</v>
      </c>
      <c r="Q39" s="1" t="s">
        <v>172</v>
      </c>
      <c r="R39" s="1" t="s">
        <v>41</v>
      </c>
      <c r="T39" s="1" t="s">
        <v>93</v>
      </c>
      <c r="U39" s="1" t="s">
        <v>44</v>
      </c>
      <c r="X39" s="1" t="s">
        <v>176</v>
      </c>
      <c r="AA39" s="3">
        <v>40138</v>
      </c>
      <c r="AB39" s="1" t="s">
        <v>46</v>
      </c>
      <c r="AC39" s="5">
        <v>993</v>
      </c>
      <c r="AD39" s="1" t="s">
        <v>177</v>
      </c>
      <c r="AE39" s="1" t="str">
        <f t="shared" si="1"/>
        <v>54 SCT10</v>
      </c>
      <c r="AF39" s="5" t="str">
        <f t="shared" si="2"/>
        <v>98</v>
      </c>
      <c r="AG39" s="1" t="str">
        <f t="shared" si="0"/>
        <v>Y</v>
      </c>
    </row>
    <row r="40" spans="1:33" x14ac:dyDescent="0.2">
      <c r="A40" s="1" t="s">
        <v>165</v>
      </c>
      <c r="B40" s="1" t="s">
        <v>166</v>
      </c>
      <c r="C40" s="1">
        <v>54</v>
      </c>
      <c r="D40" s="1" t="s">
        <v>178</v>
      </c>
      <c r="F40" s="1">
        <v>2023</v>
      </c>
      <c r="G40" s="1" t="s">
        <v>168</v>
      </c>
      <c r="H40" s="1">
        <v>605834</v>
      </c>
      <c r="I40" s="1">
        <v>4</v>
      </c>
      <c r="J40" s="1" t="s">
        <v>169</v>
      </c>
      <c r="K40" s="1" t="s">
        <v>170</v>
      </c>
      <c r="L40" s="1" t="s">
        <v>171</v>
      </c>
      <c r="M40" s="1">
        <v>49</v>
      </c>
      <c r="N40" s="1" t="s">
        <v>39</v>
      </c>
      <c r="O40" s="1">
        <v>37.882399999999997</v>
      </c>
      <c r="P40" s="1">
        <v>-84.102500000000006</v>
      </c>
      <c r="Q40" s="1" t="s">
        <v>172</v>
      </c>
      <c r="R40" s="1" t="s">
        <v>41</v>
      </c>
      <c r="T40" s="1" t="s">
        <v>93</v>
      </c>
      <c r="U40" s="1" t="s">
        <v>44</v>
      </c>
      <c r="V40" s="1" t="s">
        <v>173</v>
      </c>
      <c r="X40" s="1" t="s">
        <v>95</v>
      </c>
      <c r="AA40" s="3">
        <v>34754</v>
      </c>
      <c r="AB40" s="1" t="s">
        <v>46</v>
      </c>
      <c r="AC40" s="5">
        <v>1800</v>
      </c>
      <c r="AD40" s="1" t="s">
        <v>179</v>
      </c>
      <c r="AE40" s="1" t="str">
        <f t="shared" si="1"/>
        <v>54 SCT2</v>
      </c>
      <c r="AF40" s="5" t="str">
        <f t="shared" si="2"/>
        <v>150</v>
      </c>
      <c r="AG40" s="1" t="str">
        <f t="shared" si="0"/>
        <v/>
      </c>
    </row>
    <row r="41" spans="1:33" x14ac:dyDescent="0.2">
      <c r="A41" s="1" t="s">
        <v>165</v>
      </c>
      <c r="B41" s="1" t="s">
        <v>166</v>
      </c>
      <c r="C41" s="1">
        <v>54</v>
      </c>
      <c r="D41" s="1" t="s">
        <v>180</v>
      </c>
      <c r="F41" s="1">
        <v>2023</v>
      </c>
      <c r="G41" s="1" t="s">
        <v>168</v>
      </c>
      <c r="H41" s="1">
        <v>605834</v>
      </c>
      <c r="I41" s="1">
        <v>4</v>
      </c>
      <c r="J41" s="1" t="s">
        <v>169</v>
      </c>
      <c r="K41" s="1" t="s">
        <v>170</v>
      </c>
      <c r="L41" s="1" t="s">
        <v>171</v>
      </c>
      <c r="M41" s="1">
        <v>49</v>
      </c>
      <c r="N41" s="1" t="s">
        <v>39</v>
      </c>
      <c r="O41" s="1">
        <v>37.882399999999997</v>
      </c>
      <c r="P41" s="1">
        <v>-84.102500000000006</v>
      </c>
      <c r="Q41" s="1" t="s">
        <v>172</v>
      </c>
      <c r="R41" s="1" t="s">
        <v>41</v>
      </c>
      <c r="T41" s="1" t="s">
        <v>93</v>
      </c>
      <c r="U41" s="1" t="s">
        <v>44</v>
      </c>
      <c r="V41" s="1" t="s">
        <v>173</v>
      </c>
      <c r="X41" s="1" t="s">
        <v>95</v>
      </c>
      <c r="AA41" s="3">
        <v>34727</v>
      </c>
      <c r="AB41" s="1" t="s">
        <v>46</v>
      </c>
      <c r="AC41" s="5">
        <v>1800</v>
      </c>
      <c r="AD41" s="1" t="s">
        <v>181</v>
      </c>
      <c r="AE41" s="1" t="str">
        <f t="shared" si="1"/>
        <v>54 SCT3</v>
      </c>
      <c r="AF41" s="5" t="str">
        <f t="shared" si="2"/>
        <v>150</v>
      </c>
      <c r="AG41" s="1" t="str">
        <f t="shared" si="0"/>
        <v/>
      </c>
    </row>
    <row r="42" spans="1:33" x14ac:dyDescent="0.2">
      <c r="A42" s="1" t="s">
        <v>165</v>
      </c>
      <c r="B42" s="1" t="s">
        <v>166</v>
      </c>
      <c r="C42" s="1">
        <v>54</v>
      </c>
      <c r="D42" s="1" t="s">
        <v>182</v>
      </c>
      <c r="F42" s="1">
        <v>2023</v>
      </c>
      <c r="G42" s="1" t="s">
        <v>168</v>
      </c>
      <c r="H42" s="1">
        <v>605834</v>
      </c>
      <c r="I42" s="1">
        <v>4</v>
      </c>
      <c r="J42" s="1" t="s">
        <v>169</v>
      </c>
      <c r="K42" s="1" t="s">
        <v>170</v>
      </c>
      <c r="L42" s="1" t="s">
        <v>171</v>
      </c>
      <c r="M42" s="1">
        <v>49</v>
      </c>
      <c r="N42" s="1" t="s">
        <v>39</v>
      </c>
      <c r="O42" s="1">
        <v>37.882399999999997</v>
      </c>
      <c r="P42" s="1">
        <v>-84.102500000000006</v>
      </c>
      <c r="Q42" s="1" t="s">
        <v>172</v>
      </c>
      <c r="R42" s="1" t="s">
        <v>41</v>
      </c>
      <c r="T42" s="1" t="s">
        <v>93</v>
      </c>
      <c r="U42" s="1" t="s">
        <v>44</v>
      </c>
      <c r="V42" s="1" t="s">
        <v>173</v>
      </c>
      <c r="X42" s="1" t="s">
        <v>183</v>
      </c>
      <c r="AA42" s="3">
        <v>37210</v>
      </c>
      <c r="AB42" s="1" t="s">
        <v>46</v>
      </c>
      <c r="AC42" s="5">
        <v>1300</v>
      </c>
      <c r="AD42" s="1" t="s">
        <v>184</v>
      </c>
      <c r="AE42" s="1" t="str">
        <f t="shared" si="1"/>
        <v>54 SCT4</v>
      </c>
      <c r="AF42" s="5" t="str">
        <f t="shared" si="2"/>
        <v>108</v>
      </c>
      <c r="AG42" s="1" t="str">
        <f t="shared" si="0"/>
        <v/>
      </c>
    </row>
    <row r="43" spans="1:33" x14ac:dyDescent="0.2">
      <c r="A43" s="1" t="s">
        <v>165</v>
      </c>
      <c r="B43" s="1" t="s">
        <v>166</v>
      </c>
      <c r="C43" s="1">
        <v>54</v>
      </c>
      <c r="D43" s="1" t="s">
        <v>185</v>
      </c>
      <c r="F43" s="1">
        <v>2023</v>
      </c>
      <c r="G43" s="1" t="s">
        <v>168</v>
      </c>
      <c r="H43" s="1">
        <v>605834</v>
      </c>
      <c r="I43" s="1">
        <v>4</v>
      </c>
      <c r="J43" s="1" t="s">
        <v>169</v>
      </c>
      <c r="K43" s="1" t="s">
        <v>170</v>
      </c>
      <c r="L43" s="1" t="s">
        <v>171</v>
      </c>
      <c r="M43" s="1">
        <v>49</v>
      </c>
      <c r="N43" s="1" t="s">
        <v>39</v>
      </c>
      <c r="O43" s="1">
        <v>37.882399999999997</v>
      </c>
      <c r="P43" s="1">
        <v>-84.102500000000006</v>
      </c>
      <c r="Q43" s="1" t="s">
        <v>172</v>
      </c>
      <c r="R43" s="1" t="s">
        <v>41</v>
      </c>
      <c r="T43" s="1" t="s">
        <v>93</v>
      </c>
      <c r="U43" s="1" t="s">
        <v>44</v>
      </c>
      <c r="V43" s="1" t="s">
        <v>173</v>
      </c>
      <c r="X43" s="1" t="s">
        <v>183</v>
      </c>
      <c r="AA43" s="3">
        <v>37210</v>
      </c>
      <c r="AB43" s="1" t="s">
        <v>46</v>
      </c>
      <c r="AC43" s="5">
        <v>1300</v>
      </c>
      <c r="AD43" s="1" t="s">
        <v>186</v>
      </c>
      <c r="AE43" s="1" t="str">
        <f t="shared" si="1"/>
        <v>54 SCT5</v>
      </c>
      <c r="AF43" s="5" t="str">
        <f t="shared" si="2"/>
        <v>108</v>
      </c>
      <c r="AG43" s="1" t="str">
        <f t="shared" si="0"/>
        <v/>
      </c>
    </row>
    <row r="44" spans="1:33" x14ac:dyDescent="0.2">
      <c r="A44" s="1" t="s">
        <v>165</v>
      </c>
      <c r="B44" s="1" t="s">
        <v>166</v>
      </c>
      <c r="C44" s="1">
        <v>54</v>
      </c>
      <c r="D44" s="1" t="s">
        <v>187</v>
      </c>
      <c r="F44" s="1">
        <v>2023</v>
      </c>
      <c r="G44" s="1" t="s">
        <v>168</v>
      </c>
      <c r="H44" s="1">
        <v>605834</v>
      </c>
      <c r="I44" s="1">
        <v>4</v>
      </c>
      <c r="J44" s="1" t="s">
        <v>169</v>
      </c>
      <c r="K44" s="1" t="s">
        <v>170</v>
      </c>
      <c r="L44" s="1" t="s">
        <v>171</v>
      </c>
      <c r="M44" s="1">
        <v>49</v>
      </c>
      <c r="N44" s="1" t="s">
        <v>39</v>
      </c>
      <c r="O44" s="1">
        <v>37.882399999999997</v>
      </c>
      <c r="P44" s="1">
        <v>-84.102500000000006</v>
      </c>
      <c r="Q44" s="1" t="s">
        <v>172</v>
      </c>
      <c r="R44" s="1" t="s">
        <v>41</v>
      </c>
      <c r="T44" s="1" t="s">
        <v>93</v>
      </c>
      <c r="U44" s="1" t="s">
        <v>44</v>
      </c>
      <c r="V44" s="1" t="s">
        <v>173</v>
      </c>
      <c r="X44" s="1" t="s">
        <v>183</v>
      </c>
      <c r="AA44" s="3">
        <v>38364</v>
      </c>
      <c r="AB44" s="1" t="s">
        <v>46</v>
      </c>
      <c r="AC44" s="5">
        <v>1300</v>
      </c>
      <c r="AD44" s="1" t="s">
        <v>188</v>
      </c>
      <c r="AE44" s="1" t="str">
        <f t="shared" si="1"/>
        <v>54 SCT6</v>
      </c>
      <c r="AF44" s="5" t="str">
        <f t="shared" si="2"/>
        <v>98</v>
      </c>
      <c r="AG44" s="1" t="str">
        <f t="shared" si="0"/>
        <v/>
      </c>
    </row>
    <row r="45" spans="1:33" x14ac:dyDescent="0.2">
      <c r="A45" s="1" t="s">
        <v>165</v>
      </c>
      <c r="B45" s="1" t="s">
        <v>166</v>
      </c>
      <c r="C45" s="1">
        <v>54</v>
      </c>
      <c r="D45" s="1" t="s">
        <v>189</v>
      </c>
      <c r="F45" s="1">
        <v>2023</v>
      </c>
      <c r="G45" s="1" t="s">
        <v>168</v>
      </c>
      <c r="H45" s="1">
        <v>605834</v>
      </c>
      <c r="I45" s="1">
        <v>4</v>
      </c>
      <c r="J45" s="1" t="s">
        <v>169</v>
      </c>
      <c r="K45" s="1" t="s">
        <v>170</v>
      </c>
      <c r="L45" s="1" t="s">
        <v>171</v>
      </c>
      <c r="M45" s="1">
        <v>49</v>
      </c>
      <c r="N45" s="1" t="s">
        <v>39</v>
      </c>
      <c r="O45" s="1">
        <v>37.882399999999997</v>
      </c>
      <c r="P45" s="1">
        <v>-84.102500000000006</v>
      </c>
      <c r="Q45" s="1" t="s">
        <v>172</v>
      </c>
      <c r="R45" s="1" t="s">
        <v>41</v>
      </c>
      <c r="T45" s="1" t="s">
        <v>93</v>
      </c>
      <c r="U45" s="1" t="s">
        <v>44</v>
      </c>
      <c r="V45" s="1" t="s">
        <v>173</v>
      </c>
      <c r="X45" s="1" t="s">
        <v>183</v>
      </c>
      <c r="AA45" s="3">
        <v>38364</v>
      </c>
      <c r="AB45" s="1" t="s">
        <v>46</v>
      </c>
      <c r="AC45" s="5">
        <v>1300</v>
      </c>
      <c r="AD45" s="1" t="s">
        <v>190</v>
      </c>
      <c r="AE45" s="1" t="str">
        <f t="shared" si="1"/>
        <v>54 SCT7</v>
      </c>
      <c r="AF45" s="5" t="str">
        <f t="shared" si="2"/>
        <v>98</v>
      </c>
      <c r="AG45" s="1" t="str">
        <f t="shared" si="0"/>
        <v/>
      </c>
    </row>
    <row r="46" spans="1:33" x14ac:dyDescent="0.2">
      <c r="A46" s="1" t="s">
        <v>165</v>
      </c>
      <c r="B46" s="1" t="s">
        <v>166</v>
      </c>
      <c r="C46" s="1">
        <v>54</v>
      </c>
      <c r="D46" s="1" t="s">
        <v>191</v>
      </c>
      <c r="F46" s="1">
        <v>2023</v>
      </c>
      <c r="G46" s="1" t="s">
        <v>168</v>
      </c>
      <c r="H46" s="1">
        <v>605834</v>
      </c>
      <c r="I46" s="1">
        <v>4</v>
      </c>
      <c r="J46" s="1" t="s">
        <v>169</v>
      </c>
      <c r="K46" s="1" t="s">
        <v>170</v>
      </c>
      <c r="L46" s="1" t="s">
        <v>171</v>
      </c>
      <c r="M46" s="1">
        <v>49</v>
      </c>
      <c r="N46" s="1" t="s">
        <v>39</v>
      </c>
      <c r="O46" s="1">
        <v>37.882399999999997</v>
      </c>
      <c r="P46" s="1">
        <v>-84.102500000000006</v>
      </c>
      <c r="Q46" s="1" t="s">
        <v>172</v>
      </c>
      <c r="R46" s="1" t="s">
        <v>41</v>
      </c>
      <c r="T46" s="1" t="s">
        <v>93</v>
      </c>
      <c r="U46" s="1" t="s">
        <v>44</v>
      </c>
      <c r="X46" s="1" t="s">
        <v>176</v>
      </c>
      <c r="AA46" s="3">
        <v>40131</v>
      </c>
      <c r="AB46" s="1" t="s">
        <v>46</v>
      </c>
      <c r="AC46" s="5">
        <v>993</v>
      </c>
      <c r="AD46" s="1" t="s">
        <v>192</v>
      </c>
      <c r="AE46" s="1" t="str">
        <f t="shared" si="1"/>
        <v>54 SCT9</v>
      </c>
      <c r="AF46" s="5" t="str">
        <f t="shared" si="2"/>
        <v>98</v>
      </c>
      <c r="AG46" s="1" t="str">
        <f t="shared" si="0"/>
        <v>Y</v>
      </c>
    </row>
    <row r="47" spans="1:33" x14ac:dyDescent="0.2">
      <c r="A47" s="1" t="s">
        <v>32</v>
      </c>
      <c r="B47" s="1" t="s">
        <v>193</v>
      </c>
      <c r="C47" s="1">
        <v>56</v>
      </c>
      <c r="D47" s="1" t="s">
        <v>194</v>
      </c>
      <c r="F47" s="1">
        <v>2023</v>
      </c>
      <c r="G47" s="1" t="s">
        <v>195</v>
      </c>
      <c r="H47" s="1">
        <v>609045</v>
      </c>
      <c r="I47" s="1">
        <v>4</v>
      </c>
      <c r="J47" s="1" t="s">
        <v>36</v>
      </c>
      <c r="K47" s="1" t="s">
        <v>196</v>
      </c>
      <c r="L47" s="1" t="s">
        <v>197</v>
      </c>
      <c r="M47" s="1">
        <v>129</v>
      </c>
      <c r="N47" s="1" t="s">
        <v>39</v>
      </c>
      <c r="O47" s="1">
        <v>31.485800000000001</v>
      </c>
      <c r="P47" s="1">
        <v>-87.910600000000002</v>
      </c>
      <c r="Q47" s="1" t="s">
        <v>198</v>
      </c>
      <c r="R47" s="1" t="s">
        <v>41</v>
      </c>
      <c r="T47" s="1" t="s">
        <v>199</v>
      </c>
      <c r="U47" s="1" t="s">
        <v>44</v>
      </c>
      <c r="X47" s="1" t="s">
        <v>200</v>
      </c>
      <c r="AA47" s="3">
        <v>44976</v>
      </c>
      <c r="AB47" s="1" t="s">
        <v>201</v>
      </c>
      <c r="AC47" s="5">
        <v>4500</v>
      </c>
      <c r="AD47" s="1" t="s">
        <v>202</v>
      </c>
      <c r="AE47" s="1" t="str">
        <f t="shared" si="1"/>
        <v>56 CC1</v>
      </c>
      <c r="AF47" s="14">
        <f>MID(AD47,FIND("(",AD47)+1,FIND(")",AD47)-FIND("(",AD47)-1)+272.2</f>
        <v>726.7</v>
      </c>
      <c r="AG47" s="1" t="str">
        <f t="shared" si="0"/>
        <v>Y</v>
      </c>
    </row>
    <row r="48" spans="1:33" x14ac:dyDescent="0.2">
      <c r="A48" s="1" t="s">
        <v>203</v>
      </c>
      <c r="B48" s="1" t="s">
        <v>204</v>
      </c>
      <c r="C48" s="1">
        <v>59</v>
      </c>
      <c r="D48" s="1">
        <v>1</v>
      </c>
      <c r="F48" s="1">
        <v>2023</v>
      </c>
      <c r="G48" s="1" t="s">
        <v>205</v>
      </c>
      <c r="H48" s="1" t="s">
        <v>206</v>
      </c>
      <c r="I48" s="1">
        <v>7</v>
      </c>
      <c r="J48" s="1" t="s">
        <v>207</v>
      </c>
      <c r="K48" s="1" t="s">
        <v>208</v>
      </c>
      <c r="L48" s="1" t="s">
        <v>209</v>
      </c>
      <c r="M48" s="1">
        <v>79</v>
      </c>
      <c r="N48" s="1" t="s">
        <v>39</v>
      </c>
      <c r="O48" s="1">
        <v>40.8538</v>
      </c>
      <c r="P48" s="1">
        <v>-98.348100000000002</v>
      </c>
      <c r="Q48" s="1" t="s">
        <v>210</v>
      </c>
      <c r="R48" s="1" t="s">
        <v>41</v>
      </c>
      <c r="S48" s="1" t="s">
        <v>211</v>
      </c>
      <c r="T48" s="1" t="s">
        <v>43</v>
      </c>
      <c r="U48" s="1" t="s">
        <v>55</v>
      </c>
      <c r="V48" s="1" t="s">
        <v>94</v>
      </c>
      <c r="W48" s="1" t="s">
        <v>212</v>
      </c>
      <c r="X48" s="1" t="s">
        <v>213</v>
      </c>
      <c r="Y48" s="1" t="s">
        <v>123</v>
      </c>
      <c r="Z48" s="1" t="s">
        <v>214</v>
      </c>
      <c r="AA48" s="3">
        <v>30164</v>
      </c>
      <c r="AB48" s="1" t="s">
        <v>46</v>
      </c>
      <c r="AC48" s="5">
        <v>1500</v>
      </c>
      <c r="AD48" s="1" t="s">
        <v>215</v>
      </c>
      <c r="AE48" s="1" t="str">
        <f t="shared" si="1"/>
        <v>59 1</v>
      </c>
      <c r="AF48" s="5" t="str">
        <f t="shared" ref="AF48:AF58" si="3">MID(AD48,FIND("(",AD48)+1,FIND(")",AD48)-FIND("(",AD48)-1)</f>
        <v>109.8</v>
      </c>
      <c r="AG48" s="1" t="str">
        <f t="shared" si="0"/>
        <v/>
      </c>
    </row>
    <row r="49" spans="1:33" x14ac:dyDescent="0.2">
      <c r="A49" s="1" t="s">
        <v>203</v>
      </c>
      <c r="B49" s="1" t="s">
        <v>216</v>
      </c>
      <c r="C49" s="1">
        <v>60</v>
      </c>
      <c r="D49" s="1">
        <v>1</v>
      </c>
      <c r="F49" s="1">
        <v>2023</v>
      </c>
      <c r="G49" s="1" t="s">
        <v>205</v>
      </c>
      <c r="H49" s="1">
        <v>601803</v>
      </c>
      <c r="I49" s="1">
        <v>7</v>
      </c>
      <c r="J49" s="1" t="s">
        <v>207</v>
      </c>
      <c r="K49" s="1" t="s">
        <v>217</v>
      </c>
      <c r="L49" s="1" t="s">
        <v>218</v>
      </c>
      <c r="M49" s="1">
        <v>1</v>
      </c>
      <c r="N49" s="1" t="s">
        <v>39</v>
      </c>
      <c r="O49" s="1">
        <v>40.580599999999997</v>
      </c>
      <c r="P49" s="1">
        <v>-98.310599999999994</v>
      </c>
      <c r="Q49" s="1" t="s">
        <v>219</v>
      </c>
      <c r="R49" s="1" t="s">
        <v>41</v>
      </c>
      <c r="S49" s="1" t="s">
        <v>211</v>
      </c>
      <c r="T49" s="1" t="s">
        <v>43</v>
      </c>
      <c r="U49" s="1" t="s">
        <v>55</v>
      </c>
      <c r="X49" s="1" t="s">
        <v>220</v>
      </c>
      <c r="Y49" s="1" t="s">
        <v>58</v>
      </c>
      <c r="AA49" s="3">
        <v>29768</v>
      </c>
      <c r="AB49" s="1" t="s">
        <v>46</v>
      </c>
      <c r="AC49" s="5">
        <v>835</v>
      </c>
      <c r="AD49" s="1" t="s">
        <v>221</v>
      </c>
      <c r="AE49" s="1" t="str">
        <f t="shared" si="1"/>
        <v>60 1</v>
      </c>
      <c r="AF49" s="5" t="str">
        <f t="shared" si="3"/>
        <v>77</v>
      </c>
      <c r="AG49" s="1" t="str">
        <f t="shared" si="0"/>
        <v/>
      </c>
    </row>
    <row r="50" spans="1:33" x14ac:dyDescent="0.2">
      <c r="A50" s="1" t="s">
        <v>203</v>
      </c>
      <c r="B50" s="1" t="s">
        <v>216</v>
      </c>
      <c r="C50" s="1">
        <v>60</v>
      </c>
      <c r="D50" s="1">
        <v>2</v>
      </c>
      <c r="F50" s="1">
        <v>2023</v>
      </c>
      <c r="G50" s="1" t="s">
        <v>205</v>
      </c>
      <c r="H50" s="1">
        <v>601803</v>
      </c>
      <c r="I50" s="1">
        <v>7</v>
      </c>
      <c r="J50" s="1" t="s">
        <v>207</v>
      </c>
      <c r="K50" s="1" t="s">
        <v>217</v>
      </c>
      <c r="L50" s="1" t="s">
        <v>218</v>
      </c>
      <c r="M50" s="1">
        <v>1</v>
      </c>
      <c r="N50" s="1" t="s">
        <v>39</v>
      </c>
      <c r="O50" s="1">
        <v>40.580599999999997</v>
      </c>
      <c r="P50" s="1">
        <v>-98.310599999999994</v>
      </c>
      <c r="Q50" s="1" t="s">
        <v>222</v>
      </c>
      <c r="R50" s="1" t="s">
        <v>41</v>
      </c>
      <c r="T50" s="1" t="s">
        <v>89</v>
      </c>
      <c r="U50" s="1" t="s">
        <v>55</v>
      </c>
      <c r="W50" s="1" t="s">
        <v>212</v>
      </c>
      <c r="X50" s="1" t="s">
        <v>223</v>
      </c>
      <c r="AA50" s="3">
        <v>40477</v>
      </c>
      <c r="AB50" s="1" t="s">
        <v>46</v>
      </c>
      <c r="AC50" s="5">
        <v>2210.5</v>
      </c>
      <c r="AD50" s="1" t="s">
        <v>224</v>
      </c>
      <c r="AE50" s="1" t="str">
        <f t="shared" si="1"/>
        <v>60 2</v>
      </c>
      <c r="AF50" s="5" t="str">
        <f t="shared" si="3"/>
        <v>220</v>
      </c>
      <c r="AG50" s="1" t="str">
        <f t="shared" si="0"/>
        <v>Y</v>
      </c>
    </row>
    <row r="51" spans="1:33" x14ac:dyDescent="0.2">
      <c r="A51" s="1" t="s">
        <v>225</v>
      </c>
      <c r="B51" s="1" t="s">
        <v>226</v>
      </c>
      <c r="C51" s="1">
        <v>108</v>
      </c>
      <c r="D51" s="1" t="s">
        <v>227</v>
      </c>
      <c r="F51" s="1">
        <v>2023</v>
      </c>
      <c r="G51" s="1" t="s">
        <v>54</v>
      </c>
      <c r="H51" s="1">
        <v>608386</v>
      </c>
      <c r="I51" s="1">
        <v>7</v>
      </c>
      <c r="J51" s="1" t="s">
        <v>228</v>
      </c>
      <c r="K51" s="1" t="s">
        <v>229</v>
      </c>
      <c r="L51" s="1" t="s">
        <v>230</v>
      </c>
      <c r="M51" s="1">
        <v>55</v>
      </c>
      <c r="N51" s="1" t="s">
        <v>39</v>
      </c>
      <c r="O51" s="1">
        <v>37.930599999999998</v>
      </c>
      <c r="P51" s="1">
        <v>-100.9725</v>
      </c>
      <c r="Q51" s="1" t="s">
        <v>231</v>
      </c>
      <c r="R51" s="1" t="s">
        <v>41</v>
      </c>
      <c r="S51" s="1" t="s">
        <v>42</v>
      </c>
      <c r="T51" s="1" t="s">
        <v>89</v>
      </c>
      <c r="U51" s="1" t="s">
        <v>55</v>
      </c>
      <c r="W51" s="1" t="s">
        <v>212</v>
      </c>
      <c r="X51" s="1" t="s">
        <v>90</v>
      </c>
      <c r="Y51" s="1" t="s">
        <v>232</v>
      </c>
      <c r="AA51" s="3">
        <v>30529</v>
      </c>
      <c r="AB51" s="1" t="s">
        <v>46</v>
      </c>
      <c r="AC51" s="5">
        <v>4320</v>
      </c>
      <c r="AD51" s="1" t="s">
        <v>233</v>
      </c>
      <c r="AE51" s="1" t="str">
        <f t="shared" si="1"/>
        <v>108 SGU1</v>
      </c>
      <c r="AF51" s="5" t="str">
        <f t="shared" si="3"/>
        <v>387</v>
      </c>
      <c r="AG51" s="1" t="str">
        <f t="shared" si="0"/>
        <v/>
      </c>
    </row>
    <row r="52" spans="1:33" x14ac:dyDescent="0.2">
      <c r="A52" s="1" t="s">
        <v>234</v>
      </c>
      <c r="B52" s="1" t="s">
        <v>235</v>
      </c>
      <c r="C52" s="1">
        <v>113</v>
      </c>
      <c r="D52" s="1">
        <v>1</v>
      </c>
      <c r="F52" s="1">
        <v>2023</v>
      </c>
      <c r="G52" s="1" t="s">
        <v>236</v>
      </c>
      <c r="H52" s="1">
        <v>610386</v>
      </c>
      <c r="I52" s="1">
        <v>9</v>
      </c>
      <c r="J52" s="1" t="s">
        <v>237</v>
      </c>
      <c r="K52" s="1" t="s">
        <v>238</v>
      </c>
      <c r="L52" s="1" t="s">
        <v>239</v>
      </c>
      <c r="M52" s="1">
        <v>17</v>
      </c>
      <c r="N52" s="1" t="s">
        <v>39</v>
      </c>
      <c r="O52" s="1">
        <v>34.939399999999999</v>
      </c>
      <c r="P52" s="1">
        <v>-110.30329999999999</v>
      </c>
      <c r="Q52" s="1" t="s">
        <v>240</v>
      </c>
      <c r="R52" s="1" t="s">
        <v>41</v>
      </c>
      <c r="S52" s="1" t="s">
        <v>211</v>
      </c>
      <c r="T52" s="1" t="s">
        <v>43</v>
      </c>
      <c r="U52" s="1" t="s">
        <v>55</v>
      </c>
      <c r="W52" s="1" t="s">
        <v>241</v>
      </c>
      <c r="X52" s="1" t="s">
        <v>242</v>
      </c>
      <c r="Y52" s="1" t="s">
        <v>232</v>
      </c>
      <c r="AA52" s="3">
        <v>22767</v>
      </c>
      <c r="AB52" s="1" t="s">
        <v>46</v>
      </c>
      <c r="AC52" s="5">
        <v>1516</v>
      </c>
      <c r="AD52" s="1" t="s">
        <v>243</v>
      </c>
      <c r="AE52" s="1" t="str">
        <f t="shared" si="1"/>
        <v>113 1</v>
      </c>
      <c r="AF52" s="5" t="str">
        <f t="shared" si="3"/>
        <v>113.6</v>
      </c>
      <c r="AG52" s="1" t="str">
        <f t="shared" si="0"/>
        <v/>
      </c>
    </row>
    <row r="53" spans="1:33" x14ac:dyDescent="0.2">
      <c r="A53" s="1" t="s">
        <v>234</v>
      </c>
      <c r="B53" s="1" t="s">
        <v>235</v>
      </c>
      <c r="C53" s="1">
        <v>113</v>
      </c>
      <c r="D53" s="1">
        <v>3</v>
      </c>
      <c r="F53" s="1">
        <v>2023</v>
      </c>
      <c r="G53" s="1" t="s">
        <v>236</v>
      </c>
      <c r="H53" s="1">
        <v>610386</v>
      </c>
      <c r="I53" s="1">
        <v>9</v>
      </c>
      <c r="J53" s="1" t="s">
        <v>237</v>
      </c>
      <c r="K53" s="1" t="s">
        <v>238</v>
      </c>
      <c r="L53" s="1" t="s">
        <v>239</v>
      </c>
      <c r="M53" s="1">
        <v>17</v>
      </c>
      <c r="N53" s="1" t="s">
        <v>39</v>
      </c>
      <c r="O53" s="1">
        <v>34.939399999999999</v>
      </c>
      <c r="P53" s="1">
        <v>-110.30329999999999</v>
      </c>
      <c r="Q53" s="1" t="s">
        <v>240</v>
      </c>
      <c r="R53" s="1" t="s">
        <v>41</v>
      </c>
      <c r="S53" s="1" t="s">
        <v>211</v>
      </c>
      <c r="T53" s="1" t="s">
        <v>43</v>
      </c>
      <c r="U53" s="1" t="s">
        <v>55</v>
      </c>
      <c r="W53" s="1" t="s">
        <v>241</v>
      </c>
      <c r="X53" s="1" t="s">
        <v>213</v>
      </c>
      <c r="Y53" s="1" t="s">
        <v>232</v>
      </c>
      <c r="AA53" s="3">
        <v>29356</v>
      </c>
      <c r="AB53" s="1" t="s">
        <v>46</v>
      </c>
      <c r="AC53" s="5">
        <v>5940</v>
      </c>
      <c r="AD53" s="1" t="s">
        <v>244</v>
      </c>
      <c r="AE53" s="1" t="str">
        <f t="shared" si="1"/>
        <v>113 3</v>
      </c>
      <c r="AF53" s="5" t="str">
        <f t="shared" si="3"/>
        <v>288.9</v>
      </c>
      <c r="AG53" s="1" t="str">
        <f t="shared" si="0"/>
        <v/>
      </c>
    </row>
    <row r="54" spans="1:33" x14ac:dyDescent="0.2">
      <c r="A54" s="1" t="s">
        <v>234</v>
      </c>
      <c r="B54" s="1" t="s">
        <v>245</v>
      </c>
      <c r="C54" s="1">
        <v>116</v>
      </c>
      <c r="D54" s="1" t="s">
        <v>246</v>
      </c>
      <c r="F54" s="1">
        <v>2023</v>
      </c>
      <c r="G54" s="1" t="s">
        <v>247</v>
      </c>
      <c r="H54" s="1">
        <v>608779</v>
      </c>
      <c r="I54" s="1">
        <v>9</v>
      </c>
      <c r="K54" s="1" t="s">
        <v>248</v>
      </c>
      <c r="L54" s="1" t="s">
        <v>249</v>
      </c>
      <c r="M54" s="1">
        <v>13</v>
      </c>
      <c r="N54" s="1" t="s">
        <v>39</v>
      </c>
      <c r="O54" s="1">
        <v>33.422499999999999</v>
      </c>
      <c r="P54" s="1">
        <v>-111.9122</v>
      </c>
      <c r="Q54" s="1" t="s">
        <v>240</v>
      </c>
      <c r="R54" s="1" t="s">
        <v>41</v>
      </c>
      <c r="T54" s="1" t="s">
        <v>93</v>
      </c>
      <c r="U54" s="1" t="s">
        <v>44</v>
      </c>
      <c r="X54" s="1" t="s">
        <v>176</v>
      </c>
      <c r="AA54" s="3">
        <v>43561</v>
      </c>
      <c r="AB54" s="1" t="s">
        <v>46</v>
      </c>
      <c r="AC54" s="5">
        <v>1000</v>
      </c>
      <c r="AD54" s="1" t="s">
        <v>250</v>
      </c>
      <c r="AE54" s="1" t="str">
        <f t="shared" si="1"/>
        <v>116 GT3</v>
      </c>
      <c r="AF54" s="5" t="str">
        <f t="shared" si="3"/>
        <v>102</v>
      </c>
      <c r="AG54" s="1" t="str">
        <f t="shared" si="0"/>
        <v>Y</v>
      </c>
    </row>
    <row r="55" spans="1:33" x14ac:dyDescent="0.2">
      <c r="A55" s="1" t="s">
        <v>234</v>
      </c>
      <c r="B55" s="1" t="s">
        <v>245</v>
      </c>
      <c r="C55" s="1">
        <v>116</v>
      </c>
      <c r="D55" s="1" t="s">
        <v>251</v>
      </c>
      <c r="F55" s="1">
        <v>2023</v>
      </c>
      <c r="G55" s="1" t="s">
        <v>247</v>
      </c>
      <c r="H55" s="1">
        <v>608779</v>
      </c>
      <c r="I55" s="1">
        <v>9</v>
      </c>
      <c r="K55" s="1" t="s">
        <v>248</v>
      </c>
      <c r="L55" s="1" t="s">
        <v>249</v>
      </c>
      <c r="M55" s="1">
        <v>13</v>
      </c>
      <c r="N55" s="1" t="s">
        <v>39</v>
      </c>
      <c r="O55" s="1">
        <v>33.422499999999999</v>
      </c>
      <c r="P55" s="1">
        <v>-111.9122</v>
      </c>
      <c r="Q55" s="1" t="s">
        <v>240</v>
      </c>
      <c r="R55" s="1" t="s">
        <v>41</v>
      </c>
      <c r="T55" s="1" t="s">
        <v>93</v>
      </c>
      <c r="U55" s="1" t="s">
        <v>44</v>
      </c>
      <c r="X55" s="1" t="s">
        <v>176</v>
      </c>
      <c r="AA55" s="3">
        <v>43528</v>
      </c>
      <c r="AB55" s="1" t="s">
        <v>46</v>
      </c>
      <c r="AC55" s="5">
        <v>1000</v>
      </c>
      <c r="AD55" s="1" t="s">
        <v>252</v>
      </c>
      <c r="AE55" s="1" t="str">
        <f t="shared" si="1"/>
        <v>116 GT4</v>
      </c>
      <c r="AF55" s="5" t="str">
        <f t="shared" si="3"/>
        <v>102</v>
      </c>
      <c r="AG55" s="1" t="str">
        <f t="shared" si="0"/>
        <v>Y</v>
      </c>
    </row>
    <row r="56" spans="1:33" x14ac:dyDescent="0.2">
      <c r="A56" s="1" t="s">
        <v>234</v>
      </c>
      <c r="B56" s="1" t="s">
        <v>245</v>
      </c>
      <c r="C56" s="1">
        <v>116</v>
      </c>
      <c r="D56" s="1" t="s">
        <v>253</v>
      </c>
      <c r="F56" s="1">
        <v>2023</v>
      </c>
      <c r="G56" s="1" t="s">
        <v>247</v>
      </c>
      <c r="H56" s="1">
        <v>608779</v>
      </c>
      <c r="I56" s="1">
        <v>9</v>
      </c>
      <c r="K56" s="1" t="s">
        <v>248</v>
      </c>
      <c r="L56" s="1" t="s">
        <v>249</v>
      </c>
      <c r="M56" s="1">
        <v>13</v>
      </c>
      <c r="N56" s="1" t="s">
        <v>39</v>
      </c>
      <c r="O56" s="1">
        <v>33.422499999999999</v>
      </c>
      <c r="P56" s="1">
        <v>-111.9122</v>
      </c>
      <c r="Q56" s="1" t="s">
        <v>240</v>
      </c>
      <c r="R56" s="1" t="s">
        <v>41</v>
      </c>
      <c r="T56" s="1" t="s">
        <v>93</v>
      </c>
      <c r="U56" s="1" t="s">
        <v>44</v>
      </c>
      <c r="X56" s="1" t="s">
        <v>176</v>
      </c>
      <c r="AA56" s="3">
        <v>43537</v>
      </c>
      <c r="AB56" s="1" t="s">
        <v>46</v>
      </c>
      <c r="AC56" s="5">
        <v>1000</v>
      </c>
      <c r="AD56" s="1" t="s">
        <v>254</v>
      </c>
      <c r="AE56" s="1" t="str">
        <f t="shared" si="1"/>
        <v>116 GT5</v>
      </c>
      <c r="AF56" s="5" t="str">
        <f t="shared" si="3"/>
        <v>102</v>
      </c>
      <c r="AG56" s="1" t="str">
        <f t="shared" si="0"/>
        <v>Y</v>
      </c>
    </row>
    <row r="57" spans="1:33" x14ac:dyDescent="0.2">
      <c r="A57" s="1" t="s">
        <v>234</v>
      </c>
      <c r="B57" s="1" t="s">
        <v>245</v>
      </c>
      <c r="C57" s="1">
        <v>116</v>
      </c>
      <c r="D57" s="1" t="s">
        <v>255</v>
      </c>
      <c r="F57" s="1">
        <v>2023</v>
      </c>
      <c r="G57" s="1" t="s">
        <v>247</v>
      </c>
      <c r="H57" s="1">
        <v>608779</v>
      </c>
      <c r="I57" s="1">
        <v>9</v>
      </c>
      <c r="K57" s="1" t="s">
        <v>248</v>
      </c>
      <c r="L57" s="1" t="s">
        <v>249</v>
      </c>
      <c r="M57" s="1">
        <v>13</v>
      </c>
      <c r="N57" s="1" t="s">
        <v>39</v>
      </c>
      <c r="O57" s="1">
        <v>33.422499999999999</v>
      </c>
      <c r="P57" s="1">
        <v>-111.9122</v>
      </c>
      <c r="Q57" s="1" t="s">
        <v>240</v>
      </c>
      <c r="R57" s="1" t="s">
        <v>41</v>
      </c>
      <c r="T57" s="1" t="s">
        <v>93</v>
      </c>
      <c r="U57" s="1" t="s">
        <v>44</v>
      </c>
      <c r="X57" s="1" t="s">
        <v>176</v>
      </c>
      <c r="AA57" s="3">
        <v>43511</v>
      </c>
      <c r="AB57" s="1" t="s">
        <v>46</v>
      </c>
      <c r="AC57" s="5">
        <v>1000</v>
      </c>
      <c r="AD57" s="1" t="s">
        <v>256</v>
      </c>
      <c r="AE57" s="1" t="str">
        <f t="shared" si="1"/>
        <v>116 GT6</v>
      </c>
      <c r="AF57" s="5" t="str">
        <f t="shared" si="3"/>
        <v>102</v>
      </c>
      <c r="AG57" s="1" t="str">
        <f t="shared" si="0"/>
        <v>Y</v>
      </c>
    </row>
    <row r="58" spans="1:33" x14ac:dyDescent="0.2">
      <c r="A58" s="1" t="s">
        <v>234</v>
      </c>
      <c r="B58" s="1" t="s">
        <v>245</v>
      </c>
      <c r="C58" s="1">
        <v>116</v>
      </c>
      <c r="D58" s="1" t="s">
        <v>257</v>
      </c>
      <c r="F58" s="1">
        <v>2023</v>
      </c>
      <c r="G58" s="1" t="s">
        <v>247</v>
      </c>
      <c r="H58" s="1">
        <v>608779</v>
      </c>
      <c r="I58" s="1">
        <v>9</v>
      </c>
      <c r="K58" s="1" t="s">
        <v>248</v>
      </c>
      <c r="L58" s="1" t="s">
        <v>249</v>
      </c>
      <c r="M58" s="1">
        <v>13</v>
      </c>
      <c r="N58" s="1" t="s">
        <v>39</v>
      </c>
      <c r="O58" s="1">
        <v>33.422499999999999</v>
      </c>
      <c r="P58" s="1">
        <v>-111.9122</v>
      </c>
      <c r="Q58" s="1" t="s">
        <v>240</v>
      </c>
      <c r="R58" s="1" t="s">
        <v>41</v>
      </c>
      <c r="T58" s="1" t="s">
        <v>93</v>
      </c>
      <c r="U58" s="1" t="s">
        <v>44</v>
      </c>
      <c r="X58" s="1" t="s">
        <v>176</v>
      </c>
      <c r="AA58" s="3">
        <v>43481</v>
      </c>
      <c r="AB58" s="1" t="s">
        <v>46</v>
      </c>
      <c r="AC58" s="5">
        <v>1000</v>
      </c>
      <c r="AD58" s="1" t="s">
        <v>258</v>
      </c>
      <c r="AE58" s="1" t="str">
        <f t="shared" si="1"/>
        <v>116 GT7</v>
      </c>
      <c r="AF58" s="5" t="str">
        <f t="shared" si="3"/>
        <v>102</v>
      </c>
      <c r="AG58" s="1" t="str">
        <f t="shared" si="0"/>
        <v>Y</v>
      </c>
    </row>
    <row r="59" spans="1:33" x14ac:dyDescent="0.2">
      <c r="A59" s="1" t="s">
        <v>234</v>
      </c>
      <c r="B59" s="1" t="s">
        <v>259</v>
      </c>
      <c r="C59" s="1">
        <v>117</v>
      </c>
      <c r="D59" s="1" t="s">
        <v>260</v>
      </c>
      <c r="F59" s="1">
        <v>2023</v>
      </c>
      <c r="G59" s="1" t="s">
        <v>247</v>
      </c>
      <c r="H59" s="1" t="s">
        <v>261</v>
      </c>
      <c r="I59" s="1">
        <v>9</v>
      </c>
      <c r="K59" s="1" t="s">
        <v>248</v>
      </c>
      <c r="L59" s="1" t="s">
        <v>249</v>
      </c>
      <c r="M59" s="1">
        <v>13</v>
      </c>
      <c r="N59" s="1" t="s">
        <v>39</v>
      </c>
      <c r="O59" s="1">
        <v>33.441699999999997</v>
      </c>
      <c r="P59" s="1">
        <v>-112.1583</v>
      </c>
      <c r="Q59" s="1" t="s">
        <v>240</v>
      </c>
      <c r="R59" s="1" t="s">
        <v>41</v>
      </c>
      <c r="T59" s="1" t="s">
        <v>71</v>
      </c>
      <c r="U59" s="1" t="s">
        <v>44</v>
      </c>
      <c r="X59" s="1" t="s">
        <v>140</v>
      </c>
      <c r="AA59" s="3">
        <v>36993</v>
      </c>
      <c r="AB59" s="1" t="s">
        <v>46</v>
      </c>
      <c r="AC59" s="5">
        <v>1190</v>
      </c>
      <c r="AD59" s="1" t="s">
        <v>262</v>
      </c>
      <c r="AE59" s="1" t="str">
        <f t="shared" si="1"/>
        <v>117 CC4</v>
      </c>
      <c r="AF59" s="14">
        <f>MID(AD59,FIND("(",AD59)+1,FIND(")",AD59)-FIND("(",AD59)-1)+91</f>
        <v>135.6</v>
      </c>
      <c r="AG59" s="1" t="str">
        <f t="shared" si="0"/>
        <v/>
      </c>
    </row>
    <row r="60" spans="1:33" x14ac:dyDescent="0.2">
      <c r="A60" s="1" t="s">
        <v>234</v>
      </c>
      <c r="B60" s="1" t="s">
        <v>259</v>
      </c>
      <c r="C60" s="1">
        <v>117</v>
      </c>
      <c r="D60" s="1" t="s">
        <v>263</v>
      </c>
      <c r="F60" s="1">
        <v>2023</v>
      </c>
      <c r="G60" s="1" t="s">
        <v>247</v>
      </c>
      <c r="H60" s="1" t="s">
        <v>261</v>
      </c>
      <c r="I60" s="1">
        <v>9</v>
      </c>
      <c r="K60" s="1" t="s">
        <v>248</v>
      </c>
      <c r="L60" s="1" t="s">
        <v>249</v>
      </c>
      <c r="M60" s="1">
        <v>13</v>
      </c>
      <c r="N60" s="1" t="s">
        <v>39</v>
      </c>
      <c r="O60" s="1">
        <v>33.441699999999997</v>
      </c>
      <c r="P60" s="1">
        <v>-112.1583</v>
      </c>
      <c r="Q60" s="1" t="s">
        <v>240</v>
      </c>
      <c r="R60" s="1" t="s">
        <v>41</v>
      </c>
      <c r="T60" s="1" t="s">
        <v>71</v>
      </c>
      <c r="U60" s="1" t="s">
        <v>44</v>
      </c>
      <c r="X60" s="1" t="s">
        <v>64</v>
      </c>
      <c r="AA60" s="3">
        <v>37785</v>
      </c>
      <c r="AB60" s="1" t="s">
        <v>46</v>
      </c>
      <c r="AC60" s="5">
        <v>2073.5</v>
      </c>
      <c r="AD60" s="1" t="s">
        <v>264</v>
      </c>
      <c r="AE60" s="1" t="str">
        <f t="shared" si="1"/>
        <v>117 CC5A</v>
      </c>
      <c r="AF60" s="14">
        <f>MID(AD60,FIND("(",AD60)+1,FIND(")",AD60)-FIND("(",AD60)-1)+201/2</f>
        <v>284.5</v>
      </c>
      <c r="AG60" s="1" t="str">
        <f t="shared" si="0"/>
        <v>Y</v>
      </c>
    </row>
    <row r="61" spans="1:33" x14ac:dyDescent="0.2">
      <c r="A61" s="1" t="s">
        <v>234</v>
      </c>
      <c r="B61" s="1" t="s">
        <v>259</v>
      </c>
      <c r="C61" s="1">
        <v>117</v>
      </c>
      <c r="D61" s="1" t="s">
        <v>265</v>
      </c>
      <c r="F61" s="1">
        <v>2023</v>
      </c>
      <c r="G61" s="1" t="s">
        <v>247</v>
      </c>
      <c r="H61" s="1" t="s">
        <v>261</v>
      </c>
      <c r="I61" s="1">
        <v>9</v>
      </c>
      <c r="K61" s="1" t="s">
        <v>248</v>
      </c>
      <c r="L61" s="1" t="s">
        <v>249</v>
      </c>
      <c r="M61" s="1">
        <v>13</v>
      </c>
      <c r="N61" s="1" t="s">
        <v>39</v>
      </c>
      <c r="O61" s="1">
        <v>33.441699999999997</v>
      </c>
      <c r="P61" s="1">
        <v>-112.1583</v>
      </c>
      <c r="Q61" s="1" t="s">
        <v>240</v>
      </c>
      <c r="R61" s="1" t="s">
        <v>41</v>
      </c>
      <c r="T61" s="1" t="s">
        <v>71</v>
      </c>
      <c r="U61" s="1" t="s">
        <v>44</v>
      </c>
      <c r="X61" s="1" t="s">
        <v>64</v>
      </c>
      <c r="AA61" s="3">
        <v>37788</v>
      </c>
      <c r="AB61" s="1" t="s">
        <v>46</v>
      </c>
      <c r="AC61" s="5">
        <v>2073.5</v>
      </c>
      <c r="AD61" s="1" t="s">
        <v>266</v>
      </c>
      <c r="AE61" s="1" t="str">
        <f t="shared" si="1"/>
        <v>117 CC5B</v>
      </c>
      <c r="AF61" s="14">
        <f>AF60</f>
        <v>284.5</v>
      </c>
      <c r="AG61" s="1" t="str">
        <f t="shared" si="0"/>
        <v>Y</v>
      </c>
    </row>
    <row r="62" spans="1:33" x14ac:dyDescent="0.2">
      <c r="A62" s="1" t="s">
        <v>234</v>
      </c>
      <c r="B62" s="1" t="s">
        <v>267</v>
      </c>
      <c r="C62" s="1">
        <v>118</v>
      </c>
      <c r="D62" s="1" t="s">
        <v>101</v>
      </c>
      <c r="F62" s="1">
        <v>2023</v>
      </c>
      <c r="G62" s="1" t="s">
        <v>247</v>
      </c>
      <c r="H62" s="1">
        <v>608779</v>
      </c>
      <c r="I62" s="1">
        <v>9</v>
      </c>
      <c r="J62" s="1" t="s">
        <v>237</v>
      </c>
      <c r="K62" s="1" t="s">
        <v>268</v>
      </c>
      <c r="L62" s="1" t="s">
        <v>269</v>
      </c>
      <c r="M62" s="1">
        <v>21</v>
      </c>
      <c r="N62" s="1" t="s">
        <v>39</v>
      </c>
      <c r="O62" s="1">
        <v>32.551699999999997</v>
      </c>
      <c r="P62" s="1">
        <v>-111.3</v>
      </c>
      <c r="Q62" s="1" t="s">
        <v>240</v>
      </c>
      <c r="R62" s="1" t="s">
        <v>41</v>
      </c>
      <c r="T62" s="1" t="s">
        <v>93</v>
      </c>
      <c r="U62" s="1" t="s">
        <v>44</v>
      </c>
      <c r="X62" s="1" t="s">
        <v>140</v>
      </c>
      <c r="AA62" s="3">
        <v>37316</v>
      </c>
      <c r="AB62" s="1" t="s">
        <v>46</v>
      </c>
      <c r="AC62" s="5">
        <v>950</v>
      </c>
      <c r="AD62" s="1" t="s">
        <v>270</v>
      </c>
      <c r="AE62" s="1" t="str">
        <f t="shared" si="1"/>
        <v>118 CT3</v>
      </c>
      <c r="AF62" s="5" t="str">
        <f t="shared" ref="AF62:AF74" si="4">MID(AD62,FIND("(",AD62)+1,FIND(")",AD62)-FIND("(",AD62)-1)</f>
        <v>91</v>
      </c>
      <c r="AG62" s="1" t="str">
        <f t="shared" si="0"/>
        <v/>
      </c>
    </row>
    <row r="63" spans="1:33" x14ac:dyDescent="0.2">
      <c r="A63" s="1" t="s">
        <v>234</v>
      </c>
      <c r="B63" s="1" t="s">
        <v>271</v>
      </c>
      <c r="C63" s="1">
        <v>120</v>
      </c>
      <c r="D63" s="1">
        <v>1</v>
      </c>
      <c r="F63" s="1">
        <v>2023</v>
      </c>
      <c r="G63" s="1" t="s">
        <v>247</v>
      </c>
      <c r="H63" s="1" t="s">
        <v>272</v>
      </c>
      <c r="I63" s="1">
        <v>9</v>
      </c>
      <c r="J63" s="1" t="s">
        <v>237</v>
      </c>
      <c r="K63" s="1" t="s">
        <v>273</v>
      </c>
      <c r="L63" s="1" t="s">
        <v>274</v>
      </c>
      <c r="M63" s="1">
        <v>27</v>
      </c>
      <c r="N63" s="1" t="s">
        <v>39</v>
      </c>
      <c r="O63" s="1">
        <v>32.721400000000003</v>
      </c>
      <c r="P63" s="1">
        <v>-114.7097</v>
      </c>
      <c r="Q63" s="1" t="s">
        <v>275</v>
      </c>
      <c r="R63" s="1" t="s">
        <v>41</v>
      </c>
      <c r="T63" s="1" t="s">
        <v>43</v>
      </c>
      <c r="U63" s="1" t="s">
        <v>44</v>
      </c>
      <c r="V63" s="1" t="s">
        <v>173</v>
      </c>
      <c r="AA63" s="3">
        <v>21613</v>
      </c>
      <c r="AB63" s="1" t="s">
        <v>46</v>
      </c>
      <c r="AC63" s="5">
        <v>880</v>
      </c>
      <c r="AD63" s="1" t="s">
        <v>276</v>
      </c>
      <c r="AE63" s="1" t="str">
        <f t="shared" si="1"/>
        <v>120 1</v>
      </c>
      <c r="AF63" s="5" t="str">
        <f t="shared" si="4"/>
        <v>86.7</v>
      </c>
      <c r="AG63" s="1" t="str">
        <f t="shared" si="0"/>
        <v/>
      </c>
    </row>
    <row r="64" spans="1:33" x14ac:dyDescent="0.2">
      <c r="A64" s="1" t="s">
        <v>234</v>
      </c>
      <c r="B64" s="1" t="s">
        <v>271</v>
      </c>
      <c r="C64" s="1">
        <v>120</v>
      </c>
      <c r="D64" s="1" t="s">
        <v>105</v>
      </c>
      <c r="F64" s="1">
        <v>2023</v>
      </c>
      <c r="G64" s="1" t="s">
        <v>247</v>
      </c>
      <c r="H64" s="1" t="s">
        <v>272</v>
      </c>
      <c r="I64" s="1">
        <v>9</v>
      </c>
      <c r="J64" s="1" t="s">
        <v>237</v>
      </c>
      <c r="K64" s="1" t="s">
        <v>273</v>
      </c>
      <c r="L64" s="1" t="s">
        <v>274</v>
      </c>
      <c r="M64" s="1">
        <v>27</v>
      </c>
      <c r="N64" s="1" t="s">
        <v>39</v>
      </c>
      <c r="O64" s="1">
        <v>32.721400000000003</v>
      </c>
      <c r="P64" s="1">
        <v>-114.7097</v>
      </c>
      <c r="Q64" s="1" t="s">
        <v>240</v>
      </c>
      <c r="R64" s="1" t="s">
        <v>41</v>
      </c>
      <c r="T64" s="1" t="s">
        <v>93</v>
      </c>
      <c r="U64" s="1" t="s">
        <v>44</v>
      </c>
      <c r="X64" s="1" t="s">
        <v>223</v>
      </c>
      <c r="AA64" s="3">
        <v>39601</v>
      </c>
      <c r="AB64" s="1" t="s">
        <v>46</v>
      </c>
      <c r="AC64" s="5">
        <v>521.4</v>
      </c>
      <c r="AD64" s="1" t="s">
        <v>277</v>
      </c>
      <c r="AE64" s="1" t="str">
        <f t="shared" si="1"/>
        <v>120 CT5</v>
      </c>
      <c r="AF64" s="5" t="str">
        <f t="shared" si="4"/>
        <v>60.5</v>
      </c>
      <c r="AG64" s="1" t="str">
        <f t="shared" si="0"/>
        <v>Y</v>
      </c>
    </row>
    <row r="65" spans="1:33" x14ac:dyDescent="0.2">
      <c r="A65" s="1" t="s">
        <v>234</v>
      </c>
      <c r="B65" s="1" t="s">
        <v>271</v>
      </c>
      <c r="C65" s="1">
        <v>120</v>
      </c>
      <c r="D65" s="1" t="s">
        <v>107</v>
      </c>
      <c r="F65" s="1">
        <v>2023</v>
      </c>
      <c r="G65" s="1" t="s">
        <v>247</v>
      </c>
      <c r="H65" s="1" t="s">
        <v>272</v>
      </c>
      <c r="I65" s="1">
        <v>9</v>
      </c>
      <c r="J65" s="1" t="s">
        <v>237</v>
      </c>
      <c r="K65" s="1" t="s">
        <v>273</v>
      </c>
      <c r="L65" s="1" t="s">
        <v>274</v>
      </c>
      <c r="M65" s="1">
        <v>27</v>
      </c>
      <c r="N65" s="1" t="s">
        <v>39</v>
      </c>
      <c r="O65" s="1">
        <v>32.721400000000003</v>
      </c>
      <c r="P65" s="1">
        <v>-114.7097</v>
      </c>
      <c r="Q65" s="1" t="s">
        <v>240</v>
      </c>
      <c r="R65" s="1" t="s">
        <v>41</v>
      </c>
      <c r="T65" s="1" t="s">
        <v>93</v>
      </c>
      <c r="U65" s="1" t="s">
        <v>44</v>
      </c>
      <c r="X65" s="1" t="s">
        <v>223</v>
      </c>
      <c r="AA65" s="3">
        <v>39622</v>
      </c>
      <c r="AB65" s="1" t="s">
        <v>46</v>
      </c>
      <c r="AC65" s="5">
        <v>521.4</v>
      </c>
      <c r="AD65" s="1" t="s">
        <v>278</v>
      </c>
      <c r="AE65" s="1" t="str">
        <f t="shared" si="1"/>
        <v>120 CT6</v>
      </c>
      <c r="AF65" s="5" t="str">
        <f t="shared" si="4"/>
        <v>60.5</v>
      </c>
      <c r="AG65" s="1" t="str">
        <f t="shared" si="0"/>
        <v>Y</v>
      </c>
    </row>
    <row r="66" spans="1:33" x14ac:dyDescent="0.2">
      <c r="A66" s="1" t="s">
        <v>234</v>
      </c>
      <c r="B66" s="1" t="s">
        <v>279</v>
      </c>
      <c r="C66" s="1">
        <v>124</v>
      </c>
      <c r="D66" s="1" t="s">
        <v>280</v>
      </c>
      <c r="F66" s="1">
        <v>2023</v>
      </c>
      <c r="G66" s="1" t="s">
        <v>247</v>
      </c>
      <c r="H66" s="1">
        <v>607519</v>
      </c>
      <c r="I66" s="1">
        <v>9</v>
      </c>
      <c r="K66" s="1" t="s">
        <v>281</v>
      </c>
      <c r="L66" s="1" t="s">
        <v>282</v>
      </c>
      <c r="M66" s="1">
        <v>19</v>
      </c>
      <c r="N66" s="1" t="s">
        <v>39</v>
      </c>
      <c r="O66" s="1">
        <v>32.251100000000001</v>
      </c>
      <c r="P66" s="1">
        <v>-110.9889</v>
      </c>
      <c r="Q66" s="1" t="s">
        <v>283</v>
      </c>
      <c r="R66" s="1" t="s">
        <v>41</v>
      </c>
      <c r="T66" s="1" t="s">
        <v>93</v>
      </c>
      <c r="U66" s="1" t="s">
        <v>284</v>
      </c>
      <c r="X66" s="1" t="s">
        <v>140</v>
      </c>
      <c r="AA66" s="3">
        <v>37011</v>
      </c>
      <c r="AB66" s="1" t="s">
        <v>46</v>
      </c>
      <c r="AC66" s="5">
        <v>1140</v>
      </c>
      <c r="AD66" s="1" t="s">
        <v>285</v>
      </c>
      <c r="AE66" s="1" t="str">
        <f t="shared" si="1"/>
        <v>124 GT1</v>
      </c>
      <c r="AF66" s="5" t="str">
        <f t="shared" si="4"/>
        <v>85</v>
      </c>
      <c r="AG66" s="1" t="str">
        <f t="shared" ref="AG66:AG129" si="5">IF(ISNUMBER(SEARCH("selective", X66)), "Y", "")</f>
        <v/>
      </c>
    </row>
    <row r="67" spans="1:33" x14ac:dyDescent="0.2">
      <c r="A67" s="1" t="s">
        <v>234</v>
      </c>
      <c r="B67" s="1" t="s">
        <v>286</v>
      </c>
      <c r="C67" s="1">
        <v>126</v>
      </c>
      <c r="D67" s="1">
        <v>3</v>
      </c>
      <c r="F67" s="1">
        <v>2023</v>
      </c>
      <c r="G67" s="1" t="s">
        <v>247</v>
      </c>
      <c r="H67" s="1">
        <v>607519</v>
      </c>
      <c r="I67" s="1">
        <v>9</v>
      </c>
      <c r="K67" s="1" t="s">
        <v>281</v>
      </c>
      <c r="L67" s="1" t="s">
        <v>282</v>
      </c>
      <c r="M67" s="1">
        <v>19</v>
      </c>
      <c r="N67" s="1" t="s">
        <v>39</v>
      </c>
      <c r="O67" s="1">
        <v>32.159999999999997</v>
      </c>
      <c r="P67" s="1">
        <v>-110.90470000000001</v>
      </c>
      <c r="Q67" s="1" t="s">
        <v>283</v>
      </c>
      <c r="R67" s="1" t="s">
        <v>41</v>
      </c>
      <c r="T67" s="1" t="s">
        <v>43</v>
      </c>
      <c r="U67" s="1" t="s">
        <v>284</v>
      </c>
      <c r="V67" s="1" t="s">
        <v>173</v>
      </c>
      <c r="AA67" s="3">
        <v>22767</v>
      </c>
      <c r="AB67" s="1" t="s">
        <v>46</v>
      </c>
      <c r="AC67" s="5">
        <v>1210</v>
      </c>
      <c r="AD67" s="1" t="s">
        <v>287</v>
      </c>
      <c r="AE67" s="1" t="str">
        <f t="shared" ref="AE67:AE130" si="6">C67&amp;" "&amp;D67</f>
        <v>126 3</v>
      </c>
      <c r="AF67" s="5" t="str">
        <f t="shared" si="4"/>
        <v>113.6</v>
      </c>
      <c r="AG67" s="1" t="str">
        <f t="shared" si="5"/>
        <v/>
      </c>
    </row>
    <row r="68" spans="1:33" x14ac:dyDescent="0.2">
      <c r="A68" s="1" t="s">
        <v>234</v>
      </c>
      <c r="B68" s="1" t="s">
        <v>286</v>
      </c>
      <c r="C68" s="1">
        <v>126</v>
      </c>
      <c r="D68" s="1">
        <v>4</v>
      </c>
      <c r="F68" s="1">
        <v>2023</v>
      </c>
      <c r="G68" s="1" t="s">
        <v>247</v>
      </c>
      <c r="H68" s="1">
        <v>607519</v>
      </c>
      <c r="I68" s="1">
        <v>9</v>
      </c>
      <c r="K68" s="1" t="s">
        <v>281</v>
      </c>
      <c r="L68" s="1" t="s">
        <v>282</v>
      </c>
      <c r="M68" s="1">
        <v>19</v>
      </c>
      <c r="N68" s="1" t="s">
        <v>39</v>
      </c>
      <c r="O68" s="1">
        <v>32.159999999999997</v>
      </c>
      <c r="P68" s="1">
        <v>-110.90470000000001</v>
      </c>
      <c r="Q68" s="1" t="s">
        <v>283</v>
      </c>
      <c r="R68" s="1" t="s">
        <v>41</v>
      </c>
      <c r="S68" s="1" t="s">
        <v>42</v>
      </c>
      <c r="T68" s="1" t="s">
        <v>89</v>
      </c>
      <c r="U68" s="1" t="s">
        <v>284</v>
      </c>
      <c r="V68" s="1" t="s">
        <v>288</v>
      </c>
      <c r="X68" s="1" t="s">
        <v>289</v>
      </c>
      <c r="AA68" s="3">
        <v>24593</v>
      </c>
      <c r="AB68" s="1" t="s">
        <v>46</v>
      </c>
      <c r="AC68" s="5">
        <v>1750</v>
      </c>
      <c r="AD68" s="1" t="s">
        <v>290</v>
      </c>
      <c r="AE68" s="1" t="str">
        <f t="shared" si="6"/>
        <v>126 4</v>
      </c>
      <c r="AF68" s="5" t="str">
        <f t="shared" si="4"/>
        <v>173.3</v>
      </c>
      <c r="AG68" s="1" t="str">
        <f t="shared" si="5"/>
        <v/>
      </c>
    </row>
    <row r="69" spans="1:33" x14ac:dyDescent="0.2">
      <c r="A69" s="1" t="s">
        <v>291</v>
      </c>
      <c r="B69" s="1" t="s">
        <v>292</v>
      </c>
      <c r="C69" s="1">
        <v>130</v>
      </c>
      <c r="D69" s="1">
        <v>1</v>
      </c>
      <c r="F69" s="1">
        <v>2023</v>
      </c>
      <c r="G69" s="1" t="s">
        <v>293</v>
      </c>
      <c r="H69" s="1">
        <v>610491</v>
      </c>
      <c r="I69" s="1">
        <v>4</v>
      </c>
      <c r="K69" s="1" t="s">
        <v>294</v>
      </c>
      <c r="L69" s="1" t="s">
        <v>295</v>
      </c>
      <c r="M69" s="1">
        <v>15</v>
      </c>
      <c r="N69" s="1" t="s">
        <v>39</v>
      </c>
      <c r="O69" s="1">
        <v>33.369199999999999</v>
      </c>
      <c r="P69" s="1">
        <v>-80.111900000000006</v>
      </c>
      <c r="Q69" s="1" t="s">
        <v>296</v>
      </c>
      <c r="R69" s="1" t="s">
        <v>41</v>
      </c>
      <c r="S69" s="1" t="s">
        <v>211</v>
      </c>
      <c r="T69" s="1" t="s">
        <v>89</v>
      </c>
      <c r="U69" s="1" t="s">
        <v>55</v>
      </c>
      <c r="V69" s="1" t="s">
        <v>173</v>
      </c>
      <c r="W69" s="1" t="s">
        <v>56</v>
      </c>
      <c r="X69" s="1" t="s">
        <v>297</v>
      </c>
      <c r="Y69" s="1" t="s">
        <v>58</v>
      </c>
      <c r="AA69" s="3">
        <v>34669</v>
      </c>
      <c r="AB69" s="1" t="s">
        <v>46</v>
      </c>
      <c r="AC69" s="5">
        <v>6750</v>
      </c>
      <c r="AD69" s="1" t="s">
        <v>298</v>
      </c>
      <c r="AE69" s="1" t="str">
        <f t="shared" si="6"/>
        <v>130 1</v>
      </c>
      <c r="AF69" s="5" t="str">
        <f t="shared" si="4"/>
        <v>590.9</v>
      </c>
      <c r="AG69" s="1" t="str">
        <f t="shared" si="5"/>
        <v>Y</v>
      </c>
    </row>
    <row r="70" spans="1:33" x14ac:dyDescent="0.2">
      <c r="A70" s="1" t="s">
        <v>291</v>
      </c>
      <c r="B70" s="1" t="s">
        <v>292</v>
      </c>
      <c r="C70" s="1">
        <v>130</v>
      </c>
      <c r="D70" s="1">
        <v>2</v>
      </c>
      <c r="F70" s="1">
        <v>2023</v>
      </c>
      <c r="G70" s="1" t="s">
        <v>293</v>
      </c>
      <c r="H70" s="1">
        <v>610491</v>
      </c>
      <c r="I70" s="1">
        <v>4</v>
      </c>
      <c r="K70" s="1" t="s">
        <v>294</v>
      </c>
      <c r="L70" s="1" t="s">
        <v>295</v>
      </c>
      <c r="M70" s="1">
        <v>15</v>
      </c>
      <c r="N70" s="1" t="s">
        <v>39</v>
      </c>
      <c r="O70" s="1">
        <v>33.369199999999999</v>
      </c>
      <c r="P70" s="1">
        <v>-80.111900000000006</v>
      </c>
      <c r="Q70" s="1" t="s">
        <v>296</v>
      </c>
      <c r="R70" s="1" t="s">
        <v>41</v>
      </c>
      <c r="S70" s="1" t="s">
        <v>211</v>
      </c>
      <c r="T70" s="1" t="s">
        <v>43</v>
      </c>
      <c r="U70" s="1" t="s">
        <v>55</v>
      </c>
      <c r="V70" s="1" t="s">
        <v>173</v>
      </c>
      <c r="W70" s="1" t="s">
        <v>56</v>
      </c>
      <c r="X70" s="1" t="s">
        <v>299</v>
      </c>
      <c r="Y70" s="1" t="s">
        <v>58</v>
      </c>
      <c r="AA70" s="3">
        <v>30803</v>
      </c>
      <c r="AB70" s="1" t="s">
        <v>46</v>
      </c>
      <c r="AC70" s="5">
        <v>6640</v>
      </c>
      <c r="AD70" s="1" t="s">
        <v>300</v>
      </c>
      <c r="AE70" s="1" t="str">
        <f t="shared" si="6"/>
        <v>130 2</v>
      </c>
      <c r="AF70" s="5" t="str">
        <f t="shared" si="4"/>
        <v>556.2</v>
      </c>
      <c r="AG70" s="1" t="str">
        <f t="shared" si="5"/>
        <v>Y</v>
      </c>
    </row>
    <row r="71" spans="1:33" x14ac:dyDescent="0.2">
      <c r="A71" s="1" t="s">
        <v>291</v>
      </c>
      <c r="B71" s="1" t="s">
        <v>292</v>
      </c>
      <c r="C71" s="1">
        <v>130</v>
      </c>
      <c r="D71" s="1">
        <v>3</v>
      </c>
      <c r="F71" s="1">
        <v>2023</v>
      </c>
      <c r="G71" s="1" t="s">
        <v>293</v>
      </c>
      <c r="H71" s="1">
        <v>610491</v>
      </c>
      <c r="I71" s="1">
        <v>4</v>
      </c>
      <c r="K71" s="1" t="s">
        <v>294</v>
      </c>
      <c r="L71" s="1" t="s">
        <v>295</v>
      </c>
      <c r="M71" s="1">
        <v>15</v>
      </c>
      <c r="N71" s="1" t="s">
        <v>39</v>
      </c>
      <c r="O71" s="1">
        <v>33.369199999999999</v>
      </c>
      <c r="P71" s="1">
        <v>-80.111900000000006</v>
      </c>
      <c r="Q71" s="1" t="s">
        <v>296</v>
      </c>
      <c r="R71" s="1" t="s">
        <v>41</v>
      </c>
      <c r="T71" s="1" t="s">
        <v>43</v>
      </c>
      <c r="U71" s="1" t="s">
        <v>55</v>
      </c>
      <c r="V71" s="1" t="s">
        <v>94</v>
      </c>
      <c r="W71" s="1" t="s">
        <v>56</v>
      </c>
      <c r="X71" s="1" t="s">
        <v>301</v>
      </c>
      <c r="Y71" s="1" t="s">
        <v>58</v>
      </c>
      <c r="AA71" s="3">
        <v>38994</v>
      </c>
      <c r="AB71" s="1" t="s">
        <v>46</v>
      </c>
      <c r="AC71" s="5">
        <v>6895</v>
      </c>
      <c r="AD71" s="1" t="s">
        <v>302</v>
      </c>
      <c r="AE71" s="1" t="str">
        <f t="shared" si="6"/>
        <v>130 3</v>
      </c>
      <c r="AF71" s="5" t="str">
        <f t="shared" si="4"/>
        <v>580</v>
      </c>
      <c r="AG71" s="1" t="str">
        <f t="shared" si="5"/>
        <v>Y</v>
      </c>
    </row>
    <row r="72" spans="1:33" x14ac:dyDescent="0.2">
      <c r="A72" s="1" t="s">
        <v>291</v>
      </c>
      <c r="B72" s="1" t="s">
        <v>292</v>
      </c>
      <c r="C72" s="1">
        <v>130</v>
      </c>
      <c r="D72" s="1">
        <v>4</v>
      </c>
      <c r="F72" s="1">
        <v>2023</v>
      </c>
      <c r="G72" s="1" t="s">
        <v>293</v>
      </c>
      <c r="H72" s="1">
        <v>610491</v>
      </c>
      <c r="I72" s="1">
        <v>4</v>
      </c>
      <c r="K72" s="1" t="s">
        <v>294</v>
      </c>
      <c r="L72" s="1" t="s">
        <v>295</v>
      </c>
      <c r="M72" s="1">
        <v>15</v>
      </c>
      <c r="N72" s="1" t="s">
        <v>39</v>
      </c>
      <c r="O72" s="1">
        <v>33.369199999999999</v>
      </c>
      <c r="P72" s="1">
        <v>-80.111900000000006</v>
      </c>
      <c r="Q72" s="1" t="s">
        <v>296</v>
      </c>
      <c r="R72" s="1" t="s">
        <v>41</v>
      </c>
      <c r="T72" s="1" t="s">
        <v>43</v>
      </c>
      <c r="U72" s="1" t="s">
        <v>55</v>
      </c>
      <c r="V72" s="1" t="s">
        <v>94</v>
      </c>
      <c r="W72" s="1" t="s">
        <v>56</v>
      </c>
      <c r="X72" s="1" t="s">
        <v>301</v>
      </c>
      <c r="Y72" s="1" t="s">
        <v>58</v>
      </c>
      <c r="AA72" s="3">
        <v>39564</v>
      </c>
      <c r="AB72" s="1" t="s">
        <v>46</v>
      </c>
      <c r="AC72" s="5">
        <v>7120</v>
      </c>
      <c r="AD72" s="1" t="s">
        <v>303</v>
      </c>
      <c r="AE72" s="1" t="str">
        <f t="shared" si="6"/>
        <v>130 4</v>
      </c>
      <c r="AF72" s="5" t="str">
        <f t="shared" si="4"/>
        <v>580</v>
      </c>
      <c r="AG72" s="1" t="str">
        <f t="shared" si="5"/>
        <v>Y</v>
      </c>
    </row>
    <row r="73" spans="1:33" x14ac:dyDescent="0.2">
      <c r="A73" s="1" t="s">
        <v>304</v>
      </c>
      <c r="B73" s="1" t="s">
        <v>305</v>
      </c>
      <c r="C73" s="1">
        <v>136</v>
      </c>
      <c r="D73" s="1">
        <v>1</v>
      </c>
      <c r="F73" s="1">
        <v>2023</v>
      </c>
      <c r="G73" s="1" t="s">
        <v>236</v>
      </c>
      <c r="H73" s="1">
        <v>609539</v>
      </c>
      <c r="I73" s="1">
        <v>4</v>
      </c>
      <c r="J73" s="1" t="s">
        <v>36</v>
      </c>
      <c r="K73" s="1" t="s">
        <v>306</v>
      </c>
      <c r="L73" s="1" t="s">
        <v>307</v>
      </c>
      <c r="M73" s="1">
        <v>107</v>
      </c>
      <c r="N73" s="1" t="s">
        <v>39</v>
      </c>
      <c r="O73" s="1">
        <v>29.7333</v>
      </c>
      <c r="P73" s="1">
        <v>-81.633899999999997</v>
      </c>
      <c r="Q73" s="1" t="s">
        <v>308</v>
      </c>
      <c r="R73" s="1" t="s">
        <v>41</v>
      </c>
      <c r="S73" s="1" t="s">
        <v>211</v>
      </c>
      <c r="T73" s="1" t="s">
        <v>89</v>
      </c>
      <c r="U73" s="1" t="s">
        <v>55</v>
      </c>
      <c r="V73" s="1" t="s">
        <v>94</v>
      </c>
      <c r="W73" s="1" t="s">
        <v>56</v>
      </c>
      <c r="X73" s="1" t="s">
        <v>297</v>
      </c>
      <c r="Y73" s="1" t="s">
        <v>58</v>
      </c>
      <c r="AA73" s="3">
        <v>30712</v>
      </c>
      <c r="AB73" s="1" t="s">
        <v>46</v>
      </c>
      <c r="AC73" s="5">
        <v>7172</v>
      </c>
      <c r="AD73" s="1" t="s">
        <v>309</v>
      </c>
      <c r="AE73" s="1" t="str">
        <f t="shared" si="6"/>
        <v>136 1</v>
      </c>
      <c r="AF73" s="5" t="str">
        <f t="shared" si="4"/>
        <v>714.6</v>
      </c>
      <c r="AG73" s="1" t="str">
        <f t="shared" si="5"/>
        <v>Y</v>
      </c>
    </row>
    <row r="74" spans="1:33" x14ac:dyDescent="0.2">
      <c r="A74" s="1" t="s">
        <v>304</v>
      </c>
      <c r="B74" s="1" t="s">
        <v>305</v>
      </c>
      <c r="C74" s="1">
        <v>136</v>
      </c>
      <c r="D74" s="1">
        <v>2</v>
      </c>
      <c r="F74" s="1">
        <v>2023</v>
      </c>
      <c r="G74" s="1" t="s">
        <v>236</v>
      </c>
      <c r="H74" s="1">
        <v>609539</v>
      </c>
      <c r="I74" s="1">
        <v>4</v>
      </c>
      <c r="J74" s="1" t="s">
        <v>36</v>
      </c>
      <c r="K74" s="1" t="s">
        <v>306</v>
      </c>
      <c r="L74" s="1" t="s">
        <v>307</v>
      </c>
      <c r="M74" s="1">
        <v>107</v>
      </c>
      <c r="N74" s="1" t="s">
        <v>39</v>
      </c>
      <c r="O74" s="1">
        <v>29.7333</v>
      </c>
      <c r="P74" s="1">
        <v>-81.633899999999997</v>
      </c>
      <c r="Q74" s="1" t="s">
        <v>308</v>
      </c>
      <c r="R74" s="1" t="s">
        <v>41</v>
      </c>
      <c r="S74" s="1" t="s">
        <v>211</v>
      </c>
      <c r="T74" s="1" t="s">
        <v>89</v>
      </c>
      <c r="U74" s="1" t="s">
        <v>55</v>
      </c>
      <c r="V74" s="1" t="s">
        <v>94</v>
      </c>
      <c r="W74" s="1" t="s">
        <v>56</v>
      </c>
      <c r="X74" s="1" t="s">
        <v>297</v>
      </c>
      <c r="Y74" s="1" t="s">
        <v>58</v>
      </c>
      <c r="AA74" s="3">
        <v>31047</v>
      </c>
      <c r="AB74" s="1" t="s">
        <v>46</v>
      </c>
      <c r="AC74" s="5">
        <v>7172</v>
      </c>
      <c r="AD74" s="1" t="s">
        <v>310</v>
      </c>
      <c r="AE74" s="1" t="str">
        <f t="shared" si="6"/>
        <v>136 2</v>
      </c>
      <c r="AF74" s="5" t="str">
        <f t="shared" si="4"/>
        <v>714.6</v>
      </c>
      <c r="AG74" s="1" t="str">
        <f t="shared" si="5"/>
        <v>Y</v>
      </c>
    </row>
    <row r="75" spans="1:33" x14ac:dyDescent="0.2">
      <c r="A75" s="1" t="s">
        <v>304</v>
      </c>
      <c r="B75" s="1" t="s">
        <v>305</v>
      </c>
      <c r="C75" s="1">
        <v>136</v>
      </c>
      <c r="D75" s="1" t="s">
        <v>311</v>
      </c>
      <c r="F75" s="1">
        <v>2023</v>
      </c>
      <c r="G75" s="1" t="s">
        <v>312</v>
      </c>
      <c r="H75" s="1">
        <v>609539</v>
      </c>
      <c r="I75" s="1">
        <v>4</v>
      </c>
      <c r="J75" s="1" t="s">
        <v>36</v>
      </c>
      <c r="K75" s="1" t="s">
        <v>306</v>
      </c>
      <c r="L75" s="1" t="s">
        <v>307</v>
      </c>
      <c r="M75" s="1">
        <v>107</v>
      </c>
      <c r="N75" s="1" t="s">
        <v>39</v>
      </c>
      <c r="O75" s="1">
        <v>29.7333</v>
      </c>
      <c r="P75" s="1">
        <v>-81.633899999999997</v>
      </c>
      <c r="Q75" s="1" t="s">
        <v>308</v>
      </c>
      <c r="R75" s="1" t="s">
        <v>41</v>
      </c>
      <c r="T75" s="1" t="s">
        <v>71</v>
      </c>
      <c r="U75" s="1" t="s">
        <v>284</v>
      </c>
      <c r="X75" s="1" t="s">
        <v>64</v>
      </c>
      <c r="AA75" s="3">
        <v>44713</v>
      </c>
      <c r="AB75" s="1" t="s">
        <v>46</v>
      </c>
      <c r="AC75" s="5">
        <v>3764</v>
      </c>
      <c r="AD75" s="1" t="s">
        <v>313</v>
      </c>
      <c r="AE75" s="1" t="str">
        <f t="shared" si="6"/>
        <v>136 CT1</v>
      </c>
      <c r="AF75" s="14">
        <f>MID(AD75,FIND("(",AD75)+1,FIND(")",AD75)-FIND("(",AD75)-1)+414.8/2</f>
        <v>591.6</v>
      </c>
      <c r="AG75" s="1" t="str">
        <f t="shared" si="5"/>
        <v>Y</v>
      </c>
    </row>
    <row r="76" spans="1:33" x14ac:dyDescent="0.2">
      <c r="A76" s="1" t="s">
        <v>304</v>
      </c>
      <c r="B76" s="1" t="s">
        <v>305</v>
      </c>
      <c r="C76" s="1">
        <v>136</v>
      </c>
      <c r="D76" s="1" t="s">
        <v>98</v>
      </c>
      <c r="F76" s="1">
        <v>2023</v>
      </c>
      <c r="G76" s="1" t="s">
        <v>312</v>
      </c>
      <c r="H76" s="1">
        <v>609539</v>
      </c>
      <c r="I76" s="1">
        <v>4</v>
      </c>
      <c r="J76" s="1" t="s">
        <v>36</v>
      </c>
      <c r="K76" s="1" t="s">
        <v>306</v>
      </c>
      <c r="L76" s="1" t="s">
        <v>307</v>
      </c>
      <c r="M76" s="1">
        <v>107</v>
      </c>
      <c r="N76" s="1" t="s">
        <v>39</v>
      </c>
      <c r="O76" s="1">
        <v>29.7333</v>
      </c>
      <c r="P76" s="1">
        <v>-81.633899999999997</v>
      </c>
      <c r="Q76" s="1" t="s">
        <v>308</v>
      </c>
      <c r="R76" s="1" t="s">
        <v>41</v>
      </c>
      <c r="T76" s="1" t="s">
        <v>71</v>
      </c>
      <c r="U76" s="1" t="s">
        <v>284</v>
      </c>
      <c r="X76" s="1" t="s">
        <v>64</v>
      </c>
      <c r="AA76" s="3">
        <v>44717</v>
      </c>
      <c r="AB76" s="1" t="s">
        <v>46</v>
      </c>
      <c r="AC76" s="5">
        <v>3790.8</v>
      </c>
      <c r="AD76" s="1" t="s">
        <v>314</v>
      </c>
      <c r="AE76" s="1" t="str">
        <f t="shared" si="6"/>
        <v>136 CT2</v>
      </c>
      <c r="AF76" s="14">
        <f>AF75</f>
        <v>591.6</v>
      </c>
      <c r="AG76" s="1" t="str">
        <f t="shared" si="5"/>
        <v>Y</v>
      </c>
    </row>
    <row r="77" spans="1:33" x14ac:dyDescent="0.2">
      <c r="A77" s="1" t="s">
        <v>234</v>
      </c>
      <c r="B77" s="1" t="s">
        <v>315</v>
      </c>
      <c r="C77" s="1">
        <v>141</v>
      </c>
      <c r="D77" s="1">
        <v>1</v>
      </c>
      <c r="F77" s="1">
        <v>2023</v>
      </c>
      <c r="G77" s="1" t="s">
        <v>247</v>
      </c>
      <c r="H77" s="1">
        <v>608572</v>
      </c>
      <c r="I77" s="1">
        <v>9</v>
      </c>
      <c r="J77" s="1" t="s">
        <v>237</v>
      </c>
      <c r="K77" s="1" t="s">
        <v>248</v>
      </c>
      <c r="L77" s="1" t="s">
        <v>249</v>
      </c>
      <c r="M77" s="1">
        <v>13</v>
      </c>
      <c r="N77" s="1" t="s">
        <v>39</v>
      </c>
      <c r="O77" s="1">
        <v>33.554200000000002</v>
      </c>
      <c r="P77" s="1">
        <v>-112.2161</v>
      </c>
      <c r="Q77" s="1" t="s">
        <v>316</v>
      </c>
      <c r="R77" s="1" t="s">
        <v>41</v>
      </c>
      <c r="T77" s="1" t="s">
        <v>89</v>
      </c>
      <c r="U77" s="1" t="s">
        <v>44</v>
      </c>
      <c r="AA77" s="3">
        <v>21186</v>
      </c>
      <c r="AB77" s="1" t="s">
        <v>46</v>
      </c>
      <c r="AC77" s="5">
        <v>2000</v>
      </c>
      <c r="AD77" s="1" t="s">
        <v>317</v>
      </c>
      <c r="AE77" s="1" t="str">
        <f t="shared" si="6"/>
        <v>141 1</v>
      </c>
      <c r="AF77" s="5" t="str">
        <f>MID(AD77,FIND("(",AD77)+1,FIND(")",AD77)-FIND("(",AD77)-1)</f>
        <v>113.6</v>
      </c>
      <c r="AG77" s="1" t="str">
        <f t="shared" si="5"/>
        <v/>
      </c>
    </row>
    <row r="78" spans="1:33" x14ac:dyDescent="0.2">
      <c r="A78" s="1" t="s">
        <v>234</v>
      </c>
      <c r="B78" s="1" t="s">
        <v>315</v>
      </c>
      <c r="C78" s="1">
        <v>141</v>
      </c>
      <c r="D78" s="1">
        <v>2</v>
      </c>
      <c r="F78" s="1">
        <v>2023</v>
      </c>
      <c r="G78" s="1" t="s">
        <v>247</v>
      </c>
      <c r="H78" s="1">
        <v>608572</v>
      </c>
      <c r="I78" s="1">
        <v>9</v>
      </c>
      <c r="J78" s="1" t="s">
        <v>237</v>
      </c>
      <c r="K78" s="1" t="s">
        <v>248</v>
      </c>
      <c r="L78" s="1" t="s">
        <v>249</v>
      </c>
      <c r="M78" s="1">
        <v>13</v>
      </c>
      <c r="N78" s="1" t="s">
        <v>39</v>
      </c>
      <c r="O78" s="1">
        <v>33.554200000000002</v>
      </c>
      <c r="P78" s="1">
        <v>-112.2161</v>
      </c>
      <c r="Q78" s="1" t="s">
        <v>316</v>
      </c>
      <c r="R78" s="1" t="s">
        <v>41</v>
      </c>
      <c r="T78" s="1" t="s">
        <v>89</v>
      </c>
      <c r="U78" s="1" t="s">
        <v>44</v>
      </c>
      <c r="AA78" s="3">
        <v>20911</v>
      </c>
      <c r="AB78" s="1" t="s">
        <v>46</v>
      </c>
      <c r="AC78" s="5">
        <v>2000</v>
      </c>
      <c r="AD78" s="1" t="s">
        <v>318</v>
      </c>
      <c r="AE78" s="1" t="str">
        <f t="shared" si="6"/>
        <v>141 2</v>
      </c>
      <c r="AF78" s="5" t="str">
        <f>MID(AD78,FIND("(",AD78)+1,FIND(")",AD78)-FIND("(",AD78)-1)</f>
        <v>113.6</v>
      </c>
      <c r="AG78" s="1" t="str">
        <f t="shared" si="5"/>
        <v/>
      </c>
    </row>
    <row r="79" spans="1:33" x14ac:dyDescent="0.2">
      <c r="A79" s="1" t="s">
        <v>234</v>
      </c>
      <c r="B79" s="1" t="s">
        <v>315</v>
      </c>
      <c r="C79" s="1">
        <v>141</v>
      </c>
      <c r="D79" s="1">
        <v>3</v>
      </c>
      <c r="F79" s="1">
        <v>2023</v>
      </c>
      <c r="G79" s="1" t="s">
        <v>247</v>
      </c>
      <c r="H79" s="1">
        <v>608572</v>
      </c>
      <c r="I79" s="1">
        <v>9</v>
      </c>
      <c r="J79" s="1" t="s">
        <v>237</v>
      </c>
      <c r="K79" s="1" t="s">
        <v>248</v>
      </c>
      <c r="L79" s="1" t="s">
        <v>249</v>
      </c>
      <c r="M79" s="1">
        <v>13</v>
      </c>
      <c r="N79" s="1" t="s">
        <v>39</v>
      </c>
      <c r="O79" s="1">
        <v>33.554200000000002</v>
      </c>
      <c r="P79" s="1">
        <v>-112.2161</v>
      </c>
      <c r="Q79" s="1" t="s">
        <v>316</v>
      </c>
      <c r="R79" s="1" t="s">
        <v>41</v>
      </c>
      <c r="T79" s="1" t="s">
        <v>319</v>
      </c>
      <c r="U79" s="1" t="s">
        <v>44</v>
      </c>
      <c r="AA79" s="3">
        <v>22372</v>
      </c>
      <c r="AB79" s="1" t="s">
        <v>46</v>
      </c>
      <c r="AC79" s="5">
        <v>2350</v>
      </c>
      <c r="AD79" s="1" t="s">
        <v>320</v>
      </c>
      <c r="AE79" s="1" t="str">
        <f t="shared" si="6"/>
        <v>141 3</v>
      </c>
      <c r="AF79" s="5" t="str">
        <f>MID(AD79,FIND("(",AD79)+1,FIND(")",AD79)-FIND("(",AD79)-1)</f>
        <v>163.2</v>
      </c>
      <c r="AG79" s="1" t="str">
        <f t="shared" si="5"/>
        <v/>
      </c>
    </row>
    <row r="80" spans="1:33" x14ac:dyDescent="0.2">
      <c r="A80" s="1" t="s">
        <v>234</v>
      </c>
      <c r="B80" s="1" t="s">
        <v>315</v>
      </c>
      <c r="C80" s="1">
        <v>141</v>
      </c>
      <c r="D80" s="1">
        <v>7</v>
      </c>
      <c r="F80" s="1">
        <v>2023</v>
      </c>
      <c r="G80" s="1" t="s">
        <v>247</v>
      </c>
      <c r="H80" s="1">
        <v>608572</v>
      </c>
      <c r="I80" s="1">
        <v>9</v>
      </c>
      <c r="J80" s="1" t="s">
        <v>237</v>
      </c>
      <c r="K80" s="1" t="s">
        <v>248</v>
      </c>
      <c r="L80" s="1" t="s">
        <v>249</v>
      </c>
      <c r="M80" s="1">
        <v>13</v>
      </c>
      <c r="N80" s="1" t="s">
        <v>39</v>
      </c>
      <c r="O80" s="1">
        <v>33.554200000000002</v>
      </c>
      <c r="P80" s="1">
        <v>-112.2161</v>
      </c>
      <c r="Q80" s="1" t="s">
        <v>316</v>
      </c>
      <c r="R80" s="1" t="s">
        <v>41</v>
      </c>
      <c r="T80" s="1" t="s">
        <v>93</v>
      </c>
      <c r="U80" s="1" t="s">
        <v>44</v>
      </c>
      <c r="X80" s="1" t="s">
        <v>176</v>
      </c>
      <c r="AA80" s="3">
        <v>44762</v>
      </c>
      <c r="AB80" s="1" t="s">
        <v>46</v>
      </c>
      <c r="AC80" s="5">
        <v>439</v>
      </c>
      <c r="AD80" s="1" t="s">
        <v>321</v>
      </c>
      <c r="AE80" s="1" t="str">
        <f t="shared" si="6"/>
        <v>141 7</v>
      </c>
      <c r="AF80" s="5" t="str">
        <f>MID(AD80,FIND("(",AD80)+1,FIND(")",AD80)-FIND("(",AD80)-1)</f>
        <v>49.5</v>
      </c>
      <c r="AG80" s="1" t="str">
        <f t="shared" si="5"/>
        <v>Y</v>
      </c>
    </row>
    <row r="81" spans="1:33" x14ac:dyDescent="0.2">
      <c r="A81" s="1" t="s">
        <v>234</v>
      </c>
      <c r="B81" s="1" t="s">
        <v>315</v>
      </c>
      <c r="C81" s="1">
        <v>141</v>
      </c>
      <c r="D81" s="1">
        <v>8</v>
      </c>
      <c r="F81" s="1">
        <v>2023</v>
      </c>
      <c r="G81" s="1" t="s">
        <v>247</v>
      </c>
      <c r="H81" s="1">
        <v>608572</v>
      </c>
      <c r="I81" s="1">
        <v>9</v>
      </c>
      <c r="J81" s="1" t="s">
        <v>237</v>
      </c>
      <c r="K81" s="1" t="s">
        <v>248</v>
      </c>
      <c r="L81" s="1" t="s">
        <v>249</v>
      </c>
      <c r="M81" s="1">
        <v>13</v>
      </c>
      <c r="N81" s="1" t="s">
        <v>39</v>
      </c>
      <c r="O81" s="1">
        <v>33.554200000000002</v>
      </c>
      <c r="P81" s="1">
        <v>-112.2161</v>
      </c>
      <c r="Q81" s="1" t="s">
        <v>316</v>
      </c>
      <c r="R81" s="1" t="s">
        <v>41</v>
      </c>
      <c r="T81" s="1" t="s">
        <v>93</v>
      </c>
      <c r="U81" s="1" t="s">
        <v>44</v>
      </c>
      <c r="X81" s="1" t="s">
        <v>176</v>
      </c>
      <c r="AA81" s="3">
        <v>44777</v>
      </c>
      <c r="AB81" s="1" t="s">
        <v>46</v>
      </c>
      <c r="AC81" s="5">
        <v>439</v>
      </c>
      <c r="AD81" s="1" t="s">
        <v>322</v>
      </c>
      <c r="AE81" s="1" t="str">
        <f t="shared" si="6"/>
        <v>141 8</v>
      </c>
      <c r="AF81" s="5" t="str">
        <f>MID(AD81,FIND("(",AD81)+1,FIND(")",AD81)-FIND("(",AD81)-1)</f>
        <v>49.5</v>
      </c>
      <c r="AG81" s="1" t="str">
        <f t="shared" si="5"/>
        <v>Y</v>
      </c>
    </row>
    <row r="82" spans="1:33" x14ac:dyDescent="0.2">
      <c r="A82" s="1" t="s">
        <v>234</v>
      </c>
      <c r="B82" s="1" t="s">
        <v>323</v>
      </c>
      <c r="C82" s="1">
        <v>147</v>
      </c>
      <c r="D82" s="1" t="s">
        <v>324</v>
      </c>
      <c r="F82" s="1">
        <v>2023</v>
      </c>
      <c r="G82" s="1" t="s">
        <v>247</v>
      </c>
      <c r="H82" s="1">
        <v>608572</v>
      </c>
      <c r="I82" s="1">
        <v>9</v>
      </c>
      <c r="J82" s="1" t="s">
        <v>237</v>
      </c>
      <c r="K82" s="1" t="s">
        <v>248</v>
      </c>
      <c r="L82" s="1" t="s">
        <v>249</v>
      </c>
      <c r="M82" s="1">
        <v>13</v>
      </c>
      <c r="N82" s="1" t="s">
        <v>39</v>
      </c>
      <c r="O82" s="1">
        <v>33.354399999999998</v>
      </c>
      <c r="P82" s="1">
        <v>-111.93640000000001</v>
      </c>
      <c r="Q82" s="1" t="s">
        <v>316</v>
      </c>
      <c r="R82" s="1" t="s">
        <v>41</v>
      </c>
      <c r="T82" s="1" t="s">
        <v>71</v>
      </c>
      <c r="U82" s="1" t="s">
        <v>44</v>
      </c>
      <c r="X82" s="1" t="s">
        <v>64</v>
      </c>
      <c r="AA82" s="3">
        <v>37322</v>
      </c>
      <c r="AB82" s="1" t="s">
        <v>46</v>
      </c>
      <c r="AC82" s="5">
        <v>2310</v>
      </c>
      <c r="AD82" s="1" t="s">
        <v>325</v>
      </c>
      <c r="AE82" s="1" t="str">
        <f t="shared" si="6"/>
        <v>147 K-7</v>
      </c>
      <c r="AF82" s="14">
        <f>MID(AD82,FIND("(",AD82)+1,FIND(")",AD82)-FIND("(",AD82)-1)+170</f>
        <v>292</v>
      </c>
      <c r="AG82" s="1" t="str">
        <f t="shared" si="5"/>
        <v>Y</v>
      </c>
    </row>
    <row r="83" spans="1:33" x14ac:dyDescent="0.2">
      <c r="A83" s="1" t="s">
        <v>234</v>
      </c>
      <c r="B83" s="1" t="s">
        <v>326</v>
      </c>
      <c r="C83" s="1">
        <v>160</v>
      </c>
      <c r="D83" s="1">
        <v>1</v>
      </c>
      <c r="F83" s="1">
        <v>2023</v>
      </c>
      <c r="G83" s="1" t="s">
        <v>247</v>
      </c>
      <c r="H83" s="1">
        <v>606568</v>
      </c>
      <c r="I83" s="1">
        <v>9</v>
      </c>
      <c r="K83" s="1" t="s">
        <v>327</v>
      </c>
      <c r="L83" s="1" t="s">
        <v>328</v>
      </c>
      <c r="M83" s="1">
        <v>3</v>
      </c>
      <c r="N83" s="1" t="s">
        <v>39</v>
      </c>
      <c r="O83" s="1">
        <v>32.061900000000001</v>
      </c>
      <c r="P83" s="1">
        <v>-109.8931</v>
      </c>
      <c r="Q83" s="1" t="s">
        <v>329</v>
      </c>
      <c r="R83" s="1" t="s">
        <v>41</v>
      </c>
      <c r="T83" s="1" t="s">
        <v>89</v>
      </c>
      <c r="U83" s="1" t="s">
        <v>44</v>
      </c>
      <c r="AA83" s="3">
        <v>23621</v>
      </c>
      <c r="AB83" s="1" t="s">
        <v>46</v>
      </c>
      <c r="AC83" s="5">
        <v>919</v>
      </c>
      <c r="AD83" s="1" t="s">
        <v>330</v>
      </c>
      <c r="AE83" s="1" t="str">
        <f t="shared" si="6"/>
        <v>160 1</v>
      </c>
      <c r="AF83" s="5" t="str">
        <f t="shared" ref="AF83:AF88" si="7">MID(AD83,FIND("(",AD83)+1,FIND(")",AD83)-FIND("(",AD83)-1)</f>
        <v>85.05</v>
      </c>
      <c r="AG83" s="1" t="str">
        <f t="shared" si="5"/>
        <v/>
      </c>
    </row>
    <row r="84" spans="1:33" x14ac:dyDescent="0.2">
      <c r="A84" s="1" t="s">
        <v>234</v>
      </c>
      <c r="B84" s="1" t="s">
        <v>326</v>
      </c>
      <c r="C84" s="1">
        <v>160</v>
      </c>
      <c r="D84" s="1">
        <v>2</v>
      </c>
      <c r="F84" s="1">
        <v>2023</v>
      </c>
      <c r="G84" s="1" t="s">
        <v>236</v>
      </c>
      <c r="H84" s="1">
        <v>606568</v>
      </c>
      <c r="I84" s="1">
        <v>9</v>
      </c>
      <c r="K84" s="1" t="s">
        <v>327</v>
      </c>
      <c r="L84" s="1" t="s">
        <v>328</v>
      </c>
      <c r="M84" s="1">
        <v>3</v>
      </c>
      <c r="N84" s="1" t="s">
        <v>39</v>
      </c>
      <c r="O84" s="1">
        <v>32.061900000000001</v>
      </c>
      <c r="P84" s="1">
        <v>-109.8931</v>
      </c>
      <c r="Q84" s="1" t="s">
        <v>329</v>
      </c>
      <c r="R84" s="1" t="s">
        <v>41</v>
      </c>
      <c r="S84" s="1" t="s">
        <v>211</v>
      </c>
      <c r="T84" s="1" t="s">
        <v>319</v>
      </c>
      <c r="U84" s="1" t="s">
        <v>44</v>
      </c>
      <c r="W84" s="1" t="s">
        <v>241</v>
      </c>
      <c r="X84" s="1" t="s">
        <v>220</v>
      </c>
      <c r="Y84" s="1" t="s">
        <v>331</v>
      </c>
      <c r="AA84" s="3">
        <v>28856</v>
      </c>
      <c r="AB84" s="1" t="s">
        <v>46</v>
      </c>
      <c r="AC84" s="5">
        <v>1900</v>
      </c>
      <c r="AD84" s="1" t="s">
        <v>332</v>
      </c>
      <c r="AE84" s="1" t="str">
        <f t="shared" si="6"/>
        <v>160 2</v>
      </c>
      <c r="AF84" s="5" t="str">
        <f t="shared" si="7"/>
        <v>194.7</v>
      </c>
      <c r="AG84" s="1" t="str">
        <f t="shared" si="5"/>
        <v/>
      </c>
    </row>
    <row r="85" spans="1:33" x14ac:dyDescent="0.2">
      <c r="A85" s="1" t="s">
        <v>234</v>
      </c>
      <c r="B85" s="1" t="s">
        <v>326</v>
      </c>
      <c r="C85" s="1">
        <v>160</v>
      </c>
      <c r="D85" s="1">
        <v>3</v>
      </c>
      <c r="F85" s="1">
        <v>2023</v>
      </c>
      <c r="G85" s="1" t="s">
        <v>236</v>
      </c>
      <c r="H85" s="1">
        <v>606568</v>
      </c>
      <c r="I85" s="1">
        <v>9</v>
      </c>
      <c r="K85" s="1" t="s">
        <v>327</v>
      </c>
      <c r="L85" s="1" t="s">
        <v>328</v>
      </c>
      <c r="M85" s="1">
        <v>3</v>
      </c>
      <c r="N85" s="1" t="s">
        <v>39</v>
      </c>
      <c r="O85" s="1">
        <v>32.061900000000001</v>
      </c>
      <c r="P85" s="1">
        <v>-109.8931</v>
      </c>
      <c r="Q85" s="1" t="s">
        <v>329</v>
      </c>
      <c r="R85" s="1" t="s">
        <v>41</v>
      </c>
      <c r="S85" s="1" t="s">
        <v>211</v>
      </c>
      <c r="T85" s="1" t="s">
        <v>319</v>
      </c>
      <c r="U85" s="1" t="s">
        <v>55</v>
      </c>
      <c r="V85" s="1" t="s">
        <v>44</v>
      </c>
      <c r="W85" s="1" t="s">
        <v>241</v>
      </c>
      <c r="X85" s="1" t="s">
        <v>220</v>
      </c>
      <c r="Y85" s="1" t="s">
        <v>331</v>
      </c>
      <c r="AA85" s="3">
        <v>29099</v>
      </c>
      <c r="AB85" s="1" t="s">
        <v>46</v>
      </c>
      <c r="AC85" s="5">
        <v>1900</v>
      </c>
      <c r="AD85" s="1" t="s">
        <v>333</v>
      </c>
      <c r="AE85" s="1" t="str">
        <f t="shared" si="6"/>
        <v>160 3</v>
      </c>
      <c r="AF85" s="5" t="str">
        <f t="shared" si="7"/>
        <v>194.7</v>
      </c>
      <c r="AG85" s="1" t="str">
        <f t="shared" si="5"/>
        <v/>
      </c>
    </row>
    <row r="86" spans="1:33" x14ac:dyDescent="0.2">
      <c r="A86" s="1" t="s">
        <v>234</v>
      </c>
      <c r="B86" s="1" t="s">
        <v>326</v>
      </c>
      <c r="C86" s="1">
        <v>160</v>
      </c>
      <c r="D86" s="1">
        <v>4</v>
      </c>
      <c r="F86" s="1">
        <v>2023</v>
      </c>
      <c r="G86" s="1" t="s">
        <v>247</v>
      </c>
      <c r="H86" s="1">
        <v>606568</v>
      </c>
      <c r="I86" s="1">
        <v>9</v>
      </c>
      <c r="K86" s="1" t="s">
        <v>327</v>
      </c>
      <c r="L86" s="1" t="s">
        <v>328</v>
      </c>
      <c r="M86" s="1">
        <v>3</v>
      </c>
      <c r="N86" s="1" t="s">
        <v>39</v>
      </c>
      <c r="O86" s="1">
        <v>32.061900000000001</v>
      </c>
      <c r="P86" s="1">
        <v>-109.8931</v>
      </c>
      <c r="Q86" s="1" t="s">
        <v>329</v>
      </c>
      <c r="R86" s="1" t="s">
        <v>41</v>
      </c>
      <c r="T86" s="1" t="s">
        <v>93</v>
      </c>
      <c r="U86" s="1" t="s">
        <v>44</v>
      </c>
      <c r="X86" s="1" t="s">
        <v>176</v>
      </c>
      <c r="AA86" s="3">
        <v>37561</v>
      </c>
      <c r="AB86" s="1" t="s">
        <v>46</v>
      </c>
      <c r="AC86" s="5">
        <v>413.1</v>
      </c>
      <c r="AD86" s="1" t="s">
        <v>334</v>
      </c>
      <c r="AE86" s="1" t="str">
        <f t="shared" si="6"/>
        <v>160 4</v>
      </c>
      <c r="AF86" s="5" t="str">
        <f t="shared" si="7"/>
        <v>60.5</v>
      </c>
      <c r="AG86" s="1" t="str">
        <f t="shared" si="5"/>
        <v>Y</v>
      </c>
    </row>
    <row r="87" spans="1:33" x14ac:dyDescent="0.2">
      <c r="A87" s="1" t="s">
        <v>335</v>
      </c>
      <c r="B87" s="1" t="s">
        <v>336</v>
      </c>
      <c r="C87" s="1">
        <v>165</v>
      </c>
      <c r="D87" s="1">
        <v>1</v>
      </c>
      <c r="F87" s="1">
        <v>2023</v>
      </c>
      <c r="G87" s="1" t="s">
        <v>337</v>
      </c>
      <c r="H87" s="1">
        <v>606710</v>
      </c>
      <c r="I87" s="1">
        <v>6</v>
      </c>
      <c r="J87" s="1" t="s">
        <v>228</v>
      </c>
      <c r="K87" s="1" t="s">
        <v>338</v>
      </c>
      <c r="L87" s="1" t="s">
        <v>339</v>
      </c>
      <c r="M87" s="1">
        <v>97</v>
      </c>
      <c r="N87" s="1" t="s">
        <v>39</v>
      </c>
      <c r="O87" s="1">
        <v>36.190600000000003</v>
      </c>
      <c r="P87" s="1">
        <v>-95.288899999999998</v>
      </c>
      <c r="Q87" s="1" t="s">
        <v>340</v>
      </c>
      <c r="R87" s="1" t="s">
        <v>41</v>
      </c>
      <c r="S87" s="1" t="s">
        <v>42</v>
      </c>
      <c r="T87" s="1" t="s">
        <v>89</v>
      </c>
      <c r="U87" s="1" t="s">
        <v>55</v>
      </c>
      <c r="V87" s="1" t="s">
        <v>341</v>
      </c>
      <c r="X87" s="1" t="s">
        <v>220</v>
      </c>
      <c r="Y87" s="1" t="s">
        <v>58</v>
      </c>
      <c r="AA87" s="3">
        <v>29952</v>
      </c>
      <c r="AB87" s="1" t="s">
        <v>46</v>
      </c>
      <c r="AC87" s="5">
        <v>6100</v>
      </c>
      <c r="AD87" s="1" t="s">
        <v>342</v>
      </c>
      <c r="AE87" s="1" t="str">
        <f t="shared" si="6"/>
        <v>165 1</v>
      </c>
      <c r="AF87" s="5" t="str">
        <f t="shared" si="7"/>
        <v>490</v>
      </c>
      <c r="AG87" s="1" t="str">
        <f t="shared" si="5"/>
        <v/>
      </c>
    </row>
    <row r="88" spans="1:33" x14ac:dyDescent="0.2">
      <c r="A88" s="1" t="s">
        <v>335</v>
      </c>
      <c r="B88" s="1" t="s">
        <v>336</v>
      </c>
      <c r="C88" s="1">
        <v>165</v>
      </c>
      <c r="D88" s="1">
        <v>2</v>
      </c>
      <c r="F88" s="1">
        <v>2023</v>
      </c>
      <c r="G88" s="1" t="s">
        <v>337</v>
      </c>
      <c r="H88" s="1">
        <v>606710</v>
      </c>
      <c r="I88" s="1">
        <v>6</v>
      </c>
      <c r="J88" s="1" t="s">
        <v>228</v>
      </c>
      <c r="K88" s="1" t="s">
        <v>338</v>
      </c>
      <c r="L88" s="1" t="s">
        <v>339</v>
      </c>
      <c r="M88" s="1">
        <v>97</v>
      </c>
      <c r="N88" s="1" t="s">
        <v>39</v>
      </c>
      <c r="O88" s="1">
        <v>36.190600000000003</v>
      </c>
      <c r="P88" s="1">
        <v>-95.288899999999998</v>
      </c>
      <c r="Q88" s="1" t="s">
        <v>343</v>
      </c>
      <c r="R88" s="1" t="s">
        <v>41</v>
      </c>
      <c r="S88" s="1" t="s">
        <v>42</v>
      </c>
      <c r="T88" s="1" t="s">
        <v>89</v>
      </c>
      <c r="U88" s="1" t="s">
        <v>55</v>
      </c>
      <c r="V88" s="1" t="s">
        <v>341</v>
      </c>
      <c r="W88" s="1" t="s">
        <v>212</v>
      </c>
      <c r="X88" s="1" t="s">
        <v>289</v>
      </c>
      <c r="Y88" s="1" t="s">
        <v>232</v>
      </c>
      <c r="Z88" s="1" t="s">
        <v>344</v>
      </c>
      <c r="AA88" s="3">
        <v>31503</v>
      </c>
      <c r="AB88" s="1" t="s">
        <v>46</v>
      </c>
      <c r="AC88" s="5">
        <v>6400</v>
      </c>
      <c r="AD88" s="1" t="s">
        <v>345</v>
      </c>
      <c r="AE88" s="1" t="str">
        <f t="shared" si="6"/>
        <v>165 2</v>
      </c>
      <c r="AF88" s="5" t="str">
        <f t="shared" si="7"/>
        <v>520</v>
      </c>
      <c r="AG88" s="1" t="str">
        <f t="shared" si="5"/>
        <v/>
      </c>
    </row>
    <row r="89" spans="1:33" x14ac:dyDescent="0.2">
      <c r="A89" s="1" t="s">
        <v>335</v>
      </c>
      <c r="B89" s="1" t="s">
        <v>336</v>
      </c>
      <c r="C89" s="1">
        <v>165</v>
      </c>
      <c r="D89" s="1">
        <v>3</v>
      </c>
      <c r="F89" s="1">
        <v>2023</v>
      </c>
      <c r="G89" s="1" t="s">
        <v>346</v>
      </c>
      <c r="H89" s="1">
        <v>606710</v>
      </c>
      <c r="I89" s="1">
        <v>6</v>
      </c>
      <c r="J89" s="1" t="s">
        <v>228</v>
      </c>
      <c r="K89" s="1" t="s">
        <v>338</v>
      </c>
      <c r="L89" s="1" t="s">
        <v>339</v>
      </c>
      <c r="M89" s="1">
        <v>97</v>
      </c>
      <c r="N89" s="1" t="s">
        <v>39</v>
      </c>
      <c r="O89" s="1">
        <v>36.190600000000003</v>
      </c>
      <c r="P89" s="1">
        <v>-95.288899999999998</v>
      </c>
      <c r="Q89" s="1" t="s">
        <v>340</v>
      </c>
      <c r="R89" s="1" t="s">
        <v>41</v>
      </c>
      <c r="T89" s="1" t="s">
        <v>71</v>
      </c>
      <c r="U89" s="1" t="s">
        <v>44</v>
      </c>
      <c r="X89" s="1" t="s">
        <v>223</v>
      </c>
      <c r="AA89" s="3">
        <v>42811</v>
      </c>
      <c r="AB89" s="1" t="s">
        <v>46</v>
      </c>
      <c r="AC89" s="5">
        <v>3627</v>
      </c>
      <c r="AD89" s="1" t="s">
        <v>347</v>
      </c>
      <c r="AE89" s="1" t="str">
        <f t="shared" si="6"/>
        <v>165 3</v>
      </c>
      <c r="AF89" s="14">
        <f>MID(AD89,FIND("(",AD89)+1,FIND(")",AD89)-FIND("(",AD89)-1)+204</f>
        <v>569.5</v>
      </c>
      <c r="AG89" s="1" t="str">
        <f t="shared" si="5"/>
        <v>Y</v>
      </c>
    </row>
    <row r="90" spans="1:33" x14ac:dyDescent="0.2">
      <c r="A90" s="1" t="s">
        <v>348</v>
      </c>
      <c r="B90" s="1" t="s">
        <v>349</v>
      </c>
      <c r="C90" s="1">
        <v>170</v>
      </c>
      <c r="D90" s="1">
        <v>4</v>
      </c>
      <c r="F90" s="1">
        <v>2023</v>
      </c>
      <c r="G90" s="1" t="s">
        <v>346</v>
      </c>
      <c r="H90" s="1" t="s">
        <v>350</v>
      </c>
      <c r="I90" s="1">
        <v>6</v>
      </c>
      <c r="J90" s="1" t="s">
        <v>228</v>
      </c>
      <c r="K90" s="1" t="s">
        <v>351</v>
      </c>
      <c r="L90" s="1" t="s">
        <v>352</v>
      </c>
      <c r="M90" s="1">
        <v>59</v>
      </c>
      <c r="N90" s="1" t="s">
        <v>39</v>
      </c>
      <c r="O90" s="1">
        <v>34.434100000000001</v>
      </c>
      <c r="P90" s="1">
        <v>-92.904600000000002</v>
      </c>
      <c r="Q90" s="1" t="s">
        <v>353</v>
      </c>
      <c r="R90" s="1" t="s">
        <v>41</v>
      </c>
      <c r="T90" s="1" t="s">
        <v>89</v>
      </c>
      <c r="U90" s="1" t="s">
        <v>44</v>
      </c>
      <c r="AA90" s="3">
        <v>25665</v>
      </c>
      <c r="AB90" s="1" t="s">
        <v>46</v>
      </c>
      <c r="AC90" s="5">
        <v>7606</v>
      </c>
      <c r="AD90" s="1" t="s">
        <v>354</v>
      </c>
      <c r="AE90" s="1" t="str">
        <f t="shared" si="6"/>
        <v>170 4</v>
      </c>
      <c r="AF90" s="5" t="str">
        <f>MID(AD90,FIND("(",AD90)+1,FIND(")",AD90)-FIND("(",AD90)-1)</f>
        <v>552.5</v>
      </c>
      <c r="AG90" s="1" t="str">
        <f t="shared" si="5"/>
        <v/>
      </c>
    </row>
    <row r="91" spans="1:33" x14ac:dyDescent="0.2">
      <c r="A91" s="1" t="s">
        <v>348</v>
      </c>
      <c r="B91" s="1" t="s">
        <v>355</v>
      </c>
      <c r="C91" s="1">
        <v>201</v>
      </c>
      <c r="D91" s="1">
        <v>2</v>
      </c>
      <c r="F91" s="1">
        <v>2023</v>
      </c>
      <c r="G91" s="1" t="s">
        <v>346</v>
      </c>
      <c r="H91" s="1" t="s">
        <v>356</v>
      </c>
      <c r="I91" s="1">
        <v>6</v>
      </c>
      <c r="J91" s="1" t="s">
        <v>228</v>
      </c>
      <c r="K91" s="1" t="s">
        <v>357</v>
      </c>
      <c r="L91" s="1" t="s">
        <v>358</v>
      </c>
      <c r="M91" s="1">
        <v>47</v>
      </c>
      <c r="N91" s="1" t="s">
        <v>39</v>
      </c>
      <c r="O91" s="1">
        <v>35.4617</v>
      </c>
      <c r="P91" s="1">
        <v>-93.805300000000003</v>
      </c>
      <c r="Q91" s="1" t="s">
        <v>359</v>
      </c>
      <c r="R91" s="1" t="s">
        <v>41</v>
      </c>
      <c r="T91" s="1" t="s">
        <v>71</v>
      </c>
      <c r="U91" s="1" t="s">
        <v>44</v>
      </c>
      <c r="V91" s="1" t="s">
        <v>94</v>
      </c>
      <c r="X91" s="1" t="s">
        <v>183</v>
      </c>
      <c r="AA91" s="3">
        <v>37621</v>
      </c>
      <c r="AB91" s="1" t="s">
        <v>46</v>
      </c>
      <c r="AC91" s="5">
        <v>1750</v>
      </c>
      <c r="AD91" s="1" t="s">
        <v>360</v>
      </c>
      <c r="AE91" s="1" t="str">
        <f t="shared" si="6"/>
        <v>201 2</v>
      </c>
      <c r="AF91" s="14">
        <f>MID(AD91,FIND("(",AD91)+1,FIND(")",AD91)-FIND("(",AD91)-1)+106</f>
        <v>165</v>
      </c>
      <c r="AG91" s="1" t="str">
        <f t="shared" si="5"/>
        <v/>
      </c>
    </row>
    <row r="92" spans="1:33" x14ac:dyDescent="0.2">
      <c r="A92" s="1" t="s">
        <v>348</v>
      </c>
      <c r="B92" s="1" t="s">
        <v>361</v>
      </c>
      <c r="C92" s="1">
        <v>202</v>
      </c>
      <c r="D92" s="1">
        <v>1</v>
      </c>
      <c r="F92" s="1">
        <v>2023</v>
      </c>
      <c r="G92" s="1" t="s">
        <v>346</v>
      </c>
      <c r="H92" s="1" t="s">
        <v>362</v>
      </c>
      <c r="I92" s="1">
        <v>6</v>
      </c>
      <c r="J92" s="1" t="s">
        <v>228</v>
      </c>
      <c r="K92" s="1" t="s">
        <v>363</v>
      </c>
      <c r="L92" s="1" t="s">
        <v>364</v>
      </c>
      <c r="M92" s="1">
        <v>147</v>
      </c>
      <c r="N92" s="1" t="s">
        <v>39</v>
      </c>
      <c r="O92" s="1">
        <v>35.259700000000002</v>
      </c>
      <c r="P92" s="1">
        <v>-91.363100000000003</v>
      </c>
      <c r="Q92" s="1" t="s">
        <v>359</v>
      </c>
      <c r="R92" s="1" t="s">
        <v>41</v>
      </c>
      <c r="T92" s="1" t="s">
        <v>89</v>
      </c>
      <c r="U92" s="1" t="s">
        <v>44</v>
      </c>
      <c r="V92" s="1" t="s">
        <v>173</v>
      </c>
      <c r="AA92" s="3">
        <v>24181</v>
      </c>
      <c r="AB92" s="1" t="s">
        <v>46</v>
      </c>
      <c r="AC92" s="5">
        <v>1436</v>
      </c>
      <c r="AD92" s="1" t="s">
        <v>365</v>
      </c>
      <c r="AE92" s="1" t="str">
        <f t="shared" si="6"/>
        <v>202 1</v>
      </c>
      <c r="AF92" s="5" t="str">
        <f>MID(AD92,FIND("(",AD92)+1,FIND(")",AD92)-FIND("(",AD92)-1)</f>
        <v>120</v>
      </c>
      <c r="AG92" s="1" t="str">
        <f t="shared" si="5"/>
        <v/>
      </c>
    </row>
    <row r="93" spans="1:33" x14ac:dyDescent="0.2">
      <c r="A93" s="1" t="s">
        <v>348</v>
      </c>
      <c r="B93" s="1" t="s">
        <v>366</v>
      </c>
      <c r="C93" s="1">
        <v>203</v>
      </c>
      <c r="D93" s="1">
        <v>1</v>
      </c>
      <c r="F93" s="1">
        <v>2023</v>
      </c>
      <c r="G93" s="1" t="s">
        <v>346</v>
      </c>
      <c r="H93" s="1" t="s">
        <v>356</v>
      </c>
      <c r="I93" s="1">
        <v>6</v>
      </c>
      <c r="J93" s="1" t="s">
        <v>228</v>
      </c>
      <c r="K93" s="1" t="s">
        <v>367</v>
      </c>
      <c r="L93" s="1" t="s">
        <v>368</v>
      </c>
      <c r="M93" s="1">
        <v>103</v>
      </c>
      <c r="N93" s="1" t="s">
        <v>39</v>
      </c>
      <c r="O93" s="1">
        <v>33.564799999999998</v>
      </c>
      <c r="P93" s="1">
        <v>-92.791700000000006</v>
      </c>
      <c r="Q93" s="1" t="s">
        <v>359</v>
      </c>
      <c r="R93" s="1" t="s">
        <v>41</v>
      </c>
      <c r="T93" s="1" t="s">
        <v>89</v>
      </c>
      <c r="U93" s="1" t="s">
        <v>44</v>
      </c>
      <c r="V93" s="1" t="s">
        <v>173</v>
      </c>
      <c r="AA93" s="3">
        <v>25659</v>
      </c>
      <c r="AB93" s="1" t="s">
        <v>46</v>
      </c>
      <c r="AC93" s="5">
        <v>1436</v>
      </c>
      <c r="AD93" s="1" t="s">
        <v>369</v>
      </c>
      <c r="AE93" s="1" t="str">
        <f t="shared" si="6"/>
        <v>203 1</v>
      </c>
      <c r="AF93" s="5" t="str">
        <f>MID(AD93,FIND("(",AD93)+1,FIND(")",AD93)-FIND("(",AD93)-1)</f>
        <v>136</v>
      </c>
      <c r="AG93" s="1" t="str">
        <f t="shared" si="5"/>
        <v/>
      </c>
    </row>
    <row r="94" spans="1:33" x14ac:dyDescent="0.2">
      <c r="A94" s="1" t="s">
        <v>370</v>
      </c>
      <c r="B94" s="1" t="s">
        <v>371</v>
      </c>
      <c r="C94" s="1">
        <v>260</v>
      </c>
      <c r="D94" s="1" t="s">
        <v>372</v>
      </c>
      <c r="F94" s="1">
        <v>2023</v>
      </c>
      <c r="G94" s="1" t="s">
        <v>247</v>
      </c>
      <c r="H94" s="1">
        <v>603383</v>
      </c>
      <c r="I94" s="1">
        <v>9</v>
      </c>
      <c r="J94" s="1" t="s">
        <v>237</v>
      </c>
      <c r="K94" s="1" t="s">
        <v>373</v>
      </c>
      <c r="L94" s="1" t="s">
        <v>374</v>
      </c>
      <c r="M94" s="1">
        <v>53</v>
      </c>
      <c r="N94" s="1" t="s">
        <v>39</v>
      </c>
      <c r="O94" s="1">
        <v>36.804200000000002</v>
      </c>
      <c r="P94" s="1">
        <v>-121.7775</v>
      </c>
      <c r="Q94" s="1" t="s">
        <v>375</v>
      </c>
      <c r="R94" s="1" t="s">
        <v>41</v>
      </c>
      <c r="T94" s="1" t="s">
        <v>71</v>
      </c>
      <c r="U94" s="1" t="s">
        <v>44</v>
      </c>
      <c r="X94" s="1" t="s">
        <v>64</v>
      </c>
      <c r="AA94" s="3">
        <v>37355</v>
      </c>
      <c r="AB94" s="1" t="s">
        <v>46</v>
      </c>
      <c r="AC94" s="5">
        <v>2057</v>
      </c>
      <c r="AD94" s="1" t="s">
        <v>376</v>
      </c>
      <c r="AE94" s="1" t="str">
        <f t="shared" si="6"/>
        <v>260 1A</v>
      </c>
      <c r="AF94" s="14">
        <f>MID(AD94,FIND("(",AD94)+1,FIND(")",AD94)-FIND("(",AD94)-1)+233/2</f>
        <v>391.5</v>
      </c>
      <c r="AG94" s="1" t="str">
        <f t="shared" si="5"/>
        <v>Y</v>
      </c>
    </row>
    <row r="95" spans="1:33" x14ac:dyDescent="0.2">
      <c r="A95" s="1" t="s">
        <v>370</v>
      </c>
      <c r="B95" s="1" t="s">
        <v>371</v>
      </c>
      <c r="C95" s="1">
        <v>260</v>
      </c>
      <c r="D95" s="1" t="s">
        <v>377</v>
      </c>
      <c r="F95" s="1">
        <v>2023</v>
      </c>
      <c r="G95" s="1" t="s">
        <v>247</v>
      </c>
      <c r="H95" s="1">
        <v>603383</v>
      </c>
      <c r="I95" s="1">
        <v>9</v>
      </c>
      <c r="J95" s="1" t="s">
        <v>237</v>
      </c>
      <c r="K95" s="1" t="s">
        <v>373</v>
      </c>
      <c r="L95" s="1" t="s">
        <v>374</v>
      </c>
      <c r="M95" s="1">
        <v>53</v>
      </c>
      <c r="N95" s="1" t="s">
        <v>39</v>
      </c>
      <c r="O95" s="1">
        <v>36.804200000000002</v>
      </c>
      <c r="P95" s="1">
        <v>-121.7775</v>
      </c>
      <c r="Q95" s="1" t="s">
        <v>375</v>
      </c>
      <c r="R95" s="1" t="s">
        <v>41</v>
      </c>
      <c r="T95" s="1" t="s">
        <v>71</v>
      </c>
      <c r="U95" s="1" t="s">
        <v>44</v>
      </c>
      <c r="X95" s="1" t="s">
        <v>64</v>
      </c>
      <c r="AA95" s="3">
        <v>37355</v>
      </c>
      <c r="AB95" s="1" t="s">
        <v>46</v>
      </c>
      <c r="AC95" s="5">
        <v>2057</v>
      </c>
      <c r="AD95" s="1" t="s">
        <v>378</v>
      </c>
      <c r="AE95" s="1" t="str">
        <f t="shared" si="6"/>
        <v>260 2A</v>
      </c>
      <c r="AF95" s="14">
        <f>AF94</f>
        <v>391.5</v>
      </c>
      <c r="AG95" s="1" t="str">
        <f t="shared" si="5"/>
        <v>Y</v>
      </c>
    </row>
    <row r="96" spans="1:33" x14ac:dyDescent="0.2">
      <c r="A96" s="1" t="s">
        <v>370</v>
      </c>
      <c r="B96" s="1" t="s">
        <v>371</v>
      </c>
      <c r="C96" s="1">
        <v>260</v>
      </c>
      <c r="D96" s="1" t="s">
        <v>379</v>
      </c>
      <c r="F96" s="1">
        <v>2023</v>
      </c>
      <c r="G96" s="1" t="s">
        <v>247</v>
      </c>
      <c r="H96" s="1">
        <v>603383</v>
      </c>
      <c r="I96" s="1">
        <v>9</v>
      </c>
      <c r="J96" s="1" t="s">
        <v>237</v>
      </c>
      <c r="K96" s="1" t="s">
        <v>373</v>
      </c>
      <c r="L96" s="1" t="s">
        <v>374</v>
      </c>
      <c r="M96" s="1">
        <v>53</v>
      </c>
      <c r="N96" s="1" t="s">
        <v>39</v>
      </c>
      <c r="O96" s="1">
        <v>36.804200000000002</v>
      </c>
      <c r="P96" s="1">
        <v>-121.7775</v>
      </c>
      <c r="Q96" s="1" t="s">
        <v>375</v>
      </c>
      <c r="R96" s="1" t="s">
        <v>41</v>
      </c>
      <c r="T96" s="1" t="s">
        <v>71</v>
      </c>
      <c r="U96" s="1" t="s">
        <v>44</v>
      </c>
      <c r="X96" s="1" t="s">
        <v>64</v>
      </c>
      <c r="AA96" s="3">
        <v>37400</v>
      </c>
      <c r="AB96" s="1" t="s">
        <v>46</v>
      </c>
      <c r="AC96" s="5">
        <v>2057</v>
      </c>
      <c r="AD96" s="1" t="s">
        <v>380</v>
      </c>
      <c r="AE96" s="1" t="str">
        <f t="shared" si="6"/>
        <v>260 3A</v>
      </c>
      <c r="AF96" s="14">
        <f>AF95</f>
        <v>391.5</v>
      </c>
      <c r="AG96" s="1" t="str">
        <f t="shared" si="5"/>
        <v>Y</v>
      </c>
    </row>
    <row r="97" spans="1:33" x14ac:dyDescent="0.2">
      <c r="A97" s="1" t="s">
        <v>370</v>
      </c>
      <c r="B97" s="1" t="s">
        <v>371</v>
      </c>
      <c r="C97" s="1">
        <v>260</v>
      </c>
      <c r="D97" s="1" t="s">
        <v>381</v>
      </c>
      <c r="F97" s="1">
        <v>2023</v>
      </c>
      <c r="G97" s="1" t="s">
        <v>247</v>
      </c>
      <c r="H97" s="1">
        <v>603383</v>
      </c>
      <c r="I97" s="1">
        <v>9</v>
      </c>
      <c r="J97" s="1" t="s">
        <v>237</v>
      </c>
      <c r="K97" s="1" t="s">
        <v>373</v>
      </c>
      <c r="L97" s="1" t="s">
        <v>374</v>
      </c>
      <c r="M97" s="1">
        <v>53</v>
      </c>
      <c r="N97" s="1" t="s">
        <v>39</v>
      </c>
      <c r="O97" s="1">
        <v>36.804200000000002</v>
      </c>
      <c r="P97" s="1">
        <v>-121.7775</v>
      </c>
      <c r="Q97" s="1" t="s">
        <v>375</v>
      </c>
      <c r="R97" s="1" t="s">
        <v>41</v>
      </c>
      <c r="T97" s="1" t="s">
        <v>71</v>
      </c>
      <c r="U97" s="1" t="s">
        <v>44</v>
      </c>
      <c r="X97" s="1" t="s">
        <v>64</v>
      </c>
      <c r="AA97" s="3">
        <v>37402</v>
      </c>
      <c r="AB97" s="1" t="s">
        <v>46</v>
      </c>
      <c r="AC97" s="5">
        <v>2057</v>
      </c>
      <c r="AD97" s="1" t="s">
        <v>382</v>
      </c>
      <c r="AE97" s="1" t="str">
        <f t="shared" si="6"/>
        <v>260 4A</v>
      </c>
      <c r="AF97" s="14">
        <f>AF96</f>
        <v>391.5</v>
      </c>
      <c r="AG97" s="1" t="str">
        <f t="shared" si="5"/>
        <v>Y</v>
      </c>
    </row>
    <row r="98" spans="1:33" x14ac:dyDescent="0.2">
      <c r="A98" s="1" t="s">
        <v>383</v>
      </c>
      <c r="B98" s="1" t="s">
        <v>384</v>
      </c>
      <c r="C98" s="1">
        <v>298</v>
      </c>
      <c r="D98" s="1" t="s">
        <v>385</v>
      </c>
      <c r="F98" s="1">
        <v>2023</v>
      </c>
      <c r="G98" s="1" t="s">
        <v>386</v>
      </c>
      <c r="H98" s="1">
        <v>602998</v>
      </c>
      <c r="I98" s="1">
        <v>6</v>
      </c>
      <c r="J98" s="1" t="s">
        <v>387</v>
      </c>
      <c r="K98" s="1" t="s">
        <v>388</v>
      </c>
      <c r="L98" s="1" t="s">
        <v>389</v>
      </c>
      <c r="M98" s="1">
        <v>293</v>
      </c>
      <c r="N98" s="1" t="s">
        <v>39</v>
      </c>
      <c r="O98" s="1">
        <v>31.421900000000001</v>
      </c>
      <c r="P98" s="1">
        <v>-96.252499999999998</v>
      </c>
      <c r="Q98" s="1" t="s">
        <v>390</v>
      </c>
      <c r="R98" s="1" t="s">
        <v>41</v>
      </c>
      <c r="S98" s="1" t="s">
        <v>211</v>
      </c>
      <c r="T98" s="1" t="s">
        <v>43</v>
      </c>
      <c r="U98" s="1" t="s">
        <v>55</v>
      </c>
      <c r="W98" s="1" t="s">
        <v>56</v>
      </c>
      <c r="X98" s="1" t="s">
        <v>220</v>
      </c>
      <c r="Y98" s="1" t="s">
        <v>58</v>
      </c>
      <c r="Z98" s="1" t="s">
        <v>214</v>
      </c>
      <c r="AA98" s="3">
        <v>31382</v>
      </c>
      <c r="AB98" s="1" t="s">
        <v>46</v>
      </c>
      <c r="AC98" s="5">
        <v>11107</v>
      </c>
      <c r="AD98" s="1" t="s">
        <v>391</v>
      </c>
      <c r="AE98" s="1" t="str">
        <f t="shared" si="6"/>
        <v>298 LIM1</v>
      </c>
      <c r="AF98" s="5" t="str">
        <f t="shared" ref="AF98:AF107" si="8">MID(AD98,FIND("(",AD98)+1,FIND(")",AD98)-FIND("(",AD98)-1)</f>
        <v>813.4</v>
      </c>
      <c r="AG98" s="1" t="str">
        <f t="shared" si="5"/>
        <v/>
      </c>
    </row>
    <row r="99" spans="1:33" x14ac:dyDescent="0.2">
      <c r="A99" s="1" t="s">
        <v>383</v>
      </c>
      <c r="B99" s="1" t="s">
        <v>384</v>
      </c>
      <c r="C99" s="1">
        <v>298</v>
      </c>
      <c r="D99" s="1" t="s">
        <v>392</v>
      </c>
      <c r="F99" s="1">
        <v>2023</v>
      </c>
      <c r="G99" s="1" t="s">
        <v>386</v>
      </c>
      <c r="H99" s="1">
        <v>602998</v>
      </c>
      <c r="I99" s="1">
        <v>6</v>
      </c>
      <c r="J99" s="1" t="s">
        <v>387</v>
      </c>
      <c r="K99" s="1" t="s">
        <v>388</v>
      </c>
      <c r="L99" s="1" t="s">
        <v>389</v>
      </c>
      <c r="M99" s="1">
        <v>293</v>
      </c>
      <c r="N99" s="1" t="s">
        <v>39</v>
      </c>
      <c r="O99" s="1">
        <v>31.421900000000001</v>
      </c>
      <c r="P99" s="1">
        <v>-96.252499999999998</v>
      </c>
      <c r="Q99" s="1" t="s">
        <v>390</v>
      </c>
      <c r="R99" s="1" t="s">
        <v>41</v>
      </c>
      <c r="S99" s="1" t="s">
        <v>211</v>
      </c>
      <c r="T99" s="1" t="s">
        <v>43</v>
      </c>
      <c r="U99" s="1" t="s">
        <v>55</v>
      </c>
      <c r="W99" s="1" t="s">
        <v>56</v>
      </c>
      <c r="X99" s="1" t="s">
        <v>220</v>
      </c>
      <c r="Y99" s="1" t="s">
        <v>58</v>
      </c>
      <c r="Z99" s="1" t="s">
        <v>214</v>
      </c>
      <c r="AA99" s="3">
        <v>31382</v>
      </c>
      <c r="AB99" s="1" t="s">
        <v>46</v>
      </c>
      <c r="AC99" s="5">
        <v>11107</v>
      </c>
      <c r="AD99" s="1" t="s">
        <v>393</v>
      </c>
      <c r="AE99" s="1" t="str">
        <f t="shared" si="6"/>
        <v>298 LIM2</v>
      </c>
      <c r="AF99" s="5" t="str">
        <f t="shared" si="8"/>
        <v>813.4</v>
      </c>
      <c r="AG99" s="1" t="str">
        <f t="shared" si="5"/>
        <v/>
      </c>
    </row>
    <row r="100" spans="1:33" x14ac:dyDescent="0.2">
      <c r="A100" s="1" t="s">
        <v>370</v>
      </c>
      <c r="B100" s="1" t="s">
        <v>394</v>
      </c>
      <c r="C100" s="1">
        <v>302</v>
      </c>
      <c r="D100" s="1">
        <v>6</v>
      </c>
      <c r="F100" s="1">
        <v>2023</v>
      </c>
      <c r="G100" s="1" t="s">
        <v>247</v>
      </c>
      <c r="H100" s="1">
        <v>609365</v>
      </c>
      <c r="I100" s="1">
        <v>9</v>
      </c>
      <c r="J100" s="1" t="s">
        <v>237</v>
      </c>
      <c r="K100" s="1" t="s">
        <v>395</v>
      </c>
      <c r="L100" s="1" t="s">
        <v>396</v>
      </c>
      <c r="M100" s="1">
        <v>73</v>
      </c>
      <c r="N100" s="1" t="s">
        <v>39</v>
      </c>
      <c r="O100" s="1">
        <v>33.140799999999999</v>
      </c>
      <c r="P100" s="1">
        <v>-117.3342</v>
      </c>
      <c r="Q100" s="1" t="s">
        <v>397</v>
      </c>
      <c r="R100" s="1" t="s">
        <v>41</v>
      </c>
      <c r="T100" s="1" t="s">
        <v>93</v>
      </c>
      <c r="U100" s="1" t="s">
        <v>44</v>
      </c>
      <c r="X100" s="1" t="s">
        <v>176</v>
      </c>
      <c r="AA100" s="3">
        <v>43336</v>
      </c>
      <c r="AB100" s="1" t="s">
        <v>46</v>
      </c>
      <c r="AC100" s="5">
        <v>1010</v>
      </c>
      <c r="AD100" s="1" t="s">
        <v>398</v>
      </c>
      <c r="AE100" s="1" t="str">
        <f t="shared" si="6"/>
        <v>302 6</v>
      </c>
      <c r="AF100" s="5" t="str">
        <f t="shared" si="8"/>
        <v>105.3</v>
      </c>
      <c r="AG100" s="1" t="str">
        <f t="shared" si="5"/>
        <v>Y</v>
      </c>
    </row>
    <row r="101" spans="1:33" x14ac:dyDescent="0.2">
      <c r="A101" s="1" t="s">
        <v>370</v>
      </c>
      <c r="B101" s="1" t="s">
        <v>394</v>
      </c>
      <c r="C101" s="1">
        <v>302</v>
      </c>
      <c r="D101" s="1">
        <v>7</v>
      </c>
      <c r="F101" s="1">
        <v>2023</v>
      </c>
      <c r="G101" s="1" t="s">
        <v>247</v>
      </c>
      <c r="H101" s="1">
        <v>609365</v>
      </c>
      <c r="I101" s="1">
        <v>9</v>
      </c>
      <c r="J101" s="1" t="s">
        <v>237</v>
      </c>
      <c r="K101" s="1" t="s">
        <v>395</v>
      </c>
      <c r="L101" s="1" t="s">
        <v>396</v>
      </c>
      <c r="M101" s="1">
        <v>73</v>
      </c>
      <c r="N101" s="1" t="s">
        <v>39</v>
      </c>
      <c r="O101" s="1">
        <v>33.140799999999999</v>
      </c>
      <c r="P101" s="1">
        <v>-117.3342</v>
      </c>
      <c r="Q101" s="1" t="s">
        <v>397</v>
      </c>
      <c r="R101" s="1" t="s">
        <v>41</v>
      </c>
      <c r="T101" s="1" t="s">
        <v>93</v>
      </c>
      <c r="U101" s="1" t="s">
        <v>44</v>
      </c>
      <c r="X101" s="1" t="s">
        <v>176</v>
      </c>
      <c r="AA101" s="3">
        <v>43327</v>
      </c>
      <c r="AB101" s="1" t="s">
        <v>46</v>
      </c>
      <c r="AC101" s="5">
        <v>1010</v>
      </c>
      <c r="AD101" s="1" t="s">
        <v>399</v>
      </c>
      <c r="AE101" s="1" t="str">
        <f t="shared" si="6"/>
        <v>302 7</v>
      </c>
      <c r="AF101" s="5" t="str">
        <f t="shared" si="8"/>
        <v>105.3</v>
      </c>
      <c r="AG101" s="1" t="str">
        <f t="shared" si="5"/>
        <v>Y</v>
      </c>
    </row>
    <row r="102" spans="1:33" x14ac:dyDescent="0.2">
      <c r="A102" s="1" t="s">
        <v>370</v>
      </c>
      <c r="B102" s="1" t="s">
        <v>394</v>
      </c>
      <c r="C102" s="1">
        <v>302</v>
      </c>
      <c r="D102" s="1">
        <v>8</v>
      </c>
      <c r="F102" s="1">
        <v>2023</v>
      </c>
      <c r="G102" s="1" t="s">
        <v>247</v>
      </c>
      <c r="H102" s="1">
        <v>609365</v>
      </c>
      <c r="I102" s="1">
        <v>9</v>
      </c>
      <c r="J102" s="1" t="s">
        <v>237</v>
      </c>
      <c r="K102" s="1" t="s">
        <v>395</v>
      </c>
      <c r="L102" s="1" t="s">
        <v>396</v>
      </c>
      <c r="M102" s="1">
        <v>73</v>
      </c>
      <c r="N102" s="1" t="s">
        <v>39</v>
      </c>
      <c r="O102" s="1">
        <v>33.140799999999999</v>
      </c>
      <c r="P102" s="1">
        <v>-117.3342</v>
      </c>
      <c r="Q102" s="1" t="s">
        <v>397</v>
      </c>
      <c r="R102" s="1" t="s">
        <v>41</v>
      </c>
      <c r="T102" s="1" t="s">
        <v>93</v>
      </c>
      <c r="U102" s="1" t="s">
        <v>44</v>
      </c>
      <c r="X102" s="1" t="s">
        <v>176</v>
      </c>
      <c r="AA102" s="3">
        <v>43288</v>
      </c>
      <c r="AB102" s="1" t="s">
        <v>46</v>
      </c>
      <c r="AC102" s="5">
        <v>1010</v>
      </c>
      <c r="AD102" s="1" t="s">
        <v>400</v>
      </c>
      <c r="AE102" s="1" t="str">
        <f t="shared" si="6"/>
        <v>302 8</v>
      </c>
      <c r="AF102" s="5" t="str">
        <f t="shared" si="8"/>
        <v>105.3</v>
      </c>
      <c r="AG102" s="1" t="str">
        <f t="shared" si="5"/>
        <v>Y</v>
      </c>
    </row>
    <row r="103" spans="1:33" x14ac:dyDescent="0.2">
      <c r="A103" s="1" t="s">
        <v>370</v>
      </c>
      <c r="B103" s="1" t="s">
        <v>394</v>
      </c>
      <c r="C103" s="1">
        <v>302</v>
      </c>
      <c r="D103" s="1">
        <v>9</v>
      </c>
      <c r="F103" s="1">
        <v>2023</v>
      </c>
      <c r="G103" s="1" t="s">
        <v>247</v>
      </c>
      <c r="H103" s="1">
        <v>609365</v>
      </c>
      <c r="I103" s="1">
        <v>9</v>
      </c>
      <c r="J103" s="1" t="s">
        <v>237</v>
      </c>
      <c r="K103" s="1" t="s">
        <v>395</v>
      </c>
      <c r="L103" s="1" t="s">
        <v>396</v>
      </c>
      <c r="M103" s="1">
        <v>73</v>
      </c>
      <c r="N103" s="1" t="s">
        <v>39</v>
      </c>
      <c r="O103" s="1">
        <v>33.140799999999999</v>
      </c>
      <c r="P103" s="1">
        <v>-117.3342</v>
      </c>
      <c r="Q103" s="1" t="s">
        <v>397</v>
      </c>
      <c r="R103" s="1" t="s">
        <v>41</v>
      </c>
      <c r="T103" s="1" t="s">
        <v>93</v>
      </c>
      <c r="U103" s="1" t="s">
        <v>44</v>
      </c>
      <c r="X103" s="1" t="s">
        <v>176</v>
      </c>
      <c r="AA103" s="3">
        <v>43257</v>
      </c>
      <c r="AB103" s="1" t="s">
        <v>46</v>
      </c>
      <c r="AC103" s="5">
        <v>1010</v>
      </c>
      <c r="AD103" s="1" t="s">
        <v>401</v>
      </c>
      <c r="AE103" s="1" t="str">
        <f t="shared" si="6"/>
        <v>302 9</v>
      </c>
      <c r="AF103" s="5" t="str">
        <f t="shared" si="8"/>
        <v>105.3</v>
      </c>
      <c r="AG103" s="1" t="str">
        <f t="shared" si="5"/>
        <v>Y</v>
      </c>
    </row>
    <row r="104" spans="1:33" x14ac:dyDescent="0.2">
      <c r="A104" s="1" t="s">
        <v>370</v>
      </c>
      <c r="B104" s="1" t="s">
        <v>394</v>
      </c>
      <c r="C104" s="1">
        <v>302</v>
      </c>
      <c r="D104" s="1">
        <v>10</v>
      </c>
      <c r="F104" s="1">
        <v>2023</v>
      </c>
      <c r="G104" s="1" t="s">
        <v>247</v>
      </c>
      <c r="H104" s="1">
        <v>609365</v>
      </c>
      <c r="I104" s="1">
        <v>9</v>
      </c>
      <c r="J104" s="1" t="s">
        <v>237</v>
      </c>
      <c r="K104" s="1" t="s">
        <v>395</v>
      </c>
      <c r="L104" s="1" t="s">
        <v>396</v>
      </c>
      <c r="M104" s="1">
        <v>73</v>
      </c>
      <c r="N104" s="1" t="s">
        <v>39</v>
      </c>
      <c r="O104" s="1">
        <v>33.140799999999999</v>
      </c>
      <c r="P104" s="1">
        <v>-117.3342</v>
      </c>
      <c r="Q104" s="1" t="s">
        <v>397</v>
      </c>
      <c r="R104" s="1" t="s">
        <v>41</v>
      </c>
      <c r="T104" s="1" t="s">
        <v>93</v>
      </c>
      <c r="U104" s="1" t="s">
        <v>44</v>
      </c>
      <c r="X104" s="1" t="s">
        <v>176</v>
      </c>
      <c r="AA104" s="3">
        <v>43224</v>
      </c>
      <c r="AB104" s="1" t="s">
        <v>46</v>
      </c>
      <c r="AC104" s="5">
        <v>1010</v>
      </c>
      <c r="AD104" s="1" t="s">
        <v>402</v>
      </c>
      <c r="AE104" s="1" t="str">
        <f t="shared" si="6"/>
        <v>302 10</v>
      </c>
      <c r="AF104" s="5" t="str">
        <f t="shared" si="8"/>
        <v>105.3</v>
      </c>
      <c r="AG104" s="1" t="str">
        <f t="shared" si="5"/>
        <v>Y</v>
      </c>
    </row>
    <row r="105" spans="1:33" x14ac:dyDescent="0.2">
      <c r="A105" s="1" t="s">
        <v>370</v>
      </c>
      <c r="B105" s="1" t="s">
        <v>403</v>
      </c>
      <c r="C105" s="1">
        <v>315</v>
      </c>
      <c r="D105" s="1">
        <v>3</v>
      </c>
      <c r="F105" s="1">
        <v>2023</v>
      </c>
      <c r="G105" s="1" t="s">
        <v>247</v>
      </c>
      <c r="H105" s="1">
        <v>607401</v>
      </c>
      <c r="I105" s="1">
        <v>9</v>
      </c>
      <c r="J105" s="1" t="s">
        <v>237</v>
      </c>
      <c r="K105" s="1" t="s">
        <v>404</v>
      </c>
      <c r="L105" s="1" t="s">
        <v>405</v>
      </c>
      <c r="M105" s="1">
        <v>37</v>
      </c>
      <c r="N105" s="1" t="s">
        <v>39</v>
      </c>
      <c r="O105" s="1">
        <v>33.768799999999999</v>
      </c>
      <c r="P105" s="1">
        <v>-118.1009</v>
      </c>
      <c r="Q105" s="1" t="s">
        <v>406</v>
      </c>
      <c r="R105" s="1" t="s">
        <v>41</v>
      </c>
      <c r="T105" s="1" t="s">
        <v>43</v>
      </c>
      <c r="U105" s="1" t="s">
        <v>44</v>
      </c>
      <c r="V105" s="1" t="s">
        <v>173</v>
      </c>
      <c r="AA105" s="3">
        <v>22555</v>
      </c>
      <c r="AB105" s="1" t="s">
        <v>46</v>
      </c>
      <c r="AC105" s="5">
        <v>3439</v>
      </c>
      <c r="AD105" s="1" t="s">
        <v>407</v>
      </c>
      <c r="AE105" s="1" t="str">
        <f t="shared" si="6"/>
        <v>315 3</v>
      </c>
      <c r="AF105" s="5" t="str">
        <f t="shared" si="8"/>
        <v>333</v>
      </c>
      <c r="AG105" s="1" t="str">
        <f t="shared" si="5"/>
        <v/>
      </c>
    </row>
    <row r="106" spans="1:33" x14ac:dyDescent="0.2">
      <c r="A106" s="1" t="s">
        <v>370</v>
      </c>
      <c r="B106" s="1" t="s">
        <v>403</v>
      </c>
      <c r="C106" s="1">
        <v>315</v>
      </c>
      <c r="D106" s="1">
        <v>4</v>
      </c>
      <c r="F106" s="1">
        <v>2023</v>
      </c>
      <c r="G106" s="1" t="s">
        <v>247</v>
      </c>
      <c r="H106" s="1">
        <v>607401</v>
      </c>
      <c r="I106" s="1">
        <v>9</v>
      </c>
      <c r="J106" s="1" t="s">
        <v>237</v>
      </c>
      <c r="K106" s="1" t="s">
        <v>404</v>
      </c>
      <c r="L106" s="1" t="s">
        <v>405</v>
      </c>
      <c r="M106" s="1">
        <v>37</v>
      </c>
      <c r="N106" s="1" t="s">
        <v>39</v>
      </c>
      <c r="O106" s="1">
        <v>33.768799999999999</v>
      </c>
      <c r="P106" s="1">
        <v>-118.1009</v>
      </c>
      <c r="Q106" s="1" t="s">
        <v>406</v>
      </c>
      <c r="R106" s="1" t="s">
        <v>41</v>
      </c>
      <c r="T106" s="1" t="s">
        <v>43</v>
      </c>
      <c r="U106" s="1" t="s">
        <v>44</v>
      </c>
      <c r="V106" s="1" t="s">
        <v>173</v>
      </c>
      <c r="AA106" s="3">
        <v>22737</v>
      </c>
      <c r="AB106" s="1" t="s">
        <v>46</v>
      </c>
      <c r="AC106" s="5">
        <v>3439</v>
      </c>
      <c r="AD106" s="1" t="s">
        <v>408</v>
      </c>
      <c r="AE106" s="1" t="str">
        <f t="shared" si="6"/>
        <v>315 4</v>
      </c>
      <c r="AF106" s="5" t="str">
        <f t="shared" si="8"/>
        <v>333</v>
      </c>
      <c r="AG106" s="1" t="str">
        <f t="shared" si="5"/>
        <v/>
      </c>
    </row>
    <row r="107" spans="1:33" x14ac:dyDescent="0.2">
      <c r="A107" s="1" t="s">
        <v>370</v>
      </c>
      <c r="B107" s="1" t="s">
        <v>403</v>
      </c>
      <c r="C107" s="1">
        <v>315</v>
      </c>
      <c r="D107" s="1">
        <v>5</v>
      </c>
      <c r="F107" s="1">
        <v>2023</v>
      </c>
      <c r="G107" s="1" t="s">
        <v>247</v>
      </c>
      <c r="H107" s="1">
        <v>607401</v>
      </c>
      <c r="I107" s="1">
        <v>9</v>
      </c>
      <c r="J107" s="1" t="s">
        <v>237</v>
      </c>
      <c r="K107" s="1" t="s">
        <v>404</v>
      </c>
      <c r="L107" s="1" t="s">
        <v>405</v>
      </c>
      <c r="M107" s="1">
        <v>37</v>
      </c>
      <c r="N107" s="1" t="s">
        <v>39</v>
      </c>
      <c r="O107" s="1">
        <v>33.768799999999999</v>
      </c>
      <c r="P107" s="1">
        <v>-118.1009</v>
      </c>
      <c r="Q107" s="1" t="s">
        <v>406</v>
      </c>
      <c r="R107" s="1" t="s">
        <v>41</v>
      </c>
      <c r="T107" s="1" t="s">
        <v>89</v>
      </c>
      <c r="U107" s="1" t="s">
        <v>44</v>
      </c>
      <c r="V107" s="1" t="s">
        <v>173</v>
      </c>
      <c r="AA107" s="3">
        <v>24077</v>
      </c>
      <c r="AB107" s="1" t="s">
        <v>46</v>
      </c>
      <c r="AC107" s="5">
        <v>5070</v>
      </c>
      <c r="AD107" s="1" t="s">
        <v>409</v>
      </c>
      <c r="AE107" s="1" t="str">
        <f t="shared" si="6"/>
        <v>315 5</v>
      </c>
      <c r="AF107" s="5" t="str">
        <f t="shared" si="8"/>
        <v>495</v>
      </c>
      <c r="AG107" s="1" t="str">
        <f t="shared" si="5"/>
        <v/>
      </c>
    </row>
    <row r="108" spans="1:33" x14ac:dyDescent="0.2">
      <c r="A108" s="1" t="s">
        <v>370</v>
      </c>
      <c r="B108" s="1" t="s">
        <v>403</v>
      </c>
      <c r="C108" s="1">
        <v>315</v>
      </c>
      <c r="D108" s="1" t="s">
        <v>311</v>
      </c>
      <c r="F108" s="1">
        <v>2023</v>
      </c>
      <c r="G108" s="1" t="s">
        <v>247</v>
      </c>
      <c r="H108" s="1">
        <v>607401</v>
      </c>
      <c r="I108" s="1">
        <v>9</v>
      </c>
      <c r="J108" s="1" t="s">
        <v>237</v>
      </c>
      <c r="K108" s="1" t="s">
        <v>404</v>
      </c>
      <c r="L108" s="1" t="s">
        <v>405</v>
      </c>
      <c r="M108" s="1">
        <v>37</v>
      </c>
      <c r="N108" s="1" t="s">
        <v>39</v>
      </c>
      <c r="O108" s="1">
        <v>33.768799999999999</v>
      </c>
      <c r="P108" s="1">
        <v>-118.1009</v>
      </c>
      <c r="Q108" s="1" t="s">
        <v>406</v>
      </c>
      <c r="R108" s="1" t="s">
        <v>41</v>
      </c>
      <c r="T108" s="1" t="s">
        <v>71</v>
      </c>
      <c r="U108" s="1" t="s">
        <v>44</v>
      </c>
      <c r="X108" s="1" t="s">
        <v>64</v>
      </c>
      <c r="AA108" s="3">
        <v>43741</v>
      </c>
      <c r="AB108" s="1" t="s">
        <v>46</v>
      </c>
      <c r="AC108" s="5">
        <v>2350</v>
      </c>
      <c r="AD108" s="1" t="s">
        <v>410</v>
      </c>
      <c r="AE108" s="1" t="str">
        <f t="shared" si="6"/>
        <v>315 CT1</v>
      </c>
      <c r="AF108" s="14">
        <f>MID(AD108,FIND("(",AD108)+1,FIND(")",AD108)-FIND("(",AD108)-1)+241.1/2</f>
        <v>351.95</v>
      </c>
      <c r="AG108" s="1" t="str">
        <f t="shared" si="5"/>
        <v>Y</v>
      </c>
    </row>
    <row r="109" spans="1:33" x14ac:dyDescent="0.2">
      <c r="A109" s="1" t="s">
        <v>370</v>
      </c>
      <c r="B109" s="1" t="s">
        <v>403</v>
      </c>
      <c r="C109" s="1">
        <v>315</v>
      </c>
      <c r="D109" s="1" t="s">
        <v>98</v>
      </c>
      <c r="F109" s="1">
        <v>2023</v>
      </c>
      <c r="G109" s="1" t="s">
        <v>247</v>
      </c>
      <c r="H109" s="1">
        <v>607401</v>
      </c>
      <c r="I109" s="1">
        <v>9</v>
      </c>
      <c r="J109" s="1" t="s">
        <v>237</v>
      </c>
      <c r="K109" s="1" t="s">
        <v>404</v>
      </c>
      <c r="L109" s="1" t="s">
        <v>405</v>
      </c>
      <c r="M109" s="1">
        <v>37</v>
      </c>
      <c r="N109" s="1" t="s">
        <v>39</v>
      </c>
      <c r="O109" s="1">
        <v>33.768799999999999</v>
      </c>
      <c r="P109" s="1">
        <v>-118.1009</v>
      </c>
      <c r="Q109" s="1" t="s">
        <v>406</v>
      </c>
      <c r="R109" s="1" t="s">
        <v>41</v>
      </c>
      <c r="T109" s="1" t="s">
        <v>71</v>
      </c>
      <c r="U109" s="1" t="s">
        <v>44</v>
      </c>
      <c r="X109" s="1" t="s">
        <v>64</v>
      </c>
      <c r="AA109" s="3">
        <v>43749</v>
      </c>
      <c r="AB109" s="1" t="s">
        <v>46</v>
      </c>
      <c r="AC109" s="5">
        <v>2350</v>
      </c>
      <c r="AD109" s="1" t="s">
        <v>411</v>
      </c>
      <c r="AE109" s="1" t="str">
        <f t="shared" si="6"/>
        <v>315 CT2</v>
      </c>
      <c r="AF109" s="14">
        <f>AF108</f>
        <v>351.95</v>
      </c>
      <c r="AG109" s="1" t="str">
        <f t="shared" si="5"/>
        <v>Y</v>
      </c>
    </row>
    <row r="110" spans="1:33" x14ac:dyDescent="0.2">
      <c r="A110" s="1" t="s">
        <v>370</v>
      </c>
      <c r="B110" s="1" t="s">
        <v>412</v>
      </c>
      <c r="C110" s="1">
        <v>330</v>
      </c>
      <c r="D110" s="1">
        <v>5</v>
      </c>
      <c r="F110" s="1">
        <v>2023</v>
      </c>
      <c r="G110" s="1" t="s">
        <v>247</v>
      </c>
      <c r="H110" s="1" t="s">
        <v>413</v>
      </c>
      <c r="I110" s="1">
        <v>9</v>
      </c>
      <c r="J110" s="1" t="s">
        <v>237</v>
      </c>
      <c r="K110" s="1" t="s">
        <v>404</v>
      </c>
      <c r="L110" s="1" t="s">
        <v>405</v>
      </c>
      <c r="M110" s="1">
        <v>37</v>
      </c>
      <c r="N110" s="1" t="s">
        <v>39</v>
      </c>
      <c r="O110" s="1">
        <v>33.910600000000002</v>
      </c>
      <c r="P110" s="1">
        <v>-118.425</v>
      </c>
      <c r="Q110" s="1" t="s">
        <v>414</v>
      </c>
      <c r="R110" s="1" t="s">
        <v>41</v>
      </c>
      <c r="T110" s="1" t="s">
        <v>71</v>
      </c>
      <c r="U110" s="1" t="s">
        <v>44</v>
      </c>
      <c r="X110" s="1" t="s">
        <v>64</v>
      </c>
      <c r="AA110" s="3">
        <v>41397</v>
      </c>
      <c r="AB110" s="1" t="s">
        <v>46</v>
      </c>
      <c r="AC110" s="5">
        <v>2600</v>
      </c>
      <c r="AD110" s="1" t="s">
        <v>415</v>
      </c>
      <c r="AE110" s="1" t="str">
        <f t="shared" si="6"/>
        <v>330 5</v>
      </c>
      <c r="AF110" s="14">
        <f>MID(AD110,FIND("(",AD110)+1,FIND(")",AD110)-FIND("(",AD110)-1)+198</f>
        <v>268</v>
      </c>
      <c r="AG110" s="1" t="str">
        <f t="shared" si="5"/>
        <v>Y</v>
      </c>
    </row>
    <row r="111" spans="1:33" x14ac:dyDescent="0.2">
      <c r="A111" s="1" t="s">
        <v>370</v>
      </c>
      <c r="B111" s="1" t="s">
        <v>412</v>
      </c>
      <c r="C111" s="1">
        <v>330</v>
      </c>
      <c r="D111" s="1">
        <v>7</v>
      </c>
      <c r="F111" s="1">
        <v>2023</v>
      </c>
      <c r="G111" s="1" t="s">
        <v>247</v>
      </c>
      <c r="H111" s="1" t="s">
        <v>413</v>
      </c>
      <c r="I111" s="1">
        <v>9</v>
      </c>
      <c r="J111" s="1" t="s">
        <v>237</v>
      </c>
      <c r="K111" s="1" t="s">
        <v>404</v>
      </c>
      <c r="L111" s="1" t="s">
        <v>405</v>
      </c>
      <c r="M111" s="1">
        <v>37</v>
      </c>
      <c r="N111" s="1" t="s">
        <v>39</v>
      </c>
      <c r="O111" s="1">
        <v>33.910600000000002</v>
      </c>
      <c r="P111" s="1">
        <v>-118.425</v>
      </c>
      <c r="Q111" s="1" t="s">
        <v>414</v>
      </c>
      <c r="R111" s="1" t="s">
        <v>41</v>
      </c>
      <c r="T111" s="1" t="s">
        <v>71</v>
      </c>
      <c r="U111" s="1" t="s">
        <v>44</v>
      </c>
      <c r="X111" s="1" t="s">
        <v>64</v>
      </c>
      <c r="AA111" s="3">
        <v>41374</v>
      </c>
      <c r="AB111" s="1" t="s">
        <v>46</v>
      </c>
      <c r="AC111" s="5">
        <v>2400</v>
      </c>
      <c r="AD111" s="1" t="s">
        <v>416</v>
      </c>
      <c r="AE111" s="1" t="str">
        <f t="shared" si="6"/>
        <v>330 7</v>
      </c>
      <c r="AF111" s="14">
        <f>MID(AD111,FIND("(",AD111)+1,FIND(")",AD111)-FIND("(",AD111)-1)+198</f>
        <v>268</v>
      </c>
      <c r="AG111" s="1" t="str">
        <f t="shared" si="5"/>
        <v>Y</v>
      </c>
    </row>
    <row r="112" spans="1:33" x14ac:dyDescent="0.2">
      <c r="A112" s="1" t="s">
        <v>370</v>
      </c>
      <c r="B112" s="1" t="s">
        <v>417</v>
      </c>
      <c r="C112" s="1">
        <v>335</v>
      </c>
      <c r="D112" s="1">
        <v>2</v>
      </c>
      <c r="F112" s="1">
        <v>2023</v>
      </c>
      <c r="G112" s="1" t="s">
        <v>247</v>
      </c>
      <c r="H112" s="1">
        <v>607401</v>
      </c>
      <c r="I112" s="1">
        <v>9</v>
      </c>
      <c r="J112" s="1" t="s">
        <v>237</v>
      </c>
      <c r="K112" s="1" t="s">
        <v>418</v>
      </c>
      <c r="L112" s="1" t="s">
        <v>419</v>
      </c>
      <c r="M112" s="1">
        <v>59</v>
      </c>
      <c r="N112" s="1" t="s">
        <v>39</v>
      </c>
      <c r="O112" s="1">
        <v>33.643599999999999</v>
      </c>
      <c r="P112" s="1">
        <v>-117.97880000000001</v>
      </c>
      <c r="Q112" s="1" t="s">
        <v>406</v>
      </c>
      <c r="R112" s="1" t="s">
        <v>41</v>
      </c>
      <c r="T112" s="1" t="s">
        <v>89</v>
      </c>
      <c r="U112" s="1" t="s">
        <v>44</v>
      </c>
      <c r="V112" s="1" t="s">
        <v>173</v>
      </c>
      <c r="AA112" s="3">
        <v>21459</v>
      </c>
      <c r="AB112" s="1" t="s">
        <v>46</v>
      </c>
      <c r="AC112" s="5">
        <v>2400</v>
      </c>
      <c r="AD112" s="1" t="s">
        <v>420</v>
      </c>
      <c r="AE112" s="1" t="str">
        <f t="shared" si="6"/>
        <v>335 2</v>
      </c>
      <c r="AF112" s="5" t="str">
        <f>MID(AD112,FIND("(",AD112)+1,FIND(")",AD112)-FIND("(",AD112)-1)</f>
        <v>217.6</v>
      </c>
      <c r="AG112" s="1" t="str">
        <f t="shared" si="5"/>
        <v/>
      </c>
    </row>
    <row r="113" spans="1:33" x14ac:dyDescent="0.2">
      <c r="A113" s="1" t="s">
        <v>370</v>
      </c>
      <c r="B113" s="1" t="s">
        <v>417</v>
      </c>
      <c r="C113" s="1">
        <v>335</v>
      </c>
      <c r="D113" s="1" t="s">
        <v>311</v>
      </c>
      <c r="F113" s="1">
        <v>2023</v>
      </c>
      <c r="G113" s="1" t="s">
        <v>247</v>
      </c>
      <c r="H113" s="1">
        <v>607401</v>
      </c>
      <c r="I113" s="1">
        <v>9</v>
      </c>
      <c r="J113" s="1" t="s">
        <v>237</v>
      </c>
      <c r="K113" s="1" t="s">
        <v>418</v>
      </c>
      <c r="L113" s="1" t="s">
        <v>419</v>
      </c>
      <c r="M113" s="1">
        <v>59</v>
      </c>
      <c r="N113" s="1" t="s">
        <v>39</v>
      </c>
      <c r="O113" s="1">
        <v>33.643599999999999</v>
      </c>
      <c r="P113" s="1">
        <v>-117.97880000000001</v>
      </c>
      <c r="Q113" s="1" t="s">
        <v>406</v>
      </c>
      <c r="R113" s="1" t="s">
        <v>41</v>
      </c>
      <c r="T113" s="1" t="s">
        <v>71</v>
      </c>
      <c r="U113" s="1" t="s">
        <v>44</v>
      </c>
      <c r="X113" s="1" t="s">
        <v>64</v>
      </c>
      <c r="AA113" s="3">
        <v>43742</v>
      </c>
      <c r="AB113" s="1" t="s">
        <v>46</v>
      </c>
      <c r="AC113" s="5">
        <v>2400</v>
      </c>
      <c r="AD113" s="1" t="s">
        <v>410</v>
      </c>
      <c r="AE113" s="1" t="str">
        <f t="shared" si="6"/>
        <v>335 CT1</v>
      </c>
      <c r="AF113" s="14">
        <f>MID(AD113,FIND("(",AD113)+1,FIND(")",AD113)-FIND("(",AD113)-1)+241.1/2</f>
        <v>351.95</v>
      </c>
      <c r="AG113" s="1" t="str">
        <f t="shared" si="5"/>
        <v>Y</v>
      </c>
    </row>
    <row r="114" spans="1:33" x14ac:dyDescent="0.2">
      <c r="A114" s="1" t="s">
        <v>370</v>
      </c>
      <c r="B114" s="1" t="s">
        <v>417</v>
      </c>
      <c r="C114" s="1">
        <v>335</v>
      </c>
      <c r="D114" s="1" t="s">
        <v>98</v>
      </c>
      <c r="F114" s="1">
        <v>2023</v>
      </c>
      <c r="G114" s="1" t="s">
        <v>247</v>
      </c>
      <c r="H114" s="1">
        <v>607401</v>
      </c>
      <c r="I114" s="1">
        <v>9</v>
      </c>
      <c r="J114" s="1" t="s">
        <v>237</v>
      </c>
      <c r="K114" s="1" t="s">
        <v>418</v>
      </c>
      <c r="L114" s="1" t="s">
        <v>419</v>
      </c>
      <c r="M114" s="1">
        <v>59</v>
      </c>
      <c r="N114" s="1" t="s">
        <v>39</v>
      </c>
      <c r="O114" s="1">
        <v>33.643599999999999</v>
      </c>
      <c r="P114" s="1">
        <v>-117.97880000000001</v>
      </c>
      <c r="Q114" s="1" t="s">
        <v>406</v>
      </c>
      <c r="R114" s="1" t="s">
        <v>41</v>
      </c>
      <c r="T114" s="1" t="s">
        <v>71</v>
      </c>
      <c r="U114" s="1" t="s">
        <v>44</v>
      </c>
      <c r="X114" s="1" t="s">
        <v>64</v>
      </c>
      <c r="AA114" s="3">
        <v>43751</v>
      </c>
      <c r="AB114" s="1" t="s">
        <v>46</v>
      </c>
      <c r="AC114" s="5">
        <v>2400</v>
      </c>
      <c r="AD114" s="1" t="s">
        <v>421</v>
      </c>
      <c r="AE114" s="1" t="str">
        <f t="shared" si="6"/>
        <v>335 CT2</v>
      </c>
      <c r="AF114" s="14">
        <f>AF113</f>
        <v>351.95</v>
      </c>
      <c r="AG114" s="1" t="str">
        <f t="shared" si="5"/>
        <v>Y</v>
      </c>
    </row>
    <row r="115" spans="1:33" x14ac:dyDescent="0.2">
      <c r="A115" s="1" t="s">
        <v>370</v>
      </c>
      <c r="B115" s="1" t="s">
        <v>422</v>
      </c>
      <c r="C115" s="1">
        <v>341</v>
      </c>
      <c r="D115" s="1">
        <v>1</v>
      </c>
      <c r="F115" s="1">
        <v>2023</v>
      </c>
      <c r="G115" s="1" t="s">
        <v>247</v>
      </c>
      <c r="H115" s="1">
        <v>607293</v>
      </c>
      <c r="I115" s="1">
        <v>9</v>
      </c>
      <c r="K115" s="1" t="s">
        <v>404</v>
      </c>
      <c r="L115" s="1" t="s">
        <v>405</v>
      </c>
      <c r="M115" s="1">
        <v>37</v>
      </c>
      <c r="N115" s="1" t="s">
        <v>39</v>
      </c>
      <c r="O115" s="1">
        <v>33.764099999999999</v>
      </c>
      <c r="P115" s="1">
        <v>-118.2248</v>
      </c>
      <c r="Q115" s="1" t="s">
        <v>423</v>
      </c>
      <c r="R115" s="1" t="s">
        <v>41</v>
      </c>
      <c r="T115" s="1" t="s">
        <v>93</v>
      </c>
      <c r="U115" s="1" t="s">
        <v>44</v>
      </c>
      <c r="X115" s="1" t="s">
        <v>176</v>
      </c>
      <c r="AA115" s="3">
        <v>39295</v>
      </c>
      <c r="AB115" s="1" t="s">
        <v>46</v>
      </c>
      <c r="AC115" s="5">
        <v>1125</v>
      </c>
      <c r="AD115" s="1" t="s">
        <v>424</v>
      </c>
      <c r="AE115" s="1" t="str">
        <f t="shared" si="6"/>
        <v>341 1</v>
      </c>
      <c r="AF115" s="5" t="str">
        <f t="shared" ref="AF115:AF123" si="9">MID(AD115,FIND("(",AD115)+1,FIND(")",AD115)-FIND("(",AD115)-1)</f>
        <v>63</v>
      </c>
      <c r="AG115" s="1" t="str">
        <f t="shared" si="5"/>
        <v>Y</v>
      </c>
    </row>
    <row r="116" spans="1:33" x14ac:dyDescent="0.2">
      <c r="A116" s="1" t="s">
        <v>370</v>
      </c>
      <c r="B116" s="1" t="s">
        <v>422</v>
      </c>
      <c r="C116" s="1">
        <v>341</v>
      </c>
      <c r="D116" s="1">
        <v>2</v>
      </c>
      <c r="F116" s="1">
        <v>2023</v>
      </c>
      <c r="G116" s="1" t="s">
        <v>247</v>
      </c>
      <c r="H116" s="1">
        <v>607293</v>
      </c>
      <c r="I116" s="1">
        <v>9</v>
      </c>
      <c r="K116" s="1" t="s">
        <v>404</v>
      </c>
      <c r="L116" s="1" t="s">
        <v>405</v>
      </c>
      <c r="M116" s="1">
        <v>37</v>
      </c>
      <c r="N116" s="1" t="s">
        <v>39</v>
      </c>
      <c r="O116" s="1">
        <v>33.764099999999999</v>
      </c>
      <c r="P116" s="1">
        <v>-118.2248</v>
      </c>
      <c r="Q116" s="1" t="s">
        <v>423</v>
      </c>
      <c r="R116" s="1" t="s">
        <v>41</v>
      </c>
      <c r="T116" s="1" t="s">
        <v>93</v>
      </c>
      <c r="U116" s="1" t="s">
        <v>44</v>
      </c>
      <c r="X116" s="1" t="s">
        <v>176</v>
      </c>
      <c r="AA116" s="3">
        <v>39295</v>
      </c>
      <c r="AB116" s="1" t="s">
        <v>46</v>
      </c>
      <c r="AC116" s="5">
        <v>1100</v>
      </c>
      <c r="AD116" s="1" t="s">
        <v>425</v>
      </c>
      <c r="AE116" s="1" t="str">
        <f t="shared" si="6"/>
        <v>341 2</v>
      </c>
      <c r="AF116" s="5" t="str">
        <f t="shared" si="9"/>
        <v>63</v>
      </c>
      <c r="AG116" s="1" t="str">
        <f t="shared" si="5"/>
        <v>Y</v>
      </c>
    </row>
    <row r="117" spans="1:33" x14ac:dyDescent="0.2">
      <c r="A117" s="1" t="s">
        <v>370</v>
      </c>
      <c r="B117" s="1" t="s">
        <v>422</v>
      </c>
      <c r="C117" s="1">
        <v>341</v>
      </c>
      <c r="D117" s="1">
        <v>3</v>
      </c>
      <c r="F117" s="1">
        <v>2023</v>
      </c>
      <c r="G117" s="1" t="s">
        <v>247</v>
      </c>
      <c r="H117" s="1">
        <v>607293</v>
      </c>
      <c r="I117" s="1">
        <v>9</v>
      </c>
      <c r="K117" s="1" t="s">
        <v>404</v>
      </c>
      <c r="L117" s="1" t="s">
        <v>405</v>
      </c>
      <c r="M117" s="1">
        <v>37</v>
      </c>
      <c r="N117" s="1" t="s">
        <v>39</v>
      </c>
      <c r="O117" s="1">
        <v>33.764099999999999</v>
      </c>
      <c r="P117" s="1">
        <v>-118.2248</v>
      </c>
      <c r="Q117" s="1" t="s">
        <v>423</v>
      </c>
      <c r="R117" s="1" t="s">
        <v>41</v>
      </c>
      <c r="T117" s="1" t="s">
        <v>93</v>
      </c>
      <c r="U117" s="1" t="s">
        <v>44</v>
      </c>
      <c r="X117" s="1" t="s">
        <v>176</v>
      </c>
      <c r="AA117" s="3">
        <v>39295</v>
      </c>
      <c r="AB117" s="1" t="s">
        <v>46</v>
      </c>
      <c r="AC117" s="5">
        <v>1136</v>
      </c>
      <c r="AD117" s="1" t="s">
        <v>426</v>
      </c>
      <c r="AE117" s="1" t="str">
        <f t="shared" si="6"/>
        <v>341 3</v>
      </c>
      <c r="AF117" s="5" t="str">
        <f t="shared" si="9"/>
        <v>63</v>
      </c>
      <c r="AG117" s="1" t="str">
        <f t="shared" si="5"/>
        <v>Y</v>
      </c>
    </row>
    <row r="118" spans="1:33" x14ac:dyDescent="0.2">
      <c r="A118" s="1" t="s">
        <v>370</v>
      </c>
      <c r="B118" s="1" t="s">
        <v>422</v>
      </c>
      <c r="C118" s="1">
        <v>341</v>
      </c>
      <c r="D118" s="1">
        <v>4</v>
      </c>
      <c r="F118" s="1">
        <v>2023</v>
      </c>
      <c r="G118" s="1" t="s">
        <v>247</v>
      </c>
      <c r="H118" s="1">
        <v>607293</v>
      </c>
      <c r="I118" s="1">
        <v>9</v>
      </c>
      <c r="K118" s="1" t="s">
        <v>404</v>
      </c>
      <c r="L118" s="1" t="s">
        <v>405</v>
      </c>
      <c r="M118" s="1">
        <v>37</v>
      </c>
      <c r="N118" s="1" t="s">
        <v>39</v>
      </c>
      <c r="O118" s="1">
        <v>33.764099999999999</v>
      </c>
      <c r="P118" s="1">
        <v>-118.2248</v>
      </c>
      <c r="Q118" s="1" t="s">
        <v>423</v>
      </c>
      <c r="R118" s="1" t="s">
        <v>41</v>
      </c>
      <c r="T118" s="1" t="s">
        <v>93</v>
      </c>
      <c r="U118" s="1" t="s">
        <v>44</v>
      </c>
      <c r="X118" s="1" t="s">
        <v>176</v>
      </c>
      <c r="AA118" s="3">
        <v>39295</v>
      </c>
      <c r="AB118" s="1" t="s">
        <v>46</v>
      </c>
      <c r="AC118" s="5">
        <v>1100</v>
      </c>
      <c r="AD118" s="1" t="s">
        <v>427</v>
      </c>
      <c r="AE118" s="1" t="str">
        <f t="shared" si="6"/>
        <v>341 4</v>
      </c>
      <c r="AF118" s="5" t="str">
        <f t="shared" si="9"/>
        <v>63</v>
      </c>
      <c r="AG118" s="1" t="str">
        <f t="shared" si="5"/>
        <v>Y</v>
      </c>
    </row>
    <row r="119" spans="1:33" x14ac:dyDescent="0.2">
      <c r="A119" s="1" t="s">
        <v>370</v>
      </c>
      <c r="B119" s="1" t="s">
        <v>428</v>
      </c>
      <c r="C119" s="1">
        <v>350</v>
      </c>
      <c r="D119" s="1">
        <v>1</v>
      </c>
      <c r="F119" s="1">
        <v>2023</v>
      </c>
      <c r="G119" s="1" t="s">
        <v>247</v>
      </c>
      <c r="H119" s="1">
        <v>606984</v>
      </c>
      <c r="I119" s="1">
        <v>9</v>
      </c>
      <c r="J119" s="1" t="s">
        <v>237</v>
      </c>
      <c r="K119" s="1" t="s">
        <v>429</v>
      </c>
      <c r="L119" s="1" t="s">
        <v>430</v>
      </c>
      <c r="M119" s="1">
        <v>111</v>
      </c>
      <c r="N119" s="1" t="s">
        <v>39</v>
      </c>
      <c r="O119" s="1">
        <v>34.129199999999997</v>
      </c>
      <c r="P119" s="1">
        <v>-119.16889999999999</v>
      </c>
      <c r="Q119" s="1" t="s">
        <v>431</v>
      </c>
      <c r="R119" s="1" t="s">
        <v>41</v>
      </c>
      <c r="T119" s="1" t="s">
        <v>89</v>
      </c>
      <c r="U119" s="1" t="s">
        <v>44</v>
      </c>
      <c r="X119" s="1" t="s">
        <v>223</v>
      </c>
      <c r="AA119" s="3">
        <v>26268</v>
      </c>
      <c r="AB119" s="1" t="s">
        <v>46</v>
      </c>
      <c r="AC119" s="5">
        <v>7500</v>
      </c>
      <c r="AD119" s="1" t="s">
        <v>432</v>
      </c>
      <c r="AE119" s="1" t="str">
        <f t="shared" si="6"/>
        <v>350 1</v>
      </c>
      <c r="AF119" s="5" t="str">
        <f t="shared" si="9"/>
        <v>806.4</v>
      </c>
      <c r="AG119" s="1" t="str">
        <f t="shared" si="5"/>
        <v>Y</v>
      </c>
    </row>
    <row r="120" spans="1:33" x14ac:dyDescent="0.2">
      <c r="A120" s="1" t="s">
        <v>370</v>
      </c>
      <c r="B120" s="1" t="s">
        <v>428</v>
      </c>
      <c r="C120" s="1">
        <v>350</v>
      </c>
      <c r="D120" s="1">
        <v>2</v>
      </c>
      <c r="F120" s="1">
        <v>2023</v>
      </c>
      <c r="G120" s="1" t="s">
        <v>247</v>
      </c>
      <c r="H120" s="1">
        <v>606984</v>
      </c>
      <c r="I120" s="1">
        <v>9</v>
      </c>
      <c r="J120" s="1" t="s">
        <v>237</v>
      </c>
      <c r="K120" s="1" t="s">
        <v>429</v>
      </c>
      <c r="L120" s="1" t="s">
        <v>430</v>
      </c>
      <c r="M120" s="1">
        <v>111</v>
      </c>
      <c r="N120" s="1" t="s">
        <v>39</v>
      </c>
      <c r="O120" s="1">
        <v>34.129199999999997</v>
      </c>
      <c r="P120" s="1">
        <v>-119.16889999999999</v>
      </c>
      <c r="Q120" s="1" t="s">
        <v>431</v>
      </c>
      <c r="R120" s="1" t="s">
        <v>41</v>
      </c>
      <c r="T120" s="1" t="s">
        <v>89</v>
      </c>
      <c r="U120" s="1" t="s">
        <v>44</v>
      </c>
      <c r="X120" s="1" t="s">
        <v>223</v>
      </c>
      <c r="AA120" s="3">
        <v>26816</v>
      </c>
      <c r="AB120" s="1" t="s">
        <v>46</v>
      </c>
      <c r="AC120" s="5">
        <v>7500</v>
      </c>
      <c r="AD120" s="1" t="s">
        <v>433</v>
      </c>
      <c r="AE120" s="1" t="str">
        <f t="shared" si="6"/>
        <v>350 2</v>
      </c>
      <c r="AF120" s="5" t="str">
        <f t="shared" si="9"/>
        <v>806.4</v>
      </c>
      <c r="AG120" s="1" t="str">
        <f t="shared" si="5"/>
        <v>Y</v>
      </c>
    </row>
    <row r="121" spans="1:33" x14ac:dyDescent="0.2">
      <c r="A121" s="1" t="s">
        <v>370</v>
      </c>
      <c r="B121" s="1" t="s">
        <v>434</v>
      </c>
      <c r="C121" s="1">
        <v>356</v>
      </c>
      <c r="D121" s="1">
        <v>5</v>
      </c>
      <c r="F121" s="1">
        <v>2023</v>
      </c>
      <c r="G121" s="1" t="s">
        <v>247</v>
      </c>
      <c r="H121" s="1">
        <v>608105</v>
      </c>
      <c r="I121" s="1">
        <v>9</v>
      </c>
      <c r="J121" s="1" t="s">
        <v>237</v>
      </c>
      <c r="K121" s="1" t="s">
        <v>404</v>
      </c>
      <c r="L121" s="1" t="s">
        <v>405</v>
      </c>
      <c r="M121" s="1">
        <v>37</v>
      </c>
      <c r="N121" s="1" t="s">
        <v>39</v>
      </c>
      <c r="O121" s="1">
        <v>33.8504</v>
      </c>
      <c r="P121" s="1">
        <v>-118.395</v>
      </c>
      <c r="Q121" s="1" t="s">
        <v>406</v>
      </c>
      <c r="R121" s="1" t="s">
        <v>41</v>
      </c>
      <c r="T121" s="1" t="s">
        <v>89</v>
      </c>
      <c r="U121" s="1" t="s">
        <v>44</v>
      </c>
      <c r="V121" s="1" t="s">
        <v>173</v>
      </c>
      <c r="AA121" s="3">
        <v>19968</v>
      </c>
      <c r="AB121" s="1" t="s">
        <v>46</v>
      </c>
      <c r="AC121" s="5">
        <v>2000</v>
      </c>
      <c r="AD121" s="1" t="s">
        <v>435</v>
      </c>
      <c r="AE121" s="1" t="str">
        <f t="shared" si="6"/>
        <v>356 5</v>
      </c>
      <c r="AF121" s="5" t="str">
        <f t="shared" si="9"/>
        <v>175</v>
      </c>
      <c r="AG121" s="1" t="str">
        <f t="shared" si="5"/>
        <v/>
      </c>
    </row>
    <row r="122" spans="1:33" x14ac:dyDescent="0.2">
      <c r="A122" s="1" t="s">
        <v>370</v>
      </c>
      <c r="B122" s="1" t="s">
        <v>434</v>
      </c>
      <c r="C122" s="1">
        <v>356</v>
      </c>
      <c r="D122" s="1">
        <v>6</v>
      </c>
      <c r="F122" s="1">
        <v>2023</v>
      </c>
      <c r="G122" s="1" t="s">
        <v>247</v>
      </c>
      <c r="H122" s="1">
        <v>608105</v>
      </c>
      <c r="I122" s="1">
        <v>9</v>
      </c>
      <c r="J122" s="1" t="s">
        <v>237</v>
      </c>
      <c r="K122" s="1" t="s">
        <v>404</v>
      </c>
      <c r="L122" s="1" t="s">
        <v>405</v>
      </c>
      <c r="M122" s="1">
        <v>37</v>
      </c>
      <c r="N122" s="1" t="s">
        <v>39</v>
      </c>
      <c r="O122" s="1">
        <v>33.8504</v>
      </c>
      <c r="P122" s="1">
        <v>-118.395</v>
      </c>
      <c r="Q122" s="1" t="s">
        <v>406</v>
      </c>
      <c r="R122" s="1" t="s">
        <v>41</v>
      </c>
      <c r="T122" s="1" t="s">
        <v>89</v>
      </c>
      <c r="U122" s="1" t="s">
        <v>44</v>
      </c>
      <c r="V122" s="1" t="s">
        <v>173</v>
      </c>
      <c r="AA122" s="3">
        <v>20972</v>
      </c>
      <c r="AB122" s="1" t="s">
        <v>46</v>
      </c>
      <c r="AC122" s="5">
        <v>1850</v>
      </c>
      <c r="AD122" s="1" t="s">
        <v>436</v>
      </c>
      <c r="AE122" s="1" t="str">
        <f t="shared" si="6"/>
        <v>356 6</v>
      </c>
      <c r="AF122" s="5" t="str">
        <f t="shared" si="9"/>
        <v>175</v>
      </c>
      <c r="AG122" s="1" t="str">
        <f t="shared" si="5"/>
        <v/>
      </c>
    </row>
    <row r="123" spans="1:33" x14ac:dyDescent="0.2">
      <c r="A123" s="1" t="s">
        <v>370</v>
      </c>
      <c r="B123" s="1" t="s">
        <v>434</v>
      </c>
      <c r="C123" s="1">
        <v>356</v>
      </c>
      <c r="D123" s="1">
        <v>8</v>
      </c>
      <c r="F123" s="1">
        <v>2023</v>
      </c>
      <c r="G123" s="1" t="s">
        <v>247</v>
      </c>
      <c r="H123" s="1">
        <v>608105</v>
      </c>
      <c r="I123" s="1">
        <v>9</v>
      </c>
      <c r="J123" s="1" t="s">
        <v>237</v>
      </c>
      <c r="K123" s="1" t="s">
        <v>404</v>
      </c>
      <c r="L123" s="1" t="s">
        <v>405</v>
      </c>
      <c r="M123" s="1">
        <v>37</v>
      </c>
      <c r="N123" s="1" t="s">
        <v>39</v>
      </c>
      <c r="O123" s="1">
        <v>33.8504</v>
      </c>
      <c r="P123" s="1">
        <v>-118.395</v>
      </c>
      <c r="Q123" s="1" t="s">
        <v>406</v>
      </c>
      <c r="R123" s="1" t="s">
        <v>41</v>
      </c>
      <c r="T123" s="1" t="s">
        <v>89</v>
      </c>
      <c r="U123" s="1" t="s">
        <v>44</v>
      </c>
      <c r="V123" s="1" t="s">
        <v>173</v>
      </c>
      <c r="AA123" s="3">
        <v>24563</v>
      </c>
      <c r="AB123" s="1" t="s">
        <v>46</v>
      </c>
      <c r="AC123" s="5">
        <v>5000</v>
      </c>
      <c r="AD123" s="1" t="s">
        <v>437</v>
      </c>
      <c r="AE123" s="1" t="str">
        <f t="shared" si="6"/>
        <v>356 8</v>
      </c>
      <c r="AF123" s="5" t="str">
        <f t="shared" si="9"/>
        <v>480</v>
      </c>
      <c r="AG123" s="1" t="str">
        <f t="shared" si="5"/>
        <v/>
      </c>
    </row>
    <row r="124" spans="1:33" x14ac:dyDescent="0.2">
      <c r="A124" s="1" t="s">
        <v>370</v>
      </c>
      <c r="B124" s="1" t="s">
        <v>438</v>
      </c>
      <c r="C124" s="1">
        <v>358</v>
      </c>
      <c r="D124" s="2">
        <v>45352</v>
      </c>
      <c r="F124" s="1">
        <v>2023</v>
      </c>
      <c r="G124" s="1" t="s">
        <v>247</v>
      </c>
      <c r="H124" s="1">
        <v>607649</v>
      </c>
      <c r="I124" s="1">
        <v>9</v>
      </c>
      <c r="J124" s="1" t="s">
        <v>237</v>
      </c>
      <c r="K124" s="1" t="s">
        <v>439</v>
      </c>
      <c r="L124" s="1" t="s">
        <v>440</v>
      </c>
      <c r="M124" s="1">
        <v>71</v>
      </c>
      <c r="N124" s="1" t="s">
        <v>39</v>
      </c>
      <c r="O124" s="1">
        <v>34.083599999999997</v>
      </c>
      <c r="P124" s="1">
        <v>-117.24079999999999</v>
      </c>
      <c r="Q124" s="1" t="s">
        <v>441</v>
      </c>
      <c r="R124" s="1" t="s">
        <v>41</v>
      </c>
      <c r="T124" s="1" t="s">
        <v>71</v>
      </c>
      <c r="U124" s="1" t="s">
        <v>44</v>
      </c>
      <c r="X124" s="1" t="s">
        <v>442</v>
      </c>
      <c r="AA124" s="3">
        <v>38574</v>
      </c>
      <c r="AB124" s="1" t="s">
        <v>46</v>
      </c>
      <c r="AC124" s="5">
        <v>2113</v>
      </c>
      <c r="AD124" s="1" t="s">
        <v>443</v>
      </c>
      <c r="AE124" s="1" t="str">
        <f t="shared" si="6"/>
        <v>358 45352</v>
      </c>
      <c r="AF124" s="14">
        <f>AF125</f>
        <v>280.29999999999995</v>
      </c>
      <c r="AG124" s="1" t="str">
        <f t="shared" si="5"/>
        <v>Y</v>
      </c>
    </row>
    <row r="125" spans="1:33" x14ac:dyDescent="0.2">
      <c r="A125" s="1" t="s">
        <v>370</v>
      </c>
      <c r="B125" s="1" t="s">
        <v>438</v>
      </c>
      <c r="C125" s="1">
        <v>358</v>
      </c>
      <c r="D125" s="2">
        <v>45353</v>
      </c>
      <c r="F125" s="1">
        <v>2023</v>
      </c>
      <c r="G125" s="1" t="s">
        <v>247</v>
      </c>
      <c r="H125" s="1">
        <v>607649</v>
      </c>
      <c r="I125" s="1">
        <v>9</v>
      </c>
      <c r="J125" s="1" t="s">
        <v>237</v>
      </c>
      <c r="K125" s="1" t="s">
        <v>439</v>
      </c>
      <c r="L125" s="1" t="s">
        <v>440</v>
      </c>
      <c r="M125" s="1">
        <v>71</v>
      </c>
      <c r="N125" s="1" t="s">
        <v>39</v>
      </c>
      <c r="O125" s="1">
        <v>34.083599999999997</v>
      </c>
      <c r="P125" s="1">
        <v>-117.24079999999999</v>
      </c>
      <c r="Q125" s="1" t="s">
        <v>441</v>
      </c>
      <c r="R125" s="1" t="s">
        <v>41</v>
      </c>
      <c r="T125" s="1" t="s">
        <v>71</v>
      </c>
      <c r="U125" s="1" t="s">
        <v>44</v>
      </c>
      <c r="X125" s="1" t="s">
        <v>442</v>
      </c>
      <c r="AA125" s="3">
        <v>38584</v>
      </c>
      <c r="AB125" s="1" t="s">
        <v>46</v>
      </c>
      <c r="AC125" s="5">
        <v>2113</v>
      </c>
      <c r="AD125" s="1" t="s">
        <v>444</v>
      </c>
      <c r="AE125" s="1" t="str">
        <f t="shared" si="6"/>
        <v>358 45353</v>
      </c>
      <c r="AF125" s="14">
        <f>MID(AD125,FIND("(",AD125)+1,FIND(")",AD125)-FIND("(",AD125)-1)+209.2/2</f>
        <v>280.29999999999995</v>
      </c>
      <c r="AG125" s="1" t="str">
        <f t="shared" si="5"/>
        <v>Y</v>
      </c>
    </row>
    <row r="126" spans="1:33" x14ac:dyDescent="0.2">
      <c r="A126" s="1" t="s">
        <v>370</v>
      </c>
      <c r="B126" s="1" t="s">
        <v>438</v>
      </c>
      <c r="C126" s="1">
        <v>358</v>
      </c>
      <c r="D126" s="2">
        <v>45383</v>
      </c>
      <c r="F126" s="1">
        <v>2023</v>
      </c>
      <c r="G126" s="1" t="s">
        <v>247</v>
      </c>
      <c r="H126" s="1">
        <v>607649</v>
      </c>
      <c r="I126" s="1">
        <v>9</v>
      </c>
      <c r="J126" s="1" t="s">
        <v>237</v>
      </c>
      <c r="K126" s="1" t="s">
        <v>439</v>
      </c>
      <c r="L126" s="1" t="s">
        <v>440</v>
      </c>
      <c r="M126" s="1">
        <v>71</v>
      </c>
      <c r="N126" s="1" t="s">
        <v>39</v>
      </c>
      <c r="O126" s="1">
        <v>34.083599999999997</v>
      </c>
      <c r="P126" s="1">
        <v>-117.24079999999999</v>
      </c>
      <c r="Q126" s="1" t="s">
        <v>441</v>
      </c>
      <c r="R126" s="1" t="s">
        <v>41</v>
      </c>
      <c r="T126" s="1" t="s">
        <v>71</v>
      </c>
      <c r="U126" s="1" t="s">
        <v>44</v>
      </c>
      <c r="X126" s="1" t="s">
        <v>442</v>
      </c>
      <c r="AA126" s="3">
        <v>38660</v>
      </c>
      <c r="AB126" s="1" t="s">
        <v>46</v>
      </c>
      <c r="AC126" s="5">
        <v>2113</v>
      </c>
      <c r="AD126" s="1" t="s">
        <v>445</v>
      </c>
      <c r="AE126" s="1" t="str">
        <f t="shared" si="6"/>
        <v>358 45383</v>
      </c>
      <c r="AF126" s="14">
        <f>MID(AD126,FIND("(",AD126)+1,FIND(")",AD126)-FIND("(",AD126)-1)+209.2/2</f>
        <v>280.29999999999995</v>
      </c>
      <c r="AG126" s="1" t="str">
        <f t="shared" si="5"/>
        <v>Y</v>
      </c>
    </row>
    <row r="127" spans="1:33" x14ac:dyDescent="0.2">
      <c r="A127" s="1" t="s">
        <v>370</v>
      </c>
      <c r="B127" s="1" t="s">
        <v>438</v>
      </c>
      <c r="C127" s="1">
        <v>358</v>
      </c>
      <c r="D127" s="2">
        <v>45384</v>
      </c>
      <c r="F127" s="1">
        <v>2023</v>
      </c>
      <c r="G127" s="1" t="s">
        <v>247</v>
      </c>
      <c r="H127" s="1">
        <v>607649</v>
      </c>
      <c r="I127" s="1">
        <v>9</v>
      </c>
      <c r="J127" s="1" t="s">
        <v>237</v>
      </c>
      <c r="K127" s="1" t="s">
        <v>439</v>
      </c>
      <c r="L127" s="1" t="s">
        <v>440</v>
      </c>
      <c r="M127" s="1">
        <v>71</v>
      </c>
      <c r="N127" s="1" t="s">
        <v>39</v>
      </c>
      <c r="O127" s="1">
        <v>34.083599999999997</v>
      </c>
      <c r="P127" s="1">
        <v>-117.24079999999999</v>
      </c>
      <c r="Q127" s="1" t="s">
        <v>441</v>
      </c>
      <c r="R127" s="1" t="s">
        <v>41</v>
      </c>
      <c r="T127" s="1" t="s">
        <v>71</v>
      </c>
      <c r="U127" s="1" t="s">
        <v>44</v>
      </c>
      <c r="X127" s="1" t="s">
        <v>442</v>
      </c>
      <c r="AA127" s="3">
        <v>38677</v>
      </c>
      <c r="AB127" s="1" t="s">
        <v>46</v>
      </c>
      <c r="AC127" s="5">
        <v>2113</v>
      </c>
      <c r="AD127" s="1" t="s">
        <v>446</v>
      </c>
      <c r="AE127" s="1" t="str">
        <f t="shared" si="6"/>
        <v>358 45384</v>
      </c>
      <c r="AF127" s="14">
        <f>AF126</f>
        <v>280.29999999999995</v>
      </c>
      <c r="AG127" s="1" t="str">
        <f t="shared" si="5"/>
        <v>Y</v>
      </c>
    </row>
    <row r="128" spans="1:33" x14ac:dyDescent="0.2">
      <c r="A128" s="1" t="s">
        <v>370</v>
      </c>
      <c r="B128" s="1" t="s">
        <v>447</v>
      </c>
      <c r="C128" s="1">
        <v>377</v>
      </c>
      <c r="D128" s="1">
        <v>4</v>
      </c>
      <c r="F128" s="1">
        <v>2023</v>
      </c>
      <c r="G128" s="1" t="s">
        <v>247</v>
      </c>
      <c r="H128" s="1" t="s">
        <v>448</v>
      </c>
      <c r="I128" s="1">
        <v>9</v>
      </c>
      <c r="J128" s="1" t="s">
        <v>237</v>
      </c>
      <c r="K128" s="1" t="s">
        <v>404</v>
      </c>
      <c r="L128" s="1" t="s">
        <v>405</v>
      </c>
      <c r="M128" s="1">
        <v>37</v>
      </c>
      <c r="N128" s="1" t="s">
        <v>39</v>
      </c>
      <c r="O128" s="1">
        <v>34.1556</v>
      </c>
      <c r="P128" s="1">
        <v>-118.2782</v>
      </c>
      <c r="Q128" s="1" t="s">
        <v>449</v>
      </c>
      <c r="R128" s="1" t="s">
        <v>41</v>
      </c>
      <c r="T128" s="1" t="s">
        <v>89</v>
      </c>
      <c r="U128" s="1" t="s">
        <v>44</v>
      </c>
      <c r="V128" s="1" t="s">
        <v>450</v>
      </c>
      <c r="X128" s="1" t="s">
        <v>90</v>
      </c>
      <c r="AA128" s="3">
        <v>21808</v>
      </c>
      <c r="AB128" s="1" t="s">
        <v>451</v>
      </c>
      <c r="AC128" s="5">
        <v>650</v>
      </c>
      <c r="AD128" s="1" t="s">
        <v>452</v>
      </c>
      <c r="AE128" s="1" t="str">
        <f t="shared" si="6"/>
        <v>377 4</v>
      </c>
      <c r="AF128" s="5" t="str">
        <f t="shared" ref="AF128:AF135" si="10">MID(AD128,FIND("(",AD128)+1,FIND(")",AD128)-FIND("(",AD128)-1)</f>
        <v>44</v>
      </c>
      <c r="AG128" s="1" t="str">
        <f t="shared" si="5"/>
        <v/>
      </c>
    </row>
    <row r="129" spans="1:33" x14ac:dyDescent="0.2">
      <c r="A129" s="1" t="s">
        <v>370</v>
      </c>
      <c r="B129" s="1" t="s">
        <v>447</v>
      </c>
      <c r="C129" s="1">
        <v>377</v>
      </c>
      <c r="D129" s="1">
        <v>5</v>
      </c>
      <c r="F129" s="1">
        <v>2023</v>
      </c>
      <c r="G129" s="1" t="s">
        <v>247</v>
      </c>
      <c r="H129" s="1" t="s">
        <v>448</v>
      </c>
      <c r="I129" s="1">
        <v>9</v>
      </c>
      <c r="J129" s="1" t="s">
        <v>237</v>
      </c>
      <c r="K129" s="1" t="s">
        <v>404</v>
      </c>
      <c r="L129" s="1" t="s">
        <v>405</v>
      </c>
      <c r="M129" s="1">
        <v>37</v>
      </c>
      <c r="N129" s="1" t="s">
        <v>39</v>
      </c>
      <c r="O129" s="1">
        <v>34.1556</v>
      </c>
      <c r="P129" s="1">
        <v>-118.2782</v>
      </c>
      <c r="Q129" s="1" t="s">
        <v>449</v>
      </c>
      <c r="R129" s="1" t="s">
        <v>41</v>
      </c>
      <c r="T129" s="1" t="s">
        <v>89</v>
      </c>
      <c r="U129" s="1" t="s">
        <v>44</v>
      </c>
      <c r="V129" s="1" t="s">
        <v>453</v>
      </c>
      <c r="X129" s="1" t="s">
        <v>454</v>
      </c>
      <c r="AA129" s="3">
        <v>23621</v>
      </c>
      <c r="AB129" s="1" t="s">
        <v>455</v>
      </c>
      <c r="AC129" s="5">
        <v>650</v>
      </c>
      <c r="AD129" s="1" t="s">
        <v>456</v>
      </c>
      <c r="AE129" s="1" t="str">
        <f t="shared" si="6"/>
        <v>377 5</v>
      </c>
      <c r="AF129" s="5" t="str">
        <f t="shared" si="10"/>
        <v>44</v>
      </c>
      <c r="AG129" s="1" t="str">
        <f t="shared" si="5"/>
        <v/>
      </c>
    </row>
    <row r="130" spans="1:33" x14ac:dyDescent="0.2">
      <c r="A130" s="1" t="s">
        <v>370</v>
      </c>
      <c r="B130" s="1" t="s">
        <v>447</v>
      </c>
      <c r="C130" s="1">
        <v>377</v>
      </c>
      <c r="D130" s="1">
        <v>9</v>
      </c>
      <c r="F130" s="1">
        <v>2023</v>
      </c>
      <c r="G130" s="1" t="s">
        <v>247</v>
      </c>
      <c r="H130" s="1" t="s">
        <v>448</v>
      </c>
      <c r="I130" s="1">
        <v>9</v>
      </c>
      <c r="J130" s="1" t="s">
        <v>237</v>
      </c>
      <c r="K130" s="1" t="s">
        <v>404</v>
      </c>
      <c r="L130" s="1" t="s">
        <v>405</v>
      </c>
      <c r="M130" s="1">
        <v>37</v>
      </c>
      <c r="N130" s="1" t="s">
        <v>39</v>
      </c>
      <c r="O130" s="1">
        <v>34.1556</v>
      </c>
      <c r="P130" s="1">
        <v>-118.2782</v>
      </c>
      <c r="Q130" s="1" t="s">
        <v>449</v>
      </c>
      <c r="R130" s="1" t="s">
        <v>41</v>
      </c>
      <c r="T130" s="1" t="s">
        <v>93</v>
      </c>
      <c r="U130" s="1" t="s">
        <v>44</v>
      </c>
      <c r="X130" s="1" t="s">
        <v>223</v>
      </c>
      <c r="AA130" s="3">
        <v>38000</v>
      </c>
      <c r="AB130" s="1" t="s">
        <v>46</v>
      </c>
      <c r="AC130" s="5">
        <v>470</v>
      </c>
      <c r="AD130" s="1" t="s">
        <v>457</v>
      </c>
      <c r="AE130" s="1" t="str">
        <f t="shared" si="6"/>
        <v>377 9</v>
      </c>
      <c r="AF130" s="5" t="str">
        <f t="shared" si="10"/>
        <v>50</v>
      </c>
      <c r="AG130" s="1" t="str">
        <f t="shared" ref="AG130:AG193" si="11">IF(ISNUMBER(SEARCH("selective", X130)), "Y", "")</f>
        <v>Y</v>
      </c>
    </row>
    <row r="131" spans="1:33" x14ac:dyDescent="0.2">
      <c r="A131" s="1" t="s">
        <v>458</v>
      </c>
      <c r="B131" s="1" t="s">
        <v>459</v>
      </c>
      <c r="C131" s="1">
        <v>384</v>
      </c>
      <c r="D131" s="1">
        <v>71</v>
      </c>
      <c r="E131" s="1" t="s">
        <v>460</v>
      </c>
      <c r="F131" s="1">
        <v>2023</v>
      </c>
      <c r="G131" s="1" t="s">
        <v>461</v>
      </c>
      <c r="H131" s="1">
        <v>610077</v>
      </c>
      <c r="I131" s="1">
        <v>5</v>
      </c>
      <c r="J131" s="1" t="s">
        <v>462</v>
      </c>
      <c r="K131" s="1" t="s">
        <v>463</v>
      </c>
      <c r="L131" s="1" t="s">
        <v>464</v>
      </c>
      <c r="M131" s="1">
        <v>197</v>
      </c>
      <c r="N131" s="1" t="s">
        <v>39</v>
      </c>
      <c r="O131" s="1">
        <v>41.494700000000002</v>
      </c>
      <c r="P131" s="1">
        <v>-88.125</v>
      </c>
      <c r="Q131" s="1" t="s">
        <v>465</v>
      </c>
      <c r="R131" s="1" t="s">
        <v>41</v>
      </c>
      <c r="S131" s="1" t="s">
        <v>42</v>
      </c>
      <c r="T131" s="1" t="s">
        <v>43</v>
      </c>
      <c r="U131" s="1" t="s">
        <v>44</v>
      </c>
      <c r="X131" s="1" t="s">
        <v>213</v>
      </c>
      <c r="Y131" s="1" t="s">
        <v>58</v>
      </c>
      <c r="AA131" s="3">
        <v>23841</v>
      </c>
      <c r="AB131" s="1" t="s">
        <v>466</v>
      </c>
      <c r="AC131" s="5">
        <v>3356</v>
      </c>
      <c r="AD131" s="1" t="s">
        <v>467</v>
      </c>
      <c r="AE131" s="1" t="str">
        <f t="shared" ref="AE131:AE194" si="12">C131&amp;" "&amp;D131</f>
        <v>384 71</v>
      </c>
      <c r="AF131" s="5" t="str">
        <f t="shared" si="10"/>
        <v>660</v>
      </c>
      <c r="AG131" s="1" t="str">
        <f t="shared" si="11"/>
        <v/>
      </c>
    </row>
    <row r="132" spans="1:33" x14ac:dyDescent="0.2">
      <c r="A132" s="1" t="s">
        <v>458</v>
      </c>
      <c r="B132" s="1" t="s">
        <v>459</v>
      </c>
      <c r="C132" s="1">
        <v>384</v>
      </c>
      <c r="D132" s="1">
        <v>72</v>
      </c>
      <c r="E132" s="1" t="s">
        <v>460</v>
      </c>
      <c r="F132" s="1">
        <v>2023</v>
      </c>
      <c r="G132" s="1" t="s">
        <v>461</v>
      </c>
      <c r="H132" s="1">
        <v>610077</v>
      </c>
      <c r="I132" s="1">
        <v>5</v>
      </c>
      <c r="J132" s="1" t="s">
        <v>462</v>
      </c>
      <c r="K132" s="1" t="s">
        <v>463</v>
      </c>
      <c r="L132" s="1" t="s">
        <v>464</v>
      </c>
      <c r="M132" s="1">
        <v>197</v>
      </c>
      <c r="N132" s="1" t="s">
        <v>39</v>
      </c>
      <c r="O132" s="1">
        <v>41.494700000000002</v>
      </c>
      <c r="P132" s="1">
        <v>-88.125</v>
      </c>
      <c r="Q132" s="1" t="s">
        <v>465</v>
      </c>
      <c r="R132" s="1" t="s">
        <v>41</v>
      </c>
      <c r="S132" s="1" t="s">
        <v>42</v>
      </c>
      <c r="T132" s="1" t="s">
        <v>43</v>
      </c>
      <c r="U132" s="1" t="s">
        <v>44</v>
      </c>
      <c r="X132" s="1" t="s">
        <v>213</v>
      </c>
      <c r="Y132" s="1" t="s">
        <v>58</v>
      </c>
      <c r="AA132" s="3">
        <v>23841</v>
      </c>
      <c r="AB132" s="1" t="s">
        <v>466</v>
      </c>
      <c r="AC132" s="5">
        <v>3356</v>
      </c>
      <c r="AD132" s="1" t="s">
        <v>467</v>
      </c>
      <c r="AE132" s="1" t="str">
        <f t="shared" si="12"/>
        <v>384 72</v>
      </c>
      <c r="AF132" s="5" t="str">
        <f t="shared" si="10"/>
        <v>660</v>
      </c>
      <c r="AG132" s="1" t="str">
        <f t="shared" si="11"/>
        <v/>
      </c>
    </row>
    <row r="133" spans="1:33" x14ac:dyDescent="0.2">
      <c r="A133" s="1" t="s">
        <v>458</v>
      </c>
      <c r="B133" s="1" t="s">
        <v>459</v>
      </c>
      <c r="C133" s="1">
        <v>384</v>
      </c>
      <c r="D133" s="1">
        <v>81</v>
      </c>
      <c r="E133" s="1" t="s">
        <v>468</v>
      </c>
      <c r="F133" s="1">
        <v>2023</v>
      </c>
      <c r="G133" s="1" t="s">
        <v>461</v>
      </c>
      <c r="H133" s="1">
        <v>610077</v>
      </c>
      <c r="I133" s="1">
        <v>5</v>
      </c>
      <c r="J133" s="1" t="s">
        <v>462</v>
      </c>
      <c r="K133" s="1" t="s">
        <v>463</v>
      </c>
      <c r="L133" s="1" t="s">
        <v>464</v>
      </c>
      <c r="M133" s="1">
        <v>197</v>
      </c>
      <c r="N133" s="1" t="s">
        <v>39</v>
      </c>
      <c r="O133" s="1">
        <v>41.494700000000002</v>
      </c>
      <c r="P133" s="1">
        <v>-88.125</v>
      </c>
      <c r="Q133" s="1" t="s">
        <v>465</v>
      </c>
      <c r="R133" s="1" t="s">
        <v>41</v>
      </c>
      <c r="S133" s="1" t="s">
        <v>42</v>
      </c>
      <c r="T133" s="1" t="s">
        <v>43</v>
      </c>
      <c r="U133" s="1" t="s">
        <v>44</v>
      </c>
      <c r="X133" s="1" t="s">
        <v>213</v>
      </c>
      <c r="Y133" s="1" t="s">
        <v>58</v>
      </c>
      <c r="AA133" s="3">
        <v>24187</v>
      </c>
      <c r="AB133" s="1" t="s">
        <v>466</v>
      </c>
      <c r="AC133" s="5">
        <v>3356</v>
      </c>
      <c r="AD133" s="1" t="s">
        <v>469</v>
      </c>
      <c r="AE133" s="1" t="str">
        <f t="shared" si="12"/>
        <v>384 81</v>
      </c>
      <c r="AF133" s="5" t="str">
        <f t="shared" si="10"/>
        <v>660</v>
      </c>
      <c r="AG133" s="1" t="str">
        <f t="shared" si="11"/>
        <v/>
      </c>
    </row>
    <row r="134" spans="1:33" x14ac:dyDescent="0.2">
      <c r="A134" s="1" t="s">
        <v>458</v>
      </c>
      <c r="B134" s="1" t="s">
        <v>459</v>
      </c>
      <c r="C134" s="1">
        <v>384</v>
      </c>
      <c r="D134" s="1">
        <v>82</v>
      </c>
      <c r="E134" s="1" t="s">
        <v>468</v>
      </c>
      <c r="F134" s="1">
        <v>2023</v>
      </c>
      <c r="G134" s="1" t="s">
        <v>461</v>
      </c>
      <c r="H134" s="1">
        <v>610077</v>
      </c>
      <c r="I134" s="1">
        <v>5</v>
      </c>
      <c r="J134" s="1" t="s">
        <v>462</v>
      </c>
      <c r="K134" s="1" t="s">
        <v>463</v>
      </c>
      <c r="L134" s="1" t="s">
        <v>464</v>
      </c>
      <c r="M134" s="1">
        <v>197</v>
      </c>
      <c r="N134" s="1" t="s">
        <v>39</v>
      </c>
      <c r="O134" s="1">
        <v>41.494700000000002</v>
      </c>
      <c r="P134" s="1">
        <v>-88.125</v>
      </c>
      <c r="Q134" s="1" t="s">
        <v>465</v>
      </c>
      <c r="R134" s="1" t="s">
        <v>41</v>
      </c>
      <c r="S134" s="1" t="s">
        <v>42</v>
      </c>
      <c r="T134" s="1" t="s">
        <v>43</v>
      </c>
      <c r="U134" s="1" t="s">
        <v>44</v>
      </c>
      <c r="X134" s="1" t="s">
        <v>213</v>
      </c>
      <c r="Y134" s="1" t="s">
        <v>58</v>
      </c>
      <c r="AA134" s="3">
        <v>24187</v>
      </c>
      <c r="AB134" s="1" t="s">
        <v>466</v>
      </c>
      <c r="AC134" s="5">
        <v>3356</v>
      </c>
      <c r="AD134" s="1" t="s">
        <v>469</v>
      </c>
      <c r="AE134" s="1" t="str">
        <f t="shared" si="12"/>
        <v>384 82</v>
      </c>
      <c r="AF134" s="5" t="str">
        <f t="shared" si="10"/>
        <v>660</v>
      </c>
      <c r="AG134" s="1" t="str">
        <f t="shared" si="11"/>
        <v/>
      </c>
    </row>
    <row r="135" spans="1:33" x14ac:dyDescent="0.2">
      <c r="A135" s="1" t="s">
        <v>370</v>
      </c>
      <c r="B135" s="1" t="s">
        <v>470</v>
      </c>
      <c r="C135" s="1">
        <v>389</v>
      </c>
      <c r="D135" s="1">
        <v>4</v>
      </c>
      <c r="F135" s="1">
        <v>2023</v>
      </c>
      <c r="G135" s="1" t="s">
        <v>247</v>
      </c>
      <c r="H135" s="1">
        <v>610320</v>
      </c>
      <c r="I135" s="1">
        <v>9</v>
      </c>
      <c r="J135" s="1" t="s">
        <v>237</v>
      </c>
      <c r="K135" s="1" t="s">
        <v>471</v>
      </c>
      <c r="L135" s="1" t="s">
        <v>472</v>
      </c>
      <c r="M135" s="1">
        <v>25</v>
      </c>
      <c r="N135" s="1" t="s">
        <v>39</v>
      </c>
      <c r="O135" s="1">
        <v>32.802199999999999</v>
      </c>
      <c r="P135" s="1">
        <v>-115.54</v>
      </c>
      <c r="Q135" s="1" t="s">
        <v>473</v>
      </c>
      <c r="R135" s="1" t="s">
        <v>41</v>
      </c>
      <c r="T135" s="1" t="s">
        <v>89</v>
      </c>
      <c r="U135" s="1" t="s">
        <v>44</v>
      </c>
      <c r="V135" s="1" t="s">
        <v>173</v>
      </c>
      <c r="X135" s="1" t="s">
        <v>223</v>
      </c>
      <c r="AA135" s="3">
        <v>25051</v>
      </c>
      <c r="AB135" s="1" t="s">
        <v>46</v>
      </c>
      <c r="AC135" s="5">
        <v>819</v>
      </c>
      <c r="AD135" s="1" t="s">
        <v>474</v>
      </c>
      <c r="AE135" s="1" t="str">
        <f t="shared" si="12"/>
        <v>389 4</v>
      </c>
      <c r="AF135" s="5" t="str">
        <f t="shared" si="10"/>
        <v>81.6</v>
      </c>
      <c r="AG135" s="1" t="str">
        <f t="shared" si="11"/>
        <v>Y</v>
      </c>
    </row>
    <row r="136" spans="1:33" x14ac:dyDescent="0.2">
      <c r="A136" s="1" t="s">
        <v>370</v>
      </c>
      <c r="B136" s="1" t="s">
        <v>470</v>
      </c>
      <c r="C136" s="1">
        <v>389</v>
      </c>
      <c r="D136" s="2">
        <v>45324</v>
      </c>
      <c r="F136" s="1">
        <v>2023</v>
      </c>
      <c r="G136" s="1" t="s">
        <v>247</v>
      </c>
      <c r="H136" s="1">
        <v>610320</v>
      </c>
      <c r="I136" s="1">
        <v>9</v>
      </c>
      <c r="J136" s="1" t="s">
        <v>237</v>
      </c>
      <c r="K136" s="1" t="s">
        <v>471</v>
      </c>
      <c r="L136" s="1" t="s">
        <v>472</v>
      </c>
      <c r="M136" s="1">
        <v>25</v>
      </c>
      <c r="N136" s="1" t="s">
        <v>39</v>
      </c>
      <c r="O136" s="1">
        <v>32.802199999999999</v>
      </c>
      <c r="P136" s="1">
        <v>-115.54</v>
      </c>
      <c r="Q136" s="1" t="s">
        <v>473</v>
      </c>
      <c r="R136" s="1" t="s">
        <v>41</v>
      </c>
      <c r="T136" s="1" t="s">
        <v>71</v>
      </c>
      <c r="U136" s="1" t="s">
        <v>44</v>
      </c>
      <c r="V136" s="1" t="s">
        <v>94</v>
      </c>
      <c r="X136" s="1" t="s">
        <v>223</v>
      </c>
      <c r="AA136" s="3">
        <v>34121</v>
      </c>
      <c r="AB136" s="1" t="s">
        <v>46</v>
      </c>
      <c r="AC136" s="5">
        <v>950</v>
      </c>
      <c r="AD136" s="1" t="s">
        <v>475</v>
      </c>
      <c r="AE136" s="1" t="str">
        <f t="shared" si="12"/>
        <v>389 45324</v>
      </c>
      <c r="AF136" s="14">
        <f>MID(AD136,FIND("(",AD136)+1,FIND(")",AD136)-FIND("(",AD136)-1)+34.5</f>
        <v>124.4</v>
      </c>
      <c r="AG136" s="1" t="str">
        <f t="shared" si="11"/>
        <v>Y</v>
      </c>
    </row>
    <row r="137" spans="1:33" x14ac:dyDescent="0.2">
      <c r="A137" s="1" t="s">
        <v>370</v>
      </c>
      <c r="B137" s="1" t="s">
        <v>470</v>
      </c>
      <c r="C137" s="1">
        <v>389</v>
      </c>
      <c r="D137" s="2">
        <v>45352</v>
      </c>
      <c r="F137" s="1">
        <v>2023</v>
      </c>
      <c r="G137" s="1" t="s">
        <v>247</v>
      </c>
      <c r="H137" s="1">
        <v>610320</v>
      </c>
      <c r="I137" s="1">
        <v>9</v>
      </c>
      <c r="J137" s="1" t="s">
        <v>237</v>
      </c>
      <c r="K137" s="1" t="s">
        <v>471</v>
      </c>
      <c r="L137" s="1" t="s">
        <v>472</v>
      </c>
      <c r="M137" s="1">
        <v>25</v>
      </c>
      <c r="N137" s="1" t="s">
        <v>39</v>
      </c>
      <c r="O137" s="1">
        <v>32.802199999999999</v>
      </c>
      <c r="P137" s="1">
        <v>-115.54</v>
      </c>
      <c r="Q137" s="1" t="s">
        <v>473</v>
      </c>
      <c r="R137" s="1" t="s">
        <v>41</v>
      </c>
      <c r="T137" s="1" t="s">
        <v>71</v>
      </c>
      <c r="U137" s="1" t="s">
        <v>44</v>
      </c>
      <c r="X137" s="1" t="s">
        <v>64</v>
      </c>
      <c r="AA137" s="3">
        <v>40969</v>
      </c>
      <c r="AB137" s="1" t="s">
        <v>46</v>
      </c>
      <c r="AC137" s="5">
        <v>525</v>
      </c>
      <c r="AD137" s="1" t="s">
        <v>476</v>
      </c>
      <c r="AE137" s="1" t="str">
        <f t="shared" si="12"/>
        <v>389 45352</v>
      </c>
      <c r="AF137" s="14">
        <f>MID(AD137,FIND("(",AD137)+1,FIND(")",AD137)-FIND("(",AD137)-1)+65.9/2</f>
        <v>76.150000000000006</v>
      </c>
      <c r="AG137" s="1" t="str">
        <f t="shared" si="11"/>
        <v>Y</v>
      </c>
    </row>
    <row r="138" spans="1:33" x14ac:dyDescent="0.2">
      <c r="A138" s="1" t="s">
        <v>370</v>
      </c>
      <c r="B138" s="1" t="s">
        <v>470</v>
      </c>
      <c r="C138" s="1">
        <v>389</v>
      </c>
      <c r="D138" s="2">
        <v>45353</v>
      </c>
      <c r="F138" s="1">
        <v>2023</v>
      </c>
      <c r="G138" s="1" t="s">
        <v>247</v>
      </c>
      <c r="H138" s="1">
        <v>610320</v>
      </c>
      <c r="I138" s="1">
        <v>9</v>
      </c>
      <c r="J138" s="1" t="s">
        <v>237</v>
      </c>
      <c r="K138" s="1" t="s">
        <v>471</v>
      </c>
      <c r="L138" s="1" t="s">
        <v>472</v>
      </c>
      <c r="M138" s="1">
        <v>25</v>
      </c>
      <c r="N138" s="1" t="s">
        <v>39</v>
      </c>
      <c r="O138" s="1">
        <v>32.802199999999999</v>
      </c>
      <c r="P138" s="1">
        <v>-115.54</v>
      </c>
      <c r="Q138" s="1" t="s">
        <v>473</v>
      </c>
      <c r="R138" s="1" t="s">
        <v>41</v>
      </c>
      <c r="T138" s="1" t="s">
        <v>71</v>
      </c>
      <c r="U138" s="1" t="s">
        <v>44</v>
      </c>
      <c r="X138" s="1" t="s">
        <v>64</v>
      </c>
      <c r="AA138" s="3">
        <v>40974</v>
      </c>
      <c r="AB138" s="1" t="s">
        <v>46</v>
      </c>
      <c r="AC138" s="5">
        <v>525</v>
      </c>
      <c r="AD138" s="1" t="s">
        <v>477</v>
      </c>
      <c r="AE138" s="1" t="str">
        <f t="shared" si="12"/>
        <v>389 45353</v>
      </c>
      <c r="AF138" s="14">
        <f>AF137</f>
        <v>76.150000000000006</v>
      </c>
      <c r="AG138" s="1" t="str">
        <f t="shared" si="11"/>
        <v>Y</v>
      </c>
    </row>
    <row r="139" spans="1:33" x14ac:dyDescent="0.2">
      <c r="A139" s="1" t="s">
        <v>370</v>
      </c>
      <c r="B139" s="1" t="s">
        <v>478</v>
      </c>
      <c r="C139" s="1">
        <v>399</v>
      </c>
      <c r="D139" s="1">
        <v>10</v>
      </c>
      <c r="F139" s="1">
        <v>2023</v>
      </c>
      <c r="G139" s="1" t="s">
        <v>247</v>
      </c>
      <c r="H139" s="1">
        <v>609567</v>
      </c>
      <c r="I139" s="1">
        <v>9</v>
      </c>
      <c r="J139" s="1" t="s">
        <v>237</v>
      </c>
      <c r="K139" s="1" t="s">
        <v>404</v>
      </c>
      <c r="L139" s="1" t="s">
        <v>405</v>
      </c>
      <c r="M139" s="1">
        <v>37</v>
      </c>
      <c r="N139" s="1" t="s">
        <v>39</v>
      </c>
      <c r="O139" s="1">
        <v>33.769100000000002</v>
      </c>
      <c r="P139" s="1">
        <v>-118.2662</v>
      </c>
      <c r="Q139" s="1" t="s">
        <v>479</v>
      </c>
      <c r="R139" s="1" t="s">
        <v>41</v>
      </c>
      <c r="T139" s="1" t="s">
        <v>93</v>
      </c>
      <c r="U139" s="1" t="s">
        <v>44</v>
      </c>
      <c r="V139" s="1" t="s">
        <v>94</v>
      </c>
      <c r="X139" s="1" t="s">
        <v>223</v>
      </c>
      <c r="AA139" s="3">
        <v>37192</v>
      </c>
      <c r="AB139" s="1" t="s">
        <v>46</v>
      </c>
      <c r="AC139" s="5">
        <v>500</v>
      </c>
      <c r="AD139" s="1" t="s">
        <v>480</v>
      </c>
      <c r="AE139" s="1" t="str">
        <f t="shared" si="12"/>
        <v>399 10</v>
      </c>
      <c r="AF139" s="5" t="str">
        <f>MID(AD139,FIND("(",AD139)+1,FIND(")",AD139)-FIND("(",AD139)-1)</f>
        <v>60.5</v>
      </c>
      <c r="AG139" s="1" t="str">
        <f t="shared" si="11"/>
        <v>Y</v>
      </c>
    </row>
    <row r="140" spans="1:33" x14ac:dyDescent="0.2">
      <c r="A140" s="1" t="s">
        <v>370</v>
      </c>
      <c r="B140" s="1" t="s">
        <v>478</v>
      </c>
      <c r="C140" s="1">
        <v>399</v>
      </c>
      <c r="D140" s="1">
        <v>11</v>
      </c>
      <c r="F140" s="1">
        <v>2023</v>
      </c>
      <c r="G140" s="1" t="s">
        <v>247</v>
      </c>
      <c r="H140" s="1">
        <v>609567</v>
      </c>
      <c r="I140" s="1">
        <v>9</v>
      </c>
      <c r="J140" s="1" t="s">
        <v>237</v>
      </c>
      <c r="K140" s="1" t="s">
        <v>404</v>
      </c>
      <c r="L140" s="1" t="s">
        <v>405</v>
      </c>
      <c r="M140" s="1">
        <v>37</v>
      </c>
      <c r="N140" s="1" t="s">
        <v>39</v>
      </c>
      <c r="O140" s="1">
        <v>33.769100000000002</v>
      </c>
      <c r="P140" s="1">
        <v>-118.2662</v>
      </c>
      <c r="Q140" s="1" t="s">
        <v>479</v>
      </c>
      <c r="R140" s="1" t="s">
        <v>41</v>
      </c>
      <c r="T140" s="1" t="s">
        <v>93</v>
      </c>
      <c r="U140" s="1" t="s">
        <v>44</v>
      </c>
      <c r="V140" s="1" t="s">
        <v>94</v>
      </c>
      <c r="X140" s="1" t="s">
        <v>223</v>
      </c>
      <c r="AA140" s="3">
        <v>37194</v>
      </c>
      <c r="AB140" s="1" t="s">
        <v>46</v>
      </c>
      <c r="AC140" s="5">
        <v>800</v>
      </c>
      <c r="AD140" s="1" t="s">
        <v>481</v>
      </c>
      <c r="AE140" s="1" t="str">
        <f t="shared" si="12"/>
        <v>399 11</v>
      </c>
      <c r="AF140" s="5" t="str">
        <f>MID(AD140,FIND("(",AD140)+1,FIND(")",AD140)-FIND("(",AD140)-1)</f>
        <v>60.5</v>
      </c>
      <c r="AG140" s="1" t="str">
        <f t="shared" si="11"/>
        <v>Y</v>
      </c>
    </row>
    <row r="141" spans="1:33" x14ac:dyDescent="0.2">
      <c r="A141" s="1" t="s">
        <v>370</v>
      </c>
      <c r="B141" s="1" t="s">
        <v>478</v>
      </c>
      <c r="C141" s="1">
        <v>399</v>
      </c>
      <c r="D141" s="1">
        <v>12</v>
      </c>
      <c r="F141" s="1">
        <v>2023</v>
      </c>
      <c r="G141" s="1" t="s">
        <v>247</v>
      </c>
      <c r="H141" s="1">
        <v>609567</v>
      </c>
      <c r="I141" s="1">
        <v>9</v>
      </c>
      <c r="J141" s="1" t="s">
        <v>237</v>
      </c>
      <c r="K141" s="1" t="s">
        <v>404</v>
      </c>
      <c r="L141" s="1" t="s">
        <v>405</v>
      </c>
      <c r="M141" s="1">
        <v>37</v>
      </c>
      <c r="N141" s="1" t="s">
        <v>39</v>
      </c>
      <c r="O141" s="1">
        <v>33.769100000000002</v>
      </c>
      <c r="P141" s="1">
        <v>-118.2662</v>
      </c>
      <c r="Q141" s="1" t="s">
        <v>479</v>
      </c>
      <c r="R141" s="1" t="s">
        <v>41</v>
      </c>
      <c r="T141" s="1" t="s">
        <v>93</v>
      </c>
      <c r="U141" s="1" t="s">
        <v>44</v>
      </c>
      <c r="V141" s="1" t="s">
        <v>94</v>
      </c>
      <c r="X141" s="1" t="s">
        <v>223</v>
      </c>
      <c r="AA141" s="3">
        <v>37190</v>
      </c>
      <c r="AB141" s="1" t="s">
        <v>46</v>
      </c>
      <c r="AC141" s="5">
        <v>800</v>
      </c>
      <c r="AD141" s="1" t="s">
        <v>482</v>
      </c>
      <c r="AE141" s="1" t="str">
        <f t="shared" si="12"/>
        <v>399 12</v>
      </c>
      <c r="AF141" s="5" t="str">
        <f>MID(AD141,FIND("(",AD141)+1,FIND(")",AD141)-FIND("(",AD141)-1)</f>
        <v>60.5</v>
      </c>
      <c r="AG141" s="1" t="str">
        <f t="shared" si="11"/>
        <v>Y</v>
      </c>
    </row>
    <row r="142" spans="1:33" x14ac:dyDescent="0.2">
      <c r="A142" s="1" t="s">
        <v>370</v>
      </c>
      <c r="B142" s="1" t="s">
        <v>478</v>
      </c>
      <c r="C142" s="1">
        <v>399</v>
      </c>
      <c r="D142" s="1">
        <v>13</v>
      </c>
      <c r="F142" s="1">
        <v>2023</v>
      </c>
      <c r="G142" s="1" t="s">
        <v>247</v>
      </c>
      <c r="H142" s="1">
        <v>609567</v>
      </c>
      <c r="I142" s="1">
        <v>9</v>
      </c>
      <c r="J142" s="1" t="s">
        <v>237</v>
      </c>
      <c r="K142" s="1" t="s">
        <v>404</v>
      </c>
      <c r="L142" s="1" t="s">
        <v>405</v>
      </c>
      <c r="M142" s="1">
        <v>37</v>
      </c>
      <c r="N142" s="1" t="s">
        <v>39</v>
      </c>
      <c r="O142" s="1">
        <v>33.769100000000002</v>
      </c>
      <c r="P142" s="1">
        <v>-118.2662</v>
      </c>
      <c r="Q142" s="1" t="s">
        <v>479</v>
      </c>
      <c r="R142" s="1" t="s">
        <v>41</v>
      </c>
      <c r="T142" s="1" t="s">
        <v>93</v>
      </c>
      <c r="U142" s="1" t="s">
        <v>44</v>
      </c>
      <c r="V142" s="1" t="s">
        <v>94</v>
      </c>
      <c r="X142" s="1" t="s">
        <v>223</v>
      </c>
      <c r="AA142" s="3">
        <v>37196</v>
      </c>
      <c r="AB142" s="1" t="s">
        <v>46</v>
      </c>
      <c r="AC142" s="5">
        <v>500</v>
      </c>
      <c r="AD142" s="1" t="s">
        <v>483</v>
      </c>
      <c r="AE142" s="1" t="str">
        <f t="shared" si="12"/>
        <v>399 13</v>
      </c>
      <c r="AF142" s="5" t="str">
        <f>MID(AD142,FIND("(",AD142)+1,FIND(")",AD142)-FIND("(",AD142)-1)</f>
        <v>60.5</v>
      </c>
      <c r="AG142" s="1" t="str">
        <f t="shared" si="11"/>
        <v>Y</v>
      </c>
    </row>
    <row r="143" spans="1:33" x14ac:dyDescent="0.2">
      <c r="A143" s="1" t="s">
        <v>370</v>
      </c>
      <c r="B143" s="1" t="s">
        <v>478</v>
      </c>
      <c r="C143" s="1">
        <v>399</v>
      </c>
      <c r="D143" s="1">
        <v>14</v>
      </c>
      <c r="F143" s="1">
        <v>2023</v>
      </c>
      <c r="G143" s="1" t="s">
        <v>247</v>
      </c>
      <c r="H143" s="1">
        <v>609567</v>
      </c>
      <c r="I143" s="1">
        <v>9</v>
      </c>
      <c r="J143" s="1" t="s">
        <v>237</v>
      </c>
      <c r="K143" s="1" t="s">
        <v>404</v>
      </c>
      <c r="L143" s="1" t="s">
        <v>405</v>
      </c>
      <c r="M143" s="1">
        <v>37</v>
      </c>
      <c r="N143" s="1" t="s">
        <v>39</v>
      </c>
      <c r="O143" s="1">
        <v>33.769100000000002</v>
      </c>
      <c r="P143" s="1">
        <v>-118.2662</v>
      </c>
      <c r="Q143" s="1" t="s">
        <v>479</v>
      </c>
      <c r="R143" s="1" t="s">
        <v>41</v>
      </c>
      <c r="T143" s="1" t="s">
        <v>93</v>
      </c>
      <c r="U143" s="1" t="s">
        <v>44</v>
      </c>
      <c r="V143" s="1" t="s">
        <v>94</v>
      </c>
      <c r="X143" s="1" t="s">
        <v>223</v>
      </c>
      <c r="AA143" s="3">
        <v>37196</v>
      </c>
      <c r="AB143" s="1" t="s">
        <v>46</v>
      </c>
      <c r="AC143" s="5">
        <v>556.29999999999995</v>
      </c>
      <c r="AD143" s="1" t="s">
        <v>484</v>
      </c>
      <c r="AE143" s="1" t="str">
        <f t="shared" si="12"/>
        <v>399 14</v>
      </c>
      <c r="AF143" s="5" t="str">
        <f>MID(AD143,FIND("(",AD143)+1,FIND(")",AD143)-FIND("(",AD143)-1)</f>
        <v>60.5</v>
      </c>
      <c r="AG143" s="1" t="str">
        <f t="shared" si="11"/>
        <v>Y</v>
      </c>
    </row>
    <row r="144" spans="1:33" x14ac:dyDescent="0.2">
      <c r="A144" s="1" t="s">
        <v>370</v>
      </c>
      <c r="B144" s="1" t="s">
        <v>478</v>
      </c>
      <c r="C144" s="1">
        <v>399</v>
      </c>
      <c r="D144" s="1" t="s">
        <v>485</v>
      </c>
      <c r="F144" s="1">
        <v>2023</v>
      </c>
      <c r="G144" s="1" t="s">
        <v>247</v>
      </c>
      <c r="H144" s="1">
        <v>609567</v>
      </c>
      <c r="I144" s="1">
        <v>9</v>
      </c>
      <c r="J144" s="1" t="s">
        <v>237</v>
      </c>
      <c r="K144" s="1" t="s">
        <v>404</v>
      </c>
      <c r="L144" s="1" t="s">
        <v>405</v>
      </c>
      <c r="M144" s="1">
        <v>37</v>
      </c>
      <c r="N144" s="1" t="s">
        <v>39</v>
      </c>
      <c r="O144" s="1">
        <v>33.769100000000002</v>
      </c>
      <c r="P144" s="1">
        <v>-118.2662</v>
      </c>
      <c r="Q144" s="1" t="s">
        <v>479</v>
      </c>
      <c r="R144" s="1" t="s">
        <v>41</v>
      </c>
      <c r="T144" s="1" t="s">
        <v>71</v>
      </c>
      <c r="U144" s="1" t="s">
        <v>44</v>
      </c>
      <c r="V144" s="1" t="s">
        <v>94</v>
      </c>
      <c r="X144" s="1" t="s">
        <v>223</v>
      </c>
      <c r="AA144" s="3">
        <v>34608</v>
      </c>
      <c r="AB144" s="1" t="s">
        <v>46</v>
      </c>
      <c r="AC144" s="5">
        <v>1088</v>
      </c>
      <c r="AD144" s="1" t="s">
        <v>486</v>
      </c>
      <c r="AE144" s="1" t="str">
        <f t="shared" si="12"/>
        <v>399 **10A</v>
      </c>
      <c r="AF144" s="14">
        <f>AF145</f>
        <v>123.15</v>
      </c>
      <c r="AG144" s="1" t="str">
        <f t="shared" si="11"/>
        <v>Y</v>
      </c>
    </row>
    <row r="145" spans="1:33" x14ac:dyDescent="0.2">
      <c r="A145" s="1" t="s">
        <v>370</v>
      </c>
      <c r="B145" s="1" t="s">
        <v>478</v>
      </c>
      <c r="C145" s="1">
        <v>399</v>
      </c>
      <c r="D145" s="1" t="s">
        <v>487</v>
      </c>
      <c r="F145" s="1">
        <v>2023</v>
      </c>
      <c r="G145" s="1" t="s">
        <v>247</v>
      </c>
      <c r="H145" s="1">
        <v>609567</v>
      </c>
      <c r="I145" s="1">
        <v>9</v>
      </c>
      <c r="J145" s="1" t="s">
        <v>237</v>
      </c>
      <c r="K145" s="1" t="s">
        <v>404</v>
      </c>
      <c r="L145" s="1" t="s">
        <v>405</v>
      </c>
      <c r="M145" s="1">
        <v>37</v>
      </c>
      <c r="N145" s="1" t="s">
        <v>39</v>
      </c>
      <c r="O145" s="1">
        <v>33.769100000000002</v>
      </c>
      <c r="P145" s="1">
        <v>-118.2662</v>
      </c>
      <c r="Q145" s="1" t="s">
        <v>479</v>
      </c>
      <c r="R145" s="1" t="s">
        <v>41</v>
      </c>
      <c r="T145" s="1" t="s">
        <v>71</v>
      </c>
      <c r="U145" s="1" t="s">
        <v>44</v>
      </c>
      <c r="V145" s="1" t="s">
        <v>94</v>
      </c>
      <c r="X145" s="1" t="s">
        <v>223</v>
      </c>
      <c r="AA145" s="3">
        <v>34608</v>
      </c>
      <c r="AB145" s="1" t="s">
        <v>46</v>
      </c>
      <c r="AC145" s="5">
        <v>1088</v>
      </c>
      <c r="AD145" s="1" t="s">
        <v>488</v>
      </c>
      <c r="AE145" s="1" t="str">
        <f t="shared" si="12"/>
        <v>399 **10B</v>
      </c>
      <c r="AF145" s="14">
        <f>MID(AD145,FIND("(",AD145)+1,FIND(")",AD145)-FIND("(",AD145)-1)+86.3/2</f>
        <v>123.15</v>
      </c>
      <c r="AG145" s="1" t="str">
        <f t="shared" si="11"/>
        <v>Y</v>
      </c>
    </row>
    <row r="146" spans="1:33" x14ac:dyDescent="0.2">
      <c r="A146" s="1" t="s">
        <v>370</v>
      </c>
      <c r="B146" s="1" t="s">
        <v>489</v>
      </c>
      <c r="C146" s="1">
        <v>400</v>
      </c>
      <c r="D146" s="1">
        <v>1</v>
      </c>
      <c r="F146" s="1">
        <v>2023</v>
      </c>
      <c r="G146" s="1" t="s">
        <v>247</v>
      </c>
      <c r="H146" s="1">
        <v>609567</v>
      </c>
      <c r="I146" s="1">
        <v>9</v>
      </c>
      <c r="J146" s="1" t="s">
        <v>237</v>
      </c>
      <c r="K146" s="1" t="s">
        <v>404</v>
      </c>
      <c r="L146" s="1" t="s">
        <v>405</v>
      </c>
      <c r="M146" s="1">
        <v>37</v>
      </c>
      <c r="N146" s="1" t="s">
        <v>39</v>
      </c>
      <c r="O146" s="1">
        <v>33.7639</v>
      </c>
      <c r="P146" s="1">
        <v>-118.0942</v>
      </c>
      <c r="Q146" s="1" t="s">
        <v>479</v>
      </c>
      <c r="R146" s="1" t="s">
        <v>41</v>
      </c>
      <c r="T146" s="1" t="s">
        <v>89</v>
      </c>
      <c r="U146" s="1" t="s">
        <v>44</v>
      </c>
      <c r="X146" s="1" t="s">
        <v>223</v>
      </c>
      <c r="AA146" s="3">
        <v>22828</v>
      </c>
      <c r="AB146" s="1" t="s">
        <v>46</v>
      </c>
      <c r="AC146" s="5">
        <v>2180</v>
      </c>
      <c r="AD146" s="1" t="s">
        <v>490</v>
      </c>
      <c r="AE146" s="1" t="str">
        <f t="shared" si="12"/>
        <v>400 1</v>
      </c>
      <c r="AF146" s="5" t="str">
        <f>MID(AD146,FIND("(",AD146)+1,FIND(")",AD146)-FIND("(",AD146)-1)</f>
        <v>230</v>
      </c>
      <c r="AG146" s="1" t="str">
        <f t="shared" si="11"/>
        <v>Y</v>
      </c>
    </row>
    <row r="147" spans="1:33" x14ac:dyDescent="0.2">
      <c r="A147" s="1" t="s">
        <v>370</v>
      </c>
      <c r="B147" s="1" t="s">
        <v>489</v>
      </c>
      <c r="C147" s="1">
        <v>400</v>
      </c>
      <c r="D147" s="1">
        <v>2</v>
      </c>
      <c r="F147" s="1">
        <v>2023</v>
      </c>
      <c r="G147" s="1" t="s">
        <v>247</v>
      </c>
      <c r="H147" s="1">
        <v>609567</v>
      </c>
      <c r="I147" s="1">
        <v>9</v>
      </c>
      <c r="J147" s="1" t="s">
        <v>237</v>
      </c>
      <c r="K147" s="1" t="s">
        <v>404</v>
      </c>
      <c r="L147" s="1" t="s">
        <v>405</v>
      </c>
      <c r="M147" s="1">
        <v>37</v>
      </c>
      <c r="N147" s="1" t="s">
        <v>39</v>
      </c>
      <c r="O147" s="1">
        <v>33.7639</v>
      </c>
      <c r="P147" s="1">
        <v>-118.0942</v>
      </c>
      <c r="Q147" s="1" t="s">
        <v>479</v>
      </c>
      <c r="R147" s="1" t="s">
        <v>41</v>
      </c>
      <c r="T147" s="1" t="s">
        <v>89</v>
      </c>
      <c r="U147" s="1" t="s">
        <v>44</v>
      </c>
      <c r="X147" s="1" t="s">
        <v>223</v>
      </c>
      <c r="AA147" s="3">
        <v>23043</v>
      </c>
      <c r="AB147" s="1" t="s">
        <v>46</v>
      </c>
      <c r="AC147" s="5">
        <v>2160</v>
      </c>
      <c r="AD147" s="1" t="s">
        <v>491</v>
      </c>
      <c r="AE147" s="1" t="str">
        <f t="shared" si="12"/>
        <v>400 2</v>
      </c>
      <c r="AF147" s="5" t="str">
        <f>MID(AD147,FIND("(",AD147)+1,FIND(")",AD147)-FIND("(",AD147)-1)</f>
        <v>230</v>
      </c>
      <c r="AG147" s="1" t="str">
        <f t="shared" si="11"/>
        <v>Y</v>
      </c>
    </row>
    <row r="148" spans="1:33" x14ac:dyDescent="0.2">
      <c r="A148" s="1" t="s">
        <v>370</v>
      </c>
      <c r="B148" s="1" t="s">
        <v>489</v>
      </c>
      <c r="C148" s="1">
        <v>400</v>
      </c>
      <c r="D148" s="1">
        <v>9</v>
      </c>
      <c r="F148" s="1">
        <v>2023</v>
      </c>
      <c r="G148" s="1" t="s">
        <v>247</v>
      </c>
      <c r="H148" s="1">
        <v>609567</v>
      </c>
      <c r="I148" s="1">
        <v>9</v>
      </c>
      <c r="J148" s="1" t="s">
        <v>237</v>
      </c>
      <c r="K148" s="1" t="s">
        <v>404</v>
      </c>
      <c r="L148" s="1" t="s">
        <v>405</v>
      </c>
      <c r="M148" s="1">
        <v>37</v>
      </c>
      <c r="N148" s="1" t="s">
        <v>39</v>
      </c>
      <c r="O148" s="1">
        <v>33.7639</v>
      </c>
      <c r="P148" s="1">
        <v>-118.0942</v>
      </c>
      <c r="Q148" s="1" t="s">
        <v>479</v>
      </c>
      <c r="R148" s="1" t="s">
        <v>41</v>
      </c>
      <c r="T148" s="1" t="s">
        <v>71</v>
      </c>
      <c r="U148" s="1" t="s">
        <v>44</v>
      </c>
      <c r="X148" s="1" t="s">
        <v>64</v>
      </c>
      <c r="AA148" s="3">
        <v>38349</v>
      </c>
      <c r="AB148" s="1" t="s">
        <v>46</v>
      </c>
      <c r="AC148" s="5">
        <v>2043.6</v>
      </c>
      <c r="AD148" s="1" t="s">
        <v>492</v>
      </c>
      <c r="AE148" s="1" t="str">
        <f t="shared" si="12"/>
        <v>400 9</v>
      </c>
      <c r="AF148" s="14">
        <f>MID(AD148,FIND("(",AD148)+1,FIND(")",AD148)-FIND("(",AD148)-1)+264.3/2</f>
        <v>314.95000000000005</v>
      </c>
      <c r="AG148" s="1" t="str">
        <f t="shared" si="11"/>
        <v>Y</v>
      </c>
    </row>
    <row r="149" spans="1:33" x14ac:dyDescent="0.2">
      <c r="A149" s="1" t="s">
        <v>370</v>
      </c>
      <c r="B149" s="1" t="s">
        <v>489</v>
      </c>
      <c r="C149" s="1">
        <v>400</v>
      </c>
      <c r="D149" s="1">
        <v>10</v>
      </c>
      <c r="F149" s="1">
        <v>2023</v>
      </c>
      <c r="G149" s="1" t="s">
        <v>247</v>
      </c>
      <c r="H149" s="1">
        <v>609567</v>
      </c>
      <c r="I149" s="1">
        <v>9</v>
      </c>
      <c r="J149" s="1" t="s">
        <v>237</v>
      </c>
      <c r="K149" s="1" t="s">
        <v>404</v>
      </c>
      <c r="L149" s="1" t="s">
        <v>405</v>
      </c>
      <c r="M149" s="1">
        <v>37</v>
      </c>
      <c r="N149" s="1" t="s">
        <v>39</v>
      </c>
      <c r="O149" s="1">
        <v>33.7639</v>
      </c>
      <c r="P149" s="1">
        <v>-118.0942</v>
      </c>
      <c r="Q149" s="1" t="s">
        <v>479</v>
      </c>
      <c r="R149" s="1" t="s">
        <v>41</v>
      </c>
      <c r="T149" s="1" t="s">
        <v>71</v>
      </c>
      <c r="U149" s="1" t="s">
        <v>44</v>
      </c>
      <c r="X149" s="1" t="s">
        <v>64</v>
      </c>
      <c r="AA149" s="3">
        <v>38322</v>
      </c>
      <c r="AB149" s="1" t="s">
        <v>46</v>
      </c>
      <c r="AC149" s="5">
        <v>2043.6</v>
      </c>
      <c r="AD149" s="1" t="s">
        <v>493</v>
      </c>
      <c r="AE149" s="1" t="str">
        <f t="shared" si="12"/>
        <v>400 10</v>
      </c>
      <c r="AF149" s="14">
        <f>AF148</f>
        <v>314.95000000000005</v>
      </c>
      <c r="AG149" s="1" t="str">
        <f t="shared" si="11"/>
        <v>Y</v>
      </c>
    </row>
    <row r="150" spans="1:33" x14ac:dyDescent="0.2">
      <c r="A150" s="1" t="s">
        <v>370</v>
      </c>
      <c r="B150" s="1" t="s">
        <v>489</v>
      </c>
      <c r="C150" s="1">
        <v>400</v>
      </c>
      <c r="D150" s="1">
        <v>11</v>
      </c>
      <c r="F150" s="1">
        <v>2023</v>
      </c>
      <c r="G150" s="1" t="s">
        <v>247</v>
      </c>
      <c r="H150" s="1">
        <v>609567</v>
      </c>
      <c r="I150" s="1">
        <v>9</v>
      </c>
      <c r="J150" s="1" t="s">
        <v>237</v>
      </c>
      <c r="K150" s="1" t="s">
        <v>404</v>
      </c>
      <c r="L150" s="1" t="s">
        <v>405</v>
      </c>
      <c r="M150" s="1">
        <v>37</v>
      </c>
      <c r="N150" s="1" t="s">
        <v>39</v>
      </c>
      <c r="O150" s="1">
        <v>33.7639</v>
      </c>
      <c r="P150" s="1">
        <v>-118.0942</v>
      </c>
      <c r="Q150" s="1" t="s">
        <v>479</v>
      </c>
      <c r="R150" s="1" t="s">
        <v>41</v>
      </c>
      <c r="T150" s="1" t="s">
        <v>93</v>
      </c>
      <c r="U150" s="1" t="s">
        <v>44</v>
      </c>
      <c r="X150" s="1" t="s">
        <v>176</v>
      </c>
      <c r="AA150" s="3">
        <v>41378</v>
      </c>
      <c r="AB150" s="1" t="s">
        <v>46</v>
      </c>
      <c r="AC150" s="5">
        <v>906.6</v>
      </c>
      <c r="AD150" s="1" t="s">
        <v>494</v>
      </c>
      <c r="AE150" s="1" t="str">
        <f t="shared" si="12"/>
        <v>400 11</v>
      </c>
      <c r="AF150" s="5" t="str">
        <f t="shared" ref="AF150:AF157" si="13">MID(AD150,FIND("(",AD150)+1,FIND(")",AD150)-FIND("(",AD150)-1)</f>
        <v>108.2</v>
      </c>
      <c r="AG150" s="1" t="str">
        <f t="shared" si="11"/>
        <v>Y</v>
      </c>
    </row>
    <row r="151" spans="1:33" x14ac:dyDescent="0.2">
      <c r="A151" s="1" t="s">
        <v>370</v>
      </c>
      <c r="B151" s="1" t="s">
        <v>489</v>
      </c>
      <c r="C151" s="1">
        <v>400</v>
      </c>
      <c r="D151" s="1">
        <v>12</v>
      </c>
      <c r="F151" s="1">
        <v>2023</v>
      </c>
      <c r="G151" s="1" t="s">
        <v>247</v>
      </c>
      <c r="H151" s="1">
        <v>609567</v>
      </c>
      <c r="I151" s="1">
        <v>9</v>
      </c>
      <c r="J151" s="1" t="s">
        <v>237</v>
      </c>
      <c r="K151" s="1" t="s">
        <v>404</v>
      </c>
      <c r="L151" s="1" t="s">
        <v>405</v>
      </c>
      <c r="M151" s="1">
        <v>37</v>
      </c>
      <c r="N151" s="1" t="s">
        <v>39</v>
      </c>
      <c r="O151" s="1">
        <v>33.7639</v>
      </c>
      <c r="P151" s="1">
        <v>-118.0942</v>
      </c>
      <c r="Q151" s="1" t="s">
        <v>479</v>
      </c>
      <c r="R151" s="1" t="s">
        <v>41</v>
      </c>
      <c r="T151" s="1" t="s">
        <v>93</v>
      </c>
      <c r="U151" s="1" t="s">
        <v>44</v>
      </c>
      <c r="X151" s="1" t="s">
        <v>176</v>
      </c>
      <c r="AA151" s="3">
        <v>41377</v>
      </c>
      <c r="AB151" s="1" t="s">
        <v>46</v>
      </c>
      <c r="AC151" s="5">
        <v>906.6</v>
      </c>
      <c r="AD151" s="1" t="s">
        <v>495</v>
      </c>
      <c r="AE151" s="1" t="str">
        <f t="shared" si="12"/>
        <v>400 12</v>
      </c>
      <c r="AF151" s="5" t="str">
        <f t="shared" si="13"/>
        <v>108.2</v>
      </c>
      <c r="AG151" s="1" t="str">
        <f t="shared" si="11"/>
        <v>Y</v>
      </c>
    </row>
    <row r="152" spans="1:33" x14ac:dyDescent="0.2">
      <c r="A152" s="1" t="s">
        <v>370</v>
      </c>
      <c r="B152" s="1" t="s">
        <v>489</v>
      </c>
      <c r="C152" s="1">
        <v>400</v>
      </c>
      <c r="D152" s="1">
        <v>13</v>
      </c>
      <c r="F152" s="1">
        <v>2023</v>
      </c>
      <c r="G152" s="1" t="s">
        <v>247</v>
      </c>
      <c r="H152" s="1">
        <v>609567</v>
      </c>
      <c r="I152" s="1">
        <v>9</v>
      </c>
      <c r="J152" s="1" t="s">
        <v>237</v>
      </c>
      <c r="K152" s="1" t="s">
        <v>404</v>
      </c>
      <c r="L152" s="1" t="s">
        <v>405</v>
      </c>
      <c r="M152" s="1">
        <v>37</v>
      </c>
      <c r="N152" s="1" t="s">
        <v>39</v>
      </c>
      <c r="O152" s="1">
        <v>33.7639</v>
      </c>
      <c r="P152" s="1">
        <v>-118.0942</v>
      </c>
      <c r="Q152" s="1" t="s">
        <v>479</v>
      </c>
      <c r="R152" s="1" t="s">
        <v>41</v>
      </c>
      <c r="T152" s="1" t="s">
        <v>93</v>
      </c>
      <c r="U152" s="1" t="s">
        <v>44</v>
      </c>
      <c r="X152" s="1" t="s">
        <v>176</v>
      </c>
      <c r="AA152" s="3">
        <v>41322</v>
      </c>
      <c r="AB152" s="1" t="s">
        <v>46</v>
      </c>
      <c r="AC152" s="5">
        <v>906.6</v>
      </c>
      <c r="AD152" s="1" t="s">
        <v>496</v>
      </c>
      <c r="AE152" s="1" t="str">
        <f t="shared" si="12"/>
        <v>400 13</v>
      </c>
      <c r="AF152" s="5" t="str">
        <f t="shared" si="13"/>
        <v>108.2</v>
      </c>
      <c r="AG152" s="1" t="str">
        <f t="shared" si="11"/>
        <v>Y</v>
      </c>
    </row>
    <row r="153" spans="1:33" x14ac:dyDescent="0.2">
      <c r="A153" s="1" t="s">
        <v>370</v>
      </c>
      <c r="B153" s="1" t="s">
        <v>489</v>
      </c>
      <c r="C153" s="1">
        <v>400</v>
      </c>
      <c r="D153" s="1">
        <v>14</v>
      </c>
      <c r="F153" s="1">
        <v>2023</v>
      </c>
      <c r="G153" s="1" t="s">
        <v>247</v>
      </c>
      <c r="H153" s="1">
        <v>609567</v>
      </c>
      <c r="I153" s="1">
        <v>9</v>
      </c>
      <c r="J153" s="1" t="s">
        <v>237</v>
      </c>
      <c r="K153" s="1" t="s">
        <v>404</v>
      </c>
      <c r="L153" s="1" t="s">
        <v>405</v>
      </c>
      <c r="M153" s="1">
        <v>37</v>
      </c>
      <c r="N153" s="1" t="s">
        <v>39</v>
      </c>
      <c r="O153" s="1">
        <v>33.7639</v>
      </c>
      <c r="P153" s="1">
        <v>-118.0942</v>
      </c>
      <c r="Q153" s="1" t="s">
        <v>479</v>
      </c>
      <c r="R153" s="1" t="s">
        <v>41</v>
      </c>
      <c r="T153" s="1" t="s">
        <v>93</v>
      </c>
      <c r="U153" s="1" t="s">
        <v>44</v>
      </c>
      <c r="X153" s="1" t="s">
        <v>176</v>
      </c>
      <c r="AA153" s="3">
        <v>41338</v>
      </c>
      <c r="AB153" s="1" t="s">
        <v>46</v>
      </c>
      <c r="AC153" s="5">
        <v>906.6</v>
      </c>
      <c r="AD153" s="1" t="s">
        <v>497</v>
      </c>
      <c r="AE153" s="1" t="str">
        <f t="shared" si="12"/>
        <v>400 14</v>
      </c>
      <c r="AF153" s="5" t="str">
        <f t="shared" si="13"/>
        <v>108.2</v>
      </c>
      <c r="AG153" s="1" t="str">
        <f t="shared" si="11"/>
        <v>Y</v>
      </c>
    </row>
    <row r="154" spans="1:33" x14ac:dyDescent="0.2">
      <c r="A154" s="1" t="s">
        <v>370</v>
      </c>
      <c r="B154" s="1" t="s">
        <v>489</v>
      </c>
      <c r="C154" s="1">
        <v>400</v>
      </c>
      <c r="D154" s="1">
        <v>15</v>
      </c>
      <c r="F154" s="1">
        <v>2023</v>
      </c>
      <c r="G154" s="1" t="s">
        <v>247</v>
      </c>
      <c r="H154" s="1">
        <v>609567</v>
      </c>
      <c r="I154" s="1">
        <v>9</v>
      </c>
      <c r="J154" s="1" t="s">
        <v>237</v>
      </c>
      <c r="K154" s="1" t="s">
        <v>404</v>
      </c>
      <c r="L154" s="1" t="s">
        <v>405</v>
      </c>
      <c r="M154" s="1">
        <v>37</v>
      </c>
      <c r="N154" s="1" t="s">
        <v>39</v>
      </c>
      <c r="O154" s="1">
        <v>33.7639</v>
      </c>
      <c r="P154" s="1">
        <v>-118.0942</v>
      </c>
      <c r="Q154" s="1" t="s">
        <v>479</v>
      </c>
      <c r="R154" s="1" t="s">
        <v>41</v>
      </c>
      <c r="T154" s="1" t="s">
        <v>93</v>
      </c>
      <c r="U154" s="1" t="s">
        <v>44</v>
      </c>
      <c r="X154" s="1" t="s">
        <v>176</v>
      </c>
      <c r="AA154" s="3">
        <v>41408</v>
      </c>
      <c r="AB154" s="1" t="s">
        <v>46</v>
      </c>
      <c r="AC154" s="5">
        <v>906.6</v>
      </c>
      <c r="AD154" s="1" t="s">
        <v>498</v>
      </c>
      <c r="AE154" s="1" t="str">
        <f t="shared" si="12"/>
        <v>400 15</v>
      </c>
      <c r="AF154" s="5" t="str">
        <f t="shared" si="13"/>
        <v>108.2</v>
      </c>
      <c r="AG154" s="1" t="str">
        <f t="shared" si="11"/>
        <v>Y</v>
      </c>
    </row>
    <row r="155" spans="1:33" x14ac:dyDescent="0.2">
      <c r="A155" s="1" t="s">
        <v>370</v>
      </c>
      <c r="B155" s="1" t="s">
        <v>489</v>
      </c>
      <c r="C155" s="1">
        <v>400</v>
      </c>
      <c r="D155" s="1">
        <v>16</v>
      </c>
      <c r="F155" s="1">
        <v>2023</v>
      </c>
      <c r="G155" s="1" t="s">
        <v>247</v>
      </c>
      <c r="H155" s="1">
        <v>609567</v>
      </c>
      <c r="I155" s="1">
        <v>9</v>
      </c>
      <c r="J155" s="1" t="s">
        <v>237</v>
      </c>
      <c r="K155" s="1" t="s">
        <v>404</v>
      </c>
      <c r="L155" s="1" t="s">
        <v>405</v>
      </c>
      <c r="M155" s="1">
        <v>37</v>
      </c>
      <c r="N155" s="1" t="s">
        <v>39</v>
      </c>
      <c r="O155" s="1">
        <v>33.7639</v>
      </c>
      <c r="P155" s="1">
        <v>-118.0942</v>
      </c>
      <c r="Q155" s="1" t="s">
        <v>479</v>
      </c>
      <c r="R155" s="1" t="s">
        <v>41</v>
      </c>
      <c r="T155" s="1" t="s">
        <v>93</v>
      </c>
      <c r="U155" s="1" t="s">
        <v>44</v>
      </c>
      <c r="X155" s="1" t="s">
        <v>176</v>
      </c>
      <c r="AA155" s="3">
        <v>41382</v>
      </c>
      <c r="AB155" s="1" t="s">
        <v>46</v>
      </c>
      <c r="AC155" s="5">
        <v>906.6</v>
      </c>
      <c r="AD155" s="1" t="s">
        <v>499</v>
      </c>
      <c r="AE155" s="1" t="str">
        <f t="shared" si="12"/>
        <v>400 16</v>
      </c>
      <c r="AF155" s="5" t="str">
        <f t="shared" si="13"/>
        <v>108.2</v>
      </c>
      <c r="AG155" s="1" t="str">
        <f t="shared" si="11"/>
        <v>Y</v>
      </c>
    </row>
    <row r="156" spans="1:33" x14ac:dyDescent="0.2">
      <c r="A156" s="1" t="s">
        <v>370</v>
      </c>
      <c r="B156" s="1" t="s">
        <v>500</v>
      </c>
      <c r="C156" s="1">
        <v>404</v>
      </c>
      <c r="D156" s="1">
        <v>1</v>
      </c>
      <c r="F156" s="1">
        <v>2023</v>
      </c>
      <c r="G156" s="1" t="s">
        <v>247</v>
      </c>
      <c r="H156" s="1">
        <v>609567</v>
      </c>
      <c r="I156" s="1">
        <v>9</v>
      </c>
      <c r="J156" s="1" t="s">
        <v>237</v>
      </c>
      <c r="K156" s="1" t="s">
        <v>404</v>
      </c>
      <c r="L156" s="1" t="s">
        <v>405</v>
      </c>
      <c r="M156" s="1">
        <v>37</v>
      </c>
      <c r="N156" s="1" t="s">
        <v>39</v>
      </c>
      <c r="O156" s="1">
        <v>33.917499999999997</v>
      </c>
      <c r="P156" s="1">
        <v>-118.4258</v>
      </c>
      <c r="Q156" s="1" t="s">
        <v>479</v>
      </c>
      <c r="R156" s="1" t="s">
        <v>41</v>
      </c>
      <c r="T156" s="1" t="s">
        <v>89</v>
      </c>
      <c r="U156" s="1" t="s">
        <v>44</v>
      </c>
      <c r="V156" s="1" t="s">
        <v>288</v>
      </c>
      <c r="X156" s="1" t="s">
        <v>223</v>
      </c>
      <c r="AA156" s="3">
        <v>21520</v>
      </c>
      <c r="AB156" s="1" t="s">
        <v>46</v>
      </c>
      <c r="AC156" s="5">
        <v>1220</v>
      </c>
      <c r="AD156" s="1" t="s">
        <v>501</v>
      </c>
      <c r="AE156" s="1" t="str">
        <f t="shared" si="12"/>
        <v>404 1</v>
      </c>
      <c r="AF156" s="5" t="str">
        <f t="shared" si="13"/>
        <v>163.2</v>
      </c>
      <c r="AG156" s="1" t="str">
        <f t="shared" si="11"/>
        <v>Y</v>
      </c>
    </row>
    <row r="157" spans="1:33" x14ac:dyDescent="0.2">
      <c r="A157" s="1" t="s">
        <v>370</v>
      </c>
      <c r="B157" s="1" t="s">
        <v>500</v>
      </c>
      <c r="C157" s="1">
        <v>404</v>
      </c>
      <c r="D157" s="1">
        <v>2</v>
      </c>
      <c r="F157" s="1">
        <v>2023</v>
      </c>
      <c r="G157" s="1" t="s">
        <v>247</v>
      </c>
      <c r="H157" s="1">
        <v>609567</v>
      </c>
      <c r="I157" s="1">
        <v>9</v>
      </c>
      <c r="J157" s="1" t="s">
        <v>237</v>
      </c>
      <c r="K157" s="1" t="s">
        <v>404</v>
      </c>
      <c r="L157" s="1" t="s">
        <v>405</v>
      </c>
      <c r="M157" s="1">
        <v>37</v>
      </c>
      <c r="N157" s="1" t="s">
        <v>39</v>
      </c>
      <c r="O157" s="1">
        <v>33.917499999999997</v>
      </c>
      <c r="P157" s="1">
        <v>-118.4258</v>
      </c>
      <c r="Q157" s="1" t="s">
        <v>479</v>
      </c>
      <c r="R157" s="1" t="s">
        <v>41</v>
      </c>
      <c r="T157" s="1" t="s">
        <v>89</v>
      </c>
      <c r="U157" s="1" t="s">
        <v>44</v>
      </c>
      <c r="V157" s="1" t="s">
        <v>288</v>
      </c>
      <c r="X157" s="1" t="s">
        <v>223</v>
      </c>
      <c r="AA157" s="3">
        <v>21732</v>
      </c>
      <c r="AB157" s="1" t="s">
        <v>46</v>
      </c>
      <c r="AC157" s="5">
        <v>1750</v>
      </c>
      <c r="AD157" s="1" t="s">
        <v>502</v>
      </c>
      <c r="AE157" s="1" t="str">
        <f t="shared" si="12"/>
        <v>404 2</v>
      </c>
      <c r="AF157" s="5" t="str">
        <f t="shared" si="13"/>
        <v>163.2</v>
      </c>
      <c r="AG157" s="1" t="str">
        <f t="shared" si="11"/>
        <v>Y</v>
      </c>
    </row>
    <row r="158" spans="1:33" x14ac:dyDescent="0.2">
      <c r="A158" s="1" t="s">
        <v>370</v>
      </c>
      <c r="B158" s="1" t="s">
        <v>500</v>
      </c>
      <c r="C158" s="1">
        <v>404</v>
      </c>
      <c r="D158" s="1">
        <v>4</v>
      </c>
      <c r="F158" s="1">
        <v>2023</v>
      </c>
      <c r="G158" s="1" t="s">
        <v>247</v>
      </c>
      <c r="H158" s="1">
        <v>609567</v>
      </c>
      <c r="I158" s="1">
        <v>9</v>
      </c>
      <c r="J158" s="1" t="s">
        <v>237</v>
      </c>
      <c r="K158" s="1" t="s">
        <v>404</v>
      </c>
      <c r="L158" s="1" t="s">
        <v>405</v>
      </c>
      <c r="M158" s="1">
        <v>37</v>
      </c>
      <c r="N158" s="1" t="s">
        <v>39</v>
      </c>
      <c r="O158" s="1">
        <v>33.917499999999997</v>
      </c>
      <c r="P158" s="1">
        <v>-118.4258</v>
      </c>
      <c r="Q158" s="1" t="s">
        <v>479</v>
      </c>
      <c r="R158" s="1" t="s">
        <v>41</v>
      </c>
      <c r="T158" s="1" t="s">
        <v>71</v>
      </c>
      <c r="U158" s="1" t="s">
        <v>44</v>
      </c>
      <c r="X158" s="1" t="s">
        <v>223</v>
      </c>
      <c r="AA158" s="3">
        <v>42286</v>
      </c>
      <c r="AB158" s="1" t="s">
        <v>46</v>
      </c>
      <c r="AC158" s="5">
        <v>2080.9</v>
      </c>
      <c r="AD158" s="1" t="s">
        <v>503</v>
      </c>
      <c r="AE158" s="1" t="str">
        <f t="shared" si="12"/>
        <v>404 4</v>
      </c>
      <c r="AF158" s="14">
        <f>MID(AD158,FIND("(",AD158)+1,FIND(")",AD158)-FIND("(",AD158)-1)+209.5</f>
        <v>318.3</v>
      </c>
      <c r="AG158" s="1" t="str">
        <f t="shared" si="11"/>
        <v>Y</v>
      </c>
    </row>
    <row r="159" spans="1:33" x14ac:dyDescent="0.2">
      <c r="A159" s="1" t="s">
        <v>370</v>
      </c>
      <c r="B159" s="1" t="s">
        <v>500</v>
      </c>
      <c r="C159" s="1">
        <v>404</v>
      </c>
      <c r="D159" s="1">
        <v>6</v>
      </c>
      <c r="F159" s="1">
        <v>2023</v>
      </c>
      <c r="G159" s="1" t="s">
        <v>247</v>
      </c>
      <c r="H159" s="1">
        <v>609567</v>
      </c>
      <c r="I159" s="1">
        <v>9</v>
      </c>
      <c r="J159" s="1" t="s">
        <v>237</v>
      </c>
      <c r="K159" s="1" t="s">
        <v>404</v>
      </c>
      <c r="L159" s="1" t="s">
        <v>405</v>
      </c>
      <c r="M159" s="1">
        <v>37</v>
      </c>
      <c r="N159" s="1" t="s">
        <v>39</v>
      </c>
      <c r="O159" s="1">
        <v>33.917499999999997</v>
      </c>
      <c r="P159" s="1">
        <v>-118.4258</v>
      </c>
      <c r="Q159" s="1" t="s">
        <v>479</v>
      </c>
      <c r="R159" s="1" t="s">
        <v>41</v>
      </c>
      <c r="T159" s="1" t="s">
        <v>93</v>
      </c>
      <c r="U159" s="1" t="s">
        <v>44</v>
      </c>
      <c r="X159" s="1" t="s">
        <v>176</v>
      </c>
      <c r="AA159" s="3">
        <v>42225</v>
      </c>
      <c r="AB159" s="1" t="s">
        <v>46</v>
      </c>
      <c r="AC159" s="5">
        <v>903.4</v>
      </c>
      <c r="AD159" s="1" t="s">
        <v>504</v>
      </c>
      <c r="AE159" s="1" t="str">
        <f t="shared" si="12"/>
        <v>404 6</v>
      </c>
      <c r="AF159" s="5" t="str">
        <f>MID(AD159,FIND("(",AD159)+1,FIND(")",AD159)-FIND("(",AD159)-1)</f>
        <v>103</v>
      </c>
      <c r="AG159" s="1" t="str">
        <f t="shared" si="11"/>
        <v>Y</v>
      </c>
    </row>
    <row r="160" spans="1:33" x14ac:dyDescent="0.2">
      <c r="A160" s="1" t="s">
        <v>370</v>
      </c>
      <c r="B160" s="1" t="s">
        <v>500</v>
      </c>
      <c r="C160" s="1">
        <v>404</v>
      </c>
      <c r="D160" s="1">
        <v>7</v>
      </c>
      <c r="F160" s="1">
        <v>2023</v>
      </c>
      <c r="G160" s="1" t="s">
        <v>247</v>
      </c>
      <c r="H160" s="1">
        <v>609567</v>
      </c>
      <c r="I160" s="1">
        <v>9</v>
      </c>
      <c r="J160" s="1" t="s">
        <v>237</v>
      </c>
      <c r="K160" s="1" t="s">
        <v>404</v>
      </c>
      <c r="L160" s="1" t="s">
        <v>405</v>
      </c>
      <c r="M160" s="1">
        <v>37</v>
      </c>
      <c r="N160" s="1" t="s">
        <v>39</v>
      </c>
      <c r="O160" s="1">
        <v>33.917499999999997</v>
      </c>
      <c r="P160" s="1">
        <v>-118.4258</v>
      </c>
      <c r="Q160" s="1" t="s">
        <v>479</v>
      </c>
      <c r="R160" s="1" t="s">
        <v>41</v>
      </c>
      <c r="T160" s="1" t="s">
        <v>93</v>
      </c>
      <c r="U160" s="1" t="s">
        <v>44</v>
      </c>
      <c r="X160" s="1" t="s">
        <v>176</v>
      </c>
      <c r="AA160" s="3">
        <v>42261</v>
      </c>
      <c r="AB160" s="1" t="s">
        <v>46</v>
      </c>
      <c r="AC160" s="5">
        <v>903.4</v>
      </c>
      <c r="AD160" s="1" t="s">
        <v>505</v>
      </c>
      <c r="AE160" s="1" t="str">
        <f t="shared" si="12"/>
        <v>404 7</v>
      </c>
      <c r="AF160" s="5" t="str">
        <f>MID(AD160,FIND("(",AD160)+1,FIND(")",AD160)-FIND("(",AD160)-1)</f>
        <v>103</v>
      </c>
      <c r="AG160" s="1" t="str">
        <f t="shared" si="11"/>
        <v>Y</v>
      </c>
    </row>
    <row r="161" spans="1:33" x14ac:dyDescent="0.2">
      <c r="A161" s="1" t="s">
        <v>370</v>
      </c>
      <c r="B161" s="1" t="s">
        <v>506</v>
      </c>
      <c r="C161" s="1">
        <v>408</v>
      </c>
      <c r="D161" s="1">
        <v>5</v>
      </c>
      <c r="F161" s="1">
        <v>2023</v>
      </c>
      <c r="G161" s="1" t="s">
        <v>247</v>
      </c>
      <c r="H161" s="1">
        <v>609567</v>
      </c>
      <c r="I161" s="1">
        <v>9</v>
      </c>
      <c r="K161" s="1" t="s">
        <v>404</v>
      </c>
      <c r="L161" s="1" t="s">
        <v>405</v>
      </c>
      <c r="M161" s="1">
        <v>37</v>
      </c>
      <c r="N161" s="1" t="s">
        <v>39</v>
      </c>
      <c r="O161" s="1">
        <v>34.248100000000001</v>
      </c>
      <c r="P161" s="1">
        <v>-118.3903</v>
      </c>
      <c r="Q161" s="1" t="s">
        <v>479</v>
      </c>
      <c r="R161" s="1" t="s">
        <v>41</v>
      </c>
      <c r="T161" s="1" t="s">
        <v>93</v>
      </c>
      <c r="U161" s="1" t="s">
        <v>44</v>
      </c>
      <c r="V161" s="1" t="s">
        <v>94</v>
      </c>
      <c r="X161" s="1" t="s">
        <v>223</v>
      </c>
      <c r="AA161" s="3">
        <v>37130</v>
      </c>
      <c r="AB161" s="1" t="s">
        <v>46</v>
      </c>
      <c r="AC161" s="5">
        <v>480</v>
      </c>
      <c r="AD161" s="1" t="s">
        <v>507</v>
      </c>
      <c r="AE161" s="1" t="str">
        <f t="shared" si="12"/>
        <v>408 5</v>
      </c>
      <c r="AF161" s="5" t="str">
        <f>MID(AD161,FIND("(",AD161)+1,FIND(")",AD161)-FIND("(",AD161)-1)</f>
        <v>47</v>
      </c>
      <c r="AG161" s="1" t="str">
        <f t="shared" si="11"/>
        <v>Y</v>
      </c>
    </row>
    <row r="162" spans="1:33" x14ac:dyDescent="0.2">
      <c r="A162" s="1" t="s">
        <v>370</v>
      </c>
      <c r="B162" s="1" t="s">
        <v>506</v>
      </c>
      <c r="C162" s="1">
        <v>408</v>
      </c>
      <c r="D162" s="1">
        <v>6</v>
      </c>
      <c r="F162" s="1">
        <v>2023</v>
      </c>
      <c r="G162" s="1" t="s">
        <v>247</v>
      </c>
      <c r="H162" s="1">
        <v>609567</v>
      </c>
      <c r="I162" s="1">
        <v>9</v>
      </c>
      <c r="K162" s="1" t="s">
        <v>404</v>
      </c>
      <c r="L162" s="1" t="s">
        <v>405</v>
      </c>
      <c r="M162" s="1">
        <v>37</v>
      </c>
      <c r="N162" s="1" t="s">
        <v>39</v>
      </c>
      <c r="O162" s="1">
        <v>34.248100000000001</v>
      </c>
      <c r="P162" s="1">
        <v>-118.3903</v>
      </c>
      <c r="Q162" s="1" t="s">
        <v>479</v>
      </c>
      <c r="R162" s="1" t="s">
        <v>41</v>
      </c>
      <c r="T162" s="1" t="s">
        <v>71</v>
      </c>
      <c r="U162" s="1" t="s">
        <v>44</v>
      </c>
      <c r="X162" s="1" t="s">
        <v>64</v>
      </c>
      <c r="AA162" s="3">
        <v>37865</v>
      </c>
      <c r="AB162" s="1" t="s">
        <v>46</v>
      </c>
      <c r="AC162" s="5">
        <v>2000</v>
      </c>
      <c r="AD162" s="1" t="s">
        <v>508</v>
      </c>
      <c r="AE162" s="1" t="str">
        <f t="shared" si="12"/>
        <v>408 6</v>
      </c>
      <c r="AF162" s="14">
        <f>AF163</f>
        <v>370.5</v>
      </c>
      <c r="AG162" s="1" t="str">
        <f t="shared" si="11"/>
        <v>Y</v>
      </c>
    </row>
    <row r="163" spans="1:33" x14ac:dyDescent="0.2">
      <c r="A163" s="1" t="s">
        <v>370</v>
      </c>
      <c r="B163" s="1" t="s">
        <v>506</v>
      </c>
      <c r="C163" s="1">
        <v>408</v>
      </c>
      <c r="D163" s="1">
        <v>7</v>
      </c>
      <c r="F163" s="1">
        <v>2023</v>
      </c>
      <c r="G163" s="1" t="s">
        <v>247</v>
      </c>
      <c r="H163" s="1">
        <v>609567</v>
      </c>
      <c r="I163" s="1">
        <v>9</v>
      </c>
      <c r="K163" s="1" t="s">
        <v>404</v>
      </c>
      <c r="L163" s="1" t="s">
        <v>405</v>
      </c>
      <c r="M163" s="1">
        <v>37</v>
      </c>
      <c r="N163" s="1" t="s">
        <v>39</v>
      </c>
      <c r="O163" s="1">
        <v>34.248100000000001</v>
      </c>
      <c r="P163" s="1">
        <v>-118.3903</v>
      </c>
      <c r="Q163" s="1" t="s">
        <v>479</v>
      </c>
      <c r="R163" s="1" t="s">
        <v>41</v>
      </c>
      <c r="T163" s="1" t="s">
        <v>71</v>
      </c>
      <c r="U163" s="1" t="s">
        <v>44</v>
      </c>
      <c r="X163" s="1" t="s">
        <v>64</v>
      </c>
      <c r="AA163" s="3">
        <v>37865</v>
      </c>
      <c r="AB163" s="1" t="s">
        <v>46</v>
      </c>
      <c r="AC163" s="5">
        <v>2000</v>
      </c>
      <c r="AD163" s="1" t="s">
        <v>509</v>
      </c>
      <c r="AE163" s="1" t="str">
        <f t="shared" si="12"/>
        <v>408 7</v>
      </c>
      <c r="AF163" s="14">
        <f>MID(AD163,FIND("(",AD163)+1,FIND(")",AD163)-FIND("(",AD163)-1)+311/2</f>
        <v>370.5</v>
      </c>
      <c r="AG163" s="1" t="str">
        <f t="shared" si="11"/>
        <v>Y</v>
      </c>
    </row>
    <row r="164" spans="1:33" x14ac:dyDescent="0.2">
      <c r="A164" s="1" t="s">
        <v>370</v>
      </c>
      <c r="B164" s="1" t="s">
        <v>510</v>
      </c>
      <c r="C164" s="1">
        <v>422</v>
      </c>
      <c r="D164" s="1" t="s">
        <v>246</v>
      </c>
      <c r="F164" s="1">
        <v>2023</v>
      </c>
      <c r="G164" s="1" t="s">
        <v>247</v>
      </c>
      <c r="H164" s="1" t="s">
        <v>511</v>
      </c>
      <c r="I164" s="1">
        <v>9</v>
      </c>
      <c r="J164" s="1" t="s">
        <v>237</v>
      </c>
      <c r="K164" s="1" t="s">
        <v>404</v>
      </c>
      <c r="L164" s="1" t="s">
        <v>405</v>
      </c>
      <c r="M164" s="1">
        <v>37</v>
      </c>
      <c r="N164" s="1" t="s">
        <v>39</v>
      </c>
      <c r="O164" s="1">
        <v>34.125599999999999</v>
      </c>
      <c r="P164" s="1">
        <v>-118.1474</v>
      </c>
      <c r="Q164" s="1" t="s">
        <v>512</v>
      </c>
      <c r="R164" s="1" t="s">
        <v>41</v>
      </c>
      <c r="T164" s="1" t="s">
        <v>93</v>
      </c>
      <c r="U164" s="1" t="s">
        <v>44</v>
      </c>
      <c r="X164" s="1" t="s">
        <v>223</v>
      </c>
      <c r="AA164" s="3">
        <v>37773</v>
      </c>
      <c r="AB164" s="1" t="s">
        <v>46</v>
      </c>
      <c r="AC164" s="5">
        <v>475</v>
      </c>
      <c r="AD164" s="1" t="s">
        <v>513</v>
      </c>
      <c r="AE164" s="1" t="str">
        <f t="shared" si="12"/>
        <v>422 GT3</v>
      </c>
      <c r="AF164" s="5" t="str">
        <f>MID(AD164,FIND("(",AD164)+1,FIND(")",AD164)-FIND("(",AD164)-1)</f>
        <v>47.2</v>
      </c>
      <c r="AG164" s="1" t="str">
        <f t="shared" si="11"/>
        <v>Y</v>
      </c>
    </row>
    <row r="165" spans="1:33" x14ac:dyDescent="0.2">
      <c r="A165" s="1" t="s">
        <v>370</v>
      </c>
      <c r="B165" s="1" t="s">
        <v>510</v>
      </c>
      <c r="C165" s="1">
        <v>422</v>
      </c>
      <c r="D165" s="1" t="s">
        <v>251</v>
      </c>
      <c r="F165" s="1">
        <v>2023</v>
      </c>
      <c r="G165" s="1" t="s">
        <v>247</v>
      </c>
      <c r="H165" s="1" t="s">
        <v>511</v>
      </c>
      <c r="I165" s="1">
        <v>9</v>
      </c>
      <c r="J165" s="1" t="s">
        <v>237</v>
      </c>
      <c r="K165" s="1" t="s">
        <v>404</v>
      </c>
      <c r="L165" s="1" t="s">
        <v>405</v>
      </c>
      <c r="M165" s="1">
        <v>37</v>
      </c>
      <c r="N165" s="1" t="s">
        <v>39</v>
      </c>
      <c r="O165" s="1">
        <v>34.125599999999999</v>
      </c>
      <c r="P165" s="1">
        <v>-118.1474</v>
      </c>
      <c r="Q165" s="1" t="s">
        <v>512</v>
      </c>
      <c r="R165" s="1" t="s">
        <v>41</v>
      </c>
      <c r="T165" s="1" t="s">
        <v>93</v>
      </c>
      <c r="U165" s="1" t="s">
        <v>44</v>
      </c>
      <c r="X165" s="1" t="s">
        <v>223</v>
      </c>
      <c r="AA165" s="3">
        <v>37773</v>
      </c>
      <c r="AB165" s="1" t="s">
        <v>46</v>
      </c>
      <c r="AC165" s="5">
        <v>475</v>
      </c>
      <c r="AD165" s="1" t="s">
        <v>514</v>
      </c>
      <c r="AE165" s="1" t="str">
        <f t="shared" si="12"/>
        <v>422 GT4</v>
      </c>
      <c r="AF165" s="5" t="str">
        <f>MID(AD165,FIND("(",AD165)+1,FIND(")",AD165)-FIND("(",AD165)-1)</f>
        <v>47.2</v>
      </c>
      <c r="AG165" s="1" t="str">
        <f t="shared" si="11"/>
        <v>Y</v>
      </c>
    </row>
    <row r="166" spans="1:33" x14ac:dyDescent="0.2">
      <c r="A166" s="1" t="s">
        <v>370</v>
      </c>
      <c r="B166" s="1" t="s">
        <v>510</v>
      </c>
      <c r="C166" s="1">
        <v>422</v>
      </c>
      <c r="D166" s="1" t="s">
        <v>253</v>
      </c>
      <c r="F166" s="1">
        <v>2023</v>
      </c>
      <c r="G166" s="1" t="s">
        <v>247</v>
      </c>
      <c r="H166" s="1" t="s">
        <v>511</v>
      </c>
      <c r="I166" s="1">
        <v>9</v>
      </c>
      <c r="J166" s="1" t="s">
        <v>237</v>
      </c>
      <c r="K166" s="1" t="s">
        <v>404</v>
      </c>
      <c r="L166" s="1" t="s">
        <v>405</v>
      </c>
      <c r="M166" s="1">
        <v>37</v>
      </c>
      <c r="N166" s="1" t="s">
        <v>39</v>
      </c>
      <c r="O166" s="1">
        <v>34.125599999999999</v>
      </c>
      <c r="P166" s="1">
        <v>-118.1474</v>
      </c>
      <c r="Q166" s="1" t="s">
        <v>512</v>
      </c>
      <c r="R166" s="1" t="s">
        <v>41</v>
      </c>
      <c r="T166" s="1" t="s">
        <v>71</v>
      </c>
      <c r="U166" s="1" t="s">
        <v>44</v>
      </c>
      <c r="X166" s="1" t="s">
        <v>176</v>
      </c>
      <c r="AA166" s="3">
        <v>42469</v>
      </c>
      <c r="AB166" s="1" t="s">
        <v>46</v>
      </c>
      <c r="AC166" s="5">
        <v>547.5</v>
      </c>
      <c r="AD166" s="1" t="s">
        <v>515</v>
      </c>
      <c r="AE166" s="1" t="str">
        <f t="shared" si="12"/>
        <v>422 GT5</v>
      </c>
      <c r="AF166" s="14">
        <f>MID(AD166,FIND("(",AD166)+1,FIND(")",AD166)-FIND("(",AD166)-1)+59.1</f>
        <v>75.88</v>
      </c>
      <c r="AG166" s="1" t="str">
        <f t="shared" si="11"/>
        <v>Y</v>
      </c>
    </row>
    <row r="167" spans="1:33" x14ac:dyDescent="0.2">
      <c r="A167" s="1" t="s">
        <v>516</v>
      </c>
      <c r="B167" s="1" t="s">
        <v>517</v>
      </c>
      <c r="C167" s="1">
        <v>469</v>
      </c>
      <c r="D167" s="1">
        <v>4</v>
      </c>
      <c r="F167" s="1">
        <v>2023</v>
      </c>
      <c r="G167" s="1" t="s">
        <v>247</v>
      </c>
      <c r="H167" s="1">
        <v>608791</v>
      </c>
      <c r="I167" s="1">
        <v>8</v>
      </c>
      <c r="K167" s="1" t="s">
        <v>217</v>
      </c>
      <c r="L167" s="1" t="s">
        <v>518</v>
      </c>
      <c r="M167" s="1">
        <v>1</v>
      </c>
      <c r="N167" s="1" t="s">
        <v>39</v>
      </c>
      <c r="O167" s="1">
        <v>39.8078</v>
      </c>
      <c r="P167" s="1">
        <v>-104.9648</v>
      </c>
      <c r="Q167" s="1" t="s">
        <v>519</v>
      </c>
      <c r="R167" s="1" t="s">
        <v>41</v>
      </c>
      <c r="S167" s="1" t="s">
        <v>211</v>
      </c>
      <c r="T167" s="1" t="s">
        <v>43</v>
      </c>
      <c r="U167" s="1" t="s">
        <v>44</v>
      </c>
      <c r="X167" s="1" t="s">
        <v>213</v>
      </c>
      <c r="AA167" s="3">
        <v>25143</v>
      </c>
      <c r="AB167" s="1" t="s">
        <v>46</v>
      </c>
      <c r="AC167" s="5">
        <v>3520</v>
      </c>
      <c r="AD167" s="1" t="s">
        <v>520</v>
      </c>
      <c r="AE167" s="1" t="str">
        <f t="shared" si="12"/>
        <v>469 4</v>
      </c>
      <c r="AF167" s="5" t="str">
        <f>MID(AD167,FIND("(",AD167)+1,FIND(")",AD167)-FIND("(",AD167)-1)</f>
        <v>388</v>
      </c>
      <c r="AG167" s="1" t="str">
        <f t="shared" si="11"/>
        <v/>
      </c>
    </row>
    <row r="168" spans="1:33" x14ac:dyDescent="0.2">
      <c r="A168" s="1" t="s">
        <v>516</v>
      </c>
      <c r="B168" s="1" t="s">
        <v>517</v>
      </c>
      <c r="C168" s="1">
        <v>469</v>
      </c>
      <c r="D168" s="1">
        <v>5</v>
      </c>
      <c r="F168" s="1">
        <v>2023</v>
      </c>
      <c r="G168" s="1" t="s">
        <v>247</v>
      </c>
      <c r="H168" s="1">
        <v>608791</v>
      </c>
      <c r="I168" s="1">
        <v>8</v>
      </c>
      <c r="K168" s="1" t="s">
        <v>217</v>
      </c>
      <c r="L168" s="1" t="s">
        <v>518</v>
      </c>
      <c r="M168" s="1">
        <v>1</v>
      </c>
      <c r="N168" s="1" t="s">
        <v>39</v>
      </c>
      <c r="O168" s="1">
        <v>39.8078</v>
      </c>
      <c r="P168" s="1">
        <v>-104.9648</v>
      </c>
      <c r="Q168" s="1" t="s">
        <v>519</v>
      </c>
      <c r="R168" s="1" t="s">
        <v>41</v>
      </c>
      <c r="T168" s="1" t="s">
        <v>71</v>
      </c>
      <c r="U168" s="1" t="s">
        <v>44</v>
      </c>
      <c r="X168" s="1" t="s">
        <v>223</v>
      </c>
      <c r="AA168" s="3">
        <v>42142</v>
      </c>
      <c r="AB168" s="1" t="s">
        <v>46</v>
      </c>
      <c r="AC168" s="5">
        <v>2400</v>
      </c>
      <c r="AD168" s="1" t="s">
        <v>521</v>
      </c>
      <c r="AE168" s="1" t="str">
        <f t="shared" si="12"/>
        <v>469 5</v>
      </c>
      <c r="AF168" s="14">
        <f>MID(AD168,FIND("(",AD168)+1,FIND(")",AD168)-FIND("(",AD168)-1)+250/2</f>
        <v>300</v>
      </c>
      <c r="AG168" s="1" t="str">
        <f t="shared" si="11"/>
        <v>Y</v>
      </c>
    </row>
    <row r="169" spans="1:33" x14ac:dyDescent="0.2">
      <c r="A169" s="1" t="s">
        <v>516</v>
      </c>
      <c r="B169" s="1" t="s">
        <v>517</v>
      </c>
      <c r="C169" s="1">
        <v>469</v>
      </c>
      <c r="D169" s="1">
        <v>6</v>
      </c>
      <c r="F169" s="1">
        <v>2023</v>
      </c>
      <c r="G169" s="1" t="s">
        <v>247</v>
      </c>
      <c r="H169" s="1">
        <v>608791</v>
      </c>
      <c r="I169" s="1">
        <v>8</v>
      </c>
      <c r="K169" s="1" t="s">
        <v>217</v>
      </c>
      <c r="L169" s="1" t="s">
        <v>518</v>
      </c>
      <c r="M169" s="1">
        <v>1</v>
      </c>
      <c r="N169" s="1" t="s">
        <v>39</v>
      </c>
      <c r="O169" s="1">
        <v>39.8078</v>
      </c>
      <c r="P169" s="1">
        <v>-104.9648</v>
      </c>
      <c r="Q169" s="1" t="s">
        <v>519</v>
      </c>
      <c r="R169" s="1" t="s">
        <v>41</v>
      </c>
      <c r="T169" s="1" t="s">
        <v>71</v>
      </c>
      <c r="U169" s="1" t="s">
        <v>44</v>
      </c>
      <c r="X169" s="1" t="s">
        <v>223</v>
      </c>
      <c r="AA169" s="3">
        <v>42146</v>
      </c>
      <c r="AB169" s="1" t="s">
        <v>46</v>
      </c>
      <c r="AC169" s="5">
        <v>2400</v>
      </c>
      <c r="AD169" s="1" t="s">
        <v>522</v>
      </c>
      <c r="AE169" s="1" t="str">
        <f t="shared" si="12"/>
        <v>469 6</v>
      </c>
      <c r="AF169" s="14">
        <f>AF168</f>
        <v>300</v>
      </c>
      <c r="AG169" s="1" t="str">
        <f t="shared" si="11"/>
        <v>Y</v>
      </c>
    </row>
    <row r="170" spans="1:33" x14ac:dyDescent="0.2">
      <c r="A170" s="1" t="s">
        <v>516</v>
      </c>
      <c r="B170" s="1" t="s">
        <v>523</v>
      </c>
      <c r="C170" s="1">
        <v>470</v>
      </c>
      <c r="D170" s="1">
        <v>2</v>
      </c>
      <c r="F170" s="1">
        <v>2023</v>
      </c>
      <c r="G170" s="1" t="s">
        <v>236</v>
      </c>
      <c r="H170" s="1">
        <v>608791</v>
      </c>
      <c r="I170" s="1">
        <v>8</v>
      </c>
      <c r="J170" s="1" t="s">
        <v>237</v>
      </c>
      <c r="K170" s="1" t="s">
        <v>524</v>
      </c>
      <c r="L170" s="1" t="s">
        <v>525</v>
      </c>
      <c r="M170" s="1">
        <v>101</v>
      </c>
      <c r="N170" s="1" t="s">
        <v>39</v>
      </c>
      <c r="O170" s="1">
        <v>38.208100000000002</v>
      </c>
      <c r="P170" s="1">
        <v>-104.57470000000001</v>
      </c>
      <c r="Q170" s="1" t="s">
        <v>519</v>
      </c>
      <c r="R170" s="1" t="s">
        <v>41</v>
      </c>
      <c r="S170" s="1" t="s">
        <v>211</v>
      </c>
      <c r="T170" s="1" t="s">
        <v>89</v>
      </c>
      <c r="U170" s="1" t="s">
        <v>55</v>
      </c>
      <c r="V170" s="1" t="s">
        <v>284</v>
      </c>
      <c r="W170" s="1" t="s">
        <v>212</v>
      </c>
      <c r="X170" s="1" t="s">
        <v>289</v>
      </c>
      <c r="Y170" s="1" t="s">
        <v>232</v>
      </c>
      <c r="Z170" s="1" t="s">
        <v>214</v>
      </c>
      <c r="AA170" s="3">
        <v>27699</v>
      </c>
      <c r="AB170" s="1" t="s">
        <v>46</v>
      </c>
      <c r="AC170" s="5">
        <v>4350</v>
      </c>
      <c r="AD170" s="1" t="s">
        <v>526</v>
      </c>
      <c r="AE170" s="1" t="str">
        <f t="shared" si="12"/>
        <v>470 2</v>
      </c>
      <c r="AF170" s="5" t="str">
        <f t="shared" ref="AF170:AF179" si="14">MID(AD170,FIND("(",AD170)+1,FIND(")",AD170)-FIND("(",AD170)-1)</f>
        <v>370</v>
      </c>
      <c r="AG170" s="1" t="str">
        <f t="shared" si="11"/>
        <v/>
      </c>
    </row>
    <row r="171" spans="1:33" x14ac:dyDescent="0.2">
      <c r="A171" s="1" t="s">
        <v>516</v>
      </c>
      <c r="B171" s="1" t="s">
        <v>523</v>
      </c>
      <c r="C171" s="1">
        <v>470</v>
      </c>
      <c r="D171" s="1">
        <v>3</v>
      </c>
      <c r="F171" s="1">
        <v>2023</v>
      </c>
      <c r="G171" s="1" t="s">
        <v>236</v>
      </c>
      <c r="H171" s="1">
        <v>608791</v>
      </c>
      <c r="I171" s="1">
        <v>8</v>
      </c>
      <c r="J171" s="1" t="s">
        <v>237</v>
      </c>
      <c r="K171" s="1" t="s">
        <v>524</v>
      </c>
      <c r="L171" s="1" t="s">
        <v>525</v>
      </c>
      <c r="M171" s="1">
        <v>101</v>
      </c>
      <c r="N171" s="1" t="s">
        <v>39</v>
      </c>
      <c r="O171" s="1">
        <v>38.208100000000002</v>
      </c>
      <c r="P171" s="1">
        <v>-104.57470000000001</v>
      </c>
      <c r="Q171" s="1" t="s">
        <v>527</v>
      </c>
      <c r="R171" s="1" t="s">
        <v>41</v>
      </c>
      <c r="T171" s="1" t="s">
        <v>43</v>
      </c>
      <c r="U171" s="1" t="s">
        <v>55</v>
      </c>
      <c r="V171" s="1" t="s">
        <v>284</v>
      </c>
      <c r="W171" s="1" t="s">
        <v>212</v>
      </c>
      <c r="X171" s="1" t="s">
        <v>223</v>
      </c>
      <c r="Y171" s="1" t="s">
        <v>232</v>
      </c>
      <c r="Z171" s="1" t="s">
        <v>214</v>
      </c>
      <c r="AA171" s="3">
        <v>40189</v>
      </c>
      <c r="AB171" s="1" t="s">
        <v>46</v>
      </c>
      <c r="AC171" s="5">
        <v>9050</v>
      </c>
      <c r="AD171" s="1" t="s">
        <v>528</v>
      </c>
      <c r="AE171" s="1" t="str">
        <f t="shared" si="12"/>
        <v>470 3</v>
      </c>
      <c r="AF171" s="5" t="str">
        <f t="shared" si="14"/>
        <v>750</v>
      </c>
      <c r="AG171" s="1" t="str">
        <f t="shared" si="11"/>
        <v>Y</v>
      </c>
    </row>
    <row r="172" spans="1:33" x14ac:dyDescent="0.2">
      <c r="A172" s="1" t="s">
        <v>516</v>
      </c>
      <c r="B172" s="1" t="s">
        <v>529</v>
      </c>
      <c r="C172" s="1">
        <v>492</v>
      </c>
      <c r="D172" s="1" t="s">
        <v>530</v>
      </c>
      <c r="F172" s="1">
        <v>2023</v>
      </c>
      <c r="G172" s="1" t="s">
        <v>247</v>
      </c>
      <c r="H172" s="1">
        <v>610356</v>
      </c>
      <c r="I172" s="1">
        <v>8</v>
      </c>
      <c r="K172" s="1" t="s">
        <v>531</v>
      </c>
      <c r="L172" s="1" t="s">
        <v>532</v>
      </c>
      <c r="M172" s="1">
        <v>41</v>
      </c>
      <c r="N172" s="1" t="s">
        <v>39</v>
      </c>
      <c r="O172" s="1">
        <v>38.824399999999997</v>
      </c>
      <c r="P172" s="1">
        <v>-104.8331</v>
      </c>
      <c r="Q172" s="1" t="s">
        <v>533</v>
      </c>
      <c r="R172" s="1" t="s">
        <v>41</v>
      </c>
      <c r="T172" s="1" t="s">
        <v>534</v>
      </c>
      <c r="U172" s="1" t="s">
        <v>44</v>
      </c>
      <c r="V172" s="1" t="s">
        <v>94</v>
      </c>
      <c r="X172" s="12" t="s">
        <v>140</v>
      </c>
      <c r="AA172" s="3">
        <v>44995</v>
      </c>
      <c r="AB172" s="1" t="s">
        <v>535</v>
      </c>
      <c r="AC172" s="5">
        <v>298.7</v>
      </c>
      <c r="AD172" s="1" t="s">
        <v>536</v>
      </c>
      <c r="AE172" s="1" t="str">
        <f t="shared" si="12"/>
        <v>492 A1</v>
      </c>
      <c r="AF172" s="5" t="str">
        <f t="shared" si="14"/>
        <v>40.63</v>
      </c>
      <c r="AG172" s="1" t="str">
        <f t="shared" si="11"/>
        <v/>
      </c>
    </row>
    <row r="173" spans="1:33" x14ac:dyDescent="0.2">
      <c r="A173" s="1" t="s">
        <v>516</v>
      </c>
      <c r="B173" s="1" t="s">
        <v>529</v>
      </c>
      <c r="C173" s="1">
        <v>492</v>
      </c>
      <c r="D173" s="1" t="s">
        <v>537</v>
      </c>
      <c r="F173" s="1">
        <v>2023</v>
      </c>
      <c r="G173" s="1" t="s">
        <v>247</v>
      </c>
      <c r="H173" s="1">
        <v>610356</v>
      </c>
      <c r="I173" s="1">
        <v>8</v>
      </c>
      <c r="K173" s="1" t="s">
        <v>531</v>
      </c>
      <c r="L173" s="1" t="s">
        <v>532</v>
      </c>
      <c r="M173" s="1">
        <v>41</v>
      </c>
      <c r="N173" s="1" t="s">
        <v>39</v>
      </c>
      <c r="O173" s="1">
        <v>38.824399999999997</v>
      </c>
      <c r="P173" s="1">
        <v>-104.8331</v>
      </c>
      <c r="Q173" s="1" t="s">
        <v>533</v>
      </c>
      <c r="R173" s="1" t="s">
        <v>41</v>
      </c>
      <c r="T173" s="1" t="s">
        <v>538</v>
      </c>
      <c r="U173" s="1" t="s">
        <v>44</v>
      </c>
      <c r="V173" s="1" t="s">
        <v>94</v>
      </c>
      <c r="X173" s="12" t="s">
        <v>140</v>
      </c>
      <c r="AA173" s="3">
        <v>44995</v>
      </c>
      <c r="AB173" s="1" t="s">
        <v>539</v>
      </c>
      <c r="AC173" s="5">
        <v>298.7</v>
      </c>
      <c r="AD173" s="1" t="s">
        <v>540</v>
      </c>
      <c r="AE173" s="1" t="str">
        <f t="shared" si="12"/>
        <v>492 A2</v>
      </c>
      <c r="AF173" s="5" t="str">
        <f t="shared" si="14"/>
        <v>40.63</v>
      </c>
      <c r="AG173" s="1" t="str">
        <f t="shared" si="11"/>
        <v/>
      </c>
    </row>
    <row r="174" spans="1:33" x14ac:dyDescent="0.2">
      <c r="A174" s="1" t="s">
        <v>516</v>
      </c>
      <c r="B174" s="1" t="s">
        <v>529</v>
      </c>
      <c r="C174" s="1">
        <v>492</v>
      </c>
      <c r="D174" s="1" t="s">
        <v>541</v>
      </c>
      <c r="F174" s="1">
        <v>2023</v>
      </c>
      <c r="G174" s="1" t="s">
        <v>247</v>
      </c>
      <c r="H174" s="1">
        <v>610356</v>
      </c>
      <c r="I174" s="1">
        <v>8</v>
      </c>
      <c r="K174" s="1" t="s">
        <v>531</v>
      </c>
      <c r="L174" s="1" t="s">
        <v>532</v>
      </c>
      <c r="M174" s="1">
        <v>41</v>
      </c>
      <c r="N174" s="1" t="s">
        <v>39</v>
      </c>
      <c r="O174" s="1">
        <v>38.824399999999997</v>
      </c>
      <c r="P174" s="1">
        <v>-104.8331</v>
      </c>
      <c r="Q174" s="1" t="s">
        <v>533</v>
      </c>
      <c r="R174" s="1" t="s">
        <v>41</v>
      </c>
      <c r="T174" s="1" t="s">
        <v>542</v>
      </c>
      <c r="U174" s="1" t="s">
        <v>44</v>
      </c>
      <c r="V174" s="1" t="s">
        <v>94</v>
      </c>
      <c r="X174" s="12" t="s">
        <v>140</v>
      </c>
      <c r="AA174" s="3">
        <v>45005</v>
      </c>
      <c r="AB174" s="1" t="s">
        <v>543</v>
      </c>
      <c r="AC174" s="5">
        <v>298.7</v>
      </c>
      <c r="AD174" s="1" t="s">
        <v>544</v>
      </c>
      <c r="AE174" s="1" t="str">
        <f t="shared" si="12"/>
        <v>492 A3</v>
      </c>
      <c r="AF174" s="5" t="str">
        <f t="shared" si="14"/>
        <v>40.63</v>
      </c>
      <c r="AG174" s="1" t="str">
        <f t="shared" si="11"/>
        <v/>
      </c>
    </row>
    <row r="175" spans="1:33" x14ac:dyDescent="0.2">
      <c r="A175" s="1" t="s">
        <v>516</v>
      </c>
      <c r="B175" s="1" t="s">
        <v>529</v>
      </c>
      <c r="C175" s="1">
        <v>492</v>
      </c>
      <c r="D175" s="1" t="s">
        <v>545</v>
      </c>
      <c r="F175" s="1">
        <v>2023</v>
      </c>
      <c r="G175" s="1" t="s">
        <v>247</v>
      </c>
      <c r="H175" s="1">
        <v>610356</v>
      </c>
      <c r="I175" s="1">
        <v>8</v>
      </c>
      <c r="K175" s="1" t="s">
        <v>531</v>
      </c>
      <c r="L175" s="1" t="s">
        <v>532</v>
      </c>
      <c r="M175" s="1">
        <v>41</v>
      </c>
      <c r="N175" s="1" t="s">
        <v>39</v>
      </c>
      <c r="O175" s="1">
        <v>38.824399999999997</v>
      </c>
      <c r="P175" s="1">
        <v>-104.8331</v>
      </c>
      <c r="Q175" s="1" t="s">
        <v>533</v>
      </c>
      <c r="R175" s="1" t="s">
        <v>41</v>
      </c>
      <c r="T175" s="1" t="s">
        <v>546</v>
      </c>
      <c r="U175" s="1" t="s">
        <v>44</v>
      </c>
      <c r="V175" s="1" t="s">
        <v>94</v>
      </c>
      <c r="X175" s="12" t="s">
        <v>140</v>
      </c>
      <c r="AA175" s="3">
        <v>45015</v>
      </c>
      <c r="AB175" s="1" t="s">
        <v>547</v>
      </c>
      <c r="AC175" s="5">
        <v>298.7</v>
      </c>
      <c r="AD175" s="1" t="s">
        <v>548</v>
      </c>
      <c r="AE175" s="1" t="str">
        <f t="shared" si="12"/>
        <v>492 A4</v>
      </c>
      <c r="AF175" s="5" t="str">
        <f t="shared" si="14"/>
        <v>40.63</v>
      </c>
      <c r="AG175" s="1" t="str">
        <f t="shared" si="11"/>
        <v/>
      </c>
    </row>
    <row r="176" spans="1:33" x14ac:dyDescent="0.2">
      <c r="A176" s="1" t="s">
        <v>516</v>
      </c>
      <c r="B176" s="1" t="s">
        <v>529</v>
      </c>
      <c r="C176" s="1">
        <v>492</v>
      </c>
      <c r="D176" s="1" t="s">
        <v>549</v>
      </c>
      <c r="F176" s="1">
        <v>2023</v>
      </c>
      <c r="G176" s="1" t="s">
        <v>247</v>
      </c>
      <c r="H176" s="1">
        <v>610356</v>
      </c>
      <c r="I176" s="1">
        <v>8</v>
      </c>
      <c r="K176" s="1" t="s">
        <v>531</v>
      </c>
      <c r="L176" s="1" t="s">
        <v>532</v>
      </c>
      <c r="M176" s="1">
        <v>41</v>
      </c>
      <c r="N176" s="1" t="s">
        <v>39</v>
      </c>
      <c r="O176" s="1">
        <v>38.824399999999997</v>
      </c>
      <c r="P176" s="1">
        <v>-104.8331</v>
      </c>
      <c r="Q176" s="1" t="s">
        <v>533</v>
      </c>
      <c r="R176" s="1" t="s">
        <v>41</v>
      </c>
      <c r="T176" s="1" t="s">
        <v>550</v>
      </c>
      <c r="U176" s="1" t="s">
        <v>44</v>
      </c>
      <c r="V176" s="1" t="s">
        <v>94</v>
      </c>
      <c r="X176" s="12" t="s">
        <v>140</v>
      </c>
      <c r="AA176" s="3">
        <v>45014</v>
      </c>
      <c r="AB176" s="1" t="s">
        <v>551</v>
      </c>
      <c r="AC176" s="5">
        <v>298.7</v>
      </c>
      <c r="AD176" s="1" t="s">
        <v>552</v>
      </c>
      <c r="AE176" s="1" t="str">
        <f t="shared" si="12"/>
        <v>492 A5</v>
      </c>
      <c r="AF176" s="5" t="str">
        <f t="shared" si="14"/>
        <v>40.63</v>
      </c>
      <c r="AG176" s="1" t="str">
        <f t="shared" si="11"/>
        <v/>
      </c>
    </row>
    <row r="177" spans="1:33" x14ac:dyDescent="0.2">
      <c r="A177" s="1" t="s">
        <v>516</v>
      </c>
      <c r="B177" s="1" t="s">
        <v>529</v>
      </c>
      <c r="C177" s="1">
        <v>492</v>
      </c>
      <c r="D177" s="1" t="s">
        <v>553</v>
      </c>
      <c r="F177" s="1">
        <v>2023</v>
      </c>
      <c r="G177" s="1" t="s">
        <v>247</v>
      </c>
      <c r="H177" s="1">
        <v>610356</v>
      </c>
      <c r="I177" s="1">
        <v>8</v>
      </c>
      <c r="K177" s="1" t="s">
        <v>531</v>
      </c>
      <c r="L177" s="1" t="s">
        <v>532</v>
      </c>
      <c r="M177" s="1">
        <v>41</v>
      </c>
      <c r="N177" s="1" t="s">
        <v>39</v>
      </c>
      <c r="O177" s="1">
        <v>38.824399999999997</v>
      </c>
      <c r="P177" s="1">
        <v>-104.8331</v>
      </c>
      <c r="Q177" s="1" t="s">
        <v>533</v>
      </c>
      <c r="R177" s="1" t="s">
        <v>41</v>
      </c>
      <c r="T177" s="1" t="s">
        <v>554</v>
      </c>
      <c r="U177" s="1" t="s">
        <v>44</v>
      </c>
      <c r="V177" s="1" t="s">
        <v>94</v>
      </c>
      <c r="X177" s="12" t="s">
        <v>140</v>
      </c>
      <c r="AA177" s="3">
        <v>45050</v>
      </c>
      <c r="AB177" s="1" t="s">
        <v>555</v>
      </c>
      <c r="AC177" s="5">
        <v>298.7</v>
      </c>
      <c r="AD177" s="1" t="s">
        <v>556</v>
      </c>
      <c r="AE177" s="1" t="str">
        <f t="shared" si="12"/>
        <v>492 A6</v>
      </c>
      <c r="AF177" s="5" t="str">
        <f t="shared" si="14"/>
        <v>40.63</v>
      </c>
      <c r="AG177" s="1" t="str">
        <f t="shared" si="11"/>
        <v/>
      </c>
    </row>
    <row r="178" spans="1:33" x14ac:dyDescent="0.2">
      <c r="A178" s="1" t="s">
        <v>516</v>
      </c>
      <c r="B178" s="1" t="s">
        <v>557</v>
      </c>
      <c r="C178" s="1">
        <v>525</v>
      </c>
      <c r="D178" s="1" t="s">
        <v>558</v>
      </c>
      <c r="F178" s="1">
        <v>2023</v>
      </c>
      <c r="G178" s="1" t="s">
        <v>236</v>
      </c>
      <c r="H178" s="1">
        <v>608791</v>
      </c>
      <c r="I178" s="1">
        <v>8</v>
      </c>
      <c r="K178" s="1" t="s">
        <v>559</v>
      </c>
      <c r="L178" s="1" t="s">
        <v>560</v>
      </c>
      <c r="M178" s="1">
        <v>107</v>
      </c>
      <c r="N178" s="1" t="s">
        <v>39</v>
      </c>
      <c r="O178" s="1">
        <v>40.485599999999998</v>
      </c>
      <c r="P178" s="1">
        <v>-107.185</v>
      </c>
      <c r="Q178" s="1" t="s">
        <v>561</v>
      </c>
      <c r="R178" s="1" t="s">
        <v>41</v>
      </c>
      <c r="S178" s="1" t="s">
        <v>42</v>
      </c>
      <c r="T178" s="1" t="s">
        <v>89</v>
      </c>
      <c r="U178" s="1" t="s">
        <v>55</v>
      </c>
      <c r="V178" s="1" t="s">
        <v>562</v>
      </c>
      <c r="W178" s="1" t="s">
        <v>212</v>
      </c>
      <c r="X178" s="1" t="s">
        <v>563</v>
      </c>
      <c r="Y178" s="1" t="s">
        <v>232</v>
      </c>
      <c r="AA178" s="3">
        <v>23924</v>
      </c>
      <c r="AB178" s="1" t="s">
        <v>46</v>
      </c>
      <c r="AC178" s="5">
        <v>2680</v>
      </c>
      <c r="AD178" s="1" t="s">
        <v>564</v>
      </c>
      <c r="AE178" s="1" t="str">
        <f t="shared" si="12"/>
        <v>525 H1</v>
      </c>
      <c r="AF178" s="5" t="str">
        <f t="shared" si="14"/>
        <v>190</v>
      </c>
      <c r="AG178" s="1" t="str">
        <f t="shared" si="11"/>
        <v>Y</v>
      </c>
    </row>
    <row r="179" spans="1:33" x14ac:dyDescent="0.2">
      <c r="A179" s="1" t="s">
        <v>516</v>
      </c>
      <c r="B179" s="1" t="s">
        <v>557</v>
      </c>
      <c r="C179" s="1">
        <v>525</v>
      </c>
      <c r="D179" s="1" t="s">
        <v>565</v>
      </c>
      <c r="F179" s="1">
        <v>2023</v>
      </c>
      <c r="G179" s="1" t="s">
        <v>236</v>
      </c>
      <c r="H179" s="1">
        <v>608791</v>
      </c>
      <c r="I179" s="1">
        <v>8</v>
      </c>
      <c r="K179" s="1" t="s">
        <v>559</v>
      </c>
      <c r="L179" s="1" t="s">
        <v>560</v>
      </c>
      <c r="M179" s="1">
        <v>107</v>
      </c>
      <c r="N179" s="1" t="s">
        <v>39</v>
      </c>
      <c r="O179" s="1">
        <v>40.485599999999998</v>
      </c>
      <c r="P179" s="1">
        <v>-107.185</v>
      </c>
      <c r="Q179" s="1" t="s">
        <v>566</v>
      </c>
      <c r="R179" s="1" t="s">
        <v>41</v>
      </c>
      <c r="S179" s="1" t="s">
        <v>42</v>
      </c>
      <c r="T179" s="1" t="s">
        <v>43</v>
      </c>
      <c r="U179" s="1" t="s">
        <v>55</v>
      </c>
      <c r="V179" s="1" t="s">
        <v>94</v>
      </c>
      <c r="W179" s="1" t="s">
        <v>212</v>
      </c>
      <c r="X179" s="1" t="s">
        <v>301</v>
      </c>
      <c r="Y179" s="1" t="s">
        <v>232</v>
      </c>
      <c r="AA179" s="3">
        <v>28004</v>
      </c>
      <c r="AB179" s="1" t="s">
        <v>46</v>
      </c>
      <c r="AC179" s="5">
        <v>3060</v>
      </c>
      <c r="AD179" s="1" t="s">
        <v>567</v>
      </c>
      <c r="AE179" s="1" t="str">
        <f t="shared" si="12"/>
        <v>525 H2</v>
      </c>
      <c r="AF179" s="5" t="str">
        <f t="shared" si="14"/>
        <v>275.4</v>
      </c>
      <c r="AG179" s="1" t="str">
        <f t="shared" si="11"/>
        <v>Y</v>
      </c>
    </row>
    <row r="180" spans="1:33" x14ac:dyDescent="0.2">
      <c r="A180" s="1" t="s">
        <v>32</v>
      </c>
      <c r="B180" s="1" t="s">
        <v>568</v>
      </c>
      <c r="C180" s="1">
        <v>533</v>
      </c>
      <c r="D180" s="1" t="s">
        <v>569</v>
      </c>
      <c r="F180" s="1">
        <v>2023</v>
      </c>
      <c r="G180" s="1" t="s">
        <v>35</v>
      </c>
      <c r="H180" s="1">
        <v>609045</v>
      </c>
      <c r="I180" s="1">
        <v>4</v>
      </c>
      <c r="K180" s="1" t="s">
        <v>570</v>
      </c>
      <c r="L180" s="1" t="s">
        <v>571</v>
      </c>
      <c r="M180" s="1">
        <v>39</v>
      </c>
      <c r="N180" s="1" t="s">
        <v>39</v>
      </c>
      <c r="O180" s="1">
        <v>31.400099999999998</v>
      </c>
      <c r="P180" s="1">
        <v>-86.476699999999994</v>
      </c>
      <c r="Q180" s="1" t="s">
        <v>198</v>
      </c>
      <c r="R180" s="1" t="s">
        <v>41</v>
      </c>
      <c r="T180" s="1" t="s">
        <v>71</v>
      </c>
      <c r="U180" s="1" t="s">
        <v>44</v>
      </c>
      <c r="V180" s="1" t="s">
        <v>94</v>
      </c>
      <c r="X180" s="1" t="s">
        <v>183</v>
      </c>
      <c r="AA180" s="3">
        <v>35278</v>
      </c>
      <c r="AB180" s="1" t="s">
        <v>46</v>
      </c>
      <c r="AC180" s="5">
        <v>1380</v>
      </c>
      <c r="AD180" s="1" t="s">
        <v>572</v>
      </c>
      <c r="AE180" s="1" t="str">
        <f t="shared" si="12"/>
        <v>533 **4</v>
      </c>
      <c r="AF180" s="14">
        <f>MID(AD180,FIND("(",AD180)+1,FIND(")",AD180)-FIND("(",AD180)-1)+25+7.5+106</f>
        <v>146</v>
      </c>
      <c r="AG180" s="1" t="str">
        <f t="shared" si="11"/>
        <v/>
      </c>
    </row>
    <row r="181" spans="1:33" x14ac:dyDescent="0.2">
      <c r="A181" s="1" t="s">
        <v>32</v>
      </c>
      <c r="B181" s="1" t="s">
        <v>568</v>
      </c>
      <c r="C181" s="1">
        <v>533</v>
      </c>
      <c r="D181" s="1" t="s">
        <v>573</v>
      </c>
      <c r="F181" s="1">
        <v>2023</v>
      </c>
      <c r="G181" s="1" t="s">
        <v>35</v>
      </c>
      <c r="H181" s="1">
        <v>609045</v>
      </c>
      <c r="I181" s="1">
        <v>4</v>
      </c>
      <c r="K181" s="1" t="s">
        <v>570</v>
      </c>
      <c r="L181" s="1" t="s">
        <v>571</v>
      </c>
      <c r="M181" s="1">
        <v>39</v>
      </c>
      <c r="N181" s="1" t="s">
        <v>39</v>
      </c>
      <c r="O181" s="1">
        <v>31.400099999999998</v>
      </c>
      <c r="P181" s="1">
        <v>-86.476699999999994</v>
      </c>
      <c r="Q181" s="1" t="s">
        <v>198</v>
      </c>
      <c r="R181" s="1" t="s">
        <v>41</v>
      </c>
      <c r="T181" s="1" t="s">
        <v>71</v>
      </c>
      <c r="U181" s="1" t="s">
        <v>44</v>
      </c>
      <c r="X181" s="1" t="s">
        <v>64</v>
      </c>
      <c r="AA181" s="3">
        <v>37098</v>
      </c>
      <c r="AB181" s="1" t="s">
        <v>46</v>
      </c>
      <c r="AC181" s="5">
        <v>2100</v>
      </c>
      <c r="AD181" s="1" t="s">
        <v>574</v>
      </c>
      <c r="AE181" s="1" t="str">
        <f t="shared" si="12"/>
        <v>533 **V1</v>
      </c>
      <c r="AF181" s="14">
        <f>AF182</f>
        <v>254.5</v>
      </c>
      <c r="AG181" s="1" t="str">
        <f t="shared" si="11"/>
        <v>Y</v>
      </c>
    </row>
    <row r="182" spans="1:33" x14ac:dyDescent="0.2">
      <c r="A182" s="1" t="s">
        <v>32</v>
      </c>
      <c r="B182" s="1" t="s">
        <v>568</v>
      </c>
      <c r="C182" s="1">
        <v>533</v>
      </c>
      <c r="D182" s="1" t="s">
        <v>575</v>
      </c>
      <c r="F182" s="1">
        <v>2023</v>
      </c>
      <c r="G182" s="1" t="s">
        <v>35</v>
      </c>
      <c r="H182" s="1">
        <v>609045</v>
      </c>
      <c r="I182" s="1">
        <v>4</v>
      </c>
      <c r="K182" s="1" t="s">
        <v>570</v>
      </c>
      <c r="L182" s="1" t="s">
        <v>571</v>
      </c>
      <c r="M182" s="1">
        <v>39</v>
      </c>
      <c r="N182" s="1" t="s">
        <v>39</v>
      </c>
      <c r="O182" s="1">
        <v>31.400099999999998</v>
      </c>
      <c r="P182" s="1">
        <v>-86.476699999999994</v>
      </c>
      <c r="Q182" s="1" t="s">
        <v>198</v>
      </c>
      <c r="R182" s="1" t="s">
        <v>41</v>
      </c>
      <c r="T182" s="1" t="s">
        <v>71</v>
      </c>
      <c r="U182" s="1" t="s">
        <v>44</v>
      </c>
      <c r="X182" s="1" t="s">
        <v>64</v>
      </c>
      <c r="AA182" s="3">
        <v>37113</v>
      </c>
      <c r="AB182" s="1" t="s">
        <v>46</v>
      </c>
      <c r="AC182" s="5">
        <v>2100</v>
      </c>
      <c r="AD182" s="1" t="s">
        <v>576</v>
      </c>
      <c r="AE182" s="1" t="str">
        <f t="shared" si="12"/>
        <v>533 **V2</v>
      </c>
      <c r="AF182" s="14">
        <f>MID(AD182,FIND("(",AD182)+1,FIND(")",AD182)-FIND("(",AD182)-1)+177/2</f>
        <v>254.5</v>
      </c>
      <c r="AG182" s="1" t="str">
        <f t="shared" si="11"/>
        <v>Y</v>
      </c>
    </row>
    <row r="183" spans="1:33" x14ac:dyDescent="0.2">
      <c r="A183" s="1" t="s">
        <v>577</v>
      </c>
      <c r="B183" s="1" t="s">
        <v>578</v>
      </c>
      <c r="C183" s="1">
        <v>544</v>
      </c>
      <c r="D183" s="1">
        <v>11</v>
      </c>
      <c r="F183" s="1">
        <v>2023</v>
      </c>
      <c r="G183" s="1" t="s">
        <v>579</v>
      </c>
      <c r="H183" s="1">
        <v>601740</v>
      </c>
      <c r="I183" s="1">
        <v>1</v>
      </c>
      <c r="J183" s="1" t="s">
        <v>580</v>
      </c>
      <c r="K183" s="1" t="s">
        <v>581</v>
      </c>
      <c r="L183" s="1" t="s">
        <v>582</v>
      </c>
      <c r="M183" s="1">
        <v>9</v>
      </c>
      <c r="N183" s="1" t="s">
        <v>39</v>
      </c>
      <c r="O183" s="1">
        <v>41.208300000000001</v>
      </c>
      <c r="P183" s="1">
        <v>-73.109200000000001</v>
      </c>
      <c r="Q183" s="1" t="s">
        <v>583</v>
      </c>
      <c r="R183" s="1" t="s">
        <v>41</v>
      </c>
      <c r="T183" s="1" t="s">
        <v>93</v>
      </c>
      <c r="U183" s="1" t="s">
        <v>44</v>
      </c>
      <c r="V183" s="1" t="s">
        <v>94</v>
      </c>
      <c r="X183" s="1" t="s">
        <v>95</v>
      </c>
      <c r="AA183" s="3">
        <v>35247</v>
      </c>
      <c r="AB183" s="1" t="s">
        <v>46</v>
      </c>
      <c r="AC183" s="5">
        <v>400</v>
      </c>
      <c r="AD183" s="1" t="s">
        <v>584</v>
      </c>
      <c r="AE183" s="1" t="str">
        <f t="shared" si="12"/>
        <v>544 11</v>
      </c>
      <c r="AF183" s="5" t="str">
        <f t="shared" ref="AF183:AF209" si="15">MID(AD183,FIND("(",AD183)+1,FIND(")",AD183)-FIND("(",AD183)-1)</f>
        <v>43</v>
      </c>
      <c r="AG183" s="1" t="str">
        <f t="shared" si="11"/>
        <v/>
      </c>
    </row>
    <row r="184" spans="1:33" x14ac:dyDescent="0.2">
      <c r="A184" s="1" t="s">
        <v>577</v>
      </c>
      <c r="B184" s="1" t="s">
        <v>578</v>
      </c>
      <c r="C184" s="1">
        <v>544</v>
      </c>
      <c r="D184" s="1">
        <v>12</v>
      </c>
      <c r="F184" s="1">
        <v>2023</v>
      </c>
      <c r="G184" s="1" t="s">
        <v>579</v>
      </c>
      <c r="H184" s="1">
        <v>601740</v>
      </c>
      <c r="I184" s="1">
        <v>1</v>
      </c>
      <c r="J184" s="1" t="s">
        <v>580</v>
      </c>
      <c r="K184" s="1" t="s">
        <v>581</v>
      </c>
      <c r="L184" s="1" t="s">
        <v>582</v>
      </c>
      <c r="M184" s="1">
        <v>9</v>
      </c>
      <c r="N184" s="1" t="s">
        <v>39</v>
      </c>
      <c r="O184" s="1">
        <v>41.208300000000001</v>
      </c>
      <c r="P184" s="1">
        <v>-73.109200000000001</v>
      </c>
      <c r="Q184" s="1" t="s">
        <v>583</v>
      </c>
      <c r="R184" s="1" t="s">
        <v>41</v>
      </c>
      <c r="T184" s="1" t="s">
        <v>93</v>
      </c>
      <c r="U184" s="1" t="s">
        <v>44</v>
      </c>
      <c r="V184" s="1" t="s">
        <v>94</v>
      </c>
      <c r="X184" s="1" t="s">
        <v>95</v>
      </c>
      <c r="AA184" s="3">
        <v>35247</v>
      </c>
      <c r="AB184" s="1" t="s">
        <v>46</v>
      </c>
      <c r="AC184" s="5">
        <v>400</v>
      </c>
      <c r="AD184" s="1" t="s">
        <v>585</v>
      </c>
      <c r="AE184" s="1" t="str">
        <f t="shared" si="12"/>
        <v>544 12</v>
      </c>
      <c r="AF184" s="5" t="str">
        <f t="shared" si="15"/>
        <v>43</v>
      </c>
      <c r="AG184" s="1" t="str">
        <f t="shared" si="11"/>
        <v/>
      </c>
    </row>
    <row r="185" spans="1:33" x14ac:dyDescent="0.2">
      <c r="A185" s="1" t="s">
        <v>577</v>
      </c>
      <c r="B185" s="1" t="s">
        <v>578</v>
      </c>
      <c r="C185" s="1">
        <v>544</v>
      </c>
      <c r="D185" s="1">
        <v>13</v>
      </c>
      <c r="F185" s="1">
        <v>2023</v>
      </c>
      <c r="G185" s="1" t="s">
        <v>579</v>
      </c>
      <c r="H185" s="1">
        <v>601740</v>
      </c>
      <c r="I185" s="1">
        <v>1</v>
      </c>
      <c r="J185" s="1" t="s">
        <v>580</v>
      </c>
      <c r="K185" s="1" t="s">
        <v>581</v>
      </c>
      <c r="L185" s="1" t="s">
        <v>582</v>
      </c>
      <c r="M185" s="1">
        <v>9</v>
      </c>
      <c r="N185" s="1" t="s">
        <v>39</v>
      </c>
      <c r="O185" s="1">
        <v>41.208300000000001</v>
      </c>
      <c r="P185" s="1">
        <v>-73.109200000000001</v>
      </c>
      <c r="Q185" s="1" t="s">
        <v>583</v>
      </c>
      <c r="R185" s="1" t="s">
        <v>41</v>
      </c>
      <c r="T185" s="1" t="s">
        <v>93</v>
      </c>
      <c r="U185" s="1" t="s">
        <v>44</v>
      </c>
      <c r="V185" s="1" t="s">
        <v>94</v>
      </c>
      <c r="X185" s="1" t="s">
        <v>95</v>
      </c>
      <c r="AA185" s="3">
        <v>35247</v>
      </c>
      <c r="AB185" s="1" t="s">
        <v>46</v>
      </c>
      <c r="AC185" s="5">
        <v>400</v>
      </c>
      <c r="AD185" s="1" t="s">
        <v>586</v>
      </c>
      <c r="AE185" s="1" t="str">
        <f t="shared" si="12"/>
        <v>544 13</v>
      </c>
      <c r="AF185" s="5" t="str">
        <f t="shared" si="15"/>
        <v>43</v>
      </c>
      <c r="AG185" s="1" t="str">
        <f t="shared" si="11"/>
        <v/>
      </c>
    </row>
    <row r="186" spans="1:33" x14ac:dyDescent="0.2">
      <c r="A186" s="1" t="s">
        <v>577</v>
      </c>
      <c r="B186" s="1" t="s">
        <v>578</v>
      </c>
      <c r="C186" s="1">
        <v>544</v>
      </c>
      <c r="D186" s="1">
        <v>14</v>
      </c>
      <c r="F186" s="1">
        <v>2023</v>
      </c>
      <c r="G186" s="1" t="s">
        <v>579</v>
      </c>
      <c r="H186" s="1">
        <v>601740</v>
      </c>
      <c r="I186" s="1">
        <v>1</v>
      </c>
      <c r="J186" s="1" t="s">
        <v>580</v>
      </c>
      <c r="K186" s="1" t="s">
        <v>581</v>
      </c>
      <c r="L186" s="1" t="s">
        <v>582</v>
      </c>
      <c r="M186" s="1">
        <v>9</v>
      </c>
      <c r="N186" s="1" t="s">
        <v>39</v>
      </c>
      <c r="O186" s="1">
        <v>41.208300000000001</v>
      </c>
      <c r="P186" s="1">
        <v>-73.109200000000001</v>
      </c>
      <c r="Q186" s="1" t="s">
        <v>583</v>
      </c>
      <c r="R186" s="1" t="s">
        <v>41</v>
      </c>
      <c r="T186" s="1" t="s">
        <v>93</v>
      </c>
      <c r="U186" s="1" t="s">
        <v>44</v>
      </c>
      <c r="V186" s="1" t="s">
        <v>94</v>
      </c>
      <c r="X186" s="1" t="s">
        <v>95</v>
      </c>
      <c r="AA186" s="3">
        <v>35247</v>
      </c>
      <c r="AB186" s="1" t="s">
        <v>46</v>
      </c>
      <c r="AC186" s="5">
        <v>400</v>
      </c>
      <c r="AD186" s="1" t="s">
        <v>587</v>
      </c>
      <c r="AE186" s="1" t="str">
        <f t="shared" si="12"/>
        <v>544 14</v>
      </c>
      <c r="AF186" s="5" t="str">
        <f t="shared" si="15"/>
        <v>43</v>
      </c>
      <c r="AG186" s="1" t="str">
        <f t="shared" si="11"/>
        <v/>
      </c>
    </row>
    <row r="187" spans="1:33" x14ac:dyDescent="0.2">
      <c r="A187" s="1" t="s">
        <v>577</v>
      </c>
      <c r="B187" s="1" t="s">
        <v>578</v>
      </c>
      <c r="C187" s="1">
        <v>544</v>
      </c>
      <c r="D187" s="1">
        <v>15</v>
      </c>
      <c r="F187" s="1">
        <v>2023</v>
      </c>
      <c r="G187" s="1" t="s">
        <v>579</v>
      </c>
      <c r="H187" s="1">
        <v>601740</v>
      </c>
      <c r="I187" s="1">
        <v>1</v>
      </c>
      <c r="J187" s="1" t="s">
        <v>580</v>
      </c>
      <c r="K187" s="1" t="s">
        <v>581</v>
      </c>
      <c r="L187" s="1" t="s">
        <v>582</v>
      </c>
      <c r="M187" s="1">
        <v>9</v>
      </c>
      <c r="N187" s="1" t="s">
        <v>39</v>
      </c>
      <c r="O187" s="1">
        <v>41.208300000000001</v>
      </c>
      <c r="P187" s="1">
        <v>-73.109200000000001</v>
      </c>
      <c r="Q187" s="1" t="s">
        <v>588</v>
      </c>
      <c r="R187" s="1" t="s">
        <v>41</v>
      </c>
      <c r="T187" s="1" t="s">
        <v>93</v>
      </c>
      <c r="U187" s="1" t="s">
        <v>94</v>
      </c>
      <c r="V187" s="1" t="s">
        <v>44</v>
      </c>
      <c r="X187" s="1" t="s">
        <v>176</v>
      </c>
      <c r="AA187" s="3">
        <v>40369</v>
      </c>
      <c r="AB187" s="1" t="s">
        <v>46</v>
      </c>
      <c r="AC187" s="5">
        <v>498</v>
      </c>
      <c r="AD187" s="1" t="s">
        <v>589</v>
      </c>
      <c r="AE187" s="1" t="str">
        <f t="shared" si="12"/>
        <v>544 15</v>
      </c>
      <c r="AF187" s="5" t="str">
        <f t="shared" si="15"/>
        <v>50</v>
      </c>
      <c r="AG187" s="1" t="str">
        <f t="shared" si="11"/>
        <v>Y</v>
      </c>
    </row>
    <row r="188" spans="1:33" x14ac:dyDescent="0.2">
      <c r="A188" s="1" t="s">
        <v>577</v>
      </c>
      <c r="B188" s="1" t="s">
        <v>578</v>
      </c>
      <c r="C188" s="1">
        <v>544</v>
      </c>
      <c r="D188" s="1">
        <v>16</v>
      </c>
      <c r="F188" s="1">
        <v>2023</v>
      </c>
      <c r="G188" s="1" t="s">
        <v>579</v>
      </c>
      <c r="H188" s="1">
        <v>601740</v>
      </c>
      <c r="I188" s="1">
        <v>1</v>
      </c>
      <c r="J188" s="1" t="s">
        <v>580</v>
      </c>
      <c r="K188" s="1" t="s">
        <v>581</v>
      </c>
      <c r="L188" s="1" t="s">
        <v>582</v>
      </c>
      <c r="M188" s="1">
        <v>9</v>
      </c>
      <c r="N188" s="1" t="s">
        <v>39</v>
      </c>
      <c r="O188" s="1">
        <v>41.208300000000001</v>
      </c>
      <c r="P188" s="1">
        <v>-73.109200000000001</v>
      </c>
      <c r="Q188" s="1" t="s">
        <v>588</v>
      </c>
      <c r="R188" s="1" t="s">
        <v>41</v>
      </c>
      <c r="T188" s="1" t="s">
        <v>93</v>
      </c>
      <c r="U188" s="1" t="s">
        <v>94</v>
      </c>
      <c r="V188" s="1" t="s">
        <v>44</v>
      </c>
      <c r="X188" s="1" t="s">
        <v>176</v>
      </c>
      <c r="AA188" s="3">
        <v>40354</v>
      </c>
      <c r="AB188" s="1" t="s">
        <v>46</v>
      </c>
      <c r="AC188" s="5">
        <v>498</v>
      </c>
      <c r="AD188" s="1" t="s">
        <v>590</v>
      </c>
      <c r="AE188" s="1" t="str">
        <f t="shared" si="12"/>
        <v>544 16</v>
      </c>
      <c r="AF188" s="5" t="str">
        <f t="shared" si="15"/>
        <v>50</v>
      </c>
      <c r="AG188" s="1" t="str">
        <f t="shared" si="11"/>
        <v>Y</v>
      </c>
    </row>
    <row r="189" spans="1:33" x14ac:dyDescent="0.2">
      <c r="A189" s="1" t="s">
        <v>577</v>
      </c>
      <c r="B189" s="1" t="s">
        <v>578</v>
      </c>
      <c r="C189" s="1">
        <v>544</v>
      </c>
      <c r="D189" s="1">
        <v>17</v>
      </c>
      <c r="F189" s="1">
        <v>2023</v>
      </c>
      <c r="G189" s="1" t="s">
        <v>579</v>
      </c>
      <c r="H189" s="1">
        <v>601740</v>
      </c>
      <c r="I189" s="1">
        <v>1</v>
      </c>
      <c r="J189" s="1" t="s">
        <v>580</v>
      </c>
      <c r="K189" s="1" t="s">
        <v>581</v>
      </c>
      <c r="L189" s="1" t="s">
        <v>582</v>
      </c>
      <c r="M189" s="1">
        <v>9</v>
      </c>
      <c r="N189" s="1" t="s">
        <v>39</v>
      </c>
      <c r="O189" s="1">
        <v>41.208300000000001</v>
      </c>
      <c r="P189" s="1">
        <v>-73.109200000000001</v>
      </c>
      <c r="Q189" s="1" t="s">
        <v>588</v>
      </c>
      <c r="R189" s="1" t="s">
        <v>41</v>
      </c>
      <c r="T189" s="1" t="s">
        <v>93</v>
      </c>
      <c r="U189" s="1" t="s">
        <v>94</v>
      </c>
      <c r="V189" s="1" t="s">
        <v>44</v>
      </c>
      <c r="X189" s="1" t="s">
        <v>176</v>
      </c>
      <c r="AA189" s="3">
        <v>40339</v>
      </c>
      <c r="AB189" s="1" t="s">
        <v>46</v>
      </c>
      <c r="AC189" s="5">
        <v>498</v>
      </c>
      <c r="AD189" s="1" t="s">
        <v>591</v>
      </c>
      <c r="AE189" s="1" t="str">
        <f t="shared" si="12"/>
        <v>544 17</v>
      </c>
      <c r="AF189" s="5" t="str">
        <f t="shared" si="15"/>
        <v>50</v>
      </c>
      <c r="AG189" s="1" t="str">
        <f t="shared" si="11"/>
        <v>Y</v>
      </c>
    </row>
    <row r="190" spans="1:33" x14ac:dyDescent="0.2">
      <c r="A190" s="1" t="s">
        <v>577</v>
      </c>
      <c r="B190" s="1" t="s">
        <v>578</v>
      </c>
      <c r="C190" s="1">
        <v>544</v>
      </c>
      <c r="D190" s="1">
        <v>18</v>
      </c>
      <c r="F190" s="1">
        <v>2023</v>
      </c>
      <c r="G190" s="1" t="s">
        <v>579</v>
      </c>
      <c r="H190" s="1">
        <v>601740</v>
      </c>
      <c r="I190" s="1">
        <v>1</v>
      </c>
      <c r="J190" s="1" t="s">
        <v>580</v>
      </c>
      <c r="K190" s="1" t="s">
        <v>581</v>
      </c>
      <c r="L190" s="1" t="s">
        <v>582</v>
      </c>
      <c r="M190" s="1">
        <v>9</v>
      </c>
      <c r="N190" s="1" t="s">
        <v>39</v>
      </c>
      <c r="O190" s="1">
        <v>41.208300000000001</v>
      </c>
      <c r="P190" s="1">
        <v>-73.109200000000001</v>
      </c>
      <c r="Q190" s="1" t="s">
        <v>588</v>
      </c>
      <c r="R190" s="1" t="s">
        <v>41</v>
      </c>
      <c r="T190" s="1" t="s">
        <v>93</v>
      </c>
      <c r="U190" s="1" t="s">
        <v>94</v>
      </c>
      <c r="V190" s="1" t="s">
        <v>44</v>
      </c>
      <c r="X190" s="1" t="s">
        <v>176</v>
      </c>
      <c r="AA190" s="3">
        <v>40330</v>
      </c>
      <c r="AB190" s="1" t="s">
        <v>46</v>
      </c>
      <c r="AC190" s="5">
        <v>498</v>
      </c>
      <c r="AD190" s="1" t="s">
        <v>592</v>
      </c>
      <c r="AE190" s="1" t="str">
        <f t="shared" si="12"/>
        <v>544 18</v>
      </c>
      <c r="AF190" s="5" t="str">
        <f t="shared" si="15"/>
        <v>50</v>
      </c>
      <c r="AG190" s="1" t="str">
        <f t="shared" si="11"/>
        <v>Y</v>
      </c>
    </row>
    <row r="191" spans="1:33" x14ac:dyDescent="0.2">
      <c r="A191" s="1" t="s">
        <v>577</v>
      </c>
      <c r="B191" s="1" t="s">
        <v>593</v>
      </c>
      <c r="C191" s="1">
        <v>546</v>
      </c>
      <c r="D191" s="1">
        <v>5</v>
      </c>
      <c r="F191" s="1">
        <v>2023</v>
      </c>
      <c r="G191" s="1" t="s">
        <v>594</v>
      </c>
      <c r="H191" s="1">
        <v>601740</v>
      </c>
      <c r="I191" s="1">
        <v>1</v>
      </c>
      <c r="J191" s="1" t="s">
        <v>580</v>
      </c>
      <c r="K191" s="1" t="s">
        <v>595</v>
      </c>
      <c r="L191" s="1" t="s">
        <v>596</v>
      </c>
      <c r="M191" s="1">
        <v>11</v>
      </c>
      <c r="N191" s="1" t="s">
        <v>39</v>
      </c>
      <c r="O191" s="1">
        <v>41.428100000000001</v>
      </c>
      <c r="P191" s="1">
        <v>-72.101900000000001</v>
      </c>
      <c r="Q191" s="1" t="s">
        <v>597</v>
      </c>
      <c r="R191" s="1" t="s">
        <v>41</v>
      </c>
      <c r="T191" s="1" t="s">
        <v>43</v>
      </c>
      <c r="U191" s="1" t="s">
        <v>173</v>
      </c>
      <c r="V191" s="1" t="s">
        <v>44</v>
      </c>
      <c r="AA191" s="3">
        <v>19725</v>
      </c>
      <c r="AB191" s="1" t="s">
        <v>46</v>
      </c>
      <c r="AC191" s="5">
        <v>905</v>
      </c>
      <c r="AD191" s="1" t="s">
        <v>598</v>
      </c>
      <c r="AE191" s="1" t="str">
        <f t="shared" si="12"/>
        <v>546 5</v>
      </c>
      <c r="AF191" s="5" t="str">
        <f t="shared" si="15"/>
        <v>75</v>
      </c>
      <c r="AG191" s="1" t="str">
        <f t="shared" si="11"/>
        <v/>
      </c>
    </row>
    <row r="192" spans="1:33" x14ac:dyDescent="0.2">
      <c r="A192" s="1" t="s">
        <v>577</v>
      </c>
      <c r="B192" s="1" t="s">
        <v>593</v>
      </c>
      <c r="C192" s="1">
        <v>546</v>
      </c>
      <c r="D192" s="1">
        <v>6</v>
      </c>
      <c r="F192" s="1">
        <v>2023</v>
      </c>
      <c r="G192" s="1" t="s">
        <v>594</v>
      </c>
      <c r="H192" s="1">
        <v>601740</v>
      </c>
      <c r="I192" s="1">
        <v>1</v>
      </c>
      <c r="J192" s="1" t="s">
        <v>580</v>
      </c>
      <c r="K192" s="1" t="s">
        <v>595</v>
      </c>
      <c r="L192" s="1" t="s">
        <v>596</v>
      </c>
      <c r="M192" s="1">
        <v>11</v>
      </c>
      <c r="N192" s="1" t="s">
        <v>39</v>
      </c>
      <c r="O192" s="1">
        <v>41.428100000000001</v>
      </c>
      <c r="P192" s="1">
        <v>-72.101900000000001</v>
      </c>
      <c r="Q192" s="1" t="s">
        <v>597</v>
      </c>
      <c r="R192" s="1" t="s">
        <v>41</v>
      </c>
      <c r="T192" s="1" t="s">
        <v>43</v>
      </c>
      <c r="U192" s="1" t="s">
        <v>173</v>
      </c>
      <c r="AA192" s="3">
        <v>25934</v>
      </c>
      <c r="AB192" s="1" t="s">
        <v>46</v>
      </c>
      <c r="AC192" s="5">
        <v>4658</v>
      </c>
      <c r="AD192" s="1" t="s">
        <v>599</v>
      </c>
      <c r="AE192" s="1" t="str">
        <f t="shared" si="12"/>
        <v>546 6</v>
      </c>
      <c r="AF192" s="5" t="str">
        <f t="shared" si="15"/>
        <v>414.9</v>
      </c>
      <c r="AG192" s="1" t="str">
        <f t="shared" si="11"/>
        <v/>
      </c>
    </row>
    <row r="193" spans="1:33" x14ac:dyDescent="0.2">
      <c r="A193" s="1" t="s">
        <v>577</v>
      </c>
      <c r="B193" s="1" t="s">
        <v>600</v>
      </c>
      <c r="C193" s="1">
        <v>562</v>
      </c>
      <c r="D193" s="1">
        <v>2</v>
      </c>
      <c r="F193" s="1">
        <v>2023</v>
      </c>
      <c r="G193" s="1" t="s">
        <v>579</v>
      </c>
      <c r="H193" s="1">
        <v>601740</v>
      </c>
      <c r="I193" s="1">
        <v>1</v>
      </c>
      <c r="J193" s="1" t="s">
        <v>580</v>
      </c>
      <c r="K193" s="1" t="s">
        <v>601</v>
      </c>
      <c r="L193" s="1" t="s">
        <v>602</v>
      </c>
      <c r="M193" s="1">
        <v>7</v>
      </c>
      <c r="N193" s="1" t="s">
        <v>39</v>
      </c>
      <c r="O193" s="1">
        <v>41.554400000000001</v>
      </c>
      <c r="P193" s="1">
        <v>-72.579300000000003</v>
      </c>
      <c r="Q193" s="1" t="s">
        <v>603</v>
      </c>
      <c r="R193" s="1" t="s">
        <v>41</v>
      </c>
      <c r="T193" s="1" t="s">
        <v>89</v>
      </c>
      <c r="U193" s="1" t="s">
        <v>44</v>
      </c>
      <c r="V193" s="1" t="s">
        <v>173</v>
      </c>
      <c r="X193" s="1" t="s">
        <v>604</v>
      </c>
      <c r="Y193" s="1" t="s">
        <v>58</v>
      </c>
      <c r="AA193" s="3">
        <v>21490</v>
      </c>
      <c r="AB193" s="1" t="s">
        <v>46</v>
      </c>
      <c r="AC193" s="5">
        <v>1380</v>
      </c>
      <c r="AD193" s="1" t="s">
        <v>605</v>
      </c>
      <c r="AE193" s="1" t="str">
        <f t="shared" si="12"/>
        <v>562 2</v>
      </c>
      <c r="AF193" s="5" t="str">
        <f t="shared" si="15"/>
        <v>113.6</v>
      </c>
      <c r="AG193" s="1" t="str">
        <f t="shared" si="11"/>
        <v>Y</v>
      </c>
    </row>
    <row r="194" spans="1:33" x14ac:dyDescent="0.2">
      <c r="A194" s="1" t="s">
        <v>577</v>
      </c>
      <c r="B194" s="1" t="s">
        <v>600</v>
      </c>
      <c r="C194" s="1">
        <v>562</v>
      </c>
      <c r="D194" s="1">
        <v>3</v>
      </c>
      <c r="F194" s="1">
        <v>2023</v>
      </c>
      <c r="G194" s="1" t="s">
        <v>579</v>
      </c>
      <c r="H194" s="1">
        <v>601740</v>
      </c>
      <c r="I194" s="1">
        <v>1</v>
      </c>
      <c r="J194" s="1" t="s">
        <v>580</v>
      </c>
      <c r="K194" s="1" t="s">
        <v>601</v>
      </c>
      <c r="L194" s="1" t="s">
        <v>602</v>
      </c>
      <c r="M194" s="1">
        <v>7</v>
      </c>
      <c r="N194" s="1" t="s">
        <v>39</v>
      </c>
      <c r="O194" s="1">
        <v>41.554400000000001</v>
      </c>
      <c r="P194" s="1">
        <v>-72.579300000000003</v>
      </c>
      <c r="Q194" s="1" t="s">
        <v>603</v>
      </c>
      <c r="R194" s="1" t="s">
        <v>41</v>
      </c>
      <c r="T194" s="1" t="s">
        <v>606</v>
      </c>
      <c r="U194" s="1" t="s">
        <v>44</v>
      </c>
      <c r="V194" s="1" t="s">
        <v>173</v>
      </c>
      <c r="X194" s="1" t="s">
        <v>607</v>
      </c>
      <c r="Y194" s="1" t="s">
        <v>58</v>
      </c>
      <c r="AA194" s="3">
        <v>23712</v>
      </c>
      <c r="AB194" s="1" t="s">
        <v>46</v>
      </c>
      <c r="AC194" s="5">
        <v>2500</v>
      </c>
      <c r="AD194" s="1" t="s">
        <v>608</v>
      </c>
      <c r="AE194" s="1" t="str">
        <f t="shared" si="12"/>
        <v>562 3</v>
      </c>
      <c r="AF194" s="5" t="str">
        <f t="shared" si="15"/>
        <v>239.4</v>
      </c>
      <c r="AG194" s="1" t="str">
        <f t="shared" ref="AG194:AG257" si="16">IF(ISNUMBER(SEARCH("selective", X194)), "Y", "")</f>
        <v>Y</v>
      </c>
    </row>
    <row r="195" spans="1:33" x14ac:dyDescent="0.2">
      <c r="A195" s="1" t="s">
        <v>577</v>
      </c>
      <c r="B195" s="1" t="s">
        <v>600</v>
      </c>
      <c r="C195" s="1">
        <v>562</v>
      </c>
      <c r="D195" s="1">
        <v>4</v>
      </c>
      <c r="F195" s="1">
        <v>2023</v>
      </c>
      <c r="G195" s="1" t="s">
        <v>594</v>
      </c>
      <c r="H195" s="1">
        <v>601740</v>
      </c>
      <c r="I195" s="1">
        <v>1</v>
      </c>
      <c r="J195" s="1" t="s">
        <v>580</v>
      </c>
      <c r="K195" s="1" t="s">
        <v>601</v>
      </c>
      <c r="L195" s="1" t="s">
        <v>602</v>
      </c>
      <c r="M195" s="1">
        <v>7</v>
      </c>
      <c r="N195" s="1" t="s">
        <v>39</v>
      </c>
      <c r="O195" s="1">
        <v>41.554400000000001</v>
      </c>
      <c r="P195" s="1">
        <v>-72.579300000000003</v>
      </c>
      <c r="Q195" s="1" t="s">
        <v>603</v>
      </c>
      <c r="R195" s="1" t="s">
        <v>41</v>
      </c>
      <c r="T195" s="1" t="s">
        <v>43</v>
      </c>
      <c r="U195" s="1" t="s">
        <v>173</v>
      </c>
      <c r="AA195" s="3">
        <v>26724</v>
      </c>
      <c r="AB195" s="1" t="s">
        <v>46</v>
      </c>
      <c r="AC195" s="5">
        <v>4684</v>
      </c>
      <c r="AD195" s="1" t="s">
        <v>609</v>
      </c>
      <c r="AE195" s="1" t="str">
        <f t="shared" ref="AE195:AE258" si="17">C195&amp;" "&amp;D195</f>
        <v>562 4</v>
      </c>
      <c r="AF195" s="5" t="str">
        <f t="shared" si="15"/>
        <v>414.9</v>
      </c>
      <c r="AG195" s="1" t="str">
        <f t="shared" si="16"/>
        <v/>
      </c>
    </row>
    <row r="196" spans="1:33" x14ac:dyDescent="0.2">
      <c r="A196" s="1" t="s">
        <v>577</v>
      </c>
      <c r="B196" s="1" t="s">
        <v>600</v>
      </c>
      <c r="C196" s="1">
        <v>562</v>
      </c>
      <c r="D196" s="1">
        <v>12</v>
      </c>
      <c r="F196" s="1">
        <v>2023</v>
      </c>
      <c r="G196" s="1" t="s">
        <v>579</v>
      </c>
      <c r="H196" s="1">
        <v>601740</v>
      </c>
      <c r="I196" s="1">
        <v>1</v>
      </c>
      <c r="J196" s="1" t="s">
        <v>580</v>
      </c>
      <c r="K196" s="1" t="s">
        <v>601</v>
      </c>
      <c r="L196" s="1" t="s">
        <v>602</v>
      </c>
      <c r="M196" s="1">
        <v>7</v>
      </c>
      <c r="N196" s="1" t="s">
        <v>39</v>
      </c>
      <c r="O196" s="1">
        <v>41.554400000000001</v>
      </c>
      <c r="P196" s="1">
        <v>-72.579300000000003</v>
      </c>
      <c r="Q196" s="1" t="s">
        <v>610</v>
      </c>
      <c r="R196" s="1" t="s">
        <v>41</v>
      </c>
      <c r="T196" s="1" t="s">
        <v>93</v>
      </c>
      <c r="U196" s="1" t="s">
        <v>94</v>
      </c>
      <c r="V196" s="1" t="s">
        <v>44</v>
      </c>
      <c r="X196" s="1" t="s">
        <v>611</v>
      </c>
      <c r="AA196" s="3">
        <v>40648</v>
      </c>
      <c r="AB196" s="1" t="s">
        <v>46</v>
      </c>
      <c r="AC196" s="5">
        <v>474.9</v>
      </c>
      <c r="AD196" s="1" t="s">
        <v>612</v>
      </c>
      <c r="AE196" s="1" t="str">
        <f t="shared" si="17"/>
        <v>562 12</v>
      </c>
      <c r="AF196" s="5" t="str">
        <f t="shared" si="15"/>
        <v>50</v>
      </c>
      <c r="AG196" s="1" t="str">
        <f t="shared" si="16"/>
        <v>Y</v>
      </c>
    </row>
    <row r="197" spans="1:33" x14ac:dyDescent="0.2">
      <c r="A197" s="1" t="s">
        <v>577</v>
      </c>
      <c r="B197" s="1" t="s">
        <v>600</v>
      </c>
      <c r="C197" s="1">
        <v>562</v>
      </c>
      <c r="D197" s="1">
        <v>13</v>
      </c>
      <c r="F197" s="1">
        <v>2023</v>
      </c>
      <c r="G197" s="1" t="s">
        <v>579</v>
      </c>
      <c r="H197" s="1">
        <v>601740</v>
      </c>
      <c r="I197" s="1">
        <v>1</v>
      </c>
      <c r="J197" s="1" t="s">
        <v>580</v>
      </c>
      <c r="K197" s="1" t="s">
        <v>601</v>
      </c>
      <c r="L197" s="1" t="s">
        <v>602</v>
      </c>
      <c r="M197" s="1">
        <v>7</v>
      </c>
      <c r="N197" s="1" t="s">
        <v>39</v>
      </c>
      <c r="O197" s="1">
        <v>41.554400000000001</v>
      </c>
      <c r="P197" s="1">
        <v>-72.579300000000003</v>
      </c>
      <c r="Q197" s="1" t="s">
        <v>610</v>
      </c>
      <c r="R197" s="1" t="s">
        <v>41</v>
      </c>
      <c r="T197" s="1" t="s">
        <v>93</v>
      </c>
      <c r="U197" s="1" t="s">
        <v>94</v>
      </c>
      <c r="V197" s="1" t="s">
        <v>44</v>
      </c>
      <c r="X197" s="1" t="s">
        <v>611</v>
      </c>
      <c r="AA197" s="3">
        <v>40638</v>
      </c>
      <c r="AB197" s="1" t="s">
        <v>46</v>
      </c>
      <c r="AC197" s="5">
        <v>474.9</v>
      </c>
      <c r="AD197" s="1" t="s">
        <v>613</v>
      </c>
      <c r="AE197" s="1" t="str">
        <f t="shared" si="17"/>
        <v>562 13</v>
      </c>
      <c r="AF197" s="5" t="str">
        <f t="shared" si="15"/>
        <v>50</v>
      </c>
      <c r="AG197" s="1" t="str">
        <f t="shared" si="16"/>
        <v>Y</v>
      </c>
    </row>
    <row r="198" spans="1:33" x14ac:dyDescent="0.2">
      <c r="A198" s="1" t="s">
        <v>577</v>
      </c>
      <c r="B198" s="1" t="s">
        <v>600</v>
      </c>
      <c r="C198" s="1">
        <v>562</v>
      </c>
      <c r="D198" s="1">
        <v>14</v>
      </c>
      <c r="F198" s="1">
        <v>2023</v>
      </c>
      <c r="G198" s="1" t="s">
        <v>579</v>
      </c>
      <c r="H198" s="1">
        <v>601740</v>
      </c>
      <c r="I198" s="1">
        <v>1</v>
      </c>
      <c r="J198" s="1" t="s">
        <v>580</v>
      </c>
      <c r="K198" s="1" t="s">
        <v>601</v>
      </c>
      <c r="L198" s="1" t="s">
        <v>602</v>
      </c>
      <c r="M198" s="1">
        <v>7</v>
      </c>
      <c r="N198" s="1" t="s">
        <v>39</v>
      </c>
      <c r="O198" s="1">
        <v>41.554400000000001</v>
      </c>
      <c r="P198" s="1">
        <v>-72.579300000000003</v>
      </c>
      <c r="Q198" s="1" t="s">
        <v>610</v>
      </c>
      <c r="R198" s="1" t="s">
        <v>41</v>
      </c>
      <c r="T198" s="1" t="s">
        <v>93</v>
      </c>
      <c r="U198" s="1" t="s">
        <v>94</v>
      </c>
      <c r="V198" s="1" t="s">
        <v>44</v>
      </c>
      <c r="X198" s="1" t="s">
        <v>611</v>
      </c>
      <c r="AA198" s="3">
        <v>40671</v>
      </c>
      <c r="AB198" s="1" t="s">
        <v>46</v>
      </c>
      <c r="AC198" s="5">
        <v>474.9</v>
      </c>
      <c r="AD198" s="1" t="s">
        <v>614</v>
      </c>
      <c r="AE198" s="1" t="str">
        <f t="shared" si="17"/>
        <v>562 14</v>
      </c>
      <c r="AF198" s="5" t="str">
        <f t="shared" si="15"/>
        <v>50</v>
      </c>
      <c r="AG198" s="1" t="str">
        <f t="shared" si="16"/>
        <v>Y</v>
      </c>
    </row>
    <row r="199" spans="1:33" x14ac:dyDescent="0.2">
      <c r="A199" s="1" t="s">
        <v>577</v>
      </c>
      <c r="B199" s="1" t="s">
        <v>600</v>
      </c>
      <c r="C199" s="1">
        <v>562</v>
      </c>
      <c r="D199" s="1">
        <v>15</v>
      </c>
      <c r="F199" s="1">
        <v>2023</v>
      </c>
      <c r="G199" s="1" t="s">
        <v>579</v>
      </c>
      <c r="H199" s="1">
        <v>601740</v>
      </c>
      <c r="I199" s="1">
        <v>1</v>
      </c>
      <c r="J199" s="1" t="s">
        <v>580</v>
      </c>
      <c r="K199" s="1" t="s">
        <v>601</v>
      </c>
      <c r="L199" s="1" t="s">
        <v>602</v>
      </c>
      <c r="M199" s="1">
        <v>7</v>
      </c>
      <c r="N199" s="1" t="s">
        <v>39</v>
      </c>
      <c r="O199" s="1">
        <v>41.554400000000001</v>
      </c>
      <c r="P199" s="1">
        <v>-72.579300000000003</v>
      </c>
      <c r="Q199" s="1" t="s">
        <v>610</v>
      </c>
      <c r="R199" s="1" t="s">
        <v>41</v>
      </c>
      <c r="T199" s="1" t="s">
        <v>93</v>
      </c>
      <c r="U199" s="1" t="s">
        <v>94</v>
      </c>
      <c r="V199" s="1" t="s">
        <v>44</v>
      </c>
      <c r="X199" s="1" t="s">
        <v>176</v>
      </c>
      <c r="AA199" s="3">
        <v>40671</v>
      </c>
      <c r="AB199" s="1" t="s">
        <v>46</v>
      </c>
      <c r="AC199" s="5">
        <v>474.9</v>
      </c>
      <c r="AD199" s="1" t="s">
        <v>589</v>
      </c>
      <c r="AE199" s="1" t="str">
        <f t="shared" si="17"/>
        <v>562 15</v>
      </c>
      <c r="AF199" s="5" t="str">
        <f t="shared" si="15"/>
        <v>50</v>
      </c>
      <c r="AG199" s="1" t="str">
        <f t="shared" si="16"/>
        <v>Y</v>
      </c>
    </row>
    <row r="200" spans="1:33" x14ac:dyDescent="0.2">
      <c r="A200" s="1" t="s">
        <v>577</v>
      </c>
      <c r="B200" s="1" t="s">
        <v>615</v>
      </c>
      <c r="C200" s="1">
        <v>563</v>
      </c>
      <c r="D200" s="1" t="s">
        <v>616</v>
      </c>
      <c r="F200" s="1">
        <v>2023</v>
      </c>
      <c r="G200" s="1" t="s">
        <v>617</v>
      </c>
      <c r="H200" s="1">
        <v>2263</v>
      </c>
      <c r="I200" s="1">
        <v>1</v>
      </c>
      <c r="J200" s="1" t="s">
        <v>580</v>
      </c>
      <c r="K200" s="1" t="s">
        <v>618</v>
      </c>
      <c r="L200" s="1" t="s">
        <v>619</v>
      </c>
      <c r="M200" s="1">
        <v>3</v>
      </c>
      <c r="N200" s="1" t="s">
        <v>39</v>
      </c>
      <c r="O200" s="1">
        <v>41.749499999999998</v>
      </c>
      <c r="P200" s="1">
        <v>-72.6524</v>
      </c>
      <c r="Q200" s="1" t="s">
        <v>620</v>
      </c>
      <c r="T200" s="1" t="s">
        <v>93</v>
      </c>
      <c r="U200" s="1" t="s">
        <v>94</v>
      </c>
      <c r="AA200" s="3">
        <v>25781</v>
      </c>
      <c r="AB200" s="1" t="s">
        <v>621</v>
      </c>
      <c r="AC200" s="5">
        <v>266</v>
      </c>
      <c r="AD200" s="1" t="s">
        <v>622</v>
      </c>
      <c r="AE200" s="1" t="str">
        <f t="shared" si="17"/>
        <v>563 11A</v>
      </c>
      <c r="AF200" s="5" t="str">
        <f t="shared" si="15"/>
        <v>41.9</v>
      </c>
      <c r="AG200" s="1" t="str">
        <f t="shared" si="16"/>
        <v/>
      </c>
    </row>
    <row r="201" spans="1:33" x14ac:dyDescent="0.2">
      <c r="A201" s="1" t="s">
        <v>577</v>
      </c>
      <c r="B201" s="1" t="s">
        <v>615</v>
      </c>
      <c r="C201" s="1">
        <v>563</v>
      </c>
      <c r="D201" s="1" t="s">
        <v>623</v>
      </c>
      <c r="F201" s="1">
        <v>2023</v>
      </c>
      <c r="G201" s="1" t="s">
        <v>617</v>
      </c>
      <c r="H201" s="1">
        <v>2263</v>
      </c>
      <c r="I201" s="1">
        <v>1</v>
      </c>
      <c r="J201" s="1" t="s">
        <v>580</v>
      </c>
      <c r="K201" s="1" t="s">
        <v>618</v>
      </c>
      <c r="L201" s="1" t="s">
        <v>619</v>
      </c>
      <c r="M201" s="1">
        <v>3</v>
      </c>
      <c r="N201" s="1" t="s">
        <v>39</v>
      </c>
      <c r="O201" s="1">
        <v>41.749499999999998</v>
      </c>
      <c r="P201" s="1">
        <v>-72.6524</v>
      </c>
      <c r="Q201" s="1" t="s">
        <v>620</v>
      </c>
      <c r="T201" s="1" t="s">
        <v>93</v>
      </c>
      <c r="U201" s="1" t="s">
        <v>94</v>
      </c>
      <c r="AA201" s="3">
        <v>25781</v>
      </c>
      <c r="AB201" s="1" t="s">
        <v>621</v>
      </c>
      <c r="AC201" s="5">
        <v>266</v>
      </c>
      <c r="AD201" s="1" t="s">
        <v>622</v>
      </c>
      <c r="AE201" s="1" t="str">
        <f t="shared" si="17"/>
        <v>563 11B</v>
      </c>
      <c r="AF201" s="5" t="str">
        <f t="shared" si="15"/>
        <v>41.9</v>
      </c>
      <c r="AG201" s="1" t="str">
        <f t="shared" si="16"/>
        <v/>
      </c>
    </row>
    <row r="202" spans="1:33" x14ac:dyDescent="0.2">
      <c r="A202" s="1" t="s">
        <v>577</v>
      </c>
      <c r="B202" s="1" t="s">
        <v>615</v>
      </c>
      <c r="C202" s="1">
        <v>563</v>
      </c>
      <c r="D202" s="1" t="s">
        <v>624</v>
      </c>
      <c r="F202" s="1">
        <v>2023</v>
      </c>
      <c r="G202" s="1" t="s">
        <v>617</v>
      </c>
      <c r="H202" s="1">
        <v>2263</v>
      </c>
      <c r="I202" s="1">
        <v>1</v>
      </c>
      <c r="J202" s="1" t="s">
        <v>580</v>
      </c>
      <c r="K202" s="1" t="s">
        <v>618</v>
      </c>
      <c r="L202" s="1" t="s">
        <v>619</v>
      </c>
      <c r="M202" s="1">
        <v>3</v>
      </c>
      <c r="N202" s="1" t="s">
        <v>39</v>
      </c>
      <c r="O202" s="1">
        <v>41.749499999999998</v>
      </c>
      <c r="P202" s="1">
        <v>-72.6524</v>
      </c>
      <c r="Q202" s="1" t="s">
        <v>620</v>
      </c>
      <c r="T202" s="1" t="s">
        <v>93</v>
      </c>
      <c r="U202" s="1" t="s">
        <v>94</v>
      </c>
      <c r="AA202" s="3">
        <v>25781</v>
      </c>
      <c r="AB202" s="1" t="s">
        <v>621</v>
      </c>
      <c r="AC202" s="5">
        <v>266</v>
      </c>
      <c r="AD202" s="1" t="s">
        <v>625</v>
      </c>
      <c r="AE202" s="1" t="str">
        <f t="shared" si="17"/>
        <v>563 12A</v>
      </c>
      <c r="AF202" s="5" t="str">
        <f t="shared" si="15"/>
        <v>41.9</v>
      </c>
      <c r="AG202" s="1" t="str">
        <f t="shared" si="16"/>
        <v/>
      </c>
    </row>
    <row r="203" spans="1:33" x14ac:dyDescent="0.2">
      <c r="A203" s="1" t="s">
        <v>577</v>
      </c>
      <c r="B203" s="1" t="s">
        <v>615</v>
      </c>
      <c r="C203" s="1">
        <v>563</v>
      </c>
      <c r="D203" s="1" t="s">
        <v>626</v>
      </c>
      <c r="F203" s="1">
        <v>2023</v>
      </c>
      <c r="G203" s="1" t="s">
        <v>617</v>
      </c>
      <c r="H203" s="1">
        <v>2263</v>
      </c>
      <c r="I203" s="1">
        <v>1</v>
      </c>
      <c r="J203" s="1" t="s">
        <v>580</v>
      </c>
      <c r="K203" s="1" t="s">
        <v>618</v>
      </c>
      <c r="L203" s="1" t="s">
        <v>619</v>
      </c>
      <c r="M203" s="1">
        <v>3</v>
      </c>
      <c r="N203" s="1" t="s">
        <v>39</v>
      </c>
      <c r="O203" s="1">
        <v>41.749499999999998</v>
      </c>
      <c r="P203" s="1">
        <v>-72.6524</v>
      </c>
      <c r="Q203" s="1" t="s">
        <v>620</v>
      </c>
      <c r="T203" s="1" t="s">
        <v>93</v>
      </c>
      <c r="U203" s="1" t="s">
        <v>94</v>
      </c>
      <c r="AA203" s="3">
        <v>25781</v>
      </c>
      <c r="AB203" s="1" t="s">
        <v>621</v>
      </c>
      <c r="AC203" s="5">
        <v>266</v>
      </c>
      <c r="AD203" s="1" t="s">
        <v>625</v>
      </c>
      <c r="AE203" s="1" t="str">
        <f t="shared" si="17"/>
        <v>563 12B</v>
      </c>
      <c r="AF203" s="5" t="str">
        <f t="shared" si="15"/>
        <v>41.9</v>
      </c>
      <c r="AG203" s="1" t="str">
        <f t="shared" si="16"/>
        <v/>
      </c>
    </row>
    <row r="204" spans="1:33" x14ac:dyDescent="0.2">
      <c r="A204" s="1" t="s">
        <v>577</v>
      </c>
      <c r="B204" s="1" t="s">
        <v>615</v>
      </c>
      <c r="C204" s="1">
        <v>563</v>
      </c>
      <c r="D204" s="1" t="s">
        <v>627</v>
      </c>
      <c r="F204" s="1">
        <v>2023</v>
      </c>
      <c r="G204" s="1" t="s">
        <v>617</v>
      </c>
      <c r="H204" s="1">
        <v>2263</v>
      </c>
      <c r="I204" s="1">
        <v>1</v>
      </c>
      <c r="J204" s="1" t="s">
        <v>580</v>
      </c>
      <c r="K204" s="1" t="s">
        <v>618</v>
      </c>
      <c r="L204" s="1" t="s">
        <v>619</v>
      </c>
      <c r="M204" s="1">
        <v>3</v>
      </c>
      <c r="N204" s="1" t="s">
        <v>39</v>
      </c>
      <c r="O204" s="1">
        <v>41.749499999999998</v>
      </c>
      <c r="P204" s="1">
        <v>-72.6524</v>
      </c>
      <c r="Q204" s="1" t="s">
        <v>620</v>
      </c>
      <c r="T204" s="1" t="s">
        <v>93</v>
      </c>
      <c r="U204" s="1" t="s">
        <v>94</v>
      </c>
      <c r="AA204" s="3">
        <v>25781</v>
      </c>
      <c r="AB204" s="1" t="s">
        <v>621</v>
      </c>
      <c r="AC204" s="5">
        <v>266</v>
      </c>
      <c r="AD204" s="1" t="s">
        <v>628</v>
      </c>
      <c r="AE204" s="1" t="str">
        <f t="shared" si="17"/>
        <v>563 13A</v>
      </c>
      <c r="AF204" s="5" t="str">
        <f t="shared" si="15"/>
        <v>41.9</v>
      </c>
      <c r="AG204" s="1" t="str">
        <f t="shared" si="16"/>
        <v/>
      </c>
    </row>
    <row r="205" spans="1:33" x14ac:dyDescent="0.2">
      <c r="A205" s="1" t="s">
        <v>577</v>
      </c>
      <c r="B205" s="1" t="s">
        <v>615</v>
      </c>
      <c r="C205" s="1">
        <v>563</v>
      </c>
      <c r="D205" s="1" t="s">
        <v>629</v>
      </c>
      <c r="F205" s="1">
        <v>2023</v>
      </c>
      <c r="G205" s="1" t="s">
        <v>617</v>
      </c>
      <c r="H205" s="1">
        <v>2263</v>
      </c>
      <c r="I205" s="1">
        <v>1</v>
      </c>
      <c r="J205" s="1" t="s">
        <v>580</v>
      </c>
      <c r="K205" s="1" t="s">
        <v>618</v>
      </c>
      <c r="L205" s="1" t="s">
        <v>619</v>
      </c>
      <c r="M205" s="1">
        <v>3</v>
      </c>
      <c r="N205" s="1" t="s">
        <v>39</v>
      </c>
      <c r="O205" s="1">
        <v>41.749499999999998</v>
      </c>
      <c r="P205" s="1">
        <v>-72.6524</v>
      </c>
      <c r="Q205" s="1" t="s">
        <v>620</v>
      </c>
      <c r="T205" s="1" t="s">
        <v>93</v>
      </c>
      <c r="U205" s="1" t="s">
        <v>94</v>
      </c>
      <c r="AA205" s="3">
        <v>25781</v>
      </c>
      <c r="AB205" s="1" t="s">
        <v>621</v>
      </c>
      <c r="AC205" s="5">
        <v>266</v>
      </c>
      <c r="AD205" s="1" t="s">
        <v>628</v>
      </c>
      <c r="AE205" s="1" t="str">
        <f t="shared" si="17"/>
        <v>563 13B</v>
      </c>
      <c r="AF205" s="5" t="str">
        <f t="shared" si="15"/>
        <v>41.9</v>
      </c>
      <c r="AG205" s="1" t="str">
        <f t="shared" si="16"/>
        <v/>
      </c>
    </row>
    <row r="206" spans="1:33" x14ac:dyDescent="0.2">
      <c r="A206" s="1" t="s">
        <v>577</v>
      </c>
      <c r="B206" s="1" t="s">
        <v>615</v>
      </c>
      <c r="C206" s="1">
        <v>563</v>
      </c>
      <c r="D206" s="1" t="s">
        <v>630</v>
      </c>
      <c r="F206" s="1">
        <v>2023</v>
      </c>
      <c r="G206" s="1" t="s">
        <v>617</v>
      </c>
      <c r="H206" s="1">
        <v>2263</v>
      </c>
      <c r="I206" s="1">
        <v>1</v>
      </c>
      <c r="J206" s="1" t="s">
        <v>580</v>
      </c>
      <c r="K206" s="1" t="s">
        <v>618</v>
      </c>
      <c r="L206" s="1" t="s">
        <v>619</v>
      </c>
      <c r="M206" s="1">
        <v>3</v>
      </c>
      <c r="N206" s="1" t="s">
        <v>39</v>
      </c>
      <c r="O206" s="1">
        <v>41.749499999999998</v>
      </c>
      <c r="P206" s="1">
        <v>-72.6524</v>
      </c>
      <c r="Q206" s="1" t="s">
        <v>620</v>
      </c>
      <c r="T206" s="1" t="s">
        <v>93</v>
      </c>
      <c r="U206" s="1" t="s">
        <v>94</v>
      </c>
      <c r="AA206" s="3">
        <v>25781</v>
      </c>
      <c r="AB206" s="1" t="s">
        <v>621</v>
      </c>
      <c r="AC206" s="5">
        <v>266</v>
      </c>
      <c r="AD206" s="1" t="s">
        <v>631</v>
      </c>
      <c r="AE206" s="1" t="str">
        <f t="shared" si="17"/>
        <v>563 14A</v>
      </c>
      <c r="AF206" s="5" t="str">
        <f t="shared" si="15"/>
        <v>41.9</v>
      </c>
      <c r="AG206" s="1" t="str">
        <f t="shared" si="16"/>
        <v/>
      </c>
    </row>
    <row r="207" spans="1:33" x14ac:dyDescent="0.2">
      <c r="A207" s="1" t="s">
        <v>577</v>
      </c>
      <c r="B207" s="1" t="s">
        <v>615</v>
      </c>
      <c r="C207" s="1">
        <v>563</v>
      </c>
      <c r="D207" s="1" t="s">
        <v>632</v>
      </c>
      <c r="F207" s="1">
        <v>2023</v>
      </c>
      <c r="G207" s="1" t="s">
        <v>617</v>
      </c>
      <c r="H207" s="1">
        <v>2263</v>
      </c>
      <c r="I207" s="1">
        <v>1</v>
      </c>
      <c r="J207" s="1" t="s">
        <v>580</v>
      </c>
      <c r="K207" s="1" t="s">
        <v>618</v>
      </c>
      <c r="L207" s="1" t="s">
        <v>619</v>
      </c>
      <c r="M207" s="1">
        <v>3</v>
      </c>
      <c r="N207" s="1" t="s">
        <v>39</v>
      </c>
      <c r="O207" s="1">
        <v>41.749499999999998</v>
      </c>
      <c r="P207" s="1">
        <v>-72.6524</v>
      </c>
      <c r="Q207" s="1" t="s">
        <v>620</v>
      </c>
      <c r="T207" s="1" t="s">
        <v>93</v>
      </c>
      <c r="U207" s="1" t="s">
        <v>94</v>
      </c>
      <c r="AA207" s="3">
        <v>25781</v>
      </c>
      <c r="AB207" s="1" t="s">
        <v>621</v>
      </c>
      <c r="AC207" s="5">
        <v>266</v>
      </c>
      <c r="AD207" s="1" t="s">
        <v>631</v>
      </c>
      <c r="AE207" s="1" t="str">
        <f t="shared" si="17"/>
        <v>563 14B</v>
      </c>
      <c r="AF207" s="5" t="str">
        <f t="shared" si="15"/>
        <v>41.9</v>
      </c>
      <c r="AG207" s="1" t="str">
        <f t="shared" si="16"/>
        <v/>
      </c>
    </row>
    <row r="208" spans="1:33" x14ac:dyDescent="0.2">
      <c r="A208" s="1" t="s">
        <v>304</v>
      </c>
      <c r="B208" s="1" t="s">
        <v>633</v>
      </c>
      <c r="C208" s="1">
        <v>564</v>
      </c>
      <c r="D208" s="1">
        <v>1</v>
      </c>
      <c r="F208" s="1">
        <v>2023</v>
      </c>
      <c r="G208" s="1" t="s">
        <v>236</v>
      </c>
      <c r="H208" s="1">
        <v>609198</v>
      </c>
      <c r="I208" s="1">
        <v>4</v>
      </c>
      <c r="J208" s="1" t="s">
        <v>36</v>
      </c>
      <c r="K208" s="1" t="s">
        <v>418</v>
      </c>
      <c r="L208" s="1" t="s">
        <v>634</v>
      </c>
      <c r="M208" s="1">
        <v>95</v>
      </c>
      <c r="N208" s="1" t="s">
        <v>39</v>
      </c>
      <c r="O208" s="1">
        <v>28.483599999999999</v>
      </c>
      <c r="P208" s="1">
        <v>-81.168599999999998</v>
      </c>
      <c r="Q208" s="1" t="s">
        <v>635</v>
      </c>
      <c r="R208" s="1" t="s">
        <v>41</v>
      </c>
      <c r="S208" s="1" t="s">
        <v>42</v>
      </c>
      <c r="T208" s="1" t="s">
        <v>89</v>
      </c>
      <c r="U208" s="1" t="s">
        <v>55</v>
      </c>
      <c r="V208" s="1" t="s">
        <v>44</v>
      </c>
      <c r="W208" s="1" t="s">
        <v>241</v>
      </c>
      <c r="X208" s="1" t="s">
        <v>90</v>
      </c>
      <c r="Y208" s="1" t="s">
        <v>58</v>
      </c>
      <c r="AA208" s="3">
        <v>31909</v>
      </c>
      <c r="AB208" s="1" t="s">
        <v>46</v>
      </c>
      <c r="AC208" s="5">
        <v>5000</v>
      </c>
      <c r="AD208" s="1" t="s">
        <v>636</v>
      </c>
      <c r="AE208" s="1" t="str">
        <f t="shared" si="17"/>
        <v>564 1</v>
      </c>
      <c r="AF208" s="5" t="str">
        <f t="shared" si="15"/>
        <v>464.6</v>
      </c>
      <c r="AG208" s="1" t="str">
        <f t="shared" si="16"/>
        <v/>
      </c>
    </row>
    <row r="209" spans="1:33" x14ac:dyDescent="0.2">
      <c r="A209" s="1" t="s">
        <v>304</v>
      </c>
      <c r="B209" s="1" t="s">
        <v>633</v>
      </c>
      <c r="C209" s="1">
        <v>564</v>
      </c>
      <c r="D209" s="1">
        <v>2</v>
      </c>
      <c r="F209" s="1">
        <v>2023</v>
      </c>
      <c r="G209" s="1" t="s">
        <v>236</v>
      </c>
      <c r="H209" s="1">
        <v>609198</v>
      </c>
      <c r="I209" s="1">
        <v>4</v>
      </c>
      <c r="J209" s="1" t="s">
        <v>36</v>
      </c>
      <c r="K209" s="1" t="s">
        <v>418</v>
      </c>
      <c r="L209" s="1" t="s">
        <v>634</v>
      </c>
      <c r="M209" s="1">
        <v>95</v>
      </c>
      <c r="N209" s="1" t="s">
        <v>39</v>
      </c>
      <c r="O209" s="1">
        <v>28.483599999999999</v>
      </c>
      <c r="P209" s="1">
        <v>-81.168599999999998</v>
      </c>
      <c r="Q209" s="1" t="s">
        <v>637</v>
      </c>
      <c r="R209" s="1" t="s">
        <v>41</v>
      </c>
      <c r="T209" s="1" t="s">
        <v>89</v>
      </c>
      <c r="U209" s="1" t="s">
        <v>55</v>
      </c>
      <c r="V209" s="1" t="s">
        <v>638</v>
      </c>
      <c r="W209" s="1" t="s">
        <v>241</v>
      </c>
      <c r="X209" s="1" t="s">
        <v>639</v>
      </c>
      <c r="Y209" s="1" t="s">
        <v>58</v>
      </c>
      <c r="AA209" s="3">
        <v>35153</v>
      </c>
      <c r="AB209" s="1" t="s">
        <v>46</v>
      </c>
      <c r="AC209" s="5">
        <v>5000</v>
      </c>
      <c r="AD209" s="1" t="s">
        <v>640</v>
      </c>
      <c r="AE209" s="1" t="str">
        <f t="shared" si="17"/>
        <v>564 2</v>
      </c>
      <c r="AF209" s="5" t="str">
        <f t="shared" si="15"/>
        <v>464.6</v>
      </c>
      <c r="AG209" s="1" t="str">
        <f t="shared" si="16"/>
        <v>Y</v>
      </c>
    </row>
    <row r="210" spans="1:33" x14ac:dyDescent="0.2">
      <c r="A210" s="1" t="s">
        <v>304</v>
      </c>
      <c r="B210" s="1" t="s">
        <v>633</v>
      </c>
      <c r="C210" s="1">
        <v>564</v>
      </c>
      <c r="D210" s="1" t="s">
        <v>641</v>
      </c>
      <c r="F210" s="1">
        <v>2023</v>
      </c>
      <c r="G210" s="1" t="s">
        <v>247</v>
      </c>
      <c r="H210" s="1">
        <v>609198</v>
      </c>
      <c r="I210" s="1">
        <v>4</v>
      </c>
      <c r="J210" s="1" t="s">
        <v>36</v>
      </c>
      <c r="K210" s="1" t="s">
        <v>418</v>
      </c>
      <c r="L210" s="1" t="s">
        <v>634</v>
      </c>
      <c r="M210" s="1">
        <v>95</v>
      </c>
      <c r="N210" s="1" t="s">
        <v>39</v>
      </c>
      <c r="O210" s="1">
        <v>28.483599999999999</v>
      </c>
      <c r="P210" s="1">
        <v>-81.168599999999998</v>
      </c>
      <c r="Q210" s="1" t="s">
        <v>642</v>
      </c>
      <c r="R210" s="1" t="s">
        <v>41</v>
      </c>
      <c r="T210" s="1" t="s">
        <v>71</v>
      </c>
      <c r="U210" s="1" t="s">
        <v>44</v>
      </c>
      <c r="V210" s="1" t="s">
        <v>94</v>
      </c>
      <c r="X210" s="1" t="s">
        <v>643</v>
      </c>
      <c r="AA210" s="3">
        <v>40113</v>
      </c>
      <c r="AB210" s="1" t="s">
        <v>46</v>
      </c>
      <c r="AC210" s="5">
        <v>2453</v>
      </c>
      <c r="AD210" s="1" t="s">
        <v>644</v>
      </c>
      <c r="AE210" s="1" t="str">
        <f t="shared" si="17"/>
        <v>564 CCB</v>
      </c>
      <c r="AF210" s="14">
        <f>MID(AD210,FIND("(",AD210)+1,FIND(")",AD210)-FIND("(",AD210)-1)+129.8</f>
        <v>333</v>
      </c>
      <c r="AG210" s="1" t="str">
        <f t="shared" si="16"/>
        <v>Y</v>
      </c>
    </row>
    <row r="211" spans="1:33" x14ac:dyDescent="0.2">
      <c r="A211" s="1" t="s">
        <v>577</v>
      </c>
      <c r="B211" s="1" t="s">
        <v>645</v>
      </c>
      <c r="C211" s="1">
        <v>568</v>
      </c>
      <c r="D211" s="1" t="s">
        <v>646</v>
      </c>
      <c r="F211" s="1">
        <v>2023</v>
      </c>
      <c r="G211" s="1" t="s">
        <v>579</v>
      </c>
      <c r="H211" s="1">
        <v>601740</v>
      </c>
      <c r="I211" s="1">
        <v>1</v>
      </c>
      <c r="J211" s="1" t="s">
        <v>580</v>
      </c>
      <c r="K211" s="1" t="s">
        <v>647</v>
      </c>
      <c r="L211" s="1" t="s">
        <v>648</v>
      </c>
      <c r="M211" s="1">
        <v>1</v>
      </c>
      <c r="N211" s="1" t="s">
        <v>39</v>
      </c>
      <c r="O211" s="1">
        <v>41.1706</v>
      </c>
      <c r="P211" s="1">
        <v>-73.184299999999993</v>
      </c>
      <c r="Q211" s="1" t="s">
        <v>649</v>
      </c>
      <c r="R211" s="1" t="s">
        <v>41</v>
      </c>
      <c r="T211" s="1" t="s">
        <v>71</v>
      </c>
      <c r="U211" s="1" t="s">
        <v>44</v>
      </c>
      <c r="V211" s="1" t="s">
        <v>94</v>
      </c>
      <c r="X211" s="1" t="s">
        <v>643</v>
      </c>
      <c r="AA211" s="3">
        <v>43594</v>
      </c>
      <c r="AB211" s="1" t="s">
        <v>46</v>
      </c>
      <c r="AC211" s="5">
        <v>3706</v>
      </c>
      <c r="AD211" s="1" t="s">
        <v>650</v>
      </c>
      <c r="AE211" s="1" t="str">
        <f t="shared" si="17"/>
        <v>568 BHB5</v>
      </c>
      <c r="AF211" s="14">
        <f>MID(AD211,FIND("(",AD211)+1,FIND(")",AD211)-FIND("(",AD211)-1)+200.6</f>
        <v>575.6</v>
      </c>
      <c r="AG211" s="1" t="str">
        <f t="shared" si="16"/>
        <v>Y</v>
      </c>
    </row>
    <row r="212" spans="1:33" x14ac:dyDescent="0.2">
      <c r="A212" s="1" t="s">
        <v>651</v>
      </c>
      <c r="B212" s="1" t="s">
        <v>652</v>
      </c>
      <c r="C212" s="1">
        <v>589</v>
      </c>
      <c r="D212" s="1">
        <v>1</v>
      </c>
      <c r="F212" s="1">
        <v>2023</v>
      </c>
      <c r="G212" s="1" t="s">
        <v>247</v>
      </c>
      <c r="H212" s="1">
        <v>605223</v>
      </c>
      <c r="I212" s="1">
        <v>1</v>
      </c>
      <c r="J212" s="1" t="s">
        <v>580</v>
      </c>
      <c r="K212" s="1" t="s">
        <v>653</v>
      </c>
      <c r="L212" s="1" t="s">
        <v>654</v>
      </c>
      <c r="M212" s="1">
        <v>7</v>
      </c>
      <c r="N212" s="1" t="s">
        <v>39</v>
      </c>
      <c r="O212" s="1">
        <v>44.491700000000002</v>
      </c>
      <c r="P212" s="1">
        <v>-73.208100000000002</v>
      </c>
      <c r="Q212" s="1" t="s">
        <v>655</v>
      </c>
      <c r="R212" s="1" t="s">
        <v>41</v>
      </c>
      <c r="T212" s="1" t="s">
        <v>656</v>
      </c>
      <c r="U212" s="1" t="s">
        <v>657</v>
      </c>
      <c r="V212" s="1" t="s">
        <v>341</v>
      </c>
      <c r="X212" s="1" t="s">
        <v>454</v>
      </c>
      <c r="Y212" s="1" t="s">
        <v>658</v>
      </c>
      <c r="AA212" s="3">
        <v>30835</v>
      </c>
      <c r="AB212" s="1" t="s">
        <v>46</v>
      </c>
      <c r="AC212" s="5">
        <v>842</v>
      </c>
      <c r="AD212" s="1" t="s">
        <v>659</v>
      </c>
      <c r="AE212" s="1" t="str">
        <f t="shared" si="17"/>
        <v>589 1</v>
      </c>
      <c r="AF212" s="5" t="str">
        <f t="shared" ref="AF212:AF222" si="18">MID(AD212,FIND("(",AD212)+1,FIND(")",AD212)-FIND("(",AD212)-1)</f>
        <v>50</v>
      </c>
      <c r="AG212" s="1" t="str">
        <f t="shared" si="16"/>
        <v/>
      </c>
    </row>
    <row r="213" spans="1:33" x14ac:dyDescent="0.2">
      <c r="A213" s="1" t="s">
        <v>660</v>
      </c>
      <c r="B213" s="1" t="s">
        <v>661</v>
      </c>
      <c r="C213" s="1">
        <v>591</v>
      </c>
      <c r="D213" s="1">
        <v>11</v>
      </c>
      <c r="F213" s="1">
        <v>2023</v>
      </c>
      <c r="G213" s="1" t="s">
        <v>617</v>
      </c>
      <c r="H213" s="1">
        <v>605947</v>
      </c>
      <c r="I213" s="1">
        <v>3</v>
      </c>
      <c r="K213" s="1" t="s">
        <v>662</v>
      </c>
      <c r="L213" s="1" t="s">
        <v>663</v>
      </c>
      <c r="M213" s="1">
        <v>3</v>
      </c>
      <c r="N213" s="1" t="s">
        <v>39</v>
      </c>
      <c r="O213" s="1">
        <v>39.730200000000004</v>
      </c>
      <c r="P213" s="1">
        <v>-75.537099999999995</v>
      </c>
      <c r="Q213" s="1" t="s">
        <v>664</v>
      </c>
      <c r="T213" s="1" t="s">
        <v>93</v>
      </c>
      <c r="U213" s="1" t="s">
        <v>94</v>
      </c>
      <c r="X213" s="1" t="s">
        <v>95</v>
      </c>
      <c r="AA213" s="3">
        <v>26969</v>
      </c>
      <c r="AB213" s="1" t="s">
        <v>46</v>
      </c>
      <c r="AC213" s="5">
        <v>391</v>
      </c>
      <c r="AD213" s="1" t="s">
        <v>665</v>
      </c>
      <c r="AE213" s="1" t="str">
        <f t="shared" si="17"/>
        <v>591 11</v>
      </c>
      <c r="AF213" s="5" t="str">
        <f t="shared" si="18"/>
        <v>26.6</v>
      </c>
      <c r="AG213" s="1" t="str">
        <f t="shared" si="16"/>
        <v/>
      </c>
    </row>
    <row r="214" spans="1:33" x14ac:dyDescent="0.2">
      <c r="A214" s="1" t="s">
        <v>660</v>
      </c>
      <c r="B214" s="1" t="s">
        <v>661</v>
      </c>
      <c r="C214" s="1">
        <v>591</v>
      </c>
      <c r="D214" s="1">
        <v>14</v>
      </c>
      <c r="F214" s="1">
        <v>2023</v>
      </c>
      <c r="G214" s="1" t="s">
        <v>617</v>
      </c>
      <c r="H214" s="1">
        <v>605947</v>
      </c>
      <c r="I214" s="1">
        <v>3</v>
      </c>
      <c r="K214" s="1" t="s">
        <v>662</v>
      </c>
      <c r="L214" s="1" t="s">
        <v>663</v>
      </c>
      <c r="M214" s="1">
        <v>3</v>
      </c>
      <c r="N214" s="1" t="s">
        <v>39</v>
      </c>
      <c r="O214" s="1">
        <v>39.730200000000004</v>
      </c>
      <c r="P214" s="1">
        <v>-75.537099999999995</v>
      </c>
      <c r="Q214" s="1" t="s">
        <v>664</v>
      </c>
      <c r="T214" s="1" t="s">
        <v>93</v>
      </c>
      <c r="U214" s="1" t="s">
        <v>94</v>
      </c>
      <c r="X214" s="1" t="s">
        <v>95</v>
      </c>
      <c r="AA214" s="3">
        <v>26969</v>
      </c>
      <c r="AB214" s="1" t="s">
        <v>46</v>
      </c>
      <c r="AC214" s="5">
        <v>391</v>
      </c>
      <c r="AD214" s="1" t="s">
        <v>666</v>
      </c>
      <c r="AE214" s="1" t="str">
        <f t="shared" si="17"/>
        <v>591 14</v>
      </c>
      <c r="AF214" s="5" t="str">
        <f t="shared" si="18"/>
        <v>26.6</v>
      </c>
      <c r="AG214" s="1" t="str">
        <f t="shared" si="16"/>
        <v/>
      </c>
    </row>
    <row r="215" spans="1:33" x14ac:dyDescent="0.2">
      <c r="A215" s="1" t="s">
        <v>660</v>
      </c>
      <c r="B215" s="1" t="s">
        <v>667</v>
      </c>
      <c r="C215" s="1">
        <v>593</v>
      </c>
      <c r="D215" s="1">
        <v>3</v>
      </c>
      <c r="F215" s="1">
        <v>2023</v>
      </c>
      <c r="G215" s="1" t="s">
        <v>579</v>
      </c>
      <c r="H215" s="1">
        <v>605947</v>
      </c>
      <c r="I215" s="1">
        <v>3</v>
      </c>
      <c r="J215" s="1" t="s">
        <v>668</v>
      </c>
      <c r="K215" s="1" t="s">
        <v>662</v>
      </c>
      <c r="L215" s="1" t="s">
        <v>663</v>
      </c>
      <c r="M215" s="1">
        <v>3</v>
      </c>
      <c r="N215" s="1" t="s">
        <v>39</v>
      </c>
      <c r="O215" s="1">
        <v>39.737200000000001</v>
      </c>
      <c r="P215" s="1">
        <v>-75.503299999999996</v>
      </c>
      <c r="Q215" s="1" t="s">
        <v>664</v>
      </c>
      <c r="R215" s="1" t="s">
        <v>41</v>
      </c>
      <c r="S215" s="1" t="s">
        <v>42</v>
      </c>
      <c r="T215" s="1" t="s">
        <v>43</v>
      </c>
      <c r="U215" s="1" t="s">
        <v>44</v>
      </c>
      <c r="V215" s="1" t="s">
        <v>173</v>
      </c>
      <c r="X215" s="1" t="s">
        <v>669</v>
      </c>
      <c r="Y215" s="1" t="s">
        <v>58</v>
      </c>
      <c r="AA215" s="3">
        <v>20059</v>
      </c>
      <c r="AB215" s="1" t="s">
        <v>46</v>
      </c>
      <c r="AC215" s="5">
        <v>1400</v>
      </c>
      <c r="AD215" s="1" t="s">
        <v>670</v>
      </c>
      <c r="AE215" s="1" t="str">
        <f t="shared" si="17"/>
        <v>593 3</v>
      </c>
      <c r="AF215" s="5" t="str">
        <f t="shared" si="18"/>
        <v>75</v>
      </c>
      <c r="AG215" s="1" t="str">
        <f t="shared" si="16"/>
        <v>Y</v>
      </c>
    </row>
    <row r="216" spans="1:33" x14ac:dyDescent="0.2">
      <c r="A216" s="1" t="s">
        <v>660</v>
      </c>
      <c r="B216" s="1" t="s">
        <v>667</v>
      </c>
      <c r="C216" s="1">
        <v>593</v>
      </c>
      <c r="D216" s="1">
        <v>4</v>
      </c>
      <c r="F216" s="1">
        <v>2023</v>
      </c>
      <c r="G216" s="1" t="s">
        <v>579</v>
      </c>
      <c r="H216" s="1">
        <v>605947</v>
      </c>
      <c r="I216" s="1">
        <v>3</v>
      </c>
      <c r="J216" s="1" t="s">
        <v>668</v>
      </c>
      <c r="K216" s="1" t="s">
        <v>662</v>
      </c>
      <c r="L216" s="1" t="s">
        <v>663</v>
      </c>
      <c r="M216" s="1">
        <v>3</v>
      </c>
      <c r="N216" s="1" t="s">
        <v>39</v>
      </c>
      <c r="O216" s="1">
        <v>39.737200000000001</v>
      </c>
      <c r="P216" s="1">
        <v>-75.503299999999996</v>
      </c>
      <c r="Q216" s="1" t="s">
        <v>664</v>
      </c>
      <c r="R216" s="1" t="s">
        <v>41</v>
      </c>
      <c r="S216" s="1" t="s">
        <v>42</v>
      </c>
      <c r="T216" s="1" t="s">
        <v>43</v>
      </c>
      <c r="U216" s="1" t="s">
        <v>44</v>
      </c>
      <c r="V216" s="1" t="s">
        <v>173</v>
      </c>
      <c r="X216" s="1" t="s">
        <v>242</v>
      </c>
      <c r="Y216" s="1" t="s">
        <v>58</v>
      </c>
      <c r="AA216" s="3">
        <v>24198</v>
      </c>
      <c r="AB216" s="1" t="s">
        <v>46</v>
      </c>
      <c r="AC216" s="5">
        <v>1867</v>
      </c>
      <c r="AD216" s="1" t="s">
        <v>671</v>
      </c>
      <c r="AE216" s="1" t="str">
        <f t="shared" si="17"/>
        <v>593 4</v>
      </c>
      <c r="AF216" s="5" t="str">
        <f t="shared" si="18"/>
        <v>176.8</v>
      </c>
      <c r="AG216" s="1" t="str">
        <f t="shared" si="16"/>
        <v/>
      </c>
    </row>
    <row r="217" spans="1:33" x14ac:dyDescent="0.2">
      <c r="A217" s="1" t="s">
        <v>660</v>
      </c>
      <c r="B217" s="1" t="s">
        <v>667</v>
      </c>
      <c r="C217" s="1">
        <v>593</v>
      </c>
      <c r="D217" s="1">
        <v>5</v>
      </c>
      <c r="F217" s="1">
        <v>2023</v>
      </c>
      <c r="G217" s="1" t="s">
        <v>594</v>
      </c>
      <c r="H217" s="1">
        <v>605947</v>
      </c>
      <c r="I217" s="1">
        <v>3</v>
      </c>
      <c r="J217" s="1" t="s">
        <v>668</v>
      </c>
      <c r="K217" s="1" t="s">
        <v>662</v>
      </c>
      <c r="L217" s="1" t="s">
        <v>663</v>
      </c>
      <c r="M217" s="1">
        <v>3</v>
      </c>
      <c r="N217" s="1" t="s">
        <v>39</v>
      </c>
      <c r="O217" s="1">
        <v>39.737200000000001</v>
      </c>
      <c r="P217" s="1">
        <v>-75.503299999999996</v>
      </c>
      <c r="Q217" s="1" t="s">
        <v>664</v>
      </c>
      <c r="R217" s="1" t="s">
        <v>41</v>
      </c>
      <c r="T217" s="1" t="s">
        <v>89</v>
      </c>
      <c r="U217" s="1" t="s">
        <v>173</v>
      </c>
      <c r="V217" s="1" t="s">
        <v>44</v>
      </c>
      <c r="X217" s="1" t="s">
        <v>289</v>
      </c>
      <c r="Y217" s="1" t="s">
        <v>672</v>
      </c>
      <c r="AA217" s="3">
        <v>26877</v>
      </c>
      <c r="AB217" s="1" t="s">
        <v>46</v>
      </c>
      <c r="AC217" s="5">
        <v>4695</v>
      </c>
      <c r="AD217" s="1" t="s">
        <v>673</v>
      </c>
      <c r="AE217" s="1" t="str">
        <f t="shared" si="17"/>
        <v>593 5</v>
      </c>
      <c r="AF217" s="5" t="str">
        <f t="shared" si="18"/>
        <v>446</v>
      </c>
      <c r="AG217" s="1" t="str">
        <f t="shared" si="16"/>
        <v/>
      </c>
    </row>
    <row r="218" spans="1:33" x14ac:dyDescent="0.2">
      <c r="A218" s="1" t="s">
        <v>660</v>
      </c>
      <c r="B218" s="1" t="s">
        <v>674</v>
      </c>
      <c r="C218" s="1">
        <v>594</v>
      </c>
      <c r="D218" s="1">
        <v>4</v>
      </c>
      <c r="F218" s="1">
        <v>2023</v>
      </c>
      <c r="G218" s="1" t="s">
        <v>594</v>
      </c>
      <c r="H218" s="1">
        <v>608788</v>
      </c>
      <c r="I218" s="1">
        <v>3</v>
      </c>
      <c r="K218" s="1" t="s">
        <v>675</v>
      </c>
      <c r="L218" s="1" t="s">
        <v>676</v>
      </c>
      <c r="M218" s="1">
        <v>5</v>
      </c>
      <c r="N218" s="1" t="s">
        <v>39</v>
      </c>
      <c r="O218" s="1">
        <v>38.585700000000003</v>
      </c>
      <c r="P218" s="1">
        <v>-75.234099999999998</v>
      </c>
      <c r="Q218" s="1" t="s">
        <v>677</v>
      </c>
      <c r="R218" s="1" t="s">
        <v>41</v>
      </c>
      <c r="S218" s="1" t="s">
        <v>42</v>
      </c>
      <c r="T218" s="1" t="s">
        <v>319</v>
      </c>
      <c r="U218" s="1" t="s">
        <v>55</v>
      </c>
      <c r="W218" s="1" t="s">
        <v>212</v>
      </c>
      <c r="X218" s="1" t="s">
        <v>678</v>
      </c>
      <c r="Y218" s="1" t="s">
        <v>58</v>
      </c>
      <c r="AA218" s="3">
        <v>29373</v>
      </c>
      <c r="AB218" s="1" t="s">
        <v>46</v>
      </c>
      <c r="AC218" s="5">
        <v>5091</v>
      </c>
      <c r="AD218" s="1" t="s">
        <v>679</v>
      </c>
      <c r="AE218" s="1" t="str">
        <f t="shared" si="17"/>
        <v>594 4</v>
      </c>
      <c r="AF218" s="5" t="str">
        <f t="shared" si="18"/>
        <v>442.4</v>
      </c>
      <c r="AG218" s="1" t="str">
        <f t="shared" si="16"/>
        <v>Y</v>
      </c>
    </row>
    <row r="219" spans="1:33" x14ac:dyDescent="0.2">
      <c r="A219" s="1" t="s">
        <v>680</v>
      </c>
      <c r="B219" s="1" t="s">
        <v>681</v>
      </c>
      <c r="C219" s="1">
        <v>602</v>
      </c>
      <c r="D219" s="1">
        <v>1</v>
      </c>
      <c r="F219" s="1">
        <v>2023</v>
      </c>
      <c r="G219" s="1" t="s">
        <v>682</v>
      </c>
      <c r="H219" s="1" t="s">
        <v>683</v>
      </c>
      <c r="I219" s="1">
        <v>3</v>
      </c>
      <c r="J219" s="1" t="s">
        <v>668</v>
      </c>
      <c r="K219" s="1" t="s">
        <v>684</v>
      </c>
      <c r="L219" s="1" t="s">
        <v>685</v>
      </c>
      <c r="M219" s="1">
        <v>3</v>
      </c>
      <c r="N219" s="1" t="s">
        <v>39</v>
      </c>
      <c r="O219" s="1">
        <v>39.179200000000002</v>
      </c>
      <c r="P219" s="1">
        <v>-76.538300000000007</v>
      </c>
      <c r="Q219" s="1" t="s">
        <v>686</v>
      </c>
      <c r="R219" s="1" t="s">
        <v>41</v>
      </c>
      <c r="S219" s="1" t="s">
        <v>42</v>
      </c>
      <c r="T219" s="1" t="s">
        <v>89</v>
      </c>
      <c r="U219" s="1" t="s">
        <v>55</v>
      </c>
      <c r="W219" s="1" t="s">
        <v>241</v>
      </c>
      <c r="X219" s="1" t="s">
        <v>563</v>
      </c>
      <c r="Y219" s="1" t="s">
        <v>687</v>
      </c>
      <c r="AA219" s="3">
        <v>30817</v>
      </c>
      <c r="AB219" s="1" t="s">
        <v>46</v>
      </c>
      <c r="AC219" s="5">
        <v>8000</v>
      </c>
      <c r="AD219" s="1" t="s">
        <v>688</v>
      </c>
      <c r="AE219" s="1" t="str">
        <f t="shared" si="17"/>
        <v>602 1</v>
      </c>
      <c r="AF219" s="5" t="str">
        <f t="shared" si="18"/>
        <v>785</v>
      </c>
      <c r="AG219" s="1" t="str">
        <f t="shared" si="16"/>
        <v>Y</v>
      </c>
    </row>
    <row r="220" spans="1:33" x14ac:dyDescent="0.2">
      <c r="A220" s="1" t="s">
        <v>680</v>
      </c>
      <c r="B220" s="1" t="s">
        <v>681</v>
      </c>
      <c r="C220" s="1">
        <v>602</v>
      </c>
      <c r="D220" s="1">
        <v>2</v>
      </c>
      <c r="F220" s="1">
        <v>2023</v>
      </c>
      <c r="G220" s="1" t="s">
        <v>682</v>
      </c>
      <c r="H220" s="1" t="s">
        <v>683</v>
      </c>
      <c r="I220" s="1">
        <v>3</v>
      </c>
      <c r="J220" s="1" t="s">
        <v>668</v>
      </c>
      <c r="K220" s="1" t="s">
        <v>684</v>
      </c>
      <c r="L220" s="1" t="s">
        <v>685</v>
      </c>
      <c r="M220" s="1">
        <v>3</v>
      </c>
      <c r="N220" s="1" t="s">
        <v>39</v>
      </c>
      <c r="O220" s="1">
        <v>39.179200000000002</v>
      </c>
      <c r="P220" s="1">
        <v>-76.538300000000007</v>
      </c>
      <c r="Q220" s="1" t="s">
        <v>686</v>
      </c>
      <c r="R220" s="1" t="s">
        <v>41</v>
      </c>
      <c r="S220" s="1" t="s">
        <v>42</v>
      </c>
      <c r="T220" s="1" t="s">
        <v>89</v>
      </c>
      <c r="U220" s="1" t="s">
        <v>55</v>
      </c>
      <c r="W220" s="1" t="s">
        <v>56</v>
      </c>
      <c r="X220" s="1" t="s">
        <v>563</v>
      </c>
      <c r="Y220" s="1" t="s">
        <v>687</v>
      </c>
      <c r="AA220" s="3">
        <v>33386</v>
      </c>
      <c r="AB220" s="1" t="s">
        <v>46</v>
      </c>
      <c r="AC220" s="5">
        <v>8000</v>
      </c>
      <c r="AD220" s="1" t="s">
        <v>689</v>
      </c>
      <c r="AE220" s="1" t="str">
        <f t="shared" si="17"/>
        <v>602 2</v>
      </c>
      <c r="AF220" s="5" t="str">
        <f t="shared" si="18"/>
        <v>785</v>
      </c>
      <c r="AG220" s="1" t="str">
        <f t="shared" si="16"/>
        <v>Y</v>
      </c>
    </row>
    <row r="221" spans="1:33" x14ac:dyDescent="0.2">
      <c r="A221" s="1" t="s">
        <v>690</v>
      </c>
      <c r="B221" s="1" t="s">
        <v>691</v>
      </c>
      <c r="C221" s="1">
        <v>607</v>
      </c>
      <c r="D221" s="1" t="s">
        <v>101</v>
      </c>
      <c r="F221" s="1">
        <v>2023</v>
      </c>
      <c r="G221" s="1" t="s">
        <v>247</v>
      </c>
      <c r="H221" s="1" t="s">
        <v>692</v>
      </c>
      <c r="I221" s="1">
        <v>10</v>
      </c>
      <c r="K221" s="1" t="s">
        <v>693</v>
      </c>
      <c r="L221" s="1" t="s">
        <v>694</v>
      </c>
      <c r="M221" s="1">
        <v>57</v>
      </c>
      <c r="N221" s="1" t="s">
        <v>39</v>
      </c>
      <c r="O221" s="1">
        <v>48.455300000000001</v>
      </c>
      <c r="P221" s="1">
        <v>-122.435</v>
      </c>
      <c r="Q221" s="1" t="s">
        <v>695</v>
      </c>
      <c r="R221" s="1" t="s">
        <v>41</v>
      </c>
      <c r="T221" s="1" t="s">
        <v>93</v>
      </c>
      <c r="U221" s="1" t="s">
        <v>284</v>
      </c>
      <c r="V221" s="1" t="s">
        <v>94</v>
      </c>
      <c r="X221" s="1" t="s">
        <v>176</v>
      </c>
      <c r="AA221" s="3">
        <v>37080</v>
      </c>
      <c r="AB221" s="1" t="s">
        <v>46</v>
      </c>
      <c r="AC221" s="5">
        <v>675</v>
      </c>
      <c r="AD221" s="1" t="s">
        <v>696</v>
      </c>
      <c r="AE221" s="1" t="str">
        <f t="shared" si="17"/>
        <v>607 CT3</v>
      </c>
      <c r="AF221" s="5" t="str">
        <f t="shared" si="18"/>
        <v>58.9</v>
      </c>
      <c r="AG221" s="1" t="str">
        <f t="shared" si="16"/>
        <v>Y</v>
      </c>
    </row>
    <row r="222" spans="1:33" x14ac:dyDescent="0.2">
      <c r="A222" s="1" t="s">
        <v>690</v>
      </c>
      <c r="B222" s="1" t="s">
        <v>691</v>
      </c>
      <c r="C222" s="1">
        <v>607</v>
      </c>
      <c r="D222" s="1" t="s">
        <v>103</v>
      </c>
      <c r="F222" s="1">
        <v>2023</v>
      </c>
      <c r="G222" s="1" t="s">
        <v>247</v>
      </c>
      <c r="H222" s="1" t="s">
        <v>692</v>
      </c>
      <c r="I222" s="1">
        <v>10</v>
      </c>
      <c r="K222" s="1" t="s">
        <v>693</v>
      </c>
      <c r="L222" s="1" t="s">
        <v>694</v>
      </c>
      <c r="M222" s="1">
        <v>57</v>
      </c>
      <c r="N222" s="1" t="s">
        <v>39</v>
      </c>
      <c r="O222" s="1">
        <v>48.455300000000001</v>
      </c>
      <c r="P222" s="1">
        <v>-122.435</v>
      </c>
      <c r="Q222" s="1" t="s">
        <v>695</v>
      </c>
      <c r="R222" s="1" t="s">
        <v>41</v>
      </c>
      <c r="T222" s="1" t="s">
        <v>93</v>
      </c>
      <c r="U222" s="1" t="s">
        <v>284</v>
      </c>
      <c r="V222" s="1" t="s">
        <v>94</v>
      </c>
      <c r="X222" s="1" t="s">
        <v>176</v>
      </c>
      <c r="AA222" s="3">
        <v>37087</v>
      </c>
      <c r="AB222" s="1" t="s">
        <v>46</v>
      </c>
      <c r="AC222" s="5">
        <v>675</v>
      </c>
      <c r="AD222" s="1" t="s">
        <v>697</v>
      </c>
      <c r="AE222" s="1" t="str">
        <f t="shared" si="17"/>
        <v>607 CT4</v>
      </c>
      <c r="AF222" s="5" t="str">
        <f t="shared" si="18"/>
        <v>58.9</v>
      </c>
      <c r="AG222" s="1" t="str">
        <f t="shared" si="16"/>
        <v>Y</v>
      </c>
    </row>
    <row r="223" spans="1:33" x14ac:dyDescent="0.2">
      <c r="A223" s="1" t="s">
        <v>304</v>
      </c>
      <c r="B223" s="1" t="s">
        <v>698</v>
      </c>
      <c r="C223" s="1">
        <v>609</v>
      </c>
      <c r="D223" s="1" t="s">
        <v>699</v>
      </c>
      <c r="F223" s="1">
        <v>2023</v>
      </c>
      <c r="G223" s="1" t="s">
        <v>247</v>
      </c>
      <c r="H223" s="1">
        <v>606322</v>
      </c>
      <c r="I223" s="1">
        <v>4</v>
      </c>
      <c r="J223" s="1" t="s">
        <v>36</v>
      </c>
      <c r="K223" s="1" t="s">
        <v>700</v>
      </c>
      <c r="L223" s="1" t="s">
        <v>701</v>
      </c>
      <c r="M223" s="1">
        <v>9</v>
      </c>
      <c r="N223" s="1" t="s">
        <v>39</v>
      </c>
      <c r="O223" s="1">
        <v>28.4694</v>
      </c>
      <c r="P223" s="1">
        <v>-80.764200000000002</v>
      </c>
      <c r="Q223" s="1" t="s">
        <v>702</v>
      </c>
      <c r="R223" s="1" t="s">
        <v>41</v>
      </c>
      <c r="T223" s="1" t="s">
        <v>71</v>
      </c>
      <c r="U223" s="1" t="s">
        <v>44</v>
      </c>
      <c r="V223" s="1" t="s">
        <v>94</v>
      </c>
      <c r="X223" s="1" t="s">
        <v>643</v>
      </c>
      <c r="AA223" s="3">
        <v>41259</v>
      </c>
      <c r="AB223" s="1" t="s">
        <v>46</v>
      </c>
      <c r="AC223" s="5">
        <v>3046</v>
      </c>
      <c r="AD223" s="1" t="s">
        <v>703</v>
      </c>
      <c r="AE223" s="1" t="str">
        <f t="shared" si="17"/>
        <v>609 CCCT3A</v>
      </c>
      <c r="AF223" s="14">
        <f>MID(AD223,FIND("(",AD223)+1,FIND(")",AD223)-FIND("(",AD223)-1)+500/3</f>
        <v>431.66666666666663</v>
      </c>
      <c r="AG223" s="1" t="str">
        <f t="shared" si="16"/>
        <v>Y</v>
      </c>
    </row>
    <row r="224" spans="1:33" x14ac:dyDescent="0.2">
      <c r="A224" s="1" t="s">
        <v>304</v>
      </c>
      <c r="B224" s="1" t="s">
        <v>698</v>
      </c>
      <c r="C224" s="1">
        <v>609</v>
      </c>
      <c r="D224" s="1" t="s">
        <v>704</v>
      </c>
      <c r="F224" s="1">
        <v>2023</v>
      </c>
      <c r="G224" s="1" t="s">
        <v>247</v>
      </c>
      <c r="H224" s="1">
        <v>606322</v>
      </c>
      <c r="I224" s="1">
        <v>4</v>
      </c>
      <c r="J224" s="1" t="s">
        <v>36</v>
      </c>
      <c r="K224" s="1" t="s">
        <v>700</v>
      </c>
      <c r="L224" s="1" t="s">
        <v>701</v>
      </c>
      <c r="M224" s="1">
        <v>9</v>
      </c>
      <c r="N224" s="1" t="s">
        <v>39</v>
      </c>
      <c r="O224" s="1">
        <v>28.4694</v>
      </c>
      <c r="P224" s="1">
        <v>-80.764200000000002</v>
      </c>
      <c r="Q224" s="1" t="s">
        <v>702</v>
      </c>
      <c r="R224" s="1" t="s">
        <v>41</v>
      </c>
      <c r="T224" s="1" t="s">
        <v>71</v>
      </c>
      <c r="U224" s="1" t="s">
        <v>44</v>
      </c>
      <c r="V224" s="1" t="s">
        <v>94</v>
      </c>
      <c r="X224" s="1" t="s">
        <v>643</v>
      </c>
      <c r="AA224" s="3">
        <v>41249</v>
      </c>
      <c r="AB224" s="1" t="s">
        <v>46</v>
      </c>
      <c r="AC224" s="5">
        <v>3046</v>
      </c>
      <c r="AD224" s="1" t="s">
        <v>705</v>
      </c>
      <c r="AE224" s="1" t="str">
        <f t="shared" si="17"/>
        <v>609 CCCT3B</v>
      </c>
      <c r="AF224" s="14">
        <f>AF223</f>
        <v>431.66666666666663</v>
      </c>
      <c r="AG224" s="1" t="str">
        <f t="shared" si="16"/>
        <v>Y</v>
      </c>
    </row>
    <row r="225" spans="1:33" x14ac:dyDescent="0.2">
      <c r="A225" s="1" t="s">
        <v>304</v>
      </c>
      <c r="B225" s="1" t="s">
        <v>698</v>
      </c>
      <c r="C225" s="1">
        <v>609</v>
      </c>
      <c r="D225" s="1" t="s">
        <v>706</v>
      </c>
      <c r="F225" s="1">
        <v>2023</v>
      </c>
      <c r="G225" s="1" t="s">
        <v>247</v>
      </c>
      <c r="H225" s="1">
        <v>606322</v>
      </c>
      <c r="I225" s="1">
        <v>4</v>
      </c>
      <c r="J225" s="1" t="s">
        <v>36</v>
      </c>
      <c r="K225" s="1" t="s">
        <v>700</v>
      </c>
      <c r="L225" s="1" t="s">
        <v>701</v>
      </c>
      <c r="M225" s="1">
        <v>9</v>
      </c>
      <c r="N225" s="1" t="s">
        <v>39</v>
      </c>
      <c r="O225" s="1">
        <v>28.4694</v>
      </c>
      <c r="P225" s="1">
        <v>-80.764200000000002</v>
      </c>
      <c r="Q225" s="1" t="s">
        <v>702</v>
      </c>
      <c r="R225" s="1" t="s">
        <v>41</v>
      </c>
      <c r="T225" s="1" t="s">
        <v>71</v>
      </c>
      <c r="U225" s="1" t="s">
        <v>44</v>
      </c>
      <c r="V225" s="1" t="s">
        <v>94</v>
      </c>
      <c r="X225" s="1" t="s">
        <v>643</v>
      </c>
      <c r="AA225" s="3">
        <v>41236</v>
      </c>
      <c r="AB225" s="1" t="s">
        <v>46</v>
      </c>
      <c r="AC225" s="5">
        <v>3046</v>
      </c>
      <c r="AD225" s="1" t="s">
        <v>707</v>
      </c>
      <c r="AE225" s="1" t="str">
        <f t="shared" si="17"/>
        <v>609 CCCT3C</v>
      </c>
      <c r="AF225" s="14">
        <f>AF223</f>
        <v>431.66666666666663</v>
      </c>
      <c r="AG225" s="1" t="str">
        <f t="shared" si="16"/>
        <v>Y</v>
      </c>
    </row>
    <row r="226" spans="1:33" x14ac:dyDescent="0.2">
      <c r="A226" s="1" t="s">
        <v>304</v>
      </c>
      <c r="B226" s="1" t="s">
        <v>708</v>
      </c>
      <c r="C226" s="1">
        <v>612</v>
      </c>
      <c r="D226" s="1" t="s">
        <v>709</v>
      </c>
      <c r="F226" s="1">
        <v>2023</v>
      </c>
      <c r="G226" s="1" t="s">
        <v>247</v>
      </c>
      <c r="H226" s="1">
        <v>606322</v>
      </c>
      <c r="I226" s="1">
        <v>4</v>
      </c>
      <c r="K226" s="1" t="s">
        <v>710</v>
      </c>
      <c r="L226" s="1" t="s">
        <v>711</v>
      </c>
      <c r="M226" s="1">
        <v>71</v>
      </c>
      <c r="N226" s="1" t="s">
        <v>39</v>
      </c>
      <c r="O226" s="1">
        <v>26.6967</v>
      </c>
      <c r="P226" s="1">
        <v>-81.783100000000005</v>
      </c>
      <c r="Q226" s="1" t="s">
        <v>702</v>
      </c>
      <c r="R226" s="1" t="s">
        <v>41</v>
      </c>
      <c r="T226" s="1" t="s">
        <v>71</v>
      </c>
      <c r="U226" s="1" t="s">
        <v>44</v>
      </c>
      <c r="X226" s="1" t="s">
        <v>140</v>
      </c>
      <c r="AA226" s="3">
        <v>36791</v>
      </c>
      <c r="AB226" s="1" t="s">
        <v>46</v>
      </c>
      <c r="AC226" s="5">
        <v>2190</v>
      </c>
      <c r="AD226" s="1" t="s">
        <v>712</v>
      </c>
      <c r="AE226" s="1" t="str">
        <f t="shared" si="17"/>
        <v>612 FMCT2A</v>
      </c>
      <c r="AF226" s="14">
        <f>AF231</f>
        <v>281.26666666666665</v>
      </c>
      <c r="AG226" s="1" t="str">
        <f t="shared" si="16"/>
        <v/>
      </c>
    </row>
    <row r="227" spans="1:33" x14ac:dyDescent="0.2">
      <c r="A227" s="1" t="s">
        <v>304</v>
      </c>
      <c r="B227" s="1" t="s">
        <v>708</v>
      </c>
      <c r="C227" s="1">
        <v>612</v>
      </c>
      <c r="D227" s="1" t="s">
        <v>713</v>
      </c>
      <c r="F227" s="1">
        <v>2023</v>
      </c>
      <c r="G227" s="1" t="s">
        <v>247</v>
      </c>
      <c r="H227" s="1">
        <v>606322</v>
      </c>
      <c r="I227" s="1">
        <v>4</v>
      </c>
      <c r="K227" s="1" t="s">
        <v>710</v>
      </c>
      <c r="L227" s="1" t="s">
        <v>711</v>
      </c>
      <c r="M227" s="1">
        <v>71</v>
      </c>
      <c r="N227" s="1" t="s">
        <v>39</v>
      </c>
      <c r="O227" s="1">
        <v>26.6967</v>
      </c>
      <c r="P227" s="1">
        <v>-81.783100000000005</v>
      </c>
      <c r="Q227" s="1" t="s">
        <v>702</v>
      </c>
      <c r="R227" s="1" t="s">
        <v>41</v>
      </c>
      <c r="T227" s="1" t="s">
        <v>71</v>
      </c>
      <c r="U227" s="1" t="s">
        <v>44</v>
      </c>
      <c r="X227" s="1" t="s">
        <v>140</v>
      </c>
      <c r="AA227" s="3">
        <v>36791</v>
      </c>
      <c r="AB227" s="1" t="s">
        <v>46</v>
      </c>
      <c r="AC227" s="5">
        <v>2190</v>
      </c>
      <c r="AD227" s="1" t="s">
        <v>714</v>
      </c>
      <c r="AE227" s="1" t="str">
        <f t="shared" si="17"/>
        <v>612 FMCT2B</v>
      </c>
      <c r="AF227" s="14">
        <f>AF231</f>
        <v>281.26666666666665</v>
      </c>
      <c r="AG227" s="1" t="str">
        <f t="shared" si="16"/>
        <v/>
      </c>
    </row>
    <row r="228" spans="1:33" x14ac:dyDescent="0.2">
      <c r="A228" s="1" t="s">
        <v>304</v>
      </c>
      <c r="B228" s="1" t="s">
        <v>708</v>
      </c>
      <c r="C228" s="1">
        <v>612</v>
      </c>
      <c r="D228" s="1" t="s">
        <v>715</v>
      </c>
      <c r="F228" s="1">
        <v>2023</v>
      </c>
      <c r="G228" s="1" t="s">
        <v>247</v>
      </c>
      <c r="H228" s="1">
        <v>606322</v>
      </c>
      <c r="I228" s="1">
        <v>4</v>
      </c>
      <c r="K228" s="1" t="s">
        <v>710</v>
      </c>
      <c r="L228" s="1" t="s">
        <v>711</v>
      </c>
      <c r="M228" s="1">
        <v>71</v>
      </c>
      <c r="N228" s="1" t="s">
        <v>39</v>
      </c>
      <c r="O228" s="1">
        <v>26.6967</v>
      </c>
      <c r="P228" s="1">
        <v>-81.783100000000005</v>
      </c>
      <c r="Q228" s="1" t="s">
        <v>702</v>
      </c>
      <c r="R228" s="1" t="s">
        <v>41</v>
      </c>
      <c r="T228" s="1" t="s">
        <v>71</v>
      </c>
      <c r="U228" s="1" t="s">
        <v>44</v>
      </c>
      <c r="X228" s="1" t="s">
        <v>140</v>
      </c>
      <c r="AA228" s="3">
        <v>36892</v>
      </c>
      <c r="AB228" s="1" t="s">
        <v>46</v>
      </c>
      <c r="AC228" s="5">
        <v>2190</v>
      </c>
      <c r="AD228" s="1" t="s">
        <v>716</v>
      </c>
      <c r="AE228" s="1" t="str">
        <f t="shared" si="17"/>
        <v>612 FMCT2C</v>
      </c>
      <c r="AF228" s="14">
        <f>AF231</f>
        <v>281.26666666666665</v>
      </c>
      <c r="AG228" s="1" t="str">
        <f t="shared" si="16"/>
        <v/>
      </c>
    </row>
    <row r="229" spans="1:33" x14ac:dyDescent="0.2">
      <c r="A229" s="1" t="s">
        <v>304</v>
      </c>
      <c r="B229" s="1" t="s">
        <v>708</v>
      </c>
      <c r="C229" s="1">
        <v>612</v>
      </c>
      <c r="D229" s="1" t="s">
        <v>717</v>
      </c>
      <c r="F229" s="1">
        <v>2023</v>
      </c>
      <c r="G229" s="1" t="s">
        <v>247</v>
      </c>
      <c r="H229" s="1">
        <v>606322</v>
      </c>
      <c r="I229" s="1">
        <v>4</v>
      </c>
      <c r="K229" s="1" t="s">
        <v>710</v>
      </c>
      <c r="L229" s="1" t="s">
        <v>711</v>
      </c>
      <c r="M229" s="1">
        <v>71</v>
      </c>
      <c r="N229" s="1" t="s">
        <v>39</v>
      </c>
      <c r="O229" s="1">
        <v>26.6967</v>
      </c>
      <c r="P229" s="1">
        <v>-81.783100000000005</v>
      </c>
      <c r="Q229" s="1" t="s">
        <v>702</v>
      </c>
      <c r="R229" s="1" t="s">
        <v>41</v>
      </c>
      <c r="T229" s="1" t="s">
        <v>71</v>
      </c>
      <c r="U229" s="1" t="s">
        <v>44</v>
      </c>
      <c r="X229" s="1" t="s">
        <v>140</v>
      </c>
      <c r="AA229" s="3">
        <v>36982</v>
      </c>
      <c r="AB229" s="1" t="s">
        <v>46</v>
      </c>
      <c r="AC229" s="5">
        <v>2190</v>
      </c>
      <c r="AD229" s="1" t="s">
        <v>718</v>
      </c>
      <c r="AE229" s="1" t="str">
        <f t="shared" si="17"/>
        <v>612 FMCT2D</v>
      </c>
      <c r="AF229" s="14">
        <f>AF231</f>
        <v>281.26666666666665</v>
      </c>
      <c r="AG229" s="1" t="str">
        <f t="shared" si="16"/>
        <v/>
      </c>
    </row>
    <row r="230" spans="1:33" x14ac:dyDescent="0.2">
      <c r="A230" s="1" t="s">
        <v>304</v>
      </c>
      <c r="B230" s="1" t="s">
        <v>708</v>
      </c>
      <c r="C230" s="1">
        <v>612</v>
      </c>
      <c r="D230" s="1" t="s">
        <v>719</v>
      </c>
      <c r="F230" s="1">
        <v>2023</v>
      </c>
      <c r="G230" s="1" t="s">
        <v>247</v>
      </c>
      <c r="H230" s="1">
        <v>606322</v>
      </c>
      <c r="I230" s="1">
        <v>4</v>
      </c>
      <c r="K230" s="1" t="s">
        <v>710</v>
      </c>
      <c r="L230" s="1" t="s">
        <v>711</v>
      </c>
      <c r="M230" s="1">
        <v>71</v>
      </c>
      <c r="N230" s="1" t="s">
        <v>39</v>
      </c>
      <c r="O230" s="1">
        <v>26.6967</v>
      </c>
      <c r="P230" s="1">
        <v>-81.783100000000005</v>
      </c>
      <c r="Q230" s="1" t="s">
        <v>702</v>
      </c>
      <c r="R230" s="1" t="s">
        <v>41</v>
      </c>
      <c r="T230" s="1" t="s">
        <v>71</v>
      </c>
      <c r="U230" s="1" t="s">
        <v>44</v>
      </c>
      <c r="X230" s="1" t="s">
        <v>140</v>
      </c>
      <c r="AA230" s="3">
        <v>36982</v>
      </c>
      <c r="AB230" s="1" t="s">
        <v>46</v>
      </c>
      <c r="AC230" s="5">
        <v>2190</v>
      </c>
      <c r="AD230" s="1" t="s">
        <v>720</v>
      </c>
      <c r="AE230" s="1" t="str">
        <f t="shared" si="17"/>
        <v>612 FMCT2E</v>
      </c>
      <c r="AF230" s="14">
        <f>AF231</f>
        <v>281.26666666666665</v>
      </c>
      <c r="AG230" s="1" t="str">
        <f t="shared" si="16"/>
        <v/>
      </c>
    </row>
    <row r="231" spans="1:33" x14ac:dyDescent="0.2">
      <c r="A231" s="1" t="s">
        <v>304</v>
      </c>
      <c r="B231" s="1" t="s">
        <v>708</v>
      </c>
      <c r="C231" s="1">
        <v>612</v>
      </c>
      <c r="D231" s="1" t="s">
        <v>721</v>
      </c>
      <c r="F231" s="1">
        <v>2023</v>
      </c>
      <c r="G231" s="1" t="s">
        <v>247</v>
      </c>
      <c r="H231" s="1">
        <v>606322</v>
      </c>
      <c r="I231" s="1">
        <v>4</v>
      </c>
      <c r="K231" s="1" t="s">
        <v>710</v>
      </c>
      <c r="L231" s="1" t="s">
        <v>711</v>
      </c>
      <c r="M231" s="1">
        <v>71</v>
      </c>
      <c r="N231" s="1" t="s">
        <v>39</v>
      </c>
      <c r="O231" s="1">
        <v>26.6967</v>
      </c>
      <c r="P231" s="1">
        <v>-81.783100000000005</v>
      </c>
      <c r="Q231" s="1" t="s">
        <v>702</v>
      </c>
      <c r="R231" s="1" t="s">
        <v>41</v>
      </c>
      <c r="T231" s="1" t="s">
        <v>71</v>
      </c>
      <c r="U231" s="1" t="s">
        <v>44</v>
      </c>
      <c r="X231" s="1" t="s">
        <v>140</v>
      </c>
      <c r="AA231" s="3">
        <v>37003</v>
      </c>
      <c r="AB231" s="1" t="s">
        <v>46</v>
      </c>
      <c r="AC231" s="5">
        <v>2190</v>
      </c>
      <c r="AD231" s="1" t="s">
        <v>722</v>
      </c>
      <c r="AE231" s="1" t="str">
        <f t="shared" si="17"/>
        <v>612 FMCT2F</v>
      </c>
      <c r="AF231" s="14">
        <f>MID(AD231,FIND("(",AD231)+1,FIND(")",AD231)-FIND("(",AD231)-1)+402.1/6+156.3/6</f>
        <v>281.26666666666665</v>
      </c>
      <c r="AG231" s="1" t="str">
        <f t="shared" si="16"/>
        <v/>
      </c>
    </row>
    <row r="232" spans="1:33" x14ac:dyDescent="0.2">
      <c r="A232" s="1" t="s">
        <v>304</v>
      </c>
      <c r="B232" s="1" t="s">
        <v>708</v>
      </c>
      <c r="C232" s="1">
        <v>612</v>
      </c>
      <c r="D232" s="1" t="s">
        <v>723</v>
      </c>
      <c r="F232" s="1">
        <v>2023</v>
      </c>
      <c r="G232" s="1" t="s">
        <v>247</v>
      </c>
      <c r="H232" s="1">
        <v>606322</v>
      </c>
      <c r="I232" s="1">
        <v>4</v>
      </c>
      <c r="K232" s="1" t="s">
        <v>710</v>
      </c>
      <c r="L232" s="1" t="s">
        <v>711</v>
      </c>
      <c r="M232" s="1">
        <v>71</v>
      </c>
      <c r="N232" s="1" t="s">
        <v>39</v>
      </c>
      <c r="O232" s="1">
        <v>26.6967</v>
      </c>
      <c r="P232" s="1">
        <v>-81.783100000000005</v>
      </c>
      <c r="Q232" s="1" t="s">
        <v>702</v>
      </c>
      <c r="R232" s="1" t="s">
        <v>41</v>
      </c>
      <c r="T232" s="1" t="s">
        <v>93</v>
      </c>
      <c r="U232" s="1" t="s">
        <v>44</v>
      </c>
      <c r="V232" s="1" t="s">
        <v>94</v>
      </c>
      <c r="X232" s="1" t="s">
        <v>183</v>
      </c>
      <c r="AA232" s="3">
        <v>37725</v>
      </c>
      <c r="AB232" s="1" t="s">
        <v>46</v>
      </c>
      <c r="AC232" s="5">
        <v>2093</v>
      </c>
      <c r="AD232" s="1" t="s">
        <v>724</v>
      </c>
      <c r="AE232" s="1" t="str">
        <f t="shared" si="17"/>
        <v>612 PFM3A</v>
      </c>
      <c r="AF232" s="5" t="str">
        <f t="shared" ref="AF232:AF240" si="19">MID(AD232,FIND("(",AD232)+1,FIND(")",AD232)-FIND("(",AD232)-1)</f>
        <v>188.2</v>
      </c>
      <c r="AG232" s="1" t="str">
        <f t="shared" si="16"/>
        <v/>
      </c>
    </row>
    <row r="233" spans="1:33" x14ac:dyDescent="0.2">
      <c r="A233" s="1" t="s">
        <v>304</v>
      </c>
      <c r="B233" s="1" t="s">
        <v>708</v>
      </c>
      <c r="C233" s="1">
        <v>612</v>
      </c>
      <c r="D233" s="1" t="s">
        <v>725</v>
      </c>
      <c r="F233" s="1">
        <v>2023</v>
      </c>
      <c r="G233" s="1" t="s">
        <v>247</v>
      </c>
      <c r="H233" s="1">
        <v>606322</v>
      </c>
      <c r="I233" s="1">
        <v>4</v>
      </c>
      <c r="K233" s="1" t="s">
        <v>710</v>
      </c>
      <c r="L233" s="1" t="s">
        <v>711</v>
      </c>
      <c r="M233" s="1">
        <v>71</v>
      </c>
      <c r="N233" s="1" t="s">
        <v>39</v>
      </c>
      <c r="O233" s="1">
        <v>26.6967</v>
      </c>
      <c r="P233" s="1">
        <v>-81.783100000000005</v>
      </c>
      <c r="Q233" s="1" t="s">
        <v>702</v>
      </c>
      <c r="R233" s="1" t="s">
        <v>41</v>
      </c>
      <c r="T233" s="1" t="s">
        <v>93</v>
      </c>
      <c r="U233" s="1" t="s">
        <v>44</v>
      </c>
      <c r="V233" s="1" t="s">
        <v>94</v>
      </c>
      <c r="X233" s="1" t="s">
        <v>183</v>
      </c>
      <c r="AA233" s="3">
        <v>37698</v>
      </c>
      <c r="AB233" s="1" t="s">
        <v>46</v>
      </c>
      <c r="AC233" s="5">
        <v>2093</v>
      </c>
      <c r="AD233" s="1" t="s">
        <v>726</v>
      </c>
      <c r="AE233" s="1" t="str">
        <f t="shared" si="17"/>
        <v>612 PFM3B</v>
      </c>
      <c r="AF233" s="5" t="str">
        <f t="shared" si="19"/>
        <v>188.2</v>
      </c>
      <c r="AG233" s="1" t="str">
        <f t="shared" si="16"/>
        <v/>
      </c>
    </row>
    <row r="234" spans="1:33" x14ac:dyDescent="0.2">
      <c r="A234" s="1" t="s">
        <v>304</v>
      </c>
      <c r="B234" s="1" t="s">
        <v>708</v>
      </c>
      <c r="C234" s="1">
        <v>612</v>
      </c>
      <c r="D234" s="1" t="s">
        <v>727</v>
      </c>
      <c r="F234" s="1">
        <v>2023</v>
      </c>
      <c r="G234" s="1" t="s">
        <v>247</v>
      </c>
      <c r="H234" s="1">
        <v>606322</v>
      </c>
      <c r="I234" s="1">
        <v>4</v>
      </c>
      <c r="K234" s="1" t="s">
        <v>710</v>
      </c>
      <c r="L234" s="1" t="s">
        <v>711</v>
      </c>
      <c r="M234" s="1">
        <v>71</v>
      </c>
      <c r="N234" s="1" t="s">
        <v>39</v>
      </c>
      <c r="O234" s="1">
        <v>26.6967</v>
      </c>
      <c r="P234" s="1">
        <v>-81.783100000000005</v>
      </c>
      <c r="Q234" s="1" t="s">
        <v>702</v>
      </c>
      <c r="R234" s="1" t="s">
        <v>41</v>
      </c>
      <c r="T234" s="1" t="s">
        <v>93</v>
      </c>
      <c r="U234" s="1" t="s">
        <v>44</v>
      </c>
      <c r="V234" s="1" t="s">
        <v>94</v>
      </c>
      <c r="X234" s="1" t="s">
        <v>183</v>
      </c>
      <c r="AA234" s="3">
        <v>42675</v>
      </c>
      <c r="AB234" s="1" t="s">
        <v>46</v>
      </c>
      <c r="AC234" s="5">
        <v>2454</v>
      </c>
      <c r="AD234" s="1" t="s">
        <v>728</v>
      </c>
      <c r="AE234" s="1" t="str">
        <f t="shared" si="17"/>
        <v>612 PFM3C</v>
      </c>
      <c r="AF234" s="5" t="str">
        <f t="shared" si="19"/>
        <v>229.5</v>
      </c>
      <c r="AG234" s="1" t="str">
        <f t="shared" si="16"/>
        <v/>
      </c>
    </row>
    <row r="235" spans="1:33" x14ac:dyDescent="0.2">
      <c r="A235" s="1" t="s">
        <v>304</v>
      </c>
      <c r="B235" s="1" t="s">
        <v>708</v>
      </c>
      <c r="C235" s="1">
        <v>612</v>
      </c>
      <c r="D235" s="1" t="s">
        <v>729</v>
      </c>
      <c r="F235" s="1">
        <v>2023</v>
      </c>
      <c r="G235" s="1" t="s">
        <v>247</v>
      </c>
      <c r="H235" s="1">
        <v>606322</v>
      </c>
      <c r="I235" s="1">
        <v>4</v>
      </c>
      <c r="K235" s="1" t="s">
        <v>710</v>
      </c>
      <c r="L235" s="1" t="s">
        <v>711</v>
      </c>
      <c r="M235" s="1">
        <v>71</v>
      </c>
      <c r="N235" s="1" t="s">
        <v>39</v>
      </c>
      <c r="O235" s="1">
        <v>26.6967</v>
      </c>
      <c r="P235" s="1">
        <v>-81.783100000000005</v>
      </c>
      <c r="Q235" s="1" t="s">
        <v>702</v>
      </c>
      <c r="R235" s="1" t="s">
        <v>41</v>
      </c>
      <c r="T235" s="1" t="s">
        <v>93</v>
      </c>
      <c r="U235" s="1" t="s">
        <v>44</v>
      </c>
      <c r="V235" s="1" t="s">
        <v>94</v>
      </c>
      <c r="X235" s="1" t="s">
        <v>183</v>
      </c>
      <c r="AA235" s="3">
        <v>42693</v>
      </c>
      <c r="AB235" s="1" t="s">
        <v>46</v>
      </c>
      <c r="AC235" s="5">
        <v>2454</v>
      </c>
      <c r="AD235" s="1" t="s">
        <v>730</v>
      </c>
      <c r="AE235" s="1" t="str">
        <f t="shared" si="17"/>
        <v>612 PFM3D</v>
      </c>
      <c r="AF235" s="5" t="str">
        <f t="shared" si="19"/>
        <v>229.5</v>
      </c>
      <c r="AG235" s="1" t="str">
        <f t="shared" si="16"/>
        <v/>
      </c>
    </row>
    <row r="236" spans="1:33" x14ac:dyDescent="0.2">
      <c r="A236" s="1" t="s">
        <v>304</v>
      </c>
      <c r="B236" s="1" t="s">
        <v>731</v>
      </c>
      <c r="C236" s="1">
        <v>613</v>
      </c>
      <c r="D236" s="1" t="s">
        <v>732</v>
      </c>
      <c r="F236" s="1">
        <v>2023</v>
      </c>
      <c r="G236" s="1" t="s">
        <v>247</v>
      </c>
      <c r="H236" s="1">
        <v>606322</v>
      </c>
      <c r="I236" s="1">
        <v>4</v>
      </c>
      <c r="J236" s="1" t="s">
        <v>36</v>
      </c>
      <c r="K236" s="1" t="s">
        <v>733</v>
      </c>
      <c r="L236" s="1" t="s">
        <v>734</v>
      </c>
      <c r="M236" s="1">
        <v>11</v>
      </c>
      <c r="N236" s="1" t="s">
        <v>39</v>
      </c>
      <c r="O236" s="1">
        <v>26.068100000000001</v>
      </c>
      <c r="P236" s="1">
        <v>-80.198300000000003</v>
      </c>
      <c r="Q236" s="1" t="s">
        <v>702</v>
      </c>
      <c r="R236" s="1" t="s">
        <v>41</v>
      </c>
      <c r="T236" s="1" t="s">
        <v>93</v>
      </c>
      <c r="U236" s="1" t="s">
        <v>44</v>
      </c>
      <c r="V236" s="1" t="s">
        <v>94</v>
      </c>
      <c r="X236" s="1" t="s">
        <v>183</v>
      </c>
      <c r="AA236" s="3">
        <v>42699</v>
      </c>
      <c r="AB236" s="1" t="s">
        <v>46</v>
      </c>
      <c r="AC236" s="5">
        <v>2454</v>
      </c>
      <c r="AD236" s="1" t="s">
        <v>735</v>
      </c>
      <c r="AE236" s="1" t="str">
        <f t="shared" si="17"/>
        <v>613 PFL6A</v>
      </c>
      <c r="AF236" s="5" t="str">
        <f t="shared" si="19"/>
        <v>200</v>
      </c>
      <c r="AG236" s="1" t="str">
        <f t="shared" si="16"/>
        <v/>
      </c>
    </row>
    <row r="237" spans="1:33" x14ac:dyDescent="0.2">
      <c r="A237" s="1" t="s">
        <v>304</v>
      </c>
      <c r="B237" s="1" t="s">
        <v>731</v>
      </c>
      <c r="C237" s="1">
        <v>613</v>
      </c>
      <c r="D237" s="1" t="s">
        <v>736</v>
      </c>
      <c r="F237" s="1">
        <v>2023</v>
      </c>
      <c r="G237" s="1" t="s">
        <v>247</v>
      </c>
      <c r="H237" s="1">
        <v>606322</v>
      </c>
      <c r="I237" s="1">
        <v>4</v>
      </c>
      <c r="J237" s="1" t="s">
        <v>36</v>
      </c>
      <c r="K237" s="1" t="s">
        <v>733</v>
      </c>
      <c r="L237" s="1" t="s">
        <v>734</v>
      </c>
      <c r="M237" s="1">
        <v>11</v>
      </c>
      <c r="N237" s="1" t="s">
        <v>39</v>
      </c>
      <c r="O237" s="1">
        <v>26.068100000000001</v>
      </c>
      <c r="P237" s="1">
        <v>-80.198300000000003</v>
      </c>
      <c r="Q237" s="1" t="s">
        <v>702</v>
      </c>
      <c r="R237" s="1" t="s">
        <v>41</v>
      </c>
      <c r="T237" s="1" t="s">
        <v>93</v>
      </c>
      <c r="U237" s="1" t="s">
        <v>44</v>
      </c>
      <c r="V237" s="1" t="s">
        <v>94</v>
      </c>
      <c r="X237" s="1" t="s">
        <v>183</v>
      </c>
      <c r="AA237" s="3">
        <v>42686</v>
      </c>
      <c r="AB237" s="1" t="s">
        <v>46</v>
      </c>
      <c r="AC237" s="5">
        <v>2454</v>
      </c>
      <c r="AD237" s="1" t="s">
        <v>737</v>
      </c>
      <c r="AE237" s="1" t="str">
        <f t="shared" si="17"/>
        <v>613 PFL6B</v>
      </c>
      <c r="AF237" s="5" t="str">
        <f t="shared" si="19"/>
        <v>200</v>
      </c>
      <c r="AG237" s="1" t="str">
        <f t="shared" si="16"/>
        <v/>
      </c>
    </row>
    <row r="238" spans="1:33" x14ac:dyDescent="0.2">
      <c r="A238" s="1" t="s">
        <v>304</v>
      </c>
      <c r="B238" s="1" t="s">
        <v>731</v>
      </c>
      <c r="C238" s="1">
        <v>613</v>
      </c>
      <c r="D238" s="1" t="s">
        <v>738</v>
      </c>
      <c r="F238" s="1">
        <v>2023</v>
      </c>
      <c r="G238" s="1" t="s">
        <v>247</v>
      </c>
      <c r="H238" s="1">
        <v>606322</v>
      </c>
      <c r="I238" s="1">
        <v>4</v>
      </c>
      <c r="J238" s="1" t="s">
        <v>36</v>
      </c>
      <c r="K238" s="1" t="s">
        <v>733</v>
      </c>
      <c r="L238" s="1" t="s">
        <v>734</v>
      </c>
      <c r="M238" s="1">
        <v>11</v>
      </c>
      <c r="N238" s="1" t="s">
        <v>39</v>
      </c>
      <c r="O238" s="1">
        <v>26.068100000000001</v>
      </c>
      <c r="P238" s="1">
        <v>-80.198300000000003</v>
      </c>
      <c r="Q238" s="1" t="s">
        <v>702</v>
      </c>
      <c r="R238" s="1" t="s">
        <v>41</v>
      </c>
      <c r="T238" s="1" t="s">
        <v>93</v>
      </c>
      <c r="U238" s="1" t="s">
        <v>44</v>
      </c>
      <c r="V238" s="1" t="s">
        <v>94</v>
      </c>
      <c r="X238" s="1" t="s">
        <v>183</v>
      </c>
      <c r="AA238" s="3">
        <v>42684</v>
      </c>
      <c r="AB238" s="1" t="s">
        <v>46</v>
      </c>
      <c r="AC238" s="5">
        <v>2454</v>
      </c>
      <c r="AD238" s="1" t="s">
        <v>739</v>
      </c>
      <c r="AE238" s="1" t="str">
        <f t="shared" si="17"/>
        <v>613 PFL6C</v>
      </c>
      <c r="AF238" s="5" t="str">
        <f t="shared" si="19"/>
        <v>200</v>
      </c>
      <c r="AG238" s="1" t="str">
        <f t="shared" si="16"/>
        <v/>
      </c>
    </row>
    <row r="239" spans="1:33" x14ac:dyDescent="0.2">
      <c r="A239" s="1" t="s">
        <v>304</v>
      </c>
      <c r="B239" s="1" t="s">
        <v>731</v>
      </c>
      <c r="C239" s="1">
        <v>613</v>
      </c>
      <c r="D239" s="1" t="s">
        <v>740</v>
      </c>
      <c r="F239" s="1">
        <v>2023</v>
      </c>
      <c r="G239" s="1" t="s">
        <v>247</v>
      </c>
      <c r="H239" s="1">
        <v>606322</v>
      </c>
      <c r="I239" s="1">
        <v>4</v>
      </c>
      <c r="J239" s="1" t="s">
        <v>36</v>
      </c>
      <c r="K239" s="1" t="s">
        <v>733</v>
      </c>
      <c r="L239" s="1" t="s">
        <v>734</v>
      </c>
      <c r="M239" s="1">
        <v>11</v>
      </c>
      <c r="N239" s="1" t="s">
        <v>39</v>
      </c>
      <c r="O239" s="1">
        <v>26.068100000000001</v>
      </c>
      <c r="P239" s="1">
        <v>-80.198300000000003</v>
      </c>
      <c r="Q239" s="1" t="s">
        <v>702</v>
      </c>
      <c r="R239" s="1" t="s">
        <v>41</v>
      </c>
      <c r="T239" s="1" t="s">
        <v>93</v>
      </c>
      <c r="U239" s="1" t="s">
        <v>44</v>
      </c>
      <c r="V239" s="1" t="s">
        <v>94</v>
      </c>
      <c r="X239" s="1" t="s">
        <v>183</v>
      </c>
      <c r="AA239" s="3">
        <v>42674</v>
      </c>
      <c r="AB239" s="1" t="s">
        <v>46</v>
      </c>
      <c r="AC239" s="5">
        <v>2454</v>
      </c>
      <c r="AD239" s="1" t="s">
        <v>741</v>
      </c>
      <c r="AE239" s="1" t="str">
        <f t="shared" si="17"/>
        <v>613 PFL6D</v>
      </c>
      <c r="AF239" s="5" t="str">
        <f t="shared" si="19"/>
        <v>200</v>
      </c>
      <c r="AG239" s="1" t="str">
        <f t="shared" si="16"/>
        <v/>
      </c>
    </row>
    <row r="240" spans="1:33" x14ac:dyDescent="0.2">
      <c r="A240" s="1" t="s">
        <v>304</v>
      </c>
      <c r="B240" s="1" t="s">
        <v>731</v>
      </c>
      <c r="C240" s="1">
        <v>613</v>
      </c>
      <c r="D240" s="1" t="s">
        <v>742</v>
      </c>
      <c r="F240" s="1">
        <v>2023</v>
      </c>
      <c r="G240" s="1" t="s">
        <v>247</v>
      </c>
      <c r="H240" s="1">
        <v>606322</v>
      </c>
      <c r="I240" s="1">
        <v>4</v>
      </c>
      <c r="J240" s="1" t="s">
        <v>36</v>
      </c>
      <c r="K240" s="1" t="s">
        <v>733</v>
      </c>
      <c r="L240" s="1" t="s">
        <v>734</v>
      </c>
      <c r="M240" s="1">
        <v>11</v>
      </c>
      <c r="N240" s="1" t="s">
        <v>39</v>
      </c>
      <c r="O240" s="1">
        <v>26.068100000000001</v>
      </c>
      <c r="P240" s="1">
        <v>-80.198300000000003</v>
      </c>
      <c r="Q240" s="1" t="s">
        <v>702</v>
      </c>
      <c r="R240" s="1" t="s">
        <v>41</v>
      </c>
      <c r="T240" s="1" t="s">
        <v>93</v>
      </c>
      <c r="U240" s="1" t="s">
        <v>44</v>
      </c>
      <c r="V240" s="1" t="s">
        <v>94</v>
      </c>
      <c r="X240" s="1" t="s">
        <v>183</v>
      </c>
      <c r="AA240" s="3">
        <v>42627</v>
      </c>
      <c r="AB240" s="1" t="s">
        <v>46</v>
      </c>
      <c r="AC240" s="5">
        <v>2454</v>
      </c>
      <c r="AD240" s="1" t="s">
        <v>743</v>
      </c>
      <c r="AE240" s="1" t="str">
        <f t="shared" si="17"/>
        <v>613 PFL6E</v>
      </c>
      <c r="AF240" s="5" t="str">
        <f t="shared" si="19"/>
        <v>200</v>
      </c>
      <c r="AG240" s="1" t="str">
        <f t="shared" si="16"/>
        <v/>
      </c>
    </row>
    <row r="241" spans="1:33" x14ac:dyDescent="0.2">
      <c r="A241" s="1" t="s">
        <v>304</v>
      </c>
      <c r="B241" s="1" t="s">
        <v>731</v>
      </c>
      <c r="C241" s="1">
        <v>613</v>
      </c>
      <c r="D241" s="1" t="s">
        <v>744</v>
      </c>
      <c r="F241" s="1">
        <v>2023</v>
      </c>
      <c r="G241" s="1" t="s">
        <v>312</v>
      </c>
      <c r="H241" s="1">
        <v>606322</v>
      </c>
      <c r="I241" s="1">
        <v>4</v>
      </c>
      <c r="J241" s="1" t="s">
        <v>36</v>
      </c>
      <c r="K241" s="1" t="s">
        <v>733</v>
      </c>
      <c r="L241" s="1" t="s">
        <v>734</v>
      </c>
      <c r="M241" s="1">
        <v>11</v>
      </c>
      <c r="N241" s="1" t="s">
        <v>39</v>
      </c>
      <c r="O241" s="1">
        <v>26.068100000000001</v>
      </c>
      <c r="P241" s="1">
        <v>-80.198300000000003</v>
      </c>
      <c r="Q241" s="1" t="s">
        <v>702</v>
      </c>
      <c r="R241" s="1" t="s">
        <v>41</v>
      </c>
      <c r="T241" s="1" t="s">
        <v>71</v>
      </c>
      <c r="U241" s="1" t="s">
        <v>44</v>
      </c>
      <c r="V241" s="1" t="s">
        <v>94</v>
      </c>
      <c r="X241" s="1" t="s">
        <v>64</v>
      </c>
      <c r="AA241" s="3">
        <v>44589</v>
      </c>
      <c r="AB241" s="1" t="s">
        <v>46</v>
      </c>
      <c r="AC241" s="5">
        <v>4040</v>
      </c>
      <c r="AD241" s="1" t="s">
        <v>745</v>
      </c>
      <c r="AE241" s="1" t="str">
        <f t="shared" si="17"/>
        <v>613 PFL7A</v>
      </c>
      <c r="AF241" s="14">
        <f>MID(AD241,FIND("(",AD241)+1,FIND(")",AD241)-FIND("(",AD241)-1)+391.8/2</f>
        <v>581.5</v>
      </c>
      <c r="AG241" s="1" t="str">
        <f t="shared" si="16"/>
        <v>Y</v>
      </c>
    </row>
    <row r="242" spans="1:33" x14ac:dyDescent="0.2">
      <c r="A242" s="1" t="s">
        <v>304</v>
      </c>
      <c r="B242" s="1" t="s">
        <v>731</v>
      </c>
      <c r="C242" s="1">
        <v>613</v>
      </c>
      <c r="D242" s="1" t="s">
        <v>746</v>
      </c>
      <c r="F242" s="1">
        <v>2023</v>
      </c>
      <c r="G242" s="1" t="s">
        <v>312</v>
      </c>
      <c r="H242" s="1">
        <v>606322</v>
      </c>
      <c r="I242" s="1">
        <v>4</v>
      </c>
      <c r="J242" s="1" t="s">
        <v>36</v>
      </c>
      <c r="K242" s="1" t="s">
        <v>733</v>
      </c>
      <c r="L242" s="1" t="s">
        <v>734</v>
      </c>
      <c r="M242" s="1">
        <v>11</v>
      </c>
      <c r="N242" s="1" t="s">
        <v>39</v>
      </c>
      <c r="O242" s="1">
        <v>26.068100000000001</v>
      </c>
      <c r="P242" s="1">
        <v>-80.198300000000003</v>
      </c>
      <c r="Q242" s="1" t="s">
        <v>702</v>
      </c>
      <c r="R242" s="1" t="s">
        <v>41</v>
      </c>
      <c r="T242" s="1" t="s">
        <v>71</v>
      </c>
      <c r="U242" s="1" t="s">
        <v>44</v>
      </c>
      <c r="V242" s="1" t="s">
        <v>94</v>
      </c>
      <c r="X242" s="1" t="s">
        <v>64</v>
      </c>
      <c r="AA242" s="3">
        <v>44587</v>
      </c>
      <c r="AB242" s="1" t="s">
        <v>46</v>
      </c>
      <c r="AC242" s="5">
        <v>4040</v>
      </c>
      <c r="AD242" s="1" t="s">
        <v>747</v>
      </c>
      <c r="AE242" s="1" t="str">
        <f t="shared" si="17"/>
        <v>613 PFL7B</v>
      </c>
      <c r="AF242" s="14">
        <f>AF241</f>
        <v>581.5</v>
      </c>
      <c r="AG242" s="1" t="str">
        <f t="shared" si="16"/>
        <v>Y</v>
      </c>
    </row>
    <row r="243" spans="1:33" x14ac:dyDescent="0.2">
      <c r="A243" s="1" t="s">
        <v>304</v>
      </c>
      <c r="B243" s="1" t="s">
        <v>748</v>
      </c>
      <c r="C243" s="1">
        <v>617</v>
      </c>
      <c r="D243" s="1" t="s">
        <v>749</v>
      </c>
      <c r="F243" s="1">
        <v>2023</v>
      </c>
      <c r="G243" s="1" t="s">
        <v>247</v>
      </c>
      <c r="H243" s="1">
        <v>606322</v>
      </c>
      <c r="I243" s="1">
        <v>4</v>
      </c>
      <c r="J243" s="1" t="s">
        <v>36</v>
      </c>
      <c r="K243" s="1" t="s">
        <v>733</v>
      </c>
      <c r="L243" s="1" t="s">
        <v>734</v>
      </c>
      <c r="M243" s="1">
        <v>11</v>
      </c>
      <c r="N243" s="1" t="s">
        <v>39</v>
      </c>
      <c r="O243" s="1">
        <v>26.085599999999999</v>
      </c>
      <c r="P243" s="1">
        <v>-80.125299999999996</v>
      </c>
      <c r="Q243" s="1" t="s">
        <v>702</v>
      </c>
      <c r="R243" s="1" t="s">
        <v>41</v>
      </c>
      <c r="T243" s="1" t="s">
        <v>71</v>
      </c>
      <c r="U243" s="1" t="s">
        <v>44</v>
      </c>
      <c r="V243" s="1" t="s">
        <v>94</v>
      </c>
      <c r="X243" s="1" t="s">
        <v>643</v>
      </c>
      <c r="AA243" s="3">
        <v>42206</v>
      </c>
      <c r="AB243" s="1" t="s">
        <v>46</v>
      </c>
      <c r="AC243" s="5">
        <v>2700</v>
      </c>
      <c r="AD243" s="1" t="s">
        <v>750</v>
      </c>
      <c r="AE243" s="1" t="str">
        <f t="shared" si="17"/>
        <v>617 PECT5A</v>
      </c>
      <c r="AF243" s="14">
        <f>MID(AD243,FIND("(",AD243)+1,FIND(")",AD243)-FIND("(",AD243)-1)+454/3</f>
        <v>431.33333333333337</v>
      </c>
      <c r="AG243" s="1" t="str">
        <f t="shared" si="16"/>
        <v>Y</v>
      </c>
    </row>
    <row r="244" spans="1:33" x14ac:dyDescent="0.2">
      <c r="A244" s="1" t="s">
        <v>304</v>
      </c>
      <c r="B244" s="1" t="s">
        <v>748</v>
      </c>
      <c r="C244" s="1">
        <v>617</v>
      </c>
      <c r="D244" s="1" t="s">
        <v>751</v>
      </c>
      <c r="F244" s="1">
        <v>2023</v>
      </c>
      <c r="G244" s="1" t="s">
        <v>247</v>
      </c>
      <c r="H244" s="1">
        <v>606322</v>
      </c>
      <c r="I244" s="1">
        <v>4</v>
      </c>
      <c r="J244" s="1" t="s">
        <v>36</v>
      </c>
      <c r="K244" s="1" t="s">
        <v>733</v>
      </c>
      <c r="L244" s="1" t="s">
        <v>734</v>
      </c>
      <c r="M244" s="1">
        <v>11</v>
      </c>
      <c r="N244" s="1" t="s">
        <v>39</v>
      </c>
      <c r="O244" s="1">
        <v>26.085599999999999</v>
      </c>
      <c r="P244" s="1">
        <v>-80.125299999999996</v>
      </c>
      <c r="Q244" s="1" t="s">
        <v>702</v>
      </c>
      <c r="R244" s="1" t="s">
        <v>41</v>
      </c>
      <c r="T244" s="1" t="s">
        <v>71</v>
      </c>
      <c r="U244" s="1" t="s">
        <v>44</v>
      </c>
      <c r="V244" s="1" t="s">
        <v>94</v>
      </c>
      <c r="X244" s="1" t="s">
        <v>643</v>
      </c>
      <c r="AA244" s="3">
        <v>42216</v>
      </c>
      <c r="AB244" s="1" t="s">
        <v>46</v>
      </c>
      <c r="AC244" s="5">
        <v>2700</v>
      </c>
      <c r="AD244" s="1" t="s">
        <v>752</v>
      </c>
      <c r="AE244" s="1" t="str">
        <f t="shared" si="17"/>
        <v>617 PECT5B</v>
      </c>
      <c r="AF244" s="14">
        <f>AF243</f>
        <v>431.33333333333337</v>
      </c>
      <c r="AG244" s="1" t="str">
        <f t="shared" si="16"/>
        <v>Y</v>
      </c>
    </row>
    <row r="245" spans="1:33" x14ac:dyDescent="0.2">
      <c r="A245" s="1" t="s">
        <v>304</v>
      </c>
      <c r="B245" s="1" t="s">
        <v>748</v>
      </c>
      <c r="C245" s="1">
        <v>617</v>
      </c>
      <c r="D245" s="1" t="s">
        <v>753</v>
      </c>
      <c r="F245" s="1">
        <v>2023</v>
      </c>
      <c r="G245" s="1" t="s">
        <v>247</v>
      </c>
      <c r="H245" s="1">
        <v>606322</v>
      </c>
      <c r="I245" s="1">
        <v>4</v>
      </c>
      <c r="J245" s="1" t="s">
        <v>36</v>
      </c>
      <c r="K245" s="1" t="s">
        <v>733</v>
      </c>
      <c r="L245" s="1" t="s">
        <v>734</v>
      </c>
      <c r="M245" s="1">
        <v>11</v>
      </c>
      <c r="N245" s="1" t="s">
        <v>39</v>
      </c>
      <c r="O245" s="1">
        <v>26.085599999999999</v>
      </c>
      <c r="P245" s="1">
        <v>-80.125299999999996</v>
      </c>
      <c r="Q245" s="1" t="s">
        <v>702</v>
      </c>
      <c r="R245" s="1" t="s">
        <v>41</v>
      </c>
      <c r="T245" s="1" t="s">
        <v>71</v>
      </c>
      <c r="U245" s="1" t="s">
        <v>44</v>
      </c>
      <c r="V245" s="1" t="s">
        <v>94</v>
      </c>
      <c r="X245" s="1" t="s">
        <v>643</v>
      </c>
      <c r="AA245" s="3">
        <v>42315</v>
      </c>
      <c r="AB245" s="1" t="s">
        <v>46</v>
      </c>
      <c r="AC245" s="5">
        <v>2700</v>
      </c>
      <c r="AD245" s="1" t="s">
        <v>754</v>
      </c>
      <c r="AE245" s="1" t="str">
        <f t="shared" si="17"/>
        <v>617 PECT5C</v>
      </c>
      <c r="AF245" s="14">
        <f>AF243</f>
        <v>431.33333333333337</v>
      </c>
      <c r="AG245" s="1" t="str">
        <f t="shared" si="16"/>
        <v>Y</v>
      </c>
    </row>
    <row r="246" spans="1:33" x14ac:dyDescent="0.2">
      <c r="A246" s="1" t="s">
        <v>304</v>
      </c>
      <c r="B246" s="1" t="s">
        <v>755</v>
      </c>
      <c r="C246" s="1">
        <v>619</v>
      </c>
      <c r="D246" s="1" t="s">
        <v>756</v>
      </c>
      <c r="F246" s="1">
        <v>2023</v>
      </c>
      <c r="G246" s="1" t="s">
        <v>247</v>
      </c>
      <c r="H246" s="1">
        <v>606322</v>
      </c>
      <c r="I246" s="1">
        <v>4</v>
      </c>
      <c r="J246" s="1" t="s">
        <v>36</v>
      </c>
      <c r="K246" s="1" t="s">
        <v>757</v>
      </c>
      <c r="L246" s="1" t="s">
        <v>758</v>
      </c>
      <c r="M246" s="1">
        <v>99</v>
      </c>
      <c r="N246" s="1" t="s">
        <v>39</v>
      </c>
      <c r="O246" s="1">
        <v>26.7653</v>
      </c>
      <c r="P246" s="1">
        <v>-80.052800000000005</v>
      </c>
      <c r="Q246" s="1" t="s">
        <v>702</v>
      </c>
      <c r="R246" s="1" t="s">
        <v>41</v>
      </c>
      <c r="T246" s="1" t="s">
        <v>71</v>
      </c>
      <c r="U246" s="1" t="s">
        <v>44</v>
      </c>
      <c r="V246" s="1" t="s">
        <v>94</v>
      </c>
      <c r="X246" s="1" t="s">
        <v>643</v>
      </c>
      <c r="AA246" s="3">
        <v>41577</v>
      </c>
      <c r="AB246" s="1" t="s">
        <v>46</v>
      </c>
      <c r="AC246" s="5">
        <v>3046</v>
      </c>
      <c r="AD246" s="1" t="s">
        <v>759</v>
      </c>
      <c r="AE246" s="1" t="str">
        <f t="shared" si="17"/>
        <v>619 RBCT5A</v>
      </c>
      <c r="AF246" s="14">
        <f>MID(AD246,FIND("(",AD246)+1,FIND(")",AD246)-FIND("(",AD246)-1)+500/3</f>
        <v>431.66666666666663</v>
      </c>
      <c r="AG246" s="1" t="str">
        <f t="shared" si="16"/>
        <v>Y</v>
      </c>
    </row>
    <row r="247" spans="1:33" x14ac:dyDescent="0.2">
      <c r="A247" s="1" t="s">
        <v>304</v>
      </c>
      <c r="B247" s="1" t="s">
        <v>755</v>
      </c>
      <c r="C247" s="1">
        <v>619</v>
      </c>
      <c r="D247" s="1" t="s">
        <v>760</v>
      </c>
      <c r="F247" s="1">
        <v>2023</v>
      </c>
      <c r="G247" s="1" t="s">
        <v>247</v>
      </c>
      <c r="H247" s="1">
        <v>606322</v>
      </c>
      <c r="I247" s="1">
        <v>4</v>
      </c>
      <c r="J247" s="1" t="s">
        <v>36</v>
      </c>
      <c r="K247" s="1" t="s">
        <v>757</v>
      </c>
      <c r="L247" s="1" t="s">
        <v>758</v>
      </c>
      <c r="M247" s="1">
        <v>99</v>
      </c>
      <c r="N247" s="1" t="s">
        <v>39</v>
      </c>
      <c r="O247" s="1">
        <v>26.7653</v>
      </c>
      <c r="P247" s="1">
        <v>-80.052800000000005</v>
      </c>
      <c r="Q247" s="1" t="s">
        <v>702</v>
      </c>
      <c r="R247" s="1" t="s">
        <v>41</v>
      </c>
      <c r="T247" s="1" t="s">
        <v>71</v>
      </c>
      <c r="U247" s="1" t="s">
        <v>44</v>
      </c>
      <c r="V247" s="1" t="s">
        <v>94</v>
      </c>
      <c r="X247" s="1" t="s">
        <v>643</v>
      </c>
      <c r="AA247" s="3">
        <v>41555</v>
      </c>
      <c r="AB247" s="1" t="s">
        <v>46</v>
      </c>
      <c r="AC247" s="5">
        <v>3046</v>
      </c>
      <c r="AD247" s="1" t="s">
        <v>761</v>
      </c>
      <c r="AE247" s="1" t="str">
        <f t="shared" si="17"/>
        <v>619 RBCT5B</v>
      </c>
      <c r="AF247" s="14">
        <f>AF246</f>
        <v>431.66666666666663</v>
      </c>
      <c r="AG247" s="1" t="str">
        <f t="shared" si="16"/>
        <v>Y</v>
      </c>
    </row>
    <row r="248" spans="1:33" x14ac:dyDescent="0.2">
      <c r="A248" s="1" t="s">
        <v>304</v>
      </c>
      <c r="B248" s="1" t="s">
        <v>755</v>
      </c>
      <c r="C248" s="1">
        <v>619</v>
      </c>
      <c r="D248" s="1" t="s">
        <v>762</v>
      </c>
      <c r="F248" s="1">
        <v>2023</v>
      </c>
      <c r="G248" s="1" t="s">
        <v>247</v>
      </c>
      <c r="H248" s="1">
        <v>606322</v>
      </c>
      <c r="I248" s="1">
        <v>4</v>
      </c>
      <c r="J248" s="1" t="s">
        <v>36</v>
      </c>
      <c r="K248" s="1" t="s">
        <v>757</v>
      </c>
      <c r="L248" s="1" t="s">
        <v>758</v>
      </c>
      <c r="M248" s="1">
        <v>99</v>
      </c>
      <c r="N248" s="1" t="s">
        <v>39</v>
      </c>
      <c r="O248" s="1">
        <v>26.7653</v>
      </c>
      <c r="P248" s="1">
        <v>-80.052800000000005</v>
      </c>
      <c r="Q248" s="1" t="s">
        <v>702</v>
      </c>
      <c r="R248" s="1" t="s">
        <v>41</v>
      </c>
      <c r="T248" s="1" t="s">
        <v>71</v>
      </c>
      <c r="U248" s="1" t="s">
        <v>44</v>
      </c>
      <c r="V248" s="1" t="s">
        <v>94</v>
      </c>
      <c r="X248" s="1" t="s">
        <v>643</v>
      </c>
      <c r="AA248" s="3">
        <v>41539</v>
      </c>
      <c r="AB248" s="1" t="s">
        <v>46</v>
      </c>
      <c r="AC248" s="5">
        <v>3046</v>
      </c>
      <c r="AD248" s="1" t="s">
        <v>763</v>
      </c>
      <c r="AE248" s="1" t="str">
        <f t="shared" si="17"/>
        <v>619 RBCT5C</v>
      </c>
      <c r="AF248" s="14">
        <f>AF246</f>
        <v>431.66666666666663</v>
      </c>
      <c r="AG248" s="1" t="str">
        <f t="shared" si="16"/>
        <v>Y</v>
      </c>
    </row>
    <row r="249" spans="1:33" x14ac:dyDescent="0.2">
      <c r="A249" s="1" t="s">
        <v>304</v>
      </c>
      <c r="B249" s="1" t="s">
        <v>764</v>
      </c>
      <c r="C249" s="1">
        <v>620</v>
      </c>
      <c r="D249" s="1" t="s">
        <v>765</v>
      </c>
      <c r="F249" s="1">
        <v>2023</v>
      </c>
      <c r="G249" s="1" t="s">
        <v>247</v>
      </c>
      <c r="H249" s="1">
        <v>606322</v>
      </c>
      <c r="I249" s="1">
        <v>4</v>
      </c>
      <c r="J249" s="1" t="s">
        <v>36</v>
      </c>
      <c r="K249" s="1" t="s">
        <v>766</v>
      </c>
      <c r="L249" s="1" t="s">
        <v>767</v>
      </c>
      <c r="M249" s="1">
        <v>127</v>
      </c>
      <c r="N249" s="1" t="s">
        <v>39</v>
      </c>
      <c r="O249" s="1">
        <v>28.841899999999999</v>
      </c>
      <c r="P249" s="1">
        <v>-81.325599999999994</v>
      </c>
      <c r="Q249" s="1" t="s">
        <v>702</v>
      </c>
      <c r="R249" s="1" t="s">
        <v>41</v>
      </c>
      <c r="T249" s="1" t="s">
        <v>71</v>
      </c>
      <c r="U249" s="1" t="s">
        <v>44</v>
      </c>
      <c r="X249" s="1" t="s">
        <v>140</v>
      </c>
      <c r="AA249" s="3">
        <v>37596</v>
      </c>
      <c r="AB249" s="1" t="s">
        <v>46</v>
      </c>
      <c r="AC249" s="5">
        <v>2070</v>
      </c>
      <c r="AD249" s="1" t="s">
        <v>768</v>
      </c>
      <c r="AE249" s="1" t="str">
        <f t="shared" si="17"/>
        <v>620 SNCT4A</v>
      </c>
      <c r="AF249" s="14">
        <f>AF250</f>
        <v>297.22500000000002</v>
      </c>
      <c r="AG249" s="1" t="str">
        <f t="shared" si="16"/>
        <v/>
      </c>
    </row>
    <row r="250" spans="1:33" x14ac:dyDescent="0.2">
      <c r="A250" s="1" t="s">
        <v>304</v>
      </c>
      <c r="B250" s="1" t="s">
        <v>764</v>
      </c>
      <c r="C250" s="1">
        <v>620</v>
      </c>
      <c r="D250" s="1" t="s">
        <v>769</v>
      </c>
      <c r="F250" s="1">
        <v>2023</v>
      </c>
      <c r="G250" s="1" t="s">
        <v>247</v>
      </c>
      <c r="H250" s="1">
        <v>606322</v>
      </c>
      <c r="I250" s="1">
        <v>4</v>
      </c>
      <c r="J250" s="1" t="s">
        <v>36</v>
      </c>
      <c r="K250" s="1" t="s">
        <v>766</v>
      </c>
      <c r="L250" s="1" t="s">
        <v>767</v>
      </c>
      <c r="M250" s="1">
        <v>127</v>
      </c>
      <c r="N250" s="1" t="s">
        <v>39</v>
      </c>
      <c r="O250" s="1">
        <v>28.841899999999999</v>
      </c>
      <c r="P250" s="1">
        <v>-81.325599999999994</v>
      </c>
      <c r="Q250" s="1" t="s">
        <v>702</v>
      </c>
      <c r="R250" s="1" t="s">
        <v>41</v>
      </c>
      <c r="T250" s="1" t="s">
        <v>71</v>
      </c>
      <c r="U250" s="1" t="s">
        <v>44</v>
      </c>
      <c r="X250" s="1" t="s">
        <v>140</v>
      </c>
      <c r="AA250" s="3">
        <v>37597</v>
      </c>
      <c r="AB250" s="1" t="s">
        <v>46</v>
      </c>
      <c r="AC250" s="5">
        <v>2070</v>
      </c>
      <c r="AD250" s="1" t="s">
        <v>770</v>
      </c>
      <c r="AE250" s="1" t="str">
        <f t="shared" si="17"/>
        <v>620 SNCT4B</v>
      </c>
      <c r="AF250" s="14">
        <f>MID(AD250,FIND("(",AD250)+1,FIND(")",AD250)-FIND("(",AD250)-1)+436.1/4</f>
        <v>297.22500000000002</v>
      </c>
      <c r="AG250" s="1" t="str">
        <f t="shared" si="16"/>
        <v/>
      </c>
    </row>
    <row r="251" spans="1:33" x14ac:dyDescent="0.2">
      <c r="A251" s="1" t="s">
        <v>304</v>
      </c>
      <c r="B251" s="1" t="s">
        <v>764</v>
      </c>
      <c r="C251" s="1">
        <v>620</v>
      </c>
      <c r="D251" s="1" t="s">
        <v>771</v>
      </c>
      <c r="F251" s="1">
        <v>2023</v>
      </c>
      <c r="G251" s="1" t="s">
        <v>247</v>
      </c>
      <c r="H251" s="1">
        <v>606322</v>
      </c>
      <c r="I251" s="1">
        <v>4</v>
      </c>
      <c r="J251" s="1" t="s">
        <v>36</v>
      </c>
      <c r="K251" s="1" t="s">
        <v>766</v>
      </c>
      <c r="L251" s="1" t="s">
        <v>767</v>
      </c>
      <c r="M251" s="1">
        <v>127</v>
      </c>
      <c r="N251" s="1" t="s">
        <v>39</v>
      </c>
      <c r="O251" s="1">
        <v>28.841899999999999</v>
      </c>
      <c r="P251" s="1">
        <v>-81.325599999999994</v>
      </c>
      <c r="Q251" s="1" t="s">
        <v>702</v>
      </c>
      <c r="R251" s="1" t="s">
        <v>41</v>
      </c>
      <c r="T251" s="1" t="s">
        <v>71</v>
      </c>
      <c r="U251" s="1" t="s">
        <v>44</v>
      </c>
      <c r="X251" s="1" t="s">
        <v>140</v>
      </c>
      <c r="AA251" s="3">
        <v>37591</v>
      </c>
      <c r="AB251" s="1" t="s">
        <v>46</v>
      </c>
      <c r="AC251" s="5">
        <v>2070</v>
      </c>
      <c r="AD251" s="1" t="s">
        <v>772</v>
      </c>
      <c r="AE251" s="1" t="str">
        <f t="shared" si="17"/>
        <v>620 SNCT4C</v>
      </c>
      <c r="AF251" s="14">
        <f>AF250</f>
        <v>297.22500000000002</v>
      </c>
      <c r="AG251" s="1" t="str">
        <f t="shared" si="16"/>
        <v/>
      </c>
    </row>
    <row r="252" spans="1:33" x14ac:dyDescent="0.2">
      <c r="A252" s="1" t="s">
        <v>304</v>
      </c>
      <c r="B252" s="1" t="s">
        <v>764</v>
      </c>
      <c r="C252" s="1">
        <v>620</v>
      </c>
      <c r="D252" s="1" t="s">
        <v>773</v>
      </c>
      <c r="F252" s="1">
        <v>2023</v>
      </c>
      <c r="G252" s="1" t="s">
        <v>247</v>
      </c>
      <c r="H252" s="1">
        <v>606322</v>
      </c>
      <c r="I252" s="1">
        <v>4</v>
      </c>
      <c r="J252" s="1" t="s">
        <v>36</v>
      </c>
      <c r="K252" s="1" t="s">
        <v>766</v>
      </c>
      <c r="L252" s="1" t="s">
        <v>767</v>
      </c>
      <c r="M252" s="1">
        <v>127</v>
      </c>
      <c r="N252" s="1" t="s">
        <v>39</v>
      </c>
      <c r="O252" s="1">
        <v>28.841899999999999</v>
      </c>
      <c r="P252" s="1">
        <v>-81.325599999999994</v>
      </c>
      <c r="Q252" s="1" t="s">
        <v>702</v>
      </c>
      <c r="R252" s="1" t="s">
        <v>41</v>
      </c>
      <c r="T252" s="1" t="s">
        <v>71</v>
      </c>
      <c r="U252" s="1" t="s">
        <v>44</v>
      </c>
      <c r="X252" s="1" t="s">
        <v>140</v>
      </c>
      <c r="AA252" s="3">
        <v>37591</v>
      </c>
      <c r="AB252" s="1" t="s">
        <v>46</v>
      </c>
      <c r="AC252" s="5">
        <v>2070</v>
      </c>
      <c r="AD252" s="1" t="s">
        <v>774</v>
      </c>
      <c r="AE252" s="1" t="str">
        <f t="shared" si="17"/>
        <v>620 SNCT4D</v>
      </c>
      <c r="AF252" s="14">
        <f>AF250</f>
        <v>297.22500000000002</v>
      </c>
      <c r="AG252" s="1" t="str">
        <f t="shared" si="16"/>
        <v/>
      </c>
    </row>
    <row r="253" spans="1:33" x14ac:dyDescent="0.2">
      <c r="A253" s="1" t="s">
        <v>304</v>
      </c>
      <c r="B253" s="1" t="s">
        <v>764</v>
      </c>
      <c r="C253" s="1">
        <v>620</v>
      </c>
      <c r="D253" s="1" t="s">
        <v>775</v>
      </c>
      <c r="F253" s="1">
        <v>2023</v>
      </c>
      <c r="G253" s="1" t="s">
        <v>247</v>
      </c>
      <c r="H253" s="1">
        <v>606322</v>
      </c>
      <c r="I253" s="1">
        <v>4</v>
      </c>
      <c r="J253" s="1" t="s">
        <v>36</v>
      </c>
      <c r="K253" s="1" t="s">
        <v>766</v>
      </c>
      <c r="L253" s="1" t="s">
        <v>767</v>
      </c>
      <c r="M253" s="1">
        <v>127</v>
      </c>
      <c r="N253" s="1" t="s">
        <v>39</v>
      </c>
      <c r="O253" s="1">
        <v>28.841899999999999</v>
      </c>
      <c r="P253" s="1">
        <v>-81.325599999999994</v>
      </c>
      <c r="Q253" s="1" t="s">
        <v>702</v>
      </c>
      <c r="R253" s="1" t="s">
        <v>41</v>
      </c>
      <c r="T253" s="1" t="s">
        <v>71</v>
      </c>
      <c r="U253" s="1" t="s">
        <v>44</v>
      </c>
      <c r="X253" s="1" t="s">
        <v>140</v>
      </c>
      <c r="AA253" s="3">
        <v>37308</v>
      </c>
      <c r="AB253" s="1" t="s">
        <v>46</v>
      </c>
      <c r="AC253" s="5">
        <v>2110</v>
      </c>
      <c r="AD253" s="1" t="s">
        <v>776</v>
      </c>
      <c r="AE253" s="1" t="str">
        <f t="shared" si="17"/>
        <v>620 SNCT5A</v>
      </c>
      <c r="AF253" s="14">
        <f>MID(AD253,FIND("(",AD253)+1,FIND(")",AD253)-FIND("(",AD253)-1)+436.1/4</f>
        <v>297.22500000000002</v>
      </c>
      <c r="AG253" s="1" t="str">
        <f t="shared" si="16"/>
        <v/>
      </c>
    </row>
    <row r="254" spans="1:33" x14ac:dyDescent="0.2">
      <c r="A254" s="1" t="s">
        <v>304</v>
      </c>
      <c r="B254" s="1" t="s">
        <v>764</v>
      </c>
      <c r="C254" s="1">
        <v>620</v>
      </c>
      <c r="D254" s="1" t="s">
        <v>777</v>
      </c>
      <c r="F254" s="1">
        <v>2023</v>
      </c>
      <c r="G254" s="1" t="s">
        <v>247</v>
      </c>
      <c r="H254" s="1">
        <v>606322</v>
      </c>
      <c r="I254" s="1">
        <v>4</v>
      </c>
      <c r="J254" s="1" t="s">
        <v>36</v>
      </c>
      <c r="K254" s="1" t="s">
        <v>766</v>
      </c>
      <c r="L254" s="1" t="s">
        <v>767</v>
      </c>
      <c r="M254" s="1">
        <v>127</v>
      </c>
      <c r="N254" s="1" t="s">
        <v>39</v>
      </c>
      <c r="O254" s="1">
        <v>28.841899999999999</v>
      </c>
      <c r="P254" s="1">
        <v>-81.325599999999994</v>
      </c>
      <c r="Q254" s="1" t="s">
        <v>702</v>
      </c>
      <c r="R254" s="1" t="s">
        <v>41</v>
      </c>
      <c r="T254" s="1" t="s">
        <v>71</v>
      </c>
      <c r="U254" s="1" t="s">
        <v>44</v>
      </c>
      <c r="X254" s="1" t="s">
        <v>140</v>
      </c>
      <c r="AA254" s="3">
        <v>37312</v>
      </c>
      <c r="AB254" s="1" t="s">
        <v>46</v>
      </c>
      <c r="AC254" s="5">
        <v>2010</v>
      </c>
      <c r="AD254" s="1" t="s">
        <v>778</v>
      </c>
      <c r="AE254" s="1" t="str">
        <f t="shared" si="17"/>
        <v>620 SNCT5B</v>
      </c>
      <c r="AF254" s="14">
        <f>AF253</f>
        <v>297.22500000000002</v>
      </c>
      <c r="AG254" s="1" t="str">
        <f t="shared" si="16"/>
        <v/>
      </c>
    </row>
    <row r="255" spans="1:33" x14ac:dyDescent="0.2">
      <c r="A255" s="1" t="s">
        <v>304</v>
      </c>
      <c r="B255" s="1" t="s">
        <v>764</v>
      </c>
      <c r="C255" s="1">
        <v>620</v>
      </c>
      <c r="D255" s="1" t="s">
        <v>779</v>
      </c>
      <c r="F255" s="1">
        <v>2023</v>
      </c>
      <c r="G255" s="1" t="s">
        <v>247</v>
      </c>
      <c r="H255" s="1">
        <v>606322</v>
      </c>
      <c r="I255" s="1">
        <v>4</v>
      </c>
      <c r="J255" s="1" t="s">
        <v>36</v>
      </c>
      <c r="K255" s="1" t="s">
        <v>766</v>
      </c>
      <c r="L255" s="1" t="s">
        <v>767</v>
      </c>
      <c r="M255" s="1">
        <v>127</v>
      </c>
      <c r="N255" s="1" t="s">
        <v>39</v>
      </c>
      <c r="O255" s="1">
        <v>28.841899999999999</v>
      </c>
      <c r="P255" s="1">
        <v>-81.325599999999994</v>
      </c>
      <c r="Q255" s="1" t="s">
        <v>702</v>
      </c>
      <c r="R255" s="1" t="s">
        <v>41</v>
      </c>
      <c r="T255" s="1" t="s">
        <v>71</v>
      </c>
      <c r="U255" s="1" t="s">
        <v>44</v>
      </c>
      <c r="X255" s="1" t="s">
        <v>140</v>
      </c>
      <c r="AA255" s="3">
        <v>37319</v>
      </c>
      <c r="AB255" s="1" t="s">
        <v>46</v>
      </c>
      <c r="AC255" s="5">
        <v>2070</v>
      </c>
      <c r="AD255" s="1" t="s">
        <v>780</v>
      </c>
      <c r="AE255" s="1" t="str">
        <f t="shared" si="17"/>
        <v>620 SNCT5C</v>
      </c>
      <c r="AF255" s="14">
        <f>AF253</f>
        <v>297.22500000000002</v>
      </c>
      <c r="AG255" s="1" t="str">
        <f t="shared" si="16"/>
        <v/>
      </c>
    </row>
    <row r="256" spans="1:33" x14ac:dyDescent="0.2">
      <c r="A256" s="1" t="s">
        <v>304</v>
      </c>
      <c r="B256" s="1" t="s">
        <v>764</v>
      </c>
      <c r="C256" s="1">
        <v>620</v>
      </c>
      <c r="D256" s="1" t="s">
        <v>781</v>
      </c>
      <c r="F256" s="1">
        <v>2023</v>
      </c>
      <c r="G256" s="1" t="s">
        <v>247</v>
      </c>
      <c r="H256" s="1">
        <v>606322</v>
      </c>
      <c r="I256" s="1">
        <v>4</v>
      </c>
      <c r="J256" s="1" t="s">
        <v>36</v>
      </c>
      <c r="K256" s="1" t="s">
        <v>766</v>
      </c>
      <c r="L256" s="1" t="s">
        <v>767</v>
      </c>
      <c r="M256" s="1">
        <v>127</v>
      </c>
      <c r="N256" s="1" t="s">
        <v>39</v>
      </c>
      <c r="O256" s="1">
        <v>28.841899999999999</v>
      </c>
      <c r="P256" s="1">
        <v>-81.325599999999994</v>
      </c>
      <c r="Q256" s="1" t="s">
        <v>702</v>
      </c>
      <c r="R256" s="1" t="s">
        <v>41</v>
      </c>
      <c r="T256" s="1" t="s">
        <v>71</v>
      </c>
      <c r="U256" s="1" t="s">
        <v>44</v>
      </c>
      <c r="X256" s="1" t="s">
        <v>140</v>
      </c>
      <c r="AA256" s="3">
        <v>37326</v>
      </c>
      <c r="AB256" s="1" t="s">
        <v>46</v>
      </c>
      <c r="AC256" s="5">
        <v>2080</v>
      </c>
      <c r="AD256" s="1" t="s">
        <v>782</v>
      </c>
      <c r="AE256" s="1" t="str">
        <f t="shared" si="17"/>
        <v>620 SNCT5D</v>
      </c>
      <c r="AF256" s="14">
        <f>AF253</f>
        <v>297.22500000000002</v>
      </c>
      <c r="AG256" s="1" t="str">
        <f t="shared" si="16"/>
        <v/>
      </c>
    </row>
    <row r="257" spans="1:33" x14ac:dyDescent="0.2">
      <c r="A257" s="1" t="s">
        <v>304</v>
      </c>
      <c r="B257" s="1" t="s">
        <v>783</v>
      </c>
      <c r="C257" s="1">
        <v>621</v>
      </c>
      <c r="D257" s="1" t="s">
        <v>784</v>
      </c>
      <c r="F257" s="1">
        <v>2023</v>
      </c>
      <c r="G257" s="1" t="s">
        <v>247</v>
      </c>
      <c r="H257" s="1">
        <v>606322</v>
      </c>
      <c r="I257" s="1">
        <v>4</v>
      </c>
      <c r="J257" s="1" t="s">
        <v>36</v>
      </c>
      <c r="K257" s="1" t="s">
        <v>785</v>
      </c>
      <c r="L257" s="1" t="s">
        <v>786</v>
      </c>
      <c r="M257" s="1">
        <v>86</v>
      </c>
      <c r="N257" s="1" t="s">
        <v>39</v>
      </c>
      <c r="O257" s="1">
        <v>25.435600000000001</v>
      </c>
      <c r="P257" s="1">
        <v>-80.330799999999996</v>
      </c>
      <c r="Q257" s="1" t="s">
        <v>702</v>
      </c>
      <c r="R257" s="1" t="s">
        <v>41</v>
      </c>
      <c r="T257" s="1" t="s">
        <v>71</v>
      </c>
      <c r="U257" s="1" t="s">
        <v>44</v>
      </c>
      <c r="V257" s="1" t="s">
        <v>94</v>
      </c>
      <c r="X257" s="1" t="s">
        <v>787</v>
      </c>
      <c r="AA257" s="3">
        <v>39071</v>
      </c>
      <c r="AB257" s="1" t="s">
        <v>46</v>
      </c>
      <c r="AC257" s="5">
        <v>2325</v>
      </c>
      <c r="AD257" s="1" t="s">
        <v>788</v>
      </c>
      <c r="AE257" s="1" t="str">
        <f t="shared" si="17"/>
        <v>621 TPCT5A</v>
      </c>
      <c r="AF257" s="14">
        <f>AF258</f>
        <v>306.2</v>
      </c>
      <c r="AG257" s="1" t="str">
        <f t="shared" si="16"/>
        <v>Y</v>
      </c>
    </row>
    <row r="258" spans="1:33" x14ac:dyDescent="0.2">
      <c r="A258" s="1" t="s">
        <v>304</v>
      </c>
      <c r="B258" s="1" t="s">
        <v>783</v>
      </c>
      <c r="C258" s="1">
        <v>621</v>
      </c>
      <c r="D258" s="1" t="s">
        <v>789</v>
      </c>
      <c r="F258" s="1">
        <v>2023</v>
      </c>
      <c r="G258" s="1" t="s">
        <v>247</v>
      </c>
      <c r="H258" s="1">
        <v>606322</v>
      </c>
      <c r="I258" s="1">
        <v>4</v>
      </c>
      <c r="J258" s="1" t="s">
        <v>36</v>
      </c>
      <c r="K258" s="1" t="s">
        <v>785</v>
      </c>
      <c r="L258" s="1" t="s">
        <v>786</v>
      </c>
      <c r="M258" s="1">
        <v>86</v>
      </c>
      <c r="N258" s="1" t="s">
        <v>39</v>
      </c>
      <c r="O258" s="1">
        <v>25.435600000000001</v>
      </c>
      <c r="P258" s="1">
        <v>-80.330799999999996</v>
      </c>
      <c r="Q258" s="1" t="s">
        <v>702</v>
      </c>
      <c r="R258" s="1" t="s">
        <v>41</v>
      </c>
      <c r="T258" s="1" t="s">
        <v>71</v>
      </c>
      <c r="U258" s="1" t="s">
        <v>44</v>
      </c>
      <c r="V258" s="1" t="s">
        <v>94</v>
      </c>
      <c r="X258" s="1" t="s">
        <v>787</v>
      </c>
      <c r="AA258" s="3">
        <v>39078</v>
      </c>
      <c r="AB258" s="1" t="s">
        <v>46</v>
      </c>
      <c r="AC258" s="5">
        <v>2325</v>
      </c>
      <c r="AD258" s="1" t="s">
        <v>790</v>
      </c>
      <c r="AE258" s="1" t="str">
        <f t="shared" si="17"/>
        <v>621 TPCT5B</v>
      </c>
      <c r="AF258" s="14">
        <f>MID(AD258,FIND("(",AD258)+1,FIND(")",AD258)-FIND("(",AD258)-1)+472/4</f>
        <v>306.2</v>
      </c>
      <c r="AG258" s="1" t="str">
        <f t="shared" ref="AG258:AG321" si="20">IF(ISNUMBER(SEARCH("selective", X258)), "Y", "")</f>
        <v>Y</v>
      </c>
    </row>
    <row r="259" spans="1:33" x14ac:dyDescent="0.2">
      <c r="A259" s="1" t="s">
        <v>304</v>
      </c>
      <c r="B259" s="1" t="s">
        <v>783</v>
      </c>
      <c r="C259" s="1">
        <v>621</v>
      </c>
      <c r="D259" s="1" t="s">
        <v>791</v>
      </c>
      <c r="F259" s="1">
        <v>2023</v>
      </c>
      <c r="G259" s="1" t="s">
        <v>247</v>
      </c>
      <c r="H259" s="1">
        <v>606322</v>
      </c>
      <c r="I259" s="1">
        <v>4</v>
      </c>
      <c r="J259" s="1" t="s">
        <v>36</v>
      </c>
      <c r="K259" s="1" t="s">
        <v>785</v>
      </c>
      <c r="L259" s="1" t="s">
        <v>786</v>
      </c>
      <c r="M259" s="1">
        <v>86</v>
      </c>
      <c r="N259" s="1" t="s">
        <v>39</v>
      </c>
      <c r="O259" s="1">
        <v>25.435600000000001</v>
      </c>
      <c r="P259" s="1">
        <v>-80.330799999999996</v>
      </c>
      <c r="Q259" s="1" t="s">
        <v>702</v>
      </c>
      <c r="R259" s="1" t="s">
        <v>41</v>
      </c>
      <c r="T259" s="1" t="s">
        <v>71</v>
      </c>
      <c r="U259" s="1" t="s">
        <v>44</v>
      </c>
      <c r="V259" s="1" t="s">
        <v>94</v>
      </c>
      <c r="X259" s="1" t="s">
        <v>787</v>
      </c>
      <c r="AA259" s="3">
        <v>39063</v>
      </c>
      <c r="AB259" s="1" t="s">
        <v>46</v>
      </c>
      <c r="AC259" s="5">
        <v>2325</v>
      </c>
      <c r="AD259" s="1" t="s">
        <v>792</v>
      </c>
      <c r="AE259" s="1" t="str">
        <f t="shared" ref="AE259:AE322" si="21">C259&amp;" "&amp;D259</f>
        <v>621 TPCT5C</v>
      </c>
      <c r="AF259" s="14">
        <f>AF258</f>
        <v>306.2</v>
      </c>
      <c r="AG259" s="1" t="str">
        <f t="shared" si="20"/>
        <v>Y</v>
      </c>
    </row>
    <row r="260" spans="1:33" x14ac:dyDescent="0.2">
      <c r="A260" s="1" t="s">
        <v>304</v>
      </c>
      <c r="B260" s="1" t="s">
        <v>783</v>
      </c>
      <c r="C260" s="1">
        <v>621</v>
      </c>
      <c r="D260" s="1" t="s">
        <v>793</v>
      </c>
      <c r="F260" s="1">
        <v>2023</v>
      </c>
      <c r="G260" s="1" t="s">
        <v>247</v>
      </c>
      <c r="H260" s="1">
        <v>606322</v>
      </c>
      <c r="I260" s="1">
        <v>4</v>
      </c>
      <c r="J260" s="1" t="s">
        <v>36</v>
      </c>
      <c r="K260" s="1" t="s">
        <v>785</v>
      </c>
      <c r="L260" s="1" t="s">
        <v>786</v>
      </c>
      <c r="M260" s="1">
        <v>86</v>
      </c>
      <c r="N260" s="1" t="s">
        <v>39</v>
      </c>
      <c r="O260" s="1">
        <v>25.435600000000001</v>
      </c>
      <c r="P260" s="1">
        <v>-80.330799999999996</v>
      </c>
      <c r="Q260" s="1" t="s">
        <v>702</v>
      </c>
      <c r="R260" s="1" t="s">
        <v>41</v>
      </c>
      <c r="T260" s="1" t="s">
        <v>71</v>
      </c>
      <c r="U260" s="1" t="s">
        <v>44</v>
      </c>
      <c r="V260" s="1" t="s">
        <v>94</v>
      </c>
      <c r="X260" s="1" t="s">
        <v>787</v>
      </c>
      <c r="AA260" s="3">
        <v>39055</v>
      </c>
      <c r="AB260" s="1" t="s">
        <v>46</v>
      </c>
      <c r="AC260" s="5">
        <v>2325</v>
      </c>
      <c r="AD260" s="1" t="s">
        <v>794</v>
      </c>
      <c r="AE260" s="1" t="str">
        <f t="shared" si="21"/>
        <v>621 TPCT5D</v>
      </c>
      <c r="AF260" s="14">
        <f>AF258</f>
        <v>306.2</v>
      </c>
      <c r="AG260" s="1" t="str">
        <f t="shared" si="20"/>
        <v>Y</v>
      </c>
    </row>
    <row r="261" spans="1:33" x14ac:dyDescent="0.2">
      <c r="A261" s="1" t="s">
        <v>304</v>
      </c>
      <c r="B261" s="1" t="s">
        <v>795</v>
      </c>
      <c r="C261" s="1">
        <v>628</v>
      </c>
      <c r="D261" s="1">
        <v>4</v>
      </c>
      <c r="F261" s="1">
        <v>2023</v>
      </c>
      <c r="G261" s="1" t="s">
        <v>236</v>
      </c>
      <c r="H261" s="1">
        <v>610088</v>
      </c>
      <c r="I261" s="1">
        <v>4</v>
      </c>
      <c r="J261" s="1" t="s">
        <v>796</v>
      </c>
      <c r="K261" s="1" t="s">
        <v>797</v>
      </c>
      <c r="L261" s="1" t="s">
        <v>798</v>
      </c>
      <c r="M261" s="1">
        <v>17</v>
      </c>
      <c r="N261" s="1" t="s">
        <v>39</v>
      </c>
      <c r="O261" s="1">
        <v>28.959399999999999</v>
      </c>
      <c r="P261" s="1">
        <v>-82.700299999999999</v>
      </c>
      <c r="Q261" s="1" t="s">
        <v>799</v>
      </c>
      <c r="R261" s="1" t="s">
        <v>41</v>
      </c>
      <c r="S261" s="1" t="s">
        <v>211</v>
      </c>
      <c r="T261" s="1" t="s">
        <v>89</v>
      </c>
      <c r="U261" s="1" t="s">
        <v>55</v>
      </c>
      <c r="W261" s="1" t="s">
        <v>56</v>
      </c>
      <c r="X261" s="1" t="s">
        <v>639</v>
      </c>
      <c r="Y261" s="1" t="s">
        <v>800</v>
      </c>
      <c r="AA261" s="3">
        <v>30286</v>
      </c>
      <c r="AB261" s="1" t="s">
        <v>46</v>
      </c>
      <c r="AC261" s="5">
        <v>9200</v>
      </c>
      <c r="AD261" s="1" t="s">
        <v>801</v>
      </c>
      <c r="AE261" s="1" t="str">
        <f t="shared" si="21"/>
        <v>628 4</v>
      </c>
      <c r="AF261" s="5" t="str">
        <f>MID(AD261,FIND("(",AD261)+1,FIND(")",AD261)-FIND("(",AD261)-1)</f>
        <v>739.3</v>
      </c>
      <c r="AG261" s="1" t="str">
        <f t="shared" si="20"/>
        <v>Y</v>
      </c>
    </row>
    <row r="262" spans="1:33" x14ac:dyDescent="0.2">
      <c r="A262" s="1" t="s">
        <v>304</v>
      </c>
      <c r="B262" s="1" t="s">
        <v>795</v>
      </c>
      <c r="C262" s="1">
        <v>628</v>
      </c>
      <c r="D262" s="1">
        <v>5</v>
      </c>
      <c r="F262" s="1">
        <v>2023</v>
      </c>
      <c r="G262" s="1" t="s">
        <v>236</v>
      </c>
      <c r="H262" s="1">
        <v>610088</v>
      </c>
      <c r="I262" s="1">
        <v>4</v>
      </c>
      <c r="J262" s="1" t="s">
        <v>796</v>
      </c>
      <c r="K262" s="1" t="s">
        <v>797</v>
      </c>
      <c r="L262" s="1" t="s">
        <v>798</v>
      </c>
      <c r="M262" s="1">
        <v>17</v>
      </c>
      <c r="N262" s="1" t="s">
        <v>39</v>
      </c>
      <c r="O262" s="1">
        <v>28.959399999999999</v>
      </c>
      <c r="P262" s="1">
        <v>-82.700299999999999</v>
      </c>
      <c r="Q262" s="1" t="s">
        <v>799</v>
      </c>
      <c r="R262" s="1" t="s">
        <v>41</v>
      </c>
      <c r="S262" s="1" t="s">
        <v>211</v>
      </c>
      <c r="T262" s="1" t="s">
        <v>89</v>
      </c>
      <c r="U262" s="1" t="s">
        <v>55</v>
      </c>
      <c r="W262" s="1" t="s">
        <v>241</v>
      </c>
      <c r="X262" s="1" t="s">
        <v>639</v>
      </c>
      <c r="Y262" s="1" t="s">
        <v>800</v>
      </c>
      <c r="AA262" s="3">
        <v>30956</v>
      </c>
      <c r="AB262" s="1" t="s">
        <v>46</v>
      </c>
      <c r="AC262" s="5">
        <v>9932</v>
      </c>
      <c r="AD262" s="1" t="s">
        <v>802</v>
      </c>
      <c r="AE262" s="1" t="str">
        <f t="shared" si="21"/>
        <v>628 5</v>
      </c>
      <c r="AF262" s="5" t="str">
        <f>MID(AD262,FIND("(",AD262)+1,FIND(")",AD262)-FIND("(",AD262)-1)</f>
        <v>739.3</v>
      </c>
      <c r="AG262" s="1" t="str">
        <f t="shared" si="20"/>
        <v>Y</v>
      </c>
    </row>
    <row r="263" spans="1:33" x14ac:dyDescent="0.2">
      <c r="A263" s="1" t="s">
        <v>304</v>
      </c>
      <c r="B263" s="1" t="s">
        <v>795</v>
      </c>
      <c r="C263" s="1">
        <v>628</v>
      </c>
      <c r="D263" s="1" t="s">
        <v>803</v>
      </c>
      <c r="F263" s="1">
        <v>2023</v>
      </c>
      <c r="G263" s="1" t="s">
        <v>312</v>
      </c>
      <c r="H263" s="1">
        <v>610088</v>
      </c>
      <c r="I263" s="1">
        <v>4</v>
      </c>
      <c r="J263" s="1" t="s">
        <v>796</v>
      </c>
      <c r="K263" s="1" t="s">
        <v>797</v>
      </c>
      <c r="L263" s="1" t="s">
        <v>798</v>
      </c>
      <c r="M263" s="1">
        <v>17</v>
      </c>
      <c r="N263" s="1" t="s">
        <v>39</v>
      </c>
      <c r="O263" s="1">
        <v>28.959399999999999</v>
      </c>
      <c r="P263" s="1">
        <v>-82.700299999999999</v>
      </c>
      <c r="Q263" s="1" t="s">
        <v>799</v>
      </c>
      <c r="R263" s="1" t="s">
        <v>41</v>
      </c>
      <c r="T263" s="1" t="s">
        <v>71</v>
      </c>
      <c r="U263" s="1" t="s">
        <v>44</v>
      </c>
      <c r="X263" s="1" t="s">
        <v>223</v>
      </c>
      <c r="AA263" s="3">
        <v>43339</v>
      </c>
      <c r="AB263" s="1" t="s">
        <v>46</v>
      </c>
      <c r="AC263" s="5">
        <v>3292</v>
      </c>
      <c r="AD263" s="1" t="s">
        <v>804</v>
      </c>
      <c r="AE263" s="1" t="str">
        <f t="shared" si="21"/>
        <v>628 1GTA</v>
      </c>
      <c r="AF263" s="14">
        <f>MID(AD263,FIND("(",AD263)+1,FIND(")",AD263)-FIND("(",AD263)-1)+364.7/2</f>
        <v>492.65</v>
      </c>
      <c r="AG263" s="1" t="str">
        <f t="shared" si="20"/>
        <v>Y</v>
      </c>
    </row>
    <row r="264" spans="1:33" x14ac:dyDescent="0.2">
      <c r="A264" s="1" t="s">
        <v>304</v>
      </c>
      <c r="B264" s="1" t="s">
        <v>795</v>
      </c>
      <c r="C264" s="1">
        <v>628</v>
      </c>
      <c r="D264" s="1" t="s">
        <v>805</v>
      </c>
      <c r="F264" s="1">
        <v>2023</v>
      </c>
      <c r="G264" s="1" t="s">
        <v>312</v>
      </c>
      <c r="H264" s="1">
        <v>610088</v>
      </c>
      <c r="I264" s="1">
        <v>4</v>
      </c>
      <c r="J264" s="1" t="s">
        <v>796</v>
      </c>
      <c r="K264" s="1" t="s">
        <v>797</v>
      </c>
      <c r="L264" s="1" t="s">
        <v>798</v>
      </c>
      <c r="M264" s="1">
        <v>17</v>
      </c>
      <c r="N264" s="1" t="s">
        <v>39</v>
      </c>
      <c r="O264" s="1">
        <v>28.959399999999999</v>
      </c>
      <c r="P264" s="1">
        <v>-82.700299999999999</v>
      </c>
      <c r="Q264" s="1" t="s">
        <v>799</v>
      </c>
      <c r="R264" s="1" t="s">
        <v>41</v>
      </c>
      <c r="T264" s="1" t="s">
        <v>71</v>
      </c>
      <c r="U264" s="1" t="s">
        <v>44</v>
      </c>
      <c r="X264" s="1" t="s">
        <v>223</v>
      </c>
      <c r="AA264" s="3">
        <v>43335</v>
      </c>
      <c r="AB264" s="1" t="s">
        <v>46</v>
      </c>
      <c r="AC264" s="5">
        <v>3292</v>
      </c>
      <c r="AD264" s="1" t="s">
        <v>806</v>
      </c>
      <c r="AE264" s="1" t="str">
        <f t="shared" si="21"/>
        <v>628 1GTB</v>
      </c>
      <c r="AF264" s="14">
        <f>AF263</f>
        <v>492.65</v>
      </c>
      <c r="AG264" s="1" t="str">
        <f t="shared" si="20"/>
        <v>Y</v>
      </c>
    </row>
    <row r="265" spans="1:33" x14ac:dyDescent="0.2">
      <c r="A265" s="1" t="s">
        <v>304</v>
      </c>
      <c r="B265" s="1" t="s">
        <v>795</v>
      </c>
      <c r="C265" s="1">
        <v>628</v>
      </c>
      <c r="D265" s="1" t="s">
        <v>807</v>
      </c>
      <c r="F265" s="1">
        <v>2023</v>
      </c>
      <c r="G265" s="1" t="s">
        <v>312</v>
      </c>
      <c r="H265" s="1">
        <v>610088</v>
      </c>
      <c r="I265" s="1">
        <v>4</v>
      </c>
      <c r="J265" s="1" t="s">
        <v>796</v>
      </c>
      <c r="K265" s="1" t="s">
        <v>797</v>
      </c>
      <c r="L265" s="1" t="s">
        <v>798</v>
      </c>
      <c r="M265" s="1">
        <v>17</v>
      </c>
      <c r="N265" s="1" t="s">
        <v>39</v>
      </c>
      <c r="O265" s="1">
        <v>28.959399999999999</v>
      </c>
      <c r="P265" s="1">
        <v>-82.700299999999999</v>
      </c>
      <c r="Q265" s="1" t="s">
        <v>799</v>
      </c>
      <c r="R265" s="1" t="s">
        <v>41</v>
      </c>
      <c r="T265" s="1" t="s">
        <v>71</v>
      </c>
      <c r="U265" s="1" t="s">
        <v>44</v>
      </c>
      <c r="X265" s="1" t="s">
        <v>223</v>
      </c>
      <c r="AA265" s="3">
        <v>43380</v>
      </c>
      <c r="AB265" s="1" t="s">
        <v>46</v>
      </c>
      <c r="AC265" s="5">
        <v>3292</v>
      </c>
      <c r="AD265" s="1" t="s">
        <v>808</v>
      </c>
      <c r="AE265" s="1" t="str">
        <f t="shared" si="21"/>
        <v>628 2GTA</v>
      </c>
      <c r="AF265" s="14">
        <f>MID(AD265,FIND("(",AD265)+1,FIND(")",AD265)-FIND("(",AD265)-1)+364.7/2</f>
        <v>492.65</v>
      </c>
      <c r="AG265" s="1" t="str">
        <f t="shared" si="20"/>
        <v>Y</v>
      </c>
    </row>
    <row r="266" spans="1:33" x14ac:dyDescent="0.2">
      <c r="A266" s="1" t="s">
        <v>304</v>
      </c>
      <c r="B266" s="1" t="s">
        <v>795</v>
      </c>
      <c r="C266" s="1">
        <v>628</v>
      </c>
      <c r="D266" s="1" t="s">
        <v>809</v>
      </c>
      <c r="F266" s="1">
        <v>2023</v>
      </c>
      <c r="G266" s="1" t="s">
        <v>312</v>
      </c>
      <c r="H266" s="1">
        <v>610088</v>
      </c>
      <c r="I266" s="1">
        <v>4</v>
      </c>
      <c r="J266" s="1" t="s">
        <v>796</v>
      </c>
      <c r="K266" s="1" t="s">
        <v>797</v>
      </c>
      <c r="L266" s="1" t="s">
        <v>798</v>
      </c>
      <c r="M266" s="1">
        <v>17</v>
      </c>
      <c r="N266" s="1" t="s">
        <v>39</v>
      </c>
      <c r="O266" s="1">
        <v>28.959399999999999</v>
      </c>
      <c r="P266" s="1">
        <v>-82.700299999999999</v>
      </c>
      <c r="Q266" s="1" t="s">
        <v>799</v>
      </c>
      <c r="R266" s="1" t="s">
        <v>41</v>
      </c>
      <c r="T266" s="1" t="s">
        <v>71</v>
      </c>
      <c r="U266" s="1" t="s">
        <v>44</v>
      </c>
      <c r="X266" s="1" t="s">
        <v>223</v>
      </c>
      <c r="AA266" s="3">
        <v>43389</v>
      </c>
      <c r="AB266" s="1" t="s">
        <v>46</v>
      </c>
      <c r="AC266" s="5">
        <v>3292</v>
      </c>
      <c r="AD266" s="1" t="s">
        <v>810</v>
      </c>
      <c r="AE266" s="1" t="str">
        <f t="shared" si="21"/>
        <v>628 2GTB</v>
      </c>
      <c r="AF266" s="14">
        <f>AF265</f>
        <v>492.65</v>
      </c>
      <c r="AG266" s="1" t="str">
        <f t="shared" si="20"/>
        <v>Y</v>
      </c>
    </row>
    <row r="267" spans="1:33" x14ac:dyDescent="0.2">
      <c r="A267" s="1" t="s">
        <v>304</v>
      </c>
      <c r="B267" s="1" t="s">
        <v>811</v>
      </c>
      <c r="C267" s="1">
        <v>634</v>
      </c>
      <c r="D267" s="1" t="s">
        <v>381</v>
      </c>
      <c r="F267" s="1">
        <v>2023</v>
      </c>
      <c r="G267" s="1" t="s">
        <v>247</v>
      </c>
      <c r="H267" s="1">
        <v>610088</v>
      </c>
      <c r="I267" s="1">
        <v>4</v>
      </c>
      <c r="J267" s="1" t="s">
        <v>796</v>
      </c>
      <c r="K267" s="1" t="s">
        <v>812</v>
      </c>
      <c r="L267" s="1" t="s">
        <v>813</v>
      </c>
      <c r="M267" s="1">
        <v>103</v>
      </c>
      <c r="N267" s="1" t="s">
        <v>39</v>
      </c>
      <c r="O267" s="1">
        <v>27.8613</v>
      </c>
      <c r="P267" s="1">
        <v>-82.601200000000006</v>
      </c>
      <c r="Q267" s="1" t="s">
        <v>799</v>
      </c>
      <c r="R267" s="1" t="s">
        <v>41</v>
      </c>
      <c r="T267" s="1" t="s">
        <v>71</v>
      </c>
      <c r="U267" s="1" t="s">
        <v>44</v>
      </c>
      <c r="V267" s="1" t="s">
        <v>94</v>
      </c>
      <c r="X267" s="1" t="s">
        <v>643</v>
      </c>
      <c r="AA267" s="3">
        <v>39787</v>
      </c>
      <c r="AB267" s="1" t="s">
        <v>46</v>
      </c>
      <c r="AC267" s="5">
        <v>2610</v>
      </c>
      <c r="AD267" s="1" t="s">
        <v>814</v>
      </c>
      <c r="AE267" s="1" t="str">
        <f t="shared" si="21"/>
        <v>634 4A</v>
      </c>
      <c r="AF267" s="14">
        <f>AF270</f>
        <v>320</v>
      </c>
      <c r="AG267" s="1" t="str">
        <f t="shared" si="20"/>
        <v>Y</v>
      </c>
    </row>
    <row r="268" spans="1:33" x14ac:dyDescent="0.2">
      <c r="A268" s="1" t="s">
        <v>304</v>
      </c>
      <c r="B268" s="1" t="s">
        <v>811</v>
      </c>
      <c r="C268" s="1">
        <v>634</v>
      </c>
      <c r="D268" s="1" t="s">
        <v>815</v>
      </c>
      <c r="F268" s="1">
        <v>2023</v>
      </c>
      <c r="G268" s="1" t="s">
        <v>247</v>
      </c>
      <c r="H268" s="1">
        <v>610088</v>
      </c>
      <c r="I268" s="1">
        <v>4</v>
      </c>
      <c r="J268" s="1" t="s">
        <v>796</v>
      </c>
      <c r="K268" s="1" t="s">
        <v>812</v>
      </c>
      <c r="L268" s="1" t="s">
        <v>813</v>
      </c>
      <c r="M268" s="1">
        <v>103</v>
      </c>
      <c r="N268" s="1" t="s">
        <v>39</v>
      </c>
      <c r="O268" s="1">
        <v>27.8613</v>
      </c>
      <c r="P268" s="1">
        <v>-82.601200000000006</v>
      </c>
      <c r="Q268" s="1" t="s">
        <v>799</v>
      </c>
      <c r="R268" s="1" t="s">
        <v>41</v>
      </c>
      <c r="T268" s="1" t="s">
        <v>71</v>
      </c>
      <c r="U268" s="1" t="s">
        <v>44</v>
      </c>
      <c r="V268" s="1" t="s">
        <v>94</v>
      </c>
      <c r="X268" s="1" t="s">
        <v>643</v>
      </c>
      <c r="AA268" s="3">
        <v>39757</v>
      </c>
      <c r="AB268" s="1" t="s">
        <v>46</v>
      </c>
      <c r="AC268" s="5">
        <v>2610</v>
      </c>
      <c r="AD268" s="1" t="s">
        <v>816</v>
      </c>
      <c r="AE268" s="1" t="str">
        <f t="shared" si="21"/>
        <v>634 4B</v>
      </c>
      <c r="AF268" s="14">
        <f>AF270</f>
        <v>320</v>
      </c>
      <c r="AG268" s="1" t="str">
        <f t="shared" si="20"/>
        <v>Y</v>
      </c>
    </row>
    <row r="269" spans="1:33" x14ac:dyDescent="0.2">
      <c r="A269" s="1" t="s">
        <v>304</v>
      </c>
      <c r="B269" s="1" t="s">
        <v>811</v>
      </c>
      <c r="C269" s="1">
        <v>634</v>
      </c>
      <c r="D269" s="1" t="s">
        <v>817</v>
      </c>
      <c r="F269" s="1">
        <v>2023</v>
      </c>
      <c r="G269" s="1" t="s">
        <v>247</v>
      </c>
      <c r="H269" s="1">
        <v>610088</v>
      </c>
      <c r="I269" s="1">
        <v>4</v>
      </c>
      <c r="J269" s="1" t="s">
        <v>796</v>
      </c>
      <c r="K269" s="1" t="s">
        <v>812</v>
      </c>
      <c r="L269" s="1" t="s">
        <v>813</v>
      </c>
      <c r="M269" s="1">
        <v>103</v>
      </c>
      <c r="N269" s="1" t="s">
        <v>39</v>
      </c>
      <c r="O269" s="1">
        <v>27.8613</v>
      </c>
      <c r="P269" s="1">
        <v>-82.601200000000006</v>
      </c>
      <c r="Q269" s="1" t="s">
        <v>799</v>
      </c>
      <c r="R269" s="1" t="s">
        <v>41</v>
      </c>
      <c r="T269" s="1" t="s">
        <v>71</v>
      </c>
      <c r="U269" s="1" t="s">
        <v>44</v>
      </c>
      <c r="V269" s="1" t="s">
        <v>94</v>
      </c>
      <c r="X269" s="1" t="s">
        <v>643</v>
      </c>
      <c r="AA269" s="3">
        <v>39771</v>
      </c>
      <c r="AB269" s="1" t="s">
        <v>46</v>
      </c>
      <c r="AC269" s="5">
        <v>2610</v>
      </c>
      <c r="AD269" s="1" t="s">
        <v>818</v>
      </c>
      <c r="AE269" s="1" t="str">
        <f t="shared" si="21"/>
        <v>634 4C</v>
      </c>
      <c r="AF269" s="14">
        <f>AF270</f>
        <v>320</v>
      </c>
      <c r="AG269" s="1" t="str">
        <f t="shared" si="20"/>
        <v>Y</v>
      </c>
    </row>
    <row r="270" spans="1:33" x14ac:dyDescent="0.2">
      <c r="A270" s="1" t="s">
        <v>304</v>
      </c>
      <c r="B270" s="1" t="s">
        <v>811</v>
      </c>
      <c r="C270" s="1">
        <v>634</v>
      </c>
      <c r="D270" s="1" t="s">
        <v>819</v>
      </c>
      <c r="F270" s="1">
        <v>2023</v>
      </c>
      <c r="G270" s="1" t="s">
        <v>247</v>
      </c>
      <c r="H270" s="1">
        <v>610088</v>
      </c>
      <c r="I270" s="1">
        <v>4</v>
      </c>
      <c r="J270" s="1" t="s">
        <v>796</v>
      </c>
      <c r="K270" s="1" t="s">
        <v>812</v>
      </c>
      <c r="L270" s="1" t="s">
        <v>813</v>
      </c>
      <c r="M270" s="1">
        <v>103</v>
      </c>
      <c r="N270" s="1" t="s">
        <v>39</v>
      </c>
      <c r="O270" s="1">
        <v>27.8613</v>
      </c>
      <c r="P270" s="1">
        <v>-82.601200000000006</v>
      </c>
      <c r="Q270" s="1" t="s">
        <v>799</v>
      </c>
      <c r="R270" s="1" t="s">
        <v>41</v>
      </c>
      <c r="T270" s="1" t="s">
        <v>71</v>
      </c>
      <c r="U270" s="1" t="s">
        <v>44</v>
      </c>
      <c r="V270" s="1" t="s">
        <v>94</v>
      </c>
      <c r="X270" s="1" t="s">
        <v>643</v>
      </c>
      <c r="AA270" s="3">
        <v>39802</v>
      </c>
      <c r="AB270" s="1" t="s">
        <v>46</v>
      </c>
      <c r="AC270" s="5">
        <v>2610</v>
      </c>
      <c r="AD270" s="1" t="s">
        <v>820</v>
      </c>
      <c r="AE270" s="1" t="str">
        <f t="shared" si="21"/>
        <v>634 4D</v>
      </c>
      <c r="AF270" s="14">
        <f>MID(AD270,FIND("(",AD270)+1,FIND(")",AD270)-FIND("(",AD270)-1)+420/4</f>
        <v>320</v>
      </c>
      <c r="AG270" s="1" t="str">
        <f t="shared" si="20"/>
        <v>Y</v>
      </c>
    </row>
    <row r="271" spans="1:33" x14ac:dyDescent="0.2">
      <c r="A271" s="1" t="s">
        <v>304</v>
      </c>
      <c r="B271" s="1" t="s">
        <v>821</v>
      </c>
      <c r="C271" s="1">
        <v>641</v>
      </c>
      <c r="D271" s="1">
        <v>4</v>
      </c>
      <c r="E271" s="1" t="s">
        <v>822</v>
      </c>
      <c r="F271" s="1">
        <v>2023</v>
      </c>
      <c r="G271" s="1" t="s">
        <v>247</v>
      </c>
      <c r="H271" s="1">
        <v>606322</v>
      </c>
      <c r="I271" s="1">
        <v>4</v>
      </c>
      <c r="K271" s="1" t="s">
        <v>823</v>
      </c>
      <c r="L271" s="1" t="s">
        <v>824</v>
      </c>
      <c r="M271" s="1">
        <v>33</v>
      </c>
      <c r="N271" s="1" t="s">
        <v>39</v>
      </c>
      <c r="O271" s="1">
        <v>30.566099999999999</v>
      </c>
      <c r="P271" s="1">
        <v>-87.228899999999996</v>
      </c>
      <c r="Q271" s="1" t="s">
        <v>702</v>
      </c>
      <c r="R271" s="1" t="s">
        <v>41</v>
      </c>
      <c r="S271" s="1" t="s">
        <v>121</v>
      </c>
      <c r="T271" s="1" t="s">
        <v>43</v>
      </c>
      <c r="U271" s="1" t="s">
        <v>44</v>
      </c>
      <c r="AA271" s="3">
        <v>21732</v>
      </c>
      <c r="AB271" s="1" t="s">
        <v>46</v>
      </c>
      <c r="AC271" s="5">
        <v>1097</v>
      </c>
      <c r="AD271" s="1" t="s">
        <v>825</v>
      </c>
      <c r="AE271" s="1" t="str">
        <f t="shared" si="21"/>
        <v>641 4</v>
      </c>
      <c r="AF271" s="5" t="str">
        <f t="shared" ref="AF271:AF278" si="22">MID(AD271,FIND("(",AD271)+1,FIND(")",AD271)-FIND("(",AD271)-1)</f>
        <v>93.8</v>
      </c>
      <c r="AG271" s="1" t="str">
        <f t="shared" si="20"/>
        <v/>
      </c>
    </row>
    <row r="272" spans="1:33" x14ac:dyDescent="0.2">
      <c r="A272" s="1" t="s">
        <v>304</v>
      </c>
      <c r="B272" s="1" t="s">
        <v>821</v>
      </c>
      <c r="C272" s="1">
        <v>641</v>
      </c>
      <c r="D272" s="1">
        <v>5</v>
      </c>
      <c r="E272" s="1" t="s">
        <v>822</v>
      </c>
      <c r="F272" s="1">
        <v>2023</v>
      </c>
      <c r="G272" s="1" t="s">
        <v>247</v>
      </c>
      <c r="H272" s="1">
        <v>606322</v>
      </c>
      <c r="I272" s="1">
        <v>4</v>
      </c>
      <c r="K272" s="1" t="s">
        <v>823</v>
      </c>
      <c r="L272" s="1" t="s">
        <v>824</v>
      </c>
      <c r="M272" s="1">
        <v>33</v>
      </c>
      <c r="N272" s="1" t="s">
        <v>39</v>
      </c>
      <c r="O272" s="1">
        <v>30.566099999999999</v>
      </c>
      <c r="P272" s="1">
        <v>-87.228899999999996</v>
      </c>
      <c r="Q272" s="1" t="s">
        <v>702</v>
      </c>
      <c r="R272" s="1" t="s">
        <v>41</v>
      </c>
      <c r="S272" s="1" t="s">
        <v>121</v>
      </c>
      <c r="T272" s="1" t="s">
        <v>43</v>
      </c>
      <c r="U272" s="1" t="s">
        <v>44</v>
      </c>
      <c r="AA272" s="3">
        <v>22433</v>
      </c>
      <c r="AB272" s="1" t="s">
        <v>46</v>
      </c>
      <c r="AC272" s="5">
        <v>1097</v>
      </c>
      <c r="AD272" s="1" t="s">
        <v>826</v>
      </c>
      <c r="AE272" s="1" t="str">
        <f t="shared" si="21"/>
        <v>641 5</v>
      </c>
      <c r="AF272" s="5" t="str">
        <f t="shared" si="22"/>
        <v>93.8</v>
      </c>
      <c r="AG272" s="1" t="str">
        <f t="shared" si="20"/>
        <v/>
      </c>
    </row>
    <row r="273" spans="1:33" x14ac:dyDescent="0.2">
      <c r="A273" s="1" t="s">
        <v>304</v>
      </c>
      <c r="B273" s="1" t="s">
        <v>821</v>
      </c>
      <c r="C273" s="1">
        <v>641</v>
      </c>
      <c r="D273" s="1">
        <v>6</v>
      </c>
      <c r="E273" s="1" t="s">
        <v>827</v>
      </c>
      <c r="F273" s="1">
        <v>2023</v>
      </c>
      <c r="G273" s="1" t="s">
        <v>247</v>
      </c>
      <c r="H273" s="1">
        <v>606322</v>
      </c>
      <c r="I273" s="1">
        <v>4</v>
      </c>
      <c r="K273" s="1" t="s">
        <v>823</v>
      </c>
      <c r="L273" s="1" t="s">
        <v>824</v>
      </c>
      <c r="M273" s="1">
        <v>33</v>
      </c>
      <c r="N273" s="1" t="s">
        <v>39</v>
      </c>
      <c r="O273" s="1">
        <v>30.566099999999999</v>
      </c>
      <c r="P273" s="1">
        <v>-87.228899999999996</v>
      </c>
      <c r="Q273" s="1" t="s">
        <v>702</v>
      </c>
      <c r="R273" s="1" t="s">
        <v>120</v>
      </c>
      <c r="S273" s="1" t="s">
        <v>121</v>
      </c>
      <c r="T273" s="1" t="s">
        <v>89</v>
      </c>
      <c r="U273" s="1" t="s">
        <v>44</v>
      </c>
      <c r="AA273" s="3">
        <v>25689</v>
      </c>
      <c r="AB273" s="1" t="s">
        <v>46</v>
      </c>
      <c r="AC273" s="5">
        <v>3705</v>
      </c>
      <c r="AD273" s="1" t="s">
        <v>828</v>
      </c>
      <c r="AE273" s="1" t="str">
        <f t="shared" si="21"/>
        <v>641 6</v>
      </c>
      <c r="AF273" s="5" t="str">
        <f t="shared" si="22"/>
        <v>369.8</v>
      </c>
      <c r="AG273" s="1" t="str">
        <f t="shared" si="20"/>
        <v/>
      </c>
    </row>
    <row r="274" spans="1:33" x14ac:dyDescent="0.2">
      <c r="A274" s="1" t="s">
        <v>304</v>
      </c>
      <c r="B274" s="1" t="s">
        <v>821</v>
      </c>
      <c r="C274" s="1">
        <v>641</v>
      </c>
      <c r="D274" s="1">
        <v>7</v>
      </c>
      <c r="E274" s="1" t="s">
        <v>827</v>
      </c>
      <c r="F274" s="1">
        <v>2023</v>
      </c>
      <c r="G274" s="1" t="s">
        <v>247</v>
      </c>
      <c r="H274" s="1">
        <v>606322</v>
      </c>
      <c r="I274" s="1">
        <v>4</v>
      </c>
      <c r="K274" s="1" t="s">
        <v>823</v>
      </c>
      <c r="L274" s="1" t="s">
        <v>824</v>
      </c>
      <c r="M274" s="1">
        <v>33</v>
      </c>
      <c r="N274" s="1" t="s">
        <v>39</v>
      </c>
      <c r="O274" s="1">
        <v>30.566099999999999</v>
      </c>
      <c r="P274" s="1">
        <v>-87.228899999999996</v>
      </c>
      <c r="Q274" s="1" t="s">
        <v>702</v>
      </c>
      <c r="R274" s="1" t="s">
        <v>120</v>
      </c>
      <c r="S274" s="1" t="s">
        <v>121</v>
      </c>
      <c r="T274" s="1" t="s">
        <v>89</v>
      </c>
      <c r="U274" s="1" t="s">
        <v>44</v>
      </c>
      <c r="AA274" s="3">
        <v>26877</v>
      </c>
      <c r="AB274" s="1" t="s">
        <v>46</v>
      </c>
      <c r="AC274" s="5">
        <v>6406</v>
      </c>
      <c r="AD274" s="1" t="s">
        <v>829</v>
      </c>
      <c r="AE274" s="1" t="str">
        <f t="shared" si="21"/>
        <v>641 7</v>
      </c>
      <c r="AF274" s="5" t="str">
        <f t="shared" si="22"/>
        <v>578</v>
      </c>
      <c r="AG274" s="1" t="str">
        <f t="shared" si="20"/>
        <v/>
      </c>
    </row>
    <row r="275" spans="1:33" x14ac:dyDescent="0.2">
      <c r="A275" s="1" t="s">
        <v>304</v>
      </c>
      <c r="B275" s="1" t="s">
        <v>821</v>
      </c>
      <c r="C275" s="1">
        <v>641</v>
      </c>
      <c r="D275" s="1" t="s">
        <v>830</v>
      </c>
      <c r="F275" s="1">
        <v>2023</v>
      </c>
      <c r="G275" s="1" t="s">
        <v>247</v>
      </c>
      <c r="H275" s="1">
        <v>606322</v>
      </c>
      <c r="I275" s="1">
        <v>4</v>
      </c>
      <c r="K275" s="1" t="s">
        <v>823</v>
      </c>
      <c r="L275" s="1" t="s">
        <v>824</v>
      </c>
      <c r="M275" s="1">
        <v>33</v>
      </c>
      <c r="N275" s="1" t="s">
        <v>39</v>
      </c>
      <c r="O275" s="1">
        <v>30.566099999999999</v>
      </c>
      <c r="P275" s="1">
        <v>-87.228899999999996</v>
      </c>
      <c r="Q275" s="1" t="s">
        <v>702</v>
      </c>
      <c r="R275" s="1" t="s">
        <v>41</v>
      </c>
      <c r="T275" s="1" t="s">
        <v>93</v>
      </c>
      <c r="U275" s="1" t="s">
        <v>44</v>
      </c>
      <c r="V275" s="1" t="s">
        <v>94</v>
      </c>
      <c r="X275" s="1" t="s">
        <v>183</v>
      </c>
      <c r="AA275" s="3">
        <v>44492</v>
      </c>
      <c r="AB275" s="1" t="s">
        <v>46</v>
      </c>
      <c r="AC275" s="5">
        <v>2474.4</v>
      </c>
      <c r="AD275" s="1" t="s">
        <v>831</v>
      </c>
      <c r="AE275" s="1" t="str">
        <f t="shared" si="21"/>
        <v>641 8A</v>
      </c>
      <c r="AF275" s="5" t="str">
        <f t="shared" si="22"/>
        <v>225</v>
      </c>
      <c r="AG275" s="1" t="str">
        <f t="shared" si="20"/>
        <v/>
      </c>
    </row>
    <row r="276" spans="1:33" x14ac:dyDescent="0.2">
      <c r="A276" s="1" t="s">
        <v>304</v>
      </c>
      <c r="B276" s="1" t="s">
        <v>821</v>
      </c>
      <c r="C276" s="1">
        <v>641</v>
      </c>
      <c r="D276" s="1" t="s">
        <v>832</v>
      </c>
      <c r="F276" s="1">
        <v>2023</v>
      </c>
      <c r="G276" s="1" t="s">
        <v>247</v>
      </c>
      <c r="H276" s="1">
        <v>606322</v>
      </c>
      <c r="I276" s="1">
        <v>4</v>
      </c>
      <c r="K276" s="1" t="s">
        <v>823</v>
      </c>
      <c r="L276" s="1" t="s">
        <v>824</v>
      </c>
      <c r="M276" s="1">
        <v>33</v>
      </c>
      <c r="N276" s="1" t="s">
        <v>39</v>
      </c>
      <c r="O276" s="1">
        <v>30.566099999999999</v>
      </c>
      <c r="P276" s="1">
        <v>-87.228899999999996</v>
      </c>
      <c r="Q276" s="1" t="s">
        <v>702</v>
      </c>
      <c r="R276" s="1" t="s">
        <v>41</v>
      </c>
      <c r="T276" s="1" t="s">
        <v>93</v>
      </c>
      <c r="U276" s="1" t="s">
        <v>44</v>
      </c>
      <c r="V276" s="1" t="s">
        <v>94</v>
      </c>
      <c r="X276" s="1" t="s">
        <v>183</v>
      </c>
      <c r="AA276" s="3">
        <v>44470</v>
      </c>
      <c r="AB276" s="1" t="s">
        <v>46</v>
      </c>
      <c r="AC276" s="5">
        <v>2474.4</v>
      </c>
      <c r="AD276" s="1" t="s">
        <v>833</v>
      </c>
      <c r="AE276" s="1" t="str">
        <f t="shared" si="21"/>
        <v>641 8B</v>
      </c>
      <c r="AF276" s="5" t="str">
        <f t="shared" si="22"/>
        <v>225</v>
      </c>
      <c r="AG276" s="1" t="str">
        <f t="shared" si="20"/>
        <v/>
      </c>
    </row>
    <row r="277" spans="1:33" x14ac:dyDescent="0.2">
      <c r="A277" s="1" t="s">
        <v>304</v>
      </c>
      <c r="B277" s="1" t="s">
        <v>821</v>
      </c>
      <c r="C277" s="1">
        <v>641</v>
      </c>
      <c r="D277" s="1" t="s">
        <v>834</v>
      </c>
      <c r="F277" s="1">
        <v>2023</v>
      </c>
      <c r="G277" s="1" t="s">
        <v>247</v>
      </c>
      <c r="H277" s="1">
        <v>606322</v>
      </c>
      <c r="I277" s="1">
        <v>4</v>
      </c>
      <c r="K277" s="1" t="s">
        <v>823</v>
      </c>
      <c r="L277" s="1" t="s">
        <v>824</v>
      </c>
      <c r="M277" s="1">
        <v>33</v>
      </c>
      <c r="N277" s="1" t="s">
        <v>39</v>
      </c>
      <c r="O277" s="1">
        <v>30.566099999999999</v>
      </c>
      <c r="P277" s="1">
        <v>-87.228899999999996</v>
      </c>
      <c r="Q277" s="1" t="s">
        <v>702</v>
      </c>
      <c r="R277" s="1" t="s">
        <v>41</v>
      </c>
      <c r="T277" s="1" t="s">
        <v>93</v>
      </c>
      <c r="U277" s="1" t="s">
        <v>44</v>
      </c>
      <c r="V277" s="1" t="s">
        <v>94</v>
      </c>
      <c r="X277" s="1" t="s">
        <v>183</v>
      </c>
      <c r="AA277" s="3">
        <v>44456</v>
      </c>
      <c r="AB277" s="1" t="s">
        <v>46</v>
      </c>
      <c r="AC277" s="5">
        <v>2474.4</v>
      </c>
      <c r="AD277" s="1" t="s">
        <v>835</v>
      </c>
      <c r="AE277" s="1" t="str">
        <f t="shared" si="21"/>
        <v>641 8C</v>
      </c>
      <c r="AF277" s="5" t="str">
        <f t="shared" si="22"/>
        <v>225</v>
      </c>
      <c r="AG277" s="1" t="str">
        <f t="shared" si="20"/>
        <v/>
      </c>
    </row>
    <row r="278" spans="1:33" x14ac:dyDescent="0.2">
      <c r="A278" s="1" t="s">
        <v>304</v>
      </c>
      <c r="B278" s="1" t="s">
        <v>821</v>
      </c>
      <c r="C278" s="1">
        <v>641</v>
      </c>
      <c r="D278" s="1" t="s">
        <v>836</v>
      </c>
      <c r="F278" s="1">
        <v>2023</v>
      </c>
      <c r="G278" s="1" t="s">
        <v>247</v>
      </c>
      <c r="H278" s="1">
        <v>606322</v>
      </c>
      <c r="I278" s="1">
        <v>4</v>
      </c>
      <c r="K278" s="1" t="s">
        <v>823</v>
      </c>
      <c r="L278" s="1" t="s">
        <v>824</v>
      </c>
      <c r="M278" s="1">
        <v>33</v>
      </c>
      <c r="N278" s="1" t="s">
        <v>39</v>
      </c>
      <c r="O278" s="1">
        <v>30.566099999999999</v>
      </c>
      <c r="P278" s="1">
        <v>-87.228899999999996</v>
      </c>
      <c r="Q278" s="1" t="s">
        <v>702</v>
      </c>
      <c r="R278" s="1" t="s">
        <v>41</v>
      </c>
      <c r="T278" s="1" t="s">
        <v>93</v>
      </c>
      <c r="U278" s="1" t="s">
        <v>44</v>
      </c>
      <c r="V278" s="1" t="s">
        <v>94</v>
      </c>
      <c r="X278" s="1" t="s">
        <v>183</v>
      </c>
      <c r="AA278" s="3">
        <v>44507</v>
      </c>
      <c r="AB278" s="1" t="s">
        <v>46</v>
      </c>
      <c r="AC278" s="5">
        <v>2474.4</v>
      </c>
      <c r="AD278" s="1" t="s">
        <v>837</v>
      </c>
      <c r="AE278" s="1" t="str">
        <f t="shared" si="21"/>
        <v>641 8D</v>
      </c>
      <c r="AF278" s="5" t="str">
        <f t="shared" si="22"/>
        <v>225</v>
      </c>
      <c r="AG278" s="1" t="str">
        <f t="shared" si="20"/>
        <v/>
      </c>
    </row>
    <row r="279" spans="1:33" x14ac:dyDescent="0.2">
      <c r="A279" s="1" t="s">
        <v>304</v>
      </c>
      <c r="B279" s="1" t="s">
        <v>838</v>
      </c>
      <c r="C279" s="1">
        <v>643</v>
      </c>
      <c r="D279" s="1">
        <v>4</v>
      </c>
      <c r="F279" s="1">
        <v>2023</v>
      </c>
      <c r="G279" s="1" t="s">
        <v>247</v>
      </c>
      <c r="H279" s="1">
        <v>606322</v>
      </c>
      <c r="I279" s="1">
        <v>4</v>
      </c>
      <c r="K279" s="1" t="s">
        <v>839</v>
      </c>
      <c r="L279" s="1" t="s">
        <v>840</v>
      </c>
      <c r="M279" s="1">
        <v>5</v>
      </c>
      <c r="N279" s="1" t="s">
        <v>39</v>
      </c>
      <c r="O279" s="1">
        <v>30.268899999999999</v>
      </c>
      <c r="P279" s="1">
        <v>-85.700299999999999</v>
      </c>
      <c r="Q279" s="1" t="s">
        <v>702</v>
      </c>
      <c r="R279" s="1" t="s">
        <v>41</v>
      </c>
      <c r="T279" s="1" t="s">
        <v>71</v>
      </c>
      <c r="U279" s="1" t="s">
        <v>44</v>
      </c>
      <c r="X279" s="1" t="s">
        <v>140</v>
      </c>
      <c r="AA279" s="3">
        <v>37272</v>
      </c>
      <c r="AB279" s="1" t="s">
        <v>46</v>
      </c>
      <c r="AC279" s="5">
        <v>2918.3</v>
      </c>
      <c r="AD279" s="1" t="s">
        <v>841</v>
      </c>
      <c r="AE279" s="1" t="str">
        <f t="shared" si="21"/>
        <v>643 4</v>
      </c>
      <c r="AF279" s="14">
        <f>MID(AD279,FIND("(",AD279)+1,FIND(")",AD279)-FIND("(",AD279)-1)+213.3/2</f>
        <v>309.85000000000002</v>
      </c>
      <c r="AG279" s="1" t="str">
        <f t="shared" si="20"/>
        <v/>
      </c>
    </row>
    <row r="280" spans="1:33" x14ac:dyDescent="0.2">
      <c r="A280" s="1" t="s">
        <v>304</v>
      </c>
      <c r="B280" s="1" t="s">
        <v>838</v>
      </c>
      <c r="C280" s="1">
        <v>643</v>
      </c>
      <c r="D280" s="1">
        <v>5</v>
      </c>
      <c r="F280" s="1">
        <v>2023</v>
      </c>
      <c r="G280" s="1" t="s">
        <v>247</v>
      </c>
      <c r="H280" s="1">
        <v>606322</v>
      </c>
      <c r="I280" s="1">
        <v>4</v>
      </c>
      <c r="K280" s="1" t="s">
        <v>839</v>
      </c>
      <c r="L280" s="1" t="s">
        <v>840</v>
      </c>
      <c r="M280" s="1">
        <v>5</v>
      </c>
      <c r="N280" s="1" t="s">
        <v>39</v>
      </c>
      <c r="O280" s="1">
        <v>30.268899999999999</v>
      </c>
      <c r="P280" s="1">
        <v>-85.700299999999999</v>
      </c>
      <c r="Q280" s="1" t="s">
        <v>702</v>
      </c>
      <c r="R280" s="1" t="s">
        <v>41</v>
      </c>
      <c r="T280" s="1" t="s">
        <v>71</v>
      </c>
      <c r="U280" s="1" t="s">
        <v>44</v>
      </c>
      <c r="X280" s="1" t="s">
        <v>140</v>
      </c>
      <c r="AA280" s="3">
        <v>37268</v>
      </c>
      <c r="AB280" s="1" t="s">
        <v>46</v>
      </c>
      <c r="AC280" s="5">
        <v>2918.3</v>
      </c>
      <c r="AD280" s="1" t="s">
        <v>842</v>
      </c>
      <c r="AE280" s="1" t="str">
        <f t="shared" si="21"/>
        <v>643 5</v>
      </c>
      <c r="AF280" s="14">
        <f>AF279</f>
        <v>309.85000000000002</v>
      </c>
      <c r="AG280" s="1" t="str">
        <f t="shared" si="20"/>
        <v/>
      </c>
    </row>
    <row r="281" spans="1:33" x14ac:dyDescent="0.2">
      <c r="A281" s="1" t="s">
        <v>304</v>
      </c>
      <c r="B281" s="1" t="s">
        <v>843</v>
      </c>
      <c r="C281" s="1">
        <v>645</v>
      </c>
      <c r="D281" s="1" t="s">
        <v>844</v>
      </c>
      <c r="F281" s="1">
        <v>2023</v>
      </c>
      <c r="G281" s="1" t="s">
        <v>236</v>
      </c>
      <c r="H281" s="1">
        <v>602607</v>
      </c>
      <c r="I281" s="1">
        <v>4</v>
      </c>
      <c r="J281" s="1" t="s">
        <v>796</v>
      </c>
      <c r="K281" s="1" t="s">
        <v>845</v>
      </c>
      <c r="L281" s="1" t="s">
        <v>846</v>
      </c>
      <c r="M281" s="1">
        <v>57</v>
      </c>
      <c r="N281" s="1" t="s">
        <v>39</v>
      </c>
      <c r="O281" s="1">
        <v>27.7944</v>
      </c>
      <c r="P281" s="1">
        <v>-82.403599999999997</v>
      </c>
      <c r="Q281" s="1" t="s">
        <v>847</v>
      </c>
      <c r="R281" s="1" t="s">
        <v>120</v>
      </c>
      <c r="S281" s="1" t="s">
        <v>85</v>
      </c>
      <c r="T281" s="1" t="s">
        <v>848</v>
      </c>
      <c r="U281" s="1" t="s">
        <v>44</v>
      </c>
      <c r="V281" s="1" t="s">
        <v>55</v>
      </c>
      <c r="W281" s="1" t="s">
        <v>849</v>
      </c>
      <c r="X281" s="1" t="s">
        <v>850</v>
      </c>
      <c r="Y281" s="1" t="s">
        <v>851</v>
      </c>
      <c r="AA281" s="3">
        <v>27881</v>
      </c>
      <c r="AB281" s="1" t="s">
        <v>852</v>
      </c>
      <c r="AC281" s="5">
        <v>5600</v>
      </c>
      <c r="AD281" s="1" t="s">
        <v>853</v>
      </c>
      <c r="AE281" s="1" t="str">
        <f t="shared" si="21"/>
        <v>645 BB03</v>
      </c>
      <c r="AF281" s="5" t="str">
        <f>MID(AD281,FIND("(",AD281)+1,FIND(")",AD281)-FIND("(",AD281)-1)</f>
        <v>445.5</v>
      </c>
      <c r="AG281" s="1" t="str">
        <f t="shared" si="20"/>
        <v>Y</v>
      </c>
    </row>
    <row r="282" spans="1:33" x14ac:dyDescent="0.2">
      <c r="A282" s="1" t="s">
        <v>304</v>
      </c>
      <c r="B282" s="1" t="s">
        <v>843</v>
      </c>
      <c r="C282" s="1">
        <v>645</v>
      </c>
      <c r="D282" s="1" t="s">
        <v>854</v>
      </c>
      <c r="F282" s="1">
        <v>2023</v>
      </c>
      <c r="G282" s="1" t="s">
        <v>236</v>
      </c>
      <c r="H282" s="1">
        <v>602607</v>
      </c>
      <c r="I282" s="1">
        <v>4</v>
      </c>
      <c r="J282" s="1" t="s">
        <v>796</v>
      </c>
      <c r="K282" s="1" t="s">
        <v>845</v>
      </c>
      <c r="L282" s="1" t="s">
        <v>846</v>
      </c>
      <c r="M282" s="1">
        <v>57</v>
      </c>
      <c r="N282" s="1" t="s">
        <v>39</v>
      </c>
      <c r="O282" s="1">
        <v>27.7944</v>
      </c>
      <c r="P282" s="1">
        <v>-82.403599999999997</v>
      </c>
      <c r="Q282" s="1" t="s">
        <v>847</v>
      </c>
      <c r="R282" s="1" t="s">
        <v>41</v>
      </c>
      <c r="S282" s="1" t="s">
        <v>121</v>
      </c>
      <c r="T282" s="1" t="s">
        <v>43</v>
      </c>
      <c r="U282" s="1" t="s">
        <v>55</v>
      </c>
      <c r="V282" s="1" t="s">
        <v>44</v>
      </c>
      <c r="W282" s="1" t="s">
        <v>56</v>
      </c>
      <c r="X282" s="1" t="s">
        <v>855</v>
      </c>
      <c r="Y282" s="1" t="s">
        <v>58</v>
      </c>
      <c r="AA282" s="3">
        <v>31079</v>
      </c>
      <c r="AB282" s="1" t="s">
        <v>46</v>
      </c>
      <c r="AC282" s="5">
        <v>6300</v>
      </c>
      <c r="AD282" s="1" t="s">
        <v>856</v>
      </c>
      <c r="AE282" s="1" t="str">
        <f t="shared" si="21"/>
        <v>645 BB04</v>
      </c>
      <c r="AF282" s="5" t="str">
        <f>MID(AD282,FIND("(",AD282)+1,FIND(")",AD282)-FIND("(",AD282)-1)</f>
        <v>486</v>
      </c>
      <c r="AG282" s="1" t="str">
        <f t="shared" si="20"/>
        <v>Y</v>
      </c>
    </row>
    <row r="283" spans="1:33" x14ac:dyDescent="0.2">
      <c r="A283" s="1" t="s">
        <v>304</v>
      </c>
      <c r="B283" s="1" t="s">
        <v>843</v>
      </c>
      <c r="C283" s="1">
        <v>645</v>
      </c>
      <c r="D283" s="1" t="s">
        <v>857</v>
      </c>
      <c r="F283" s="1">
        <v>2023</v>
      </c>
      <c r="G283" s="1" t="s">
        <v>312</v>
      </c>
      <c r="H283" s="1">
        <v>602607</v>
      </c>
      <c r="I283" s="1">
        <v>4</v>
      </c>
      <c r="J283" s="1" t="s">
        <v>796</v>
      </c>
      <c r="K283" s="1" t="s">
        <v>845</v>
      </c>
      <c r="L283" s="1" t="s">
        <v>846</v>
      </c>
      <c r="M283" s="1">
        <v>57</v>
      </c>
      <c r="N283" s="1" t="s">
        <v>39</v>
      </c>
      <c r="O283" s="1">
        <v>27.7944</v>
      </c>
      <c r="P283" s="1">
        <v>-82.403599999999997</v>
      </c>
      <c r="Q283" s="1" t="s">
        <v>847</v>
      </c>
      <c r="R283" s="1" t="s">
        <v>41</v>
      </c>
      <c r="T283" s="1" t="s">
        <v>71</v>
      </c>
      <c r="U283" s="1" t="s">
        <v>44</v>
      </c>
      <c r="X283" s="1" t="s">
        <v>858</v>
      </c>
      <c r="AA283" s="3">
        <v>44467</v>
      </c>
      <c r="AB283" s="1" t="s">
        <v>46</v>
      </c>
      <c r="AC283" s="5">
        <v>3462</v>
      </c>
      <c r="AD283" s="1" t="s">
        <v>859</v>
      </c>
      <c r="AE283" s="1" t="str">
        <f t="shared" si="21"/>
        <v>645 BB05</v>
      </c>
      <c r="AF283" s="14">
        <f>MID(AD283,FIND("(",AD283)+1,FIND(")",AD283)-FIND("(",AD283)-1)+445.5/2</f>
        <v>614.75</v>
      </c>
      <c r="AG283" s="1" t="str">
        <f t="shared" si="20"/>
        <v>Y</v>
      </c>
    </row>
    <row r="284" spans="1:33" x14ac:dyDescent="0.2">
      <c r="A284" s="1" t="s">
        <v>304</v>
      </c>
      <c r="B284" s="1" t="s">
        <v>843</v>
      </c>
      <c r="C284" s="1">
        <v>645</v>
      </c>
      <c r="D284" s="1" t="s">
        <v>860</v>
      </c>
      <c r="F284" s="1">
        <v>2023</v>
      </c>
      <c r="G284" s="1" t="s">
        <v>312</v>
      </c>
      <c r="H284" s="1">
        <v>602607</v>
      </c>
      <c r="I284" s="1">
        <v>4</v>
      </c>
      <c r="J284" s="1" t="s">
        <v>796</v>
      </c>
      <c r="K284" s="1" t="s">
        <v>845</v>
      </c>
      <c r="L284" s="1" t="s">
        <v>846</v>
      </c>
      <c r="M284" s="1">
        <v>57</v>
      </c>
      <c r="N284" s="1" t="s">
        <v>39</v>
      </c>
      <c r="O284" s="1">
        <v>27.7944</v>
      </c>
      <c r="P284" s="1">
        <v>-82.403599999999997</v>
      </c>
      <c r="Q284" s="1" t="s">
        <v>847</v>
      </c>
      <c r="R284" s="1" t="s">
        <v>41</v>
      </c>
      <c r="T284" s="1" t="s">
        <v>71</v>
      </c>
      <c r="U284" s="1" t="s">
        <v>44</v>
      </c>
      <c r="X284" s="1" t="s">
        <v>858</v>
      </c>
      <c r="AA284" s="3">
        <v>44460</v>
      </c>
      <c r="AB284" s="1" t="s">
        <v>46</v>
      </c>
      <c r="AC284" s="5">
        <v>3462</v>
      </c>
      <c r="AD284" s="1" t="s">
        <v>861</v>
      </c>
      <c r="AE284" s="1" t="str">
        <f t="shared" si="21"/>
        <v>645 BB06</v>
      </c>
      <c r="AF284" s="14">
        <f>AF283</f>
        <v>614.75</v>
      </c>
      <c r="AG284" s="1" t="str">
        <f t="shared" si="20"/>
        <v>Y</v>
      </c>
    </row>
    <row r="285" spans="1:33" x14ac:dyDescent="0.2">
      <c r="A285" s="1" t="s">
        <v>304</v>
      </c>
      <c r="B285" s="1" t="s">
        <v>843</v>
      </c>
      <c r="C285" s="1">
        <v>645</v>
      </c>
      <c r="D285" s="1" t="s">
        <v>862</v>
      </c>
      <c r="F285" s="1">
        <v>2023</v>
      </c>
      <c r="G285" s="1" t="s">
        <v>247</v>
      </c>
      <c r="H285" s="1">
        <v>602607</v>
      </c>
      <c r="I285" s="1">
        <v>4</v>
      </c>
      <c r="J285" s="1" t="s">
        <v>796</v>
      </c>
      <c r="K285" s="1" t="s">
        <v>845</v>
      </c>
      <c r="L285" s="1" t="s">
        <v>846</v>
      </c>
      <c r="M285" s="1">
        <v>57</v>
      </c>
      <c r="N285" s="1" t="s">
        <v>39</v>
      </c>
      <c r="O285" s="1">
        <v>27.7944</v>
      </c>
      <c r="P285" s="1">
        <v>-82.403599999999997</v>
      </c>
      <c r="Q285" s="1" t="s">
        <v>847</v>
      </c>
      <c r="R285" s="1" t="s">
        <v>41</v>
      </c>
      <c r="T285" s="1" t="s">
        <v>93</v>
      </c>
      <c r="U285" s="1" t="s">
        <v>44</v>
      </c>
      <c r="V285" s="1" t="s">
        <v>94</v>
      </c>
      <c r="X285" s="1" t="s">
        <v>95</v>
      </c>
      <c r="AA285" s="3">
        <v>40031</v>
      </c>
      <c r="AB285" s="1" t="s">
        <v>46</v>
      </c>
      <c r="AC285" s="5">
        <v>572</v>
      </c>
      <c r="AD285" s="1" t="s">
        <v>863</v>
      </c>
      <c r="AE285" s="1" t="str">
        <f t="shared" si="21"/>
        <v>645 CT4A</v>
      </c>
      <c r="AF285" s="5" t="str">
        <f>MID(AD285,FIND("(",AD285)+1,FIND(")",AD285)-FIND("(",AD285)-1)</f>
        <v>62</v>
      </c>
      <c r="AG285" s="1" t="str">
        <f t="shared" si="20"/>
        <v/>
      </c>
    </row>
    <row r="286" spans="1:33" x14ac:dyDescent="0.2">
      <c r="A286" s="1" t="s">
        <v>304</v>
      </c>
      <c r="B286" s="1" t="s">
        <v>843</v>
      </c>
      <c r="C286" s="1">
        <v>645</v>
      </c>
      <c r="D286" s="1" t="s">
        <v>864</v>
      </c>
      <c r="F286" s="1">
        <v>2023</v>
      </c>
      <c r="G286" s="1" t="s">
        <v>247</v>
      </c>
      <c r="H286" s="1">
        <v>602607</v>
      </c>
      <c r="I286" s="1">
        <v>4</v>
      </c>
      <c r="J286" s="1" t="s">
        <v>796</v>
      </c>
      <c r="K286" s="1" t="s">
        <v>845</v>
      </c>
      <c r="L286" s="1" t="s">
        <v>846</v>
      </c>
      <c r="M286" s="1">
        <v>57</v>
      </c>
      <c r="N286" s="1" t="s">
        <v>39</v>
      </c>
      <c r="O286" s="1">
        <v>27.7944</v>
      </c>
      <c r="P286" s="1">
        <v>-82.403599999999997</v>
      </c>
      <c r="Q286" s="1" t="s">
        <v>847</v>
      </c>
      <c r="R286" s="1" t="s">
        <v>41</v>
      </c>
      <c r="T286" s="1" t="s">
        <v>93</v>
      </c>
      <c r="U286" s="1" t="s">
        <v>44</v>
      </c>
      <c r="V286" s="1" t="s">
        <v>94</v>
      </c>
      <c r="X286" s="1" t="s">
        <v>95</v>
      </c>
      <c r="AA286" s="3">
        <v>40031</v>
      </c>
      <c r="AB286" s="1" t="s">
        <v>46</v>
      </c>
      <c r="AC286" s="5">
        <v>572</v>
      </c>
      <c r="AD286" s="1" t="s">
        <v>863</v>
      </c>
      <c r="AE286" s="1" t="str">
        <f t="shared" si="21"/>
        <v>645 CT4B</v>
      </c>
      <c r="AF286" s="5" t="str">
        <f>MID(AD286,FIND("(",AD286)+1,FIND(")",AD286)-FIND("(",AD286)-1)</f>
        <v>62</v>
      </c>
      <c r="AG286" s="1" t="str">
        <f t="shared" si="20"/>
        <v/>
      </c>
    </row>
    <row r="287" spans="1:33" x14ac:dyDescent="0.2">
      <c r="A287" s="1" t="s">
        <v>304</v>
      </c>
      <c r="B287" s="1" t="s">
        <v>865</v>
      </c>
      <c r="C287" s="1">
        <v>663</v>
      </c>
      <c r="D287" s="1" t="s">
        <v>866</v>
      </c>
      <c r="F287" s="1">
        <v>2023</v>
      </c>
      <c r="G287" s="1" t="s">
        <v>247</v>
      </c>
      <c r="H287" s="1">
        <v>605542</v>
      </c>
      <c r="I287" s="1">
        <v>4</v>
      </c>
      <c r="J287" s="1" t="s">
        <v>796</v>
      </c>
      <c r="K287" s="1" t="s">
        <v>867</v>
      </c>
      <c r="L287" s="1" t="s">
        <v>868</v>
      </c>
      <c r="M287" s="1">
        <v>1</v>
      </c>
      <c r="N287" s="1" t="s">
        <v>39</v>
      </c>
      <c r="O287" s="1">
        <v>29.758600000000001</v>
      </c>
      <c r="P287" s="1">
        <v>-82.388300000000001</v>
      </c>
      <c r="Q287" s="1" t="s">
        <v>869</v>
      </c>
      <c r="R287" s="1" t="s">
        <v>41</v>
      </c>
      <c r="T287" s="1" t="s">
        <v>89</v>
      </c>
      <c r="U287" s="1" t="s">
        <v>44</v>
      </c>
      <c r="V287" s="1" t="s">
        <v>173</v>
      </c>
      <c r="AA287" s="3">
        <v>26512</v>
      </c>
      <c r="AB287" s="1" t="s">
        <v>46</v>
      </c>
      <c r="AC287" s="5">
        <v>960</v>
      </c>
      <c r="AD287" s="1" t="s">
        <v>870</v>
      </c>
      <c r="AE287" s="1" t="str">
        <f t="shared" si="21"/>
        <v>663 B1</v>
      </c>
      <c r="AF287" s="5" t="str">
        <f>MID(AD287,FIND("(",AD287)+1,FIND(")",AD287)-FIND("(",AD287)-1)</f>
        <v>75</v>
      </c>
      <c r="AG287" s="1" t="str">
        <f t="shared" si="20"/>
        <v/>
      </c>
    </row>
    <row r="288" spans="1:33" x14ac:dyDescent="0.2">
      <c r="A288" s="1" t="s">
        <v>304</v>
      </c>
      <c r="B288" s="1" t="s">
        <v>865</v>
      </c>
      <c r="C288" s="1">
        <v>663</v>
      </c>
      <c r="D288" s="1" t="s">
        <v>871</v>
      </c>
      <c r="F288" s="1">
        <v>2023</v>
      </c>
      <c r="G288" s="1" t="s">
        <v>236</v>
      </c>
      <c r="H288" s="1">
        <v>605542</v>
      </c>
      <c r="I288" s="1">
        <v>4</v>
      </c>
      <c r="J288" s="1" t="s">
        <v>796</v>
      </c>
      <c r="K288" s="1" t="s">
        <v>867</v>
      </c>
      <c r="L288" s="1" t="s">
        <v>868</v>
      </c>
      <c r="M288" s="1">
        <v>1</v>
      </c>
      <c r="N288" s="1" t="s">
        <v>39</v>
      </c>
      <c r="O288" s="1">
        <v>29.758600000000001</v>
      </c>
      <c r="P288" s="1">
        <v>-82.388300000000001</v>
      </c>
      <c r="Q288" s="1" t="s">
        <v>869</v>
      </c>
      <c r="R288" s="1" t="s">
        <v>41</v>
      </c>
      <c r="S288" s="1" t="s">
        <v>211</v>
      </c>
      <c r="T288" s="1" t="s">
        <v>89</v>
      </c>
      <c r="U288" s="1" t="s">
        <v>55</v>
      </c>
      <c r="V288" s="1" t="s">
        <v>44</v>
      </c>
      <c r="W288" s="1" t="s">
        <v>212</v>
      </c>
      <c r="X288" s="1" t="s">
        <v>872</v>
      </c>
      <c r="Y288" s="1" t="s">
        <v>58</v>
      </c>
      <c r="AA288" s="3">
        <v>29860</v>
      </c>
      <c r="AB288" s="1" t="s">
        <v>46</v>
      </c>
      <c r="AC288" s="5">
        <v>2700</v>
      </c>
      <c r="AD288" s="1" t="s">
        <v>873</v>
      </c>
      <c r="AE288" s="1" t="str">
        <f t="shared" si="21"/>
        <v>663 B2</v>
      </c>
      <c r="AF288" s="5" t="str">
        <f>MID(AD288,FIND("(",AD288)+1,FIND(")",AD288)-FIND("(",AD288)-1)</f>
        <v>250.8</v>
      </c>
      <c r="AG288" s="1" t="str">
        <f t="shared" si="20"/>
        <v>Y</v>
      </c>
    </row>
    <row r="289" spans="1:33" x14ac:dyDescent="0.2">
      <c r="A289" s="1" t="s">
        <v>304</v>
      </c>
      <c r="B289" s="1" t="s">
        <v>865</v>
      </c>
      <c r="C289" s="1">
        <v>663</v>
      </c>
      <c r="D289" s="1" t="s">
        <v>101</v>
      </c>
      <c r="F289" s="1">
        <v>2023</v>
      </c>
      <c r="G289" s="1" t="s">
        <v>247</v>
      </c>
      <c r="H289" s="1">
        <v>605542</v>
      </c>
      <c r="I289" s="1">
        <v>4</v>
      </c>
      <c r="J289" s="1" t="s">
        <v>796</v>
      </c>
      <c r="K289" s="1" t="s">
        <v>867</v>
      </c>
      <c r="L289" s="1" t="s">
        <v>868</v>
      </c>
      <c r="M289" s="1">
        <v>1</v>
      </c>
      <c r="N289" s="1" t="s">
        <v>39</v>
      </c>
      <c r="O289" s="1">
        <v>29.758600000000001</v>
      </c>
      <c r="P289" s="1">
        <v>-82.388300000000001</v>
      </c>
      <c r="Q289" s="1" t="s">
        <v>869</v>
      </c>
      <c r="R289" s="1" t="s">
        <v>41</v>
      </c>
      <c r="T289" s="1" t="s">
        <v>93</v>
      </c>
      <c r="U289" s="1" t="s">
        <v>44</v>
      </c>
      <c r="V289" s="1" t="s">
        <v>94</v>
      </c>
      <c r="X289" s="1" t="s">
        <v>183</v>
      </c>
      <c r="AA289" s="3">
        <v>35065</v>
      </c>
      <c r="AB289" s="1" t="s">
        <v>46</v>
      </c>
      <c r="AC289" s="5">
        <v>1100</v>
      </c>
      <c r="AD289" s="1" t="s">
        <v>874</v>
      </c>
      <c r="AE289" s="1" t="str">
        <f t="shared" si="21"/>
        <v>663 CT3</v>
      </c>
      <c r="AF289" s="5" t="str">
        <f>MID(AD289,FIND("(",AD289)+1,FIND(")",AD289)-FIND("(",AD289)-1)</f>
        <v>96.1</v>
      </c>
      <c r="AG289" s="1" t="str">
        <f t="shared" si="20"/>
        <v/>
      </c>
    </row>
    <row r="290" spans="1:33" x14ac:dyDescent="0.2">
      <c r="A290" s="1" t="s">
        <v>304</v>
      </c>
      <c r="B290" s="1" t="s">
        <v>875</v>
      </c>
      <c r="C290" s="1">
        <v>664</v>
      </c>
      <c r="D290" s="1" t="s">
        <v>194</v>
      </c>
      <c r="F290" s="1">
        <v>2023</v>
      </c>
      <c r="G290" s="1" t="s">
        <v>247</v>
      </c>
      <c r="H290" s="1">
        <v>605542</v>
      </c>
      <c r="I290" s="1">
        <v>4</v>
      </c>
      <c r="J290" s="1" t="s">
        <v>796</v>
      </c>
      <c r="K290" s="1" t="s">
        <v>867</v>
      </c>
      <c r="L290" s="1" t="s">
        <v>868</v>
      </c>
      <c r="M290" s="1">
        <v>1</v>
      </c>
      <c r="N290" s="1" t="s">
        <v>39</v>
      </c>
      <c r="O290" s="1">
        <v>29.646699999999999</v>
      </c>
      <c r="P290" s="1">
        <v>-82.321899999999999</v>
      </c>
      <c r="Q290" s="1" t="s">
        <v>869</v>
      </c>
      <c r="R290" s="1" t="s">
        <v>41</v>
      </c>
      <c r="T290" s="1" t="s">
        <v>71</v>
      </c>
      <c r="U290" s="1" t="s">
        <v>44</v>
      </c>
      <c r="X290" s="1" t="s">
        <v>140</v>
      </c>
      <c r="AA290" s="3">
        <v>36939</v>
      </c>
      <c r="AB290" s="1" t="s">
        <v>46</v>
      </c>
      <c r="AC290" s="5">
        <v>1121</v>
      </c>
      <c r="AD290" s="1" t="s">
        <v>876</v>
      </c>
      <c r="AE290" s="1" t="str">
        <f t="shared" si="21"/>
        <v>664 CC1</v>
      </c>
      <c r="AF290" s="14">
        <f>MID(AD290,FIND("(",AD290)+1,FIND(")",AD290)-FIND("(",AD290)-1)+45.5+50</f>
        <v>191.6</v>
      </c>
      <c r="AG290" s="1" t="str">
        <f t="shared" si="20"/>
        <v/>
      </c>
    </row>
    <row r="291" spans="1:33" x14ac:dyDescent="0.2">
      <c r="A291" s="1" t="s">
        <v>304</v>
      </c>
      <c r="B291" s="1" t="s">
        <v>877</v>
      </c>
      <c r="C291" s="1">
        <v>666</v>
      </c>
      <c r="D291" s="1">
        <v>7</v>
      </c>
      <c r="F291" s="1">
        <v>2023</v>
      </c>
      <c r="G291" s="1" t="s">
        <v>247</v>
      </c>
      <c r="H291" s="1">
        <v>605471</v>
      </c>
      <c r="I291" s="1">
        <v>4</v>
      </c>
      <c r="J291" s="1" t="s">
        <v>36</v>
      </c>
      <c r="K291" s="1" t="s">
        <v>878</v>
      </c>
      <c r="L291" s="1" t="s">
        <v>879</v>
      </c>
      <c r="M291" s="1">
        <v>31</v>
      </c>
      <c r="N291" s="1" t="s">
        <v>39</v>
      </c>
      <c r="O291" s="1">
        <v>30.3644</v>
      </c>
      <c r="P291" s="1">
        <v>-81.623599999999996</v>
      </c>
      <c r="Q291" s="1" t="s">
        <v>880</v>
      </c>
      <c r="R291" s="1" t="s">
        <v>41</v>
      </c>
      <c r="T291" s="1" t="s">
        <v>93</v>
      </c>
      <c r="U291" s="1" t="s">
        <v>44</v>
      </c>
      <c r="V291" s="1" t="s">
        <v>94</v>
      </c>
      <c r="X291" s="1" t="s">
        <v>183</v>
      </c>
      <c r="AA291" s="3">
        <v>36737</v>
      </c>
      <c r="AB291" s="1" t="s">
        <v>46</v>
      </c>
      <c r="AC291" s="5">
        <v>1822</v>
      </c>
      <c r="AD291" s="1" t="s">
        <v>881</v>
      </c>
      <c r="AE291" s="1" t="str">
        <f t="shared" si="21"/>
        <v>666 7</v>
      </c>
      <c r="AF291" s="5" t="str">
        <f t="shared" ref="AF291:AF296" si="23">MID(AD291,FIND("(",AD291)+1,FIND(")",AD291)-FIND("(",AD291)-1)</f>
        <v>185</v>
      </c>
      <c r="AG291" s="1" t="str">
        <f t="shared" si="20"/>
        <v/>
      </c>
    </row>
    <row r="292" spans="1:33" x14ac:dyDescent="0.2">
      <c r="A292" s="1" t="s">
        <v>304</v>
      </c>
      <c r="B292" s="1" t="s">
        <v>877</v>
      </c>
      <c r="C292" s="1">
        <v>666</v>
      </c>
      <c r="D292" s="1" t="s">
        <v>111</v>
      </c>
      <c r="F292" s="1">
        <v>2023</v>
      </c>
      <c r="G292" s="1" t="s">
        <v>247</v>
      </c>
      <c r="H292" s="1">
        <v>605471</v>
      </c>
      <c r="I292" s="1">
        <v>4</v>
      </c>
      <c r="J292" s="1" t="s">
        <v>36</v>
      </c>
      <c r="K292" s="1" t="s">
        <v>878</v>
      </c>
      <c r="L292" s="1" t="s">
        <v>879</v>
      </c>
      <c r="M292" s="1">
        <v>31</v>
      </c>
      <c r="N292" s="1" t="s">
        <v>39</v>
      </c>
      <c r="O292" s="1">
        <v>30.3644</v>
      </c>
      <c r="P292" s="1">
        <v>-81.623599999999996</v>
      </c>
      <c r="Q292" s="1" t="s">
        <v>880</v>
      </c>
      <c r="R292" s="1" t="s">
        <v>41</v>
      </c>
      <c r="T292" s="1" t="s">
        <v>93</v>
      </c>
      <c r="U292" s="1" t="s">
        <v>44</v>
      </c>
      <c r="V292" s="1" t="s">
        <v>94</v>
      </c>
      <c r="X292" s="1" t="s">
        <v>183</v>
      </c>
      <c r="AA292" s="3">
        <v>39921</v>
      </c>
      <c r="AB292" s="1" t="s">
        <v>46</v>
      </c>
      <c r="AC292" s="5">
        <v>1989</v>
      </c>
      <c r="AD292" s="1" t="s">
        <v>882</v>
      </c>
      <c r="AE292" s="1" t="str">
        <f t="shared" si="21"/>
        <v>666 CT8</v>
      </c>
      <c r="AF292" s="5" t="str">
        <f t="shared" si="23"/>
        <v>185</v>
      </c>
      <c r="AG292" s="1" t="str">
        <f t="shared" si="20"/>
        <v/>
      </c>
    </row>
    <row r="293" spans="1:33" x14ac:dyDescent="0.2">
      <c r="A293" s="1" t="s">
        <v>304</v>
      </c>
      <c r="B293" s="1" t="s">
        <v>883</v>
      </c>
      <c r="C293" s="1">
        <v>667</v>
      </c>
      <c r="D293" s="1">
        <v>3</v>
      </c>
      <c r="F293" s="1">
        <v>2023</v>
      </c>
      <c r="G293" s="1" t="s">
        <v>247</v>
      </c>
      <c r="H293" s="1">
        <v>605471</v>
      </c>
      <c r="I293" s="1">
        <v>4</v>
      </c>
      <c r="K293" s="1" t="s">
        <v>878</v>
      </c>
      <c r="L293" s="1" t="s">
        <v>879</v>
      </c>
      <c r="M293" s="1">
        <v>31</v>
      </c>
      <c r="N293" s="1" t="s">
        <v>39</v>
      </c>
      <c r="O293" s="1">
        <v>30.417200000000001</v>
      </c>
      <c r="P293" s="1">
        <v>-81.552499999999995</v>
      </c>
      <c r="Q293" s="1" t="s">
        <v>880</v>
      </c>
      <c r="R293" s="1" t="s">
        <v>41</v>
      </c>
      <c r="T293" s="1" t="s">
        <v>89</v>
      </c>
      <c r="U293" s="1" t="s">
        <v>44</v>
      </c>
      <c r="V293" s="1" t="s">
        <v>453</v>
      </c>
      <c r="X293" s="1" t="s">
        <v>90</v>
      </c>
      <c r="AA293" s="3">
        <v>28304</v>
      </c>
      <c r="AB293" s="1" t="s">
        <v>46</v>
      </c>
      <c r="AC293" s="5">
        <v>5925</v>
      </c>
      <c r="AD293" s="1" t="s">
        <v>884</v>
      </c>
      <c r="AE293" s="1" t="str">
        <f t="shared" si="21"/>
        <v>667 3</v>
      </c>
      <c r="AF293" s="5" t="str">
        <f t="shared" si="23"/>
        <v>563.7</v>
      </c>
      <c r="AG293" s="1" t="str">
        <f t="shared" si="20"/>
        <v/>
      </c>
    </row>
    <row r="294" spans="1:33" x14ac:dyDescent="0.2">
      <c r="A294" s="1" t="s">
        <v>304</v>
      </c>
      <c r="B294" s="1" t="s">
        <v>883</v>
      </c>
      <c r="C294" s="1">
        <v>667</v>
      </c>
      <c r="D294" s="1" t="s">
        <v>372</v>
      </c>
      <c r="F294" s="1">
        <v>2023</v>
      </c>
      <c r="G294" s="1" t="s">
        <v>236</v>
      </c>
      <c r="H294" s="1">
        <v>605471</v>
      </c>
      <c r="I294" s="1">
        <v>4</v>
      </c>
      <c r="K294" s="1" t="s">
        <v>878</v>
      </c>
      <c r="L294" s="1" t="s">
        <v>879</v>
      </c>
      <c r="M294" s="1">
        <v>31</v>
      </c>
      <c r="N294" s="1" t="s">
        <v>39</v>
      </c>
      <c r="O294" s="1">
        <v>30.417200000000001</v>
      </c>
      <c r="P294" s="1">
        <v>-81.552499999999995</v>
      </c>
      <c r="Q294" s="1" t="s">
        <v>880</v>
      </c>
      <c r="R294" s="1" t="s">
        <v>41</v>
      </c>
      <c r="T294" s="1" t="s">
        <v>885</v>
      </c>
      <c r="U294" s="1" t="s">
        <v>55</v>
      </c>
      <c r="V294" s="1" t="s">
        <v>886</v>
      </c>
      <c r="W294" s="1" t="s">
        <v>212</v>
      </c>
      <c r="X294" s="1" t="s">
        <v>669</v>
      </c>
      <c r="Y294" s="1" t="s">
        <v>232</v>
      </c>
      <c r="AA294" s="3">
        <v>37368</v>
      </c>
      <c r="AB294" s="1" t="s">
        <v>46</v>
      </c>
      <c r="AC294" s="5">
        <v>3523.9</v>
      </c>
      <c r="AD294" s="1" t="s">
        <v>887</v>
      </c>
      <c r="AE294" s="1" t="str">
        <f t="shared" si="21"/>
        <v>667 1A</v>
      </c>
      <c r="AF294" s="5" t="str">
        <f t="shared" si="23"/>
        <v>297.5</v>
      </c>
      <c r="AG294" s="1" t="str">
        <f t="shared" si="20"/>
        <v>Y</v>
      </c>
    </row>
    <row r="295" spans="1:33" x14ac:dyDescent="0.2">
      <c r="A295" s="1" t="s">
        <v>304</v>
      </c>
      <c r="B295" s="1" t="s">
        <v>883</v>
      </c>
      <c r="C295" s="1">
        <v>667</v>
      </c>
      <c r="D295" s="1" t="s">
        <v>377</v>
      </c>
      <c r="F295" s="1">
        <v>2023</v>
      </c>
      <c r="G295" s="1" t="s">
        <v>236</v>
      </c>
      <c r="H295" s="1">
        <v>605471</v>
      </c>
      <c r="I295" s="1">
        <v>4</v>
      </c>
      <c r="K295" s="1" t="s">
        <v>878</v>
      </c>
      <c r="L295" s="1" t="s">
        <v>879</v>
      </c>
      <c r="M295" s="1">
        <v>31</v>
      </c>
      <c r="N295" s="1" t="s">
        <v>39</v>
      </c>
      <c r="O295" s="1">
        <v>30.417200000000001</v>
      </c>
      <c r="P295" s="1">
        <v>-81.552499999999995</v>
      </c>
      <c r="Q295" s="1" t="s">
        <v>880</v>
      </c>
      <c r="R295" s="1" t="s">
        <v>41</v>
      </c>
      <c r="T295" s="1" t="s">
        <v>885</v>
      </c>
      <c r="U295" s="1" t="s">
        <v>55</v>
      </c>
      <c r="V295" s="1" t="s">
        <v>886</v>
      </c>
      <c r="W295" s="1" t="s">
        <v>212</v>
      </c>
      <c r="X295" s="1" t="s">
        <v>669</v>
      </c>
      <c r="Y295" s="1" t="s">
        <v>232</v>
      </c>
      <c r="AA295" s="3">
        <v>37306</v>
      </c>
      <c r="AB295" s="1" t="s">
        <v>46</v>
      </c>
      <c r="AC295" s="5">
        <v>3273.2</v>
      </c>
      <c r="AD295" s="1" t="s">
        <v>888</v>
      </c>
      <c r="AE295" s="1" t="str">
        <f t="shared" si="21"/>
        <v>667 2A</v>
      </c>
      <c r="AF295" s="5" t="str">
        <f t="shared" si="23"/>
        <v>297.5</v>
      </c>
      <c r="AG295" s="1" t="str">
        <f t="shared" si="20"/>
        <v>Y</v>
      </c>
    </row>
    <row r="296" spans="1:33" x14ac:dyDescent="0.2">
      <c r="A296" s="1" t="s">
        <v>304</v>
      </c>
      <c r="B296" s="1" t="s">
        <v>889</v>
      </c>
      <c r="C296" s="1">
        <v>673</v>
      </c>
      <c r="D296" s="1" t="s">
        <v>890</v>
      </c>
      <c r="F296" s="1">
        <v>2023</v>
      </c>
      <c r="G296" s="1" t="s">
        <v>247</v>
      </c>
      <c r="H296" s="1">
        <v>608745</v>
      </c>
      <c r="I296" s="1">
        <v>4</v>
      </c>
      <c r="J296" s="1" t="s">
        <v>36</v>
      </c>
      <c r="K296" s="1" t="s">
        <v>757</v>
      </c>
      <c r="L296" s="1" t="s">
        <v>758</v>
      </c>
      <c r="M296" s="1">
        <v>99</v>
      </c>
      <c r="N296" s="1" t="s">
        <v>39</v>
      </c>
      <c r="O296" s="1">
        <v>26.612500000000001</v>
      </c>
      <c r="P296" s="1">
        <v>-80.067800000000005</v>
      </c>
      <c r="Q296" s="1" t="s">
        <v>891</v>
      </c>
      <c r="R296" s="1" t="s">
        <v>41</v>
      </c>
      <c r="T296" s="1" t="s">
        <v>89</v>
      </c>
      <c r="U296" s="1" t="s">
        <v>44</v>
      </c>
      <c r="V296" s="1" t="s">
        <v>173</v>
      </c>
      <c r="AA296" s="3">
        <v>24777</v>
      </c>
      <c r="AB296" s="1" t="s">
        <v>46</v>
      </c>
      <c r="AC296" s="5">
        <v>357</v>
      </c>
      <c r="AD296" s="1" t="s">
        <v>892</v>
      </c>
      <c r="AE296" s="1" t="str">
        <f t="shared" si="21"/>
        <v>673 S-3</v>
      </c>
      <c r="AF296" s="5" t="str">
        <f t="shared" si="23"/>
        <v>26.5</v>
      </c>
      <c r="AG296" s="1" t="str">
        <f t="shared" si="20"/>
        <v/>
      </c>
    </row>
    <row r="297" spans="1:33" x14ac:dyDescent="0.2">
      <c r="A297" s="1" t="s">
        <v>304</v>
      </c>
      <c r="B297" s="1" t="s">
        <v>893</v>
      </c>
      <c r="C297" s="1">
        <v>675</v>
      </c>
      <c r="D297" s="1" t="s">
        <v>894</v>
      </c>
      <c r="F297" s="1">
        <v>2023</v>
      </c>
      <c r="G297" s="1" t="s">
        <v>247</v>
      </c>
      <c r="H297" s="1" t="s">
        <v>895</v>
      </c>
      <c r="I297" s="1">
        <v>4</v>
      </c>
      <c r="K297" s="1" t="s">
        <v>896</v>
      </c>
      <c r="L297" s="1" t="s">
        <v>897</v>
      </c>
      <c r="M297" s="1">
        <v>105</v>
      </c>
      <c r="N297" s="1" t="s">
        <v>39</v>
      </c>
      <c r="O297" s="1">
        <v>28.049099999999999</v>
      </c>
      <c r="P297" s="1">
        <v>-81.9238</v>
      </c>
      <c r="Q297" s="1" t="s">
        <v>898</v>
      </c>
      <c r="R297" s="1" t="s">
        <v>41</v>
      </c>
      <c r="T297" s="1" t="s">
        <v>71</v>
      </c>
      <c r="U297" s="1" t="s">
        <v>44</v>
      </c>
      <c r="V297" s="1" t="s">
        <v>94</v>
      </c>
      <c r="X297" s="1" t="s">
        <v>95</v>
      </c>
      <c r="AA297" s="3">
        <v>33786</v>
      </c>
      <c r="AB297" s="1" t="s">
        <v>46</v>
      </c>
      <c r="AC297" s="5">
        <v>1055</v>
      </c>
      <c r="AD297" s="1" t="s">
        <v>899</v>
      </c>
      <c r="AE297" s="1" t="str">
        <f t="shared" si="21"/>
        <v>675 **8</v>
      </c>
      <c r="AF297" s="14">
        <f>MID(AD297,FIND("(",AD297)+1,FIND(")",AD297)-FIND("(",AD297)-1)+101.5</f>
        <v>126.5</v>
      </c>
      <c r="AG297" s="1" t="str">
        <f t="shared" si="20"/>
        <v/>
      </c>
    </row>
    <row r="298" spans="1:33" x14ac:dyDescent="0.2">
      <c r="A298" s="1" t="s">
        <v>304</v>
      </c>
      <c r="B298" s="1" t="s">
        <v>900</v>
      </c>
      <c r="C298" s="1">
        <v>676</v>
      </c>
      <c r="D298" s="1">
        <v>5</v>
      </c>
      <c r="F298" s="1">
        <v>2023</v>
      </c>
      <c r="G298" s="1" t="s">
        <v>247</v>
      </c>
      <c r="H298" s="1" t="s">
        <v>895</v>
      </c>
      <c r="I298" s="1">
        <v>4</v>
      </c>
      <c r="K298" s="1" t="s">
        <v>896</v>
      </c>
      <c r="L298" s="1" t="s">
        <v>897</v>
      </c>
      <c r="M298" s="1">
        <v>105</v>
      </c>
      <c r="N298" s="1" t="s">
        <v>39</v>
      </c>
      <c r="O298" s="1">
        <v>28.0809</v>
      </c>
      <c r="P298" s="1">
        <v>-81.925600000000003</v>
      </c>
      <c r="Q298" s="1" t="s">
        <v>898</v>
      </c>
      <c r="R298" s="1" t="s">
        <v>41</v>
      </c>
      <c r="T298" s="1" t="s">
        <v>71</v>
      </c>
      <c r="U298" s="1" t="s">
        <v>44</v>
      </c>
      <c r="X298" s="1" t="s">
        <v>223</v>
      </c>
      <c r="AA298" s="3">
        <v>36342</v>
      </c>
      <c r="AB298" s="1" t="s">
        <v>46</v>
      </c>
      <c r="AC298" s="5">
        <v>2798</v>
      </c>
      <c r="AD298" s="1" t="s">
        <v>901</v>
      </c>
      <c r="AE298" s="1" t="str">
        <f t="shared" si="21"/>
        <v>676 5</v>
      </c>
      <c r="AF298" s="14">
        <f>MID(AD298,FIND("(",AD298)+1,FIND(")",AD298)-FIND("(",AD298)-1)+120</f>
        <v>369</v>
      </c>
      <c r="AG298" s="1" t="str">
        <f t="shared" si="20"/>
        <v>Y</v>
      </c>
    </row>
    <row r="299" spans="1:33" x14ac:dyDescent="0.2">
      <c r="A299" s="1" t="s">
        <v>304</v>
      </c>
      <c r="B299" s="1" t="s">
        <v>900</v>
      </c>
      <c r="C299" s="1">
        <v>676</v>
      </c>
      <c r="D299" s="1" t="s">
        <v>902</v>
      </c>
      <c r="F299" s="1">
        <v>2023</v>
      </c>
      <c r="G299" s="1" t="s">
        <v>247</v>
      </c>
      <c r="H299" s="1" t="s">
        <v>895</v>
      </c>
      <c r="I299" s="1">
        <v>4</v>
      </c>
      <c r="K299" s="1" t="s">
        <v>896</v>
      </c>
      <c r="L299" s="1" t="s">
        <v>897</v>
      </c>
      <c r="M299" s="1">
        <v>105</v>
      </c>
      <c r="N299" s="1" t="s">
        <v>39</v>
      </c>
      <c r="O299" s="1">
        <v>28.0809</v>
      </c>
      <c r="P299" s="1">
        <v>-81.925600000000003</v>
      </c>
      <c r="Q299" s="1" t="s">
        <v>898</v>
      </c>
      <c r="R299" s="1" t="s">
        <v>41</v>
      </c>
      <c r="T299" s="1" t="s">
        <v>93</v>
      </c>
      <c r="U299" s="1" t="s">
        <v>44</v>
      </c>
      <c r="V299" s="1" t="s">
        <v>94</v>
      </c>
      <c r="X299" s="1" t="s">
        <v>95</v>
      </c>
      <c r="AA299" s="3">
        <v>43916</v>
      </c>
      <c r="AB299" s="1" t="s">
        <v>46</v>
      </c>
      <c r="AC299" s="5">
        <v>1776</v>
      </c>
      <c r="AD299" s="1" t="s">
        <v>903</v>
      </c>
      <c r="AE299" s="1" t="str">
        <f t="shared" si="21"/>
        <v>676 MGT2</v>
      </c>
      <c r="AF299" s="5" t="str">
        <f>MID(AD299,FIND("(",AD299)+1,FIND(")",AD299)-FIND("(",AD299)-1)</f>
        <v>135</v>
      </c>
      <c r="AG299" s="1" t="str">
        <f t="shared" si="20"/>
        <v/>
      </c>
    </row>
    <row r="300" spans="1:33" x14ac:dyDescent="0.2">
      <c r="A300" s="1" t="s">
        <v>304</v>
      </c>
      <c r="B300" s="1" t="s">
        <v>904</v>
      </c>
      <c r="C300" s="1">
        <v>683</v>
      </c>
      <c r="D300" s="1" t="s">
        <v>905</v>
      </c>
      <c r="F300" s="1">
        <v>2023</v>
      </c>
      <c r="G300" s="1" t="s">
        <v>247</v>
      </c>
      <c r="H300" s="1">
        <v>609198</v>
      </c>
      <c r="I300" s="1">
        <v>4</v>
      </c>
      <c r="J300" s="1" t="s">
        <v>36</v>
      </c>
      <c r="K300" s="1" t="s">
        <v>700</v>
      </c>
      <c r="L300" s="1" t="s">
        <v>701</v>
      </c>
      <c r="M300" s="1">
        <v>9</v>
      </c>
      <c r="N300" s="1" t="s">
        <v>39</v>
      </c>
      <c r="O300" s="1">
        <v>28.493300000000001</v>
      </c>
      <c r="P300" s="1">
        <v>-80.782499999999999</v>
      </c>
      <c r="Q300" s="1" t="s">
        <v>637</v>
      </c>
      <c r="R300" s="1" t="s">
        <v>41</v>
      </c>
      <c r="T300" s="1" t="s">
        <v>93</v>
      </c>
      <c r="U300" s="1" t="s">
        <v>44</v>
      </c>
      <c r="V300" s="1" t="s">
        <v>94</v>
      </c>
      <c r="X300" s="1" t="s">
        <v>95</v>
      </c>
      <c r="AA300" s="3">
        <v>33543</v>
      </c>
      <c r="AB300" s="1" t="s">
        <v>46</v>
      </c>
      <c r="AC300" s="5">
        <v>1354</v>
      </c>
      <c r="AD300" s="1" t="s">
        <v>906</v>
      </c>
      <c r="AE300" s="1" t="str">
        <f t="shared" si="21"/>
        <v>683 **C</v>
      </c>
      <c r="AF300" s="5" t="str">
        <f>MID(AD300,FIND("(",AD300)+1,FIND(")",AD300)-FIND("(",AD300)-1)</f>
        <v>130</v>
      </c>
      <c r="AG300" s="1" t="str">
        <f t="shared" si="20"/>
        <v/>
      </c>
    </row>
    <row r="301" spans="1:33" x14ac:dyDescent="0.2">
      <c r="A301" s="1" t="s">
        <v>304</v>
      </c>
      <c r="B301" s="1" t="s">
        <v>904</v>
      </c>
      <c r="C301" s="1">
        <v>683</v>
      </c>
      <c r="D301" s="1" t="s">
        <v>907</v>
      </c>
      <c r="F301" s="1">
        <v>2023</v>
      </c>
      <c r="G301" s="1" t="s">
        <v>247</v>
      </c>
      <c r="H301" s="1">
        <v>609198</v>
      </c>
      <c r="I301" s="1">
        <v>4</v>
      </c>
      <c r="J301" s="1" t="s">
        <v>36</v>
      </c>
      <c r="K301" s="1" t="s">
        <v>700</v>
      </c>
      <c r="L301" s="1" t="s">
        <v>701</v>
      </c>
      <c r="M301" s="1">
        <v>9</v>
      </c>
      <c r="N301" s="1" t="s">
        <v>39</v>
      </c>
      <c r="O301" s="1">
        <v>28.493300000000001</v>
      </c>
      <c r="P301" s="1">
        <v>-80.782499999999999</v>
      </c>
      <c r="Q301" s="1" t="s">
        <v>637</v>
      </c>
      <c r="R301" s="1" t="s">
        <v>41</v>
      </c>
      <c r="T301" s="1" t="s">
        <v>93</v>
      </c>
      <c r="U301" s="1" t="s">
        <v>44</v>
      </c>
      <c r="V301" s="1" t="s">
        <v>94</v>
      </c>
      <c r="X301" s="1" t="s">
        <v>95</v>
      </c>
      <c r="AA301" s="3">
        <v>33543</v>
      </c>
      <c r="AB301" s="1" t="s">
        <v>46</v>
      </c>
      <c r="AC301" s="5">
        <v>1354</v>
      </c>
      <c r="AD301" s="1" t="s">
        <v>908</v>
      </c>
      <c r="AE301" s="1" t="str">
        <f t="shared" si="21"/>
        <v>683 **D</v>
      </c>
      <c r="AF301" s="5" t="str">
        <f>MID(AD301,FIND("(",AD301)+1,FIND(")",AD301)-FIND("(",AD301)-1)</f>
        <v>130</v>
      </c>
      <c r="AG301" s="1" t="str">
        <f t="shared" si="20"/>
        <v/>
      </c>
    </row>
    <row r="302" spans="1:33" x14ac:dyDescent="0.2">
      <c r="A302" s="1" t="s">
        <v>304</v>
      </c>
      <c r="B302" s="1" t="s">
        <v>909</v>
      </c>
      <c r="C302" s="1">
        <v>688</v>
      </c>
      <c r="D302" s="1" t="s">
        <v>377</v>
      </c>
      <c r="F302" s="1">
        <v>2023</v>
      </c>
      <c r="G302" s="1" t="s">
        <v>247</v>
      </c>
      <c r="H302" s="1">
        <v>608028</v>
      </c>
      <c r="I302" s="1">
        <v>4</v>
      </c>
      <c r="J302" s="1" t="s">
        <v>796</v>
      </c>
      <c r="K302" s="1" t="s">
        <v>910</v>
      </c>
      <c r="L302" s="1" t="s">
        <v>911</v>
      </c>
      <c r="M302" s="1">
        <v>73</v>
      </c>
      <c r="N302" s="1" t="s">
        <v>39</v>
      </c>
      <c r="O302" s="1">
        <v>30.452200000000001</v>
      </c>
      <c r="P302" s="1">
        <v>-84.4</v>
      </c>
      <c r="Q302" s="1" t="s">
        <v>912</v>
      </c>
      <c r="R302" s="1" t="s">
        <v>41</v>
      </c>
      <c r="T302" s="1" t="s">
        <v>71</v>
      </c>
      <c r="U302" s="1" t="s">
        <v>44</v>
      </c>
      <c r="V302" s="1" t="s">
        <v>94</v>
      </c>
      <c r="X302" s="1" t="s">
        <v>643</v>
      </c>
      <c r="AA302" s="3">
        <v>39577</v>
      </c>
      <c r="AB302" s="1" t="s">
        <v>46</v>
      </c>
      <c r="AC302" s="5">
        <v>2844</v>
      </c>
      <c r="AD302" s="1" t="s">
        <v>913</v>
      </c>
      <c r="AE302" s="1" t="str">
        <f t="shared" si="21"/>
        <v>688 2A</v>
      </c>
      <c r="AF302" s="14">
        <f>MID(AD302,FIND("(",AD302)+1,FIND(")",AD302)-FIND("(",AD302)-1)+259.3</f>
        <v>446.8</v>
      </c>
      <c r="AG302" s="1" t="str">
        <f t="shared" si="20"/>
        <v>Y</v>
      </c>
    </row>
    <row r="303" spans="1:33" x14ac:dyDescent="0.2">
      <c r="A303" s="1" t="s">
        <v>304</v>
      </c>
      <c r="B303" s="1" t="s">
        <v>909</v>
      </c>
      <c r="C303" s="1">
        <v>688</v>
      </c>
      <c r="D303" s="1" t="s">
        <v>914</v>
      </c>
      <c r="F303" s="1">
        <v>2023</v>
      </c>
      <c r="G303" s="1" t="s">
        <v>247</v>
      </c>
      <c r="H303" s="1">
        <v>608028</v>
      </c>
      <c r="I303" s="1">
        <v>4</v>
      </c>
      <c r="J303" s="1" t="s">
        <v>796</v>
      </c>
      <c r="K303" s="1" t="s">
        <v>910</v>
      </c>
      <c r="L303" s="1" t="s">
        <v>911</v>
      </c>
      <c r="M303" s="1">
        <v>73</v>
      </c>
      <c r="N303" s="1" t="s">
        <v>39</v>
      </c>
      <c r="O303" s="1">
        <v>30.452200000000001</v>
      </c>
      <c r="P303" s="1">
        <v>-84.4</v>
      </c>
      <c r="Q303" s="1" t="s">
        <v>912</v>
      </c>
      <c r="R303" s="1" t="s">
        <v>41</v>
      </c>
      <c r="T303" s="1" t="s">
        <v>93</v>
      </c>
      <c r="U303" s="1" t="s">
        <v>44</v>
      </c>
      <c r="V303" s="1" t="s">
        <v>94</v>
      </c>
      <c r="X303" s="1" t="s">
        <v>176</v>
      </c>
      <c r="AA303" s="3">
        <v>38566</v>
      </c>
      <c r="AB303" s="1" t="s">
        <v>46</v>
      </c>
      <c r="AC303" s="5">
        <v>500</v>
      </c>
      <c r="AD303" s="1" t="s">
        <v>915</v>
      </c>
      <c r="AE303" s="1" t="str">
        <f t="shared" si="21"/>
        <v>688 HC3</v>
      </c>
      <c r="AF303" s="5" t="str">
        <f>MID(AD303,FIND("(",AD303)+1,FIND(")",AD303)-FIND("(",AD303)-1)</f>
        <v>60.5</v>
      </c>
      <c r="AG303" s="1" t="str">
        <f t="shared" si="20"/>
        <v>Y</v>
      </c>
    </row>
    <row r="304" spans="1:33" x14ac:dyDescent="0.2">
      <c r="A304" s="1" t="s">
        <v>304</v>
      </c>
      <c r="B304" s="1" t="s">
        <v>909</v>
      </c>
      <c r="C304" s="1">
        <v>688</v>
      </c>
      <c r="D304" s="1" t="s">
        <v>916</v>
      </c>
      <c r="F304" s="1">
        <v>2023</v>
      </c>
      <c r="G304" s="1" t="s">
        <v>247</v>
      </c>
      <c r="H304" s="1">
        <v>608028</v>
      </c>
      <c r="I304" s="1">
        <v>4</v>
      </c>
      <c r="J304" s="1" t="s">
        <v>796</v>
      </c>
      <c r="K304" s="1" t="s">
        <v>910</v>
      </c>
      <c r="L304" s="1" t="s">
        <v>911</v>
      </c>
      <c r="M304" s="1">
        <v>73</v>
      </c>
      <c r="N304" s="1" t="s">
        <v>39</v>
      </c>
      <c r="O304" s="1">
        <v>30.452200000000001</v>
      </c>
      <c r="P304" s="1">
        <v>-84.4</v>
      </c>
      <c r="Q304" s="1" t="s">
        <v>912</v>
      </c>
      <c r="R304" s="1" t="s">
        <v>41</v>
      </c>
      <c r="T304" s="1" t="s">
        <v>93</v>
      </c>
      <c r="U304" s="1" t="s">
        <v>44</v>
      </c>
      <c r="V304" s="1" t="s">
        <v>94</v>
      </c>
      <c r="X304" s="1" t="s">
        <v>176</v>
      </c>
      <c r="AA304" s="3">
        <v>38624</v>
      </c>
      <c r="AB304" s="1" t="s">
        <v>46</v>
      </c>
      <c r="AC304" s="5">
        <v>500</v>
      </c>
      <c r="AD304" s="1" t="s">
        <v>334</v>
      </c>
      <c r="AE304" s="1" t="str">
        <f t="shared" si="21"/>
        <v>688 HC4</v>
      </c>
      <c r="AF304" s="5" t="str">
        <f>MID(AD304,FIND("(",AD304)+1,FIND(")",AD304)-FIND("(",AD304)-1)</f>
        <v>60.5</v>
      </c>
      <c r="AG304" s="1" t="str">
        <f t="shared" si="20"/>
        <v>Y</v>
      </c>
    </row>
    <row r="305" spans="1:33" x14ac:dyDescent="0.2">
      <c r="A305" s="1" t="s">
        <v>304</v>
      </c>
      <c r="B305" s="1" t="s">
        <v>917</v>
      </c>
      <c r="C305" s="1">
        <v>689</v>
      </c>
      <c r="D305" s="1">
        <v>8</v>
      </c>
      <c r="F305" s="1">
        <v>2023</v>
      </c>
      <c r="G305" s="1" t="s">
        <v>247</v>
      </c>
      <c r="H305" s="1">
        <v>608028</v>
      </c>
      <c r="I305" s="1">
        <v>4</v>
      </c>
      <c r="J305" s="1" t="s">
        <v>796</v>
      </c>
      <c r="K305" s="1" t="s">
        <v>918</v>
      </c>
      <c r="L305" s="1" t="s">
        <v>919</v>
      </c>
      <c r="M305" s="1">
        <v>129</v>
      </c>
      <c r="N305" s="1" t="s">
        <v>39</v>
      </c>
      <c r="O305" s="1">
        <v>30.161899999999999</v>
      </c>
      <c r="P305" s="1">
        <v>-84.201400000000007</v>
      </c>
      <c r="Q305" s="1" t="s">
        <v>912</v>
      </c>
      <c r="R305" s="1" t="s">
        <v>41</v>
      </c>
      <c r="T305" s="1" t="s">
        <v>71</v>
      </c>
      <c r="U305" s="1" t="s">
        <v>44</v>
      </c>
      <c r="V305" s="1" t="s">
        <v>94</v>
      </c>
      <c r="X305" s="1" t="s">
        <v>183</v>
      </c>
      <c r="AA305" s="3">
        <v>36701</v>
      </c>
      <c r="AB305" s="1" t="s">
        <v>46</v>
      </c>
      <c r="AC305" s="5">
        <v>2044.2</v>
      </c>
      <c r="AD305" s="1" t="s">
        <v>920</v>
      </c>
      <c r="AE305" s="1" t="str">
        <f t="shared" si="21"/>
        <v>689 8</v>
      </c>
      <c r="AF305" s="14">
        <f>MID(AD305,FIND("(",AD305)+1,FIND(")",AD305)-FIND("(",AD305)-1)+160</f>
        <v>247</v>
      </c>
      <c r="AG305" s="1" t="str">
        <f t="shared" si="20"/>
        <v/>
      </c>
    </row>
    <row r="306" spans="1:33" x14ac:dyDescent="0.2">
      <c r="A306" s="1" t="s">
        <v>921</v>
      </c>
      <c r="B306" s="1" t="s">
        <v>922</v>
      </c>
      <c r="C306" s="1">
        <v>703</v>
      </c>
      <c r="D306" s="1" t="s">
        <v>923</v>
      </c>
      <c r="E306" s="1" t="s">
        <v>924</v>
      </c>
      <c r="F306" s="1">
        <v>2023</v>
      </c>
      <c r="G306" s="1" t="s">
        <v>925</v>
      </c>
      <c r="H306" s="1" t="s">
        <v>926</v>
      </c>
      <c r="I306" s="1">
        <v>4</v>
      </c>
      <c r="J306" s="1" t="s">
        <v>36</v>
      </c>
      <c r="K306" s="1" t="s">
        <v>927</v>
      </c>
      <c r="L306" s="1" t="s">
        <v>928</v>
      </c>
      <c r="M306" s="1">
        <v>15</v>
      </c>
      <c r="N306" s="1" t="s">
        <v>39</v>
      </c>
      <c r="O306" s="1">
        <v>34.125599999999999</v>
      </c>
      <c r="P306" s="1">
        <v>-84.919200000000004</v>
      </c>
      <c r="Q306" s="1" t="s">
        <v>929</v>
      </c>
      <c r="R306" s="1" t="s">
        <v>120</v>
      </c>
      <c r="S306" s="1" t="s">
        <v>121</v>
      </c>
      <c r="T306" s="1" t="s">
        <v>43</v>
      </c>
      <c r="U306" s="1" t="s">
        <v>55</v>
      </c>
      <c r="W306" s="1" t="s">
        <v>241</v>
      </c>
      <c r="X306" s="1" t="s">
        <v>57</v>
      </c>
      <c r="Y306" s="1" t="s">
        <v>58</v>
      </c>
      <c r="Z306" s="1" t="s">
        <v>930</v>
      </c>
      <c r="AA306" s="3">
        <v>26227</v>
      </c>
      <c r="AB306" s="1" t="s">
        <v>46</v>
      </c>
      <c r="AC306" s="5">
        <v>8437</v>
      </c>
      <c r="AD306" s="1" t="s">
        <v>931</v>
      </c>
      <c r="AE306" s="1" t="str">
        <f t="shared" si="21"/>
        <v>703 1BLR</v>
      </c>
      <c r="AF306" s="5" t="str">
        <f t="shared" ref="AF306:AF313" si="24">MID(AD306,FIND("(",AD306)+1,FIND(")",AD306)-FIND("(",AD306)-1)</f>
        <v>805.8</v>
      </c>
      <c r="AG306" s="1" t="str">
        <f t="shared" si="20"/>
        <v>Y</v>
      </c>
    </row>
    <row r="307" spans="1:33" x14ac:dyDescent="0.2">
      <c r="A307" s="1" t="s">
        <v>921</v>
      </c>
      <c r="B307" s="1" t="s">
        <v>922</v>
      </c>
      <c r="C307" s="1">
        <v>703</v>
      </c>
      <c r="D307" s="1" t="s">
        <v>932</v>
      </c>
      <c r="E307" s="1" t="s">
        <v>933</v>
      </c>
      <c r="F307" s="1">
        <v>2023</v>
      </c>
      <c r="G307" s="1" t="s">
        <v>925</v>
      </c>
      <c r="H307" s="1" t="s">
        <v>926</v>
      </c>
      <c r="I307" s="1">
        <v>4</v>
      </c>
      <c r="J307" s="1" t="s">
        <v>36</v>
      </c>
      <c r="K307" s="1" t="s">
        <v>927</v>
      </c>
      <c r="L307" s="1" t="s">
        <v>928</v>
      </c>
      <c r="M307" s="1">
        <v>15</v>
      </c>
      <c r="N307" s="1" t="s">
        <v>39</v>
      </c>
      <c r="O307" s="1">
        <v>34.125599999999999</v>
      </c>
      <c r="P307" s="1">
        <v>-84.919200000000004</v>
      </c>
      <c r="Q307" s="1" t="s">
        <v>929</v>
      </c>
      <c r="R307" s="1" t="s">
        <v>120</v>
      </c>
      <c r="S307" s="1" t="s">
        <v>121</v>
      </c>
      <c r="T307" s="1" t="s">
        <v>43</v>
      </c>
      <c r="U307" s="1" t="s">
        <v>55</v>
      </c>
      <c r="W307" s="1" t="s">
        <v>241</v>
      </c>
      <c r="X307" s="1" t="s">
        <v>57</v>
      </c>
      <c r="Y307" s="1" t="s">
        <v>58</v>
      </c>
      <c r="Z307" s="1" t="s">
        <v>930</v>
      </c>
      <c r="AA307" s="3">
        <v>26568</v>
      </c>
      <c r="AB307" s="1" t="s">
        <v>46</v>
      </c>
      <c r="AC307" s="5">
        <v>7917</v>
      </c>
      <c r="AD307" s="1" t="s">
        <v>934</v>
      </c>
      <c r="AE307" s="1" t="str">
        <f t="shared" si="21"/>
        <v>703 2BLR</v>
      </c>
      <c r="AF307" s="5" t="str">
        <f t="shared" si="24"/>
        <v>788.8</v>
      </c>
      <c r="AG307" s="1" t="str">
        <f t="shared" si="20"/>
        <v>Y</v>
      </c>
    </row>
    <row r="308" spans="1:33" x14ac:dyDescent="0.2">
      <c r="A308" s="1" t="s">
        <v>921</v>
      </c>
      <c r="B308" s="1" t="s">
        <v>922</v>
      </c>
      <c r="C308" s="1">
        <v>703</v>
      </c>
      <c r="D308" s="1" t="s">
        <v>935</v>
      </c>
      <c r="E308" s="1" t="s">
        <v>936</v>
      </c>
      <c r="F308" s="1">
        <v>2023</v>
      </c>
      <c r="G308" s="1" t="s">
        <v>925</v>
      </c>
      <c r="H308" s="1" t="s">
        <v>926</v>
      </c>
      <c r="I308" s="1">
        <v>4</v>
      </c>
      <c r="J308" s="1" t="s">
        <v>36</v>
      </c>
      <c r="K308" s="1" t="s">
        <v>927</v>
      </c>
      <c r="L308" s="1" t="s">
        <v>928</v>
      </c>
      <c r="M308" s="1">
        <v>15</v>
      </c>
      <c r="N308" s="1" t="s">
        <v>39</v>
      </c>
      <c r="O308" s="1">
        <v>34.125599999999999</v>
      </c>
      <c r="P308" s="1">
        <v>-84.919200000000004</v>
      </c>
      <c r="Q308" s="1" t="s">
        <v>929</v>
      </c>
      <c r="R308" s="1" t="s">
        <v>120</v>
      </c>
      <c r="S308" s="1" t="s">
        <v>121</v>
      </c>
      <c r="T308" s="1" t="s">
        <v>43</v>
      </c>
      <c r="U308" s="1" t="s">
        <v>55</v>
      </c>
      <c r="W308" s="1" t="s">
        <v>241</v>
      </c>
      <c r="X308" s="1" t="s">
        <v>57</v>
      </c>
      <c r="Y308" s="1" t="s">
        <v>58</v>
      </c>
      <c r="Z308" s="1" t="s">
        <v>937</v>
      </c>
      <c r="AA308" s="3">
        <v>27374</v>
      </c>
      <c r="AB308" s="1" t="s">
        <v>46</v>
      </c>
      <c r="AC308" s="5">
        <v>9492</v>
      </c>
      <c r="AD308" s="1" t="s">
        <v>938</v>
      </c>
      <c r="AE308" s="1" t="str">
        <f t="shared" si="21"/>
        <v>703 3BLR</v>
      </c>
      <c r="AF308" s="5" t="str">
        <f t="shared" si="24"/>
        <v>952</v>
      </c>
      <c r="AG308" s="1" t="str">
        <f t="shared" si="20"/>
        <v>Y</v>
      </c>
    </row>
    <row r="309" spans="1:33" x14ac:dyDescent="0.2">
      <c r="A309" s="1" t="s">
        <v>921</v>
      </c>
      <c r="B309" s="1" t="s">
        <v>922</v>
      </c>
      <c r="C309" s="1">
        <v>703</v>
      </c>
      <c r="D309" s="1" t="s">
        <v>939</v>
      </c>
      <c r="E309" s="1" t="s">
        <v>940</v>
      </c>
      <c r="F309" s="1">
        <v>2023</v>
      </c>
      <c r="G309" s="1" t="s">
        <v>925</v>
      </c>
      <c r="H309" s="1" t="s">
        <v>926</v>
      </c>
      <c r="I309" s="1">
        <v>4</v>
      </c>
      <c r="J309" s="1" t="s">
        <v>36</v>
      </c>
      <c r="K309" s="1" t="s">
        <v>927</v>
      </c>
      <c r="L309" s="1" t="s">
        <v>928</v>
      </c>
      <c r="M309" s="1">
        <v>15</v>
      </c>
      <c r="N309" s="1" t="s">
        <v>39</v>
      </c>
      <c r="O309" s="1">
        <v>34.125599999999999</v>
      </c>
      <c r="P309" s="1">
        <v>-84.919200000000004</v>
      </c>
      <c r="Q309" s="1" t="s">
        <v>929</v>
      </c>
      <c r="R309" s="1" t="s">
        <v>120</v>
      </c>
      <c r="S309" s="1" t="s">
        <v>121</v>
      </c>
      <c r="T309" s="1" t="s">
        <v>43</v>
      </c>
      <c r="U309" s="1" t="s">
        <v>55</v>
      </c>
      <c r="W309" s="1" t="s">
        <v>241</v>
      </c>
      <c r="X309" s="1" t="s">
        <v>57</v>
      </c>
      <c r="Y309" s="1" t="s">
        <v>58</v>
      </c>
      <c r="Z309" s="1" t="s">
        <v>930</v>
      </c>
      <c r="AA309" s="3">
        <v>27712</v>
      </c>
      <c r="AB309" s="1" t="s">
        <v>46</v>
      </c>
      <c r="AC309" s="5">
        <v>9446</v>
      </c>
      <c r="AD309" s="1" t="s">
        <v>941</v>
      </c>
      <c r="AE309" s="1" t="str">
        <f t="shared" si="21"/>
        <v>703 4BLR</v>
      </c>
      <c r="AF309" s="5" t="str">
        <f t="shared" si="24"/>
        <v>952</v>
      </c>
      <c r="AG309" s="1" t="str">
        <f t="shared" si="20"/>
        <v>Y</v>
      </c>
    </row>
    <row r="310" spans="1:33" x14ac:dyDescent="0.2">
      <c r="A310" s="1" t="s">
        <v>921</v>
      </c>
      <c r="B310" s="1" t="s">
        <v>942</v>
      </c>
      <c r="C310" s="1">
        <v>710</v>
      </c>
      <c r="D310" s="1" t="s">
        <v>943</v>
      </c>
      <c r="F310" s="1">
        <v>2023</v>
      </c>
      <c r="G310" s="1" t="s">
        <v>944</v>
      </c>
      <c r="H310" s="1" t="s">
        <v>926</v>
      </c>
      <c r="I310" s="1">
        <v>4</v>
      </c>
      <c r="J310" s="1" t="s">
        <v>36</v>
      </c>
      <c r="K310" s="1" t="s">
        <v>945</v>
      </c>
      <c r="L310" s="1" t="s">
        <v>946</v>
      </c>
      <c r="M310" s="1">
        <v>67</v>
      </c>
      <c r="N310" s="1" t="s">
        <v>39</v>
      </c>
      <c r="O310" s="1">
        <v>33.824399999999997</v>
      </c>
      <c r="P310" s="1">
        <v>-84.474999999999994</v>
      </c>
      <c r="Q310" s="1" t="s">
        <v>929</v>
      </c>
      <c r="T310" s="1" t="s">
        <v>93</v>
      </c>
      <c r="U310" s="1" t="s">
        <v>94</v>
      </c>
      <c r="V310" s="1" t="s">
        <v>44</v>
      </c>
      <c r="AA310" s="3">
        <v>26082</v>
      </c>
      <c r="AB310" s="1" t="s">
        <v>46</v>
      </c>
      <c r="AC310" s="5">
        <v>252</v>
      </c>
      <c r="AD310" s="1" t="s">
        <v>947</v>
      </c>
      <c r="AE310" s="1" t="str">
        <f t="shared" si="21"/>
        <v>710 3AA</v>
      </c>
      <c r="AF310" s="5" t="str">
        <f t="shared" si="24"/>
        <v>41.8</v>
      </c>
      <c r="AG310" s="1" t="str">
        <f t="shared" si="20"/>
        <v/>
      </c>
    </row>
    <row r="311" spans="1:33" x14ac:dyDescent="0.2">
      <c r="A311" s="1" t="s">
        <v>921</v>
      </c>
      <c r="B311" s="1" t="s">
        <v>942</v>
      </c>
      <c r="C311" s="1">
        <v>710</v>
      </c>
      <c r="D311" s="1" t="s">
        <v>948</v>
      </c>
      <c r="F311" s="1">
        <v>2023</v>
      </c>
      <c r="G311" s="1" t="s">
        <v>944</v>
      </c>
      <c r="H311" s="1" t="s">
        <v>926</v>
      </c>
      <c r="I311" s="1">
        <v>4</v>
      </c>
      <c r="J311" s="1" t="s">
        <v>36</v>
      </c>
      <c r="K311" s="1" t="s">
        <v>945</v>
      </c>
      <c r="L311" s="1" t="s">
        <v>946</v>
      </c>
      <c r="M311" s="1">
        <v>67</v>
      </c>
      <c r="N311" s="1" t="s">
        <v>39</v>
      </c>
      <c r="O311" s="1">
        <v>33.824399999999997</v>
      </c>
      <c r="P311" s="1">
        <v>-84.474999999999994</v>
      </c>
      <c r="Q311" s="1" t="s">
        <v>929</v>
      </c>
      <c r="T311" s="1" t="s">
        <v>93</v>
      </c>
      <c r="U311" s="1" t="s">
        <v>94</v>
      </c>
      <c r="V311" s="1" t="s">
        <v>44</v>
      </c>
      <c r="AA311" s="3">
        <v>26082</v>
      </c>
      <c r="AB311" s="1" t="s">
        <v>46</v>
      </c>
      <c r="AC311" s="5">
        <v>252</v>
      </c>
      <c r="AD311" s="1" t="s">
        <v>947</v>
      </c>
      <c r="AE311" s="1" t="str">
        <f t="shared" si="21"/>
        <v>710 3AB</v>
      </c>
      <c r="AF311" s="5" t="str">
        <f t="shared" si="24"/>
        <v>41.8</v>
      </c>
      <c r="AG311" s="1" t="str">
        <f t="shared" si="20"/>
        <v/>
      </c>
    </row>
    <row r="312" spans="1:33" x14ac:dyDescent="0.2">
      <c r="A312" s="1" t="s">
        <v>921</v>
      </c>
      <c r="B312" s="1" t="s">
        <v>942</v>
      </c>
      <c r="C312" s="1">
        <v>710</v>
      </c>
      <c r="D312" s="1" t="s">
        <v>949</v>
      </c>
      <c r="F312" s="1">
        <v>2023</v>
      </c>
      <c r="G312" s="1" t="s">
        <v>944</v>
      </c>
      <c r="H312" s="1" t="s">
        <v>926</v>
      </c>
      <c r="I312" s="1">
        <v>4</v>
      </c>
      <c r="J312" s="1" t="s">
        <v>36</v>
      </c>
      <c r="K312" s="1" t="s">
        <v>945</v>
      </c>
      <c r="L312" s="1" t="s">
        <v>946</v>
      </c>
      <c r="M312" s="1">
        <v>67</v>
      </c>
      <c r="N312" s="1" t="s">
        <v>39</v>
      </c>
      <c r="O312" s="1">
        <v>33.824399999999997</v>
      </c>
      <c r="P312" s="1">
        <v>-84.474999999999994</v>
      </c>
      <c r="Q312" s="1" t="s">
        <v>929</v>
      </c>
      <c r="T312" s="1" t="s">
        <v>93</v>
      </c>
      <c r="U312" s="1" t="s">
        <v>94</v>
      </c>
      <c r="V312" s="1" t="s">
        <v>44</v>
      </c>
      <c r="AA312" s="3">
        <v>26082</v>
      </c>
      <c r="AB312" s="1" t="s">
        <v>46</v>
      </c>
      <c r="AC312" s="5">
        <v>252</v>
      </c>
      <c r="AD312" s="1" t="s">
        <v>950</v>
      </c>
      <c r="AE312" s="1" t="str">
        <f t="shared" si="21"/>
        <v>710 3BA</v>
      </c>
      <c r="AF312" s="5" t="str">
        <f t="shared" si="24"/>
        <v>41.8</v>
      </c>
      <c r="AG312" s="1" t="str">
        <f t="shared" si="20"/>
        <v/>
      </c>
    </row>
    <row r="313" spans="1:33" x14ac:dyDescent="0.2">
      <c r="A313" s="1" t="s">
        <v>921</v>
      </c>
      <c r="B313" s="1" t="s">
        <v>942</v>
      </c>
      <c r="C313" s="1">
        <v>710</v>
      </c>
      <c r="D313" s="1" t="s">
        <v>951</v>
      </c>
      <c r="F313" s="1">
        <v>2023</v>
      </c>
      <c r="G313" s="1" t="s">
        <v>944</v>
      </c>
      <c r="H313" s="1" t="s">
        <v>926</v>
      </c>
      <c r="I313" s="1">
        <v>4</v>
      </c>
      <c r="J313" s="1" t="s">
        <v>36</v>
      </c>
      <c r="K313" s="1" t="s">
        <v>945</v>
      </c>
      <c r="L313" s="1" t="s">
        <v>946</v>
      </c>
      <c r="M313" s="1">
        <v>67</v>
      </c>
      <c r="N313" s="1" t="s">
        <v>39</v>
      </c>
      <c r="O313" s="1">
        <v>33.824399999999997</v>
      </c>
      <c r="P313" s="1">
        <v>-84.474999999999994</v>
      </c>
      <c r="Q313" s="1" t="s">
        <v>929</v>
      </c>
      <c r="T313" s="1" t="s">
        <v>93</v>
      </c>
      <c r="U313" s="1" t="s">
        <v>94</v>
      </c>
      <c r="V313" s="1" t="s">
        <v>44</v>
      </c>
      <c r="AA313" s="3">
        <v>26082</v>
      </c>
      <c r="AB313" s="1" t="s">
        <v>46</v>
      </c>
      <c r="AC313" s="5">
        <v>252</v>
      </c>
      <c r="AD313" s="1" t="s">
        <v>950</v>
      </c>
      <c r="AE313" s="1" t="str">
        <f t="shared" si="21"/>
        <v>710 3BB</v>
      </c>
      <c r="AF313" s="5" t="str">
        <f t="shared" si="24"/>
        <v>41.8</v>
      </c>
      <c r="AG313" s="1" t="str">
        <f t="shared" si="20"/>
        <v/>
      </c>
    </row>
    <row r="314" spans="1:33" x14ac:dyDescent="0.2">
      <c r="A314" s="1" t="s">
        <v>921</v>
      </c>
      <c r="B314" s="1" t="s">
        <v>942</v>
      </c>
      <c r="C314" s="1">
        <v>710</v>
      </c>
      <c r="D314" s="1" t="s">
        <v>381</v>
      </c>
      <c r="F314" s="1">
        <v>2023</v>
      </c>
      <c r="G314" s="1" t="s">
        <v>952</v>
      </c>
      <c r="H314" s="1" t="s">
        <v>926</v>
      </c>
      <c r="I314" s="1">
        <v>4</v>
      </c>
      <c r="J314" s="1" t="s">
        <v>36</v>
      </c>
      <c r="K314" s="1" t="s">
        <v>945</v>
      </c>
      <c r="L314" s="1" t="s">
        <v>946</v>
      </c>
      <c r="M314" s="1">
        <v>67</v>
      </c>
      <c r="N314" s="1" t="s">
        <v>39</v>
      </c>
      <c r="O314" s="1">
        <v>33.824399999999997</v>
      </c>
      <c r="P314" s="1">
        <v>-84.474999999999994</v>
      </c>
      <c r="Q314" s="1" t="s">
        <v>929</v>
      </c>
      <c r="R314" s="1" t="s">
        <v>41</v>
      </c>
      <c r="T314" s="1" t="s">
        <v>71</v>
      </c>
      <c r="U314" s="1" t="s">
        <v>44</v>
      </c>
      <c r="V314" s="1" t="s">
        <v>94</v>
      </c>
      <c r="X314" s="1" t="s">
        <v>643</v>
      </c>
      <c r="AA314" s="3">
        <v>40736</v>
      </c>
      <c r="AB314" s="1" t="s">
        <v>46</v>
      </c>
      <c r="AC314" s="5">
        <v>3612</v>
      </c>
      <c r="AD314" s="1" t="s">
        <v>953</v>
      </c>
      <c r="AE314" s="1" t="str">
        <f t="shared" si="21"/>
        <v>710 4A</v>
      </c>
      <c r="AF314" s="14">
        <f>AF315</f>
        <v>420</v>
      </c>
      <c r="AG314" s="1" t="str">
        <f t="shared" si="20"/>
        <v>Y</v>
      </c>
    </row>
    <row r="315" spans="1:33" x14ac:dyDescent="0.2">
      <c r="A315" s="1" t="s">
        <v>921</v>
      </c>
      <c r="B315" s="1" t="s">
        <v>942</v>
      </c>
      <c r="C315" s="1">
        <v>710</v>
      </c>
      <c r="D315" s="1" t="s">
        <v>815</v>
      </c>
      <c r="F315" s="1">
        <v>2023</v>
      </c>
      <c r="G315" s="1" t="s">
        <v>952</v>
      </c>
      <c r="H315" s="1" t="s">
        <v>926</v>
      </c>
      <c r="I315" s="1">
        <v>4</v>
      </c>
      <c r="J315" s="1" t="s">
        <v>36</v>
      </c>
      <c r="K315" s="1" t="s">
        <v>945</v>
      </c>
      <c r="L315" s="1" t="s">
        <v>946</v>
      </c>
      <c r="M315" s="1">
        <v>67</v>
      </c>
      <c r="N315" s="1" t="s">
        <v>39</v>
      </c>
      <c r="O315" s="1">
        <v>33.824399999999997</v>
      </c>
      <c r="P315" s="1">
        <v>-84.474999999999994</v>
      </c>
      <c r="Q315" s="1" t="s">
        <v>929</v>
      </c>
      <c r="R315" s="1" t="s">
        <v>41</v>
      </c>
      <c r="T315" s="1" t="s">
        <v>71</v>
      </c>
      <c r="U315" s="1" t="s">
        <v>44</v>
      </c>
      <c r="X315" s="1" t="s">
        <v>64</v>
      </c>
      <c r="AA315" s="3">
        <v>40752</v>
      </c>
      <c r="AB315" s="1" t="s">
        <v>46</v>
      </c>
      <c r="AC315" s="5">
        <v>3612</v>
      </c>
      <c r="AD315" s="1" t="s">
        <v>954</v>
      </c>
      <c r="AE315" s="1" t="str">
        <f t="shared" si="21"/>
        <v>710 4B</v>
      </c>
      <c r="AF315" s="14">
        <f>MID(AD315,FIND("(",AD315)+1,FIND(")",AD315)-FIND("(",AD315)-1)+375/2</f>
        <v>420</v>
      </c>
      <c r="AG315" s="1" t="str">
        <f t="shared" si="20"/>
        <v>Y</v>
      </c>
    </row>
    <row r="316" spans="1:33" x14ac:dyDescent="0.2">
      <c r="A316" s="1" t="s">
        <v>921</v>
      </c>
      <c r="B316" s="1" t="s">
        <v>942</v>
      </c>
      <c r="C316" s="1">
        <v>710</v>
      </c>
      <c r="D316" s="1" t="s">
        <v>955</v>
      </c>
      <c r="F316" s="1">
        <v>2023</v>
      </c>
      <c r="G316" s="1" t="s">
        <v>952</v>
      </c>
      <c r="H316" s="1" t="s">
        <v>926</v>
      </c>
      <c r="I316" s="1">
        <v>4</v>
      </c>
      <c r="J316" s="1" t="s">
        <v>36</v>
      </c>
      <c r="K316" s="1" t="s">
        <v>945</v>
      </c>
      <c r="L316" s="1" t="s">
        <v>946</v>
      </c>
      <c r="M316" s="1">
        <v>67</v>
      </c>
      <c r="N316" s="1" t="s">
        <v>39</v>
      </c>
      <c r="O316" s="1">
        <v>33.824399999999997</v>
      </c>
      <c r="P316" s="1">
        <v>-84.474999999999994</v>
      </c>
      <c r="Q316" s="1" t="s">
        <v>929</v>
      </c>
      <c r="R316" s="1" t="s">
        <v>41</v>
      </c>
      <c r="T316" s="1" t="s">
        <v>71</v>
      </c>
      <c r="U316" s="1" t="s">
        <v>44</v>
      </c>
      <c r="V316" s="1" t="s">
        <v>94</v>
      </c>
      <c r="X316" s="1" t="s">
        <v>643</v>
      </c>
      <c r="AA316" s="3">
        <v>40963</v>
      </c>
      <c r="AB316" s="1" t="s">
        <v>46</v>
      </c>
      <c r="AC316" s="5">
        <v>3612</v>
      </c>
      <c r="AD316" s="1" t="s">
        <v>956</v>
      </c>
      <c r="AE316" s="1" t="str">
        <f t="shared" si="21"/>
        <v>710 5A</v>
      </c>
      <c r="AF316" s="14">
        <f>AF315</f>
        <v>420</v>
      </c>
      <c r="AG316" s="1" t="str">
        <f t="shared" si="20"/>
        <v>Y</v>
      </c>
    </row>
    <row r="317" spans="1:33" x14ac:dyDescent="0.2">
      <c r="A317" s="1" t="s">
        <v>921</v>
      </c>
      <c r="B317" s="1" t="s">
        <v>942</v>
      </c>
      <c r="C317" s="1">
        <v>710</v>
      </c>
      <c r="D317" s="1" t="s">
        <v>957</v>
      </c>
      <c r="F317" s="1">
        <v>2023</v>
      </c>
      <c r="G317" s="1" t="s">
        <v>952</v>
      </c>
      <c r="H317" s="1" t="s">
        <v>926</v>
      </c>
      <c r="I317" s="1">
        <v>4</v>
      </c>
      <c r="J317" s="1" t="s">
        <v>36</v>
      </c>
      <c r="K317" s="1" t="s">
        <v>945</v>
      </c>
      <c r="L317" s="1" t="s">
        <v>946</v>
      </c>
      <c r="M317" s="1">
        <v>67</v>
      </c>
      <c r="N317" s="1" t="s">
        <v>39</v>
      </c>
      <c r="O317" s="1">
        <v>33.824399999999997</v>
      </c>
      <c r="P317" s="1">
        <v>-84.474999999999994</v>
      </c>
      <c r="Q317" s="1" t="s">
        <v>929</v>
      </c>
      <c r="R317" s="1" t="s">
        <v>41</v>
      </c>
      <c r="T317" s="1" t="s">
        <v>71</v>
      </c>
      <c r="U317" s="1" t="s">
        <v>44</v>
      </c>
      <c r="X317" s="1" t="s">
        <v>64</v>
      </c>
      <c r="AA317" s="3">
        <v>40963</v>
      </c>
      <c r="AB317" s="1" t="s">
        <v>46</v>
      </c>
      <c r="AC317" s="5">
        <v>3612</v>
      </c>
      <c r="AD317" s="1" t="s">
        <v>958</v>
      </c>
      <c r="AE317" s="1" t="str">
        <f t="shared" si="21"/>
        <v>710 5B</v>
      </c>
      <c r="AF317" s="14">
        <f>AF315</f>
        <v>420</v>
      </c>
      <c r="AG317" s="1" t="str">
        <f t="shared" si="20"/>
        <v>Y</v>
      </c>
    </row>
    <row r="318" spans="1:33" x14ac:dyDescent="0.2">
      <c r="A318" s="1" t="s">
        <v>921</v>
      </c>
      <c r="B318" s="1" t="s">
        <v>942</v>
      </c>
      <c r="C318" s="1">
        <v>710</v>
      </c>
      <c r="D318" s="1" t="s">
        <v>70</v>
      </c>
      <c r="F318" s="1">
        <v>2023</v>
      </c>
      <c r="G318" s="1" t="s">
        <v>952</v>
      </c>
      <c r="H318" s="1" t="s">
        <v>926</v>
      </c>
      <c r="I318" s="1">
        <v>4</v>
      </c>
      <c r="J318" s="1" t="s">
        <v>36</v>
      </c>
      <c r="K318" s="1" t="s">
        <v>945</v>
      </c>
      <c r="L318" s="1" t="s">
        <v>946</v>
      </c>
      <c r="M318" s="1">
        <v>67</v>
      </c>
      <c r="N318" s="1" t="s">
        <v>39</v>
      </c>
      <c r="O318" s="1">
        <v>33.824399999999997</v>
      </c>
      <c r="P318" s="1">
        <v>-84.474999999999994</v>
      </c>
      <c r="Q318" s="1" t="s">
        <v>929</v>
      </c>
      <c r="R318" s="1" t="s">
        <v>41</v>
      </c>
      <c r="T318" s="1" t="s">
        <v>71</v>
      </c>
      <c r="U318" s="1" t="s">
        <v>44</v>
      </c>
      <c r="X318" s="1" t="s">
        <v>64</v>
      </c>
      <c r="AA318" s="3">
        <v>41075</v>
      </c>
      <c r="AB318" s="1" t="s">
        <v>46</v>
      </c>
      <c r="AC318" s="5">
        <v>3612</v>
      </c>
      <c r="AD318" s="1" t="s">
        <v>959</v>
      </c>
      <c r="AE318" s="1" t="str">
        <f t="shared" si="21"/>
        <v>710 6A</v>
      </c>
      <c r="AF318" s="14">
        <f>AF315</f>
        <v>420</v>
      </c>
      <c r="AG318" s="1" t="str">
        <f t="shared" si="20"/>
        <v>Y</v>
      </c>
    </row>
    <row r="319" spans="1:33" x14ac:dyDescent="0.2">
      <c r="A319" s="1" t="s">
        <v>921</v>
      </c>
      <c r="B319" s="1" t="s">
        <v>942</v>
      </c>
      <c r="C319" s="1">
        <v>710</v>
      </c>
      <c r="D319" s="1" t="s">
        <v>73</v>
      </c>
      <c r="F319" s="1">
        <v>2023</v>
      </c>
      <c r="G319" s="1" t="s">
        <v>952</v>
      </c>
      <c r="H319" s="1" t="s">
        <v>926</v>
      </c>
      <c r="I319" s="1">
        <v>4</v>
      </c>
      <c r="J319" s="1" t="s">
        <v>36</v>
      </c>
      <c r="K319" s="1" t="s">
        <v>945</v>
      </c>
      <c r="L319" s="1" t="s">
        <v>946</v>
      </c>
      <c r="M319" s="1">
        <v>67</v>
      </c>
      <c r="N319" s="1" t="s">
        <v>39</v>
      </c>
      <c r="O319" s="1">
        <v>33.824399999999997</v>
      </c>
      <c r="P319" s="1">
        <v>-84.474999999999994</v>
      </c>
      <c r="Q319" s="1" t="s">
        <v>929</v>
      </c>
      <c r="R319" s="1" t="s">
        <v>41</v>
      </c>
      <c r="T319" s="1" t="s">
        <v>71</v>
      </c>
      <c r="U319" s="1" t="s">
        <v>44</v>
      </c>
      <c r="X319" s="1" t="s">
        <v>64</v>
      </c>
      <c r="AA319" s="3">
        <v>41096</v>
      </c>
      <c r="AB319" s="1" t="s">
        <v>46</v>
      </c>
      <c r="AC319" s="5">
        <v>3612</v>
      </c>
      <c r="AD319" s="1" t="s">
        <v>960</v>
      </c>
      <c r="AE319" s="1" t="str">
        <f t="shared" si="21"/>
        <v>710 6B</v>
      </c>
      <c r="AF319" s="14">
        <f>AF315</f>
        <v>420</v>
      </c>
      <c r="AG319" s="1" t="str">
        <f t="shared" si="20"/>
        <v>Y</v>
      </c>
    </row>
    <row r="320" spans="1:33" x14ac:dyDescent="0.2">
      <c r="A320" s="1" t="s">
        <v>921</v>
      </c>
      <c r="B320" s="1" t="s">
        <v>961</v>
      </c>
      <c r="C320" s="1">
        <v>715</v>
      </c>
      <c r="D320" s="1" t="s">
        <v>379</v>
      </c>
      <c r="F320" s="1">
        <v>2023</v>
      </c>
      <c r="G320" s="1" t="s">
        <v>944</v>
      </c>
      <c r="H320" s="1" t="s">
        <v>926</v>
      </c>
      <c r="I320" s="1">
        <v>4</v>
      </c>
      <c r="J320" s="1" t="s">
        <v>36</v>
      </c>
      <c r="K320" s="1" t="s">
        <v>962</v>
      </c>
      <c r="L320" s="1" t="s">
        <v>963</v>
      </c>
      <c r="M320" s="1">
        <v>127</v>
      </c>
      <c r="N320" s="1" t="s">
        <v>39</v>
      </c>
      <c r="O320" s="1">
        <v>31.212499999999999</v>
      </c>
      <c r="P320" s="1">
        <v>-81.5458</v>
      </c>
      <c r="Q320" s="1" t="s">
        <v>929</v>
      </c>
      <c r="T320" s="1" t="s">
        <v>93</v>
      </c>
      <c r="U320" s="1" t="s">
        <v>94</v>
      </c>
      <c r="AA320" s="3">
        <v>26307</v>
      </c>
      <c r="AB320" s="1" t="s">
        <v>46</v>
      </c>
      <c r="AC320" s="5">
        <v>724</v>
      </c>
      <c r="AD320" s="1" t="s">
        <v>964</v>
      </c>
      <c r="AE320" s="1" t="str">
        <f t="shared" si="21"/>
        <v>715 3A</v>
      </c>
      <c r="AF320" s="5" t="str">
        <f t="shared" ref="AF320:AF331" si="25">MID(AD320,FIND("(",AD320)+1,FIND(")",AD320)-FIND("(",AD320)-1)</f>
        <v>55.4</v>
      </c>
      <c r="AG320" s="1" t="str">
        <f t="shared" si="20"/>
        <v/>
      </c>
    </row>
    <row r="321" spans="1:33" x14ac:dyDescent="0.2">
      <c r="A321" s="1" t="s">
        <v>921</v>
      </c>
      <c r="B321" s="1" t="s">
        <v>961</v>
      </c>
      <c r="C321" s="1">
        <v>715</v>
      </c>
      <c r="D321" s="1" t="s">
        <v>965</v>
      </c>
      <c r="F321" s="1">
        <v>2023</v>
      </c>
      <c r="G321" s="1" t="s">
        <v>944</v>
      </c>
      <c r="H321" s="1" t="s">
        <v>926</v>
      </c>
      <c r="I321" s="1">
        <v>4</v>
      </c>
      <c r="J321" s="1" t="s">
        <v>36</v>
      </c>
      <c r="K321" s="1" t="s">
        <v>962</v>
      </c>
      <c r="L321" s="1" t="s">
        <v>963</v>
      </c>
      <c r="M321" s="1">
        <v>127</v>
      </c>
      <c r="N321" s="1" t="s">
        <v>39</v>
      </c>
      <c r="O321" s="1">
        <v>31.212499999999999</v>
      </c>
      <c r="P321" s="1">
        <v>-81.5458</v>
      </c>
      <c r="Q321" s="1" t="s">
        <v>929</v>
      </c>
      <c r="T321" s="1" t="s">
        <v>93</v>
      </c>
      <c r="U321" s="1" t="s">
        <v>94</v>
      </c>
      <c r="AA321" s="3">
        <v>26311</v>
      </c>
      <c r="AB321" s="1" t="s">
        <v>46</v>
      </c>
      <c r="AC321" s="5">
        <v>724</v>
      </c>
      <c r="AD321" s="1" t="s">
        <v>966</v>
      </c>
      <c r="AE321" s="1" t="str">
        <f t="shared" si="21"/>
        <v>715 3B</v>
      </c>
      <c r="AF321" s="5" t="str">
        <f t="shared" si="25"/>
        <v>55.4</v>
      </c>
      <c r="AG321" s="1" t="str">
        <f t="shared" si="20"/>
        <v/>
      </c>
    </row>
    <row r="322" spans="1:33" x14ac:dyDescent="0.2">
      <c r="A322" s="1" t="s">
        <v>921</v>
      </c>
      <c r="B322" s="1" t="s">
        <v>961</v>
      </c>
      <c r="C322" s="1">
        <v>715</v>
      </c>
      <c r="D322" s="1" t="s">
        <v>967</v>
      </c>
      <c r="F322" s="1">
        <v>2023</v>
      </c>
      <c r="G322" s="1" t="s">
        <v>944</v>
      </c>
      <c r="H322" s="1" t="s">
        <v>926</v>
      </c>
      <c r="I322" s="1">
        <v>4</v>
      </c>
      <c r="J322" s="1" t="s">
        <v>36</v>
      </c>
      <c r="K322" s="1" t="s">
        <v>962</v>
      </c>
      <c r="L322" s="1" t="s">
        <v>963</v>
      </c>
      <c r="M322" s="1">
        <v>127</v>
      </c>
      <c r="N322" s="1" t="s">
        <v>39</v>
      </c>
      <c r="O322" s="1">
        <v>31.212499999999999</v>
      </c>
      <c r="P322" s="1">
        <v>-81.5458</v>
      </c>
      <c r="Q322" s="1" t="s">
        <v>929</v>
      </c>
      <c r="T322" s="1" t="s">
        <v>93</v>
      </c>
      <c r="U322" s="1" t="s">
        <v>94</v>
      </c>
      <c r="AA322" s="3">
        <v>26326</v>
      </c>
      <c r="AB322" s="1" t="s">
        <v>46</v>
      </c>
      <c r="AC322" s="5">
        <v>724</v>
      </c>
      <c r="AD322" s="1" t="s">
        <v>968</v>
      </c>
      <c r="AE322" s="1" t="str">
        <f t="shared" si="21"/>
        <v>715 3C</v>
      </c>
      <c r="AF322" s="5" t="str">
        <f t="shared" si="25"/>
        <v>55.4</v>
      </c>
      <c r="AG322" s="1" t="str">
        <f t="shared" ref="AG322:AG385" si="26">IF(ISNUMBER(SEARCH("selective", X322)), "Y", "")</f>
        <v/>
      </c>
    </row>
    <row r="323" spans="1:33" x14ac:dyDescent="0.2">
      <c r="A323" s="1" t="s">
        <v>921</v>
      </c>
      <c r="B323" s="1" t="s">
        <v>961</v>
      </c>
      <c r="C323" s="1">
        <v>715</v>
      </c>
      <c r="D323" s="1" t="s">
        <v>381</v>
      </c>
      <c r="F323" s="1">
        <v>2023</v>
      </c>
      <c r="G323" s="1" t="s">
        <v>944</v>
      </c>
      <c r="H323" s="1" t="s">
        <v>926</v>
      </c>
      <c r="I323" s="1">
        <v>4</v>
      </c>
      <c r="J323" s="1" t="s">
        <v>36</v>
      </c>
      <c r="K323" s="1" t="s">
        <v>962</v>
      </c>
      <c r="L323" s="1" t="s">
        <v>963</v>
      </c>
      <c r="M323" s="1">
        <v>127</v>
      </c>
      <c r="N323" s="1" t="s">
        <v>39</v>
      </c>
      <c r="O323" s="1">
        <v>31.212499999999999</v>
      </c>
      <c r="P323" s="1">
        <v>-81.5458</v>
      </c>
      <c r="Q323" s="1" t="s">
        <v>929</v>
      </c>
      <c r="T323" s="1" t="s">
        <v>93</v>
      </c>
      <c r="U323" s="1" t="s">
        <v>94</v>
      </c>
      <c r="AA323" s="3">
        <v>26653</v>
      </c>
      <c r="AB323" s="1" t="s">
        <v>46</v>
      </c>
      <c r="AC323" s="5">
        <v>724</v>
      </c>
      <c r="AD323" s="1" t="s">
        <v>969</v>
      </c>
      <c r="AE323" s="1" t="str">
        <f t="shared" ref="AE323:AE386" si="27">C323&amp;" "&amp;D323</f>
        <v>715 4A</v>
      </c>
      <c r="AF323" s="5" t="str">
        <f t="shared" si="25"/>
        <v>55.4</v>
      </c>
      <c r="AG323" s="1" t="str">
        <f t="shared" si="26"/>
        <v/>
      </c>
    </row>
    <row r="324" spans="1:33" x14ac:dyDescent="0.2">
      <c r="A324" s="1" t="s">
        <v>921</v>
      </c>
      <c r="B324" s="1" t="s">
        <v>961</v>
      </c>
      <c r="C324" s="1">
        <v>715</v>
      </c>
      <c r="D324" s="1" t="s">
        <v>815</v>
      </c>
      <c r="F324" s="1">
        <v>2023</v>
      </c>
      <c r="G324" s="1" t="s">
        <v>944</v>
      </c>
      <c r="H324" s="1" t="s">
        <v>926</v>
      </c>
      <c r="I324" s="1">
        <v>4</v>
      </c>
      <c r="J324" s="1" t="s">
        <v>36</v>
      </c>
      <c r="K324" s="1" t="s">
        <v>962</v>
      </c>
      <c r="L324" s="1" t="s">
        <v>963</v>
      </c>
      <c r="M324" s="1">
        <v>127</v>
      </c>
      <c r="N324" s="1" t="s">
        <v>39</v>
      </c>
      <c r="O324" s="1">
        <v>31.212499999999999</v>
      </c>
      <c r="P324" s="1">
        <v>-81.5458</v>
      </c>
      <c r="Q324" s="1" t="s">
        <v>929</v>
      </c>
      <c r="T324" s="1" t="s">
        <v>93</v>
      </c>
      <c r="U324" s="1" t="s">
        <v>94</v>
      </c>
      <c r="AA324" s="3">
        <v>26653</v>
      </c>
      <c r="AB324" s="1" t="s">
        <v>46</v>
      </c>
      <c r="AC324" s="5">
        <v>724</v>
      </c>
      <c r="AD324" s="1" t="s">
        <v>970</v>
      </c>
      <c r="AE324" s="1" t="str">
        <f t="shared" si="27"/>
        <v>715 4B</v>
      </c>
      <c r="AF324" s="5" t="str">
        <f t="shared" si="25"/>
        <v>55.4</v>
      </c>
      <c r="AG324" s="1" t="str">
        <f t="shared" si="26"/>
        <v/>
      </c>
    </row>
    <row r="325" spans="1:33" x14ac:dyDescent="0.2">
      <c r="A325" s="1" t="s">
        <v>921</v>
      </c>
      <c r="B325" s="1" t="s">
        <v>961</v>
      </c>
      <c r="C325" s="1">
        <v>715</v>
      </c>
      <c r="D325" s="1" t="s">
        <v>817</v>
      </c>
      <c r="F325" s="1">
        <v>2023</v>
      </c>
      <c r="G325" s="1" t="s">
        <v>944</v>
      </c>
      <c r="H325" s="1" t="s">
        <v>926</v>
      </c>
      <c r="I325" s="1">
        <v>4</v>
      </c>
      <c r="J325" s="1" t="s">
        <v>36</v>
      </c>
      <c r="K325" s="1" t="s">
        <v>962</v>
      </c>
      <c r="L325" s="1" t="s">
        <v>963</v>
      </c>
      <c r="M325" s="1">
        <v>127</v>
      </c>
      <c r="N325" s="1" t="s">
        <v>39</v>
      </c>
      <c r="O325" s="1">
        <v>31.212499999999999</v>
      </c>
      <c r="P325" s="1">
        <v>-81.5458</v>
      </c>
      <c r="Q325" s="1" t="s">
        <v>929</v>
      </c>
      <c r="T325" s="1" t="s">
        <v>93</v>
      </c>
      <c r="U325" s="1" t="s">
        <v>94</v>
      </c>
      <c r="AA325" s="3">
        <v>26653</v>
      </c>
      <c r="AB325" s="1" t="s">
        <v>46</v>
      </c>
      <c r="AC325" s="5">
        <v>724</v>
      </c>
      <c r="AD325" s="1" t="s">
        <v>971</v>
      </c>
      <c r="AE325" s="1" t="str">
        <f t="shared" si="27"/>
        <v>715 4C</v>
      </c>
      <c r="AF325" s="5" t="str">
        <f t="shared" si="25"/>
        <v>55.4</v>
      </c>
      <c r="AG325" s="1" t="str">
        <f t="shared" si="26"/>
        <v/>
      </c>
    </row>
    <row r="326" spans="1:33" x14ac:dyDescent="0.2">
      <c r="A326" s="1" t="s">
        <v>921</v>
      </c>
      <c r="B326" s="1" t="s">
        <v>961</v>
      </c>
      <c r="C326" s="1">
        <v>715</v>
      </c>
      <c r="D326" s="1" t="s">
        <v>819</v>
      </c>
      <c r="F326" s="1">
        <v>2023</v>
      </c>
      <c r="G326" s="1" t="s">
        <v>944</v>
      </c>
      <c r="H326" s="1" t="s">
        <v>926</v>
      </c>
      <c r="I326" s="1">
        <v>4</v>
      </c>
      <c r="J326" s="1" t="s">
        <v>36</v>
      </c>
      <c r="K326" s="1" t="s">
        <v>962</v>
      </c>
      <c r="L326" s="1" t="s">
        <v>963</v>
      </c>
      <c r="M326" s="1">
        <v>127</v>
      </c>
      <c r="N326" s="1" t="s">
        <v>39</v>
      </c>
      <c r="O326" s="1">
        <v>31.212499999999999</v>
      </c>
      <c r="P326" s="1">
        <v>-81.5458</v>
      </c>
      <c r="Q326" s="1" t="s">
        <v>929</v>
      </c>
      <c r="T326" s="1" t="s">
        <v>93</v>
      </c>
      <c r="U326" s="1" t="s">
        <v>94</v>
      </c>
      <c r="AA326" s="3">
        <v>26653</v>
      </c>
      <c r="AB326" s="1" t="s">
        <v>46</v>
      </c>
      <c r="AC326" s="5">
        <v>724</v>
      </c>
      <c r="AD326" s="1" t="s">
        <v>972</v>
      </c>
      <c r="AE326" s="1" t="str">
        <f t="shared" si="27"/>
        <v>715 4D</v>
      </c>
      <c r="AF326" s="5" t="str">
        <f t="shared" si="25"/>
        <v>55.4</v>
      </c>
      <c r="AG326" s="1" t="str">
        <f t="shared" si="26"/>
        <v/>
      </c>
    </row>
    <row r="327" spans="1:33" x14ac:dyDescent="0.2">
      <c r="A327" s="1" t="s">
        <v>921</v>
      </c>
      <c r="B327" s="1" t="s">
        <v>961</v>
      </c>
      <c r="C327" s="1">
        <v>715</v>
      </c>
      <c r="D327" s="1" t="s">
        <v>973</v>
      </c>
      <c r="F327" s="1">
        <v>2023</v>
      </c>
      <c r="G327" s="1" t="s">
        <v>944</v>
      </c>
      <c r="H327" s="1" t="s">
        <v>926</v>
      </c>
      <c r="I327" s="1">
        <v>4</v>
      </c>
      <c r="J327" s="1" t="s">
        <v>36</v>
      </c>
      <c r="K327" s="1" t="s">
        <v>962</v>
      </c>
      <c r="L327" s="1" t="s">
        <v>963</v>
      </c>
      <c r="M327" s="1">
        <v>127</v>
      </c>
      <c r="N327" s="1" t="s">
        <v>39</v>
      </c>
      <c r="O327" s="1">
        <v>31.212499999999999</v>
      </c>
      <c r="P327" s="1">
        <v>-81.5458</v>
      </c>
      <c r="Q327" s="1" t="s">
        <v>929</v>
      </c>
      <c r="T327" s="1" t="s">
        <v>93</v>
      </c>
      <c r="U327" s="1" t="s">
        <v>94</v>
      </c>
      <c r="AA327" s="3">
        <v>26653</v>
      </c>
      <c r="AB327" s="1" t="s">
        <v>46</v>
      </c>
      <c r="AC327" s="5">
        <v>724</v>
      </c>
      <c r="AD327" s="1" t="s">
        <v>974</v>
      </c>
      <c r="AE327" s="1" t="str">
        <f t="shared" si="27"/>
        <v>715 4E</v>
      </c>
      <c r="AF327" s="5" t="str">
        <f t="shared" si="25"/>
        <v>55.4</v>
      </c>
      <c r="AG327" s="1" t="str">
        <f t="shared" si="26"/>
        <v/>
      </c>
    </row>
    <row r="328" spans="1:33" x14ac:dyDescent="0.2">
      <c r="A328" s="1" t="s">
        <v>921</v>
      </c>
      <c r="B328" s="1" t="s">
        <v>961</v>
      </c>
      <c r="C328" s="1">
        <v>715</v>
      </c>
      <c r="D328" s="1" t="s">
        <v>975</v>
      </c>
      <c r="F328" s="1">
        <v>2023</v>
      </c>
      <c r="G328" s="1" t="s">
        <v>944</v>
      </c>
      <c r="H328" s="1" t="s">
        <v>926</v>
      </c>
      <c r="I328" s="1">
        <v>4</v>
      </c>
      <c r="J328" s="1" t="s">
        <v>36</v>
      </c>
      <c r="K328" s="1" t="s">
        <v>962</v>
      </c>
      <c r="L328" s="1" t="s">
        <v>963</v>
      </c>
      <c r="M328" s="1">
        <v>127</v>
      </c>
      <c r="N328" s="1" t="s">
        <v>39</v>
      </c>
      <c r="O328" s="1">
        <v>31.212499999999999</v>
      </c>
      <c r="P328" s="1">
        <v>-81.5458</v>
      </c>
      <c r="Q328" s="1" t="s">
        <v>929</v>
      </c>
      <c r="T328" s="1" t="s">
        <v>93</v>
      </c>
      <c r="U328" s="1" t="s">
        <v>94</v>
      </c>
      <c r="AA328" s="3">
        <v>26653</v>
      </c>
      <c r="AB328" s="1" t="s">
        <v>46</v>
      </c>
      <c r="AC328" s="5">
        <v>724</v>
      </c>
      <c r="AD328" s="1" t="s">
        <v>976</v>
      </c>
      <c r="AE328" s="1" t="str">
        <f t="shared" si="27"/>
        <v>715 4F</v>
      </c>
      <c r="AF328" s="5" t="str">
        <f t="shared" si="25"/>
        <v>55.4</v>
      </c>
      <c r="AG328" s="1" t="str">
        <f t="shared" si="26"/>
        <v/>
      </c>
    </row>
    <row r="329" spans="1:33" x14ac:dyDescent="0.2">
      <c r="A329" s="1" t="s">
        <v>921</v>
      </c>
      <c r="B329" s="1" t="s">
        <v>977</v>
      </c>
      <c r="C329" s="1">
        <v>728</v>
      </c>
      <c r="D329" s="1" t="s">
        <v>978</v>
      </c>
      <c r="F329" s="1">
        <v>2023</v>
      </c>
      <c r="G329" s="1" t="s">
        <v>952</v>
      </c>
      <c r="H329" s="1" t="s">
        <v>926</v>
      </c>
      <c r="I329" s="1">
        <v>4</v>
      </c>
      <c r="J329" s="1" t="s">
        <v>36</v>
      </c>
      <c r="K329" s="1" t="s">
        <v>979</v>
      </c>
      <c r="L329" s="1" t="s">
        <v>980</v>
      </c>
      <c r="M329" s="1">
        <v>77</v>
      </c>
      <c r="N329" s="1" t="s">
        <v>39</v>
      </c>
      <c r="O329" s="1">
        <v>33.462200000000003</v>
      </c>
      <c r="P329" s="1">
        <v>-84.898600000000002</v>
      </c>
      <c r="Q329" s="1" t="s">
        <v>929</v>
      </c>
      <c r="R329" s="1" t="s">
        <v>120</v>
      </c>
      <c r="S329" s="1" t="s">
        <v>121</v>
      </c>
      <c r="T329" s="1" t="s">
        <v>43</v>
      </c>
      <c r="U329" s="1" t="s">
        <v>44</v>
      </c>
      <c r="X329" s="1" t="s">
        <v>981</v>
      </c>
      <c r="AA329" s="3">
        <v>27233</v>
      </c>
      <c r="AB329" s="1" t="s">
        <v>46</v>
      </c>
      <c r="AC329" s="5">
        <v>4183</v>
      </c>
      <c r="AD329" s="1" t="s">
        <v>982</v>
      </c>
      <c r="AE329" s="1" t="str">
        <f t="shared" si="27"/>
        <v>728 Y6BR</v>
      </c>
      <c r="AF329" s="5" t="str">
        <f t="shared" si="25"/>
        <v>403.8</v>
      </c>
      <c r="AG329" s="1" t="str">
        <f t="shared" si="26"/>
        <v/>
      </c>
    </row>
    <row r="330" spans="1:33" x14ac:dyDescent="0.2">
      <c r="A330" s="1" t="s">
        <v>921</v>
      </c>
      <c r="B330" s="1" t="s">
        <v>977</v>
      </c>
      <c r="C330" s="1">
        <v>728</v>
      </c>
      <c r="D330" s="1" t="s">
        <v>983</v>
      </c>
      <c r="F330" s="1">
        <v>2023</v>
      </c>
      <c r="G330" s="1" t="s">
        <v>952</v>
      </c>
      <c r="H330" s="1" t="s">
        <v>926</v>
      </c>
      <c r="I330" s="1">
        <v>4</v>
      </c>
      <c r="J330" s="1" t="s">
        <v>36</v>
      </c>
      <c r="K330" s="1" t="s">
        <v>979</v>
      </c>
      <c r="L330" s="1" t="s">
        <v>980</v>
      </c>
      <c r="M330" s="1">
        <v>77</v>
      </c>
      <c r="N330" s="1" t="s">
        <v>39</v>
      </c>
      <c r="O330" s="1">
        <v>33.462200000000003</v>
      </c>
      <c r="P330" s="1">
        <v>-84.898600000000002</v>
      </c>
      <c r="Q330" s="1" t="s">
        <v>929</v>
      </c>
      <c r="R330" s="1" t="s">
        <v>120</v>
      </c>
      <c r="S330" s="1" t="s">
        <v>121</v>
      </c>
      <c r="T330" s="1" t="s">
        <v>43</v>
      </c>
      <c r="U330" s="1" t="s">
        <v>44</v>
      </c>
      <c r="X330" s="1" t="s">
        <v>981</v>
      </c>
      <c r="AA330" s="3">
        <v>27127</v>
      </c>
      <c r="AB330" s="1" t="s">
        <v>46</v>
      </c>
      <c r="AC330" s="5">
        <v>3996</v>
      </c>
      <c r="AD330" s="1" t="s">
        <v>984</v>
      </c>
      <c r="AE330" s="1" t="str">
        <f t="shared" si="27"/>
        <v>728 Y7BR</v>
      </c>
      <c r="AF330" s="5" t="str">
        <f t="shared" si="25"/>
        <v>403.8</v>
      </c>
      <c r="AG330" s="1" t="str">
        <f t="shared" si="26"/>
        <v/>
      </c>
    </row>
    <row r="331" spans="1:33" x14ac:dyDescent="0.2">
      <c r="A331" s="1" t="s">
        <v>335</v>
      </c>
      <c r="B331" s="1" t="s">
        <v>985</v>
      </c>
      <c r="C331" s="1">
        <v>762</v>
      </c>
      <c r="D331" s="1">
        <v>2</v>
      </c>
      <c r="F331" s="1">
        <v>2023</v>
      </c>
      <c r="G331" s="1" t="s">
        <v>346</v>
      </c>
      <c r="H331" s="1">
        <v>884</v>
      </c>
      <c r="I331" s="1">
        <v>6</v>
      </c>
      <c r="J331" s="1" t="s">
        <v>228</v>
      </c>
      <c r="K331" s="1" t="s">
        <v>986</v>
      </c>
      <c r="L331" s="1" t="s">
        <v>987</v>
      </c>
      <c r="M331" s="1">
        <v>71</v>
      </c>
      <c r="N331" s="1" t="s">
        <v>39</v>
      </c>
      <c r="O331" s="1">
        <v>36.720500000000001</v>
      </c>
      <c r="P331" s="1">
        <v>-97.086799999999997</v>
      </c>
      <c r="Q331" s="1" t="s">
        <v>988</v>
      </c>
      <c r="R331" s="1" t="s">
        <v>41</v>
      </c>
      <c r="T331" s="1" t="s">
        <v>89</v>
      </c>
      <c r="U331" s="1" t="s">
        <v>44</v>
      </c>
      <c r="AA331" s="3">
        <v>28399</v>
      </c>
      <c r="AB331" s="1" t="s">
        <v>46</v>
      </c>
      <c r="AC331" s="5">
        <v>493</v>
      </c>
      <c r="AD331" s="1" t="s">
        <v>989</v>
      </c>
      <c r="AE331" s="1" t="str">
        <f t="shared" si="27"/>
        <v>762 2</v>
      </c>
      <c r="AF331" s="5" t="str">
        <f t="shared" si="25"/>
        <v>48</v>
      </c>
      <c r="AG331" s="1" t="str">
        <f t="shared" si="26"/>
        <v/>
      </c>
    </row>
    <row r="332" spans="1:33" x14ac:dyDescent="0.2">
      <c r="A332" s="1" t="s">
        <v>335</v>
      </c>
      <c r="B332" s="1" t="s">
        <v>985</v>
      </c>
      <c r="C332" s="1">
        <v>762</v>
      </c>
      <c r="D332" s="1">
        <v>3</v>
      </c>
      <c r="F332" s="1">
        <v>2023</v>
      </c>
      <c r="G332" s="1" t="s">
        <v>346</v>
      </c>
      <c r="H332" s="1">
        <v>884</v>
      </c>
      <c r="I332" s="1">
        <v>6</v>
      </c>
      <c r="J332" s="1" t="s">
        <v>228</v>
      </c>
      <c r="K332" s="1" t="s">
        <v>986</v>
      </c>
      <c r="L332" s="1" t="s">
        <v>987</v>
      </c>
      <c r="M332" s="1">
        <v>71</v>
      </c>
      <c r="N332" s="1" t="s">
        <v>39</v>
      </c>
      <c r="O332" s="1">
        <v>36.720500000000001</v>
      </c>
      <c r="P332" s="1">
        <v>-97.086799999999997</v>
      </c>
      <c r="Q332" s="1" t="s">
        <v>988</v>
      </c>
      <c r="R332" s="1" t="s">
        <v>41</v>
      </c>
      <c r="T332" s="1" t="s">
        <v>71</v>
      </c>
      <c r="U332" s="1" t="s">
        <v>44</v>
      </c>
      <c r="V332" s="1" t="s">
        <v>94</v>
      </c>
      <c r="X332" s="1" t="s">
        <v>95</v>
      </c>
      <c r="AA332" s="3">
        <v>34851</v>
      </c>
      <c r="AB332" s="1" t="s">
        <v>46</v>
      </c>
      <c r="AC332" s="5">
        <v>725</v>
      </c>
      <c r="AD332" s="1" t="s">
        <v>990</v>
      </c>
      <c r="AE332" s="1" t="str">
        <f t="shared" si="27"/>
        <v>762 3</v>
      </c>
      <c r="AF332" s="14">
        <f>MID(AD332,FIND("(",AD332)+1,FIND(")",AD332)-FIND("(",AD332)-1)+54</f>
        <v>74.2</v>
      </c>
      <c r="AG332" s="1" t="str">
        <f t="shared" si="26"/>
        <v/>
      </c>
    </row>
    <row r="333" spans="1:33" x14ac:dyDescent="0.2">
      <c r="A333" s="1" t="s">
        <v>335</v>
      </c>
      <c r="B333" s="1" t="s">
        <v>985</v>
      </c>
      <c r="C333" s="1">
        <v>762</v>
      </c>
      <c r="D333" s="1">
        <v>4</v>
      </c>
      <c r="F333" s="1">
        <v>2023</v>
      </c>
      <c r="G333" s="1" t="s">
        <v>346</v>
      </c>
      <c r="H333" s="1">
        <v>884</v>
      </c>
      <c r="I333" s="1">
        <v>6</v>
      </c>
      <c r="J333" s="1" t="s">
        <v>228</v>
      </c>
      <c r="K333" s="1" t="s">
        <v>986</v>
      </c>
      <c r="L333" s="1" t="s">
        <v>987</v>
      </c>
      <c r="M333" s="1">
        <v>71</v>
      </c>
      <c r="N333" s="1" t="s">
        <v>39</v>
      </c>
      <c r="O333" s="1">
        <v>36.720500000000001</v>
      </c>
      <c r="P333" s="1">
        <v>-97.086799999999997</v>
      </c>
      <c r="Q333" s="1" t="s">
        <v>988</v>
      </c>
      <c r="R333" s="1" t="s">
        <v>41</v>
      </c>
      <c r="T333" s="1" t="s">
        <v>93</v>
      </c>
      <c r="U333" s="1" t="s">
        <v>44</v>
      </c>
      <c r="X333" s="1" t="s">
        <v>95</v>
      </c>
      <c r="AA333" s="3">
        <v>37778</v>
      </c>
      <c r="AB333" s="1" t="s">
        <v>46</v>
      </c>
      <c r="AC333" s="5">
        <v>409.8</v>
      </c>
      <c r="AD333" s="1" t="s">
        <v>991</v>
      </c>
      <c r="AE333" s="1" t="str">
        <f t="shared" si="27"/>
        <v>762 4</v>
      </c>
      <c r="AF333" s="5" t="str">
        <f>MID(AD333,FIND("(",AD333)+1,FIND(")",AD333)-FIND("(",AD333)-1)</f>
        <v>60.5</v>
      </c>
      <c r="AG333" s="1" t="str">
        <f t="shared" si="26"/>
        <v/>
      </c>
    </row>
    <row r="334" spans="1:33" x14ac:dyDescent="0.2">
      <c r="A334" s="1" t="s">
        <v>458</v>
      </c>
      <c r="B334" s="1" t="s">
        <v>992</v>
      </c>
      <c r="C334" s="1">
        <v>862</v>
      </c>
      <c r="D334" s="1" t="s">
        <v>993</v>
      </c>
      <c r="F334" s="1">
        <v>2023</v>
      </c>
      <c r="G334" s="1" t="s">
        <v>461</v>
      </c>
      <c r="H334" s="1">
        <v>608968</v>
      </c>
      <c r="I334" s="1">
        <v>5</v>
      </c>
      <c r="J334" s="1" t="s">
        <v>36</v>
      </c>
      <c r="K334" s="1" t="s">
        <v>994</v>
      </c>
      <c r="L334" s="1" t="s">
        <v>995</v>
      </c>
      <c r="M334" s="1">
        <v>77</v>
      </c>
      <c r="N334" s="1" t="s">
        <v>39</v>
      </c>
      <c r="O334" s="1">
        <v>37.657800000000002</v>
      </c>
      <c r="P334" s="1">
        <v>-89.511899999999997</v>
      </c>
      <c r="Q334" s="1" t="s">
        <v>996</v>
      </c>
      <c r="R334" s="1" t="s">
        <v>41</v>
      </c>
      <c r="T334" s="1" t="s">
        <v>71</v>
      </c>
      <c r="U334" s="1" t="s">
        <v>44</v>
      </c>
      <c r="X334" s="1" t="s">
        <v>140</v>
      </c>
      <c r="AA334" s="3">
        <v>37020</v>
      </c>
      <c r="AB334" s="1" t="s">
        <v>46</v>
      </c>
      <c r="AC334" s="5">
        <v>2347</v>
      </c>
      <c r="AD334" s="1" t="s">
        <v>997</v>
      </c>
      <c r="AE334" s="1" t="str">
        <f t="shared" si="27"/>
        <v>862 CT01</v>
      </c>
      <c r="AF334" s="14">
        <f>MID(AD334,FIND("(",AD334)+1,FIND(")",AD334)-FIND("(",AD334)-1)+85.7</f>
        <v>333.7</v>
      </c>
      <c r="AG334" s="1" t="str">
        <f t="shared" si="26"/>
        <v/>
      </c>
    </row>
    <row r="335" spans="1:33" x14ac:dyDescent="0.2">
      <c r="A335" s="1" t="s">
        <v>458</v>
      </c>
      <c r="B335" s="1" t="s">
        <v>992</v>
      </c>
      <c r="C335" s="1">
        <v>862</v>
      </c>
      <c r="D335" s="1" t="s">
        <v>998</v>
      </c>
      <c r="F335" s="1">
        <v>2023</v>
      </c>
      <c r="G335" s="1" t="s">
        <v>461</v>
      </c>
      <c r="H335" s="1">
        <v>608968</v>
      </c>
      <c r="I335" s="1">
        <v>5</v>
      </c>
      <c r="J335" s="1" t="s">
        <v>36</v>
      </c>
      <c r="K335" s="1" t="s">
        <v>994</v>
      </c>
      <c r="L335" s="1" t="s">
        <v>995</v>
      </c>
      <c r="M335" s="1">
        <v>77</v>
      </c>
      <c r="N335" s="1" t="s">
        <v>39</v>
      </c>
      <c r="O335" s="1">
        <v>37.657800000000002</v>
      </c>
      <c r="P335" s="1">
        <v>-89.511899999999997</v>
      </c>
      <c r="Q335" s="1" t="s">
        <v>996</v>
      </c>
      <c r="R335" s="1" t="s">
        <v>41</v>
      </c>
      <c r="T335" s="1" t="s">
        <v>71</v>
      </c>
      <c r="U335" s="1" t="s">
        <v>44</v>
      </c>
      <c r="X335" s="1" t="s">
        <v>140</v>
      </c>
      <c r="AA335" s="3">
        <v>37111</v>
      </c>
      <c r="AB335" s="1" t="s">
        <v>46</v>
      </c>
      <c r="AC335" s="5">
        <v>2383</v>
      </c>
      <c r="AD335" s="1" t="s">
        <v>999</v>
      </c>
      <c r="AE335" s="1" t="str">
        <f t="shared" si="27"/>
        <v>862 CT02</v>
      </c>
      <c r="AF335" s="14">
        <f>MID(AD335,FIND("(",AD335)+1,FIND(")",AD335)-FIND("(",AD335)-1)+200</f>
        <v>313.60000000000002</v>
      </c>
      <c r="AG335" s="1" t="str">
        <f t="shared" si="26"/>
        <v/>
      </c>
    </row>
    <row r="336" spans="1:33" x14ac:dyDescent="0.2">
      <c r="A336" s="1" t="s">
        <v>458</v>
      </c>
      <c r="B336" s="1" t="s">
        <v>1000</v>
      </c>
      <c r="C336" s="1">
        <v>874</v>
      </c>
      <c r="D336" s="1">
        <v>5</v>
      </c>
      <c r="F336" s="1">
        <v>2023</v>
      </c>
      <c r="G336" s="1" t="s">
        <v>461</v>
      </c>
      <c r="H336" s="1">
        <v>610077</v>
      </c>
      <c r="I336" s="1">
        <v>5</v>
      </c>
      <c r="J336" s="1" t="s">
        <v>462</v>
      </c>
      <c r="K336" s="1" t="s">
        <v>463</v>
      </c>
      <c r="L336" s="1" t="s">
        <v>464</v>
      </c>
      <c r="M336" s="1">
        <v>197</v>
      </c>
      <c r="N336" s="1" t="s">
        <v>39</v>
      </c>
      <c r="O336" s="1">
        <v>41.494700000000002</v>
      </c>
      <c r="P336" s="1">
        <v>-88.125</v>
      </c>
      <c r="Q336" s="1" t="s">
        <v>465</v>
      </c>
      <c r="R336" s="1" t="s">
        <v>41</v>
      </c>
      <c r="S336" s="1" t="s">
        <v>85</v>
      </c>
      <c r="T336" s="1" t="s">
        <v>606</v>
      </c>
      <c r="U336" s="1" t="s">
        <v>44</v>
      </c>
      <c r="X336" s="1" t="s">
        <v>1001</v>
      </c>
      <c r="Y336" s="1" t="s">
        <v>58</v>
      </c>
      <c r="AA336" s="3">
        <v>21713</v>
      </c>
      <c r="AB336" s="1" t="s">
        <v>621</v>
      </c>
      <c r="AC336" s="5">
        <v>4239</v>
      </c>
      <c r="AD336" s="1" t="s">
        <v>1002</v>
      </c>
      <c r="AE336" s="1" t="str">
        <f t="shared" si="27"/>
        <v>874 5</v>
      </c>
      <c r="AF336" s="5" t="str">
        <f t="shared" ref="AF336:AF365" si="28">MID(AD336,FIND("(",AD336)+1,FIND(")",AD336)-FIND("(",AD336)-1)</f>
        <v>360.4</v>
      </c>
      <c r="AG336" s="1" t="str">
        <f t="shared" si="26"/>
        <v>Y</v>
      </c>
    </row>
    <row r="337" spans="1:33" x14ac:dyDescent="0.2">
      <c r="A337" s="1" t="s">
        <v>458</v>
      </c>
      <c r="B337" s="1" t="s">
        <v>1003</v>
      </c>
      <c r="C337" s="1">
        <v>876</v>
      </c>
      <c r="D337" s="1">
        <v>1</v>
      </c>
      <c r="E337" s="1" t="s">
        <v>1004</v>
      </c>
      <c r="F337" s="1">
        <v>2023</v>
      </c>
      <c r="G337" s="1" t="s">
        <v>1005</v>
      </c>
      <c r="H337" s="1">
        <v>603383</v>
      </c>
      <c r="I337" s="1">
        <v>5</v>
      </c>
      <c r="J337" s="1" t="s">
        <v>462</v>
      </c>
      <c r="K337" s="1" t="s">
        <v>1006</v>
      </c>
      <c r="L337" s="1" t="s">
        <v>1007</v>
      </c>
      <c r="M337" s="1">
        <v>21</v>
      </c>
      <c r="N337" s="1" t="s">
        <v>39</v>
      </c>
      <c r="O337" s="1">
        <v>39.590600000000002</v>
      </c>
      <c r="P337" s="1">
        <v>-89.496399999999994</v>
      </c>
      <c r="Q337" s="1" t="s">
        <v>1008</v>
      </c>
      <c r="R337" s="1" t="s">
        <v>120</v>
      </c>
      <c r="S337" s="1" t="s">
        <v>85</v>
      </c>
      <c r="T337" s="1" t="s">
        <v>606</v>
      </c>
      <c r="U337" s="1" t="s">
        <v>55</v>
      </c>
      <c r="W337" s="1" t="s">
        <v>1009</v>
      </c>
      <c r="X337" s="1" t="s">
        <v>1010</v>
      </c>
      <c r="Y337" s="1" t="s">
        <v>58</v>
      </c>
      <c r="Z337" s="1" t="s">
        <v>937</v>
      </c>
      <c r="AA337" s="3">
        <v>24630</v>
      </c>
      <c r="AB337" s="1" t="s">
        <v>46</v>
      </c>
      <c r="AC337" s="5">
        <v>6634</v>
      </c>
      <c r="AD337" s="1" t="s">
        <v>1011</v>
      </c>
      <c r="AE337" s="1" t="str">
        <f t="shared" si="27"/>
        <v>876 1</v>
      </c>
      <c r="AF337" s="5" t="str">
        <f t="shared" si="28"/>
        <v>659.5</v>
      </c>
      <c r="AG337" s="1" t="str">
        <f t="shared" si="26"/>
        <v>Y</v>
      </c>
    </row>
    <row r="338" spans="1:33" x14ac:dyDescent="0.2">
      <c r="A338" s="1" t="s">
        <v>458</v>
      </c>
      <c r="B338" s="1" t="s">
        <v>1003</v>
      </c>
      <c r="C338" s="1">
        <v>876</v>
      </c>
      <c r="D338" s="1">
        <v>2</v>
      </c>
      <c r="E338" s="1" t="s">
        <v>1004</v>
      </c>
      <c r="F338" s="1">
        <v>2023</v>
      </c>
      <c r="G338" s="1" t="s">
        <v>1005</v>
      </c>
      <c r="H338" s="1">
        <v>603383</v>
      </c>
      <c r="I338" s="1">
        <v>5</v>
      </c>
      <c r="J338" s="1" t="s">
        <v>462</v>
      </c>
      <c r="K338" s="1" t="s">
        <v>1006</v>
      </c>
      <c r="L338" s="1" t="s">
        <v>1007</v>
      </c>
      <c r="M338" s="1">
        <v>21</v>
      </c>
      <c r="N338" s="1" t="s">
        <v>39</v>
      </c>
      <c r="O338" s="1">
        <v>39.590600000000002</v>
      </c>
      <c r="P338" s="1">
        <v>-89.496399999999994</v>
      </c>
      <c r="Q338" s="1" t="s">
        <v>1008</v>
      </c>
      <c r="R338" s="1" t="s">
        <v>120</v>
      </c>
      <c r="S338" s="1" t="s">
        <v>85</v>
      </c>
      <c r="T338" s="1" t="s">
        <v>606</v>
      </c>
      <c r="U338" s="1" t="s">
        <v>55</v>
      </c>
      <c r="W338" s="1" t="s">
        <v>1009</v>
      </c>
      <c r="X338" s="1" t="s">
        <v>1010</v>
      </c>
      <c r="Y338" s="1" t="s">
        <v>58</v>
      </c>
      <c r="Z338" s="1" t="s">
        <v>937</v>
      </c>
      <c r="AA338" s="3">
        <v>24999</v>
      </c>
      <c r="AB338" s="1" t="s">
        <v>46</v>
      </c>
      <c r="AC338" s="5">
        <v>6406</v>
      </c>
      <c r="AD338" s="1" t="s">
        <v>1012</v>
      </c>
      <c r="AE338" s="1" t="str">
        <f t="shared" si="27"/>
        <v>876 2</v>
      </c>
      <c r="AF338" s="5" t="str">
        <f t="shared" si="28"/>
        <v>659.5</v>
      </c>
      <c r="AG338" s="1" t="str">
        <f t="shared" si="26"/>
        <v>Y</v>
      </c>
    </row>
    <row r="339" spans="1:33" x14ac:dyDescent="0.2">
      <c r="A339" s="1" t="s">
        <v>458</v>
      </c>
      <c r="B339" s="1" t="s">
        <v>1013</v>
      </c>
      <c r="C339" s="1">
        <v>879</v>
      </c>
      <c r="D339" s="1">
        <v>51</v>
      </c>
      <c r="E339" s="1" t="s">
        <v>1014</v>
      </c>
      <c r="F339" s="1">
        <v>2023</v>
      </c>
      <c r="G339" s="1" t="s">
        <v>1005</v>
      </c>
      <c r="H339" s="1">
        <v>610303</v>
      </c>
      <c r="I339" s="1">
        <v>5</v>
      </c>
      <c r="J339" s="1" t="s">
        <v>462</v>
      </c>
      <c r="K339" s="1" t="s">
        <v>1015</v>
      </c>
      <c r="L339" s="1" t="s">
        <v>1016</v>
      </c>
      <c r="M339" s="1">
        <v>179</v>
      </c>
      <c r="N339" s="1" t="s">
        <v>39</v>
      </c>
      <c r="O339" s="1">
        <v>40.540799999999997</v>
      </c>
      <c r="P339" s="1">
        <v>-89.678600000000003</v>
      </c>
      <c r="Q339" s="1" t="s">
        <v>465</v>
      </c>
      <c r="R339" s="1" t="s">
        <v>41</v>
      </c>
      <c r="S339" s="1" t="s">
        <v>85</v>
      </c>
      <c r="T339" s="1" t="s">
        <v>606</v>
      </c>
      <c r="U339" s="1" t="s">
        <v>55</v>
      </c>
      <c r="X339" s="1" t="s">
        <v>604</v>
      </c>
      <c r="Y339" s="1" t="s">
        <v>58</v>
      </c>
      <c r="Z339" s="1" t="s">
        <v>214</v>
      </c>
      <c r="AA339" s="3">
        <v>26856</v>
      </c>
      <c r="AB339" s="1" t="s">
        <v>46</v>
      </c>
      <c r="AC339" s="5">
        <v>5400</v>
      </c>
      <c r="AD339" s="1" t="s">
        <v>1017</v>
      </c>
      <c r="AE339" s="1" t="str">
        <f t="shared" si="27"/>
        <v>879 51</v>
      </c>
      <c r="AF339" s="5" t="str">
        <f t="shared" si="28"/>
        <v>892.8</v>
      </c>
      <c r="AG339" s="1" t="str">
        <f t="shared" si="26"/>
        <v>Y</v>
      </c>
    </row>
    <row r="340" spans="1:33" x14ac:dyDescent="0.2">
      <c r="A340" s="1" t="s">
        <v>458</v>
      </c>
      <c r="B340" s="1" t="s">
        <v>1013</v>
      </c>
      <c r="C340" s="1">
        <v>879</v>
      </c>
      <c r="D340" s="1">
        <v>52</v>
      </c>
      <c r="E340" s="1" t="s">
        <v>1014</v>
      </c>
      <c r="F340" s="1">
        <v>2023</v>
      </c>
      <c r="G340" s="1" t="s">
        <v>1005</v>
      </c>
      <c r="H340" s="1">
        <v>610303</v>
      </c>
      <c r="I340" s="1">
        <v>5</v>
      </c>
      <c r="J340" s="1" t="s">
        <v>462</v>
      </c>
      <c r="K340" s="1" t="s">
        <v>1015</v>
      </c>
      <c r="L340" s="1" t="s">
        <v>1016</v>
      </c>
      <c r="M340" s="1">
        <v>179</v>
      </c>
      <c r="N340" s="1" t="s">
        <v>39</v>
      </c>
      <c r="O340" s="1">
        <v>40.540799999999997</v>
      </c>
      <c r="P340" s="1">
        <v>-89.678600000000003</v>
      </c>
      <c r="Q340" s="1" t="s">
        <v>465</v>
      </c>
      <c r="R340" s="1" t="s">
        <v>41</v>
      </c>
      <c r="S340" s="1" t="s">
        <v>85</v>
      </c>
      <c r="T340" s="1" t="s">
        <v>606</v>
      </c>
      <c r="U340" s="1" t="s">
        <v>55</v>
      </c>
      <c r="X340" s="1" t="s">
        <v>604</v>
      </c>
      <c r="Y340" s="1" t="s">
        <v>58</v>
      </c>
      <c r="Z340" s="1" t="s">
        <v>214</v>
      </c>
      <c r="AA340" s="3">
        <v>26856</v>
      </c>
      <c r="AB340" s="1" t="s">
        <v>46</v>
      </c>
      <c r="AC340" s="5">
        <v>5400</v>
      </c>
      <c r="AD340" s="1" t="s">
        <v>1017</v>
      </c>
      <c r="AE340" s="1" t="str">
        <f t="shared" si="27"/>
        <v>879 52</v>
      </c>
      <c r="AF340" s="5" t="str">
        <f t="shared" si="28"/>
        <v>892.8</v>
      </c>
      <c r="AG340" s="1" t="str">
        <f t="shared" si="26"/>
        <v>Y</v>
      </c>
    </row>
    <row r="341" spans="1:33" x14ac:dyDescent="0.2">
      <c r="A341" s="1" t="s">
        <v>458</v>
      </c>
      <c r="B341" s="1" t="s">
        <v>1013</v>
      </c>
      <c r="C341" s="1">
        <v>879</v>
      </c>
      <c r="D341" s="1">
        <v>61</v>
      </c>
      <c r="E341" s="1" t="s">
        <v>1014</v>
      </c>
      <c r="F341" s="1">
        <v>2023</v>
      </c>
      <c r="G341" s="1" t="s">
        <v>1005</v>
      </c>
      <c r="H341" s="1">
        <v>610303</v>
      </c>
      <c r="I341" s="1">
        <v>5</v>
      </c>
      <c r="J341" s="1" t="s">
        <v>462</v>
      </c>
      <c r="K341" s="1" t="s">
        <v>1015</v>
      </c>
      <c r="L341" s="1" t="s">
        <v>1016</v>
      </c>
      <c r="M341" s="1">
        <v>179</v>
      </c>
      <c r="N341" s="1" t="s">
        <v>39</v>
      </c>
      <c r="O341" s="1">
        <v>40.540799999999997</v>
      </c>
      <c r="P341" s="1">
        <v>-89.678600000000003</v>
      </c>
      <c r="Q341" s="1" t="s">
        <v>465</v>
      </c>
      <c r="R341" s="1" t="s">
        <v>41</v>
      </c>
      <c r="S341" s="1" t="s">
        <v>85</v>
      </c>
      <c r="T341" s="1" t="s">
        <v>606</v>
      </c>
      <c r="U341" s="1" t="s">
        <v>55</v>
      </c>
      <c r="W341" s="1" t="s">
        <v>1009</v>
      </c>
      <c r="X341" s="1" t="s">
        <v>604</v>
      </c>
      <c r="Y341" s="1" t="s">
        <v>58</v>
      </c>
      <c r="Z341" s="1" t="s">
        <v>214</v>
      </c>
      <c r="AA341" s="3">
        <v>28010</v>
      </c>
      <c r="AB341" s="1" t="s">
        <v>46</v>
      </c>
      <c r="AC341" s="5">
        <v>5400</v>
      </c>
      <c r="AD341" s="1" t="s">
        <v>1018</v>
      </c>
      <c r="AE341" s="1" t="str">
        <f t="shared" si="27"/>
        <v>879 61</v>
      </c>
      <c r="AF341" s="5" t="str">
        <f t="shared" si="28"/>
        <v>892.8</v>
      </c>
      <c r="AG341" s="1" t="str">
        <f t="shared" si="26"/>
        <v>Y</v>
      </c>
    </row>
    <row r="342" spans="1:33" x14ac:dyDescent="0.2">
      <c r="A342" s="1" t="s">
        <v>458</v>
      </c>
      <c r="B342" s="1" t="s">
        <v>1013</v>
      </c>
      <c r="C342" s="1">
        <v>879</v>
      </c>
      <c r="D342" s="1">
        <v>62</v>
      </c>
      <c r="E342" s="1" t="s">
        <v>1014</v>
      </c>
      <c r="F342" s="1">
        <v>2023</v>
      </c>
      <c r="G342" s="1" t="s">
        <v>1005</v>
      </c>
      <c r="H342" s="1">
        <v>610303</v>
      </c>
      <c r="I342" s="1">
        <v>5</v>
      </c>
      <c r="J342" s="1" t="s">
        <v>462</v>
      </c>
      <c r="K342" s="1" t="s">
        <v>1015</v>
      </c>
      <c r="L342" s="1" t="s">
        <v>1016</v>
      </c>
      <c r="M342" s="1">
        <v>179</v>
      </c>
      <c r="N342" s="1" t="s">
        <v>39</v>
      </c>
      <c r="O342" s="1">
        <v>40.540799999999997</v>
      </c>
      <c r="P342" s="1">
        <v>-89.678600000000003</v>
      </c>
      <c r="Q342" s="1" t="s">
        <v>465</v>
      </c>
      <c r="R342" s="1" t="s">
        <v>41</v>
      </c>
      <c r="S342" s="1" t="s">
        <v>85</v>
      </c>
      <c r="T342" s="1" t="s">
        <v>606</v>
      </c>
      <c r="U342" s="1" t="s">
        <v>55</v>
      </c>
      <c r="W342" s="1" t="s">
        <v>1009</v>
      </c>
      <c r="X342" s="1" t="s">
        <v>604</v>
      </c>
      <c r="Y342" s="1" t="s">
        <v>58</v>
      </c>
      <c r="Z342" s="1" t="s">
        <v>214</v>
      </c>
      <c r="AA342" s="3">
        <v>28010</v>
      </c>
      <c r="AB342" s="1" t="s">
        <v>46</v>
      </c>
      <c r="AC342" s="5">
        <v>5400</v>
      </c>
      <c r="AD342" s="1" t="s">
        <v>1018</v>
      </c>
      <c r="AE342" s="1" t="str">
        <f t="shared" si="27"/>
        <v>879 62</v>
      </c>
      <c r="AF342" s="5" t="str">
        <f t="shared" si="28"/>
        <v>892.8</v>
      </c>
      <c r="AG342" s="1" t="str">
        <f t="shared" si="26"/>
        <v>Y</v>
      </c>
    </row>
    <row r="343" spans="1:33" x14ac:dyDescent="0.2">
      <c r="A343" s="1" t="s">
        <v>458</v>
      </c>
      <c r="B343" s="1" t="s">
        <v>1019</v>
      </c>
      <c r="C343" s="1">
        <v>883</v>
      </c>
      <c r="D343" s="1">
        <v>311</v>
      </c>
      <c r="F343" s="1">
        <v>2023</v>
      </c>
      <c r="G343" s="1" t="s">
        <v>1020</v>
      </c>
      <c r="H343" s="1">
        <v>610077</v>
      </c>
      <c r="I343" s="1">
        <v>5</v>
      </c>
      <c r="K343" s="1" t="s">
        <v>1021</v>
      </c>
      <c r="L343" s="1" t="s">
        <v>1022</v>
      </c>
      <c r="M343" s="1">
        <v>97</v>
      </c>
      <c r="N343" s="1" t="s">
        <v>39</v>
      </c>
      <c r="O343" s="1">
        <v>42.383299999999998</v>
      </c>
      <c r="P343" s="1">
        <v>-87.813299999999998</v>
      </c>
      <c r="Q343" s="1" t="s">
        <v>1023</v>
      </c>
      <c r="T343" s="1" t="s">
        <v>93</v>
      </c>
      <c r="U343" s="1" t="s">
        <v>94</v>
      </c>
      <c r="AA343" s="3">
        <v>25030</v>
      </c>
      <c r="AB343" s="1" t="s">
        <v>46</v>
      </c>
      <c r="AC343" s="5">
        <v>553</v>
      </c>
      <c r="AD343" s="1" t="s">
        <v>1024</v>
      </c>
      <c r="AE343" s="1" t="str">
        <f t="shared" si="27"/>
        <v>883 311</v>
      </c>
      <c r="AF343" s="5" t="str">
        <f t="shared" si="28"/>
        <v>38</v>
      </c>
      <c r="AG343" s="1" t="str">
        <f t="shared" si="26"/>
        <v/>
      </c>
    </row>
    <row r="344" spans="1:33" x14ac:dyDescent="0.2">
      <c r="A344" s="1" t="s">
        <v>458</v>
      </c>
      <c r="B344" s="1" t="s">
        <v>1019</v>
      </c>
      <c r="C344" s="1">
        <v>883</v>
      </c>
      <c r="D344" s="1">
        <v>312</v>
      </c>
      <c r="F344" s="1">
        <v>2023</v>
      </c>
      <c r="G344" s="1" t="s">
        <v>1020</v>
      </c>
      <c r="H344" s="1">
        <v>610077</v>
      </c>
      <c r="I344" s="1">
        <v>5</v>
      </c>
      <c r="K344" s="1" t="s">
        <v>1021</v>
      </c>
      <c r="L344" s="1" t="s">
        <v>1022</v>
      </c>
      <c r="M344" s="1">
        <v>97</v>
      </c>
      <c r="N344" s="1" t="s">
        <v>39</v>
      </c>
      <c r="O344" s="1">
        <v>42.383299999999998</v>
      </c>
      <c r="P344" s="1">
        <v>-87.813299999999998</v>
      </c>
      <c r="Q344" s="1" t="s">
        <v>1023</v>
      </c>
      <c r="T344" s="1" t="s">
        <v>93</v>
      </c>
      <c r="U344" s="1" t="s">
        <v>94</v>
      </c>
      <c r="AA344" s="3">
        <v>25030</v>
      </c>
      <c r="AB344" s="1" t="s">
        <v>46</v>
      </c>
      <c r="AC344" s="5">
        <v>553</v>
      </c>
      <c r="AD344" s="1" t="s">
        <v>1025</v>
      </c>
      <c r="AE344" s="1" t="str">
        <f t="shared" si="27"/>
        <v>883 312</v>
      </c>
      <c r="AF344" s="5" t="str">
        <f t="shared" si="28"/>
        <v>38</v>
      </c>
      <c r="AG344" s="1" t="str">
        <f t="shared" si="26"/>
        <v/>
      </c>
    </row>
    <row r="345" spans="1:33" x14ac:dyDescent="0.2">
      <c r="A345" s="1" t="s">
        <v>458</v>
      </c>
      <c r="B345" s="1" t="s">
        <v>1019</v>
      </c>
      <c r="C345" s="1">
        <v>883</v>
      </c>
      <c r="D345" s="1">
        <v>321</v>
      </c>
      <c r="F345" s="1">
        <v>2023</v>
      </c>
      <c r="G345" s="1" t="s">
        <v>1020</v>
      </c>
      <c r="H345" s="1">
        <v>610077</v>
      </c>
      <c r="I345" s="1">
        <v>5</v>
      </c>
      <c r="K345" s="1" t="s">
        <v>1021</v>
      </c>
      <c r="L345" s="1" t="s">
        <v>1022</v>
      </c>
      <c r="M345" s="1">
        <v>97</v>
      </c>
      <c r="N345" s="1" t="s">
        <v>39</v>
      </c>
      <c r="O345" s="1">
        <v>42.383299999999998</v>
      </c>
      <c r="P345" s="1">
        <v>-87.813299999999998</v>
      </c>
      <c r="Q345" s="1" t="s">
        <v>1023</v>
      </c>
      <c r="T345" s="1" t="s">
        <v>93</v>
      </c>
      <c r="U345" s="1" t="s">
        <v>94</v>
      </c>
      <c r="AA345" s="3">
        <v>25030</v>
      </c>
      <c r="AB345" s="1" t="s">
        <v>46</v>
      </c>
      <c r="AC345" s="5">
        <v>553</v>
      </c>
      <c r="AD345" s="1" t="s">
        <v>1026</v>
      </c>
      <c r="AE345" s="1" t="str">
        <f t="shared" si="27"/>
        <v>883 321</v>
      </c>
      <c r="AF345" s="5" t="str">
        <f t="shared" si="28"/>
        <v>38</v>
      </c>
      <c r="AG345" s="1" t="str">
        <f t="shared" si="26"/>
        <v/>
      </c>
    </row>
    <row r="346" spans="1:33" x14ac:dyDescent="0.2">
      <c r="A346" s="1" t="s">
        <v>458</v>
      </c>
      <c r="B346" s="1" t="s">
        <v>1019</v>
      </c>
      <c r="C346" s="1">
        <v>883</v>
      </c>
      <c r="D346" s="1">
        <v>322</v>
      </c>
      <c r="F346" s="1">
        <v>2023</v>
      </c>
      <c r="G346" s="1" t="s">
        <v>1020</v>
      </c>
      <c r="H346" s="1">
        <v>610077</v>
      </c>
      <c r="I346" s="1">
        <v>5</v>
      </c>
      <c r="K346" s="1" t="s">
        <v>1021</v>
      </c>
      <c r="L346" s="1" t="s">
        <v>1022</v>
      </c>
      <c r="M346" s="1">
        <v>97</v>
      </c>
      <c r="N346" s="1" t="s">
        <v>39</v>
      </c>
      <c r="O346" s="1">
        <v>42.383299999999998</v>
      </c>
      <c r="P346" s="1">
        <v>-87.813299999999998</v>
      </c>
      <c r="Q346" s="1" t="s">
        <v>1023</v>
      </c>
      <c r="T346" s="1" t="s">
        <v>93</v>
      </c>
      <c r="U346" s="1" t="s">
        <v>94</v>
      </c>
      <c r="AA346" s="3">
        <v>25030</v>
      </c>
      <c r="AB346" s="1" t="s">
        <v>46</v>
      </c>
      <c r="AC346" s="5">
        <v>553</v>
      </c>
      <c r="AD346" s="1" t="s">
        <v>1027</v>
      </c>
      <c r="AE346" s="1" t="str">
        <f t="shared" si="27"/>
        <v>883 322</v>
      </c>
      <c r="AF346" s="5" t="str">
        <f t="shared" si="28"/>
        <v>38</v>
      </c>
      <c r="AG346" s="1" t="str">
        <f t="shared" si="26"/>
        <v/>
      </c>
    </row>
    <row r="347" spans="1:33" x14ac:dyDescent="0.2">
      <c r="A347" s="1" t="s">
        <v>458</v>
      </c>
      <c r="B347" s="1" t="s">
        <v>1028</v>
      </c>
      <c r="C347" s="1">
        <v>886</v>
      </c>
      <c r="D347" s="1">
        <v>311</v>
      </c>
      <c r="F347" s="1">
        <v>2023</v>
      </c>
      <c r="G347" s="1" t="s">
        <v>1020</v>
      </c>
      <c r="H347" s="1">
        <v>610077</v>
      </c>
      <c r="I347" s="1">
        <v>5</v>
      </c>
      <c r="J347" s="1" t="s">
        <v>462</v>
      </c>
      <c r="K347" s="1" t="s">
        <v>1029</v>
      </c>
      <c r="L347" s="1" t="s">
        <v>1030</v>
      </c>
      <c r="M347" s="1">
        <v>31</v>
      </c>
      <c r="N347" s="1" t="s">
        <v>1031</v>
      </c>
      <c r="O347" s="1">
        <v>41.8508</v>
      </c>
      <c r="P347" s="1">
        <v>-87.653300000000002</v>
      </c>
      <c r="Q347" s="1" t="s">
        <v>1023</v>
      </c>
      <c r="T347" s="1" t="s">
        <v>93</v>
      </c>
      <c r="U347" s="1" t="s">
        <v>94</v>
      </c>
      <c r="AA347" s="3">
        <v>25030</v>
      </c>
      <c r="AB347" s="1" t="s">
        <v>46</v>
      </c>
      <c r="AC347" s="5">
        <v>479.3</v>
      </c>
      <c r="AD347" s="1" t="s">
        <v>1024</v>
      </c>
      <c r="AE347" s="1" t="str">
        <f t="shared" si="27"/>
        <v>886 311</v>
      </c>
      <c r="AF347" s="5" t="str">
        <f t="shared" si="28"/>
        <v>38</v>
      </c>
      <c r="AG347" s="1" t="str">
        <f t="shared" si="26"/>
        <v/>
      </c>
    </row>
    <row r="348" spans="1:33" x14ac:dyDescent="0.2">
      <c r="A348" s="1" t="s">
        <v>458</v>
      </c>
      <c r="B348" s="1" t="s">
        <v>1028</v>
      </c>
      <c r="C348" s="1">
        <v>886</v>
      </c>
      <c r="D348" s="1">
        <v>312</v>
      </c>
      <c r="F348" s="1">
        <v>2023</v>
      </c>
      <c r="G348" s="1" t="s">
        <v>1020</v>
      </c>
      <c r="H348" s="1">
        <v>610077</v>
      </c>
      <c r="I348" s="1">
        <v>5</v>
      </c>
      <c r="J348" s="1" t="s">
        <v>462</v>
      </c>
      <c r="K348" s="1" t="s">
        <v>1029</v>
      </c>
      <c r="L348" s="1" t="s">
        <v>1030</v>
      </c>
      <c r="M348" s="1">
        <v>31</v>
      </c>
      <c r="N348" s="1" t="s">
        <v>1031</v>
      </c>
      <c r="O348" s="1">
        <v>41.8508</v>
      </c>
      <c r="P348" s="1">
        <v>-87.653300000000002</v>
      </c>
      <c r="Q348" s="1" t="s">
        <v>1023</v>
      </c>
      <c r="T348" s="1" t="s">
        <v>93</v>
      </c>
      <c r="U348" s="1" t="s">
        <v>94</v>
      </c>
      <c r="AA348" s="3">
        <v>25030</v>
      </c>
      <c r="AB348" s="1" t="s">
        <v>46</v>
      </c>
      <c r="AC348" s="5">
        <v>479.3</v>
      </c>
      <c r="AD348" s="1" t="s">
        <v>1025</v>
      </c>
      <c r="AE348" s="1" t="str">
        <f t="shared" si="27"/>
        <v>886 312</v>
      </c>
      <c r="AF348" s="5" t="str">
        <f t="shared" si="28"/>
        <v>38</v>
      </c>
      <c r="AG348" s="1" t="str">
        <f t="shared" si="26"/>
        <v/>
      </c>
    </row>
    <row r="349" spans="1:33" x14ac:dyDescent="0.2">
      <c r="A349" s="1" t="s">
        <v>458</v>
      </c>
      <c r="B349" s="1" t="s">
        <v>1028</v>
      </c>
      <c r="C349" s="1">
        <v>886</v>
      </c>
      <c r="D349" s="1">
        <v>321</v>
      </c>
      <c r="F349" s="1">
        <v>2023</v>
      </c>
      <c r="G349" s="1" t="s">
        <v>1020</v>
      </c>
      <c r="H349" s="1">
        <v>610077</v>
      </c>
      <c r="I349" s="1">
        <v>5</v>
      </c>
      <c r="J349" s="1" t="s">
        <v>462</v>
      </c>
      <c r="K349" s="1" t="s">
        <v>1029</v>
      </c>
      <c r="L349" s="1" t="s">
        <v>1030</v>
      </c>
      <c r="M349" s="1">
        <v>31</v>
      </c>
      <c r="N349" s="1" t="s">
        <v>1031</v>
      </c>
      <c r="O349" s="1">
        <v>41.8508</v>
      </c>
      <c r="P349" s="1">
        <v>-87.653300000000002</v>
      </c>
      <c r="Q349" s="1" t="s">
        <v>1023</v>
      </c>
      <c r="T349" s="1" t="s">
        <v>93</v>
      </c>
      <c r="U349" s="1" t="s">
        <v>94</v>
      </c>
      <c r="AA349" s="3">
        <v>25030</v>
      </c>
      <c r="AB349" s="1" t="s">
        <v>46</v>
      </c>
      <c r="AC349" s="5">
        <v>479.3</v>
      </c>
      <c r="AD349" s="1" t="s">
        <v>1026</v>
      </c>
      <c r="AE349" s="1" t="str">
        <f t="shared" si="27"/>
        <v>886 321</v>
      </c>
      <c r="AF349" s="5" t="str">
        <f t="shared" si="28"/>
        <v>38</v>
      </c>
      <c r="AG349" s="1" t="str">
        <f t="shared" si="26"/>
        <v/>
      </c>
    </row>
    <row r="350" spans="1:33" x14ac:dyDescent="0.2">
      <c r="A350" s="1" t="s">
        <v>458</v>
      </c>
      <c r="B350" s="1" t="s">
        <v>1028</v>
      </c>
      <c r="C350" s="1">
        <v>886</v>
      </c>
      <c r="D350" s="1">
        <v>322</v>
      </c>
      <c r="F350" s="1">
        <v>2023</v>
      </c>
      <c r="G350" s="1" t="s">
        <v>1020</v>
      </c>
      <c r="H350" s="1">
        <v>610077</v>
      </c>
      <c r="I350" s="1">
        <v>5</v>
      </c>
      <c r="J350" s="1" t="s">
        <v>462</v>
      </c>
      <c r="K350" s="1" t="s">
        <v>1029</v>
      </c>
      <c r="L350" s="1" t="s">
        <v>1030</v>
      </c>
      <c r="M350" s="1">
        <v>31</v>
      </c>
      <c r="N350" s="1" t="s">
        <v>1031</v>
      </c>
      <c r="O350" s="1">
        <v>41.8508</v>
      </c>
      <c r="P350" s="1">
        <v>-87.653300000000002</v>
      </c>
      <c r="Q350" s="1" t="s">
        <v>1023</v>
      </c>
      <c r="T350" s="1" t="s">
        <v>93</v>
      </c>
      <c r="U350" s="1" t="s">
        <v>94</v>
      </c>
      <c r="AA350" s="3">
        <v>25030</v>
      </c>
      <c r="AB350" s="1" t="s">
        <v>46</v>
      </c>
      <c r="AC350" s="5">
        <v>479.3</v>
      </c>
      <c r="AD350" s="1" t="s">
        <v>1027</v>
      </c>
      <c r="AE350" s="1" t="str">
        <f t="shared" si="27"/>
        <v>886 322</v>
      </c>
      <c r="AF350" s="5" t="str">
        <f t="shared" si="28"/>
        <v>38</v>
      </c>
      <c r="AG350" s="1" t="str">
        <f t="shared" si="26"/>
        <v/>
      </c>
    </row>
    <row r="351" spans="1:33" x14ac:dyDescent="0.2">
      <c r="A351" s="1" t="s">
        <v>458</v>
      </c>
      <c r="B351" s="1" t="s">
        <v>1028</v>
      </c>
      <c r="C351" s="1">
        <v>886</v>
      </c>
      <c r="D351" s="1">
        <v>331</v>
      </c>
      <c r="F351" s="1">
        <v>2023</v>
      </c>
      <c r="G351" s="1" t="s">
        <v>1020</v>
      </c>
      <c r="H351" s="1">
        <v>610077</v>
      </c>
      <c r="I351" s="1">
        <v>5</v>
      </c>
      <c r="J351" s="1" t="s">
        <v>462</v>
      </c>
      <c r="K351" s="1" t="s">
        <v>1029</v>
      </c>
      <c r="L351" s="1" t="s">
        <v>1030</v>
      </c>
      <c r="M351" s="1">
        <v>31</v>
      </c>
      <c r="N351" s="1" t="s">
        <v>1031</v>
      </c>
      <c r="O351" s="1">
        <v>41.8508</v>
      </c>
      <c r="P351" s="1">
        <v>-87.653300000000002</v>
      </c>
      <c r="Q351" s="1" t="s">
        <v>1023</v>
      </c>
      <c r="T351" s="1" t="s">
        <v>93</v>
      </c>
      <c r="U351" s="1" t="s">
        <v>94</v>
      </c>
      <c r="AA351" s="3">
        <v>25030</v>
      </c>
      <c r="AB351" s="1" t="s">
        <v>46</v>
      </c>
      <c r="AC351" s="5">
        <v>479.3</v>
      </c>
      <c r="AD351" s="1" t="s">
        <v>1032</v>
      </c>
      <c r="AE351" s="1" t="str">
        <f t="shared" si="27"/>
        <v>886 331</v>
      </c>
      <c r="AF351" s="5" t="str">
        <f t="shared" si="28"/>
        <v>38</v>
      </c>
      <c r="AG351" s="1" t="str">
        <f t="shared" si="26"/>
        <v/>
      </c>
    </row>
    <row r="352" spans="1:33" x14ac:dyDescent="0.2">
      <c r="A352" s="1" t="s">
        <v>458</v>
      </c>
      <c r="B352" s="1" t="s">
        <v>1028</v>
      </c>
      <c r="C352" s="1">
        <v>886</v>
      </c>
      <c r="D352" s="1">
        <v>332</v>
      </c>
      <c r="F352" s="1">
        <v>2023</v>
      </c>
      <c r="G352" s="1" t="s">
        <v>1020</v>
      </c>
      <c r="H352" s="1">
        <v>610077</v>
      </c>
      <c r="I352" s="1">
        <v>5</v>
      </c>
      <c r="J352" s="1" t="s">
        <v>462</v>
      </c>
      <c r="K352" s="1" t="s">
        <v>1029</v>
      </c>
      <c r="L352" s="1" t="s">
        <v>1030</v>
      </c>
      <c r="M352" s="1">
        <v>31</v>
      </c>
      <c r="N352" s="1" t="s">
        <v>1031</v>
      </c>
      <c r="O352" s="1">
        <v>41.8508</v>
      </c>
      <c r="P352" s="1">
        <v>-87.653300000000002</v>
      </c>
      <c r="Q352" s="1" t="s">
        <v>1023</v>
      </c>
      <c r="T352" s="1" t="s">
        <v>93</v>
      </c>
      <c r="U352" s="1" t="s">
        <v>94</v>
      </c>
      <c r="AA352" s="3">
        <v>25030</v>
      </c>
      <c r="AB352" s="1" t="s">
        <v>46</v>
      </c>
      <c r="AC352" s="5">
        <v>479.3</v>
      </c>
      <c r="AD352" s="1" t="s">
        <v>1033</v>
      </c>
      <c r="AE352" s="1" t="str">
        <f t="shared" si="27"/>
        <v>886 332</v>
      </c>
      <c r="AF352" s="5" t="str">
        <f t="shared" si="28"/>
        <v>38</v>
      </c>
      <c r="AG352" s="1" t="str">
        <f t="shared" si="26"/>
        <v/>
      </c>
    </row>
    <row r="353" spans="1:33" x14ac:dyDescent="0.2">
      <c r="A353" s="1" t="s">
        <v>458</v>
      </c>
      <c r="B353" s="1" t="s">
        <v>1028</v>
      </c>
      <c r="C353" s="1">
        <v>886</v>
      </c>
      <c r="D353" s="1">
        <v>341</v>
      </c>
      <c r="F353" s="1">
        <v>2023</v>
      </c>
      <c r="G353" s="1" t="s">
        <v>1020</v>
      </c>
      <c r="H353" s="1">
        <v>610077</v>
      </c>
      <c r="I353" s="1">
        <v>5</v>
      </c>
      <c r="J353" s="1" t="s">
        <v>462</v>
      </c>
      <c r="K353" s="1" t="s">
        <v>1029</v>
      </c>
      <c r="L353" s="1" t="s">
        <v>1030</v>
      </c>
      <c r="M353" s="1">
        <v>31</v>
      </c>
      <c r="N353" s="1" t="s">
        <v>1031</v>
      </c>
      <c r="O353" s="1">
        <v>41.8508</v>
      </c>
      <c r="P353" s="1">
        <v>-87.653300000000002</v>
      </c>
      <c r="Q353" s="1" t="s">
        <v>1023</v>
      </c>
      <c r="T353" s="1" t="s">
        <v>93</v>
      </c>
      <c r="U353" s="1" t="s">
        <v>94</v>
      </c>
      <c r="AA353" s="3">
        <v>25030</v>
      </c>
      <c r="AB353" s="1" t="s">
        <v>46</v>
      </c>
      <c r="AC353" s="5">
        <v>479.3</v>
      </c>
      <c r="AD353" s="1" t="s">
        <v>1034</v>
      </c>
      <c r="AE353" s="1" t="str">
        <f t="shared" si="27"/>
        <v>886 341</v>
      </c>
      <c r="AF353" s="5" t="str">
        <f t="shared" si="28"/>
        <v>38</v>
      </c>
      <c r="AG353" s="1" t="str">
        <f t="shared" si="26"/>
        <v/>
      </c>
    </row>
    <row r="354" spans="1:33" x14ac:dyDescent="0.2">
      <c r="A354" s="1" t="s">
        <v>458</v>
      </c>
      <c r="B354" s="1" t="s">
        <v>1028</v>
      </c>
      <c r="C354" s="1">
        <v>886</v>
      </c>
      <c r="D354" s="1">
        <v>342</v>
      </c>
      <c r="F354" s="1">
        <v>2023</v>
      </c>
      <c r="G354" s="1" t="s">
        <v>1020</v>
      </c>
      <c r="H354" s="1">
        <v>610077</v>
      </c>
      <c r="I354" s="1">
        <v>5</v>
      </c>
      <c r="J354" s="1" t="s">
        <v>462</v>
      </c>
      <c r="K354" s="1" t="s">
        <v>1029</v>
      </c>
      <c r="L354" s="1" t="s">
        <v>1030</v>
      </c>
      <c r="M354" s="1">
        <v>31</v>
      </c>
      <c r="N354" s="1" t="s">
        <v>1031</v>
      </c>
      <c r="O354" s="1">
        <v>41.8508</v>
      </c>
      <c r="P354" s="1">
        <v>-87.653300000000002</v>
      </c>
      <c r="Q354" s="1" t="s">
        <v>1023</v>
      </c>
      <c r="T354" s="1" t="s">
        <v>93</v>
      </c>
      <c r="U354" s="1" t="s">
        <v>94</v>
      </c>
      <c r="AA354" s="3">
        <v>25030</v>
      </c>
      <c r="AB354" s="1" t="s">
        <v>46</v>
      </c>
      <c r="AC354" s="5">
        <v>479.3</v>
      </c>
      <c r="AD354" s="1" t="s">
        <v>1035</v>
      </c>
      <c r="AE354" s="1" t="str">
        <f t="shared" si="27"/>
        <v>886 342</v>
      </c>
      <c r="AF354" s="5" t="str">
        <f t="shared" si="28"/>
        <v>22.8</v>
      </c>
      <c r="AG354" s="1" t="str">
        <f t="shared" si="26"/>
        <v/>
      </c>
    </row>
    <row r="355" spans="1:33" x14ac:dyDescent="0.2">
      <c r="A355" s="1" t="s">
        <v>458</v>
      </c>
      <c r="B355" s="1" t="s">
        <v>1036</v>
      </c>
      <c r="C355" s="1">
        <v>889</v>
      </c>
      <c r="D355" s="1">
        <v>1</v>
      </c>
      <c r="F355" s="1">
        <v>2023</v>
      </c>
      <c r="G355" s="1" t="s">
        <v>1005</v>
      </c>
      <c r="H355" s="1">
        <v>603383</v>
      </c>
      <c r="I355" s="1">
        <v>5</v>
      </c>
      <c r="J355" s="1" t="s">
        <v>462</v>
      </c>
      <c r="K355" s="1" t="s">
        <v>1037</v>
      </c>
      <c r="L355" s="1" t="s">
        <v>1038</v>
      </c>
      <c r="M355" s="1">
        <v>157</v>
      </c>
      <c r="N355" s="1" t="s">
        <v>39</v>
      </c>
      <c r="O355" s="1">
        <v>38.204999999999998</v>
      </c>
      <c r="P355" s="1">
        <v>-89.855000000000004</v>
      </c>
      <c r="Q355" s="1" t="s">
        <v>1039</v>
      </c>
      <c r="R355" s="1" t="s">
        <v>120</v>
      </c>
      <c r="S355" s="1" t="s">
        <v>85</v>
      </c>
      <c r="T355" s="1" t="s">
        <v>606</v>
      </c>
      <c r="U355" s="1" t="s">
        <v>55</v>
      </c>
      <c r="V355" s="1" t="s">
        <v>173</v>
      </c>
      <c r="W355" s="1" t="s">
        <v>212</v>
      </c>
      <c r="X355" s="1" t="s">
        <v>1010</v>
      </c>
      <c r="Y355" s="1" t="s">
        <v>123</v>
      </c>
      <c r="AA355" s="3">
        <v>25762</v>
      </c>
      <c r="AB355" s="1" t="s">
        <v>46</v>
      </c>
      <c r="AC355" s="5">
        <v>7000</v>
      </c>
      <c r="AD355" s="1" t="s">
        <v>1040</v>
      </c>
      <c r="AE355" s="1" t="str">
        <f t="shared" si="27"/>
        <v>889 1</v>
      </c>
      <c r="AF355" s="5" t="str">
        <f t="shared" si="28"/>
        <v>623.05</v>
      </c>
      <c r="AG355" s="1" t="str">
        <f t="shared" si="26"/>
        <v>Y</v>
      </c>
    </row>
    <row r="356" spans="1:33" x14ac:dyDescent="0.2">
      <c r="A356" s="1" t="s">
        <v>458</v>
      </c>
      <c r="B356" s="1" t="s">
        <v>1036</v>
      </c>
      <c r="C356" s="1">
        <v>889</v>
      </c>
      <c r="D356" s="1">
        <v>2</v>
      </c>
      <c r="F356" s="1">
        <v>2023</v>
      </c>
      <c r="G356" s="1" t="s">
        <v>1005</v>
      </c>
      <c r="H356" s="1">
        <v>603383</v>
      </c>
      <c r="I356" s="1">
        <v>5</v>
      </c>
      <c r="J356" s="1" t="s">
        <v>462</v>
      </c>
      <c r="K356" s="1" t="s">
        <v>1037</v>
      </c>
      <c r="L356" s="1" t="s">
        <v>1038</v>
      </c>
      <c r="M356" s="1">
        <v>157</v>
      </c>
      <c r="N356" s="1" t="s">
        <v>39</v>
      </c>
      <c r="O356" s="1">
        <v>38.204999999999998</v>
      </c>
      <c r="P356" s="1">
        <v>-89.855000000000004</v>
      </c>
      <c r="Q356" s="1" t="s">
        <v>1039</v>
      </c>
      <c r="R356" s="1" t="s">
        <v>120</v>
      </c>
      <c r="S356" s="1" t="s">
        <v>85</v>
      </c>
      <c r="T356" s="1" t="s">
        <v>606</v>
      </c>
      <c r="U356" s="1" t="s">
        <v>55</v>
      </c>
      <c r="V356" s="1" t="s">
        <v>173</v>
      </c>
      <c r="W356" s="1" t="s">
        <v>212</v>
      </c>
      <c r="X356" s="1" t="s">
        <v>1010</v>
      </c>
      <c r="Y356" s="1" t="s">
        <v>123</v>
      </c>
      <c r="AA356" s="3">
        <v>26805</v>
      </c>
      <c r="AB356" s="1" t="s">
        <v>46</v>
      </c>
      <c r="AC356" s="5">
        <v>6500</v>
      </c>
      <c r="AD356" s="1" t="s">
        <v>1041</v>
      </c>
      <c r="AE356" s="1" t="str">
        <f t="shared" si="27"/>
        <v>889 2</v>
      </c>
      <c r="AF356" s="5" t="str">
        <f t="shared" si="28"/>
        <v>634.5</v>
      </c>
      <c r="AG356" s="1" t="str">
        <f t="shared" si="26"/>
        <v>Y</v>
      </c>
    </row>
    <row r="357" spans="1:33" x14ac:dyDescent="0.2">
      <c r="A357" s="1" t="s">
        <v>458</v>
      </c>
      <c r="B357" s="1" t="s">
        <v>1042</v>
      </c>
      <c r="C357" s="1">
        <v>913</v>
      </c>
      <c r="D357" s="1" t="s">
        <v>1043</v>
      </c>
      <c r="F357" s="1">
        <v>2023</v>
      </c>
      <c r="G357" s="1" t="s">
        <v>461</v>
      </c>
      <c r="H357" s="1">
        <v>607655</v>
      </c>
      <c r="I357" s="1">
        <v>5</v>
      </c>
      <c r="J357" s="1" t="s">
        <v>462</v>
      </c>
      <c r="K357" s="1" t="s">
        <v>1044</v>
      </c>
      <c r="L357" s="1" t="s">
        <v>1045</v>
      </c>
      <c r="M357" s="1">
        <v>119</v>
      </c>
      <c r="N357" s="1" t="s">
        <v>39</v>
      </c>
      <c r="O357" s="1">
        <v>38.664200000000001</v>
      </c>
      <c r="P357" s="1">
        <v>-90.176400000000001</v>
      </c>
      <c r="Q357" s="1" t="s">
        <v>1046</v>
      </c>
      <c r="R357" s="1" t="s">
        <v>41</v>
      </c>
      <c r="T357" s="1" t="s">
        <v>93</v>
      </c>
      <c r="U357" s="1" t="s">
        <v>44</v>
      </c>
      <c r="X357" s="1" t="s">
        <v>183</v>
      </c>
      <c r="AA357" s="3">
        <v>38500</v>
      </c>
      <c r="AB357" s="1" t="s">
        <v>46</v>
      </c>
      <c r="AC357" s="5">
        <v>2121</v>
      </c>
      <c r="AD357" s="1" t="s">
        <v>1047</v>
      </c>
      <c r="AE357" s="1" t="str">
        <f t="shared" si="27"/>
        <v>913 CT03</v>
      </c>
      <c r="AF357" s="5" t="str">
        <f t="shared" si="28"/>
        <v>200</v>
      </c>
      <c r="AG357" s="1" t="str">
        <f t="shared" si="26"/>
        <v/>
      </c>
    </row>
    <row r="358" spans="1:33" x14ac:dyDescent="0.2">
      <c r="A358" s="1" t="s">
        <v>458</v>
      </c>
      <c r="B358" s="1" t="s">
        <v>1042</v>
      </c>
      <c r="C358" s="1">
        <v>913</v>
      </c>
      <c r="D358" s="1" t="s">
        <v>1048</v>
      </c>
      <c r="F358" s="1">
        <v>2023</v>
      </c>
      <c r="G358" s="1" t="s">
        <v>461</v>
      </c>
      <c r="H358" s="1">
        <v>607655</v>
      </c>
      <c r="I358" s="1">
        <v>5</v>
      </c>
      <c r="J358" s="1" t="s">
        <v>462</v>
      </c>
      <c r="K358" s="1" t="s">
        <v>1044</v>
      </c>
      <c r="L358" s="1" t="s">
        <v>1045</v>
      </c>
      <c r="M358" s="1">
        <v>119</v>
      </c>
      <c r="N358" s="1" t="s">
        <v>39</v>
      </c>
      <c r="O358" s="1">
        <v>38.664200000000001</v>
      </c>
      <c r="P358" s="1">
        <v>-90.176400000000001</v>
      </c>
      <c r="Q358" s="1" t="s">
        <v>1046</v>
      </c>
      <c r="R358" s="1" t="s">
        <v>41</v>
      </c>
      <c r="T358" s="1" t="s">
        <v>93</v>
      </c>
      <c r="U358" s="1" t="s">
        <v>44</v>
      </c>
      <c r="X358" s="1" t="s">
        <v>183</v>
      </c>
      <c r="AA358" s="3">
        <v>38496</v>
      </c>
      <c r="AB358" s="1" t="s">
        <v>46</v>
      </c>
      <c r="AC358" s="5">
        <v>2121</v>
      </c>
      <c r="AD358" s="1" t="s">
        <v>1049</v>
      </c>
      <c r="AE358" s="1" t="str">
        <f t="shared" si="27"/>
        <v>913 CT04</v>
      </c>
      <c r="AF358" s="5" t="str">
        <f t="shared" si="28"/>
        <v>200</v>
      </c>
      <c r="AG358" s="1" t="str">
        <f t="shared" si="26"/>
        <v/>
      </c>
    </row>
    <row r="359" spans="1:33" x14ac:dyDescent="0.2">
      <c r="A359" s="1" t="s">
        <v>458</v>
      </c>
      <c r="B359" s="1" t="s">
        <v>1042</v>
      </c>
      <c r="C359" s="1">
        <v>913</v>
      </c>
      <c r="D359" s="1" t="s">
        <v>1050</v>
      </c>
      <c r="F359" s="1">
        <v>2023</v>
      </c>
      <c r="G359" s="1" t="s">
        <v>461</v>
      </c>
      <c r="H359" s="1">
        <v>607655</v>
      </c>
      <c r="I359" s="1">
        <v>5</v>
      </c>
      <c r="J359" s="1" t="s">
        <v>462</v>
      </c>
      <c r="K359" s="1" t="s">
        <v>1044</v>
      </c>
      <c r="L359" s="1" t="s">
        <v>1045</v>
      </c>
      <c r="M359" s="1">
        <v>119</v>
      </c>
      <c r="N359" s="1" t="s">
        <v>39</v>
      </c>
      <c r="O359" s="1">
        <v>38.664200000000001</v>
      </c>
      <c r="P359" s="1">
        <v>-90.176400000000001</v>
      </c>
      <c r="Q359" s="1" t="s">
        <v>1046</v>
      </c>
      <c r="R359" s="1" t="s">
        <v>41</v>
      </c>
      <c r="T359" s="1" t="s">
        <v>93</v>
      </c>
      <c r="U359" s="1" t="s">
        <v>44</v>
      </c>
      <c r="X359" s="1" t="s">
        <v>183</v>
      </c>
      <c r="AA359" s="3">
        <v>38644</v>
      </c>
      <c r="AB359" s="1" t="s">
        <v>46</v>
      </c>
      <c r="AC359" s="5">
        <v>1524</v>
      </c>
      <c r="AD359" s="1" t="s">
        <v>1051</v>
      </c>
      <c r="AE359" s="1" t="str">
        <f t="shared" si="27"/>
        <v>913 CT05</v>
      </c>
      <c r="AF359" s="5" t="str">
        <f t="shared" si="28"/>
        <v>125</v>
      </c>
      <c r="AG359" s="1" t="str">
        <f t="shared" si="26"/>
        <v/>
      </c>
    </row>
    <row r="360" spans="1:33" x14ac:dyDescent="0.2">
      <c r="A360" s="1" t="s">
        <v>458</v>
      </c>
      <c r="B360" s="1" t="s">
        <v>1042</v>
      </c>
      <c r="C360" s="1">
        <v>913</v>
      </c>
      <c r="D360" s="1" t="s">
        <v>1052</v>
      </c>
      <c r="F360" s="1">
        <v>2023</v>
      </c>
      <c r="G360" s="1" t="s">
        <v>461</v>
      </c>
      <c r="H360" s="1">
        <v>607655</v>
      </c>
      <c r="I360" s="1">
        <v>5</v>
      </c>
      <c r="J360" s="1" t="s">
        <v>462</v>
      </c>
      <c r="K360" s="1" t="s">
        <v>1044</v>
      </c>
      <c r="L360" s="1" t="s">
        <v>1045</v>
      </c>
      <c r="M360" s="1">
        <v>119</v>
      </c>
      <c r="N360" s="1" t="s">
        <v>39</v>
      </c>
      <c r="O360" s="1">
        <v>38.664200000000001</v>
      </c>
      <c r="P360" s="1">
        <v>-90.176400000000001</v>
      </c>
      <c r="Q360" s="1" t="s">
        <v>1046</v>
      </c>
      <c r="R360" s="1" t="s">
        <v>41</v>
      </c>
      <c r="T360" s="1" t="s">
        <v>93</v>
      </c>
      <c r="U360" s="1" t="s">
        <v>44</v>
      </c>
      <c r="V360" s="1" t="s">
        <v>94</v>
      </c>
      <c r="X360" s="1" t="s">
        <v>95</v>
      </c>
      <c r="AA360" s="3">
        <v>37386</v>
      </c>
      <c r="AB360" s="1" t="s">
        <v>46</v>
      </c>
      <c r="AC360" s="5">
        <v>305</v>
      </c>
      <c r="AD360" s="1" t="s">
        <v>1053</v>
      </c>
      <c r="AE360" s="1" t="str">
        <f t="shared" si="27"/>
        <v>913 CT2A</v>
      </c>
      <c r="AF360" s="5" t="str">
        <f t="shared" si="28"/>
        <v>61</v>
      </c>
      <c r="AG360" s="1" t="str">
        <f t="shared" si="26"/>
        <v/>
      </c>
    </row>
    <row r="361" spans="1:33" x14ac:dyDescent="0.2">
      <c r="A361" s="1" t="s">
        <v>458</v>
      </c>
      <c r="B361" s="1" t="s">
        <v>1042</v>
      </c>
      <c r="C361" s="1">
        <v>913</v>
      </c>
      <c r="D361" s="1" t="s">
        <v>1054</v>
      </c>
      <c r="F361" s="1">
        <v>2023</v>
      </c>
      <c r="G361" s="1" t="s">
        <v>461</v>
      </c>
      <c r="H361" s="1">
        <v>607655</v>
      </c>
      <c r="I361" s="1">
        <v>5</v>
      </c>
      <c r="J361" s="1" t="s">
        <v>462</v>
      </c>
      <c r="K361" s="1" t="s">
        <v>1044</v>
      </c>
      <c r="L361" s="1" t="s">
        <v>1045</v>
      </c>
      <c r="M361" s="1">
        <v>119</v>
      </c>
      <c r="N361" s="1" t="s">
        <v>39</v>
      </c>
      <c r="O361" s="1">
        <v>38.664200000000001</v>
      </c>
      <c r="P361" s="1">
        <v>-90.176400000000001</v>
      </c>
      <c r="Q361" s="1" t="s">
        <v>1046</v>
      </c>
      <c r="R361" s="1" t="s">
        <v>41</v>
      </c>
      <c r="T361" s="1" t="s">
        <v>93</v>
      </c>
      <c r="U361" s="1" t="s">
        <v>44</v>
      </c>
      <c r="V361" s="1" t="s">
        <v>94</v>
      </c>
      <c r="X361" s="1" t="s">
        <v>95</v>
      </c>
      <c r="AA361" s="3">
        <v>37386</v>
      </c>
      <c r="AB361" s="1" t="s">
        <v>46</v>
      </c>
      <c r="AC361" s="5">
        <v>305</v>
      </c>
      <c r="AD361" s="1" t="s">
        <v>1053</v>
      </c>
      <c r="AE361" s="1" t="str">
        <f t="shared" si="27"/>
        <v>913 CT2B</v>
      </c>
      <c r="AF361" s="5" t="str">
        <f t="shared" si="28"/>
        <v>61</v>
      </c>
      <c r="AG361" s="1" t="str">
        <f t="shared" si="26"/>
        <v/>
      </c>
    </row>
    <row r="362" spans="1:33" x14ac:dyDescent="0.2">
      <c r="A362" s="1" t="s">
        <v>458</v>
      </c>
      <c r="B362" s="1" t="s">
        <v>1055</v>
      </c>
      <c r="C362" s="1">
        <v>963</v>
      </c>
      <c r="D362" s="1">
        <v>4</v>
      </c>
      <c r="F362" s="1">
        <v>2023</v>
      </c>
      <c r="G362" s="1" t="s">
        <v>1005</v>
      </c>
      <c r="H362" s="1">
        <v>602221</v>
      </c>
      <c r="I362" s="1">
        <v>5</v>
      </c>
      <c r="J362" s="1" t="s">
        <v>462</v>
      </c>
      <c r="K362" s="1" t="s">
        <v>1056</v>
      </c>
      <c r="L362" s="1" t="s">
        <v>1057</v>
      </c>
      <c r="M362" s="1">
        <v>167</v>
      </c>
      <c r="N362" s="1" t="s">
        <v>39</v>
      </c>
      <c r="O362" s="1">
        <v>39.753900000000002</v>
      </c>
      <c r="P362" s="1">
        <v>-89.601100000000002</v>
      </c>
      <c r="Q362" s="1" t="s">
        <v>1058</v>
      </c>
      <c r="R362" s="1" t="s">
        <v>41</v>
      </c>
      <c r="T362" s="1" t="s">
        <v>1059</v>
      </c>
      <c r="U362" s="1" t="s">
        <v>55</v>
      </c>
      <c r="V362" s="1" t="s">
        <v>44</v>
      </c>
      <c r="W362" s="1" t="s">
        <v>56</v>
      </c>
      <c r="X362" s="1" t="s">
        <v>223</v>
      </c>
      <c r="Y362" s="1" t="s">
        <v>123</v>
      </c>
      <c r="AA362" s="3">
        <v>39944</v>
      </c>
      <c r="AB362" s="1" t="s">
        <v>46</v>
      </c>
      <c r="AC362" s="5">
        <v>2291</v>
      </c>
      <c r="AD362" s="1" t="s">
        <v>1060</v>
      </c>
      <c r="AE362" s="1" t="str">
        <f t="shared" si="27"/>
        <v>963 4</v>
      </c>
      <c r="AF362" s="5" t="str">
        <f t="shared" si="28"/>
        <v>230.1</v>
      </c>
      <c r="AG362" s="1" t="str">
        <f t="shared" si="26"/>
        <v>Y</v>
      </c>
    </row>
    <row r="363" spans="1:33" x14ac:dyDescent="0.2">
      <c r="A363" s="1" t="s">
        <v>458</v>
      </c>
      <c r="B363" s="1" t="s">
        <v>1055</v>
      </c>
      <c r="C363" s="1">
        <v>963</v>
      </c>
      <c r="D363" s="1">
        <v>33</v>
      </c>
      <c r="F363" s="1">
        <v>2023</v>
      </c>
      <c r="G363" s="1" t="s">
        <v>1005</v>
      </c>
      <c r="H363" s="1">
        <v>602221</v>
      </c>
      <c r="I363" s="1">
        <v>5</v>
      </c>
      <c r="J363" s="1" t="s">
        <v>462</v>
      </c>
      <c r="K363" s="1" t="s">
        <v>1056</v>
      </c>
      <c r="L363" s="1" t="s">
        <v>1057</v>
      </c>
      <c r="M363" s="1">
        <v>167</v>
      </c>
      <c r="N363" s="1" t="s">
        <v>39</v>
      </c>
      <c r="O363" s="1">
        <v>39.753900000000002</v>
      </c>
      <c r="P363" s="1">
        <v>-89.601100000000002</v>
      </c>
      <c r="Q363" s="1" t="s">
        <v>1058</v>
      </c>
      <c r="R363" s="1" t="s">
        <v>41</v>
      </c>
      <c r="S363" s="1" t="s">
        <v>211</v>
      </c>
      <c r="T363" s="1" t="s">
        <v>43</v>
      </c>
      <c r="U363" s="1" t="s">
        <v>55</v>
      </c>
      <c r="W363" s="1" t="s">
        <v>56</v>
      </c>
      <c r="X363" s="1" t="s">
        <v>223</v>
      </c>
      <c r="Y363" s="1" t="s">
        <v>58</v>
      </c>
      <c r="AA363" s="3">
        <v>28652</v>
      </c>
      <c r="AB363" s="1" t="s">
        <v>46</v>
      </c>
      <c r="AC363" s="5">
        <v>1900</v>
      </c>
      <c r="AD363" s="1" t="s">
        <v>1061</v>
      </c>
      <c r="AE363" s="1" t="str">
        <f t="shared" si="27"/>
        <v>963 33</v>
      </c>
      <c r="AF363" s="5" t="str">
        <f t="shared" si="28"/>
        <v>207.4</v>
      </c>
      <c r="AG363" s="1" t="str">
        <f t="shared" si="26"/>
        <v>Y</v>
      </c>
    </row>
    <row r="364" spans="1:33" x14ac:dyDescent="0.2">
      <c r="A364" s="1" t="s">
        <v>458</v>
      </c>
      <c r="B364" s="1" t="s">
        <v>1062</v>
      </c>
      <c r="C364" s="1">
        <v>976</v>
      </c>
      <c r="D364" s="1">
        <v>5</v>
      </c>
      <c r="F364" s="1">
        <v>2023</v>
      </c>
      <c r="G364" s="1" t="s">
        <v>461</v>
      </c>
      <c r="H364" s="1">
        <v>1778</v>
      </c>
      <c r="I364" s="1">
        <v>5</v>
      </c>
      <c r="J364" s="1" t="s">
        <v>36</v>
      </c>
      <c r="K364" s="1" t="s">
        <v>1063</v>
      </c>
      <c r="L364" s="1" t="s">
        <v>1064</v>
      </c>
      <c r="M364" s="1">
        <v>199</v>
      </c>
      <c r="N364" s="1" t="s">
        <v>39</v>
      </c>
      <c r="O364" s="1">
        <v>37.620600000000003</v>
      </c>
      <c r="P364" s="1">
        <v>-88.954999999999998</v>
      </c>
      <c r="Q364" s="1" t="s">
        <v>1065</v>
      </c>
      <c r="R364" s="1" t="s">
        <v>41</v>
      </c>
      <c r="T364" s="1" t="s">
        <v>93</v>
      </c>
      <c r="U364" s="1" t="s">
        <v>44</v>
      </c>
      <c r="V364" s="1" t="s">
        <v>94</v>
      </c>
      <c r="X364" s="1" t="s">
        <v>183</v>
      </c>
      <c r="AA364" s="3">
        <v>37767</v>
      </c>
      <c r="AB364" s="1" t="s">
        <v>46</v>
      </c>
      <c r="AC364" s="5">
        <v>856</v>
      </c>
      <c r="AD364" s="1" t="s">
        <v>1066</v>
      </c>
      <c r="AE364" s="1" t="str">
        <f t="shared" si="27"/>
        <v>976 5</v>
      </c>
      <c r="AF364" s="5" t="str">
        <f t="shared" si="28"/>
        <v>83</v>
      </c>
      <c r="AG364" s="1" t="str">
        <f t="shared" si="26"/>
        <v/>
      </c>
    </row>
    <row r="365" spans="1:33" x14ac:dyDescent="0.2">
      <c r="A365" s="1" t="s">
        <v>458</v>
      </c>
      <c r="B365" s="1" t="s">
        <v>1062</v>
      </c>
      <c r="C365" s="1">
        <v>976</v>
      </c>
      <c r="D365" s="1">
        <v>6</v>
      </c>
      <c r="F365" s="1">
        <v>2023</v>
      </c>
      <c r="G365" s="1" t="s">
        <v>461</v>
      </c>
      <c r="H365" s="1">
        <v>1778</v>
      </c>
      <c r="I365" s="1">
        <v>5</v>
      </c>
      <c r="J365" s="1" t="s">
        <v>36</v>
      </c>
      <c r="K365" s="1" t="s">
        <v>1063</v>
      </c>
      <c r="L365" s="1" t="s">
        <v>1064</v>
      </c>
      <c r="M365" s="1">
        <v>199</v>
      </c>
      <c r="N365" s="1" t="s">
        <v>39</v>
      </c>
      <c r="O365" s="1">
        <v>37.620600000000003</v>
      </c>
      <c r="P365" s="1">
        <v>-88.954999999999998</v>
      </c>
      <c r="Q365" s="1" t="s">
        <v>1065</v>
      </c>
      <c r="R365" s="1" t="s">
        <v>41</v>
      </c>
      <c r="T365" s="1" t="s">
        <v>93</v>
      </c>
      <c r="U365" s="1" t="s">
        <v>44</v>
      </c>
      <c r="V365" s="1" t="s">
        <v>94</v>
      </c>
      <c r="X365" s="1" t="s">
        <v>183</v>
      </c>
      <c r="AA365" s="3">
        <v>37803</v>
      </c>
      <c r="AB365" s="1" t="s">
        <v>46</v>
      </c>
      <c r="AC365" s="5">
        <v>856</v>
      </c>
      <c r="AD365" s="1" t="s">
        <v>1067</v>
      </c>
      <c r="AE365" s="1" t="str">
        <f t="shared" si="27"/>
        <v>976 6</v>
      </c>
      <c r="AF365" s="5" t="str">
        <f t="shared" si="28"/>
        <v>83</v>
      </c>
      <c r="AG365" s="1" t="str">
        <f t="shared" si="26"/>
        <v/>
      </c>
    </row>
    <row r="366" spans="1:33" x14ac:dyDescent="0.2">
      <c r="A366" s="1" t="s">
        <v>458</v>
      </c>
      <c r="B366" s="1" t="s">
        <v>1062</v>
      </c>
      <c r="C366" s="1">
        <v>976</v>
      </c>
      <c r="D366" s="1">
        <v>123</v>
      </c>
      <c r="F366" s="1">
        <v>2023</v>
      </c>
      <c r="G366" s="1" t="s">
        <v>1005</v>
      </c>
      <c r="H366" s="1">
        <v>1778</v>
      </c>
      <c r="I366" s="1">
        <v>5</v>
      </c>
      <c r="J366" s="1" t="s">
        <v>36</v>
      </c>
      <c r="K366" s="1" t="s">
        <v>1063</v>
      </c>
      <c r="L366" s="1" t="s">
        <v>1064</v>
      </c>
      <c r="M366" s="1">
        <v>199</v>
      </c>
      <c r="N366" s="1" t="s">
        <v>39</v>
      </c>
      <c r="O366" s="1">
        <v>37.620600000000003</v>
      </c>
      <c r="P366" s="1">
        <v>-88.954999999999998</v>
      </c>
      <c r="Q366" s="1" t="s">
        <v>1065</v>
      </c>
      <c r="R366" s="1" t="s">
        <v>41</v>
      </c>
      <c r="T366" s="1" t="s">
        <v>885</v>
      </c>
      <c r="U366" s="1" t="s">
        <v>55</v>
      </c>
      <c r="V366" s="1" t="s">
        <v>1068</v>
      </c>
      <c r="W366" s="1" t="s">
        <v>1069</v>
      </c>
      <c r="X366" s="1" t="s">
        <v>669</v>
      </c>
      <c r="Y366" s="1" t="s">
        <v>232</v>
      </c>
      <c r="AA366" s="3">
        <v>37783</v>
      </c>
      <c r="AB366" s="1" t="s">
        <v>46</v>
      </c>
      <c r="AC366" s="5">
        <v>1805</v>
      </c>
      <c r="AD366" s="1" t="s">
        <v>1070</v>
      </c>
      <c r="AE366" s="1" t="str">
        <f t="shared" si="27"/>
        <v>976 123</v>
      </c>
      <c r="AF366" s="14">
        <f>MID(AD366,FIND("(",AD366)+1,FIND(")",AD366)-FIND("(",AD366)-1)+33+33</f>
        <v>99</v>
      </c>
      <c r="AG366" s="1" t="str">
        <f t="shared" si="26"/>
        <v>Y</v>
      </c>
    </row>
    <row r="367" spans="1:33" x14ac:dyDescent="0.2">
      <c r="A367" s="1" t="s">
        <v>1071</v>
      </c>
      <c r="B367" s="1" t="s">
        <v>1072</v>
      </c>
      <c r="C367" s="1">
        <v>983</v>
      </c>
      <c r="D367" s="1">
        <v>1</v>
      </c>
      <c r="E367" s="1" t="s">
        <v>1073</v>
      </c>
      <c r="F367" s="1">
        <v>2023</v>
      </c>
      <c r="G367" s="1" t="s">
        <v>1005</v>
      </c>
      <c r="H367" s="1">
        <v>606502</v>
      </c>
      <c r="I367" s="1">
        <v>5</v>
      </c>
      <c r="J367" s="1" t="s">
        <v>169</v>
      </c>
      <c r="K367" s="1" t="s">
        <v>1074</v>
      </c>
      <c r="L367" s="1" t="s">
        <v>1075</v>
      </c>
      <c r="M367" s="1">
        <v>77</v>
      </c>
      <c r="N367" s="1" t="s">
        <v>39</v>
      </c>
      <c r="O367" s="1">
        <v>38.738300000000002</v>
      </c>
      <c r="P367" s="1">
        <v>-85.419200000000004</v>
      </c>
      <c r="Q367" s="1" t="s">
        <v>1076</v>
      </c>
      <c r="R367" s="1" t="s">
        <v>120</v>
      </c>
      <c r="S367" s="1" t="s">
        <v>85</v>
      </c>
      <c r="T367" s="1" t="s">
        <v>1059</v>
      </c>
      <c r="U367" s="1" t="s">
        <v>55</v>
      </c>
      <c r="W367" s="1" t="s">
        <v>1077</v>
      </c>
      <c r="X367" s="1" t="s">
        <v>1010</v>
      </c>
      <c r="Y367" s="1" t="s">
        <v>331</v>
      </c>
      <c r="AA367" s="3">
        <v>20135</v>
      </c>
      <c r="AB367" s="1" t="s">
        <v>46</v>
      </c>
      <c r="AC367" s="5">
        <v>2800</v>
      </c>
      <c r="AD367" s="1" t="s">
        <v>1078</v>
      </c>
      <c r="AE367" s="1" t="str">
        <f t="shared" si="27"/>
        <v>983 1</v>
      </c>
      <c r="AF367" s="5" t="str">
        <f t="shared" ref="AF367:AF378" si="29">MID(AD367,FIND("(",AD367)+1,FIND(")",AD367)-FIND("(",AD367)-1)</f>
        <v>217.3</v>
      </c>
      <c r="AG367" s="1" t="str">
        <f t="shared" si="26"/>
        <v>Y</v>
      </c>
    </row>
    <row r="368" spans="1:33" x14ac:dyDescent="0.2">
      <c r="A368" s="1" t="s">
        <v>1071</v>
      </c>
      <c r="B368" s="1" t="s">
        <v>1072</v>
      </c>
      <c r="C368" s="1">
        <v>983</v>
      </c>
      <c r="D368" s="1">
        <v>2</v>
      </c>
      <c r="E368" s="1" t="s">
        <v>1073</v>
      </c>
      <c r="F368" s="1">
        <v>2023</v>
      </c>
      <c r="G368" s="1" t="s">
        <v>1005</v>
      </c>
      <c r="H368" s="1">
        <v>606502</v>
      </c>
      <c r="I368" s="1">
        <v>5</v>
      </c>
      <c r="J368" s="1" t="s">
        <v>169</v>
      </c>
      <c r="K368" s="1" t="s">
        <v>1074</v>
      </c>
      <c r="L368" s="1" t="s">
        <v>1075</v>
      </c>
      <c r="M368" s="1">
        <v>77</v>
      </c>
      <c r="N368" s="1" t="s">
        <v>39</v>
      </c>
      <c r="O368" s="1">
        <v>38.738300000000002</v>
      </c>
      <c r="P368" s="1">
        <v>-85.419200000000004</v>
      </c>
      <c r="Q368" s="1" t="s">
        <v>1076</v>
      </c>
      <c r="R368" s="1" t="s">
        <v>120</v>
      </c>
      <c r="S368" s="1" t="s">
        <v>85</v>
      </c>
      <c r="T368" s="1" t="s">
        <v>1059</v>
      </c>
      <c r="U368" s="1" t="s">
        <v>55</v>
      </c>
      <c r="W368" s="1" t="s">
        <v>1077</v>
      </c>
      <c r="X368" s="1" t="s">
        <v>1010</v>
      </c>
      <c r="Y368" s="1" t="s">
        <v>331</v>
      </c>
      <c r="AA368" s="3">
        <v>20210</v>
      </c>
      <c r="AB368" s="1" t="s">
        <v>46</v>
      </c>
      <c r="AC368" s="5">
        <v>2800</v>
      </c>
      <c r="AD368" s="1" t="s">
        <v>1079</v>
      </c>
      <c r="AE368" s="1" t="str">
        <f t="shared" si="27"/>
        <v>983 2</v>
      </c>
      <c r="AF368" s="5" t="str">
        <f t="shared" si="29"/>
        <v>217.3</v>
      </c>
      <c r="AG368" s="1" t="str">
        <f t="shared" si="26"/>
        <v>Y</v>
      </c>
    </row>
    <row r="369" spans="1:33" x14ac:dyDescent="0.2">
      <c r="A369" s="1" t="s">
        <v>1071</v>
      </c>
      <c r="B369" s="1" t="s">
        <v>1072</v>
      </c>
      <c r="C369" s="1">
        <v>983</v>
      </c>
      <c r="D369" s="1">
        <v>3</v>
      </c>
      <c r="E369" s="1" t="s">
        <v>1073</v>
      </c>
      <c r="F369" s="1">
        <v>2023</v>
      </c>
      <c r="G369" s="1" t="s">
        <v>1005</v>
      </c>
      <c r="H369" s="1">
        <v>606502</v>
      </c>
      <c r="I369" s="1">
        <v>5</v>
      </c>
      <c r="J369" s="1" t="s">
        <v>169</v>
      </c>
      <c r="K369" s="1" t="s">
        <v>1074</v>
      </c>
      <c r="L369" s="1" t="s">
        <v>1075</v>
      </c>
      <c r="M369" s="1">
        <v>77</v>
      </c>
      <c r="N369" s="1" t="s">
        <v>39</v>
      </c>
      <c r="O369" s="1">
        <v>38.738300000000002</v>
      </c>
      <c r="P369" s="1">
        <v>-85.419200000000004</v>
      </c>
      <c r="Q369" s="1" t="s">
        <v>1076</v>
      </c>
      <c r="R369" s="1" t="s">
        <v>120</v>
      </c>
      <c r="S369" s="1" t="s">
        <v>85</v>
      </c>
      <c r="T369" s="1" t="s">
        <v>1059</v>
      </c>
      <c r="U369" s="1" t="s">
        <v>55</v>
      </c>
      <c r="W369" s="1" t="s">
        <v>1077</v>
      </c>
      <c r="X369" s="1" t="s">
        <v>1010</v>
      </c>
      <c r="Y369" s="1" t="s">
        <v>331</v>
      </c>
      <c r="AA369" s="3">
        <v>20281</v>
      </c>
      <c r="AB369" s="1" t="s">
        <v>46</v>
      </c>
      <c r="AC369" s="5">
        <v>2800</v>
      </c>
      <c r="AD369" s="1" t="s">
        <v>1080</v>
      </c>
      <c r="AE369" s="1" t="str">
        <f t="shared" si="27"/>
        <v>983 3</v>
      </c>
      <c r="AF369" s="5" t="str">
        <f t="shared" si="29"/>
        <v>217.3</v>
      </c>
      <c r="AG369" s="1" t="str">
        <f t="shared" si="26"/>
        <v>Y</v>
      </c>
    </row>
    <row r="370" spans="1:33" x14ac:dyDescent="0.2">
      <c r="A370" s="1" t="s">
        <v>1071</v>
      </c>
      <c r="B370" s="1" t="s">
        <v>1072</v>
      </c>
      <c r="C370" s="1">
        <v>983</v>
      </c>
      <c r="D370" s="1">
        <v>4</v>
      </c>
      <c r="E370" s="1" t="s">
        <v>1081</v>
      </c>
      <c r="F370" s="1">
        <v>2023</v>
      </c>
      <c r="G370" s="1" t="s">
        <v>1005</v>
      </c>
      <c r="H370" s="1">
        <v>606502</v>
      </c>
      <c r="I370" s="1">
        <v>5</v>
      </c>
      <c r="J370" s="1" t="s">
        <v>169</v>
      </c>
      <c r="K370" s="1" t="s">
        <v>1074</v>
      </c>
      <c r="L370" s="1" t="s">
        <v>1075</v>
      </c>
      <c r="M370" s="1">
        <v>77</v>
      </c>
      <c r="N370" s="1" t="s">
        <v>39</v>
      </c>
      <c r="O370" s="1">
        <v>38.738300000000002</v>
      </c>
      <c r="P370" s="1">
        <v>-85.419200000000004</v>
      </c>
      <c r="Q370" s="1" t="s">
        <v>1076</v>
      </c>
      <c r="R370" s="1" t="s">
        <v>120</v>
      </c>
      <c r="S370" s="1" t="s">
        <v>85</v>
      </c>
      <c r="T370" s="1" t="s">
        <v>1059</v>
      </c>
      <c r="U370" s="1" t="s">
        <v>55</v>
      </c>
      <c r="W370" s="1" t="s">
        <v>1077</v>
      </c>
      <c r="X370" s="1" t="s">
        <v>1010</v>
      </c>
      <c r="Y370" s="1" t="s">
        <v>331</v>
      </c>
      <c r="AA370" s="3">
        <v>20386</v>
      </c>
      <c r="AB370" s="1" t="s">
        <v>46</v>
      </c>
      <c r="AC370" s="5">
        <v>2800</v>
      </c>
      <c r="AD370" s="1" t="s">
        <v>1082</v>
      </c>
      <c r="AE370" s="1" t="str">
        <f t="shared" si="27"/>
        <v>983 4</v>
      </c>
      <c r="AF370" s="5" t="str">
        <f t="shared" si="29"/>
        <v>217.3</v>
      </c>
      <c r="AG370" s="1" t="str">
        <f t="shared" si="26"/>
        <v>Y</v>
      </c>
    </row>
    <row r="371" spans="1:33" x14ac:dyDescent="0.2">
      <c r="A371" s="1" t="s">
        <v>1071</v>
      </c>
      <c r="B371" s="1" t="s">
        <v>1072</v>
      </c>
      <c r="C371" s="1">
        <v>983</v>
      </c>
      <c r="D371" s="1">
        <v>5</v>
      </c>
      <c r="E371" s="1" t="s">
        <v>1081</v>
      </c>
      <c r="F371" s="1">
        <v>2023</v>
      </c>
      <c r="G371" s="1" t="s">
        <v>1005</v>
      </c>
      <c r="H371" s="1">
        <v>606502</v>
      </c>
      <c r="I371" s="1">
        <v>5</v>
      </c>
      <c r="J371" s="1" t="s">
        <v>169</v>
      </c>
      <c r="K371" s="1" t="s">
        <v>1074</v>
      </c>
      <c r="L371" s="1" t="s">
        <v>1075</v>
      </c>
      <c r="M371" s="1">
        <v>77</v>
      </c>
      <c r="N371" s="1" t="s">
        <v>39</v>
      </c>
      <c r="O371" s="1">
        <v>38.738300000000002</v>
      </c>
      <c r="P371" s="1">
        <v>-85.419200000000004</v>
      </c>
      <c r="Q371" s="1" t="s">
        <v>1076</v>
      </c>
      <c r="R371" s="1" t="s">
        <v>120</v>
      </c>
      <c r="S371" s="1" t="s">
        <v>85</v>
      </c>
      <c r="T371" s="1" t="s">
        <v>1059</v>
      </c>
      <c r="U371" s="1" t="s">
        <v>55</v>
      </c>
      <c r="W371" s="1" t="s">
        <v>1077</v>
      </c>
      <c r="X371" s="1" t="s">
        <v>1010</v>
      </c>
      <c r="Y371" s="1" t="s">
        <v>331</v>
      </c>
      <c r="AA371" s="3">
        <v>20423</v>
      </c>
      <c r="AB371" s="1" t="s">
        <v>46</v>
      </c>
      <c r="AC371" s="5">
        <v>2800</v>
      </c>
      <c r="AD371" s="1" t="s">
        <v>1083</v>
      </c>
      <c r="AE371" s="1" t="str">
        <f t="shared" si="27"/>
        <v>983 5</v>
      </c>
      <c r="AF371" s="5" t="str">
        <f t="shared" si="29"/>
        <v>217.3</v>
      </c>
      <c r="AG371" s="1" t="str">
        <f t="shared" si="26"/>
        <v>Y</v>
      </c>
    </row>
    <row r="372" spans="1:33" x14ac:dyDescent="0.2">
      <c r="A372" s="1" t="s">
        <v>1071</v>
      </c>
      <c r="B372" s="1" t="s">
        <v>1072</v>
      </c>
      <c r="C372" s="1">
        <v>983</v>
      </c>
      <c r="D372" s="1">
        <v>6</v>
      </c>
      <c r="E372" s="1" t="s">
        <v>1081</v>
      </c>
      <c r="F372" s="1">
        <v>2023</v>
      </c>
      <c r="G372" s="1" t="s">
        <v>1005</v>
      </c>
      <c r="H372" s="1">
        <v>606502</v>
      </c>
      <c r="I372" s="1">
        <v>5</v>
      </c>
      <c r="J372" s="1" t="s">
        <v>169</v>
      </c>
      <c r="K372" s="1" t="s">
        <v>1074</v>
      </c>
      <c r="L372" s="1" t="s">
        <v>1075</v>
      </c>
      <c r="M372" s="1">
        <v>77</v>
      </c>
      <c r="N372" s="1" t="s">
        <v>39</v>
      </c>
      <c r="O372" s="1">
        <v>38.738300000000002</v>
      </c>
      <c r="P372" s="1">
        <v>-85.419200000000004</v>
      </c>
      <c r="Q372" s="1" t="s">
        <v>1076</v>
      </c>
      <c r="R372" s="1" t="s">
        <v>120</v>
      </c>
      <c r="S372" s="1" t="s">
        <v>85</v>
      </c>
      <c r="T372" s="1" t="s">
        <v>1059</v>
      </c>
      <c r="U372" s="1" t="s">
        <v>55</v>
      </c>
      <c r="W372" s="1" t="s">
        <v>1077</v>
      </c>
      <c r="X372" s="1" t="s">
        <v>220</v>
      </c>
      <c r="Y372" s="1" t="s">
        <v>331</v>
      </c>
      <c r="AA372" s="3">
        <v>20527</v>
      </c>
      <c r="AB372" s="1" t="s">
        <v>46</v>
      </c>
      <c r="AC372" s="5">
        <v>2800</v>
      </c>
      <c r="AD372" s="1" t="s">
        <v>1084</v>
      </c>
      <c r="AE372" s="1" t="str">
        <f t="shared" si="27"/>
        <v>983 6</v>
      </c>
      <c r="AF372" s="5" t="str">
        <f t="shared" si="29"/>
        <v>217.3</v>
      </c>
      <c r="AG372" s="1" t="str">
        <f t="shared" si="26"/>
        <v/>
      </c>
    </row>
    <row r="373" spans="1:33" x14ac:dyDescent="0.2">
      <c r="A373" s="1" t="s">
        <v>1071</v>
      </c>
      <c r="B373" s="1" t="s">
        <v>1085</v>
      </c>
      <c r="C373" s="1">
        <v>990</v>
      </c>
      <c r="D373" s="1">
        <v>50</v>
      </c>
      <c r="F373" s="1">
        <v>2023</v>
      </c>
      <c r="G373" s="1" t="s">
        <v>461</v>
      </c>
      <c r="H373" s="1" t="s">
        <v>1086</v>
      </c>
      <c r="I373" s="1">
        <v>5</v>
      </c>
      <c r="J373" s="1" t="s">
        <v>169</v>
      </c>
      <c r="K373" s="1" t="s">
        <v>1087</v>
      </c>
      <c r="L373" s="1" t="s">
        <v>1088</v>
      </c>
      <c r="M373" s="1">
        <v>97</v>
      </c>
      <c r="N373" s="1" t="s">
        <v>39</v>
      </c>
      <c r="O373" s="1">
        <v>39.7119</v>
      </c>
      <c r="P373" s="1">
        <v>-86.197500000000005</v>
      </c>
      <c r="Q373" s="1" t="s">
        <v>1089</v>
      </c>
      <c r="R373" s="1" t="s">
        <v>120</v>
      </c>
      <c r="S373" s="1" t="s">
        <v>121</v>
      </c>
      <c r="T373" s="1" t="s">
        <v>43</v>
      </c>
      <c r="U373" s="1" t="s">
        <v>44</v>
      </c>
      <c r="X373" s="1" t="s">
        <v>1090</v>
      </c>
      <c r="AA373" s="3">
        <v>21306</v>
      </c>
      <c r="AB373" s="1" t="s">
        <v>46</v>
      </c>
      <c r="AC373" s="5">
        <v>1162</v>
      </c>
      <c r="AD373" s="1" t="s">
        <v>1091</v>
      </c>
      <c r="AE373" s="1" t="str">
        <f t="shared" si="27"/>
        <v>990 50</v>
      </c>
      <c r="AF373" s="5" t="str">
        <f t="shared" si="29"/>
        <v>113.6</v>
      </c>
      <c r="AG373" s="1" t="str">
        <f t="shared" si="26"/>
        <v/>
      </c>
    </row>
    <row r="374" spans="1:33" x14ac:dyDescent="0.2">
      <c r="A374" s="1" t="s">
        <v>1071</v>
      </c>
      <c r="B374" s="1" t="s">
        <v>1085</v>
      </c>
      <c r="C374" s="1">
        <v>990</v>
      </c>
      <c r="D374" s="1">
        <v>60</v>
      </c>
      <c r="F374" s="1">
        <v>2023</v>
      </c>
      <c r="G374" s="1" t="s">
        <v>461</v>
      </c>
      <c r="H374" s="1" t="s">
        <v>1086</v>
      </c>
      <c r="I374" s="1">
        <v>5</v>
      </c>
      <c r="J374" s="1" t="s">
        <v>169</v>
      </c>
      <c r="K374" s="1" t="s">
        <v>1087</v>
      </c>
      <c r="L374" s="1" t="s">
        <v>1088</v>
      </c>
      <c r="M374" s="1">
        <v>97</v>
      </c>
      <c r="N374" s="1" t="s">
        <v>39</v>
      </c>
      <c r="O374" s="1">
        <v>39.7119</v>
      </c>
      <c r="P374" s="1">
        <v>-86.197500000000005</v>
      </c>
      <c r="Q374" s="1" t="s">
        <v>1089</v>
      </c>
      <c r="R374" s="1" t="s">
        <v>120</v>
      </c>
      <c r="S374" s="1" t="s">
        <v>121</v>
      </c>
      <c r="T374" s="1" t="s">
        <v>43</v>
      </c>
      <c r="U374" s="1" t="s">
        <v>44</v>
      </c>
      <c r="X374" s="1" t="s">
        <v>1090</v>
      </c>
      <c r="AA374" s="3">
        <v>22372</v>
      </c>
      <c r="AB374" s="1" t="s">
        <v>46</v>
      </c>
      <c r="AC374" s="5">
        <v>1162</v>
      </c>
      <c r="AD374" s="1" t="s">
        <v>1092</v>
      </c>
      <c r="AE374" s="1" t="str">
        <f t="shared" si="27"/>
        <v>990 60</v>
      </c>
      <c r="AF374" s="5" t="str">
        <f t="shared" si="29"/>
        <v>113.6</v>
      </c>
      <c r="AG374" s="1" t="str">
        <f t="shared" si="26"/>
        <v/>
      </c>
    </row>
    <row r="375" spans="1:33" x14ac:dyDescent="0.2">
      <c r="A375" s="1" t="s">
        <v>1071</v>
      </c>
      <c r="B375" s="1" t="s">
        <v>1085</v>
      </c>
      <c r="C375" s="1">
        <v>990</v>
      </c>
      <c r="D375" s="1">
        <v>70</v>
      </c>
      <c r="F375" s="1">
        <v>2023</v>
      </c>
      <c r="G375" s="1" t="s">
        <v>461</v>
      </c>
      <c r="H375" s="1" t="s">
        <v>1086</v>
      </c>
      <c r="I375" s="1">
        <v>5</v>
      </c>
      <c r="J375" s="1" t="s">
        <v>169</v>
      </c>
      <c r="K375" s="1" t="s">
        <v>1087</v>
      </c>
      <c r="L375" s="1" t="s">
        <v>1088</v>
      </c>
      <c r="M375" s="1">
        <v>97</v>
      </c>
      <c r="N375" s="1" t="s">
        <v>39</v>
      </c>
      <c r="O375" s="1">
        <v>39.7119</v>
      </c>
      <c r="P375" s="1">
        <v>-86.197500000000005</v>
      </c>
      <c r="Q375" s="1" t="s">
        <v>1089</v>
      </c>
      <c r="R375" s="1" t="s">
        <v>120</v>
      </c>
      <c r="S375" s="1" t="s">
        <v>121</v>
      </c>
      <c r="T375" s="1" t="s">
        <v>43</v>
      </c>
      <c r="U375" s="1" t="s">
        <v>44</v>
      </c>
      <c r="W375" s="1" t="s">
        <v>56</v>
      </c>
      <c r="X375" s="1" t="s">
        <v>1093</v>
      </c>
      <c r="AA375" s="3">
        <v>26846</v>
      </c>
      <c r="AB375" s="1" t="s">
        <v>46</v>
      </c>
      <c r="AC375" s="5">
        <v>4360</v>
      </c>
      <c r="AD375" s="1" t="s">
        <v>1094</v>
      </c>
      <c r="AE375" s="1" t="str">
        <f t="shared" si="27"/>
        <v>990 70</v>
      </c>
      <c r="AF375" s="5" t="str">
        <f t="shared" si="29"/>
        <v>470.9</v>
      </c>
      <c r="AG375" s="1" t="str">
        <f t="shared" si="26"/>
        <v>Y</v>
      </c>
    </row>
    <row r="376" spans="1:33" x14ac:dyDescent="0.2">
      <c r="A376" s="1" t="s">
        <v>1071</v>
      </c>
      <c r="B376" s="1" t="s">
        <v>1085</v>
      </c>
      <c r="C376" s="1">
        <v>990</v>
      </c>
      <c r="D376" s="1" t="s">
        <v>251</v>
      </c>
      <c r="F376" s="1">
        <v>2023</v>
      </c>
      <c r="G376" s="1" t="s">
        <v>461</v>
      </c>
      <c r="H376" s="1" t="s">
        <v>1086</v>
      </c>
      <c r="I376" s="1">
        <v>5</v>
      </c>
      <c r="J376" s="1" t="s">
        <v>169</v>
      </c>
      <c r="K376" s="1" t="s">
        <v>1087</v>
      </c>
      <c r="L376" s="1" t="s">
        <v>1088</v>
      </c>
      <c r="M376" s="1">
        <v>97</v>
      </c>
      <c r="N376" s="1" t="s">
        <v>39</v>
      </c>
      <c r="O376" s="1">
        <v>39.7119</v>
      </c>
      <c r="P376" s="1">
        <v>-86.197500000000005</v>
      </c>
      <c r="Q376" s="1" t="s">
        <v>1089</v>
      </c>
      <c r="R376" s="1" t="s">
        <v>41</v>
      </c>
      <c r="T376" s="1" t="s">
        <v>93</v>
      </c>
      <c r="U376" s="1" t="s">
        <v>44</v>
      </c>
      <c r="V376" s="1" t="s">
        <v>94</v>
      </c>
      <c r="X376" s="1" t="s">
        <v>95</v>
      </c>
      <c r="AA376" s="3">
        <v>34408</v>
      </c>
      <c r="AB376" s="1" t="s">
        <v>46</v>
      </c>
      <c r="AC376" s="5">
        <v>1124</v>
      </c>
      <c r="AD376" s="1" t="s">
        <v>104</v>
      </c>
      <c r="AE376" s="1" t="str">
        <f t="shared" si="27"/>
        <v>990 GT4</v>
      </c>
      <c r="AF376" s="5" t="str">
        <f t="shared" si="29"/>
        <v>80</v>
      </c>
      <c r="AG376" s="1" t="str">
        <f t="shared" si="26"/>
        <v/>
      </c>
    </row>
    <row r="377" spans="1:33" x14ac:dyDescent="0.2">
      <c r="A377" s="1" t="s">
        <v>1071</v>
      </c>
      <c r="B377" s="1" t="s">
        <v>1085</v>
      </c>
      <c r="C377" s="1">
        <v>990</v>
      </c>
      <c r="D377" s="1" t="s">
        <v>253</v>
      </c>
      <c r="F377" s="1">
        <v>2023</v>
      </c>
      <c r="G377" s="1" t="s">
        <v>461</v>
      </c>
      <c r="H377" s="1" t="s">
        <v>1086</v>
      </c>
      <c r="I377" s="1">
        <v>5</v>
      </c>
      <c r="J377" s="1" t="s">
        <v>169</v>
      </c>
      <c r="K377" s="1" t="s">
        <v>1087</v>
      </c>
      <c r="L377" s="1" t="s">
        <v>1088</v>
      </c>
      <c r="M377" s="1">
        <v>97</v>
      </c>
      <c r="N377" s="1" t="s">
        <v>39</v>
      </c>
      <c r="O377" s="1">
        <v>39.7119</v>
      </c>
      <c r="P377" s="1">
        <v>-86.197500000000005</v>
      </c>
      <c r="Q377" s="1" t="s">
        <v>1089</v>
      </c>
      <c r="R377" s="1" t="s">
        <v>41</v>
      </c>
      <c r="T377" s="1" t="s">
        <v>93</v>
      </c>
      <c r="U377" s="1" t="s">
        <v>44</v>
      </c>
      <c r="V377" s="1" t="s">
        <v>94</v>
      </c>
      <c r="X377" s="1" t="s">
        <v>95</v>
      </c>
      <c r="AA377" s="3">
        <v>34656</v>
      </c>
      <c r="AB377" s="1" t="s">
        <v>46</v>
      </c>
      <c r="AC377" s="5">
        <v>1124</v>
      </c>
      <c r="AD377" s="1" t="s">
        <v>106</v>
      </c>
      <c r="AE377" s="1" t="str">
        <f t="shared" si="27"/>
        <v>990 GT5</v>
      </c>
      <c r="AF377" s="5" t="str">
        <f t="shared" si="29"/>
        <v>80</v>
      </c>
      <c r="AG377" s="1" t="str">
        <f t="shared" si="26"/>
        <v/>
      </c>
    </row>
    <row r="378" spans="1:33" x14ac:dyDescent="0.2">
      <c r="A378" s="1" t="s">
        <v>1071</v>
      </c>
      <c r="B378" s="1" t="s">
        <v>1085</v>
      </c>
      <c r="C378" s="1">
        <v>990</v>
      </c>
      <c r="D378" s="1" t="s">
        <v>255</v>
      </c>
      <c r="F378" s="1">
        <v>2023</v>
      </c>
      <c r="G378" s="1" t="s">
        <v>461</v>
      </c>
      <c r="H378" s="1" t="s">
        <v>1086</v>
      </c>
      <c r="I378" s="1">
        <v>5</v>
      </c>
      <c r="J378" s="1" t="s">
        <v>169</v>
      </c>
      <c r="K378" s="1" t="s">
        <v>1087</v>
      </c>
      <c r="L378" s="1" t="s">
        <v>1088</v>
      </c>
      <c r="M378" s="1">
        <v>97</v>
      </c>
      <c r="N378" s="1" t="s">
        <v>39</v>
      </c>
      <c r="O378" s="1">
        <v>39.7119</v>
      </c>
      <c r="P378" s="1">
        <v>-86.197500000000005</v>
      </c>
      <c r="Q378" s="1" t="s">
        <v>1089</v>
      </c>
      <c r="R378" s="1" t="s">
        <v>41</v>
      </c>
      <c r="T378" s="1" t="s">
        <v>93</v>
      </c>
      <c r="U378" s="1" t="s">
        <v>44</v>
      </c>
      <c r="X378" s="1" t="s">
        <v>140</v>
      </c>
      <c r="AA378" s="3">
        <v>37386</v>
      </c>
      <c r="AB378" s="1" t="s">
        <v>46</v>
      </c>
      <c r="AC378" s="5">
        <v>2000</v>
      </c>
      <c r="AD378" s="1" t="s">
        <v>1095</v>
      </c>
      <c r="AE378" s="1" t="str">
        <f t="shared" si="27"/>
        <v>990 GT6</v>
      </c>
      <c r="AF378" s="5" t="str">
        <f t="shared" si="29"/>
        <v>201</v>
      </c>
      <c r="AG378" s="1" t="str">
        <f t="shared" si="26"/>
        <v/>
      </c>
    </row>
    <row r="379" spans="1:33" x14ac:dyDescent="0.2">
      <c r="A379" s="1" t="s">
        <v>1071</v>
      </c>
      <c r="B379" s="1" t="s">
        <v>1096</v>
      </c>
      <c r="C379" s="1">
        <v>991</v>
      </c>
      <c r="D379" s="1" t="s">
        <v>280</v>
      </c>
      <c r="F379" s="1">
        <v>2023</v>
      </c>
      <c r="G379" s="1" t="s">
        <v>461</v>
      </c>
      <c r="H379" s="1" t="s">
        <v>1097</v>
      </c>
      <c r="I379" s="1">
        <v>5</v>
      </c>
      <c r="J379" s="1" t="s">
        <v>169</v>
      </c>
      <c r="K379" s="1" t="s">
        <v>1098</v>
      </c>
      <c r="L379" s="1" t="s">
        <v>1099</v>
      </c>
      <c r="M379" s="1">
        <v>109</v>
      </c>
      <c r="N379" s="1" t="s">
        <v>39</v>
      </c>
      <c r="O379" s="1">
        <v>39.485100000000003</v>
      </c>
      <c r="P379" s="1">
        <v>-86.417599999999993</v>
      </c>
      <c r="Q379" s="1" t="s">
        <v>1100</v>
      </c>
      <c r="R379" s="1" t="s">
        <v>41</v>
      </c>
      <c r="T379" s="1" t="s">
        <v>71</v>
      </c>
      <c r="U379" s="1" t="s">
        <v>44</v>
      </c>
      <c r="X379" s="1" t="s">
        <v>64</v>
      </c>
      <c r="AA379" s="3">
        <v>43040</v>
      </c>
      <c r="AB379" s="1" t="s">
        <v>46</v>
      </c>
      <c r="AC379" s="5">
        <v>2542</v>
      </c>
      <c r="AD379" s="1" t="s">
        <v>1101</v>
      </c>
      <c r="AE379" s="1" t="str">
        <f t="shared" si="27"/>
        <v>991 GT1</v>
      </c>
      <c r="AF379" s="14">
        <f>MID(AD379,FIND("(",AD379)+1,FIND(")",AD379)-FIND("(",AD379)-1)+230/2</f>
        <v>322</v>
      </c>
      <c r="AG379" s="1" t="str">
        <f t="shared" si="26"/>
        <v>Y</v>
      </c>
    </row>
    <row r="380" spans="1:33" x14ac:dyDescent="0.2">
      <c r="A380" s="1" t="s">
        <v>1071</v>
      </c>
      <c r="B380" s="1" t="s">
        <v>1096</v>
      </c>
      <c r="C380" s="1">
        <v>991</v>
      </c>
      <c r="D380" s="1" t="s">
        <v>1102</v>
      </c>
      <c r="F380" s="1">
        <v>2023</v>
      </c>
      <c r="G380" s="1" t="s">
        <v>461</v>
      </c>
      <c r="H380" s="1" t="s">
        <v>1097</v>
      </c>
      <c r="I380" s="1">
        <v>5</v>
      </c>
      <c r="J380" s="1" t="s">
        <v>169</v>
      </c>
      <c r="K380" s="1" t="s">
        <v>1098</v>
      </c>
      <c r="L380" s="1" t="s">
        <v>1099</v>
      </c>
      <c r="M380" s="1">
        <v>109</v>
      </c>
      <c r="N380" s="1" t="s">
        <v>39</v>
      </c>
      <c r="O380" s="1">
        <v>39.485100000000003</v>
      </c>
      <c r="P380" s="1">
        <v>-86.417599999999993</v>
      </c>
      <c r="Q380" s="1" t="s">
        <v>1100</v>
      </c>
      <c r="R380" s="1" t="s">
        <v>41</v>
      </c>
      <c r="T380" s="1" t="s">
        <v>71</v>
      </c>
      <c r="U380" s="1" t="s">
        <v>44</v>
      </c>
      <c r="X380" s="1" t="s">
        <v>64</v>
      </c>
      <c r="AA380" s="3">
        <v>43052</v>
      </c>
      <c r="AB380" s="1" t="s">
        <v>46</v>
      </c>
      <c r="AC380" s="5">
        <v>2542</v>
      </c>
      <c r="AD380" s="1" t="s">
        <v>1103</v>
      </c>
      <c r="AE380" s="1" t="str">
        <f t="shared" si="27"/>
        <v>991 GT2</v>
      </c>
      <c r="AF380" s="14">
        <f>AF379</f>
        <v>322</v>
      </c>
      <c r="AG380" s="1" t="str">
        <f t="shared" si="26"/>
        <v>Y</v>
      </c>
    </row>
    <row r="381" spans="1:33" x14ac:dyDescent="0.2">
      <c r="A381" s="1" t="s">
        <v>1071</v>
      </c>
      <c r="B381" s="1" t="s">
        <v>1104</v>
      </c>
      <c r="C381" s="1">
        <v>994</v>
      </c>
      <c r="D381" s="1">
        <v>2</v>
      </c>
      <c r="E381" s="1" t="s">
        <v>1105</v>
      </c>
      <c r="F381" s="1">
        <v>2023</v>
      </c>
      <c r="G381" s="1" t="s">
        <v>1005</v>
      </c>
      <c r="H381" s="1">
        <v>2413</v>
      </c>
      <c r="I381" s="1">
        <v>5</v>
      </c>
      <c r="J381" s="1" t="s">
        <v>169</v>
      </c>
      <c r="K381" s="1" t="s">
        <v>1106</v>
      </c>
      <c r="L381" s="1" t="s">
        <v>1107</v>
      </c>
      <c r="M381" s="1">
        <v>125</v>
      </c>
      <c r="N381" s="1" t="s">
        <v>39</v>
      </c>
      <c r="O381" s="1">
        <v>38.526699999999998</v>
      </c>
      <c r="P381" s="1">
        <v>-87.252499999999998</v>
      </c>
      <c r="Q381" s="1" t="s">
        <v>1089</v>
      </c>
      <c r="R381" s="1" t="s">
        <v>120</v>
      </c>
      <c r="S381" s="1" t="s">
        <v>121</v>
      </c>
      <c r="T381" s="1" t="s">
        <v>43</v>
      </c>
      <c r="U381" s="1" t="s">
        <v>55</v>
      </c>
      <c r="W381" s="1" t="s">
        <v>1108</v>
      </c>
      <c r="X381" s="1" t="s">
        <v>301</v>
      </c>
      <c r="Y381" s="1" t="s">
        <v>232</v>
      </c>
      <c r="Z381" s="1" t="s">
        <v>1109</v>
      </c>
      <c r="AA381" s="3">
        <v>25538</v>
      </c>
      <c r="AB381" s="1" t="s">
        <v>1110</v>
      </c>
      <c r="AC381" s="5">
        <v>4144</v>
      </c>
      <c r="AD381" s="1" t="s">
        <v>1111</v>
      </c>
      <c r="AE381" s="1" t="str">
        <f t="shared" si="27"/>
        <v>994 2</v>
      </c>
      <c r="AF381" s="5" t="str">
        <f t="shared" ref="AF381:AF387" si="30">MID(AD381,FIND("(",AD381)+1,FIND(")",AD381)-FIND("(",AD381)-1)</f>
        <v>471</v>
      </c>
      <c r="AG381" s="1" t="str">
        <f t="shared" si="26"/>
        <v>Y</v>
      </c>
    </row>
    <row r="382" spans="1:33" x14ac:dyDescent="0.2">
      <c r="A382" s="1" t="s">
        <v>1071</v>
      </c>
      <c r="B382" s="1" t="s">
        <v>1104</v>
      </c>
      <c r="C382" s="1">
        <v>994</v>
      </c>
      <c r="D382" s="1">
        <v>3</v>
      </c>
      <c r="F382" s="1">
        <v>2023</v>
      </c>
      <c r="G382" s="1" t="s">
        <v>1005</v>
      </c>
      <c r="H382" s="1">
        <v>2413</v>
      </c>
      <c r="I382" s="1">
        <v>5</v>
      </c>
      <c r="J382" s="1" t="s">
        <v>169</v>
      </c>
      <c r="K382" s="1" t="s">
        <v>1106</v>
      </c>
      <c r="L382" s="1" t="s">
        <v>1107</v>
      </c>
      <c r="M382" s="1">
        <v>125</v>
      </c>
      <c r="N382" s="1" t="s">
        <v>39</v>
      </c>
      <c r="O382" s="1">
        <v>38.526699999999998</v>
      </c>
      <c r="P382" s="1">
        <v>-87.252499999999998</v>
      </c>
      <c r="Q382" s="1" t="s">
        <v>1089</v>
      </c>
      <c r="R382" s="1" t="s">
        <v>41</v>
      </c>
      <c r="S382" s="1" t="s">
        <v>121</v>
      </c>
      <c r="T382" s="1" t="s">
        <v>43</v>
      </c>
      <c r="U382" s="1" t="s">
        <v>55</v>
      </c>
      <c r="W382" s="1" t="s">
        <v>56</v>
      </c>
      <c r="X382" s="1" t="s">
        <v>299</v>
      </c>
      <c r="Y382" s="1" t="s">
        <v>123</v>
      </c>
      <c r="Z382" s="1" t="s">
        <v>1112</v>
      </c>
      <c r="AA382" s="3">
        <v>28430</v>
      </c>
      <c r="AB382" s="1" t="s">
        <v>46</v>
      </c>
      <c r="AC382" s="5">
        <v>5540</v>
      </c>
      <c r="AD382" s="1" t="s">
        <v>1113</v>
      </c>
      <c r="AE382" s="1" t="str">
        <f t="shared" si="27"/>
        <v>994 3</v>
      </c>
      <c r="AF382" s="5" t="str">
        <f t="shared" si="30"/>
        <v>574.4</v>
      </c>
      <c r="AG382" s="1" t="str">
        <f t="shared" si="26"/>
        <v>Y</v>
      </c>
    </row>
    <row r="383" spans="1:33" x14ac:dyDescent="0.2">
      <c r="A383" s="1" t="s">
        <v>1071</v>
      </c>
      <c r="B383" s="1" t="s">
        <v>1104</v>
      </c>
      <c r="C383" s="1">
        <v>994</v>
      </c>
      <c r="D383" s="1">
        <v>4</v>
      </c>
      <c r="F383" s="1">
        <v>2023</v>
      </c>
      <c r="G383" s="1" t="s">
        <v>1005</v>
      </c>
      <c r="H383" s="1">
        <v>2413</v>
      </c>
      <c r="I383" s="1">
        <v>5</v>
      </c>
      <c r="J383" s="1" t="s">
        <v>169</v>
      </c>
      <c r="K383" s="1" t="s">
        <v>1106</v>
      </c>
      <c r="L383" s="1" t="s">
        <v>1107</v>
      </c>
      <c r="M383" s="1">
        <v>125</v>
      </c>
      <c r="N383" s="1" t="s">
        <v>39</v>
      </c>
      <c r="O383" s="1">
        <v>38.526699999999998</v>
      </c>
      <c r="P383" s="1">
        <v>-87.252499999999998</v>
      </c>
      <c r="Q383" s="1" t="s">
        <v>1089</v>
      </c>
      <c r="R383" s="1" t="s">
        <v>41</v>
      </c>
      <c r="S383" s="1" t="s">
        <v>121</v>
      </c>
      <c r="T383" s="1" t="s">
        <v>43</v>
      </c>
      <c r="U383" s="1" t="s">
        <v>55</v>
      </c>
      <c r="W383" s="1" t="s">
        <v>56</v>
      </c>
      <c r="X383" s="1" t="s">
        <v>1114</v>
      </c>
      <c r="Y383" s="1" t="s">
        <v>58</v>
      </c>
      <c r="Z383" s="1" t="s">
        <v>1112</v>
      </c>
      <c r="AA383" s="3">
        <v>31503</v>
      </c>
      <c r="AB383" s="1" t="s">
        <v>46</v>
      </c>
      <c r="AC383" s="5">
        <v>5550</v>
      </c>
      <c r="AD383" s="1" t="s">
        <v>1115</v>
      </c>
      <c r="AE383" s="1" t="str">
        <f t="shared" si="27"/>
        <v>994 4</v>
      </c>
      <c r="AF383" s="5" t="str">
        <f t="shared" si="30"/>
        <v>574.2</v>
      </c>
      <c r="AG383" s="1" t="str">
        <f t="shared" si="26"/>
        <v/>
      </c>
    </row>
    <row r="384" spans="1:33" x14ac:dyDescent="0.2">
      <c r="A384" s="1" t="s">
        <v>1071</v>
      </c>
      <c r="B384" s="1" t="s">
        <v>1116</v>
      </c>
      <c r="C384" s="1">
        <v>997</v>
      </c>
      <c r="D384" s="1">
        <v>12</v>
      </c>
      <c r="F384" s="1">
        <v>2023</v>
      </c>
      <c r="G384" s="1" t="s">
        <v>1005</v>
      </c>
      <c r="H384" s="1">
        <v>609545</v>
      </c>
      <c r="I384" s="1">
        <v>5</v>
      </c>
      <c r="J384" s="1" t="s">
        <v>169</v>
      </c>
      <c r="K384" s="1" t="s">
        <v>1117</v>
      </c>
      <c r="L384" s="1" t="s">
        <v>1118</v>
      </c>
      <c r="M384" s="1">
        <v>91</v>
      </c>
      <c r="N384" s="1" t="s">
        <v>39</v>
      </c>
      <c r="O384" s="1">
        <v>41.720300000000002</v>
      </c>
      <c r="P384" s="1">
        <v>-86.909700000000001</v>
      </c>
      <c r="Q384" s="1" t="s">
        <v>1119</v>
      </c>
      <c r="R384" s="1" t="s">
        <v>120</v>
      </c>
      <c r="S384" s="1" t="s">
        <v>85</v>
      </c>
      <c r="T384" s="1" t="s">
        <v>606</v>
      </c>
      <c r="U384" s="1" t="s">
        <v>55</v>
      </c>
      <c r="W384" s="1" t="s">
        <v>212</v>
      </c>
      <c r="X384" s="1" t="s">
        <v>1010</v>
      </c>
      <c r="Y384" s="1" t="s">
        <v>58</v>
      </c>
      <c r="AA384" s="3">
        <v>27180</v>
      </c>
      <c r="AB384" s="1" t="s">
        <v>46</v>
      </c>
      <c r="AC384" s="5">
        <v>5200</v>
      </c>
      <c r="AD384" s="1" t="s">
        <v>1120</v>
      </c>
      <c r="AE384" s="1" t="str">
        <f t="shared" si="27"/>
        <v>997 12</v>
      </c>
      <c r="AF384" s="5" t="str">
        <f t="shared" si="30"/>
        <v>540</v>
      </c>
      <c r="AG384" s="1" t="str">
        <f t="shared" si="26"/>
        <v>Y</v>
      </c>
    </row>
    <row r="385" spans="1:33" x14ac:dyDescent="0.2">
      <c r="A385" s="1" t="s">
        <v>1071</v>
      </c>
      <c r="B385" s="1" t="s">
        <v>1121</v>
      </c>
      <c r="C385" s="1">
        <v>1001</v>
      </c>
      <c r="D385" s="1">
        <v>1</v>
      </c>
      <c r="F385" s="1">
        <v>2023</v>
      </c>
      <c r="G385" s="1" t="s">
        <v>1005</v>
      </c>
      <c r="H385" s="1">
        <v>609289</v>
      </c>
      <c r="I385" s="1">
        <v>5</v>
      </c>
      <c r="J385" s="1" t="s">
        <v>169</v>
      </c>
      <c r="K385" s="1" t="s">
        <v>1122</v>
      </c>
      <c r="L385" s="1" t="s">
        <v>1123</v>
      </c>
      <c r="M385" s="1">
        <v>165</v>
      </c>
      <c r="N385" s="1" t="s">
        <v>39</v>
      </c>
      <c r="O385" s="1">
        <v>39.923900000000003</v>
      </c>
      <c r="P385" s="1">
        <v>-87.427199999999999</v>
      </c>
      <c r="Q385" s="1" t="s">
        <v>1124</v>
      </c>
      <c r="R385" s="1" t="s">
        <v>120</v>
      </c>
      <c r="S385" s="1" t="s">
        <v>121</v>
      </c>
      <c r="T385" s="1" t="s">
        <v>43</v>
      </c>
      <c r="U385" s="1" t="s">
        <v>55</v>
      </c>
      <c r="V385" s="1" t="s">
        <v>94</v>
      </c>
      <c r="W385" s="1" t="s">
        <v>56</v>
      </c>
      <c r="X385" s="1" t="s">
        <v>57</v>
      </c>
      <c r="Y385" s="1" t="s">
        <v>800</v>
      </c>
      <c r="Z385" s="1" t="s">
        <v>59</v>
      </c>
      <c r="AA385" s="3">
        <v>25845</v>
      </c>
      <c r="AB385" s="1" t="s">
        <v>46</v>
      </c>
      <c r="AC385" s="5">
        <v>5980</v>
      </c>
      <c r="AD385" s="1" t="s">
        <v>1125</v>
      </c>
      <c r="AE385" s="1" t="str">
        <f t="shared" si="27"/>
        <v>1001 1</v>
      </c>
      <c r="AF385" s="5" t="str">
        <f t="shared" si="30"/>
        <v>531</v>
      </c>
      <c r="AG385" s="1" t="str">
        <f t="shared" si="26"/>
        <v>Y</v>
      </c>
    </row>
    <row r="386" spans="1:33" x14ac:dyDescent="0.2">
      <c r="A386" s="1" t="s">
        <v>1071</v>
      </c>
      <c r="B386" s="1" t="s">
        <v>1121</v>
      </c>
      <c r="C386" s="1">
        <v>1001</v>
      </c>
      <c r="D386" s="1">
        <v>2</v>
      </c>
      <c r="F386" s="1">
        <v>2023</v>
      </c>
      <c r="G386" s="1" t="s">
        <v>1005</v>
      </c>
      <c r="H386" s="1">
        <v>609289</v>
      </c>
      <c r="I386" s="1">
        <v>5</v>
      </c>
      <c r="J386" s="1" t="s">
        <v>169</v>
      </c>
      <c r="K386" s="1" t="s">
        <v>1122</v>
      </c>
      <c r="L386" s="1" t="s">
        <v>1123</v>
      </c>
      <c r="M386" s="1">
        <v>165</v>
      </c>
      <c r="N386" s="1" t="s">
        <v>39</v>
      </c>
      <c r="O386" s="1">
        <v>39.923900000000003</v>
      </c>
      <c r="P386" s="1">
        <v>-87.427199999999999</v>
      </c>
      <c r="Q386" s="1" t="s">
        <v>1124</v>
      </c>
      <c r="R386" s="1" t="s">
        <v>120</v>
      </c>
      <c r="S386" s="1" t="s">
        <v>121</v>
      </c>
      <c r="T386" s="1" t="s">
        <v>43</v>
      </c>
      <c r="U386" s="1" t="s">
        <v>55</v>
      </c>
      <c r="V386" s="1" t="s">
        <v>94</v>
      </c>
      <c r="W386" s="1" t="s">
        <v>56</v>
      </c>
      <c r="X386" s="1" t="s">
        <v>57</v>
      </c>
      <c r="Y386" s="1" t="s">
        <v>800</v>
      </c>
      <c r="Z386" s="1" t="s">
        <v>59</v>
      </c>
      <c r="AA386" s="3">
        <v>26472</v>
      </c>
      <c r="AB386" s="1" t="s">
        <v>46</v>
      </c>
      <c r="AC386" s="5">
        <v>5800</v>
      </c>
      <c r="AD386" s="1" t="s">
        <v>1126</v>
      </c>
      <c r="AE386" s="1" t="str">
        <f t="shared" si="27"/>
        <v>1001 2</v>
      </c>
      <c r="AF386" s="5" t="str">
        <f t="shared" si="30"/>
        <v>531</v>
      </c>
      <c r="AG386" s="1" t="str">
        <f t="shared" ref="AG386:AG449" si="31">IF(ISNUMBER(SEARCH("selective", X386)), "Y", "")</f>
        <v>Y</v>
      </c>
    </row>
    <row r="387" spans="1:33" x14ac:dyDescent="0.2">
      <c r="A387" s="1" t="s">
        <v>1071</v>
      </c>
      <c r="B387" s="1" t="s">
        <v>1121</v>
      </c>
      <c r="C387" s="1">
        <v>1001</v>
      </c>
      <c r="D387" s="1">
        <v>4</v>
      </c>
      <c r="F387" s="1">
        <v>2023</v>
      </c>
      <c r="G387" s="1" t="s">
        <v>461</v>
      </c>
      <c r="H387" s="1">
        <v>609289</v>
      </c>
      <c r="I387" s="1">
        <v>5</v>
      </c>
      <c r="J387" s="1" t="s">
        <v>169</v>
      </c>
      <c r="K387" s="1" t="s">
        <v>1122</v>
      </c>
      <c r="L387" s="1" t="s">
        <v>1123</v>
      </c>
      <c r="M387" s="1">
        <v>165</v>
      </c>
      <c r="N387" s="1" t="s">
        <v>39</v>
      </c>
      <c r="O387" s="1">
        <v>39.923900000000003</v>
      </c>
      <c r="P387" s="1">
        <v>-87.427199999999999</v>
      </c>
      <c r="Q387" s="1" t="s">
        <v>1124</v>
      </c>
      <c r="R387" s="1" t="s">
        <v>41</v>
      </c>
      <c r="T387" s="1" t="s">
        <v>93</v>
      </c>
      <c r="U387" s="1" t="s">
        <v>44</v>
      </c>
      <c r="V387" s="1" t="s">
        <v>94</v>
      </c>
      <c r="X387" s="1" t="s">
        <v>140</v>
      </c>
      <c r="AA387" s="3">
        <v>34149</v>
      </c>
      <c r="AB387" s="1" t="s">
        <v>46</v>
      </c>
      <c r="AC387" s="5">
        <v>1370</v>
      </c>
      <c r="AD387" s="1" t="s">
        <v>1127</v>
      </c>
      <c r="AE387" s="1" t="str">
        <f t="shared" ref="AE387:AE450" si="32">C387&amp;" "&amp;D387</f>
        <v>1001 4</v>
      </c>
      <c r="AF387" s="5" t="str">
        <f t="shared" si="30"/>
        <v>121</v>
      </c>
      <c r="AG387" s="1" t="str">
        <f t="shared" si="31"/>
        <v/>
      </c>
    </row>
    <row r="388" spans="1:33" x14ac:dyDescent="0.2">
      <c r="A388" s="1" t="s">
        <v>1071</v>
      </c>
      <c r="B388" s="1" t="s">
        <v>1128</v>
      </c>
      <c r="C388" s="1">
        <v>1004</v>
      </c>
      <c r="D388" s="1" t="s">
        <v>1129</v>
      </c>
      <c r="F388" s="1">
        <v>2023</v>
      </c>
      <c r="G388" s="1" t="s">
        <v>1005</v>
      </c>
      <c r="H388" s="1">
        <v>609289</v>
      </c>
      <c r="I388" s="1">
        <v>5</v>
      </c>
      <c r="J388" s="1" t="s">
        <v>169</v>
      </c>
      <c r="K388" s="1" t="s">
        <v>1130</v>
      </c>
      <c r="L388" s="1" t="s">
        <v>1131</v>
      </c>
      <c r="M388" s="1">
        <v>83</v>
      </c>
      <c r="N388" s="1" t="s">
        <v>39</v>
      </c>
      <c r="O388" s="1">
        <v>38.806699999999999</v>
      </c>
      <c r="P388" s="1">
        <v>-87.247200000000007</v>
      </c>
      <c r="Q388" s="1" t="s">
        <v>1124</v>
      </c>
      <c r="R388" s="1" t="s">
        <v>41</v>
      </c>
      <c r="T388" s="1" t="s">
        <v>1132</v>
      </c>
      <c r="U388" s="1" t="s">
        <v>55</v>
      </c>
      <c r="V388" s="1" t="s">
        <v>44</v>
      </c>
      <c r="X388" s="1" t="s">
        <v>1133</v>
      </c>
      <c r="AA388" s="3">
        <v>40998</v>
      </c>
      <c r="AB388" s="1" t="s">
        <v>46</v>
      </c>
      <c r="AC388" s="5">
        <v>3200</v>
      </c>
      <c r="AD388" s="1" t="s">
        <v>1134</v>
      </c>
      <c r="AE388" s="1" t="str">
        <f t="shared" si="32"/>
        <v>1004 CTG1</v>
      </c>
      <c r="AF388" s="14">
        <f>AF389</f>
        <v>394.95</v>
      </c>
      <c r="AG388" s="1" t="str">
        <f t="shared" si="31"/>
        <v>Y</v>
      </c>
    </row>
    <row r="389" spans="1:33" x14ac:dyDescent="0.2">
      <c r="A389" s="1" t="s">
        <v>1071</v>
      </c>
      <c r="B389" s="1" t="s">
        <v>1128</v>
      </c>
      <c r="C389" s="1">
        <v>1004</v>
      </c>
      <c r="D389" s="1" t="s">
        <v>1135</v>
      </c>
      <c r="F389" s="1">
        <v>2023</v>
      </c>
      <c r="G389" s="1" t="s">
        <v>1005</v>
      </c>
      <c r="H389" s="1">
        <v>609289</v>
      </c>
      <c r="I389" s="1">
        <v>5</v>
      </c>
      <c r="J389" s="1" t="s">
        <v>169</v>
      </c>
      <c r="K389" s="1" t="s">
        <v>1130</v>
      </c>
      <c r="L389" s="1" t="s">
        <v>1131</v>
      </c>
      <c r="M389" s="1">
        <v>83</v>
      </c>
      <c r="N389" s="1" t="s">
        <v>39</v>
      </c>
      <c r="O389" s="1">
        <v>38.806699999999999</v>
      </c>
      <c r="P389" s="1">
        <v>-87.247200000000007</v>
      </c>
      <c r="Q389" s="1" t="s">
        <v>1124</v>
      </c>
      <c r="R389" s="1" t="s">
        <v>41</v>
      </c>
      <c r="T389" s="1" t="s">
        <v>1132</v>
      </c>
      <c r="U389" s="1" t="s">
        <v>55</v>
      </c>
      <c r="V389" s="1" t="s">
        <v>44</v>
      </c>
      <c r="X389" s="1" t="s">
        <v>223</v>
      </c>
      <c r="AA389" s="3">
        <v>41047</v>
      </c>
      <c r="AB389" s="1" t="s">
        <v>46</v>
      </c>
      <c r="AC389" s="5">
        <v>3200</v>
      </c>
      <c r="AD389" s="1" t="s">
        <v>1136</v>
      </c>
      <c r="AE389" s="1" t="str">
        <f t="shared" si="32"/>
        <v>1004 CTG2</v>
      </c>
      <c r="AF389" s="14">
        <f>MID(AD389,FIND("(",AD389)+1,FIND(")",AD389)-FIND("(",AD389)-1)+321.9/2</f>
        <v>394.95</v>
      </c>
      <c r="AG389" s="1" t="str">
        <f t="shared" si="31"/>
        <v>Y</v>
      </c>
    </row>
    <row r="390" spans="1:33" x14ac:dyDescent="0.2">
      <c r="A390" s="1" t="s">
        <v>1071</v>
      </c>
      <c r="B390" s="1" t="s">
        <v>1137</v>
      </c>
      <c r="C390" s="1">
        <v>1007</v>
      </c>
      <c r="D390" s="1" t="s">
        <v>101</v>
      </c>
      <c r="F390" s="1">
        <v>2023</v>
      </c>
      <c r="G390" s="1" t="s">
        <v>461</v>
      </c>
      <c r="H390" s="1">
        <v>609289</v>
      </c>
      <c r="I390" s="1">
        <v>5</v>
      </c>
      <c r="J390" s="1" t="s">
        <v>169</v>
      </c>
      <c r="K390" s="1" t="s">
        <v>1138</v>
      </c>
      <c r="L390" s="1" t="s">
        <v>1139</v>
      </c>
      <c r="M390" s="1">
        <v>57</v>
      </c>
      <c r="N390" s="1" t="s">
        <v>39</v>
      </c>
      <c r="O390" s="1">
        <v>40.096899999999998</v>
      </c>
      <c r="P390" s="1">
        <v>-85.971400000000003</v>
      </c>
      <c r="Q390" s="1" t="s">
        <v>1124</v>
      </c>
      <c r="R390" s="1" t="s">
        <v>41</v>
      </c>
      <c r="T390" s="1" t="s">
        <v>71</v>
      </c>
      <c r="U390" s="1" t="s">
        <v>44</v>
      </c>
      <c r="X390" s="1" t="s">
        <v>64</v>
      </c>
      <c r="AA390" s="3">
        <v>37728</v>
      </c>
      <c r="AB390" s="1" t="s">
        <v>46</v>
      </c>
      <c r="AC390" s="5">
        <v>833.9</v>
      </c>
      <c r="AD390" s="1" t="s">
        <v>1140</v>
      </c>
      <c r="AE390" s="1" t="str">
        <f t="shared" si="32"/>
        <v>1007 CT3</v>
      </c>
      <c r="AF390" s="14">
        <f>MID(AD390,FIND("(",AD390)+1,FIND(")",AD390)-FIND("(",AD390)-1)+50/3+50/3</f>
        <v>109.33333333333334</v>
      </c>
      <c r="AG390" s="1" t="str">
        <f t="shared" si="31"/>
        <v>Y</v>
      </c>
    </row>
    <row r="391" spans="1:33" x14ac:dyDescent="0.2">
      <c r="A391" s="1" t="s">
        <v>1071</v>
      </c>
      <c r="B391" s="1" t="s">
        <v>1137</v>
      </c>
      <c r="C391" s="1">
        <v>1007</v>
      </c>
      <c r="D391" s="1" t="s">
        <v>103</v>
      </c>
      <c r="F391" s="1">
        <v>2023</v>
      </c>
      <c r="G391" s="1" t="s">
        <v>461</v>
      </c>
      <c r="H391" s="1">
        <v>609289</v>
      </c>
      <c r="I391" s="1">
        <v>5</v>
      </c>
      <c r="J391" s="1" t="s">
        <v>169</v>
      </c>
      <c r="K391" s="1" t="s">
        <v>1138</v>
      </c>
      <c r="L391" s="1" t="s">
        <v>1139</v>
      </c>
      <c r="M391" s="1">
        <v>57</v>
      </c>
      <c r="N391" s="1" t="s">
        <v>39</v>
      </c>
      <c r="O391" s="1">
        <v>40.096899999999998</v>
      </c>
      <c r="P391" s="1">
        <v>-85.971400000000003</v>
      </c>
      <c r="Q391" s="1" t="s">
        <v>1124</v>
      </c>
      <c r="R391" s="1" t="s">
        <v>41</v>
      </c>
      <c r="T391" s="1" t="s">
        <v>71</v>
      </c>
      <c r="U391" s="1" t="s">
        <v>44</v>
      </c>
      <c r="X391" s="1" t="s">
        <v>64</v>
      </c>
      <c r="AA391" s="3">
        <v>37735</v>
      </c>
      <c r="AB391" s="1" t="s">
        <v>46</v>
      </c>
      <c r="AC391" s="5">
        <v>833.9</v>
      </c>
      <c r="AD391" s="1" t="s">
        <v>1141</v>
      </c>
      <c r="AE391" s="1" t="str">
        <f t="shared" si="32"/>
        <v>1007 CT4</v>
      </c>
      <c r="AF391" s="14">
        <f>AF390</f>
        <v>109.33333333333334</v>
      </c>
      <c r="AG391" s="1" t="str">
        <f t="shared" si="31"/>
        <v>Y</v>
      </c>
    </row>
    <row r="392" spans="1:33" x14ac:dyDescent="0.2">
      <c r="A392" s="1" t="s">
        <v>1071</v>
      </c>
      <c r="B392" s="1" t="s">
        <v>1137</v>
      </c>
      <c r="C392" s="1">
        <v>1007</v>
      </c>
      <c r="D392" s="1" t="s">
        <v>105</v>
      </c>
      <c r="F392" s="1">
        <v>2023</v>
      </c>
      <c r="G392" s="1" t="s">
        <v>461</v>
      </c>
      <c r="H392" s="1">
        <v>609289</v>
      </c>
      <c r="I392" s="1">
        <v>5</v>
      </c>
      <c r="J392" s="1" t="s">
        <v>169</v>
      </c>
      <c r="K392" s="1" t="s">
        <v>1138</v>
      </c>
      <c r="L392" s="1" t="s">
        <v>1139</v>
      </c>
      <c r="M392" s="1">
        <v>57</v>
      </c>
      <c r="N392" s="1" t="s">
        <v>39</v>
      </c>
      <c r="O392" s="1">
        <v>40.096899999999998</v>
      </c>
      <c r="P392" s="1">
        <v>-85.971400000000003</v>
      </c>
      <c r="Q392" s="1" t="s">
        <v>1124</v>
      </c>
      <c r="R392" s="1" t="s">
        <v>41</v>
      </c>
      <c r="T392" s="1" t="s">
        <v>71</v>
      </c>
      <c r="U392" s="1" t="s">
        <v>44</v>
      </c>
      <c r="X392" s="1" t="s">
        <v>64</v>
      </c>
      <c r="AA392" s="3">
        <v>37752</v>
      </c>
      <c r="AB392" s="1" t="s">
        <v>46</v>
      </c>
      <c r="AC392" s="5">
        <v>833.9</v>
      </c>
      <c r="AD392" s="1" t="s">
        <v>1142</v>
      </c>
      <c r="AE392" s="1" t="str">
        <f t="shared" si="32"/>
        <v>1007 CT5</v>
      </c>
      <c r="AF392" s="14">
        <f>AF390</f>
        <v>109.33333333333334</v>
      </c>
      <c r="AG392" s="1" t="str">
        <f t="shared" si="31"/>
        <v>Y</v>
      </c>
    </row>
    <row r="393" spans="1:33" x14ac:dyDescent="0.2">
      <c r="A393" s="1" t="s">
        <v>1071</v>
      </c>
      <c r="B393" s="1" t="s">
        <v>1143</v>
      </c>
      <c r="C393" s="1">
        <v>1012</v>
      </c>
      <c r="D393" s="1">
        <v>2</v>
      </c>
      <c r="E393" s="1" t="s">
        <v>1144</v>
      </c>
      <c r="F393" s="1">
        <v>2023</v>
      </c>
      <c r="G393" s="1" t="s">
        <v>1005</v>
      </c>
      <c r="H393" s="1" t="s">
        <v>1145</v>
      </c>
      <c r="I393" s="1">
        <v>5</v>
      </c>
      <c r="J393" s="1" t="s">
        <v>169</v>
      </c>
      <c r="K393" s="1" t="s">
        <v>1146</v>
      </c>
      <c r="L393" s="1" t="s">
        <v>1147</v>
      </c>
      <c r="M393" s="1">
        <v>173</v>
      </c>
      <c r="N393" s="1" t="s">
        <v>39</v>
      </c>
      <c r="O393" s="1">
        <v>37.909999999999997</v>
      </c>
      <c r="P393" s="1">
        <v>-87.326700000000002</v>
      </c>
      <c r="Q393" s="1" t="s">
        <v>1148</v>
      </c>
      <c r="R393" s="1" t="s">
        <v>120</v>
      </c>
      <c r="S393" s="1" t="s">
        <v>121</v>
      </c>
      <c r="T393" s="1" t="s">
        <v>89</v>
      </c>
      <c r="U393" s="1" t="s">
        <v>55</v>
      </c>
      <c r="W393" s="1" t="s">
        <v>56</v>
      </c>
      <c r="X393" s="1" t="s">
        <v>639</v>
      </c>
      <c r="Y393" s="1" t="s">
        <v>58</v>
      </c>
      <c r="AA393" s="3">
        <v>24442</v>
      </c>
      <c r="AB393" s="1" t="s">
        <v>46</v>
      </c>
      <c r="AC393" s="5">
        <v>2735.2</v>
      </c>
      <c r="AD393" s="1" t="s">
        <v>1149</v>
      </c>
      <c r="AE393" s="1" t="str">
        <f t="shared" si="32"/>
        <v>1012 2</v>
      </c>
      <c r="AF393" s="5" t="str">
        <f>MID(AD393,FIND("(",AD393)+1,FIND(")",AD393)-FIND("(",AD393)-1)</f>
        <v>100</v>
      </c>
      <c r="AG393" s="1" t="str">
        <f t="shared" si="31"/>
        <v>Y</v>
      </c>
    </row>
    <row r="394" spans="1:33" x14ac:dyDescent="0.2">
      <c r="A394" s="1" t="s">
        <v>1071</v>
      </c>
      <c r="B394" s="1" t="s">
        <v>1143</v>
      </c>
      <c r="C394" s="1">
        <v>1012</v>
      </c>
      <c r="D394" s="1">
        <v>3</v>
      </c>
      <c r="E394" s="1" t="s">
        <v>1150</v>
      </c>
      <c r="F394" s="1">
        <v>2023</v>
      </c>
      <c r="G394" s="1" t="s">
        <v>1005</v>
      </c>
      <c r="H394" s="1" t="s">
        <v>1145</v>
      </c>
      <c r="I394" s="1">
        <v>5</v>
      </c>
      <c r="J394" s="1" t="s">
        <v>169</v>
      </c>
      <c r="K394" s="1" t="s">
        <v>1146</v>
      </c>
      <c r="L394" s="1" t="s">
        <v>1147</v>
      </c>
      <c r="M394" s="1">
        <v>173</v>
      </c>
      <c r="N394" s="1" t="s">
        <v>39</v>
      </c>
      <c r="O394" s="1">
        <v>37.909999999999997</v>
      </c>
      <c r="P394" s="1">
        <v>-87.326700000000002</v>
      </c>
      <c r="Q394" s="1" t="s">
        <v>1148</v>
      </c>
      <c r="R394" s="1" t="s">
        <v>120</v>
      </c>
      <c r="S394" s="1" t="s">
        <v>121</v>
      </c>
      <c r="T394" s="1" t="s">
        <v>89</v>
      </c>
      <c r="U394" s="1" t="s">
        <v>55</v>
      </c>
      <c r="W394" s="1" t="s">
        <v>56</v>
      </c>
      <c r="X394" s="1" t="s">
        <v>639</v>
      </c>
      <c r="Y394" s="1" t="s">
        <v>232</v>
      </c>
      <c r="Z394" s="1" t="s">
        <v>1151</v>
      </c>
      <c r="AA394" s="3">
        <v>26755</v>
      </c>
      <c r="AB394" s="1" t="s">
        <v>46</v>
      </c>
      <c r="AC394" s="5">
        <v>3781</v>
      </c>
      <c r="AD394" s="1" t="s">
        <v>1152</v>
      </c>
      <c r="AE394" s="1" t="str">
        <f t="shared" si="32"/>
        <v>1012 3</v>
      </c>
      <c r="AF394" s="5" t="str">
        <f>MID(AD394,FIND("(",AD394)+1,FIND(")",AD394)-FIND("(",AD394)-1)</f>
        <v>289</v>
      </c>
      <c r="AG394" s="1" t="str">
        <f t="shared" si="31"/>
        <v>Y</v>
      </c>
    </row>
    <row r="395" spans="1:33" x14ac:dyDescent="0.2">
      <c r="A395" s="1" t="s">
        <v>1153</v>
      </c>
      <c r="B395" s="1" t="s">
        <v>1154</v>
      </c>
      <c r="C395" s="1">
        <v>1016</v>
      </c>
      <c r="D395" s="1" t="s">
        <v>1155</v>
      </c>
      <c r="E395" s="1" t="s">
        <v>1156</v>
      </c>
      <c r="F395" s="1">
        <v>2023</v>
      </c>
      <c r="G395" s="1" t="s">
        <v>1157</v>
      </c>
      <c r="H395" s="1">
        <v>606504</v>
      </c>
      <c r="I395" s="1">
        <v>4</v>
      </c>
      <c r="J395" s="1" t="s">
        <v>36</v>
      </c>
      <c r="K395" s="1" t="s">
        <v>1158</v>
      </c>
      <c r="L395" s="1" t="s">
        <v>1159</v>
      </c>
      <c r="M395" s="1">
        <v>51</v>
      </c>
      <c r="N395" s="1" t="s">
        <v>39</v>
      </c>
      <c r="O395" s="1">
        <v>35.098599999999998</v>
      </c>
      <c r="P395" s="1">
        <v>-78.829400000000007</v>
      </c>
      <c r="Q395" s="1" t="s">
        <v>1160</v>
      </c>
      <c r="T395" s="1" t="s">
        <v>71</v>
      </c>
      <c r="U395" s="1" t="s">
        <v>44</v>
      </c>
      <c r="V395" s="1" t="s">
        <v>94</v>
      </c>
      <c r="X395" s="1" t="s">
        <v>95</v>
      </c>
      <c r="AA395" s="3">
        <v>28095</v>
      </c>
      <c r="AB395" s="1" t="s">
        <v>46</v>
      </c>
      <c r="AC395" s="5">
        <v>341.1</v>
      </c>
      <c r="AD395" s="1" t="s">
        <v>1161</v>
      </c>
      <c r="AE395" s="1" t="str">
        <f t="shared" si="32"/>
        <v>1016 GT-1</v>
      </c>
      <c r="AF395" s="14">
        <f>MID(AD395,FIND("(",AD395)+1,FIND(")",AD395)-FIND("(",AD395)-1)+73/6</f>
        <v>40.966666666666669</v>
      </c>
      <c r="AG395" s="1" t="str">
        <f t="shared" si="31"/>
        <v/>
      </c>
    </row>
    <row r="396" spans="1:33" x14ac:dyDescent="0.2">
      <c r="A396" s="1" t="s">
        <v>1153</v>
      </c>
      <c r="B396" s="1" t="s">
        <v>1154</v>
      </c>
      <c r="C396" s="1">
        <v>1016</v>
      </c>
      <c r="D396" s="1" t="s">
        <v>1162</v>
      </c>
      <c r="E396" s="1" t="s">
        <v>1156</v>
      </c>
      <c r="F396" s="1">
        <v>2023</v>
      </c>
      <c r="G396" s="1" t="s">
        <v>1157</v>
      </c>
      <c r="H396" s="1">
        <v>606504</v>
      </c>
      <c r="I396" s="1">
        <v>4</v>
      </c>
      <c r="J396" s="1" t="s">
        <v>36</v>
      </c>
      <c r="K396" s="1" t="s">
        <v>1158</v>
      </c>
      <c r="L396" s="1" t="s">
        <v>1159</v>
      </c>
      <c r="M396" s="1">
        <v>51</v>
      </c>
      <c r="N396" s="1" t="s">
        <v>39</v>
      </c>
      <c r="O396" s="1">
        <v>35.098599999999998</v>
      </c>
      <c r="P396" s="1">
        <v>-78.829400000000007</v>
      </c>
      <c r="Q396" s="1" t="s">
        <v>1160</v>
      </c>
      <c r="T396" s="1" t="s">
        <v>71</v>
      </c>
      <c r="U396" s="1" t="s">
        <v>44</v>
      </c>
      <c r="V396" s="1" t="s">
        <v>94</v>
      </c>
      <c r="X396" s="1" t="s">
        <v>95</v>
      </c>
      <c r="AA396" s="3">
        <v>28095</v>
      </c>
      <c r="AB396" s="1" t="s">
        <v>46</v>
      </c>
      <c r="AC396" s="5">
        <v>341.1</v>
      </c>
      <c r="AD396" s="1" t="s">
        <v>1163</v>
      </c>
      <c r="AE396" s="1" t="str">
        <f t="shared" si="32"/>
        <v>1016 GT-2</v>
      </c>
      <c r="AF396" s="14">
        <f>AF395</f>
        <v>40.966666666666669</v>
      </c>
      <c r="AG396" s="1" t="str">
        <f t="shared" si="31"/>
        <v/>
      </c>
    </row>
    <row r="397" spans="1:33" x14ac:dyDescent="0.2">
      <c r="A397" s="1" t="s">
        <v>1153</v>
      </c>
      <c r="B397" s="1" t="s">
        <v>1154</v>
      </c>
      <c r="C397" s="1">
        <v>1016</v>
      </c>
      <c r="D397" s="1" t="s">
        <v>1164</v>
      </c>
      <c r="E397" s="1" t="s">
        <v>1156</v>
      </c>
      <c r="F397" s="1">
        <v>2023</v>
      </c>
      <c r="G397" s="1" t="s">
        <v>1157</v>
      </c>
      <c r="H397" s="1">
        <v>606504</v>
      </c>
      <c r="I397" s="1">
        <v>4</v>
      </c>
      <c r="J397" s="1" t="s">
        <v>36</v>
      </c>
      <c r="K397" s="1" t="s">
        <v>1158</v>
      </c>
      <c r="L397" s="1" t="s">
        <v>1159</v>
      </c>
      <c r="M397" s="1">
        <v>51</v>
      </c>
      <c r="N397" s="1" t="s">
        <v>39</v>
      </c>
      <c r="O397" s="1">
        <v>35.098599999999998</v>
      </c>
      <c r="P397" s="1">
        <v>-78.829400000000007</v>
      </c>
      <c r="Q397" s="1" t="s">
        <v>1160</v>
      </c>
      <c r="T397" s="1" t="s">
        <v>71</v>
      </c>
      <c r="U397" s="1" t="s">
        <v>44</v>
      </c>
      <c r="V397" s="1" t="s">
        <v>94</v>
      </c>
      <c r="X397" s="1" t="s">
        <v>95</v>
      </c>
      <c r="AA397" s="3">
        <v>27942</v>
      </c>
      <c r="AB397" s="1" t="s">
        <v>46</v>
      </c>
      <c r="AC397" s="5">
        <v>341.1</v>
      </c>
      <c r="AD397" s="1" t="s">
        <v>1165</v>
      </c>
      <c r="AE397" s="1" t="str">
        <f t="shared" si="32"/>
        <v>1016 GT-3</v>
      </c>
      <c r="AF397" s="14">
        <f>AF395</f>
        <v>40.966666666666669</v>
      </c>
      <c r="AG397" s="1" t="str">
        <f t="shared" si="31"/>
        <v/>
      </c>
    </row>
    <row r="398" spans="1:33" x14ac:dyDescent="0.2">
      <c r="A398" s="1" t="s">
        <v>1153</v>
      </c>
      <c r="B398" s="1" t="s">
        <v>1154</v>
      </c>
      <c r="C398" s="1">
        <v>1016</v>
      </c>
      <c r="D398" s="1" t="s">
        <v>1166</v>
      </c>
      <c r="E398" s="1" t="s">
        <v>1156</v>
      </c>
      <c r="F398" s="1">
        <v>2023</v>
      </c>
      <c r="G398" s="1" t="s">
        <v>1157</v>
      </c>
      <c r="H398" s="1">
        <v>606504</v>
      </c>
      <c r="I398" s="1">
        <v>4</v>
      </c>
      <c r="J398" s="1" t="s">
        <v>36</v>
      </c>
      <c r="K398" s="1" t="s">
        <v>1158</v>
      </c>
      <c r="L398" s="1" t="s">
        <v>1159</v>
      </c>
      <c r="M398" s="1">
        <v>51</v>
      </c>
      <c r="N398" s="1" t="s">
        <v>39</v>
      </c>
      <c r="O398" s="1">
        <v>35.098599999999998</v>
      </c>
      <c r="P398" s="1">
        <v>-78.829400000000007</v>
      </c>
      <c r="Q398" s="1" t="s">
        <v>1160</v>
      </c>
      <c r="T398" s="1" t="s">
        <v>93</v>
      </c>
      <c r="U398" s="1" t="s">
        <v>44</v>
      </c>
      <c r="V398" s="1" t="s">
        <v>94</v>
      </c>
      <c r="X398" s="1" t="s">
        <v>95</v>
      </c>
      <c r="AA398" s="3">
        <v>27942</v>
      </c>
      <c r="AB398" s="1" t="s">
        <v>46</v>
      </c>
      <c r="AC398" s="5">
        <v>341.1</v>
      </c>
      <c r="AD398" s="1" t="s">
        <v>1167</v>
      </c>
      <c r="AE398" s="1" t="str">
        <f t="shared" si="32"/>
        <v>1016 GT-4</v>
      </c>
      <c r="AF398" s="5" t="str">
        <f>MID(AD398,FIND("(",AD398)+1,FIND(")",AD398)-FIND("(",AD398)-1)</f>
        <v>28.8</v>
      </c>
      <c r="AG398" s="1" t="str">
        <f t="shared" si="31"/>
        <v/>
      </c>
    </row>
    <row r="399" spans="1:33" x14ac:dyDescent="0.2">
      <c r="A399" s="1" t="s">
        <v>1153</v>
      </c>
      <c r="B399" s="1" t="s">
        <v>1154</v>
      </c>
      <c r="C399" s="1">
        <v>1016</v>
      </c>
      <c r="D399" s="1" t="s">
        <v>1168</v>
      </c>
      <c r="E399" s="1" t="s">
        <v>1156</v>
      </c>
      <c r="F399" s="1">
        <v>2023</v>
      </c>
      <c r="G399" s="1" t="s">
        <v>1157</v>
      </c>
      <c r="H399" s="1">
        <v>606504</v>
      </c>
      <c r="I399" s="1">
        <v>4</v>
      </c>
      <c r="J399" s="1" t="s">
        <v>36</v>
      </c>
      <c r="K399" s="1" t="s">
        <v>1158</v>
      </c>
      <c r="L399" s="1" t="s">
        <v>1159</v>
      </c>
      <c r="M399" s="1">
        <v>51</v>
      </c>
      <c r="N399" s="1" t="s">
        <v>39</v>
      </c>
      <c r="O399" s="1">
        <v>35.098599999999998</v>
      </c>
      <c r="P399" s="1">
        <v>-78.829400000000007</v>
      </c>
      <c r="Q399" s="1" t="s">
        <v>1160</v>
      </c>
      <c r="T399" s="1" t="s">
        <v>93</v>
      </c>
      <c r="U399" s="1" t="s">
        <v>44</v>
      </c>
      <c r="V399" s="1" t="s">
        <v>94</v>
      </c>
      <c r="X399" s="1" t="s">
        <v>95</v>
      </c>
      <c r="AA399" s="3">
        <v>28307</v>
      </c>
      <c r="AB399" s="1" t="s">
        <v>46</v>
      </c>
      <c r="AC399" s="5">
        <v>341.1</v>
      </c>
      <c r="AD399" s="1" t="s">
        <v>1169</v>
      </c>
      <c r="AE399" s="1" t="str">
        <f t="shared" si="32"/>
        <v>1016 GT-5</v>
      </c>
      <c r="AF399" s="5" t="str">
        <f>MID(AD399,FIND("(",AD399)+1,FIND(")",AD399)-FIND("(",AD399)-1)</f>
        <v>28.8</v>
      </c>
      <c r="AG399" s="1" t="str">
        <f t="shared" si="31"/>
        <v/>
      </c>
    </row>
    <row r="400" spans="1:33" x14ac:dyDescent="0.2">
      <c r="A400" s="1" t="s">
        <v>1153</v>
      </c>
      <c r="B400" s="1" t="s">
        <v>1154</v>
      </c>
      <c r="C400" s="1">
        <v>1016</v>
      </c>
      <c r="D400" s="1" t="s">
        <v>1170</v>
      </c>
      <c r="E400" s="1" t="s">
        <v>1156</v>
      </c>
      <c r="F400" s="1">
        <v>2023</v>
      </c>
      <c r="G400" s="1" t="s">
        <v>1157</v>
      </c>
      <c r="H400" s="1">
        <v>606504</v>
      </c>
      <c r="I400" s="1">
        <v>4</v>
      </c>
      <c r="J400" s="1" t="s">
        <v>36</v>
      </c>
      <c r="K400" s="1" t="s">
        <v>1158</v>
      </c>
      <c r="L400" s="1" t="s">
        <v>1159</v>
      </c>
      <c r="M400" s="1">
        <v>51</v>
      </c>
      <c r="N400" s="1" t="s">
        <v>39</v>
      </c>
      <c r="O400" s="1">
        <v>35.098599999999998</v>
      </c>
      <c r="P400" s="1">
        <v>-78.829400000000007</v>
      </c>
      <c r="Q400" s="1" t="s">
        <v>1160</v>
      </c>
      <c r="T400" s="1" t="s">
        <v>71</v>
      </c>
      <c r="U400" s="1" t="s">
        <v>44</v>
      </c>
      <c r="V400" s="1" t="s">
        <v>94</v>
      </c>
      <c r="X400" s="1" t="s">
        <v>95</v>
      </c>
      <c r="AA400" s="3">
        <v>28642</v>
      </c>
      <c r="AB400" s="1" t="s">
        <v>46</v>
      </c>
      <c r="AC400" s="5">
        <v>341.1</v>
      </c>
      <c r="AD400" s="1" t="s">
        <v>1171</v>
      </c>
      <c r="AE400" s="1" t="str">
        <f t="shared" si="32"/>
        <v>1016 GT-6</v>
      </c>
      <c r="AF400" s="14">
        <f>AF395</f>
        <v>40.966666666666669</v>
      </c>
      <c r="AG400" s="1" t="str">
        <f t="shared" si="31"/>
        <v/>
      </c>
    </row>
    <row r="401" spans="1:33" x14ac:dyDescent="0.2">
      <c r="A401" s="1" t="s">
        <v>1153</v>
      </c>
      <c r="B401" s="1" t="s">
        <v>1154</v>
      </c>
      <c r="C401" s="1">
        <v>1016</v>
      </c>
      <c r="D401" s="1" t="s">
        <v>1172</v>
      </c>
      <c r="E401" s="1" t="s">
        <v>1156</v>
      </c>
      <c r="F401" s="1">
        <v>2023</v>
      </c>
      <c r="G401" s="1" t="s">
        <v>1157</v>
      </c>
      <c r="H401" s="1">
        <v>606504</v>
      </c>
      <c r="I401" s="1">
        <v>4</v>
      </c>
      <c r="J401" s="1" t="s">
        <v>36</v>
      </c>
      <c r="K401" s="1" t="s">
        <v>1158</v>
      </c>
      <c r="L401" s="1" t="s">
        <v>1159</v>
      </c>
      <c r="M401" s="1">
        <v>51</v>
      </c>
      <c r="N401" s="1" t="s">
        <v>39</v>
      </c>
      <c r="O401" s="1">
        <v>35.098599999999998</v>
      </c>
      <c r="P401" s="1">
        <v>-78.829400000000007</v>
      </c>
      <c r="Q401" s="1" t="s">
        <v>1160</v>
      </c>
      <c r="T401" s="1" t="s">
        <v>71</v>
      </c>
      <c r="U401" s="1" t="s">
        <v>44</v>
      </c>
      <c r="V401" s="1" t="s">
        <v>94</v>
      </c>
      <c r="X401" s="1" t="s">
        <v>95</v>
      </c>
      <c r="AA401" s="3">
        <v>29007</v>
      </c>
      <c r="AB401" s="1" t="s">
        <v>46</v>
      </c>
      <c r="AC401" s="5">
        <v>341.1</v>
      </c>
      <c r="AD401" s="1" t="s">
        <v>1173</v>
      </c>
      <c r="AE401" s="1" t="str">
        <f t="shared" si="32"/>
        <v>1016 GT-7</v>
      </c>
      <c r="AF401" s="14">
        <f>AF395</f>
        <v>40.966666666666669</v>
      </c>
      <c r="AG401" s="1" t="str">
        <f t="shared" si="31"/>
        <v/>
      </c>
    </row>
    <row r="402" spans="1:33" x14ac:dyDescent="0.2">
      <c r="A402" s="1" t="s">
        <v>1153</v>
      </c>
      <c r="B402" s="1" t="s">
        <v>1154</v>
      </c>
      <c r="C402" s="1">
        <v>1016</v>
      </c>
      <c r="D402" s="1" t="s">
        <v>1174</v>
      </c>
      <c r="E402" s="1" t="s">
        <v>1156</v>
      </c>
      <c r="F402" s="1">
        <v>2023</v>
      </c>
      <c r="G402" s="1" t="s">
        <v>1157</v>
      </c>
      <c r="H402" s="1">
        <v>606504</v>
      </c>
      <c r="I402" s="1">
        <v>4</v>
      </c>
      <c r="J402" s="1" t="s">
        <v>36</v>
      </c>
      <c r="K402" s="1" t="s">
        <v>1158</v>
      </c>
      <c r="L402" s="1" t="s">
        <v>1159</v>
      </c>
      <c r="M402" s="1">
        <v>51</v>
      </c>
      <c r="N402" s="1" t="s">
        <v>39</v>
      </c>
      <c r="O402" s="1">
        <v>35.098599999999998</v>
      </c>
      <c r="P402" s="1">
        <v>-78.829400000000007</v>
      </c>
      <c r="Q402" s="1" t="s">
        <v>1160</v>
      </c>
      <c r="T402" s="1" t="s">
        <v>71</v>
      </c>
      <c r="U402" s="1" t="s">
        <v>44</v>
      </c>
      <c r="V402" s="1" t="s">
        <v>94</v>
      </c>
      <c r="X402" s="1" t="s">
        <v>95</v>
      </c>
      <c r="AA402" s="3">
        <v>29373</v>
      </c>
      <c r="AB402" s="1" t="s">
        <v>46</v>
      </c>
      <c r="AC402" s="5">
        <v>341.1</v>
      </c>
      <c r="AD402" s="1" t="s">
        <v>1175</v>
      </c>
      <c r="AE402" s="1" t="str">
        <f t="shared" si="32"/>
        <v>1016 GT-8</v>
      </c>
      <c r="AF402" s="14">
        <f>AF395</f>
        <v>40.966666666666669</v>
      </c>
      <c r="AG402" s="1" t="str">
        <f t="shared" si="31"/>
        <v/>
      </c>
    </row>
    <row r="403" spans="1:33" x14ac:dyDescent="0.2">
      <c r="A403" s="1" t="s">
        <v>1071</v>
      </c>
      <c r="B403" s="1" t="s">
        <v>1176</v>
      </c>
      <c r="C403" s="1">
        <v>1040</v>
      </c>
      <c r="D403" s="1">
        <v>1</v>
      </c>
      <c r="E403" s="1" t="s">
        <v>1177</v>
      </c>
      <c r="F403" s="1">
        <v>2023</v>
      </c>
      <c r="G403" s="1" t="s">
        <v>1005</v>
      </c>
      <c r="H403" s="1">
        <v>610124</v>
      </c>
      <c r="I403" s="1">
        <v>5</v>
      </c>
      <c r="J403" s="1" t="s">
        <v>169</v>
      </c>
      <c r="K403" s="1" t="s">
        <v>1178</v>
      </c>
      <c r="L403" s="1" t="s">
        <v>1179</v>
      </c>
      <c r="M403" s="1">
        <v>177</v>
      </c>
      <c r="N403" s="1" t="s">
        <v>39</v>
      </c>
      <c r="O403" s="1">
        <v>39.802799999999998</v>
      </c>
      <c r="P403" s="1">
        <v>-84.895300000000006</v>
      </c>
      <c r="Q403" s="1" t="s">
        <v>1180</v>
      </c>
      <c r="R403" s="1" t="s">
        <v>41</v>
      </c>
      <c r="S403" s="1" t="s">
        <v>211</v>
      </c>
      <c r="T403" s="1" t="s">
        <v>89</v>
      </c>
      <c r="U403" s="1" t="s">
        <v>55</v>
      </c>
      <c r="V403" s="1" t="s">
        <v>94</v>
      </c>
      <c r="X403" s="1" t="s">
        <v>1181</v>
      </c>
      <c r="Y403" s="1" t="s">
        <v>1182</v>
      </c>
      <c r="Z403" s="1" t="s">
        <v>214</v>
      </c>
      <c r="AA403" s="3">
        <v>20161</v>
      </c>
      <c r="AB403" s="1" t="s">
        <v>46</v>
      </c>
      <c r="AC403" s="5">
        <v>425</v>
      </c>
      <c r="AD403" s="1" t="s">
        <v>1183</v>
      </c>
      <c r="AE403" s="1" t="str">
        <f t="shared" si="32"/>
        <v>1040 1</v>
      </c>
      <c r="AF403" s="5" t="str">
        <f t="shared" ref="AF403:AF429" si="33">MID(AD403,FIND("(",AD403)+1,FIND(")",AD403)-FIND("(",AD403)-1)</f>
        <v>33</v>
      </c>
      <c r="AG403" s="1" t="str">
        <f t="shared" si="31"/>
        <v/>
      </c>
    </row>
    <row r="404" spans="1:33" x14ac:dyDescent="0.2">
      <c r="A404" s="1" t="s">
        <v>1071</v>
      </c>
      <c r="B404" s="1" t="s">
        <v>1176</v>
      </c>
      <c r="C404" s="1">
        <v>1040</v>
      </c>
      <c r="D404" s="1">
        <v>2</v>
      </c>
      <c r="E404" s="1" t="s">
        <v>1177</v>
      </c>
      <c r="F404" s="1">
        <v>2023</v>
      </c>
      <c r="G404" s="1" t="s">
        <v>1005</v>
      </c>
      <c r="H404" s="1">
        <v>610124</v>
      </c>
      <c r="I404" s="1">
        <v>5</v>
      </c>
      <c r="J404" s="1" t="s">
        <v>169</v>
      </c>
      <c r="K404" s="1" t="s">
        <v>1178</v>
      </c>
      <c r="L404" s="1" t="s">
        <v>1179</v>
      </c>
      <c r="M404" s="1">
        <v>177</v>
      </c>
      <c r="N404" s="1" t="s">
        <v>39</v>
      </c>
      <c r="O404" s="1">
        <v>39.802799999999998</v>
      </c>
      <c r="P404" s="1">
        <v>-84.895300000000006</v>
      </c>
      <c r="Q404" s="1" t="s">
        <v>1180</v>
      </c>
      <c r="R404" s="1" t="s">
        <v>41</v>
      </c>
      <c r="S404" s="1" t="s">
        <v>211</v>
      </c>
      <c r="T404" s="1" t="s">
        <v>43</v>
      </c>
      <c r="U404" s="1" t="s">
        <v>55</v>
      </c>
      <c r="V404" s="1" t="s">
        <v>94</v>
      </c>
      <c r="X404" s="1" t="s">
        <v>1184</v>
      </c>
      <c r="Y404" s="1" t="s">
        <v>123</v>
      </c>
      <c r="Z404" s="1" t="s">
        <v>214</v>
      </c>
      <c r="AA404" s="3">
        <v>26800</v>
      </c>
      <c r="AB404" s="1" t="s">
        <v>46</v>
      </c>
      <c r="AC404" s="5">
        <v>729</v>
      </c>
      <c r="AD404" s="1" t="s">
        <v>1185</v>
      </c>
      <c r="AE404" s="1" t="str">
        <f t="shared" si="32"/>
        <v>1040 2</v>
      </c>
      <c r="AF404" s="5" t="str">
        <f t="shared" si="33"/>
        <v>60.9</v>
      </c>
      <c r="AG404" s="1" t="str">
        <f t="shared" si="31"/>
        <v/>
      </c>
    </row>
    <row r="405" spans="1:33" x14ac:dyDescent="0.2">
      <c r="A405" s="1" t="s">
        <v>1186</v>
      </c>
      <c r="B405" s="1" t="s">
        <v>1187</v>
      </c>
      <c r="C405" s="1">
        <v>1047</v>
      </c>
      <c r="D405" s="1">
        <v>4</v>
      </c>
      <c r="F405" s="1">
        <v>2023</v>
      </c>
      <c r="G405" s="1" t="s">
        <v>1188</v>
      </c>
      <c r="H405" s="1">
        <v>608055</v>
      </c>
      <c r="I405" s="1">
        <v>7</v>
      </c>
      <c r="J405" s="1" t="s">
        <v>207</v>
      </c>
      <c r="K405" s="1" t="s">
        <v>1189</v>
      </c>
      <c r="L405" s="1" t="s">
        <v>1190</v>
      </c>
      <c r="M405" s="1">
        <v>5</v>
      </c>
      <c r="N405" s="1" t="s">
        <v>39</v>
      </c>
      <c r="O405" s="1">
        <v>43.335900000000002</v>
      </c>
      <c r="P405" s="1">
        <v>-91.167199999999994</v>
      </c>
      <c r="Q405" s="1" t="s">
        <v>1191</v>
      </c>
      <c r="R405" s="1" t="s">
        <v>41</v>
      </c>
      <c r="S405" s="1" t="s">
        <v>211</v>
      </c>
      <c r="T405" s="1" t="s">
        <v>319</v>
      </c>
      <c r="U405" s="1" t="s">
        <v>55</v>
      </c>
      <c r="W405" s="1" t="s">
        <v>212</v>
      </c>
      <c r="X405" s="1" t="s">
        <v>1192</v>
      </c>
      <c r="Y405" s="1" t="s">
        <v>1182</v>
      </c>
      <c r="Z405" s="1" t="s">
        <v>937</v>
      </c>
      <c r="AA405" s="3">
        <v>28216</v>
      </c>
      <c r="AB405" s="1" t="s">
        <v>621</v>
      </c>
      <c r="AC405" s="5">
        <v>3386</v>
      </c>
      <c r="AD405" s="1" t="s">
        <v>1193</v>
      </c>
      <c r="AE405" s="1" t="str">
        <f t="shared" si="32"/>
        <v>1047 4</v>
      </c>
      <c r="AF405" s="5" t="str">
        <f t="shared" si="33"/>
        <v>274.5</v>
      </c>
      <c r="AG405" s="1" t="str">
        <f t="shared" si="31"/>
        <v>Y</v>
      </c>
    </row>
    <row r="406" spans="1:33" x14ac:dyDescent="0.2">
      <c r="A406" s="1" t="s">
        <v>1186</v>
      </c>
      <c r="B406" s="1" t="s">
        <v>1194</v>
      </c>
      <c r="C406" s="1">
        <v>1068</v>
      </c>
      <c r="D406" s="1" t="s">
        <v>372</v>
      </c>
      <c r="F406" s="1">
        <v>2023</v>
      </c>
      <c r="G406" s="1" t="s">
        <v>1195</v>
      </c>
      <c r="H406" s="1">
        <v>608055</v>
      </c>
      <c r="I406" s="1">
        <v>7</v>
      </c>
      <c r="K406" s="1" t="s">
        <v>1196</v>
      </c>
      <c r="L406" s="1" t="s">
        <v>1197</v>
      </c>
      <c r="M406" s="1">
        <v>127</v>
      </c>
      <c r="N406" s="1" t="s">
        <v>39</v>
      </c>
      <c r="O406" s="1">
        <v>42.047400000000003</v>
      </c>
      <c r="P406" s="1">
        <v>-92.859399999999994</v>
      </c>
      <c r="Q406" s="1" t="s">
        <v>1191</v>
      </c>
      <c r="T406" s="1" t="s">
        <v>93</v>
      </c>
      <c r="U406" s="1" t="s">
        <v>44</v>
      </c>
      <c r="AA406" s="3">
        <v>28656</v>
      </c>
      <c r="AB406" s="1" t="s">
        <v>46</v>
      </c>
      <c r="AC406" s="5">
        <v>505.9</v>
      </c>
      <c r="AD406" s="1" t="s">
        <v>1198</v>
      </c>
      <c r="AE406" s="1" t="str">
        <f t="shared" si="32"/>
        <v>1068 1A</v>
      </c>
      <c r="AF406" s="5" t="str">
        <f t="shared" si="33"/>
        <v>63</v>
      </c>
      <c r="AG406" s="1" t="str">
        <f t="shared" si="31"/>
        <v/>
      </c>
    </row>
    <row r="407" spans="1:33" x14ac:dyDescent="0.2">
      <c r="A407" s="1" t="s">
        <v>1186</v>
      </c>
      <c r="B407" s="1" t="s">
        <v>1194</v>
      </c>
      <c r="C407" s="1">
        <v>1068</v>
      </c>
      <c r="D407" s="1" t="s">
        <v>1199</v>
      </c>
      <c r="F407" s="1">
        <v>2023</v>
      </c>
      <c r="G407" s="1" t="s">
        <v>1195</v>
      </c>
      <c r="H407" s="1">
        <v>608055</v>
      </c>
      <c r="I407" s="1">
        <v>7</v>
      </c>
      <c r="K407" s="1" t="s">
        <v>1196</v>
      </c>
      <c r="L407" s="1" t="s">
        <v>1197</v>
      </c>
      <c r="M407" s="1">
        <v>127</v>
      </c>
      <c r="N407" s="1" t="s">
        <v>39</v>
      </c>
      <c r="O407" s="1">
        <v>42.047400000000003</v>
      </c>
      <c r="P407" s="1">
        <v>-92.859399999999994</v>
      </c>
      <c r="Q407" s="1" t="s">
        <v>1191</v>
      </c>
      <c r="T407" s="1" t="s">
        <v>93</v>
      </c>
      <c r="U407" s="1" t="s">
        <v>44</v>
      </c>
      <c r="AA407" s="3">
        <v>28656</v>
      </c>
      <c r="AB407" s="1" t="s">
        <v>46</v>
      </c>
      <c r="AC407" s="5">
        <v>505.9</v>
      </c>
      <c r="AD407" s="1" t="s">
        <v>1198</v>
      </c>
      <c r="AE407" s="1" t="str">
        <f t="shared" si="32"/>
        <v>1068 1B</v>
      </c>
      <c r="AF407" s="5" t="str">
        <f t="shared" si="33"/>
        <v>63</v>
      </c>
      <c r="AG407" s="1" t="str">
        <f t="shared" si="31"/>
        <v/>
      </c>
    </row>
    <row r="408" spans="1:33" x14ac:dyDescent="0.2">
      <c r="A408" s="1" t="s">
        <v>1186</v>
      </c>
      <c r="B408" s="1" t="s">
        <v>1194</v>
      </c>
      <c r="C408" s="1">
        <v>1068</v>
      </c>
      <c r="D408" s="1" t="s">
        <v>377</v>
      </c>
      <c r="F408" s="1">
        <v>2023</v>
      </c>
      <c r="G408" s="1" t="s">
        <v>1195</v>
      </c>
      <c r="H408" s="1">
        <v>608055</v>
      </c>
      <c r="I408" s="1">
        <v>7</v>
      </c>
      <c r="K408" s="1" t="s">
        <v>1196</v>
      </c>
      <c r="L408" s="1" t="s">
        <v>1197</v>
      </c>
      <c r="M408" s="1">
        <v>127</v>
      </c>
      <c r="N408" s="1" t="s">
        <v>39</v>
      </c>
      <c r="O408" s="1">
        <v>42.047400000000003</v>
      </c>
      <c r="P408" s="1">
        <v>-92.859399999999994</v>
      </c>
      <c r="Q408" s="1" t="s">
        <v>1191</v>
      </c>
      <c r="T408" s="1" t="s">
        <v>93</v>
      </c>
      <c r="U408" s="1" t="s">
        <v>44</v>
      </c>
      <c r="AA408" s="3">
        <v>28665</v>
      </c>
      <c r="AB408" s="1" t="s">
        <v>46</v>
      </c>
      <c r="AC408" s="5">
        <v>507.2</v>
      </c>
      <c r="AD408" s="1" t="s">
        <v>1200</v>
      </c>
      <c r="AE408" s="1" t="str">
        <f t="shared" si="32"/>
        <v>1068 2A</v>
      </c>
      <c r="AF408" s="5" t="str">
        <f t="shared" si="33"/>
        <v>63</v>
      </c>
      <c r="AG408" s="1" t="str">
        <f t="shared" si="31"/>
        <v/>
      </c>
    </row>
    <row r="409" spans="1:33" x14ac:dyDescent="0.2">
      <c r="A409" s="1" t="s">
        <v>1186</v>
      </c>
      <c r="B409" s="1" t="s">
        <v>1194</v>
      </c>
      <c r="C409" s="1">
        <v>1068</v>
      </c>
      <c r="D409" s="1" t="s">
        <v>1201</v>
      </c>
      <c r="F409" s="1">
        <v>2023</v>
      </c>
      <c r="G409" s="1" t="s">
        <v>1195</v>
      </c>
      <c r="H409" s="1">
        <v>608055</v>
      </c>
      <c r="I409" s="1">
        <v>7</v>
      </c>
      <c r="K409" s="1" t="s">
        <v>1196</v>
      </c>
      <c r="L409" s="1" t="s">
        <v>1197</v>
      </c>
      <c r="M409" s="1">
        <v>127</v>
      </c>
      <c r="N409" s="1" t="s">
        <v>39</v>
      </c>
      <c r="O409" s="1">
        <v>42.047400000000003</v>
      </c>
      <c r="P409" s="1">
        <v>-92.859399999999994</v>
      </c>
      <c r="Q409" s="1" t="s">
        <v>1191</v>
      </c>
      <c r="T409" s="1" t="s">
        <v>93</v>
      </c>
      <c r="U409" s="1" t="s">
        <v>44</v>
      </c>
      <c r="AA409" s="3">
        <v>28665</v>
      </c>
      <c r="AB409" s="1" t="s">
        <v>46</v>
      </c>
      <c r="AC409" s="5">
        <v>507.2</v>
      </c>
      <c r="AD409" s="1" t="s">
        <v>1200</v>
      </c>
      <c r="AE409" s="1" t="str">
        <f t="shared" si="32"/>
        <v>1068 2B</v>
      </c>
      <c r="AF409" s="5" t="str">
        <f t="shared" si="33"/>
        <v>63</v>
      </c>
      <c r="AG409" s="1" t="str">
        <f t="shared" si="31"/>
        <v/>
      </c>
    </row>
    <row r="410" spans="1:33" x14ac:dyDescent="0.2">
      <c r="A410" s="1" t="s">
        <v>1186</v>
      </c>
      <c r="B410" s="1" t="s">
        <v>1194</v>
      </c>
      <c r="C410" s="1">
        <v>1068</v>
      </c>
      <c r="D410" s="1" t="s">
        <v>379</v>
      </c>
      <c r="F410" s="1">
        <v>2023</v>
      </c>
      <c r="G410" s="1" t="s">
        <v>1195</v>
      </c>
      <c r="H410" s="1">
        <v>608055</v>
      </c>
      <c r="I410" s="1">
        <v>7</v>
      </c>
      <c r="K410" s="1" t="s">
        <v>1196</v>
      </c>
      <c r="L410" s="1" t="s">
        <v>1197</v>
      </c>
      <c r="M410" s="1">
        <v>127</v>
      </c>
      <c r="N410" s="1" t="s">
        <v>39</v>
      </c>
      <c r="O410" s="1">
        <v>42.047400000000003</v>
      </c>
      <c r="P410" s="1">
        <v>-92.859399999999994</v>
      </c>
      <c r="Q410" s="1" t="s">
        <v>1191</v>
      </c>
      <c r="T410" s="1" t="s">
        <v>93</v>
      </c>
      <c r="U410" s="1" t="s">
        <v>44</v>
      </c>
      <c r="AA410" s="3">
        <v>28679</v>
      </c>
      <c r="AB410" s="1" t="s">
        <v>46</v>
      </c>
      <c r="AC410" s="5">
        <v>506</v>
      </c>
      <c r="AD410" s="1" t="s">
        <v>1202</v>
      </c>
      <c r="AE410" s="1" t="str">
        <f t="shared" si="32"/>
        <v>1068 3A</v>
      </c>
      <c r="AF410" s="5" t="str">
        <f t="shared" si="33"/>
        <v>63</v>
      </c>
      <c r="AG410" s="1" t="str">
        <f t="shared" si="31"/>
        <v/>
      </c>
    </row>
    <row r="411" spans="1:33" x14ac:dyDescent="0.2">
      <c r="A411" s="1" t="s">
        <v>1186</v>
      </c>
      <c r="B411" s="1" t="s">
        <v>1194</v>
      </c>
      <c r="C411" s="1">
        <v>1068</v>
      </c>
      <c r="D411" s="1" t="s">
        <v>965</v>
      </c>
      <c r="F411" s="1">
        <v>2023</v>
      </c>
      <c r="G411" s="1" t="s">
        <v>1195</v>
      </c>
      <c r="H411" s="1">
        <v>608055</v>
      </c>
      <c r="I411" s="1">
        <v>7</v>
      </c>
      <c r="K411" s="1" t="s">
        <v>1196</v>
      </c>
      <c r="L411" s="1" t="s">
        <v>1197</v>
      </c>
      <c r="M411" s="1">
        <v>127</v>
      </c>
      <c r="N411" s="1" t="s">
        <v>39</v>
      </c>
      <c r="O411" s="1">
        <v>42.047400000000003</v>
      </c>
      <c r="P411" s="1">
        <v>-92.859399999999994</v>
      </c>
      <c r="Q411" s="1" t="s">
        <v>1191</v>
      </c>
      <c r="T411" s="1" t="s">
        <v>93</v>
      </c>
      <c r="U411" s="1" t="s">
        <v>44</v>
      </c>
      <c r="AA411" s="3">
        <v>28679</v>
      </c>
      <c r="AB411" s="1" t="s">
        <v>46</v>
      </c>
      <c r="AC411" s="5">
        <v>506</v>
      </c>
      <c r="AD411" s="1" t="s">
        <v>1202</v>
      </c>
      <c r="AE411" s="1" t="str">
        <f t="shared" si="32"/>
        <v>1068 3B</v>
      </c>
      <c r="AF411" s="5" t="str">
        <f t="shared" si="33"/>
        <v>63</v>
      </c>
      <c r="AG411" s="1" t="str">
        <f t="shared" si="31"/>
        <v/>
      </c>
    </row>
    <row r="412" spans="1:33" x14ac:dyDescent="0.2">
      <c r="A412" s="1" t="s">
        <v>1186</v>
      </c>
      <c r="B412" s="1" t="s">
        <v>1203</v>
      </c>
      <c r="C412" s="1">
        <v>1073</v>
      </c>
      <c r="D412" s="1">
        <v>3</v>
      </c>
      <c r="F412" s="1">
        <v>2023</v>
      </c>
      <c r="G412" s="1" t="s">
        <v>1188</v>
      </c>
      <c r="H412" s="1">
        <v>608055</v>
      </c>
      <c r="I412" s="1">
        <v>7</v>
      </c>
      <c r="J412" s="1" t="s">
        <v>207</v>
      </c>
      <c r="K412" s="1" t="s">
        <v>1204</v>
      </c>
      <c r="L412" s="1" t="s">
        <v>1205</v>
      </c>
      <c r="M412" s="1">
        <v>113</v>
      </c>
      <c r="N412" s="1" t="s">
        <v>39</v>
      </c>
      <c r="O412" s="1">
        <v>41.943899999999999</v>
      </c>
      <c r="P412" s="1">
        <v>-91.638599999999997</v>
      </c>
      <c r="Q412" s="1" t="s">
        <v>1191</v>
      </c>
      <c r="R412" s="1" t="s">
        <v>41</v>
      </c>
      <c r="S412" s="1" t="s">
        <v>42</v>
      </c>
      <c r="T412" s="1" t="s">
        <v>89</v>
      </c>
      <c r="U412" s="1" t="s">
        <v>55</v>
      </c>
      <c r="V412" s="1" t="s">
        <v>638</v>
      </c>
      <c r="X412" s="1" t="s">
        <v>220</v>
      </c>
      <c r="Y412" s="1" t="s">
        <v>58</v>
      </c>
      <c r="Z412" s="1" t="s">
        <v>937</v>
      </c>
      <c r="AA412" s="3">
        <v>21398</v>
      </c>
      <c r="AB412" s="1" t="s">
        <v>46</v>
      </c>
      <c r="AC412" s="5">
        <v>600</v>
      </c>
      <c r="AD412" s="1" t="s">
        <v>1206</v>
      </c>
      <c r="AE412" s="1" t="str">
        <f t="shared" si="32"/>
        <v>1073 3</v>
      </c>
      <c r="AF412" s="5" t="str">
        <f t="shared" si="33"/>
        <v>50</v>
      </c>
      <c r="AG412" s="1" t="str">
        <f t="shared" si="31"/>
        <v/>
      </c>
    </row>
    <row r="413" spans="1:33" x14ac:dyDescent="0.2">
      <c r="A413" s="1" t="s">
        <v>1186</v>
      </c>
      <c r="B413" s="1" t="s">
        <v>1203</v>
      </c>
      <c r="C413" s="1">
        <v>1073</v>
      </c>
      <c r="D413" s="1">
        <v>4</v>
      </c>
      <c r="F413" s="1">
        <v>2023</v>
      </c>
      <c r="G413" s="1" t="s">
        <v>1207</v>
      </c>
      <c r="H413" s="1">
        <v>608055</v>
      </c>
      <c r="I413" s="1">
        <v>7</v>
      </c>
      <c r="J413" s="1" t="s">
        <v>207</v>
      </c>
      <c r="K413" s="1" t="s">
        <v>1204</v>
      </c>
      <c r="L413" s="1" t="s">
        <v>1205</v>
      </c>
      <c r="M413" s="1">
        <v>113</v>
      </c>
      <c r="N413" s="1" t="s">
        <v>39</v>
      </c>
      <c r="O413" s="1">
        <v>41.943899999999999</v>
      </c>
      <c r="P413" s="1">
        <v>-91.638599999999997</v>
      </c>
      <c r="Q413" s="1" t="s">
        <v>1191</v>
      </c>
      <c r="R413" s="1" t="s">
        <v>120</v>
      </c>
      <c r="S413" s="1" t="s">
        <v>121</v>
      </c>
      <c r="T413" s="1" t="s">
        <v>89</v>
      </c>
      <c r="U413" s="1" t="s">
        <v>284</v>
      </c>
      <c r="X413" s="1" t="s">
        <v>289</v>
      </c>
      <c r="Y413" s="1" t="s">
        <v>58</v>
      </c>
      <c r="AA413" s="3">
        <v>24777</v>
      </c>
      <c r="AB413" s="1" t="s">
        <v>46</v>
      </c>
      <c r="AC413" s="5">
        <v>2185</v>
      </c>
      <c r="AD413" s="1" t="s">
        <v>1208</v>
      </c>
      <c r="AE413" s="1" t="str">
        <f t="shared" si="32"/>
        <v>1073 4</v>
      </c>
      <c r="AF413" s="5" t="str">
        <f t="shared" si="33"/>
        <v>148.8</v>
      </c>
      <c r="AG413" s="1" t="str">
        <f t="shared" si="31"/>
        <v/>
      </c>
    </row>
    <row r="414" spans="1:33" x14ac:dyDescent="0.2">
      <c r="A414" s="1" t="s">
        <v>1186</v>
      </c>
      <c r="B414" s="1" t="s">
        <v>1209</v>
      </c>
      <c r="C414" s="1">
        <v>1082</v>
      </c>
      <c r="D414" s="1">
        <v>3</v>
      </c>
      <c r="F414" s="1">
        <v>2023</v>
      </c>
      <c r="G414" s="1" t="s">
        <v>1188</v>
      </c>
      <c r="H414" s="1" t="s">
        <v>1210</v>
      </c>
      <c r="I414" s="1">
        <v>7</v>
      </c>
      <c r="K414" s="1" t="s">
        <v>1211</v>
      </c>
      <c r="L414" s="1" t="s">
        <v>1212</v>
      </c>
      <c r="M414" s="1">
        <v>155</v>
      </c>
      <c r="N414" s="1" t="s">
        <v>39</v>
      </c>
      <c r="O414" s="1">
        <v>41.18</v>
      </c>
      <c r="P414" s="1">
        <v>-95.840800000000002</v>
      </c>
      <c r="Q414" s="1" t="s">
        <v>1213</v>
      </c>
      <c r="R414" s="1" t="s">
        <v>41</v>
      </c>
      <c r="S414" s="1" t="s">
        <v>211</v>
      </c>
      <c r="T414" s="1" t="s">
        <v>89</v>
      </c>
      <c r="U414" s="1" t="s">
        <v>55</v>
      </c>
      <c r="V414" s="1" t="s">
        <v>94</v>
      </c>
      <c r="W414" s="1" t="s">
        <v>212</v>
      </c>
      <c r="X414" s="1" t="s">
        <v>289</v>
      </c>
      <c r="Y414" s="1" t="s">
        <v>232</v>
      </c>
      <c r="Z414" s="1" t="s">
        <v>214</v>
      </c>
      <c r="AA414" s="3">
        <v>28825</v>
      </c>
      <c r="AB414" s="1" t="s">
        <v>46</v>
      </c>
      <c r="AC414" s="5">
        <v>8500</v>
      </c>
      <c r="AD414" s="1" t="s">
        <v>1214</v>
      </c>
      <c r="AE414" s="1" t="str">
        <f t="shared" si="32"/>
        <v>1082 3</v>
      </c>
      <c r="AF414" s="5" t="str">
        <f t="shared" si="33"/>
        <v>725.9</v>
      </c>
      <c r="AG414" s="1" t="str">
        <f t="shared" si="31"/>
        <v/>
      </c>
    </row>
    <row r="415" spans="1:33" x14ac:dyDescent="0.2">
      <c r="A415" s="1" t="s">
        <v>1186</v>
      </c>
      <c r="B415" s="1" t="s">
        <v>1209</v>
      </c>
      <c r="C415" s="1">
        <v>1082</v>
      </c>
      <c r="D415" s="1">
        <v>4</v>
      </c>
      <c r="F415" s="1">
        <v>2023</v>
      </c>
      <c r="G415" s="1" t="s">
        <v>1188</v>
      </c>
      <c r="H415" s="1" t="s">
        <v>1210</v>
      </c>
      <c r="I415" s="1">
        <v>7</v>
      </c>
      <c r="K415" s="1" t="s">
        <v>1211</v>
      </c>
      <c r="L415" s="1" t="s">
        <v>1212</v>
      </c>
      <c r="M415" s="1">
        <v>155</v>
      </c>
      <c r="N415" s="1" t="s">
        <v>39</v>
      </c>
      <c r="O415" s="1">
        <v>41.18</v>
      </c>
      <c r="P415" s="1">
        <v>-95.840800000000002</v>
      </c>
      <c r="Q415" s="1" t="s">
        <v>1215</v>
      </c>
      <c r="R415" s="1" t="s">
        <v>41</v>
      </c>
      <c r="T415" s="1" t="s">
        <v>89</v>
      </c>
      <c r="U415" s="1" t="s">
        <v>55</v>
      </c>
      <c r="W415" s="1" t="s">
        <v>212</v>
      </c>
      <c r="X415" s="1" t="s">
        <v>563</v>
      </c>
      <c r="Y415" s="1" t="s">
        <v>232</v>
      </c>
      <c r="Z415" s="1" t="s">
        <v>214</v>
      </c>
      <c r="AA415" s="3">
        <v>39114</v>
      </c>
      <c r="AB415" s="1" t="s">
        <v>46</v>
      </c>
      <c r="AC415" s="5">
        <v>7994</v>
      </c>
      <c r="AD415" s="1" t="s">
        <v>1216</v>
      </c>
      <c r="AE415" s="1" t="str">
        <f t="shared" si="32"/>
        <v>1082 4</v>
      </c>
      <c r="AF415" s="5" t="str">
        <f t="shared" si="33"/>
        <v>923</v>
      </c>
      <c r="AG415" s="1" t="str">
        <f t="shared" si="31"/>
        <v>Y</v>
      </c>
    </row>
    <row r="416" spans="1:33" x14ac:dyDescent="0.2">
      <c r="A416" s="1" t="s">
        <v>1186</v>
      </c>
      <c r="B416" s="1" t="s">
        <v>1217</v>
      </c>
      <c r="C416" s="1">
        <v>1091</v>
      </c>
      <c r="D416" s="1">
        <v>3</v>
      </c>
      <c r="F416" s="1">
        <v>2023</v>
      </c>
      <c r="G416" s="1" t="s">
        <v>1188</v>
      </c>
      <c r="H416" s="1" t="s">
        <v>1210</v>
      </c>
      <c r="I416" s="1">
        <v>7</v>
      </c>
      <c r="K416" s="1" t="s">
        <v>1218</v>
      </c>
      <c r="L416" s="1" t="s">
        <v>1219</v>
      </c>
      <c r="M416" s="1">
        <v>193</v>
      </c>
      <c r="N416" s="1" t="s">
        <v>39</v>
      </c>
      <c r="O416" s="1">
        <v>42.325099999999999</v>
      </c>
      <c r="P416" s="1">
        <v>-96.3797</v>
      </c>
      <c r="Q416" s="1" t="s">
        <v>1220</v>
      </c>
      <c r="R416" s="1" t="s">
        <v>41</v>
      </c>
      <c r="S416" s="1" t="s">
        <v>211</v>
      </c>
      <c r="T416" s="1" t="s">
        <v>89</v>
      </c>
      <c r="U416" s="1" t="s">
        <v>55</v>
      </c>
      <c r="V416" s="1" t="s">
        <v>44</v>
      </c>
      <c r="W416" s="1" t="s">
        <v>212</v>
      </c>
      <c r="X416" s="1" t="s">
        <v>1221</v>
      </c>
      <c r="Y416" s="1" t="s">
        <v>123</v>
      </c>
      <c r="AA416" s="3">
        <v>27758</v>
      </c>
      <c r="AB416" s="1" t="s">
        <v>46</v>
      </c>
      <c r="AC416" s="5">
        <v>6050</v>
      </c>
      <c r="AD416" s="1" t="s">
        <v>1222</v>
      </c>
      <c r="AE416" s="1" t="str">
        <f t="shared" si="32"/>
        <v>1091 3</v>
      </c>
      <c r="AF416" s="5" t="str">
        <f t="shared" si="33"/>
        <v>549.8</v>
      </c>
      <c r="AG416" s="1" t="str">
        <f t="shared" si="31"/>
        <v>Y</v>
      </c>
    </row>
    <row r="417" spans="1:33" x14ac:dyDescent="0.2">
      <c r="A417" s="1" t="s">
        <v>1186</v>
      </c>
      <c r="B417" s="1" t="s">
        <v>1223</v>
      </c>
      <c r="C417" s="1">
        <v>1104</v>
      </c>
      <c r="D417" s="1">
        <v>1</v>
      </c>
      <c r="F417" s="1">
        <v>2023</v>
      </c>
      <c r="G417" s="1" t="s">
        <v>1207</v>
      </c>
      <c r="H417" s="1">
        <v>608055</v>
      </c>
      <c r="I417" s="1">
        <v>7</v>
      </c>
      <c r="J417" s="1" t="s">
        <v>207</v>
      </c>
      <c r="K417" s="1" t="s">
        <v>1224</v>
      </c>
      <c r="L417" s="1" t="s">
        <v>1225</v>
      </c>
      <c r="M417" s="1">
        <v>57</v>
      </c>
      <c r="N417" s="1" t="s">
        <v>39</v>
      </c>
      <c r="O417" s="1">
        <v>40.741199999999999</v>
      </c>
      <c r="P417" s="1">
        <v>-91.116799999999998</v>
      </c>
      <c r="Q417" s="1" t="s">
        <v>1191</v>
      </c>
      <c r="R417" s="1" t="s">
        <v>120</v>
      </c>
      <c r="S417" s="1" t="s">
        <v>121</v>
      </c>
      <c r="T417" s="1" t="s">
        <v>43</v>
      </c>
      <c r="U417" s="1" t="s">
        <v>44</v>
      </c>
      <c r="X417" s="1" t="s">
        <v>1226</v>
      </c>
      <c r="AA417" s="3">
        <v>24998</v>
      </c>
      <c r="AB417" s="1" t="s">
        <v>46</v>
      </c>
      <c r="AC417" s="5">
        <v>2700</v>
      </c>
      <c r="AD417" s="1" t="s">
        <v>1227</v>
      </c>
      <c r="AE417" s="1" t="str">
        <f t="shared" si="32"/>
        <v>1104 1</v>
      </c>
      <c r="AF417" s="5" t="str">
        <f t="shared" si="33"/>
        <v>212</v>
      </c>
      <c r="AG417" s="1" t="str">
        <f t="shared" si="31"/>
        <v/>
      </c>
    </row>
    <row r="418" spans="1:33" x14ac:dyDescent="0.2">
      <c r="A418" s="1" t="s">
        <v>1186</v>
      </c>
      <c r="B418" s="1" t="s">
        <v>1228</v>
      </c>
      <c r="C418" s="1">
        <v>1122</v>
      </c>
      <c r="D418" s="1">
        <v>7</v>
      </c>
      <c r="F418" s="1">
        <v>2023</v>
      </c>
      <c r="G418" s="1" t="s">
        <v>1207</v>
      </c>
      <c r="H418" s="1">
        <v>602968</v>
      </c>
      <c r="I418" s="1">
        <v>7</v>
      </c>
      <c r="J418" s="1" t="s">
        <v>207</v>
      </c>
      <c r="K418" s="1" t="s">
        <v>1229</v>
      </c>
      <c r="L418" s="1" t="s">
        <v>1230</v>
      </c>
      <c r="M418" s="1">
        <v>169</v>
      </c>
      <c r="N418" s="1" t="s">
        <v>39</v>
      </c>
      <c r="O418" s="1">
        <v>42.024700000000003</v>
      </c>
      <c r="P418" s="1">
        <v>-93.606899999999996</v>
      </c>
      <c r="Q418" s="1" t="s">
        <v>1231</v>
      </c>
      <c r="R418" s="1" t="s">
        <v>41</v>
      </c>
      <c r="S418" s="1" t="s">
        <v>211</v>
      </c>
      <c r="T418" s="1" t="s">
        <v>43</v>
      </c>
      <c r="U418" s="1" t="s">
        <v>284</v>
      </c>
      <c r="V418" s="1" t="s">
        <v>1232</v>
      </c>
      <c r="X418" s="1" t="s">
        <v>1233</v>
      </c>
      <c r="Y418" s="1" t="s">
        <v>58</v>
      </c>
      <c r="AA418" s="3">
        <v>25051</v>
      </c>
      <c r="AB418" s="1" t="s">
        <v>46</v>
      </c>
      <c r="AC418" s="5">
        <v>574</v>
      </c>
      <c r="AD418" s="1" t="s">
        <v>1234</v>
      </c>
      <c r="AE418" s="1" t="str">
        <f t="shared" si="32"/>
        <v>1122 7</v>
      </c>
      <c r="AF418" s="5" t="str">
        <f t="shared" si="33"/>
        <v>33</v>
      </c>
      <c r="AG418" s="1" t="str">
        <f t="shared" si="31"/>
        <v/>
      </c>
    </row>
    <row r="419" spans="1:33" x14ac:dyDescent="0.2">
      <c r="A419" s="1" t="s">
        <v>1186</v>
      </c>
      <c r="B419" s="1" t="s">
        <v>1228</v>
      </c>
      <c r="C419" s="1">
        <v>1122</v>
      </c>
      <c r="D419" s="1">
        <v>8</v>
      </c>
      <c r="F419" s="1">
        <v>2023</v>
      </c>
      <c r="G419" s="1" t="s">
        <v>1207</v>
      </c>
      <c r="H419" s="1">
        <v>602968</v>
      </c>
      <c r="I419" s="1">
        <v>7</v>
      </c>
      <c r="J419" s="1" t="s">
        <v>207</v>
      </c>
      <c r="K419" s="1" t="s">
        <v>1229</v>
      </c>
      <c r="L419" s="1" t="s">
        <v>1230</v>
      </c>
      <c r="M419" s="1">
        <v>169</v>
      </c>
      <c r="N419" s="1" t="s">
        <v>39</v>
      </c>
      <c r="O419" s="1">
        <v>42.024700000000003</v>
      </c>
      <c r="P419" s="1">
        <v>-93.606899999999996</v>
      </c>
      <c r="Q419" s="1" t="s">
        <v>1231</v>
      </c>
      <c r="R419" s="1" t="s">
        <v>41</v>
      </c>
      <c r="S419" s="1" t="s">
        <v>211</v>
      </c>
      <c r="T419" s="1" t="s">
        <v>89</v>
      </c>
      <c r="U419" s="1" t="s">
        <v>284</v>
      </c>
      <c r="V419" s="1" t="s">
        <v>1232</v>
      </c>
      <c r="X419" s="1" t="s">
        <v>289</v>
      </c>
      <c r="Y419" s="1" t="s">
        <v>58</v>
      </c>
      <c r="AA419" s="3">
        <v>30011</v>
      </c>
      <c r="AB419" s="1" t="s">
        <v>46</v>
      </c>
      <c r="AC419" s="5">
        <v>903.8</v>
      </c>
      <c r="AD419" s="1" t="s">
        <v>1235</v>
      </c>
      <c r="AE419" s="1" t="str">
        <f t="shared" si="32"/>
        <v>1122 8</v>
      </c>
      <c r="AF419" s="5" t="str">
        <f t="shared" si="33"/>
        <v>65</v>
      </c>
      <c r="AG419" s="1" t="str">
        <f t="shared" si="31"/>
        <v/>
      </c>
    </row>
    <row r="420" spans="1:33" x14ac:dyDescent="0.2">
      <c r="A420" s="1" t="s">
        <v>1186</v>
      </c>
      <c r="B420" s="1" t="s">
        <v>1236</v>
      </c>
      <c r="C420" s="1">
        <v>1131</v>
      </c>
      <c r="D420" s="1">
        <v>7</v>
      </c>
      <c r="F420" s="1">
        <v>2023</v>
      </c>
      <c r="G420" s="1" t="s">
        <v>1188</v>
      </c>
      <c r="H420" s="1">
        <v>608731</v>
      </c>
      <c r="I420" s="1">
        <v>7</v>
      </c>
      <c r="J420" s="1" t="s">
        <v>207</v>
      </c>
      <c r="K420" s="1" t="s">
        <v>1237</v>
      </c>
      <c r="L420" s="1" t="s">
        <v>1238</v>
      </c>
      <c r="M420" s="1">
        <v>13</v>
      </c>
      <c r="N420" s="1" t="s">
        <v>39</v>
      </c>
      <c r="O420" s="1">
        <v>42.526699999999998</v>
      </c>
      <c r="P420" s="1">
        <v>-92.439400000000006</v>
      </c>
      <c r="Q420" s="1" t="s">
        <v>1239</v>
      </c>
      <c r="R420" s="1" t="s">
        <v>41</v>
      </c>
      <c r="T420" s="1" t="s">
        <v>89</v>
      </c>
      <c r="U420" s="1" t="s">
        <v>44</v>
      </c>
      <c r="V420" s="1" t="s">
        <v>55</v>
      </c>
      <c r="Y420" s="1" t="s">
        <v>58</v>
      </c>
      <c r="AA420" s="3">
        <v>26724</v>
      </c>
      <c r="AB420" s="1" t="s">
        <v>46</v>
      </c>
      <c r="AC420" s="5">
        <v>500</v>
      </c>
      <c r="AD420" s="1" t="s">
        <v>1240</v>
      </c>
      <c r="AE420" s="1" t="str">
        <f t="shared" si="32"/>
        <v>1131 7</v>
      </c>
      <c r="AF420" s="5" t="str">
        <f t="shared" si="33"/>
        <v>35</v>
      </c>
      <c r="AG420" s="1" t="str">
        <f t="shared" si="31"/>
        <v/>
      </c>
    </row>
    <row r="421" spans="1:33" x14ac:dyDescent="0.2">
      <c r="A421" s="1" t="s">
        <v>1186</v>
      </c>
      <c r="B421" s="1" t="s">
        <v>1241</v>
      </c>
      <c r="C421" s="1">
        <v>1167</v>
      </c>
      <c r="D421" s="1">
        <v>8</v>
      </c>
      <c r="F421" s="1">
        <v>2023</v>
      </c>
      <c r="G421" s="1" t="s">
        <v>1188</v>
      </c>
      <c r="H421" s="1">
        <v>606909</v>
      </c>
      <c r="I421" s="1">
        <v>7</v>
      </c>
      <c r="J421" s="1" t="s">
        <v>207</v>
      </c>
      <c r="K421" s="1" t="s">
        <v>1242</v>
      </c>
      <c r="L421" s="1" t="s">
        <v>1243</v>
      </c>
      <c r="M421" s="1">
        <v>139</v>
      </c>
      <c r="N421" s="1" t="s">
        <v>39</v>
      </c>
      <c r="O421" s="1">
        <v>41.3917</v>
      </c>
      <c r="P421" s="1">
        <v>-91.056899999999999</v>
      </c>
      <c r="Q421" s="1" t="s">
        <v>1244</v>
      </c>
      <c r="R421" s="1" t="s">
        <v>41</v>
      </c>
      <c r="T421" s="1" t="s">
        <v>606</v>
      </c>
      <c r="U421" s="1" t="s">
        <v>55</v>
      </c>
      <c r="V421" s="1" t="s">
        <v>284</v>
      </c>
      <c r="X421" s="1" t="s">
        <v>220</v>
      </c>
      <c r="Y421" s="1" t="s">
        <v>58</v>
      </c>
      <c r="Z421" s="1" t="s">
        <v>937</v>
      </c>
      <c r="AA421" s="3">
        <v>25538</v>
      </c>
      <c r="AB421" s="1" t="s">
        <v>46</v>
      </c>
      <c r="AC421" s="5">
        <v>1080</v>
      </c>
      <c r="AD421" s="1" t="s">
        <v>1245</v>
      </c>
      <c r="AE421" s="1" t="str">
        <f t="shared" si="32"/>
        <v>1167 8</v>
      </c>
      <c r="AF421" s="5" t="str">
        <f t="shared" si="33"/>
        <v>75</v>
      </c>
      <c r="AG421" s="1" t="str">
        <f t="shared" si="31"/>
        <v/>
      </c>
    </row>
    <row r="422" spans="1:33" x14ac:dyDescent="0.2">
      <c r="A422" s="1" t="s">
        <v>1186</v>
      </c>
      <c r="B422" s="1" t="s">
        <v>1241</v>
      </c>
      <c r="C422" s="1">
        <v>1167</v>
      </c>
      <c r="D422" s="1">
        <v>9</v>
      </c>
      <c r="F422" s="1">
        <v>2023</v>
      </c>
      <c r="G422" s="1" t="s">
        <v>1188</v>
      </c>
      <c r="H422" s="1">
        <v>606909</v>
      </c>
      <c r="I422" s="1">
        <v>7</v>
      </c>
      <c r="J422" s="1" t="s">
        <v>207</v>
      </c>
      <c r="K422" s="1" t="s">
        <v>1242</v>
      </c>
      <c r="L422" s="1" t="s">
        <v>1243</v>
      </c>
      <c r="M422" s="1">
        <v>139</v>
      </c>
      <c r="N422" s="1" t="s">
        <v>39</v>
      </c>
      <c r="O422" s="1">
        <v>41.3917</v>
      </c>
      <c r="P422" s="1">
        <v>-91.056899999999999</v>
      </c>
      <c r="Q422" s="1" t="s">
        <v>1244</v>
      </c>
      <c r="R422" s="1" t="s">
        <v>41</v>
      </c>
      <c r="S422" s="1" t="s">
        <v>42</v>
      </c>
      <c r="T422" s="1" t="s">
        <v>43</v>
      </c>
      <c r="U422" s="1" t="s">
        <v>55</v>
      </c>
      <c r="V422" s="1" t="s">
        <v>94</v>
      </c>
      <c r="W422" s="1" t="s">
        <v>56</v>
      </c>
      <c r="X422" s="1" t="s">
        <v>220</v>
      </c>
      <c r="Y422" s="1" t="s">
        <v>58</v>
      </c>
      <c r="Z422" s="1" t="s">
        <v>937</v>
      </c>
      <c r="AA422" s="3">
        <v>30437</v>
      </c>
      <c r="AB422" s="1" t="s">
        <v>46</v>
      </c>
      <c r="AC422" s="5">
        <v>2200</v>
      </c>
      <c r="AD422" s="1" t="s">
        <v>1246</v>
      </c>
      <c r="AE422" s="1" t="str">
        <f t="shared" si="32"/>
        <v>1167 9</v>
      </c>
      <c r="AF422" s="5" t="str">
        <f t="shared" si="33"/>
        <v>175.5</v>
      </c>
      <c r="AG422" s="1" t="str">
        <f t="shared" si="31"/>
        <v/>
      </c>
    </row>
    <row r="423" spans="1:33" x14ac:dyDescent="0.2">
      <c r="A423" s="1" t="s">
        <v>1186</v>
      </c>
      <c r="B423" s="1" t="s">
        <v>1247</v>
      </c>
      <c r="C423" s="1">
        <v>1206</v>
      </c>
      <c r="D423" s="1" t="s">
        <v>1248</v>
      </c>
      <c r="F423" s="1">
        <v>2023</v>
      </c>
      <c r="G423" s="1" t="s">
        <v>1195</v>
      </c>
      <c r="H423" s="1">
        <v>602883</v>
      </c>
      <c r="I423" s="1">
        <v>7</v>
      </c>
      <c r="J423" s="1" t="s">
        <v>207</v>
      </c>
      <c r="K423" s="1" t="s">
        <v>1249</v>
      </c>
      <c r="L423" s="1" t="s">
        <v>1250</v>
      </c>
      <c r="M423" s="1">
        <v>175</v>
      </c>
      <c r="N423" s="1" t="s">
        <v>39</v>
      </c>
      <c r="O423" s="1">
        <v>41.114100000000001</v>
      </c>
      <c r="P423" s="1">
        <v>-94.349900000000005</v>
      </c>
      <c r="Q423" s="1" t="s">
        <v>1251</v>
      </c>
      <c r="T423" s="1" t="s">
        <v>93</v>
      </c>
      <c r="U423" s="1" t="s">
        <v>44</v>
      </c>
      <c r="V423" s="1" t="s">
        <v>94</v>
      </c>
      <c r="AA423" s="3">
        <v>26846</v>
      </c>
      <c r="AB423" s="1" t="s">
        <v>46</v>
      </c>
      <c r="AC423" s="5">
        <v>485</v>
      </c>
      <c r="AD423" s="1" t="s">
        <v>1252</v>
      </c>
      <c r="AE423" s="1" t="str">
        <f t="shared" si="32"/>
        <v>1206 1G</v>
      </c>
      <c r="AF423" s="5" t="str">
        <f t="shared" si="33"/>
        <v>27</v>
      </c>
      <c r="AG423" s="1" t="str">
        <f t="shared" si="31"/>
        <v/>
      </c>
    </row>
    <row r="424" spans="1:33" x14ac:dyDescent="0.2">
      <c r="A424" s="1" t="s">
        <v>1186</v>
      </c>
      <c r="B424" s="1" t="s">
        <v>1247</v>
      </c>
      <c r="C424" s="1">
        <v>1206</v>
      </c>
      <c r="D424" s="1" t="s">
        <v>1253</v>
      </c>
      <c r="F424" s="1">
        <v>2023</v>
      </c>
      <c r="G424" s="1" t="s">
        <v>1195</v>
      </c>
      <c r="H424" s="1">
        <v>602883</v>
      </c>
      <c r="I424" s="1">
        <v>7</v>
      </c>
      <c r="J424" s="1" t="s">
        <v>207</v>
      </c>
      <c r="K424" s="1" t="s">
        <v>1249</v>
      </c>
      <c r="L424" s="1" t="s">
        <v>1250</v>
      </c>
      <c r="M424" s="1">
        <v>175</v>
      </c>
      <c r="N424" s="1" t="s">
        <v>39</v>
      </c>
      <c r="O424" s="1">
        <v>41.114100000000001</v>
      </c>
      <c r="P424" s="1">
        <v>-94.349900000000005</v>
      </c>
      <c r="Q424" s="1" t="s">
        <v>1251</v>
      </c>
      <c r="T424" s="1" t="s">
        <v>93</v>
      </c>
      <c r="U424" s="1" t="s">
        <v>44</v>
      </c>
      <c r="V424" s="1" t="s">
        <v>94</v>
      </c>
      <c r="AA424" s="3">
        <v>27546</v>
      </c>
      <c r="AB424" s="1" t="s">
        <v>46</v>
      </c>
      <c r="AC424" s="5">
        <v>480</v>
      </c>
      <c r="AD424" s="1" t="s">
        <v>1254</v>
      </c>
      <c r="AE424" s="1" t="str">
        <f t="shared" si="32"/>
        <v>1206 2G</v>
      </c>
      <c r="AF424" s="5" t="str">
        <f t="shared" si="33"/>
        <v>35.3</v>
      </c>
      <c r="AG424" s="1" t="str">
        <f t="shared" si="31"/>
        <v/>
      </c>
    </row>
    <row r="425" spans="1:33" x14ac:dyDescent="0.2">
      <c r="A425" s="1" t="s">
        <v>1186</v>
      </c>
      <c r="B425" s="1" t="s">
        <v>1255</v>
      </c>
      <c r="C425" s="1">
        <v>1217</v>
      </c>
      <c r="D425" s="1">
        <v>1</v>
      </c>
      <c r="F425" s="1">
        <v>2023</v>
      </c>
      <c r="G425" s="1" t="s">
        <v>1207</v>
      </c>
      <c r="H425" s="1">
        <v>609168</v>
      </c>
      <c r="I425" s="1">
        <v>7</v>
      </c>
      <c r="J425" s="1" t="s">
        <v>207</v>
      </c>
      <c r="K425" s="1" t="s">
        <v>1256</v>
      </c>
      <c r="L425" s="1" t="s">
        <v>1257</v>
      </c>
      <c r="M425" s="1">
        <v>41</v>
      </c>
      <c r="N425" s="1" t="s">
        <v>39</v>
      </c>
      <c r="O425" s="1">
        <v>43.160600000000002</v>
      </c>
      <c r="P425" s="1">
        <v>-95.256900000000002</v>
      </c>
      <c r="Q425" s="1" t="s">
        <v>1258</v>
      </c>
      <c r="R425" s="1" t="s">
        <v>41</v>
      </c>
      <c r="S425" s="1" t="s">
        <v>42</v>
      </c>
      <c r="T425" s="1" t="s">
        <v>89</v>
      </c>
      <c r="U425" s="1" t="s">
        <v>44</v>
      </c>
      <c r="V425" s="1" t="s">
        <v>94</v>
      </c>
      <c r="X425" s="1" t="s">
        <v>90</v>
      </c>
      <c r="AA425" s="3">
        <v>22065</v>
      </c>
      <c r="AB425" s="1" t="s">
        <v>46</v>
      </c>
      <c r="AC425" s="5">
        <v>480</v>
      </c>
      <c r="AD425" s="1" t="s">
        <v>1183</v>
      </c>
      <c r="AE425" s="1" t="str">
        <f t="shared" si="32"/>
        <v>1217 1</v>
      </c>
      <c r="AF425" s="5" t="str">
        <f t="shared" si="33"/>
        <v>33</v>
      </c>
      <c r="AG425" s="1" t="str">
        <f t="shared" si="31"/>
        <v/>
      </c>
    </row>
    <row r="426" spans="1:33" x14ac:dyDescent="0.2">
      <c r="A426" s="1" t="s">
        <v>1186</v>
      </c>
      <c r="B426" s="1" t="s">
        <v>1255</v>
      </c>
      <c r="C426" s="1">
        <v>1217</v>
      </c>
      <c r="D426" s="1">
        <v>2</v>
      </c>
      <c r="F426" s="1">
        <v>2023</v>
      </c>
      <c r="G426" s="1" t="s">
        <v>1207</v>
      </c>
      <c r="H426" s="1">
        <v>609168</v>
      </c>
      <c r="I426" s="1">
        <v>7</v>
      </c>
      <c r="J426" s="1" t="s">
        <v>207</v>
      </c>
      <c r="K426" s="1" t="s">
        <v>1256</v>
      </c>
      <c r="L426" s="1" t="s">
        <v>1257</v>
      </c>
      <c r="M426" s="1">
        <v>41</v>
      </c>
      <c r="N426" s="1" t="s">
        <v>39</v>
      </c>
      <c r="O426" s="1">
        <v>43.160600000000002</v>
      </c>
      <c r="P426" s="1">
        <v>-95.256900000000002</v>
      </c>
      <c r="Q426" s="1" t="s">
        <v>1259</v>
      </c>
      <c r="R426" s="1" t="s">
        <v>41</v>
      </c>
      <c r="T426" s="1" t="s">
        <v>93</v>
      </c>
      <c r="U426" s="1" t="s">
        <v>44</v>
      </c>
      <c r="V426" s="1" t="s">
        <v>94</v>
      </c>
      <c r="X426" s="1" t="s">
        <v>183</v>
      </c>
      <c r="AA426" s="3">
        <v>38065</v>
      </c>
      <c r="AB426" s="1" t="s">
        <v>46</v>
      </c>
      <c r="AC426" s="5">
        <v>1096.9000000000001</v>
      </c>
      <c r="AD426" s="1" t="s">
        <v>1260</v>
      </c>
      <c r="AE426" s="1" t="str">
        <f t="shared" si="32"/>
        <v>1217 2</v>
      </c>
      <c r="AF426" s="5" t="str">
        <f t="shared" si="33"/>
        <v>96</v>
      </c>
      <c r="AG426" s="1" t="str">
        <f t="shared" si="31"/>
        <v/>
      </c>
    </row>
    <row r="427" spans="1:33" x14ac:dyDescent="0.2">
      <c r="A427" s="1" t="s">
        <v>225</v>
      </c>
      <c r="B427" s="1" t="s">
        <v>1261</v>
      </c>
      <c r="C427" s="1">
        <v>1230</v>
      </c>
      <c r="D427" s="1">
        <v>1</v>
      </c>
      <c r="F427" s="1">
        <v>2023</v>
      </c>
      <c r="G427" s="1" t="s">
        <v>35</v>
      </c>
      <c r="H427" s="1">
        <v>608386</v>
      </c>
      <c r="I427" s="1">
        <v>7</v>
      </c>
      <c r="J427" s="1" t="s">
        <v>228</v>
      </c>
      <c r="K427" s="1" t="s">
        <v>1262</v>
      </c>
      <c r="L427" s="1" t="s">
        <v>1263</v>
      </c>
      <c r="M427" s="1">
        <v>175</v>
      </c>
      <c r="N427" s="1" t="s">
        <v>39</v>
      </c>
      <c r="O427" s="1">
        <v>37.161099999999998</v>
      </c>
      <c r="P427" s="1">
        <v>-100.7619</v>
      </c>
      <c r="Q427" s="1" t="s">
        <v>231</v>
      </c>
      <c r="R427" s="1" t="s">
        <v>41</v>
      </c>
      <c r="T427" s="1" t="s">
        <v>89</v>
      </c>
      <c r="U427" s="1" t="s">
        <v>44</v>
      </c>
      <c r="AA427" s="3">
        <v>23287</v>
      </c>
      <c r="AB427" s="1" t="s">
        <v>46</v>
      </c>
      <c r="AC427" s="5">
        <v>764</v>
      </c>
      <c r="AD427" s="1" t="s">
        <v>1264</v>
      </c>
      <c r="AE427" s="1" t="str">
        <f t="shared" si="32"/>
        <v>1230 1</v>
      </c>
      <c r="AF427" s="5" t="str">
        <f t="shared" si="33"/>
        <v>62</v>
      </c>
      <c r="AG427" s="1" t="str">
        <f t="shared" si="31"/>
        <v/>
      </c>
    </row>
    <row r="428" spans="1:33" x14ac:dyDescent="0.2">
      <c r="A428" s="1" t="s">
        <v>225</v>
      </c>
      <c r="B428" s="1" t="s">
        <v>1265</v>
      </c>
      <c r="C428" s="1">
        <v>1233</v>
      </c>
      <c r="D428" s="1">
        <v>4</v>
      </c>
      <c r="F428" s="1">
        <v>2023</v>
      </c>
      <c r="G428" s="1" t="s">
        <v>35</v>
      </c>
      <c r="H428" s="1">
        <v>608386</v>
      </c>
      <c r="I428" s="1">
        <v>7</v>
      </c>
      <c r="J428" s="1" t="s">
        <v>228</v>
      </c>
      <c r="K428" s="1" t="s">
        <v>1266</v>
      </c>
      <c r="L428" s="1" t="s">
        <v>1267</v>
      </c>
      <c r="M428" s="1">
        <v>57</v>
      </c>
      <c r="N428" s="1" t="s">
        <v>39</v>
      </c>
      <c r="O428" s="1">
        <v>37.732799999999997</v>
      </c>
      <c r="P428" s="1">
        <v>-99.949700000000007</v>
      </c>
      <c r="Q428" s="1" t="s">
        <v>231</v>
      </c>
      <c r="R428" s="1" t="s">
        <v>41</v>
      </c>
      <c r="T428" s="1" t="s">
        <v>89</v>
      </c>
      <c r="U428" s="1" t="s">
        <v>44</v>
      </c>
      <c r="AA428" s="3">
        <v>25355</v>
      </c>
      <c r="AB428" s="1" t="s">
        <v>46</v>
      </c>
      <c r="AC428" s="5">
        <v>1648</v>
      </c>
      <c r="AD428" s="1" t="s">
        <v>1268</v>
      </c>
      <c r="AE428" s="1" t="str">
        <f t="shared" si="32"/>
        <v>1233 4</v>
      </c>
      <c r="AF428" s="5" t="str">
        <f t="shared" si="33"/>
        <v>160</v>
      </c>
      <c r="AG428" s="1" t="str">
        <f t="shared" si="31"/>
        <v/>
      </c>
    </row>
    <row r="429" spans="1:33" x14ac:dyDescent="0.2">
      <c r="A429" s="1" t="s">
        <v>225</v>
      </c>
      <c r="B429" s="1" t="s">
        <v>1269</v>
      </c>
      <c r="C429" s="1">
        <v>1235</v>
      </c>
      <c r="D429" s="1">
        <v>3</v>
      </c>
      <c r="F429" s="1">
        <v>2023</v>
      </c>
      <c r="G429" s="1" t="s">
        <v>35</v>
      </c>
      <c r="H429" s="1">
        <v>608386</v>
      </c>
      <c r="I429" s="1">
        <v>7</v>
      </c>
      <c r="J429" s="1" t="s">
        <v>228</v>
      </c>
      <c r="K429" s="1" t="s">
        <v>1270</v>
      </c>
      <c r="L429" s="1" t="s">
        <v>1271</v>
      </c>
      <c r="M429" s="1">
        <v>9</v>
      </c>
      <c r="N429" s="1" t="s">
        <v>39</v>
      </c>
      <c r="O429" s="1">
        <v>38.409999999999997</v>
      </c>
      <c r="P429" s="1">
        <v>-98.868899999999996</v>
      </c>
      <c r="Q429" s="1" t="s">
        <v>231</v>
      </c>
      <c r="R429" s="1" t="s">
        <v>41</v>
      </c>
      <c r="T429" s="1" t="s">
        <v>89</v>
      </c>
      <c r="U429" s="1" t="s">
        <v>44</v>
      </c>
      <c r="AA429" s="3">
        <v>23362</v>
      </c>
      <c r="AB429" s="1" t="s">
        <v>46</v>
      </c>
      <c r="AC429" s="5">
        <v>1046.2</v>
      </c>
      <c r="AD429" s="1" t="s">
        <v>1272</v>
      </c>
      <c r="AE429" s="1" t="str">
        <f t="shared" si="32"/>
        <v>1235 3</v>
      </c>
      <c r="AF429" s="5" t="str">
        <f t="shared" si="33"/>
        <v>105</v>
      </c>
      <c r="AG429" s="1" t="str">
        <f t="shared" si="31"/>
        <v/>
      </c>
    </row>
    <row r="430" spans="1:33" x14ac:dyDescent="0.2">
      <c r="A430" s="1" t="s">
        <v>225</v>
      </c>
      <c r="B430" s="1" t="s">
        <v>1273</v>
      </c>
      <c r="C430" s="1">
        <v>1239</v>
      </c>
      <c r="D430" s="1">
        <v>12</v>
      </c>
      <c r="F430" s="1">
        <v>2023</v>
      </c>
      <c r="G430" s="1" t="s">
        <v>35</v>
      </c>
      <c r="H430" s="1" t="s">
        <v>1274</v>
      </c>
      <c r="I430" s="1">
        <v>7</v>
      </c>
      <c r="J430" s="1" t="s">
        <v>228</v>
      </c>
      <c r="K430" s="1" t="s">
        <v>1275</v>
      </c>
      <c r="L430" s="1" t="s">
        <v>1276</v>
      </c>
      <c r="M430" s="1">
        <v>21</v>
      </c>
      <c r="N430" s="1" t="s">
        <v>39</v>
      </c>
      <c r="O430" s="1">
        <v>37.071899999999999</v>
      </c>
      <c r="P430" s="1">
        <v>-94.698599999999999</v>
      </c>
      <c r="Q430" s="1" t="s">
        <v>1277</v>
      </c>
      <c r="R430" s="1" t="s">
        <v>41</v>
      </c>
      <c r="T430" s="1" t="s">
        <v>71</v>
      </c>
      <c r="U430" s="1" t="s">
        <v>44</v>
      </c>
      <c r="X430" s="1" t="s">
        <v>223</v>
      </c>
      <c r="AA430" s="3">
        <v>39093</v>
      </c>
      <c r="AB430" s="1" t="s">
        <v>46</v>
      </c>
      <c r="AC430" s="5">
        <v>2085</v>
      </c>
      <c r="AD430" s="1" t="s">
        <v>1278</v>
      </c>
      <c r="AE430" s="1" t="str">
        <f t="shared" si="32"/>
        <v>1239 12</v>
      </c>
      <c r="AF430" s="14">
        <f>MID(AD430,FIND("(",AD430)+1,FIND(")",AD430)-FIND("(",AD430)-1)+150</f>
        <v>268.8</v>
      </c>
      <c r="AG430" s="1" t="str">
        <f t="shared" si="31"/>
        <v>Y</v>
      </c>
    </row>
    <row r="431" spans="1:33" x14ac:dyDescent="0.2">
      <c r="A431" s="1" t="s">
        <v>225</v>
      </c>
      <c r="B431" s="1" t="s">
        <v>1279</v>
      </c>
      <c r="C431" s="1">
        <v>1240</v>
      </c>
      <c r="D431" s="1" t="s">
        <v>1280</v>
      </c>
      <c r="F431" s="1">
        <v>2023</v>
      </c>
      <c r="G431" s="1" t="s">
        <v>35</v>
      </c>
      <c r="H431" s="1">
        <v>605879</v>
      </c>
      <c r="I431" s="1">
        <v>7</v>
      </c>
      <c r="J431" s="1" t="s">
        <v>228</v>
      </c>
      <c r="K431" s="1" t="s">
        <v>1281</v>
      </c>
      <c r="L431" s="1" t="s">
        <v>1282</v>
      </c>
      <c r="M431" s="1">
        <v>173</v>
      </c>
      <c r="N431" s="1" t="s">
        <v>39</v>
      </c>
      <c r="O431" s="1">
        <v>37.790300000000002</v>
      </c>
      <c r="P431" s="1">
        <v>-97.521699999999996</v>
      </c>
      <c r="Q431" s="1" t="s">
        <v>1283</v>
      </c>
      <c r="R431" s="1" t="s">
        <v>41</v>
      </c>
      <c r="T431" s="1" t="s">
        <v>93</v>
      </c>
      <c r="U431" s="1" t="s">
        <v>44</v>
      </c>
      <c r="V431" s="1" t="s">
        <v>94</v>
      </c>
      <c r="AA431" s="3">
        <v>36685</v>
      </c>
      <c r="AB431" s="1" t="s">
        <v>46</v>
      </c>
      <c r="AC431" s="5">
        <v>975</v>
      </c>
      <c r="AD431" s="1" t="s">
        <v>1284</v>
      </c>
      <c r="AE431" s="1" t="str">
        <f t="shared" si="32"/>
        <v>1240 E1CT</v>
      </c>
      <c r="AF431" s="5" t="str">
        <f t="shared" ref="AF431:AF464" si="34">MID(AD431,FIND("(",AD431)+1,FIND(")",AD431)-FIND("(",AD431)-1)</f>
        <v>88</v>
      </c>
      <c r="AG431" s="1" t="str">
        <f t="shared" si="31"/>
        <v/>
      </c>
    </row>
    <row r="432" spans="1:33" x14ac:dyDescent="0.2">
      <c r="A432" s="1" t="s">
        <v>225</v>
      </c>
      <c r="B432" s="1" t="s">
        <v>1279</v>
      </c>
      <c r="C432" s="1">
        <v>1240</v>
      </c>
      <c r="D432" s="1" t="s">
        <v>1285</v>
      </c>
      <c r="F432" s="1">
        <v>2023</v>
      </c>
      <c r="G432" s="1" t="s">
        <v>35</v>
      </c>
      <c r="H432" s="1">
        <v>605879</v>
      </c>
      <c r="I432" s="1">
        <v>7</v>
      </c>
      <c r="J432" s="1" t="s">
        <v>228</v>
      </c>
      <c r="K432" s="1" t="s">
        <v>1281</v>
      </c>
      <c r="L432" s="1" t="s">
        <v>1282</v>
      </c>
      <c r="M432" s="1">
        <v>173</v>
      </c>
      <c r="N432" s="1" t="s">
        <v>39</v>
      </c>
      <c r="O432" s="1">
        <v>37.790300000000002</v>
      </c>
      <c r="P432" s="1">
        <v>-97.521699999999996</v>
      </c>
      <c r="Q432" s="1" t="s">
        <v>1283</v>
      </c>
      <c r="R432" s="1" t="s">
        <v>41</v>
      </c>
      <c r="T432" s="1" t="s">
        <v>93</v>
      </c>
      <c r="U432" s="1" t="s">
        <v>44</v>
      </c>
      <c r="V432" s="1" t="s">
        <v>94</v>
      </c>
      <c r="AA432" s="3">
        <v>36685</v>
      </c>
      <c r="AB432" s="1" t="s">
        <v>46</v>
      </c>
      <c r="AC432" s="5">
        <v>975</v>
      </c>
      <c r="AD432" s="1" t="s">
        <v>1286</v>
      </c>
      <c r="AE432" s="1" t="str">
        <f t="shared" si="32"/>
        <v>1240 E2CT</v>
      </c>
      <c r="AF432" s="5" t="str">
        <f t="shared" si="34"/>
        <v>88</v>
      </c>
      <c r="AG432" s="1" t="str">
        <f t="shared" si="31"/>
        <v/>
      </c>
    </row>
    <row r="433" spans="1:33" x14ac:dyDescent="0.2">
      <c r="A433" s="1" t="s">
        <v>225</v>
      </c>
      <c r="B433" s="1" t="s">
        <v>1279</v>
      </c>
      <c r="C433" s="1">
        <v>1240</v>
      </c>
      <c r="D433" s="1" t="s">
        <v>1287</v>
      </c>
      <c r="F433" s="1">
        <v>2023</v>
      </c>
      <c r="G433" s="1" t="s">
        <v>35</v>
      </c>
      <c r="H433" s="1">
        <v>605879</v>
      </c>
      <c r="I433" s="1">
        <v>7</v>
      </c>
      <c r="J433" s="1" t="s">
        <v>228</v>
      </c>
      <c r="K433" s="1" t="s">
        <v>1281</v>
      </c>
      <c r="L433" s="1" t="s">
        <v>1282</v>
      </c>
      <c r="M433" s="1">
        <v>173</v>
      </c>
      <c r="N433" s="1" t="s">
        <v>39</v>
      </c>
      <c r="O433" s="1">
        <v>37.790300000000002</v>
      </c>
      <c r="P433" s="1">
        <v>-97.521699999999996</v>
      </c>
      <c r="Q433" s="1" t="s">
        <v>1283</v>
      </c>
      <c r="R433" s="1" t="s">
        <v>41</v>
      </c>
      <c r="T433" s="1" t="s">
        <v>93</v>
      </c>
      <c r="U433" s="1" t="s">
        <v>44</v>
      </c>
      <c r="V433" s="1" t="s">
        <v>94</v>
      </c>
      <c r="AA433" s="3">
        <v>37063</v>
      </c>
      <c r="AB433" s="1" t="s">
        <v>46</v>
      </c>
      <c r="AC433" s="5">
        <v>1860</v>
      </c>
      <c r="AD433" s="1" t="s">
        <v>1288</v>
      </c>
      <c r="AE433" s="1" t="str">
        <f t="shared" si="32"/>
        <v>1240 E3CT</v>
      </c>
      <c r="AF433" s="5" t="str">
        <f t="shared" si="34"/>
        <v>180</v>
      </c>
      <c r="AG433" s="1" t="str">
        <f t="shared" si="31"/>
        <v/>
      </c>
    </row>
    <row r="434" spans="1:33" x14ac:dyDescent="0.2">
      <c r="A434" s="1" t="s">
        <v>225</v>
      </c>
      <c r="B434" s="1" t="s">
        <v>1289</v>
      </c>
      <c r="C434" s="1">
        <v>1241</v>
      </c>
      <c r="D434" s="1">
        <v>1</v>
      </c>
      <c r="F434" s="1">
        <v>2023</v>
      </c>
      <c r="G434" s="1" t="s">
        <v>54</v>
      </c>
      <c r="H434" s="1">
        <v>605879</v>
      </c>
      <c r="I434" s="1">
        <v>7</v>
      </c>
      <c r="J434" s="1" t="s">
        <v>228</v>
      </c>
      <c r="K434" s="1" t="s">
        <v>1204</v>
      </c>
      <c r="L434" s="1" t="s">
        <v>1290</v>
      </c>
      <c r="M434" s="1">
        <v>107</v>
      </c>
      <c r="N434" s="1" t="s">
        <v>39</v>
      </c>
      <c r="O434" s="1">
        <v>38.347200000000001</v>
      </c>
      <c r="P434" s="1">
        <v>-94.638900000000007</v>
      </c>
      <c r="Q434" s="1" t="s">
        <v>1283</v>
      </c>
      <c r="R434" s="1" t="s">
        <v>41</v>
      </c>
      <c r="S434" s="1" t="s">
        <v>85</v>
      </c>
      <c r="T434" s="1" t="s">
        <v>606</v>
      </c>
      <c r="U434" s="1" t="s">
        <v>55</v>
      </c>
      <c r="W434" s="1" t="s">
        <v>56</v>
      </c>
      <c r="X434" s="1" t="s">
        <v>1010</v>
      </c>
      <c r="Y434" s="1" t="s">
        <v>232</v>
      </c>
      <c r="Z434" s="1" t="s">
        <v>214</v>
      </c>
      <c r="AA434" s="3">
        <v>26724</v>
      </c>
      <c r="AB434" s="1" t="s">
        <v>46</v>
      </c>
      <c r="AC434" s="5">
        <v>8850</v>
      </c>
      <c r="AD434" s="1" t="s">
        <v>1291</v>
      </c>
      <c r="AE434" s="1" t="str">
        <f t="shared" si="32"/>
        <v>1241 1</v>
      </c>
      <c r="AF434" s="5" t="str">
        <f t="shared" si="34"/>
        <v>893</v>
      </c>
      <c r="AG434" s="1" t="str">
        <f t="shared" si="31"/>
        <v>Y</v>
      </c>
    </row>
    <row r="435" spans="1:33" x14ac:dyDescent="0.2">
      <c r="A435" s="1" t="s">
        <v>225</v>
      </c>
      <c r="B435" s="1" t="s">
        <v>1289</v>
      </c>
      <c r="C435" s="1">
        <v>1241</v>
      </c>
      <c r="D435" s="1">
        <v>2</v>
      </c>
      <c r="F435" s="1">
        <v>2023</v>
      </c>
      <c r="G435" s="1" t="s">
        <v>54</v>
      </c>
      <c r="H435" s="1">
        <v>605879</v>
      </c>
      <c r="I435" s="1">
        <v>7</v>
      </c>
      <c r="J435" s="1" t="s">
        <v>228</v>
      </c>
      <c r="K435" s="1" t="s">
        <v>1204</v>
      </c>
      <c r="L435" s="1" t="s">
        <v>1290</v>
      </c>
      <c r="M435" s="1">
        <v>107</v>
      </c>
      <c r="N435" s="1" t="s">
        <v>39</v>
      </c>
      <c r="O435" s="1">
        <v>38.347200000000001</v>
      </c>
      <c r="P435" s="1">
        <v>-94.638900000000007</v>
      </c>
      <c r="Q435" s="1" t="s">
        <v>1283</v>
      </c>
      <c r="R435" s="1" t="s">
        <v>41</v>
      </c>
      <c r="S435" s="1" t="s">
        <v>121</v>
      </c>
      <c r="T435" s="1" t="s">
        <v>89</v>
      </c>
      <c r="U435" s="1" t="s">
        <v>55</v>
      </c>
      <c r="V435" s="1" t="s">
        <v>1292</v>
      </c>
      <c r="W435" s="1" t="s">
        <v>56</v>
      </c>
      <c r="X435" s="1" t="s">
        <v>1293</v>
      </c>
      <c r="Y435" s="1" t="s">
        <v>232</v>
      </c>
      <c r="Z435" s="1" t="s">
        <v>214</v>
      </c>
      <c r="AA435" s="3">
        <v>28157</v>
      </c>
      <c r="AB435" s="1" t="s">
        <v>46</v>
      </c>
      <c r="AC435" s="5">
        <v>7700</v>
      </c>
      <c r="AD435" s="1" t="s">
        <v>1294</v>
      </c>
      <c r="AE435" s="1" t="str">
        <f t="shared" si="32"/>
        <v>1241 2</v>
      </c>
      <c r="AF435" s="5" t="str">
        <f t="shared" si="34"/>
        <v>685</v>
      </c>
      <c r="AG435" s="1" t="str">
        <f t="shared" si="31"/>
        <v>Y</v>
      </c>
    </row>
    <row r="436" spans="1:33" x14ac:dyDescent="0.2">
      <c r="A436" s="1" t="s">
        <v>225</v>
      </c>
      <c r="B436" s="1" t="s">
        <v>1295</v>
      </c>
      <c r="C436" s="1">
        <v>1248</v>
      </c>
      <c r="D436" s="1" t="s">
        <v>1296</v>
      </c>
      <c r="F436" s="1">
        <v>2023</v>
      </c>
      <c r="G436" s="1" t="s">
        <v>133</v>
      </c>
      <c r="H436" s="1">
        <v>605879</v>
      </c>
      <c r="I436" s="1">
        <v>7</v>
      </c>
      <c r="J436" s="1" t="s">
        <v>228</v>
      </c>
      <c r="K436" s="1" t="s">
        <v>1297</v>
      </c>
      <c r="L436" s="1" t="s">
        <v>1298</v>
      </c>
      <c r="M436" s="1">
        <v>155</v>
      </c>
      <c r="N436" s="1" t="s">
        <v>39</v>
      </c>
      <c r="O436" s="1">
        <v>38.090600000000002</v>
      </c>
      <c r="P436" s="1">
        <v>-97.874700000000004</v>
      </c>
      <c r="Q436" s="1" t="s">
        <v>1283</v>
      </c>
      <c r="T436" s="1" t="s">
        <v>93</v>
      </c>
      <c r="U436" s="1" t="s">
        <v>44</v>
      </c>
      <c r="V436" s="1" t="s">
        <v>94</v>
      </c>
      <c r="AA436" s="3">
        <v>27179</v>
      </c>
      <c r="AB436" s="1" t="s">
        <v>46</v>
      </c>
      <c r="AC436" s="5">
        <v>775</v>
      </c>
      <c r="AD436" s="1" t="s">
        <v>1299</v>
      </c>
      <c r="AE436" s="1" t="str">
        <f t="shared" si="32"/>
        <v>1248 CT-1</v>
      </c>
      <c r="AF436" s="5" t="str">
        <f t="shared" si="34"/>
        <v>79.1</v>
      </c>
      <c r="AG436" s="1" t="str">
        <f t="shared" si="31"/>
        <v/>
      </c>
    </row>
    <row r="437" spans="1:33" x14ac:dyDescent="0.2">
      <c r="A437" s="1" t="s">
        <v>225</v>
      </c>
      <c r="B437" s="1" t="s">
        <v>1295</v>
      </c>
      <c r="C437" s="1">
        <v>1248</v>
      </c>
      <c r="D437" s="1" t="s">
        <v>1300</v>
      </c>
      <c r="F437" s="1">
        <v>2023</v>
      </c>
      <c r="G437" s="1" t="s">
        <v>133</v>
      </c>
      <c r="H437" s="1">
        <v>605879</v>
      </c>
      <c r="I437" s="1">
        <v>7</v>
      </c>
      <c r="J437" s="1" t="s">
        <v>228</v>
      </c>
      <c r="K437" s="1" t="s">
        <v>1297</v>
      </c>
      <c r="L437" s="1" t="s">
        <v>1298</v>
      </c>
      <c r="M437" s="1">
        <v>155</v>
      </c>
      <c r="N437" s="1" t="s">
        <v>39</v>
      </c>
      <c r="O437" s="1">
        <v>38.090600000000002</v>
      </c>
      <c r="P437" s="1">
        <v>-97.874700000000004</v>
      </c>
      <c r="Q437" s="1" t="s">
        <v>1283</v>
      </c>
      <c r="T437" s="1" t="s">
        <v>93</v>
      </c>
      <c r="U437" s="1" t="s">
        <v>44</v>
      </c>
      <c r="V437" s="1" t="s">
        <v>94</v>
      </c>
      <c r="AA437" s="3">
        <v>27167</v>
      </c>
      <c r="AB437" s="1" t="s">
        <v>46</v>
      </c>
      <c r="AC437" s="5">
        <v>775</v>
      </c>
      <c r="AD437" s="1" t="s">
        <v>1301</v>
      </c>
      <c r="AE437" s="1" t="str">
        <f t="shared" si="32"/>
        <v>1248 CT-2</v>
      </c>
      <c r="AF437" s="5" t="str">
        <f t="shared" si="34"/>
        <v>79.1</v>
      </c>
      <c r="AG437" s="1" t="str">
        <f t="shared" si="31"/>
        <v/>
      </c>
    </row>
    <row r="438" spans="1:33" x14ac:dyDescent="0.2">
      <c r="A438" s="1" t="s">
        <v>225</v>
      </c>
      <c r="B438" s="1" t="s">
        <v>1295</v>
      </c>
      <c r="C438" s="1">
        <v>1248</v>
      </c>
      <c r="D438" s="1" t="s">
        <v>1302</v>
      </c>
      <c r="F438" s="1">
        <v>2023</v>
      </c>
      <c r="G438" s="1" t="s">
        <v>133</v>
      </c>
      <c r="H438" s="1">
        <v>605879</v>
      </c>
      <c r="I438" s="1">
        <v>7</v>
      </c>
      <c r="J438" s="1" t="s">
        <v>228</v>
      </c>
      <c r="K438" s="1" t="s">
        <v>1297</v>
      </c>
      <c r="L438" s="1" t="s">
        <v>1298</v>
      </c>
      <c r="M438" s="1">
        <v>155</v>
      </c>
      <c r="N438" s="1" t="s">
        <v>39</v>
      </c>
      <c r="O438" s="1">
        <v>38.090600000000002</v>
      </c>
      <c r="P438" s="1">
        <v>-97.874700000000004</v>
      </c>
      <c r="Q438" s="1" t="s">
        <v>1283</v>
      </c>
      <c r="T438" s="1" t="s">
        <v>93</v>
      </c>
      <c r="U438" s="1" t="s">
        <v>44</v>
      </c>
      <c r="V438" s="1" t="s">
        <v>94</v>
      </c>
      <c r="AA438" s="3">
        <v>27160</v>
      </c>
      <c r="AB438" s="1" t="s">
        <v>46</v>
      </c>
      <c r="AC438" s="5">
        <v>775</v>
      </c>
      <c r="AD438" s="1" t="s">
        <v>1303</v>
      </c>
      <c r="AE438" s="1" t="str">
        <f t="shared" si="32"/>
        <v>1248 CT-3</v>
      </c>
      <c r="AF438" s="5" t="str">
        <f t="shared" si="34"/>
        <v>79.1</v>
      </c>
      <c r="AG438" s="1" t="str">
        <f t="shared" si="31"/>
        <v/>
      </c>
    </row>
    <row r="439" spans="1:33" x14ac:dyDescent="0.2">
      <c r="A439" s="1" t="s">
        <v>225</v>
      </c>
      <c r="B439" s="1" t="s">
        <v>1295</v>
      </c>
      <c r="C439" s="1">
        <v>1248</v>
      </c>
      <c r="D439" s="1" t="s">
        <v>1304</v>
      </c>
      <c r="F439" s="1">
        <v>2023</v>
      </c>
      <c r="G439" s="1" t="s">
        <v>133</v>
      </c>
      <c r="H439" s="1">
        <v>605879</v>
      </c>
      <c r="I439" s="1">
        <v>7</v>
      </c>
      <c r="J439" s="1" t="s">
        <v>228</v>
      </c>
      <c r="K439" s="1" t="s">
        <v>1297</v>
      </c>
      <c r="L439" s="1" t="s">
        <v>1298</v>
      </c>
      <c r="M439" s="1">
        <v>155</v>
      </c>
      <c r="N439" s="1" t="s">
        <v>39</v>
      </c>
      <c r="O439" s="1">
        <v>38.090600000000002</v>
      </c>
      <c r="P439" s="1">
        <v>-97.874700000000004</v>
      </c>
      <c r="Q439" s="1" t="s">
        <v>1283</v>
      </c>
      <c r="T439" s="1" t="s">
        <v>93</v>
      </c>
      <c r="U439" s="1" t="s">
        <v>94</v>
      </c>
      <c r="AA439" s="3">
        <v>27573</v>
      </c>
      <c r="AB439" s="1" t="s">
        <v>46</v>
      </c>
      <c r="AC439" s="5">
        <v>1162</v>
      </c>
      <c r="AD439" s="1" t="s">
        <v>1305</v>
      </c>
      <c r="AE439" s="1" t="str">
        <f t="shared" si="32"/>
        <v>1248 CT-4</v>
      </c>
      <c r="AF439" s="5" t="str">
        <f t="shared" si="34"/>
        <v>84.3</v>
      </c>
      <c r="AG439" s="1" t="str">
        <f t="shared" si="31"/>
        <v/>
      </c>
    </row>
    <row r="440" spans="1:33" x14ac:dyDescent="0.2">
      <c r="A440" s="1" t="s">
        <v>225</v>
      </c>
      <c r="B440" s="1" t="s">
        <v>1306</v>
      </c>
      <c r="C440" s="1">
        <v>1250</v>
      </c>
      <c r="D440" s="1">
        <v>4</v>
      </c>
      <c r="E440" s="1" t="s">
        <v>1307</v>
      </c>
      <c r="F440" s="1">
        <v>2023</v>
      </c>
      <c r="G440" s="1" t="s">
        <v>54</v>
      </c>
      <c r="H440" s="1">
        <v>605879</v>
      </c>
      <c r="I440" s="1">
        <v>7</v>
      </c>
      <c r="K440" s="1" t="s">
        <v>1308</v>
      </c>
      <c r="L440" s="1" t="s">
        <v>1309</v>
      </c>
      <c r="M440" s="1">
        <v>45</v>
      </c>
      <c r="N440" s="1" t="s">
        <v>39</v>
      </c>
      <c r="O440" s="1">
        <v>39.007199999999997</v>
      </c>
      <c r="P440" s="1">
        <v>-95.269199999999998</v>
      </c>
      <c r="Q440" s="1" t="s">
        <v>1283</v>
      </c>
      <c r="R440" s="1" t="s">
        <v>41</v>
      </c>
      <c r="S440" s="1" t="s">
        <v>42</v>
      </c>
      <c r="T440" s="1" t="s">
        <v>43</v>
      </c>
      <c r="U440" s="1" t="s">
        <v>55</v>
      </c>
      <c r="V440" s="1" t="s">
        <v>44</v>
      </c>
      <c r="W440" s="1" t="s">
        <v>56</v>
      </c>
      <c r="X440" s="1" t="s">
        <v>213</v>
      </c>
      <c r="Y440" s="1" t="s">
        <v>1310</v>
      </c>
      <c r="AA440" s="3">
        <v>21986</v>
      </c>
      <c r="AB440" s="1" t="s">
        <v>46</v>
      </c>
      <c r="AC440" s="5">
        <v>1409</v>
      </c>
      <c r="AD440" s="1" t="s">
        <v>1311</v>
      </c>
      <c r="AE440" s="1" t="str">
        <f t="shared" si="32"/>
        <v>1250 4</v>
      </c>
      <c r="AF440" s="5" t="str">
        <f t="shared" si="34"/>
        <v>135</v>
      </c>
      <c r="AG440" s="1" t="str">
        <f t="shared" si="31"/>
        <v/>
      </c>
    </row>
    <row r="441" spans="1:33" x14ac:dyDescent="0.2">
      <c r="A441" s="1" t="s">
        <v>225</v>
      </c>
      <c r="B441" s="1" t="s">
        <v>1306</v>
      </c>
      <c r="C441" s="1">
        <v>1250</v>
      </c>
      <c r="D441" s="1">
        <v>5</v>
      </c>
      <c r="F441" s="1">
        <v>2023</v>
      </c>
      <c r="G441" s="1" t="s">
        <v>54</v>
      </c>
      <c r="H441" s="1">
        <v>605879</v>
      </c>
      <c r="I441" s="1">
        <v>7</v>
      </c>
      <c r="K441" s="1" t="s">
        <v>1308</v>
      </c>
      <c r="L441" s="1" t="s">
        <v>1309</v>
      </c>
      <c r="M441" s="1">
        <v>45</v>
      </c>
      <c r="N441" s="1" t="s">
        <v>39</v>
      </c>
      <c r="O441" s="1">
        <v>39.007199999999997</v>
      </c>
      <c r="P441" s="1">
        <v>-95.269199999999998</v>
      </c>
      <c r="Q441" s="1" t="s">
        <v>1283</v>
      </c>
      <c r="R441" s="1" t="s">
        <v>41</v>
      </c>
      <c r="S441" s="1" t="s">
        <v>42</v>
      </c>
      <c r="T441" s="1" t="s">
        <v>43</v>
      </c>
      <c r="U441" s="1" t="s">
        <v>55</v>
      </c>
      <c r="V441" s="1" t="s">
        <v>44</v>
      </c>
      <c r="W441" s="1" t="s">
        <v>56</v>
      </c>
      <c r="X441" s="1" t="s">
        <v>213</v>
      </c>
      <c r="Y441" s="1" t="s">
        <v>1310</v>
      </c>
      <c r="AA441" s="3">
        <v>26084</v>
      </c>
      <c r="AB441" s="1" t="s">
        <v>46</v>
      </c>
      <c r="AC441" s="5">
        <v>4318</v>
      </c>
      <c r="AD441" s="1" t="s">
        <v>1312</v>
      </c>
      <c r="AE441" s="1" t="str">
        <f t="shared" si="32"/>
        <v>1250 5</v>
      </c>
      <c r="AF441" s="5" t="str">
        <f t="shared" si="34"/>
        <v>415</v>
      </c>
      <c r="AG441" s="1" t="str">
        <f t="shared" si="31"/>
        <v/>
      </c>
    </row>
    <row r="442" spans="1:33" x14ac:dyDescent="0.2">
      <c r="A442" s="1" t="s">
        <v>225</v>
      </c>
      <c r="B442" s="1" t="s">
        <v>1313</v>
      </c>
      <c r="C442" s="1">
        <v>1268</v>
      </c>
      <c r="D442" s="1">
        <v>14</v>
      </c>
      <c r="F442" s="1">
        <v>2023</v>
      </c>
      <c r="G442" s="1" t="s">
        <v>35</v>
      </c>
      <c r="H442" s="1">
        <v>608095</v>
      </c>
      <c r="I442" s="1">
        <v>7</v>
      </c>
      <c r="K442" s="1" t="s">
        <v>1314</v>
      </c>
      <c r="L442" s="1" t="s">
        <v>1315</v>
      </c>
      <c r="M442" s="1">
        <v>133</v>
      </c>
      <c r="N442" s="1" t="s">
        <v>39</v>
      </c>
      <c r="O442" s="1">
        <v>37.695300000000003</v>
      </c>
      <c r="P442" s="1">
        <v>-95.458600000000004</v>
      </c>
      <c r="Q442" s="1" t="s">
        <v>1316</v>
      </c>
      <c r="R442" s="1" t="s">
        <v>41</v>
      </c>
      <c r="T442" s="1" t="s">
        <v>93</v>
      </c>
      <c r="U442" s="1" t="s">
        <v>44</v>
      </c>
      <c r="X442" s="1" t="s">
        <v>140</v>
      </c>
      <c r="AA442" s="3">
        <v>37073</v>
      </c>
      <c r="AB442" s="1" t="s">
        <v>46</v>
      </c>
      <c r="AC442" s="5">
        <v>640</v>
      </c>
      <c r="AD442" s="1" t="s">
        <v>1317</v>
      </c>
      <c r="AE442" s="1" t="str">
        <f t="shared" si="32"/>
        <v>1268 14</v>
      </c>
      <c r="AF442" s="5" t="str">
        <f t="shared" si="34"/>
        <v>60</v>
      </c>
      <c r="AG442" s="1" t="str">
        <f t="shared" si="31"/>
        <v/>
      </c>
    </row>
    <row r="443" spans="1:33" x14ac:dyDescent="0.2">
      <c r="A443" s="1" t="s">
        <v>225</v>
      </c>
      <c r="B443" s="1" t="s">
        <v>1318</v>
      </c>
      <c r="C443" s="1">
        <v>1271</v>
      </c>
      <c r="D443" s="1">
        <v>4</v>
      </c>
      <c r="F443" s="1">
        <v>2023</v>
      </c>
      <c r="G443" s="1" t="s">
        <v>35</v>
      </c>
      <c r="H443" s="1">
        <v>605713</v>
      </c>
      <c r="I443" s="1">
        <v>7</v>
      </c>
      <c r="J443" s="1" t="s">
        <v>228</v>
      </c>
      <c r="K443" s="1" t="s">
        <v>1319</v>
      </c>
      <c r="L443" s="1" t="s">
        <v>1320</v>
      </c>
      <c r="M443" s="1">
        <v>125</v>
      </c>
      <c r="N443" s="1" t="s">
        <v>39</v>
      </c>
      <c r="O443" s="1">
        <v>37.0456</v>
      </c>
      <c r="P443" s="1">
        <v>-95.607600000000005</v>
      </c>
      <c r="Q443" s="1" t="s">
        <v>1321</v>
      </c>
      <c r="R443" s="1" t="s">
        <v>41</v>
      </c>
      <c r="T443" s="1" t="s">
        <v>89</v>
      </c>
      <c r="U443" s="1" t="s">
        <v>44</v>
      </c>
      <c r="AA443" s="3">
        <v>26665</v>
      </c>
      <c r="AB443" s="1" t="s">
        <v>46</v>
      </c>
      <c r="AC443" s="5">
        <v>510</v>
      </c>
      <c r="AD443" s="1" t="s">
        <v>1322</v>
      </c>
      <c r="AE443" s="1" t="str">
        <f t="shared" si="32"/>
        <v>1271 4</v>
      </c>
      <c r="AF443" s="5" t="str">
        <f t="shared" si="34"/>
        <v>40</v>
      </c>
      <c r="AG443" s="1" t="str">
        <f t="shared" si="31"/>
        <v/>
      </c>
    </row>
    <row r="444" spans="1:33" x14ac:dyDescent="0.2">
      <c r="A444" s="1" t="s">
        <v>225</v>
      </c>
      <c r="B444" s="1" t="s">
        <v>1323</v>
      </c>
      <c r="C444" s="1">
        <v>1295</v>
      </c>
      <c r="D444" s="1" t="s">
        <v>98</v>
      </c>
      <c r="F444" s="1">
        <v>2023</v>
      </c>
      <c r="G444" s="1" t="s">
        <v>133</v>
      </c>
      <c r="H444" s="1">
        <v>607775</v>
      </c>
      <c r="I444" s="1">
        <v>7</v>
      </c>
      <c r="J444" s="1" t="s">
        <v>228</v>
      </c>
      <c r="K444" s="1" t="s">
        <v>1324</v>
      </c>
      <c r="L444" s="1" t="s">
        <v>1325</v>
      </c>
      <c r="M444" s="1">
        <v>209</v>
      </c>
      <c r="N444" s="1" t="s">
        <v>39</v>
      </c>
      <c r="O444" s="1">
        <v>39.148600000000002</v>
      </c>
      <c r="P444" s="1">
        <v>-94.640500000000003</v>
      </c>
      <c r="Q444" s="1" t="s">
        <v>1326</v>
      </c>
      <c r="T444" s="1" t="s">
        <v>93</v>
      </c>
      <c r="U444" s="1" t="s">
        <v>94</v>
      </c>
      <c r="AA444" s="3">
        <v>25477</v>
      </c>
      <c r="AB444" s="1" t="s">
        <v>46</v>
      </c>
      <c r="AC444" s="5">
        <v>563</v>
      </c>
      <c r="AD444" s="1" t="s">
        <v>1327</v>
      </c>
      <c r="AE444" s="1" t="str">
        <f t="shared" si="32"/>
        <v>1295 CT2</v>
      </c>
      <c r="AF444" s="5" t="str">
        <f t="shared" si="34"/>
        <v>64.7</v>
      </c>
      <c r="AG444" s="1" t="str">
        <f t="shared" si="31"/>
        <v/>
      </c>
    </row>
    <row r="445" spans="1:33" x14ac:dyDescent="0.2">
      <c r="A445" s="1" t="s">
        <v>225</v>
      </c>
      <c r="B445" s="1" t="s">
        <v>1323</v>
      </c>
      <c r="C445" s="1">
        <v>1295</v>
      </c>
      <c r="D445" s="1" t="s">
        <v>101</v>
      </c>
      <c r="F445" s="1">
        <v>2023</v>
      </c>
      <c r="G445" s="1" t="s">
        <v>133</v>
      </c>
      <c r="H445" s="1">
        <v>607775</v>
      </c>
      <c r="I445" s="1">
        <v>7</v>
      </c>
      <c r="J445" s="1" t="s">
        <v>228</v>
      </c>
      <c r="K445" s="1" t="s">
        <v>1324</v>
      </c>
      <c r="L445" s="1" t="s">
        <v>1325</v>
      </c>
      <c r="M445" s="1">
        <v>209</v>
      </c>
      <c r="N445" s="1" t="s">
        <v>39</v>
      </c>
      <c r="O445" s="1">
        <v>39.148600000000002</v>
      </c>
      <c r="P445" s="1">
        <v>-94.640500000000003</v>
      </c>
      <c r="Q445" s="1" t="s">
        <v>1326</v>
      </c>
      <c r="T445" s="1" t="s">
        <v>93</v>
      </c>
      <c r="U445" s="1" t="s">
        <v>94</v>
      </c>
      <c r="AA445" s="3">
        <v>28338</v>
      </c>
      <c r="AB445" s="1" t="s">
        <v>46</v>
      </c>
      <c r="AC445" s="5">
        <v>524</v>
      </c>
      <c r="AD445" s="1" t="s">
        <v>1328</v>
      </c>
      <c r="AE445" s="1" t="str">
        <f t="shared" si="32"/>
        <v>1295 CT3</v>
      </c>
      <c r="AF445" s="5" t="str">
        <f t="shared" si="34"/>
        <v>64.7</v>
      </c>
      <c r="AG445" s="1" t="str">
        <f t="shared" si="31"/>
        <v/>
      </c>
    </row>
    <row r="446" spans="1:33" x14ac:dyDescent="0.2">
      <c r="A446" s="1" t="s">
        <v>225</v>
      </c>
      <c r="B446" s="1" t="s">
        <v>1329</v>
      </c>
      <c r="C446" s="1">
        <v>1305</v>
      </c>
      <c r="D446" s="1" t="s">
        <v>280</v>
      </c>
      <c r="E446" s="1" t="s">
        <v>1330</v>
      </c>
      <c r="F446" s="1">
        <v>2023</v>
      </c>
      <c r="G446" s="1" t="s">
        <v>133</v>
      </c>
      <c r="H446" s="1">
        <v>610198</v>
      </c>
      <c r="I446" s="1">
        <v>7</v>
      </c>
      <c r="J446" s="1" t="s">
        <v>228</v>
      </c>
      <c r="K446" s="1" t="s">
        <v>1331</v>
      </c>
      <c r="L446" s="1" t="s">
        <v>1332</v>
      </c>
      <c r="M446" s="1">
        <v>113</v>
      </c>
      <c r="N446" s="1" t="s">
        <v>39</v>
      </c>
      <c r="O446" s="1">
        <v>38.363399999999999</v>
      </c>
      <c r="P446" s="1">
        <v>-97.683400000000006</v>
      </c>
      <c r="Q446" s="1" t="s">
        <v>1333</v>
      </c>
      <c r="T446" s="1" t="s">
        <v>93</v>
      </c>
      <c r="U446" s="1" t="s">
        <v>44</v>
      </c>
      <c r="V446" s="1" t="s">
        <v>94</v>
      </c>
      <c r="AA446" s="3">
        <v>26816</v>
      </c>
      <c r="AB446" s="1" t="s">
        <v>46</v>
      </c>
      <c r="AC446" s="5">
        <v>650</v>
      </c>
      <c r="AD446" s="1" t="s">
        <v>1334</v>
      </c>
      <c r="AE446" s="1" t="str">
        <f t="shared" si="32"/>
        <v>1305 GT1</v>
      </c>
      <c r="AF446" s="5" t="str">
        <f t="shared" si="34"/>
        <v>65.5</v>
      </c>
      <c r="AG446" s="1" t="str">
        <f t="shared" si="31"/>
        <v/>
      </c>
    </row>
    <row r="447" spans="1:33" x14ac:dyDescent="0.2">
      <c r="A447" s="1" t="s">
        <v>225</v>
      </c>
      <c r="B447" s="1" t="s">
        <v>1329</v>
      </c>
      <c r="C447" s="1">
        <v>1305</v>
      </c>
      <c r="D447" s="1" t="s">
        <v>1102</v>
      </c>
      <c r="F447" s="1">
        <v>2023</v>
      </c>
      <c r="G447" s="1" t="s">
        <v>133</v>
      </c>
      <c r="H447" s="1">
        <v>610198</v>
      </c>
      <c r="I447" s="1">
        <v>7</v>
      </c>
      <c r="J447" s="1" t="s">
        <v>228</v>
      </c>
      <c r="K447" s="1" t="s">
        <v>1331</v>
      </c>
      <c r="L447" s="1" t="s">
        <v>1332</v>
      </c>
      <c r="M447" s="1">
        <v>113</v>
      </c>
      <c r="N447" s="1" t="s">
        <v>39</v>
      </c>
      <c r="O447" s="1">
        <v>38.363399999999999</v>
      </c>
      <c r="P447" s="1">
        <v>-97.683400000000006</v>
      </c>
      <c r="Q447" s="1" t="s">
        <v>1333</v>
      </c>
      <c r="T447" s="1" t="s">
        <v>93</v>
      </c>
      <c r="U447" s="1" t="s">
        <v>94</v>
      </c>
      <c r="AA447" s="3">
        <v>27912</v>
      </c>
      <c r="AB447" s="1" t="s">
        <v>46</v>
      </c>
      <c r="AC447" s="5">
        <v>650</v>
      </c>
      <c r="AD447" s="1" t="s">
        <v>1335</v>
      </c>
      <c r="AE447" s="1" t="str">
        <f t="shared" si="32"/>
        <v>1305 GT2</v>
      </c>
      <c r="AF447" s="5" t="str">
        <f t="shared" si="34"/>
        <v>65.5</v>
      </c>
      <c r="AG447" s="1" t="str">
        <f t="shared" si="31"/>
        <v/>
      </c>
    </row>
    <row r="448" spans="1:33" x14ac:dyDescent="0.2">
      <c r="A448" s="1" t="s">
        <v>225</v>
      </c>
      <c r="B448" s="1" t="s">
        <v>1329</v>
      </c>
      <c r="C448" s="1">
        <v>1305</v>
      </c>
      <c r="D448" s="1" t="s">
        <v>246</v>
      </c>
      <c r="E448" s="1" t="s">
        <v>1330</v>
      </c>
      <c r="F448" s="1">
        <v>2023</v>
      </c>
      <c r="G448" s="1" t="s">
        <v>133</v>
      </c>
      <c r="H448" s="1">
        <v>610198</v>
      </c>
      <c r="I448" s="1">
        <v>7</v>
      </c>
      <c r="J448" s="1" t="s">
        <v>228</v>
      </c>
      <c r="K448" s="1" t="s">
        <v>1331</v>
      </c>
      <c r="L448" s="1" t="s">
        <v>1332</v>
      </c>
      <c r="M448" s="1">
        <v>113</v>
      </c>
      <c r="N448" s="1" t="s">
        <v>39</v>
      </c>
      <c r="O448" s="1">
        <v>38.363399999999999</v>
      </c>
      <c r="P448" s="1">
        <v>-97.683400000000006</v>
      </c>
      <c r="Q448" s="1" t="s">
        <v>1333</v>
      </c>
      <c r="T448" s="1" t="s">
        <v>93</v>
      </c>
      <c r="U448" s="1" t="s">
        <v>44</v>
      </c>
      <c r="V448" s="1" t="s">
        <v>94</v>
      </c>
      <c r="AA448" s="3">
        <v>29007</v>
      </c>
      <c r="AB448" s="1" t="s">
        <v>46</v>
      </c>
      <c r="AC448" s="5">
        <v>650</v>
      </c>
      <c r="AD448" s="1" t="s">
        <v>1336</v>
      </c>
      <c r="AE448" s="1" t="str">
        <f t="shared" si="32"/>
        <v>1305 GT3</v>
      </c>
      <c r="AF448" s="5" t="str">
        <f t="shared" si="34"/>
        <v>65.5</v>
      </c>
      <c r="AG448" s="1" t="str">
        <f t="shared" si="31"/>
        <v/>
      </c>
    </row>
    <row r="449" spans="1:33" x14ac:dyDescent="0.2">
      <c r="A449" s="1" t="s">
        <v>225</v>
      </c>
      <c r="B449" s="1" t="s">
        <v>1337</v>
      </c>
      <c r="C449" s="1">
        <v>1336</v>
      </c>
      <c r="D449" s="1" t="s">
        <v>1338</v>
      </c>
      <c r="F449" s="1">
        <v>2023</v>
      </c>
      <c r="G449" s="1" t="s">
        <v>35</v>
      </c>
      <c r="H449" s="1">
        <v>608386</v>
      </c>
      <c r="I449" s="1">
        <v>7</v>
      </c>
      <c r="J449" s="1" t="s">
        <v>228</v>
      </c>
      <c r="K449" s="1" t="s">
        <v>229</v>
      </c>
      <c r="L449" s="1" t="s">
        <v>230</v>
      </c>
      <c r="M449" s="1">
        <v>55</v>
      </c>
      <c r="N449" s="1" t="s">
        <v>39</v>
      </c>
      <c r="O449" s="1">
        <v>37.970300000000002</v>
      </c>
      <c r="P449" s="1">
        <v>-100.8956</v>
      </c>
      <c r="Q449" s="1" t="s">
        <v>231</v>
      </c>
      <c r="R449" s="1" t="s">
        <v>41</v>
      </c>
      <c r="T449" s="1" t="s">
        <v>43</v>
      </c>
      <c r="U449" s="1" t="s">
        <v>44</v>
      </c>
      <c r="AA449" s="3">
        <v>26755</v>
      </c>
      <c r="AB449" s="1" t="s">
        <v>46</v>
      </c>
      <c r="AC449" s="5">
        <v>1260</v>
      </c>
      <c r="AD449" s="1" t="s">
        <v>1339</v>
      </c>
      <c r="AE449" s="1" t="str">
        <f t="shared" si="32"/>
        <v>1336 S-2</v>
      </c>
      <c r="AF449" s="5" t="str">
        <f t="shared" si="34"/>
        <v>105</v>
      </c>
      <c r="AG449" s="1" t="str">
        <f t="shared" si="31"/>
        <v/>
      </c>
    </row>
    <row r="450" spans="1:33" x14ac:dyDescent="0.2">
      <c r="A450" s="1" t="s">
        <v>225</v>
      </c>
      <c r="B450" s="1" t="s">
        <v>1337</v>
      </c>
      <c r="C450" s="1">
        <v>1336</v>
      </c>
      <c r="D450" s="1" t="s">
        <v>1340</v>
      </c>
      <c r="F450" s="1">
        <v>2023</v>
      </c>
      <c r="G450" s="1" t="s">
        <v>133</v>
      </c>
      <c r="H450" s="1">
        <v>608386</v>
      </c>
      <c r="I450" s="1">
        <v>7</v>
      </c>
      <c r="J450" s="1" t="s">
        <v>228</v>
      </c>
      <c r="K450" s="1" t="s">
        <v>229</v>
      </c>
      <c r="L450" s="1" t="s">
        <v>230</v>
      </c>
      <c r="M450" s="1">
        <v>55</v>
      </c>
      <c r="N450" s="1" t="s">
        <v>39</v>
      </c>
      <c r="O450" s="1">
        <v>37.970300000000002</v>
      </c>
      <c r="P450" s="1">
        <v>-100.8956</v>
      </c>
      <c r="Q450" s="1" t="s">
        <v>231</v>
      </c>
      <c r="T450" s="1" t="s">
        <v>93</v>
      </c>
      <c r="U450" s="1" t="s">
        <v>44</v>
      </c>
      <c r="AA450" s="3">
        <v>27895</v>
      </c>
      <c r="AB450" s="1" t="s">
        <v>46</v>
      </c>
      <c r="AC450" s="5">
        <v>723</v>
      </c>
      <c r="AD450" s="1" t="s">
        <v>1341</v>
      </c>
      <c r="AE450" s="1" t="str">
        <f t="shared" si="32"/>
        <v>1336 S-4</v>
      </c>
      <c r="AF450" s="5" t="str">
        <f t="shared" si="34"/>
        <v>71.2</v>
      </c>
      <c r="AG450" s="1" t="str">
        <f t="shared" ref="AG450:AG513" si="35">IF(ISNUMBER(SEARCH("selective", X450)), "Y", "")</f>
        <v/>
      </c>
    </row>
    <row r="451" spans="1:33" x14ac:dyDescent="0.2">
      <c r="A451" s="1" t="s">
        <v>225</v>
      </c>
      <c r="B451" s="1" t="s">
        <v>1337</v>
      </c>
      <c r="C451" s="1">
        <v>1336</v>
      </c>
      <c r="D451" s="1" t="s">
        <v>1342</v>
      </c>
      <c r="F451" s="1">
        <v>2023</v>
      </c>
      <c r="G451" s="1" t="s">
        <v>133</v>
      </c>
      <c r="H451" s="1">
        <v>608386</v>
      </c>
      <c r="I451" s="1">
        <v>7</v>
      </c>
      <c r="J451" s="1" t="s">
        <v>228</v>
      </c>
      <c r="K451" s="1" t="s">
        <v>229</v>
      </c>
      <c r="L451" s="1" t="s">
        <v>230</v>
      </c>
      <c r="M451" s="1">
        <v>55</v>
      </c>
      <c r="N451" s="1" t="s">
        <v>39</v>
      </c>
      <c r="O451" s="1">
        <v>37.970300000000002</v>
      </c>
      <c r="P451" s="1">
        <v>-100.8956</v>
      </c>
      <c r="Q451" s="1" t="s">
        <v>231</v>
      </c>
      <c r="T451" s="1" t="s">
        <v>93</v>
      </c>
      <c r="U451" s="1" t="s">
        <v>44</v>
      </c>
      <c r="X451" s="1" t="s">
        <v>95</v>
      </c>
      <c r="AA451" s="3">
        <v>29052</v>
      </c>
      <c r="AB451" s="1" t="s">
        <v>46</v>
      </c>
      <c r="AC451" s="5">
        <v>720.2</v>
      </c>
      <c r="AD451" s="1" t="s">
        <v>1343</v>
      </c>
      <c r="AE451" s="1" t="str">
        <f t="shared" ref="AE451:AE514" si="36">C451&amp;" "&amp;D451</f>
        <v>1336 S-5</v>
      </c>
      <c r="AF451" s="5" t="str">
        <f t="shared" si="34"/>
        <v>71.2</v>
      </c>
      <c r="AG451" s="1" t="str">
        <f t="shared" si="35"/>
        <v/>
      </c>
    </row>
    <row r="452" spans="1:33" x14ac:dyDescent="0.2">
      <c r="A452" s="1" t="s">
        <v>165</v>
      </c>
      <c r="B452" s="1" t="s">
        <v>1344</v>
      </c>
      <c r="C452" s="1">
        <v>1353</v>
      </c>
      <c r="D452" s="1" t="s">
        <v>1345</v>
      </c>
      <c r="F452" s="1">
        <v>2023</v>
      </c>
      <c r="G452" s="1" t="s">
        <v>168</v>
      </c>
      <c r="H452" s="1" t="s">
        <v>1346</v>
      </c>
      <c r="I452" s="1">
        <v>4</v>
      </c>
      <c r="J452" s="1" t="s">
        <v>169</v>
      </c>
      <c r="K452" s="1" t="s">
        <v>1347</v>
      </c>
      <c r="L452" s="1" t="s">
        <v>1348</v>
      </c>
      <c r="M452" s="1">
        <v>127</v>
      </c>
      <c r="N452" s="1" t="s">
        <v>39</v>
      </c>
      <c r="O452" s="1">
        <v>38.170699999999997</v>
      </c>
      <c r="P452" s="1">
        <v>-82.617599999999996</v>
      </c>
      <c r="Q452" s="1" t="s">
        <v>1349</v>
      </c>
      <c r="R452" s="1" t="s">
        <v>41</v>
      </c>
      <c r="S452" s="1" t="s">
        <v>42</v>
      </c>
      <c r="T452" s="1" t="s">
        <v>89</v>
      </c>
      <c r="U452" s="1" t="s">
        <v>284</v>
      </c>
      <c r="X452" s="1" t="s">
        <v>1350</v>
      </c>
      <c r="Y452" s="1" t="s">
        <v>58</v>
      </c>
      <c r="AA452" s="3">
        <v>23012</v>
      </c>
      <c r="AB452" s="1" t="s">
        <v>46</v>
      </c>
      <c r="AC452" s="5">
        <v>3000</v>
      </c>
      <c r="AD452" s="1" t="s">
        <v>1351</v>
      </c>
      <c r="AE452" s="1" t="str">
        <f t="shared" si="36"/>
        <v>1353 BSU1</v>
      </c>
      <c r="AF452" s="5" t="str">
        <f t="shared" si="34"/>
        <v>280.5</v>
      </c>
      <c r="AG452" s="1" t="str">
        <f t="shared" si="35"/>
        <v/>
      </c>
    </row>
    <row r="453" spans="1:33" x14ac:dyDescent="0.2">
      <c r="A453" s="1" t="s">
        <v>165</v>
      </c>
      <c r="B453" s="1" t="s">
        <v>1352</v>
      </c>
      <c r="C453" s="1">
        <v>1355</v>
      </c>
      <c r="D453" s="1">
        <v>3</v>
      </c>
      <c r="F453" s="1">
        <v>2023</v>
      </c>
      <c r="G453" s="1" t="s">
        <v>1353</v>
      </c>
      <c r="H453" s="1">
        <v>604155</v>
      </c>
      <c r="I453" s="1">
        <v>4</v>
      </c>
      <c r="J453" s="1" t="s">
        <v>36</v>
      </c>
      <c r="K453" s="1" t="s">
        <v>1354</v>
      </c>
      <c r="L453" s="1" t="s">
        <v>1355</v>
      </c>
      <c r="M453" s="1">
        <v>167</v>
      </c>
      <c r="N453" s="1" t="s">
        <v>39</v>
      </c>
      <c r="O453" s="1">
        <v>37.788899999999998</v>
      </c>
      <c r="P453" s="1">
        <v>-84.713899999999995</v>
      </c>
      <c r="Q453" s="1" t="s">
        <v>1356</v>
      </c>
      <c r="R453" s="1" t="s">
        <v>120</v>
      </c>
      <c r="S453" s="1" t="s">
        <v>121</v>
      </c>
      <c r="T453" s="1" t="s">
        <v>43</v>
      </c>
      <c r="U453" s="1" t="s">
        <v>55</v>
      </c>
      <c r="W453" s="1" t="s">
        <v>56</v>
      </c>
      <c r="X453" s="1" t="s">
        <v>301</v>
      </c>
      <c r="Y453" s="1" t="s">
        <v>1357</v>
      </c>
      <c r="Z453" s="1" t="s">
        <v>1109</v>
      </c>
      <c r="AA453" s="3">
        <v>26133</v>
      </c>
      <c r="AB453" s="1" t="s">
        <v>46</v>
      </c>
      <c r="AC453" s="5">
        <v>5000</v>
      </c>
      <c r="AD453" s="1" t="s">
        <v>1358</v>
      </c>
      <c r="AE453" s="1" t="str">
        <f t="shared" si="36"/>
        <v>1355 3</v>
      </c>
      <c r="AF453" s="5" t="str">
        <f t="shared" si="34"/>
        <v>446.4</v>
      </c>
      <c r="AG453" s="1" t="str">
        <f t="shared" si="35"/>
        <v>Y</v>
      </c>
    </row>
    <row r="454" spans="1:33" x14ac:dyDescent="0.2">
      <c r="A454" s="1" t="s">
        <v>165</v>
      </c>
      <c r="B454" s="1" t="s">
        <v>1352</v>
      </c>
      <c r="C454" s="1">
        <v>1355</v>
      </c>
      <c r="D454" s="1">
        <v>5</v>
      </c>
      <c r="F454" s="1">
        <v>2023</v>
      </c>
      <c r="G454" s="1" t="s">
        <v>168</v>
      </c>
      <c r="H454" s="1">
        <v>604155</v>
      </c>
      <c r="I454" s="1">
        <v>4</v>
      </c>
      <c r="J454" s="1" t="s">
        <v>36</v>
      </c>
      <c r="K454" s="1" t="s">
        <v>1354</v>
      </c>
      <c r="L454" s="1" t="s">
        <v>1355</v>
      </c>
      <c r="M454" s="1">
        <v>167</v>
      </c>
      <c r="N454" s="1" t="s">
        <v>39</v>
      </c>
      <c r="O454" s="1">
        <v>37.788899999999998</v>
      </c>
      <c r="P454" s="1">
        <v>-84.713899999999995</v>
      </c>
      <c r="Q454" s="1" t="s">
        <v>1359</v>
      </c>
      <c r="R454" s="1" t="s">
        <v>41</v>
      </c>
      <c r="T454" s="1" t="s">
        <v>93</v>
      </c>
      <c r="U454" s="1" t="s">
        <v>44</v>
      </c>
      <c r="X454" s="1" t="s">
        <v>95</v>
      </c>
      <c r="AA454" s="3">
        <v>37051</v>
      </c>
      <c r="AB454" s="1" t="s">
        <v>46</v>
      </c>
      <c r="AC454" s="5">
        <v>1600</v>
      </c>
      <c r="AD454" s="1" t="s">
        <v>1360</v>
      </c>
      <c r="AE454" s="1" t="str">
        <f t="shared" si="36"/>
        <v>1355 5</v>
      </c>
      <c r="AF454" s="5" t="str">
        <f t="shared" si="34"/>
        <v>123</v>
      </c>
      <c r="AG454" s="1" t="str">
        <f t="shared" si="35"/>
        <v/>
      </c>
    </row>
    <row r="455" spans="1:33" x14ac:dyDescent="0.2">
      <c r="A455" s="1" t="s">
        <v>165</v>
      </c>
      <c r="B455" s="1" t="s">
        <v>1352</v>
      </c>
      <c r="C455" s="1">
        <v>1355</v>
      </c>
      <c r="D455" s="1">
        <v>6</v>
      </c>
      <c r="F455" s="1">
        <v>2023</v>
      </c>
      <c r="G455" s="1" t="s">
        <v>168</v>
      </c>
      <c r="H455" s="1">
        <v>604155</v>
      </c>
      <c r="I455" s="1">
        <v>4</v>
      </c>
      <c r="J455" s="1" t="s">
        <v>36</v>
      </c>
      <c r="K455" s="1" t="s">
        <v>1354</v>
      </c>
      <c r="L455" s="1" t="s">
        <v>1355</v>
      </c>
      <c r="M455" s="1">
        <v>167</v>
      </c>
      <c r="N455" s="1" t="s">
        <v>39</v>
      </c>
      <c r="O455" s="1">
        <v>37.788899999999998</v>
      </c>
      <c r="P455" s="1">
        <v>-84.713899999999995</v>
      </c>
      <c r="Q455" s="1" t="s">
        <v>1359</v>
      </c>
      <c r="R455" s="1" t="s">
        <v>41</v>
      </c>
      <c r="T455" s="1" t="s">
        <v>93</v>
      </c>
      <c r="U455" s="1" t="s">
        <v>44</v>
      </c>
      <c r="X455" s="1" t="s">
        <v>183</v>
      </c>
      <c r="AA455" s="3">
        <v>36383</v>
      </c>
      <c r="AB455" s="1" t="s">
        <v>46</v>
      </c>
      <c r="AC455" s="5">
        <v>1970</v>
      </c>
      <c r="AD455" s="1" t="s">
        <v>1361</v>
      </c>
      <c r="AE455" s="1" t="str">
        <f t="shared" si="36"/>
        <v>1355 6</v>
      </c>
      <c r="AF455" s="5" t="str">
        <f t="shared" si="34"/>
        <v>181</v>
      </c>
      <c r="AG455" s="1" t="str">
        <f t="shared" si="35"/>
        <v/>
      </c>
    </row>
    <row r="456" spans="1:33" x14ac:dyDescent="0.2">
      <c r="A456" s="1" t="s">
        <v>165</v>
      </c>
      <c r="B456" s="1" t="s">
        <v>1352</v>
      </c>
      <c r="C456" s="1">
        <v>1355</v>
      </c>
      <c r="D456" s="1">
        <v>7</v>
      </c>
      <c r="F456" s="1">
        <v>2023</v>
      </c>
      <c r="G456" s="1" t="s">
        <v>168</v>
      </c>
      <c r="H456" s="1">
        <v>604155</v>
      </c>
      <c r="I456" s="1">
        <v>4</v>
      </c>
      <c r="J456" s="1" t="s">
        <v>36</v>
      </c>
      <c r="K456" s="1" t="s">
        <v>1354</v>
      </c>
      <c r="L456" s="1" t="s">
        <v>1355</v>
      </c>
      <c r="M456" s="1">
        <v>167</v>
      </c>
      <c r="N456" s="1" t="s">
        <v>39</v>
      </c>
      <c r="O456" s="1">
        <v>37.788899999999998</v>
      </c>
      <c r="P456" s="1">
        <v>-84.713899999999995</v>
      </c>
      <c r="Q456" s="1" t="s">
        <v>1359</v>
      </c>
      <c r="R456" s="1" t="s">
        <v>41</v>
      </c>
      <c r="T456" s="1" t="s">
        <v>93</v>
      </c>
      <c r="U456" s="1" t="s">
        <v>44</v>
      </c>
      <c r="X456" s="1" t="s">
        <v>183</v>
      </c>
      <c r="AA456" s="3">
        <v>36380</v>
      </c>
      <c r="AB456" s="1" t="s">
        <v>46</v>
      </c>
      <c r="AC456" s="5">
        <v>1970</v>
      </c>
      <c r="AD456" s="1" t="s">
        <v>1362</v>
      </c>
      <c r="AE456" s="1" t="str">
        <f t="shared" si="36"/>
        <v>1355 7</v>
      </c>
      <c r="AF456" s="5" t="str">
        <f t="shared" si="34"/>
        <v>181</v>
      </c>
      <c r="AG456" s="1" t="str">
        <f t="shared" si="35"/>
        <v/>
      </c>
    </row>
    <row r="457" spans="1:33" x14ac:dyDescent="0.2">
      <c r="A457" s="1" t="s">
        <v>165</v>
      </c>
      <c r="B457" s="1" t="s">
        <v>1352</v>
      </c>
      <c r="C457" s="1">
        <v>1355</v>
      </c>
      <c r="D457" s="1">
        <v>8</v>
      </c>
      <c r="F457" s="1">
        <v>2023</v>
      </c>
      <c r="G457" s="1" t="s">
        <v>168</v>
      </c>
      <c r="H457" s="1">
        <v>604155</v>
      </c>
      <c r="I457" s="1">
        <v>4</v>
      </c>
      <c r="J457" s="1" t="s">
        <v>36</v>
      </c>
      <c r="K457" s="1" t="s">
        <v>1354</v>
      </c>
      <c r="L457" s="1" t="s">
        <v>1355</v>
      </c>
      <c r="M457" s="1">
        <v>167</v>
      </c>
      <c r="N457" s="1" t="s">
        <v>39</v>
      </c>
      <c r="O457" s="1">
        <v>37.788899999999998</v>
      </c>
      <c r="P457" s="1">
        <v>-84.713899999999995</v>
      </c>
      <c r="Q457" s="1" t="s">
        <v>1356</v>
      </c>
      <c r="R457" s="1" t="s">
        <v>41</v>
      </c>
      <c r="T457" s="1" t="s">
        <v>93</v>
      </c>
      <c r="U457" s="1" t="s">
        <v>44</v>
      </c>
      <c r="W457" s="1" t="s">
        <v>454</v>
      </c>
      <c r="X457" s="1" t="s">
        <v>95</v>
      </c>
      <c r="AA457" s="3">
        <v>34700</v>
      </c>
      <c r="AB457" s="1" t="s">
        <v>46</v>
      </c>
      <c r="AC457" s="5">
        <v>1552</v>
      </c>
      <c r="AD457" s="1" t="s">
        <v>1363</v>
      </c>
      <c r="AE457" s="1" t="str">
        <f t="shared" si="36"/>
        <v>1355 8</v>
      </c>
      <c r="AF457" s="5" t="str">
        <f t="shared" si="34"/>
        <v>126</v>
      </c>
      <c r="AG457" s="1" t="str">
        <f t="shared" si="35"/>
        <v/>
      </c>
    </row>
    <row r="458" spans="1:33" x14ac:dyDescent="0.2">
      <c r="A458" s="1" t="s">
        <v>165</v>
      </c>
      <c r="B458" s="1" t="s">
        <v>1352</v>
      </c>
      <c r="C458" s="1">
        <v>1355</v>
      </c>
      <c r="D458" s="1">
        <v>9</v>
      </c>
      <c r="F458" s="1">
        <v>2023</v>
      </c>
      <c r="G458" s="1" t="s">
        <v>168</v>
      </c>
      <c r="H458" s="1">
        <v>604155</v>
      </c>
      <c r="I458" s="1">
        <v>4</v>
      </c>
      <c r="J458" s="1" t="s">
        <v>36</v>
      </c>
      <c r="K458" s="1" t="s">
        <v>1354</v>
      </c>
      <c r="L458" s="1" t="s">
        <v>1355</v>
      </c>
      <c r="M458" s="1">
        <v>167</v>
      </c>
      <c r="N458" s="1" t="s">
        <v>39</v>
      </c>
      <c r="O458" s="1">
        <v>37.788899999999998</v>
      </c>
      <c r="P458" s="1">
        <v>-84.713899999999995</v>
      </c>
      <c r="Q458" s="1" t="s">
        <v>1356</v>
      </c>
      <c r="R458" s="1" t="s">
        <v>41</v>
      </c>
      <c r="T458" s="1" t="s">
        <v>93</v>
      </c>
      <c r="U458" s="1" t="s">
        <v>44</v>
      </c>
      <c r="W458" s="1" t="s">
        <v>454</v>
      </c>
      <c r="X458" s="1" t="s">
        <v>95</v>
      </c>
      <c r="AA458" s="3">
        <v>34700</v>
      </c>
      <c r="AB458" s="1" t="s">
        <v>46</v>
      </c>
      <c r="AC458" s="5">
        <v>1610</v>
      </c>
      <c r="AD458" s="1" t="s">
        <v>1364</v>
      </c>
      <c r="AE458" s="1" t="str">
        <f t="shared" si="36"/>
        <v>1355 9</v>
      </c>
      <c r="AF458" s="5" t="str">
        <f t="shared" si="34"/>
        <v>126</v>
      </c>
      <c r="AG458" s="1" t="str">
        <f t="shared" si="35"/>
        <v/>
      </c>
    </row>
    <row r="459" spans="1:33" x14ac:dyDescent="0.2">
      <c r="A459" s="1" t="s">
        <v>165</v>
      </c>
      <c r="B459" s="1" t="s">
        <v>1352</v>
      </c>
      <c r="C459" s="1">
        <v>1355</v>
      </c>
      <c r="D459" s="1">
        <v>10</v>
      </c>
      <c r="F459" s="1">
        <v>2023</v>
      </c>
      <c r="G459" s="1" t="s">
        <v>168</v>
      </c>
      <c r="H459" s="1">
        <v>604155</v>
      </c>
      <c r="I459" s="1">
        <v>4</v>
      </c>
      <c r="J459" s="1" t="s">
        <v>36</v>
      </c>
      <c r="K459" s="1" t="s">
        <v>1354</v>
      </c>
      <c r="L459" s="1" t="s">
        <v>1355</v>
      </c>
      <c r="M459" s="1">
        <v>167</v>
      </c>
      <c r="N459" s="1" t="s">
        <v>39</v>
      </c>
      <c r="O459" s="1">
        <v>37.788899999999998</v>
      </c>
      <c r="P459" s="1">
        <v>-84.713899999999995</v>
      </c>
      <c r="Q459" s="1" t="s">
        <v>1356</v>
      </c>
      <c r="R459" s="1" t="s">
        <v>41</v>
      </c>
      <c r="T459" s="1" t="s">
        <v>93</v>
      </c>
      <c r="U459" s="1" t="s">
        <v>44</v>
      </c>
      <c r="W459" s="1" t="s">
        <v>454</v>
      </c>
      <c r="X459" s="1" t="s">
        <v>95</v>
      </c>
      <c r="AA459" s="3">
        <v>35055</v>
      </c>
      <c r="AB459" s="1" t="s">
        <v>46</v>
      </c>
      <c r="AC459" s="5">
        <v>1830</v>
      </c>
      <c r="AD459" s="1" t="s">
        <v>1365</v>
      </c>
      <c r="AE459" s="1" t="str">
        <f t="shared" si="36"/>
        <v>1355 10</v>
      </c>
      <c r="AF459" s="5" t="str">
        <f t="shared" si="34"/>
        <v>126</v>
      </c>
      <c r="AG459" s="1" t="str">
        <f t="shared" si="35"/>
        <v/>
      </c>
    </row>
    <row r="460" spans="1:33" x14ac:dyDescent="0.2">
      <c r="A460" s="1" t="s">
        <v>165</v>
      </c>
      <c r="B460" s="1" t="s">
        <v>1352</v>
      </c>
      <c r="C460" s="1">
        <v>1355</v>
      </c>
      <c r="D460" s="1">
        <v>11</v>
      </c>
      <c r="F460" s="1">
        <v>2023</v>
      </c>
      <c r="G460" s="1" t="s">
        <v>168</v>
      </c>
      <c r="H460" s="1">
        <v>604155</v>
      </c>
      <c r="I460" s="1">
        <v>4</v>
      </c>
      <c r="J460" s="1" t="s">
        <v>36</v>
      </c>
      <c r="K460" s="1" t="s">
        <v>1354</v>
      </c>
      <c r="L460" s="1" t="s">
        <v>1355</v>
      </c>
      <c r="M460" s="1">
        <v>167</v>
      </c>
      <c r="N460" s="1" t="s">
        <v>39</v>
      </c>
      <c r="O460" s="1">
        <v>37.788899999999998</v>
      </c>
      <c r="P460" s="1">
        <v>-84.713899999999995</v>
      </c>
      <c r="Q460" s="1" t="s">
        <v>1356</v>
      </c>
      <c r="R460" s="1" t="s">
        <v>41</v>
      </c>
      <c r="T460" s="1" t="s">
        <v>93</v>
      </c>
      <c r="U460" s="1" t="s">
        <v>44</v>
      </c>
      <c r="W460" s="1" t="s">
        <v>454</v>
      </c>
      <c r="X460" s="1" t="s">
        <v>95</v>
      </c>
      <c r="AA460" s="3">
        <v>35156</v>
      </c>
      <c r="AB460" s="1" t="s">
        <v>46</v>
      </c>
      <c r="AC460" s="5">
        <v>1625</v>
      </c>
      <c r="AD460" s="1" t="s">
        <v>1366</v>
      </c>
      <c r="AE460" s="1" t="str">
        <f t="shared" si="36"/>
        <v>1355 11</v>
      </c>
      <c r="AF460" s="5" t="str">
        <f t="shared" si="34"/>
        <v>126</v>
      </c>
      <c r="AG460" s="1" t="str">
        <f t="shared" si="35"/>
        <v/>
      </c>
    </row>
    <row r="461" spans="1:33" x14ac:dyDescent="0.2">
      <c r="A461" s="1" t="s">
        <v>165</v>
      </c>
      <c r="B461" s="1" t="s">
        <v>1367</v>
      </c>
      <c r="C461" s="1">
        <v>1356</v>
      </c>
      <c r="D461" s="1">
        <v>1</v>
      </c>
      <c r="F461" s="1">
        <v>2023</v>
      </c>
      <c r="G461" s="1" t="s">
        <v>1353</v>
      </c>
      <c r="H461" s="1">
        <v>604155</v>
      </c>
      <c r="I461" s="1">
        <v>4</v>
      </c>
      <c r="K461" s="1" t="s">
        <v>1368</v>
      </c>
      <c r="L461" s="1" t="s">
        <v>1369</v>
      </c>
      <c r="M461" s="1">
        <v>41</v>
      </c>
      <c r="N461" s="1" t="s">
        <v>39</v>
      </c>
      <c r="O461" s="1">
        <v>38.749699999999997</v>
      </c>
      <c r="P461" s="1">
        <v>-85.034999999999997</v>
      </c>
      <c r="Q461" s="1" t="s">
        <v>1370</v>
      </c>
      <c r="R461" s="1" t="s">
        <v>120</v>
      </c>
      <c r="S461" s="1" t="s">
        <v>121</v>
      </c>
      <c r="T461" s="1" t="s">
        <v>43</v>
      </c>
      <c r="U461" s="1" t="s">
        <v>55</v>
      </c>
      <c r="W461" s="1" t="s">
        <v>56</v>
      </c>
      <c r="X461" s="1" t="s">
        <v>57</v>
      </c>
      <c r="Y461" s="1" t="s">
        <v>232</v>
      </c>
      <c r="Z461" s="1" t="s">
        <v>1109</v>
      </c>
      <c r="AA461" s="3">
        <v>27079</v>
      </c>
      <c r="AB461" s="1" t="s">
        <v>46</v>
      </c>
      <c r="AC461" s="5">
        <v>5500</v>
      </c>
      <c r="AD461" s="1" t="s">
        <v>1371</v>
      </c>
      <c r="AE461" s="1" t="str">
        <f t="shared" si="36"/>
        <v>1356 1</v>
      </c>
      <c r="AF461" s="5" t="str">
        <f t="shared" si="34"/>
        <v>556.9</v>
      </c>
      <c r="AG461" s="1" t="str">
        <f t="shared" si="35"/>
        <v>Y</v>
      </c>
    </row>
    <row r="462" spans="1:33" x14ac:dyDescent="0.2">
      <c r="A462" s="1" t="s">
        <v>165</v>
      </c>
      <c r="B462" s="1" t="s">
        <v>1367</v>
      </c>
      <c r="C462" s="1">
        <v>1356</v>
      </c>
      <c r="D462" s="1">
        <v>2</v>
      </c>
      <c r="E462" s="1" t="s">
        <v>1150</v>
      </c>
      <c r="F462" s="1">
        <v>2023</v>
      </c>
      <c r="G462" s="1" t="s">
        <v>1353</v>
      </c>
      <c r="H462" s="1">
        <v>604155</v>
      </c>
      <c r="I462" s="1">
        <v>4</v>
      </c>
      <c r="K462" s="1" t="s">
        <v>1368</v>
      </c>
      <c r="L462" s="1" t="s">
        <v>1369</v>
      </c>
      <c r="M462" s="1">
        <v>41</v>
      </c>
      <c r="N462" s="1" t="s">
        <v>39</v>
      </c>
      <c r="O462" s="1">
        <v>38.749699999999997</v>
      </c>
      <c r="P462" s="1">
        <v>-85.034999999999997</v>
      </c>
      <c r="Q462" s="1" t="s">
        <v>1370</v>
      </c>
      <c r="R462" s="1" t="s">
        <v>41</v>
      </c>
      <c r="S462" s="1" t="s">
        <v>42</v>
      </c>
      <c r="T462" s="1" t="s">
        <v>43</v>
      </c>
      <c r="U462" s="1" t="s">
        <v>55</v>
      </c>
      <c r="W462" s="1" t="s">
        <v>56</v>
      </c>
      <c r="X462" s="1" t="s">
        <v>213</v>
      </c>
      <c r="Y462" s="1" t="s">
        <v>232</v>
      </c>
      <c r="Z462" s="1" t="s">
        <v>1372</v>
      </c>
      <c r="AA462" s="3">
        <v>28235</v>
      </c>
      <c r="AB462" s="1" t="s">
        <v>46</v>
      </c>
      <c r="AC462" s="5">
        <v>5800</v>
      </c>
      <c r="AD462" s="1" t="s">
        <v>1373</v>
      </c>
      <c r="AE462" s="1" t="str">
        <f t="shared" si="36"/>
        <v>1356 2</v>
      </c>
      <c r="AF462" s="5" t="str">
        <f t="shared" si="34"/>
        <v>556.4</v>
      </c>
      <c r="AG462" s="1" t="str">
        <f t="shared" si="35"/>
        <v/>
      </c>
    </row>
    <row r="463" spans="1:33" x14ac:dyDescent="0.2">
      <c r="A463" s="1" t="s">
        <v>165</v>
      </c>
      <c r="B463" s="1" t="s">
        <v>1367</v>
      </c>
      <c r="C463" s="1">
        <v>1356</v>
      </c>
      <c r="D463" s="1">
        <v>3</v>
      </c>
      <c r="E463" s="1" t="s">
        <v>1150</v>
      </c>
      <c r="F463" s="1">
        <v>2023</v>
      </c>
      <c r="G463" s="1" t="s">
        <v>1353</v>
      </c>
      <c r="H463" s="1">
        <v>604155</v>
      </c>
      <c r="I463" s="1">
        <v>4</v>
      </c>
      <c r="K463" s="1" t="s">
        <v>1368</v>
      </c>
      <c r="L463" s="1" t="s">
        <v>1369</v>
      </c>
      <c r="M463" s="1">
        <v>41</v>
      </c>
      <c r="N463" s="1" t="s">
        <v>39</v>
      </c>
      <c r="O463" s="1">
        <v>38.749699999999997</v>
      </c>
      <c r="P463" s="1">
        <v>-85.034999999999997</v>
      </c>
      <c r="Q463" s="1" t="s">
        <v>1370</v>
      </c>
      <c r="R463" s="1" t="s">
        <v>41</v>
      </c>
      <c r="S463" s="1" t="s">
        <v>42</v>
      </c>
      <c r="T463" s="1" t="s">
        <v>89</v>
      </c>
      <c r="U463" s="1" t="s">
        <v>55</v>
      </c>
      <c r="W463" s="1" t="s">
        <v>56</v>
      </c>
      <c r="X463" s="1" t="s">
        <v>563</v>
      </c>
      <c r="Y463" s="1" t="s">
        <v>123</v>
      </c>
      <c r="Z463" s="1" t="s">
        <v>1372</v>
      </c>
      <c r="AA463" s="3">
        <v>29737</v>
      </c>
      <c r="AB463" s="1" t="s">
        <v>46</v>
      </c>
      <c r="AC463" s="5">
        <v>5800</v>
      </c>
      <c r="AD463" s="1" t="s">
        <v>1374</v>
      </c>
      <c r="AE463" s="1" t="str">
        <f t="shared" si="36"/>
        <v>1356 3</v>
      </c>
      <c r="AF463" s="5" t="str">
        <f t="shared" si="34"/>
        <v>556.6</v>
      </c>
      <c r="AG463" s="1" t="str">
        <f t="shared" si="35"/>
        <v>Y</v>
      </c>
    </row>
    <row r="464" spans="1:33" x14ac:dyDescent="0.2">
      <c r="A464" s="1" t="s">
        <v>165</v>
      </c>
      <c r="B464" s="1" t="s">
        <v>1367</v>
      </c>
      <c r="C464" s="1">
        <v>1356</v>
      </c>
      <c r="D464" s="1">
        <v>4</v>
      </c>
      <c r="F464" s="1">
        <v>2023</v>
      </c>
      <c r="G464" s="1" t="s">
        <v>1353</v>
      </c>
      <c r="H464" s="1">
        <v>604155</v>
      </c>
      <c r="I464" s="1">
        <v>4</v>
      </c>
      <c r="K464" s="1" t="s">
        <v>1368</v>
      </c>
      <c r="L464" s="1" t="s">
        <v>1369</v>
      </c>
      <c r="M464" s="1">
        <v>41</v>
      </c>
      <c r="N464" s="1" t="s">
        <v>39</v>
      </c>
      <c r="O464" s="1">
        <v>38.749699999999997</v>
      </c>
      <c r="P464" s="1">
        <v>-85.034999999999997</v>
      </c>
      <c r="Q464" s="1" t="s">
        <v>1370</v>
      </c>
      <c r="R464" s="1" t="s">
        <v>41</v>
      </c>
      <c r="S464" s="1" t="s">
        <v>42</v>
      </c>
      <c r="T464" s="1" t="s">
        <v>89</v>
      </c>
      <c r="U464" s="1" t="s">
        <v>55</v>
      </c>
      <c r="W464" s="1" t="s">
        <v>56</v>
      </c>
      <c r="X464" s="1" t="s">
        <v>563</v>
      </c>
      <c r="Y464" s="1" t="s">
        <v>123</v>
      </c>
      <c r="Z464" s="1" t="s">
        <v>1109</v>
      </c>
      <c r="AA464" s="3">
        <v>30912</v>
      </c>
      <c r="AB464" s="1" t="s">
        <v>46</v>
      </c>
      <c r="AC464" s="5">
        <v>5500</v>
      </c>
      <c r="AD464" s="1" t="s">
        <v>1375</v>
      </c>
      <c r="AE464" s="1" t="str">
        <f t="shared" si="36"/>
        <v>1356 4</v>
      </c>
      <c r="AF464" s="5" t="str">
        <f t="shared" si="34"/>
        <v>556.2</v>
      </c>
      <c r="AG464" s="1" t="str">
        <f t="shared" si="35"/>
        <v>Y</v>
      </c>
    </row>
    <row r="465" spans="1:33" x14ac:dyDescent="0.2">
      <c r="A465" s="1" t="s">
        <v>165</v>
      </c>
      <c r="B465" s="1" t="s">
        <v>1376</v>
      </c>
      <c r="C465" s="1">
        <v>1363</v>
      </c>
      <c r="D465" s="1" t="s">
        <v>75</v>
      </c>
      <c r="F465" s="1">
        <v>2023</v>
      </c>
      <c r="G465" s="1" t="s">
        <v>168</v>
      </c>
      <c r="H465" s="1">
        <v>604155</v>
      </c>
      <c r="I465" s="1">
        <v>4</v>
      </c>
      <c r="J465" s="1" t="s">
        <v>36</v>
      </c>
      <c r="K465" s="1" t="s">
        <v>1074</v>
      </c>
      <c r="L465" s="1" t="s">
        <v>1377</v>
      </c>
      <c r="M465" s="1">
        <v>111</v>
      </c>
      <c r="N465" s="1" t="s">
        <v>39</v>
      </c>
      <c r="O465" s="1">
        <v>38.1828</v>
      </c>
      <c r="P465" s="1">
        <v>-85.889399999999995</v>
      </c>
      <c r="Q465" s="1" t="s">
        <v>1378</v>
      </c>
      <c r="R465" s="1" t="s">
        <v>41</v>
      </c>
      <c r="T465" s="1" t="s">
        <v>71</v>
      </c>
      <c r="U465" s="1" t="s">
        <v>44</v>
      </c>
      <c r="X465" s="1" t="s">
        <v>140</v>
      </c>
      <c r="AA465" s="3">
        <v>42064</v>
      </c>
      <c r="AB465" s="1" t="s">
        <v>46</v>
      </c>
      <c r="AC465" s="5">
        <v>2524</v>
      </c>
      <c r="AD465" s="1" t="s">
        <v>1379</v>
      </c>
      <c r="AE465" s="1" t="str">
        <f t="shared" si="36"/>
        <v>1363 7A</v>
      </c>
      <c r="AF465" s="14">
        <f>MID(AD465,FIND("(",AD465)+1,FIND(")",AD465)-FIND("(",AD465)-1)+287/2</f>
        <v>403.5</v>
      </c>
      <c r="AG465" s="1" t="str">
        <f t="shared" si="35"/>
        <v/>
      </c>
    </row>
    <row r="466" spans="1:33" x14ac:dyDescent="0.2">
      <c r="A466" s="1" t="s">
        <v>165</v>
      </c>
      <c r="B466" s="1" t="s">
        <v>1376</v>
      </c>
      <c r="C466" s="1">
        <v>1363</v>
      </c>
      <c r="D466" s="1" t="s">
        <v>78</v>
      </c>
      <c r="F466" s="1">
        <v>2023</v>
      </c>
      <c r="G466" s="1" t="s">
        <v>168</v>
      </c>
      <c r="H466" s="1">
        <v>604155</v>
      </c>
      <c r="I466" s="1">
        <v>4</v>
      </c>
      <c r="J466" s="1" t="s">
        <v>36</v>
      </c>
      <c r="K466" s="1" t="s">
        <v>1074</v>
      </c>
      <c r="L466" s="1" t="s">
        <v>1377</v>
      </c>
      <c r="M466" s="1">
        <v>111</v>
      </c>
      <c r="N466" s="1" t="s">
        <v>39</v>
      </c>
      <c r="O466" s="1">
        <v>38.1828</v>
      </c>
      <c r="P466" s="1">
        <v>-85.889399999999995</v>
      </c>
      <c r="Q466" s="1" t="s">
        <v>1378</v>
      </c>
      <c r="R466" s="1" t="s">
        <v>41</v>
      </c>
      <c r="T466" s="1" t="s">
        <v>71</v>
      </c>
      <c r="U466" s="1" t="s">
        <v>44</v>
      </c>
      <c r="X466" s="1" t="s">
        <v>140</v>
      </c>
      <c r="AA466" s="3">
        <v>42072</v>
      </c>
      <c r="AB466" s="1" t="s">
        <v>46</v>
      </c>
      <c r="AC466" s="5">
        <v>2500</v>
      </c>
      <c r="AD466" s="1" t="s">
        <v>1380</v>
      </c>
      <c r="AE466" s="1" t="str">
        <f t="shared" si="36"/>
        <v>1363 7B</v>
      </c>
      <c r="AF466" s="14">
        <f>AF465</f>
        <v>403.5</v>
      </c>
      <c r="AG466" s="1" t="str">
        <f t="shared" si="35"/>
        <v/>
      </c>
    </row>
    <row r="467" spans="1:33" x14ac:dyDescent="0.2">
      <c r="A467" s="1" t="s">
        <v>165</v>
      </c>
      <c r="B467" s="1" t="s">
        <v>1381</v>
      </c>
      <c r="C467" s="1">
        <v>1364</v>
      </c>
      <c r="D467" s="1">
        <v>1</v>
      </c>
      <c r="E467" s="1" t="s">
        <v>1177</v>
      </c>
      <c r="F467" s="1">
        <v>2023</v>
      </c>
      <c r="G467" s="1" t="s">
        <v>1353</v>
      </c>
      <c r="H467" s="1">
        <v>604155</v>
      </c>
      <c r="I467" s="1">
        <v>4</v>
      </c>
      <c r="J467" s="1" t="s">
        <v>169</v>
      </c>
      <c r="K467" s="1" t="s">
        <v>1074</v>
      </c>
      <c r="L467" s="1" t="s">
        <v>1377</v>
      </c>
      <c r="M467" s="1">
        <v>111</v>
      </c>
      <c r="N467" s="1" t="s">
        <v>39</v>
      </c>
      <c r="O467" s="1">
        <v>38.053100000000001</v>
      </c>
      <c r="P467" s="1">
        <v>-85.91</v>
      </c>
      <c r="Q467" s="1" t="s">
        <v>1356</v>
      </c>
      <c r="R467" s="1" t="s">
        <v>41</v>
      </c>
      <c r="S467" s="1" t="s">
        <v>211</v>
      </c>
      <c r="T467" s="1" t="s">
        <v>43</v>
      </c>
      <c r="U467" s="1" t="s">
        <v>55</v>
      </c>
      <c r="W467" s="1" t="s">
        <v>56</v>
      </c>
      <c r="X467" s="1" t="s">
        <v>242</v>
      </c>
      <c r="Y467" s="1" t="s">
        <v>123</v>
      </c>
      <c r="Z467" s="1" t="s">
        <v>1109</v>
      </c>
      <c r="AA467" s="3">
        <v>26491</v>
      </c>
      <c r="AB467" s="1" t="s">
        <v>46</v>
      </c>
      <c r="AC467" s="5">
        <v>3700</v>
      </c>
      <c r="AD467" s="1" t="s">
        <v>1382</v>
      </c>
      <c r="AE467" s="1" t="str">
        <f t="shared" si="36"/>
        <v>1364 1</v>
      </c>
      <c r="AF467" s="5" t="str">
        <f t="shared" ref="AF467:AF472" si="37">MID(AD467,FIND("(",AD467)+1,FIND(")",AD467)-FIND("(",AD467)-1)</f>
        <v>355.5</v>
      </c>
      <c r="AG467" s="1" t="str">
        <f t="shared" si="35"/>
        <v/>
      </c>
    </row>
    <row r="468" spans="1:33" x14ac:dyDescent="0.2">
      <c r="A468" s="1" t="s">
        <v>165</v>
      </c>
      <c r="B468" s="1" t="s">
        <v>1381</v>
      </c>
      <c r="C468" s="1">
        <v>1364</v>
      </c>
      <c r="D468" s="1">
        <v>2</v>
      </c>
      <c r="E468" s="1" t="s">
        <v>1177</v>
      </c>
      <c r="F468" s="1">
        <v>2023</v>
      </c>
      <c r="G468" s="1" t="s">
        <v>1353</v>
      </c>
      <c r="H468" s="1">
        <v>604155</v>
      </c>
      <c r="I468" s="1">
        <v>4</v>
      </c>
      <c r="J468" s="1" t="s">
        <v>169</v>
      </c>
      <c r="K468" s="1" t="s">
        <v>1074</v>
      </c>
      <c r="L468" s="1" t="s">
        <v>1377</v>
      </c>
      <c r="M468" s="1">
        <v>111</v>
      </c>
      <c r="N468" s="1" t="s">
        <v>39</v>
      </c>
      <c r="O468" s="1">
        <v>38.053100000000001</v>
      </c>
      <c r="P468" s="1">
        <v>-85.91</v>
      </c>
      <c r="Q468" s="1" t="s">
        <v>1356</v>
      </c>
      <c r="R468" s="1" t="s">
        <v>41</v>
      </c>
      <c r="S468" s="1" t="s">
        <v>211</v>
      </c>
      <c r="T468" s="1" t="s">
        <v>43</v>
      </c>
      <c r="U468" s="1" t="s">
        <v>55</v>
      </c>
      <c r="W468" s="1" t="s">
        <v>56</v>
      </c>
      <c r="X468" s="1" t="s">
        <v>242</v>
      </c>
      <c r="Y468" s="1" t="s">
        <v>123</v>
      </c>
      <c r="Z468" s="1" t="s">
        <v>1109</v>
      </c>
      <c r="AA468" s="3">
        <v>27191</v>
      </c>
      <c r="AB468" s="1" t="s">
        <v>46</v>
      </c>
      <c r="AC468" s="5">
        <v>3700</v>
      </c>
      <c r="AD468" s="1" t="s">
        <v>1383</v>
      </c>
      <c r="AE468" s="1" t="str">
        <f t="shared" si="36"/>
        <v>1364 2</v>
      </c>
      <c r="AF468" s="5" t="str">
        <f t="shared" si="37"/>
        <v>355.5</v>
      </c>
      <c r="AG468" s="1" t="str">
        <f t="shared" si="35"/>
        <v/>
      </c>
    </row>
    <row r="469" spans="1:33" x14ac:dyDescent="0.2">
      <c r="A469" s="1" t="s">
        <v>165</v>
      </c>
      <c r="B469" s="1" t="s">
        <v>1381</v>
      </c>
      <c r="C469" s="1">
        <v>1364</v>
      </c>
      <c r="D469" s="1">
        <v>3</v>
      </c>
      <c r="F469" s="1">
        <v>2023</v>
      </c>
      <c r="G469" s="1" t="s">
        <v>1353</v>
      </c>
      <c r="H469" s="1">
        <v>604155</v>
      </c>
      <c r="I469" s="1">
        <v>4</v>
      </c>
      <c r="J469" s="1" t="s">
        <v>169</v>
      </c>
      <c r="K469" s="1" t="s">
        <v>1074</v>
      </c>
      <c r="L469" s="1" t="s">
        <v>1377</v>
      </c>
      <c r="M469" s="1">
        <v>111</v>
      </c>
      <c r="N469" s="1" t="s">
        <v>39</v>
      </c>
      <c r="O469" s="1">
        <v>38.053100000000001</v>
      </c>
      <c r="P469" s="1">
        <v>-85.91</v>
      </c>
      <c r="Q469" s="1" t="s">
        <v>1356</v>
      </c>
      <c r="R469" s="1" t="s">
        <v>41</v>
      </c>
      <c r="S469" s="1" t="s">
        <v>211</v>
      </c>
      <c r="T469" s="1" t="s">
        <v>89</v>
      </c>
      <c r="U469" s="1" t="s">
        <v>55</v>
      </c>
      <c r="W469" s="1" t="s">
        <v>56</v>
      </c>
      <c r="X469" s="1" t="s">
        <v>639</v>
      </c>
      <c r="Y469" s="1" t="s">
        <v>1384</v>
      </c>
      <c r="Z469" s="1" t="s">
        <v>1109</v>
      </c>
      <c r="AA469" s="3">
        <v>28669</v>
      </c>
      <c r="AB469" s="1" t="s">
        <v>46</v>
      </c>
      <c r="AC469" s="5">
        <v>4400</v>
      </c>
      <c r="AD469" s="1" t="s">
        <v>1385</v>
      </c>
      <c r="AE469" s="1" t="str">
        <f t="shared" si="36"/>
        <v>1364 3</v>
      </c>
      <c r="AF469" s="5" t="str">
        <f t="shared" si="37"/>
        <v>462.6</v>
      </c>
      <c r="AG469" s="1" t="str">
        <f t="shared" si="35"/>
        <v>Y</v>
      </c>
    </row>
    <row r="470" spans="1:33" x14ac:dyDescent="0.2">
      <c r="A470" s="1" t="s">
        <v>165</v>
      </c>
      <c r="B470" s="1" t="s">
        <v>1381</v>
      </c>
      <c r="C470" s="1">
        <v>1364</v>
      </c>
      <c r="D470" s="1">
        <v>4</v>
      </c>
      <c r="F470" s="1">
        <v>2023</v>
      </c>
      <c r="G470" s="1" t="s">
        <v>1353</v>
      </c>
      <c r="H470" s="1">
        <v>604155</v>
      </c>
      <c r="I470" s="1">
        <v>4</v>
      </c>
      <c r="J470" s="1" t="s">
        <v>169</v>
      </c>
      <c r="K470" s="1" t="s">
        <v>1074</v>
      </c>
      <c r="L470" s="1" t="s">
        <v>1377</v>
      </c>
      <c r="M470" s="1">
        <v>111</v>
      </c>
      <c r="N470" s="1" t="s">
        <v>39</v>
      </c>
      <c r="O470" s="1">
        <v>38.053100000000001</v>
      </c>
      <c r="P470" s="1">
        <v>-85.91</v>
      </c>
      <c r="Q470" s="1" t="s">
        <v>1356</v>
      </c>
      <c r="R470" s="1" t="s">
        <v>41</v>
      </c>
      <c r="S470" s="1" t="s">
        <v>211</v>
      </c>
      <c r="T470" s="1" t="s">
        <v>89</v>
      </c>
      <c r="U470" s="1" t="s">
        <v>55</v>
      </c>
      <c r="W470" s="1" t="s">
        <v>56</v>
      </c>
      <c r="X470" s="1" t="s">
        <v>639</v>
      </c>
      <c r="Y470" s="1" t="s">
        <v>1384</v>
      </c>
      <c r="Z470" s="1" t="s">
        <v>1109</v>
      </c>
      <c r="AA470" s="3">
        <v>30147</v>
      </c>
      <c r="AB470" s="1" t="s">
        <v>46</v>
      </c>
      <c r="AC470" s="5">
        <v>5500</v>
      </c>
      <c r="AD470" s="1" t="s">
        <v>1386</v>
      </c>
      <c r="AE470" s="1" t="str">
        <f t="shared" si="36"/>
        <v>1364 4</v>
      </c>
      <c r="AF470" s="5" t="str">
        <f t="shared" si="37"/>
        <v>543.6</v>
      </c>
      <c r="AG470" s="1" t="str">
        <f t="shared" si="35"/>
        <v>Y</v>
      </c>
    </row>
    <row r="471" spans="1:33" x14ac:dyDescent="0.2">
      <c r="A471" s="1" t="s">
        <v>165</v>
      </c>
      <c r="B471" s="1" t="s">
        <v>1387</v>
      </c>
      <c r="C471" s="1">
        <v>1366</v>
      </c>
      <c r="D471" s="1">
        <v>12</v>
      </c>
      <c r="F471" s="1">
        <v>2023</v>
      </c>
      <c r="G471" s="1" t="s">
        <v>1388</v>
      </c>
      <c r="H471" s="1">
        <v>604155</v>
      </c>
      <c r="I471" s="1">
        <v>4</v>
      </c>
      <c r="K471" s="1" t="s">
        <v>1074</v>
      </c>
      <c r="L471" s="1" t="s">
        <v>1377</v>
      </c>
      <c r="M471" s="1">
        <v>111</v>
      </c>
      <c r="N471" s="1" t="s">
        <v>39</v>
      </c>
      <c r="O471" s="1">
        <v>38.214700000000001</v>
      </c>
      <c r="P471" s="1">
        <v>-85.845299999999995</v>
      </c>
      <c r="Q471" s="1" t="s">
        <v>1389</v>
      </c>
      <c r="T471" s="1" t="s">
        <v>93</v>
      </c>
      <c r="U471" s="1" t="s">
        <v>44</v>
      </c>
      <c r="AA471" s="3">
        <v>25020</v>
      </c>
      <c r="AB471" s="1" t="s">
        <v>46</v>
      </c>
      <c r="AC471" s="5">
        <v>438</v>
      </c>
      <c r="AD471" s="1" t="s">
        <v>1390</v>
      </c>
      <c r="AE471" s="1" t="str">
        <f t="shared" si="36"/>
        <v>1366 12</v>
      </c>
      <c r="AF471" s="5" t="str">
        <f t="shared" si="37"/>
        <v>32.6</v>
      </c>
      <c r="AG471" s="1" t="str">
        <f t="shared" si="35"/>
        <v/>
      </c>
    </row>
    <row r="472" spans="1:33" x14ac:dyDescent="0.2">
      <c r="A472" s="1" t="s">
        <v>165</v>
      </c>
      <c r="B472" s="1" t="s">
        <v>1387</v>
      </c>
      <c r="C472" s="1">
        <v>1366</v>
      </c>
      <c r="D472" s="1">
        <v>13</v>
      </c>
      <c r="F472" s="1">
        <v>2023</v>
      </c>
      <c r="G472" s="1" t="s">
        <v>168</v>
      </c>
      <c r="H472" s="1">
        <v>604155</v>
      </c>
      <c r="I472" s="1">
        <v>4</v>
      </c>
      <c r="K472" s="1" t="s">
        <v>1074</v>
      </c>
      <c r="L472" s="1" t="s">
        <v>1377</v>
      </c>
      <c r="M472" s="1">
        <v>111</v>
      </c>
      <c r="N472" s="1" t="s">
        <v>39</v>
      </c>
      <c r="O472" s="1">
        <v>38.214700000000001</v>
      </c>
      <c r="P472" s="1">
        <v>-85.845299999999995</v>
      </c>
      <c r="Q472" s="1" t="s">
        <v>1389</v>
      </c>
      <c r="R472" s="1" t="s">
        <v>41</v>
      </c>
      <c r="T472" s="1" t="s">
        <v>93</v>
      </c>
      <c r="U472" s="1" t="s">
        <v>44</v>
      </c>
      <c r="X472" s="1" t="s">
        <v>140</v>
      </c>
      <c r="AA472" s="3">
        <v>37067</v>
      </c>
      <c r="AB472" s="1" t="s">
        <v>46</v>
      </c>
      <c r="AC472" s="5">
        <v>1861</v>
      </c>
      <c r="AD472" s="1" t="s">
        <v>1391</v>
      </c>
      <c r="AE472" s="1" t="str">
        <f t="shared" si="36"/>
        <v>1366 13</v>
      </c>
      <c r="AF472" s="5" t="str">
        <f t="shared" si="37"/>
        <v>178</v>
      </c>
      <c r="AG472" s="1" t="str">
        <f t="shared" si="35"/>
        <v/>
      </c>
    </row>
    <row r="473" spans="1:33" x14ac:dyDescent="0.2">
      <c r="A473" s="1" t="s">
        <v>165</v>
      </c>
      <c r="B473" s="1" t="s">
        <v>1392</v>
      </c>
      <c r="C473" s="1">
        <v>1378</v>
      </c>
      <c r="D473" s="1" t="s">
        <v>1393</v>
      </c>
      <c r="F473" s="1">
        <v>2023</v>
      </c>
      <c r="G473" s="1" t="s">
        <v>1394</v>
      </c>
      <c r="H473" s="1">
        <v>609315</v>
      </c>
      <c r="I473" s="1">
        <v>4</v>
      </c>
      <c r="J473" s="1" t="s">
        <v>36</v>
      </c>
      <c r="K473" s="1" t="s">
        <v>1395</v>
      </c>
      <c r="L473" s="1" t="s">
        <v>1396</v>
      </c>
      <c r="M473" s="1">
        <v>177</v>
      </c>
      <c r="N473" s="1" t="s">
        <v>39</v>
      </c>
      <c r="O473" s="1">
        <v>37.260800000000003</v>
      </c>
      <c r="P473" s="1">
        <v>-86.978300000000004</v>
      </c>
      <c r="Q473" s="1" t="s">
        <v>136</v>
      </c>
      <c r="R473" s="1" t="s">
        <v>41</v>
      </c>
      <c r="T473" s="1" t="s">
        <v>71</v>
      </c>
      <c r="U473" s="1" t="s">
        <v>44</v>
      </c>
      <c r="X473" s="1" t="s">
        <v>64</v>
      </c>
      <c r="AA473" s="3">
        <v>42654</v>
      </c>
      <c r="AB473" s="1" t="s">
        <v>46</v>
      </c>
      <c r="AC473" s="5">
        <v>2700</v>
      </c>
      <c r="AD473" s="1" t="s">
        <v>1397</v>
      </c>
      <c r="AE473" s="1" t="str">
        <f t="shared" si="36"/>
        <v>1378 PCC1</v>
      </c>
      <c r="AF473" s="14">
        <f>AF475</f>
        <v>382.66666666666663</v>
      </c>
      <c r="AG473" s="1" t="str">
        <f t="shared" si="35"/>
        <v>Y</v>
      </c>
    </row>
    <row r="474" spans="1:33" x14ac:dyDescent="0.2">
      <c r="A474" s="1" t="s">
        <v>165</v>
      </c>
      <c r="B474" s="1" t="s">
        <v>1392</v>
      </c>
      <c r="C474" s="1">
        <v>1378</v>
      </c>
      <c r="D474" s="1" t="s">
        <v>1398</v>
      </c>
      <c r="F474" s="1">
        <v>2023</v>
      </c>
      <c r="G474" s="1" t="s">
        <v>1394</v>
      </c>
      <c r="H474" s="1">
        <v>609315</v>
      </c>
      <c r="I474" s="1">
        <v>4</v>
      </c>
      <c r="J474" s="1" t="s">
        <v>36</v>
      </c>
      <c r="K474" s="1" t="s">
        <v>1395</v>
      </c>
      <c r="L474" s="1" t="s">
        <v>1396</v>
      </c>
      <c r="M474" s="1">
        <v>177</v>
      </c>
      <c r="N474" s="1" t="s">
        <v>39</v>
      </c>
      <c r="O474" s="1">
        <v>37.260800000000003</v>
      </c>
      <c r="P474" s="1">
        <v>-86.978300000000004</v>
      </c>
      <c r="Q474" s="1" t="s">
        <v>136</v>
      </c>
      <c r="R474" s="1" t="s">
        <v>41</v>
      </c>
      <c r="T474" s="1" t="s">
        <v>71</v>
      </c>
      <c r="U474" s="1" t="s">
        <v>44</v>
      </c>
      <c r="X474" s="1" t="s">
        <v>64</v>
      </c>
      <c r="AA474" s="3">
        <v>42660</v>
      </c>
      <c r="AB474" s="1" t="s">
        <v>46</v>
      </c>
      <c r="AC474" s="5">
        <v>2700</v>
      </c>
      <c r="AD474" s="1" t="s">
        <v>1399</v>
      </c>
      <c r="AE474" s="1" t="str">
        <f t="shared" si="36"/>
        <v>1378 PCC2</v>
      </c>
      <c r="AF474" s="14">
        <f>AF475</f>
        <v>382.66666666666663</v>
      </c>
      <c r="AG474" s="1" t="str">
        <f t="shared" si="35"/>
        <v>Y</v>
      </c>
    </row>
    <row r="475" spans="1:33" x14ac:dyDescent="0.2">
      <c r="A475" s="1" t="s">
        <v>165</v>
      </c>
      <c r="B475" s="1" t="s">
        <v>1392</v>
      </c>
      <c r="C475" s="1">
        <v>1378</v>
      </c>
      <c r="D475" s="1" t="s">
        <v>1400</v>
      </c>
      <c r="F475" s="1">
        <v>2023</v>
      </c>
      <c r="G475" s="1" t="s">
        <v>1394</v>
      </c>
      <c r="H475" s="1">
        <v>609315</v>
      </c>
      <c r="I475" s="1">
        <v>4</v>
      </c>
      <c r="J475" s="1" t="s">
        <v>36</v>
      </c>
      <c r="K475" s="1" t="s">
        <v>1395</v>
      </c>
      <c r="L475" s="1" t="s">
        <v>1396</v>
      </c>
      <c r="M475" s="1">
        <v>177</v>
      </c>
      <c r="N475" s="1" t="s">
        <v>39</v>
      </c>
      <c r="O475" s="1">
        <v>37.260800000000003</v>
      </c>
      <c r="P475" s="1">
        <v>-86.978300000000004</v>
      </c>
      <c r="Q475" s="1" t="s">
        <v>136</v>
      </c>
      <c r="R475" s="1" t="s">
        <v>41</v>
      </c>
      <c r="T475" s="1" t="s">
        <v>71</v>
      </c>
      <c r="U475" s="1" t="s">
        <v>44</v>
      </c>
      <c r="X475" s="1" t="s">
        <v>64</v>
      </c>
      <c r="AA475" s="3">
        <v>42671</v>
      </c>
      <c r="AB475" s="1" t="s">
        <v>46</v>
      </c>
      <c r="AC475" s="5">
        <v>2700</v>
      </c>
      <c r="AD475" s="1" t="s">
        <v>1401</v>
      </c>
      <c r="AE475" s="1" t="str">
        <f t="shared" si="36"/>
        <v>1378 PCC3</v>
      </c>
      <c r="AF475" s="14">
        <f>MID(AD475,FIND("(",AD475)+1,FIND(")",AD475)-FIND("(",AD475)-1)+470/3</f>
        <v>382.66666666666663</v>
      </c>
      <c r="AG475" s="1" t="str">
        <f t="shared" si="35"/>
        <v>Y</v>
      </c>
    </row>
    <row r="476" spans="1:33" x14ac:dyDescent="0.2">
      <c r="A476" s="1" t="s">
        <v>165</v>
      </c>
      <c r="B476" s="1" t="s">
        <v>1402</v>
      </c>
      <c r="C476" s="1">
        <v>1379</v>
      </c>
      <c r="D476" s="1">
        <v>1</v>
      </c>
      <c r="E476" s="1" t="s">
        <v>1403</v>
      </c>
      <c r="F476" s="1">
        <v>2023</v>
      </c>
      <c r="G476" s="1" t="s">
        <v>1353</v>
      </c>
      <c r="H476" s="1">
        <v>609315</v>
      </c>
      <c r="I476" s="1">
        <v>4</v>
      </c>
      <c r="J476" s="1" t="s">
        <v>36</v>
      </c>
      <c r="K476" s="1" t="s">
        <v>1404</v>
      </c>
      <c r="L476" s="1" t="s">
        <v>1405</v>
      </c>
      <c r="M476" s="1">
        <v>145</v>
      </c>
      <c r="N476" s="1" t="s">
        <v>39</v>
      </c>
      <c r="O476" s="1">
        <v>37.151699999999998</v>
      </c>
      <c r="P476" s="1">
        <v>-88.775000000000006</v>
      </c>
      <c r="Q476" s="1" t="s">
        <v>136</v>
      </c>
      <c r="R476" s="1" t="s">
        <v>41</v>
      </c>
      <c r="S476" s="1" t="s">
        <v>42</v>
      </c>
      <c r="T476" s="1" t="s">
        <v>89</v>
      </c>
      <c r="U476" s="1" t="s">
        <v>55</v>
      </c>
      <c r="W476" s="1" t="s">
        <v>212</v>
      </c>
      <c r="X476" s="1" t="s">
        <v>639</v>
      </c>
      <c r="Y476" s="1" t="s">
        <v>232</v>
      </c>
      <c r="AA476" s="3">
        <v>19455</v>
      </c>
      <c r="AB476" s="1" t="s">
        <v>46</v>
      </c>
      <c r="AC476" s="5">
        <v>2145</v>
      </c>
      <c r="AD476" s="1" t="s">
        <v>1406</v>
      </c>
      <c r="AE476" s="1" t="str">
        <f t="shared" si="36"/>
        <v>1379 1</v>
      </c>
      <c r="AF476" s="5" t="str">
        <f t="shared" ref="AF476:AF493" si="38">MID(AD476,FIND("(",AD476)+1,FIND(")",AD476)-FIND("(",AD476)-1)</f>
        <v>175</v>
      </c>
      <c r="AG476" s="1" t="str">
        <f t="shared" si="35"/>
        <v>Y</v>
      </c>
    </row>
    <row r="477" spans="1:33" x14ac:dyDescent="0.2">
      <c r="A477" s="1" t="s">
        <v>165</v>
      </c>
      <c r="B477" s="1" t="s">
        <v>1402</v>
      </c>
      <c r="C477" s="1">
        <v>1379</v>
      </c>
      <c r="D477" s="1">
        <v>2</v>
      </c>
      <c r="E477" s="1" t="s">
        <v>1403</v>
      </c>
      <c r="F477" s="1">
        <v>2023</v>
      </c>
      <c r="G477" s="1" t="s">
        <v>1353</v>
      </c>
      <c r="H477" s="1">
        <v>609315</v>
      </c>
      <c r="I477" s="1">
        <v>4</v>
      </c>
      <c r="J477" s="1" t="s">
        <v>36</v>
      </c>
      <c r="K477" s="1" t="s">
        <v>1404</v>
      </c>
      <c r="L477" s="1" t="s">
        <v>1405</v>
      </c>
      <c r="M477" s="1">
        <v>145</v>
      </c>
      <c r="N477" s="1" t="s">
        <v>39</v>
      </c>
      <c r="O477" s="1">
        <v>37.151699999999998</v>
      </c>
      <c r="P477" s="1">
        <v>-88.775000000000006</v>
      </c>
      <c r="Q477" s="1" t="s">
        <v>136</v>
      </c>
      <c r="R477" s="1" t="s">
        <v>41</v>
      </c>
      <c r="S477" s="1" t="s">
        <v>42</v>
      </c>
      <c r="T477" s="1" t="s">
        <v>89</v>
      </c>
      <c r="U477" s="1" t="s">
        <v>55</v>
      </c>
      <c r="X477" s="1" t="s">
        <v>90</v>
      </c>
      <c r="Y477" s="1" t="s">
        <v>232</v>
      </c>
      <c r="AA477" s="3">
        <v>19528</v>
      </c>
      <c r="AB477" s="1" t="s">
        <v>46</v>
      </c>
      <c r="AC477" s="5">
        <v>2316</v>
      </c>
      <c r="AD477" s="1" t="s">
        <v>1407</v>
      </c>
      <c r="AE477" s="1" t="str">
        <f t="shared" si="36"/>
        <v>1379 2</v>
      </c>
      <c r="AF477" s="5" t="str">
        <f t="shared" si="38"/>
        <v>175</v>
      </c>
      <c r="AG477" s="1" t="str">
        <f t="shared" si="35"/>
        <v/>
      </c>
    </row>
    <row r="478" spans="1:33" x14ac:dyDescent="0.2">
      <c r="A478" s="1" t="s">
        <v>165</v>
      </c>
      <c r="B478" s="1" t="s">
        <v>1402</v>
      </c>
      <c r="C478" s="1">
        <v>1379</v>
      </c>
      <c r="D478" s="1">
        <v>3</v>
      </c>
      <c r="E478" s="1" t="s">
        <v>1403</v>
      </c>
      <c r="F478" s="1">
        <v>2023</v>
      </c>
      <c r="G478" s="1" t="s">
        <v>1353</v>
      </c>
      <c r="H478" s="1">
        <v>609315</v>
      </c>
      <c r="I478" s="1">
        <v>4</v>
      </c>
      <c r="J478" s="1" t="s">
        <v>36</v>
      </c>
      <c r="K478" s="1" t="s">
        <v>1404</v>
      </c>
      <c r="L478" s="1" t="s">
        <v>1405</v>
      </c>
      <c r="M478" s="1">
        <v>145</v>
      </c>
      <c r="N478" s="1" t="s">
        <v>39</v>
      </c>
      <c r="O478" s="1">
        <v>37.151699999999998</v>
      </c>
      <c r="P478" s="1">
        <v>-88.775000000000006</v>
      </c>
      <c r="Q478" s="1" t="s">
        <v>136</v>
      </c>
      <c r="R478" s="1" t="s">
        <v>41</v>
      </c>
      <c r="S478" s="1" t="s">
        <v>42</v>
      </c>
      <c r="T478" s="1" t="s">
        <v>89</v>
      </c>
      <c r="U478" s="1" t="s">
        <v>55</v>
      </c>
      <c r="X478" s="1" t="s">
        <v>90</v>
      </c>
      <c r="Y478" s="1" t="s">
        <v>232</v>
      </c>
      <c r="AA478" s="3">
        <v>19631</v>
      </c>
      <c r="AB478" s="1" t="s">
        <v>46</v>
      </c>
      <c r="AC478" s="5">
        <v>2296</v>
      </c>
      <c r="AD478" s="1" t="s">
        <v>1408</v>
      </c>
      <c r="AE478" s="1" t="str">
        <f t="shared" si="36"/>
        <v>1379 3</v>
      </c>
      <c r="AF478" s="5" t="str">
        <f t="shared" si="38"/>
        <v>175</v>
      </c>
      <c r="AG478" s="1" t="str">
        <f t="shared" si="35"/>
        <v/>
      </c>
    </row>
    <row r="479" spans="1:33" x14ac:dyDescent="0.2">
      <c r="A479" s="1" t="s">
        <v>165</v>
      </c>
      <c r="B479" s="1" t="s">
        <v>1402</v>
      </c>
      <c r="C479" s="1">
        <v>1379</v>
      </c>
      <c r="D479" s="1">
        <v>4</v>
      </c>
      <c r="E479" s="1" t="s">
        <v>1403</v>
      </c>
      <c r="F479" s="1">
        <v>2023</v>
      </c>
      <c r="G479" s="1" t="s">
        <v>1353</v>
      </c>
      <c r="H479" s="1">
        <v>609315</v>
      </c>
      <c r="I479" s="1">
        <v>4</v>
      </c>
      <c r="J479" s="1" t="s">
        <v>36</v>
      </c>
      <c r="K479" s="1" t="s">
        <v>1404</v>
      </c>
      <c r="L479" s="1" t="s">
        <v>1405</v>
      </c>
      <c r="M479" s="1">
        <v>145</v>
      </c>
      <c r="N479" s="1" t="s">
        <v>39</v>
      </c>
      <c r="O479" s="1">
        <v>37.151699999999998</v>
      </c>
      <c r="P479" s="1">
        <v>-88.775000000000006</v>
      </c>
      <c r="Q479" s="1" t="s">
        <v>136</v>
      </c>
      <c r="R479" s="1" t="s">
        <v>41</v>
      </c>
      <c r="S479" s="1" t="s">
        <v>42</v>
      </c>
      <c r="T479" s="1" t="s">
        <v>89</v>
      </c>
      <c r="U479" s="1" t="s">
        <v>55</v>
      </c>
      <c r="W479" s="1" t="s">
        <v>212</v>
      </c>
      <c r="X479" s="1" t="s">
        <v>639</v>
      </c>
      <c r="Y479" s="1" t="s">
        <v>232</v>
      </c>
      <c r="AA479" s="3">
        <v>19726</v>
      </c>
      <c r="AB479" s="1" t="s">
        <v>46</v>
      </c>
      <c r="AC479" s="5">
        <v>2112</v>
      </c>
      <c r="AD479" s="1" t="s">
        <v>1409</v>
      </c>
      <c r="AE479" s="1" t="str">
        <f t="shared" si="36"/>
        <v>1379 4</v>
      </c>
      <c r="AF479" s="5" t="str">
        <f t="shared" si="38"/>
        <v>175</v>
      </c>
      <c r="AG479" s="1" t="str">
        <f t="shared" si="35"/>
        <v>Y</v>
      </c>
    </row>
    <row r="480" spans="1:33" x14ac:dyDescent="0.2">
      <c r="A480" s="1" t="s">
        <v>165</v>
      </c>
      <c r="B480" s="1" t="s">
        <v>1402</v>
      </c>
      <c r="C480" s="1">
        <v>1379</v>
      </c>
      <c r="D480" s="1">
        <v>5</v>
      </c>
      <c r="E480" s="1" t="s">
        <v>1403</v>
      </c>
      <c r="F480" s="1">
        <v>2023</v>
      </c>
      <c r="G480" s="1" t="s">
        <v>1353</v>
      </c>
      <c r="H480" s="1">
        <v>609315</v>
      </c>
      <c r="I480" s="1">
        <v>4</v>
      </c>
      <c r="J480" s="1" t="s">
        <v>36</v>
      </c>
      <c r="K480" s="1" t="s">
        <v>1404</v>
      </c>
      <c r="L480" s="1" t="s">
        <v>1405</v>
      </c>
      <c r="M480" s="1">
        <v>145</v>
      </c>
      <c r="N480" s="1" t="s">
        <v>39</v>
      </c>
      <c r="O480" s="1">
        <v>37.151699999999998</v>
      </c>
      <c r="P480" s="1">
        <v>-88.775000000000006</v>
      </c>
      <c r="Q480" s="1" t="s">
        <v>136</v>
      </c>
      <c r="R480" s="1" t="s">
        <v>41</v>
      </c>
      <c r="S480" s="1" t="s">
        <v>42</v>
      </c>
      <c r="T480" s="1" t="s">
        <v>89</v>
      </c>
      <c r="U480" s="1" t="s">
        <v>55</v>
      </c>
      <c r="X480" s="1" t="s">
        <v>90</v>
      </c>
      <c r="Y480" s="1" t="s">
        <v>232</v>
      </c>
      <c r="AA480" s="3">
        <v>19987</v>
      </c>
      <c r="AB480" s="1" t="s">
        <v>46</v>
      </c>
      <c r="AC480" s="5">
        <v>2284</v>
      </c>
      <c r="AD480" s="1" t="s">
        <v>435</v>
      </c>
      <c r="AE480" s="1" t="str">
        <f t="shared" si="36"/>
        <v>1379 5</v>
      </c>
      <c r="AF480" s="5" t="str">
        <f t="shared" si="38"/>
        <v>175</v>
      </c>
      <c r="AG480" s="1" t="str">
        <f t="shared" si="35"/>
        <v/>
      </c>
    </row>
    <row r="481" spans="1:33" x14ac:dyDescent="0.2">
      <c r="A481" s="1" t="s">
        <v>165</v>
      </c>
      <c r="B481" s="1" t="s">
        <v>1402</v>
      </c>
      <c r="C481" s="1">
        <v>1379</v>
      </c>
      <c r="D481" s="1">
        <v>6</v>
      </c>
      <c r="E481" s="1" t="s">
        <v>1410</v>
      </c>
      <c r="F481" s="1">
        <v>2023</v>
      </c>
      <c r="G481" s="1" t="s">
        <v>1353</v>
      </c>
      <c r="H481" s="1">
        <v>609315</v>
      </c>
      <c r="I481" s="1">
        <v>4</v>
      </c>
      <c r="J481" s="1" t="s">
        <v>36</v>
      </c>
      <c r="K481" s="1" t="s">
        <v>1404</v>
      </c>
      <c r="L481" s="1" t="s">
        <v>1405</v>
      </c>
      <c r="M481" s="1">
        <v>145</v>
      </c>
      <c r="N481" s="1" t="s">
        <v>39</v>
      </c>
      <c r="O481" s="1">
        <v>37.151699999999998</v>
      </c>
      <c r="P481" s="1">
        <v>-88.775000000000006</v>
      </c>
      <c r="Q481" s="1" t="s">
        <v>136</v>
      </c>
      <c r="R481" s="1" t="s">
        <v>41</v>
      </c>
      <c r="S481" s="1" t="s">
        <v>42</v>
      </c>
      <c r="T481" s="1" t="s">
        <v>89</v>
      </c>
      <c r="U481" s="1" t="s">
        <v>55</v>
      </c>
      <c r="X481" s="1" t="s">
        <v>90</v>
      </c>
      <c r="Y481" s="1" t="s">
        <v>232</v>
      </c>
      <c r="AA481" s="3">
        <v>20023</v>
      </c>
      <c r="AB481" s="1" t="s">
        <v>46</v>
      </c>
      <c r="AC481" s="5">
        <v>1972</v>
      </c>
      <c r="AD481" s="1" t="s">
        <v>436</v>
      </c>
      <c r="AE481" s="1" t="str">
        <f t="shared" si="36"/>
        <v>1379 6</v>
      </c>
      <c r="AF481" s="5" t="str">
        <f t="shared" si="38"/>
        <v>175</v>
      </c>
      <c r="AG481" s="1" t="str">
        <f t="shared" si="35"/>
        <v/>
      </c>
    </row>
    <row r="482" spans="1:33" x14ac:dyDescent="0.2">
      <c r="A482" s="1" t="s">
        <v>165</v>
      </c>
      <c r="B482" s="1" t="s">
        <v>1402</v>
      </c>
      <c r="C482" s="1">
        <v>1379</v>
      </c>
      <c r="D482" s="1">
        <v>7</v>
      </c>
      <c r="E482" s="1" t="s">
        <v>1410</v>
      </c>
      <c r="F482" s="1">
        <v>2023</v>
      </c>
      <c r="G482" s="1" t="s">
        <v>1353</v>
      </c>
      <c r="H482" s="1">
        <v>609315</v>
      </c>
      <c r="I482" s="1">
        <v>4</v>
      </c>
      <c r="J482" s="1" t="s">
        <v>36</v>
      </c>
      <c r="K482" s="1" t="s">
        <v>1404</v>
      </c>
      <c r="L482" s="1" t="s">
        <v>1405</v>
      </c>
      <c r="M482" s="1">
        <v>145</v>
      </c>
      <c r="N482" s="1" t="s">
        <v>39</v>
      </c>
      <c r="O482" s="1">
        <v>37.151699999999998</v>
      </c>
      <c r="P482" s="1">
        <v>-88.775000000000006</v>
      </c>
      <c r="Q482" s="1" t="s">
        <v>136</v>
      </c>
      <c r="R482" s="1" t="s">
        <v>41</v>
      </c>
      <c r="S482" s="1" t="s">
        <v>42</v>
      </c>
      <c r="T482" s="1" t="s">
        <v>89</v>
      </c>
      <c r="U482" s="1" t="s">
        <v>55</v>
      </c>
      <c r="X482" s="1" t="s">
        <v>90</v>
      </c>
      <c r="Y482" s="1" t="s">
        <v>232</v>
      </c>
      <c r="AA482" s="3">
        <v>20077</v>
      </c>
      <c r="AB482" s="1" t="s">
        <v>46</v>
      </c>
      <c r="AC482" s="5">
        <v>2589</v>
      </c>
      <c r="AD482" s="1" t="s">
        <v>1411</v>
      </c>
      <c r="AE482" s="1" t="str">
        <f t="shared" si="36"/>
        <v>1379 7</v>
      </c>
      <c r="AF482" s="5" t="str">
        <f t="shared" si="38"/>
        <v>175</v>
      </c>
      <c r="AG482" s="1" t="str">
        <f t="shared" si="35"/>
        <v/>
      </c>
    </row>
    <row r="483" spans="1:33" x14ac:dyDescent="0.2">
      <c r="A483" s="1" t="s">
        <v>165</v>
      </c>
      <c r="B483" s="1" t="s">
        <v>1402</v>
      </c>
      <c r="C483" s="1">
        <v>1379</v>
      </c>
      <c r="D483" s="1">
        <v>8</v>
      </c>
      <c r="E483" s="1" t="s">
        <v>1410</v>
      </c>
      <c r="F483" s="1">
        <v>2023</v>
      </c>
      <c r="G483" s="1" t="s">
        <v>1353</v>
      </c>
      <c r="H483" s="1">
        <v>609315</v>
      </c>
      <c r="I483" s="1">
        <v>4</v>
      </c>
      <c r="J483" s="1" t="s">
        <v>36</v>
      </c>
      <c r="K483" s="1" t="s">
        <v>1404</v>
      </c>
      <c r="L483" s="1" t="s">
        <v>1405</v>
      </c>
      <c r="M483" s="1">
        <v>145</v>
      </c>
      <c r="N483" s="1" t="s">
        <v>39</v>
      </c>
      <c r="O483" s="1">
        <v>37.151699999999998</v>
      </c>
      <c r="P483" s="1">
        <v>-88.775000000000006</v>
      </c>
      <c r="Q483" s="1" t="s">
        <v>136</v>
      </c>
      <c r="R483" s="1" t="s">
        <v>41</v>
      </c>
      <c r="S483" s="1" t="s">
        <v>42</v>
      </c>
      <c r="T483" s="1" t="s">
        <v>89</v>
      </c>
      <c r="U483" s="1" t="s">
        <v>55</v>
      </c>
      <c r="X483" s="1" t="s">
        <v>90</v>
      </c>
      <c r="Y483" s="1" t="s">
        <v>232</v>
      </c>
      <c r="AA483" s="3">
        <v>20130</v>
      </c>
      <c r="AB483" s="1" t="s">
        <v>46</v>
      </c>
      <c r="AC483" s="5">
        <v>2663</v>
      </c>
      <c r="AD483" s="1" t="s">
        <v>1412</v>
      </c>
      <c r="AE483" s="1" t="str">
        <f t="shared" si="36"/>
        <v>1379 8</v>
      </c>
      <c r="AF483" s="5" t="str">
        <f t="shared" si="38"/>
        <v>175</v>
      </c>
      <c r="AG483" s="1" t="str">
        <f t="shared" si="35"/>
        <v/>
      </c>
    </row>
    <row r="484" spans="1:33" x14ac:dyDescent="0.2">
      <c r="A484" s="1" t="s">
        <v>165</v>
      </c>
      <c r="B484" s="1" t="s">
        <v>1402</v>
      </c>
      <c r="C484" s="1">
        <v>1379</v>
      </c>
      <c r="D484" s="1">
        <v>9</v>
      </c>
      <c r="E484" s="1" t="s">
        <v>1410</v>
      </c>
      <c r="F484" s="1">
        <v>2023</v>
      </c>
      <c r="G484" s="1" t="s">
        <v>1353</v>
      </c>
      <c r="H484" s="1">
        <v>609315</v>
      </c>
      <c r="I484" s="1">
        <v>4</v>
      </c>
      <c r="J484" s="1" t="s">
        <v>36</v>
      </c>
      <c r="K484" s="1" t="s">
        <v>1404</v>
      </c>
      <c r="L484" s="1" t="s">
        <v>1405</v>
      </c>
      <c r="M484" s="1">
        <v>145</v>
      </c>
      <c r="N484" s="1" t="s">
        <v>39</v>
      </c>
      <c r="O484" s="1">
        <v>37.151699999999998</v>
      </c>
      <c r="P484" s="1">
        <v>-88.775000000000006</v>
      </c>
      <c r="Q484" s="1" t="s">
        <v>136</v>
      </c>
      <c r="R484" s="1" t="s">
        <v>41</v>
      </c>
      <c r="S484" s="1" t="s">
        <v>42</v>
      </c>
      <c r="T484" s="1" t="s">
        <v>89</v>
      </c>
      <c r="U484" s="1" t="s">
        <v>55</v>
      </c>
      <c r="X484" s="1" t="s">
        <v>90</v>
      </c>
      <c r="Y484" s="1" t="s">
        <v>232</v>
      </c>
      <c r="AA484" s="3">
        <v>20264</v>
      </c>
      <c r="AB484" s="1" t="s">
        <v>46</v>
      </c>
      <c r="AC484" s="5">
        <v>2782</v>
      </c>
      <c r="AD484" s="1" t="s">
        <v>1413</v>
      </c>
      <c r="AE484" s="1" t="str">
        <f t="shared" si="36"/>
        <v>1379 9</v>
      </c>
      <c r="AF484" s="5" t="str">
        <f t="shared" si="38"/>
        <v>175</v>
      </c>
      <c r="AG484" s="1" t="str">
        <f t="shared" si="35"/>
        <v/>
      </c>
    </row>
    <row r="485" spans="1:33" x14ac:dyDescent="0.2">
      <c r="A485" s="1" t="s">
        <v>165</v>
      </c>
      <c r="B485" s="1" t="s">
        <v>1414</v>
      </c>
      <c r="C485" s="1">
        <v>1383</v>
      </c>
      <c r="D485" s="1" t="s">
        <v>1415</v>
      </c>
      <c r="F485" s="1">
        <v>2023</v>
      </c>
      <c r="G485" s="1" t="s">
        <v>1388</v>
      </c>
      <c r="H485" s="1">
        <v>606335</v>
      </c>
      <c r="I485" s="1">
        <v>4</v>
      </c>
      <c r="J485" s="1" t="s">
        <v>169</v>
      </c>
      <c r="K485" s="1" t="s">
        <v>1416</v>
      </c>
      <c r="L485" s="1" t="s">
        <v>1417</v>
      </c>
      <c r="M485" s="1">
        <v>233</v>
      </c>
      <c r="N485" s="1" t="s">
        <v>39</v>
      </c>
      <c r="O485" s="1">
        <v>37.646700000000003</v>
      </c>
      <c r="P485" s="1">
        <v>-87.503299999999996</v>
      </c>
      <c r="Q485" s="1" t="s">
        <v>1418</v>
      </c>
      <c r="T485" s="1" t="s">
        <v>93</v>
      </c>
      <c r="U485" s="1" t="s">
        <v>288</v>
      </c>
      <c r="V485" s="1" t="s">
        <v>94</v>
      </c>
      <c r="AA485" s="3">
        <v>27820</v>
      </c>
      <c r="AB485" s="1" t="s">
        <v>46</v>
      </c>
      <c r="AC485" s="5">
        <v>803.5</v>
      </c>
      <c r="AD485" s="1" t="s">
        <v>1419</v>
      </c>
      <c r="AE485" s="1" t="str">
        <f t="shared" si="36"/>
        <v>1383 RT</v>
      </c>
      <c r="AF485" s="5" t="str">
        <f t="shared" si="38"/>
        <v>98.9</v>
      </c>
      <c r="AG485" s="1" t="str">
        <f t="shared" si="35"/>
        <v/>
      </c>
    </row>
    <row r="486" spans="1:33" x14ac:dyDescent="0.2">
      <c r="A486" s="1" t="s">
        <v>165</v>
      </c>
      <c r="B486" s="1" t="s">
        <v>1420</v>
      </c>
      <c r="C486" s="1">
        <v>1384</v>
      </c>
      <c r="D486" s="1">
        <v>1</v>
      </c>
      <c r="E486" s="1" t="s">
        <v>1421</v>
      </c>
      <c r="F486" s="1">
        <v>2023</v>
      </c>
      <c r="G486" s="1" t="s">
        <v>1353</v>
      </c>
      <c r="H486" s="1">
        <v>605834</v>
      </c>
      <c r="I486" s="1">
        <v>4</v>
      </c>
      <c r="J486" s="1" t="s">
        <v>169</v>
      </c>
      <c r="K486" s="1" t="s">
        <v>1422</v>
      </c>
      <c r="L486" s="1" t="s">
        <v>1423</v>
      </c>
      <c r="M486" s="1">
        <v>199</v>
      </c>
      <c r="N486" s="1" t="s">
        <v>39</v>
      </c>
      <c r="O486" s="1">
        <v>37</v>
      </c>
      <c r="P486" s="1">
        <v>-84.591700000000003</v>
      </c>
      <c r="Q486" s="1" t="s">
        <v>172</v>
      </c>
      <c r="R486" s="1" t="s">
        <v>120</v>
      </c>
      <c r="S486" s="1" t="s">
        <v>121</v>
      </c>
      <c r="T486" s="1" t="s">
        <v>89</v>
      </c>
      <c r="U486" s="1" t="s">
        <v>55</v>
      </c>
      <c r="W486" s="1" t="s">
        <v>212</v>
      </c>
      <c r="X486" s="1" t="s">
        <v>90</v>
      </c>
      <c r="Y486" s="1" t="s">
        <v>1182</v>
      </c>
      <c r="AA486" s="3">
        <v>23782</v>
      </c>
      <c r="AB486" s="1" t="s">
        <v>46</v>
      </c>
      <c r="AC486" s="5">
        <v>1381</v>
      </c>
      <c r="AD486" s="1" t="s">
        <v>1424</v>
      </c>
      <c r="AE486" s="1" t="str">
        <f t="shared" si="36"/>
        <v>1384 1</v>
      </c>
      <c r="AF486" s="5" t="str">
        <f t="shared" si="38"/>
        <v>100</v>
      </c>
      <c r="AG486" s="1" t="str">
        <f t="shared" si="35"/>
        <v/>
      </c>
    </row>
    <row r="487" spans="1:33" x14ac:dyDescent="0.2">
      <c r="A487" s="1" t="s">
        <v>165</v>
      </c>
      <c r="B487" s="1" t="s">
        <v>1420</v>
      </c>
      <c r="C487" s="1">
        <v>1384</v>
      </c>
      <c r="D487" s="1">
        <v>2</v>
      </c>
      <c r="E487" s="1" t="s">
        <v>1421</v>
      </c>
      <c r="F487" s="1">
        <v>2023</v>
      </c>
      <c r="G487" s="1" t="s">
        <v>1353</v>
      </c>
      <c r="H487" s="1">
        <v>605834</v>
      </c>
      <c r="I487" s="1">
        <v>4</v>
      </c>
      <c r="J487" s="1" t="s">
        <v>169</v>
      </c>
      <c r="K487" s="1" t="s">
        <v>1422</v>
      </c>
      <c r="L487" s="1" t="s">
        <v>1423</v>
      </c>
      <c r="M487" s="1">
        <v>199</v>
      </c>
      <c r="N487" s="1" t="s">
        <v>39</v>
      </c>
      <c r="O487" s="1">
        <v>37</v>
      </c>
      <c r="P487" s="1">
        <v>-84.591700000000003</v>
      </c>
      <c r="Q487" s="1" t="s">
        <v>172</v>
      </c>
      <c r="R487" s="1" t="s">
        <v>120</v>
      </c>
      <c r="S487" s="1" t="s">
        <v>121</v>
      </c>
      <c r="T487" s="1" t="s">
        <v>89</v>
      </c>
      <c r="U487" s="1" t="s">
        <v>55</v>
      </c>
      <c r="W487" s="1" t="s">
        <v>212</v>
      </c>
      <c r="X487" s="1" t="s">
        <v>639</v>
      </c>
      <c r="Y487" s="1" t="s">
        <v>232</v>
      </c>
      <c r="AA487" s="3">
        <v>25504</v>
      </c>
      <c r="AB487" s="1" t="s">
        <v>46</v>
      </c>
      <c r="AC487" s="5">
        <v>2418</v>
      </c>
      <c r="AD487" s="1" t="s">
        <v>1425</v>
      </c>
      <c r="AE487" s="1" t="str">
        <f t="shared" si="36"/>
        <v>1384 2</v>
      </c>
      <c r="AF487" s="5" t="str">
        <f t="shared" si="38"/>
        <v>221</v>
      </c>
      <c r="AG487" s="1" t="str">
        <f t="shared" si="35"/>
        <v>Y</v>
      </c>
    </row>
    <row r="488" spans="1:33" x14ac:dyDescent="0.2">
      <c r="A488" s="1" t="s">
        <v>1426</v>
      </c>
      <c r="B488" s="1" t="s">
        <v>1427</v>
      </c>
      <c r="C488" s="1">
        <v>1391</v>
      </c>
      <c r="D488" s="1" t="s">
        <v>372</v>
      </c>
      <c r="F488" s="1">
        <v>2023</v>
      </c>
      <c r="G488" s="1" t="s">
        <v>1428</v>
      </c>
      <c r="H488" s="1">
        <v>610460</v>
      </c>
      <c r="I488" s="1">
        <v>6</v>
      </c>
      <c r="J488" s="1" t="s">
        <v>228</v>
      </c>
      <c r="K488" s="1" t="s">
        <v>1429</v>
      </c>
      <c r="L488" s="1" t="s">
        <v>1430</v>
      </c>
      <c r="M488" s="1">
        <v>33</v>
      </c>
      <c r="N488" s="1" t="s">
        <v>39</v>
      </c>
      <c r="O488" s="1">
        <v>30.490300000000001</v>
      </c>
      <c r="P488" s="1">
        <v>-91.1875</v>
      </c>
      <c r="Q488" s="1" t="s">
        <v>1431</v>
      </c>
      <c r="R488" s="1" t="s">
        <v>41</v>
      </c>
      <c r="T488" s="1" t="s">
        <v>43</v>
      </c>
      <c r="U488" s="1" t="s">
        <v>1432</v>
      </c>
      <c r="V488" s="1" t="s">
        <v>94</v>
      </c>
      <c r="X488" s="1" t="s">
        <v>1233</v>
      </c>
      <c r="AA488" s="3">
        <v>18872</v>
      </c>
      <c r="AB488" s="1" t="s">
        <v>46</v>
      </c>
      <c r="AC488" s="5">
        <v>845</v>
      </c>
      <c r="AD488" s="1" t="s">
        <v>1433</v>
      </c>
      <c r="AE488" s="1" t="str">
        <f t="shared" si="36"/>
        <v>1391 1A</v>
      </c>
      <c r="AF488" s="5" t="str">
        <f t="shared" si="38"/>
        <v>23</v>
      </c>
      <c r="AG488" s="1" t="str">
        <f t="shared" si="35"/>
        <v/>
      </c>
    </row>
    <row r="489" spans="1:33" x14ac:dyDescent="0.2">
      <c r="A489" s="1" t="s">
        <v>1426</v>
      </c>
      <c r="B489" s="1" t="s">
        <v>1427</v>
      </c>
      <c r="C489" s="1">
        <v>1391</v>
      </c>
      <c r="D489" s="1" t="s">
        <v>377</v>
      </c>
      <c r="F489" s="1">
        <v>2023</v>
      </c>
      <c r="G489" s="1" t="s">
        <v>1428</v>
      </c>
      <c r="H489" s="1">
        <v>610460</v>
      </c>
      <c r="I489" s="1">
        <v>6</v>
      </c>
      <c r="J489" s="1" t="s">
        <v>228</v>
      </c>
      <c r="K489" s="1" t="s">
        <v>1429</v>
      </c>
      <c r="L489" s="1" t="s">
        <v>1430</v>
      </c>
      <c r="M489" s="1">
        <v>33</v>
      </c>
      <c r="N489" s="1" t="s">
        <v>39</v>
      </c>
      <c r="O489" s="1">
        <v>30.490300000000001</v>
      </c>
      <c r="P489" s="1">
        <v>-91.1875</v>
      </c>
      <c r="Q489" s="1" t="s">
        <v>1431</v>
      </c>
      <c r="R489" s="1" t="s">
        <v>41</v>
      </c>
      <c r="T489" s="1" t="s">
        <v>43</v>
      </c>
      <c r="U489" s="1" t="s">
        <v>1432</v>
      </c>
      <c r="V489" s="1" t="s">
        <v>94</v>
      </c>
      <c r="X489" s="1" t="s">
        <v>1233</v>
      </c>
      <c r="AA489" s="3">
        <v>18872</v>
      </c>
      <c r="AB489" s="1" t="s">
        <v>46</v>
      </c>
      <c r="AC489" s="5">
        <v>950</v>
      </c>
      <c r="AD489" s="1" t="s">
        <v>1434</v>
      </c>
      <c r="AE489" s="1" t="str">
        <f t="shared" si="36"/>
        <v>1391 2A</v>
      </c>
      <c r="AF489" s="5" t="str">
        <f t="shared" si="38"/>
        <v>62.5</v>
      </c>
      <c r="AG489" s="1" t="str">
        <f t="shared" si="35"/>
        <v/>
      </c>
    </row>
    <row r="490" spans="1:33" x14ac:dyDescent="0.2">
      <c r="A490" s="1" t="s">
        <v>1426</v>
      </c>
      <c r="B490" s="1" t="s">
        <v>1427</v>
      </c>
      <c r="C490" s="1">
        <v>1391</v>
      </c>
      <c r="D490" s="1" t="s">
        <v>379</v>
      </c>
      <c r="F490" s="1">
        <v>2023</v>
      </c>
      <c r="G490" s="1" t="s">
        <v>1428</v>
      </c>
      <c r="H490" s="1">
        <v>610460</v>
      </c>
      <c r="I490" s="1">
        <v>6</v>
      </c>
      <c r="J490" s="1" t="s">
        <v>228</v>
      </c>
      <c r="K490" s="1" t="s">
        <v>1429</v>
      </c>
      <c r="L490" s="1" t="s">
        <v>1430</v>
      </c>
      <c r="M490" s="1">
        <v>33</v>
      </c>
      <c r="N490" s="1" t="s">
        <v>39</v>
      </c>
      <c r="O490" s="1">
        <v>30.490300000000001</v>
      </c>
      <c r="P490" s="1">
        <v>-91.1875</v>
      </c>
      <c r="Q490" s="1" t="s">
        <v>1431</v>
      </c>
      <c r="R490" s="1" t="s">
        <v>41</v>
      </c>
      <c r="T490" s="1" t="s">
        <v>43</v>
      </c>
      <c r="U490" s="1" t="s">
        <v>1432</v>
      </c>
      <c r="V490" s="1" t="s">
        <v>94</v>
      </c>
      <c r="X490" s="1" t="s">
        <v>1233</v>
      </c>
      <c r="AA490" s="3">
        <v>18872</v>
      </c>
      <c r="AB490" s="1" t="s">
        <v>46</v>
      </c>
      <c r="AC490" s="5">
        <v>1050</v>
      </c>
      <c r="AD490" s="1" t="s">
        <v>1435</v>
      </c>
      <c r="AE490" s="1" t="str">
        <f t="shared" si="36"/>
        <v>1391 3A</v>
      </c>
      <c r="AF490" s="5" t="str">
        <f t="shared" si="38"/>
        <v>63</v>
      </c>
      <c r="AG490" s="1" t="str">
        <f t="shared" si="35"/>
        <v/>
      </c>
    </row>
    <row r="491" spans="1:33" x14ac:dyDescent="0.2">
      <c r="A491" s="1" t="s">
        <v>1426</v>
      </c>
      <c r="B491" s="1" t="s">
        <v>1427</v>
      </c>
      <c r="C491" s="1">
        <v>1391</v>
      </c>
      <c r="D491" s="1" t="s">
        <v>381</v>
      </c>
      <c r="F491" s="1">
        <v>2023</v>
      </c>
      <c r="G491" s="1" t="s">
        <v>1428</v>
      </c>
      <c r="H491" s="1">
        <v>610460</v>
      </c>
      <c r="I491" s="1">
        <v>6</v>
      </c>
      <c r="J491" s="1" t="s">
        <v>228</v>
      </c>
      <c r="K491" s="1" t="s">
        <v>1429</v>
      </c>
      <c r="L491" s="1" t="s">
        <v>1430</v>
      </c>
      <c r="M491" s="1">
        <v>33</v>
      </c>
      <c r="N491" s="1" t="s">
        <v>39</v>
      </c>
      <c r="O491" s="1">
        <v>30.490300000000001</v>
      </c>
      <c r="P491" s="1">
        <v>-91.1875</v>
      </c>
      <c r="Q491" s="1" t="s">
        <v>1431</v>
      </c>
      <c r="R491" s="1" t="s">
        <v>41</v>
      </c>
      <c r="T491" s="1" t="s">
        <v>71</v>
      </c>
      <c r="U491" s="1" t="s">
        <v>1432</v>
      </c>
      <c r="X491" s="1" t="s">
        <v>95</v>
      </c>
      <c r="AA491" s="3">
        <v>32143</v>
      </c>
      <c r="AB491" s="1" t="s">
        <v>46</v>
      </c>
      <c r="AC491" s="5">
        <v>2550</v>
      </c>
      <c r="AD491" s="1" t="s">
        <v>1436</v>
      </c>
      <c r="AE491" s="1" t="str">
        <f t="shared" si="36"/>
        <v>1391 4A</v>
      </c>
      <c r="AF491" s="5" t="str">
        <f t="shared" si="38"/>
        <v>129</v>
      </c>
      <c r="AG491" s="1" t="str">
        <f t="shared" si="35"/>
        <v/>
      </c>
    </row>
    <row r="492" spans="1:33" x14ac:dyDescent="0.2">
      <c r="A492" s="1" t="s">
        <v>1426</v>
      </c>
      <c r="B492" s="1" t="s">
        <v>1427</v>
      </c>
      <c r="C492" s="1">
        <v>1391</v>
      </c>
      <c r="D492" s="1" t="s">
        <v>955</v>
      </c>
      <c r="F492" s="1">
        <v>2023</v>
      </c>
      <c r="G492" s="1" t="s">
        <v>1428</v>
      </c>
      <c r="H492" s="1">
        <v>610460</v>
      </c>
      <c r="I492" s="1">
        <v>6</v>
      </c>
      <c r="J492" s="1" t="s">
        <v>228</v>
      </c>
      <c r="K492" s="1" t="s">
        <v>1429</v>
      </c>
      <c r="L492" s="1" t="s">
        <v>1430</v>
      </c>
      <c r="M492" s="1">
        <v>33</v>
      </c>
      <c r="N492" s="1" t="s">
        <v>39</v>
      </c>
      <c r="O492" s="1">
        <v>30.490300000000001</v>
      </c>
      <c r="P492" s="1">
        <v>-91.1875</v>
      </c>
      <c r="Q492" s="1" t="s">
        <v>1437</v>
      </c>
      <c r="R492" s="1" t="s">
        <v>41</v>
      </c>
      <c r="T492" s="1" t="s">
        <v>71</v>
      </c>
      <c r="U492" s="1" t="s">
        <v>1432</v>
      </c>
      <c r="X492" s="1" t="s">
        <v>140</v>
      </c>
      <c r="AA492" s="3">
        <v>36251</v>
      </c>
      <c r="AB492" s="1" t="s">
        <v>46</v>
      </c>
      <c r="AC492" s="5">
        <v>2665</v>
      </c>
      <c r="AD492" s="1" t="s">
        <v>1438</v>
      </c>
      <c r="AE492" s="1" t="str">
        <f t="shared" si="36"/>
        <v>1391 5A</v>
      </c>
      <c r="AF492" s="5" t="str">
        <f t="shared" si="38"/>
        <v>173.3</v>
      </c>
      <c r="AG492" s="1" t="str">
        <f t="shared" si="35"/>
        <v/>
      </c>
    </row>
    <row r="493" spans="1:33" x14ac:dyDescent="0.2">
      <c r="A493" s="1" t="s">
        <v>1426</v>
      </c>
      <c r="B493" s="1" t="s">
        <v>1439</v>
      </c>
      <c r="C493" s="1">
        <v>1393</v>
      </c>
      <c r="D493" s="1">
        <v>6</v>
      </c>
      <c r="F493" s="1">
        <v>2023</v>
      </c>
      <c r="G493" s="1" t="s">
        <v>1440</v>
      </c>
      <c r="H493" s="1" t="s">
        <v>350</v>
      </c>
      <c r="I493" s="1">
        <v>6</v>
      </c>
      <c r="J493" s="1" t="s">
        <v>228</v>
      </c>
      <c r="K493" s="1" t="s">
        <v>1441</v>
      </c>
      <c r="L493" s="1" t="s">
        <v>1442</v>
      </c>
      <c r="M493" s="1">
        <v>19</v>
      </c>
      <c r="N493" s="1" t="s">
        <v>39</v>
      </c>
      <c r="O493" s="1">
        <v>30.286100000000001</v>
      </c>
      <c r="P493" s="1">
        <v>-93.291700000000006</v>
      </c>
      <c r="Q493" s="1" t="s">
        <v>1443</v>
      </c>
      <c r="R493" s="1" t="s">
        <v>41</v>
      </c>
      <c r="S493" s="1" t="s">
        <v>211</v>
      </c>
      <c r="T493" s="1" t="s">
        <v>43</v>
      </c>
      <c r="U493" s="1" t="s">
        <v>55</v>
      </c>
      <c r="V493" s="1" t="s">
        <v>173</v>
      </c>
      <c r="X493" s="1" t="s">
        <v>242</v>
      </c>
      <c r="Y493" s="1" t="s">
        <v>58</v>
      </c>
      <c r="Z493" s="1" t="s">
        <v>937</v>
      </c>
      <c r="AA493" s="3">
        <v>30102</v>
      </c>
      <c r="AB493" s="1" t="s">
        <v>46</v>
      </c>
      <c r="AC493" s="5">
        <v>6790</v>
      </c>
      <c r="AD493" s="1" t="s">
        <v>1444</v>
      </c>
      <c r="AE493" s="1" t="str">
        <f t="shared" si="36"/>
        <v>1393 6</v>
      </c>
      <c r="AF493" s="5" t="str">
        <f t="shared" si="38"/>
        <v>614.6</v>
      </c>
      <c r="AG493" s="1" t="str">
        <f t="shared" si="35"/>
        <v/>
      </c>
    </row>
    <row r="494" spans="1:33" x14ac:dyDescent="0.2">
      <c r="A494" s="1" t="s">
        <v>1426</v>
      </c>
      <c r="B494" s="1" t="s">
        <v>1445</v>
      </c>
      <c r="C494" s="1">
        <v>1396</v>
      </c>
      <c r="D494" s="2">
        <v>45444</v>
      </c>
      <c r="F494" s="1">
        <v>2023</v>
      </c>
      <c r="G494" s="1" t="s">
        <v>1428</v>
      </c>
      <c r="H494" s="1">
        <v>610205</v>
      </c>
      <c r="I494" s="1">
        <v>6</v>
      </c>
      <c r="J494" s="1" t="s">
        <v>207</v>
      </c>
      <c r="K494" s="1" t="s">
        <v>1446</v>
      </c>
      <c r="L494" s="1" t="s">
        <v>1447</v>
      </c>
      <c r="M494" s="1">
        <v>39</v>
      </c>
      <c r="N494" s="1" t="s">
        <v>39</v>
      </c>
      <c r="O494" s="1">
        <v>30.844200000000001</v>
      </c>
      <c r="P494" s="1">
        <v>-92.260599999999997</v>
      </c>
      <c r="Q494" s="1" t="s">
        <v>1448</v>
      </c>
      <c r="R494" s="1" t="s">
        <v>41</v>
      </c>
      <c r="T494" s="1" t="s">
        <v>71</v>
      </c>
      <c r="U494" s="1" t="s">
        <v>44</v>
      </c>
      <c r="X494" s="1" t="s">
        <v>64</v>
      </c>
      <c r="AA494" s="3">
        <v>36579</v>
      </c>
      <c r="AB494" s="1" t="s">
        <v>46</v>
      </c>
      <c r="AC494" s="5">
        <v>2099</v>
      </c>
      <c r="AD494" s="1" t="s">
        <v>1449</v>
      </c>
      <c r="AE494" s="1" t="str">
        <f t="shared" si="36"/>
        <v>1396 45444</v>
      </c>
      <c r="AF494" s="14">
        <f>MID(AD494,FIND("(",AD494)+1,FIND(")",AD494)-FIND("(",AD494)-1)+125/3+243/3</f>
        <v>311.36666666666667</v>
      </c>
      <c r="AG494" s="1" t="str">
        <f t="shared" si="35"/>
        <v>Y</v>
      </c>
    </row>
    <row r="495" spans="1:33" x14ac:dyDescent="0.2">
      <c r="A495" s="1" t="s">
        <v>1426</v>
      </c>
      <c r="B495" s="1" t="s">
        <v>1445</v>
      </c>
      <c r="C495" s="1">
        <v>1396</v>
      </c>
      <c r="D495" s="2">
        <v>45474</v>
      </c>
      <c r="F495" s="1">
        <v>2023</v>
      </c>
      <c r="G495" s="1" t="s">
        <v>1428</v>
      </c>
      <c r="H495" s="1">
        <v>610205</v>
      </c>
      <c r="I495" s="1">
        <v>6</v>
      </c>
      <c r="J495" s="1" t="s">
        <v>207</v>
      </c>
      <c r="K495" s="1" t="s">
        <v>1446</v>
      </c>
      <c r="L495" s="1" t="s">
        <v>1447</v>
      </c>
      <c r="M495" s="1">
        <v>39</v>
      </c>
      <c r="N495" s="1" t="s">
        <v>39</v>
      </c>
      <c r="O495" s="1">
        <v>30.844200000000001</v>
      </c>
      <c r="P495" s="1">
        <v>-92.260599999999997</v>
      </c>
      <c r="Q495" s="1" t="s">
        <v>1448</v>
      </c>
      <c r="R495" s="1" t="s">
        <v>41</v>
      </c>
      <c r="T495" s="1" t="s">
        <v>71</v>
      </c>
      <c r="U495" s="1" t="s">
        <v>44</v>
      </c>
      <c r="X495" s="1" t="s">
        <v>64</v>
      </c>
      <c r="AA495" s="3">
        <v>36579</v>
      </c>
      <c r="AB495" s="1" t="s">
        <v>46</v>
      </c>
      <c r="AC495" s="5">
        <v>1978</v>
      </c>
      <c r="AD495" s="1" t="s">
        <v>1450</v>
      </c>
      <c r="AE495" s="1" t="str">
        <f t="shared" si="36"/>
        <v>1396 45474</v>
      </c>
      <c r="AF495" s="14">
        <f>AF494</f>
        <v>311.36666666666667</v>
      </c>
      <c r="AG495" s="1" t="str">
        <f t="shared" si="35"/>
        <v>Y</v>
      </c>
    </row>
    <row r="496" spans="1:33" x14ac:dyDescent="0.2">
      <c r="A496" s="1" t="s">
        <v>1426</v>
      </c>
      <c r="B496" s="1" t="s">
        <v>1445</v>
      </c>
      <c r="C496" s="1">
        <v>1396</v>
      </c>
      <c r="D496" s="2">
        <v>45475</v>
      </c>
      <c r="F496" s="1">
        <v>2023</v>
      </c>
      <c r="G496" s="1" t="s">
        <v>1428</v>
      </c>
      <c r="H496" s="1">
        <v>610205</v>
      </c>
      <c r="I496" s="1">
        <v>6</v>
      </c>
      <c r="J496" s="1" t="s">
        <v>207</v>
      </c>
      <c r="K496" s="1" t="s">
        <v>1446</v>
      </c>
      <c r="L496" s="1" t="s">
        <v>1447</v>
      </c>
      <c r="M496" s="1">
        <v>39</v>
      </c>
      <c r="N496" s="1" t="s">
        <v>39</v>
      </c>
      <c r="O496" s="1">
        <v>30.844200000000001</v>
      </c>
      <c r="P496" s="1">
        <v>-92.260599999999997</v>
      </c>
      <c r="Q496" s="1" t="s">
        <v>1448</v>
      </c>
      <c r="R496" s="1" t="s">
        <v>41</v>
      </c>
      <c r="T496" s="1" t="s">
        <v>71</v>
      </c>
      <c r="U496" s="1" t="s">
        <v>44</v>
      </c>
      <c r="X496" s="1" t="s">
        <v>64</v>
      </c>
      <c r="AA496" s="3">
        <v>36612</v>
      </c>
      <c r="AB496" s="1" t="s">
        <v>46</v>
      </c>
      <c r="AC496" s="5">
        <v>1978</v>
      </c>
      <c r="AD496" s="1" t="s">
        <v>1451</v>
      </c>
      <c r="AE496" s="1" t="str">
        <f t="shared" si="36"/>
        <v>1396 45475</v>
      </c>
      <c r="AF496" s="14">
        <f>AF494</f>
        <v>311.36666666666667</v>
      </c>
      <c r="AG496" s="1" t="str">
        <f t="shared" si="35"/>
        <v>Y</v>
      </c>
    </row>
    <row r="497" spans="1:33" x14ac:dyDescent="0.2">
      <c r="A497" s="1" t="s">
        <v>1426</v>
      </c>
      <c r="B497" s="1" t="s">
        <v>1452</v>
      </c>
      <c r="C497" s="1">
        <v>1400</v>
      </c>
      <c r="D497" s="1">
        <v>3</v>
      </c>
      <c r="F497" s="1">
        <v>2023</v>
      </c>
      <c r="G497" s="1" t="s">
        <v>1428</v>
      </c>
      <c r="H497" s="1">
        <v>610205</v>
      </c>
      <c r="I497" s="1">
        <v>6</v>
      </c>
      <c r="J497" s="1" t="s">
        <v>228</v>
      </c>
      <c r="K497" s="1" t="s">
        <v>1453</v>
      </c>
      <c r="L497" s="1" t="s">
        <v>1454</v>
      </c>
      <c r="M497" s="1">
        <v>101</v>
      </c>
      <c r="N497" s="1" t="s">
        <v>39</v>
      </c>
      <c r="O497" s="1">
        <v>29.822299999999998</v>
      </c>
      <c r="P497" s="1">
        <v>-91.542699999999996</v>
      </c>
      <c r="Q497" s="1" t="s">
        <v>1448</v>
      </c>
      <c r="R497" s="1" t="s">
        <v>41</v>
      </c>
      <c r="T497" s="1" t="s">
        <v>89</v>
      </c>
      <c r="U497" s="1" t="s">
        <v>44</v>
      </c>
      <c r="V497" s="1" t="s">
        <v>94</v>
      </c>
      <c r="AA497" s="3">
        <v>26001</v>
      </c>
      <c r="AB497" s="1" t="s">
        <v>46</v>
      </c>
      <c r="AC497" s="5">
        <v>3733</v>
      </c>
      <c r="AD497" s="1" t="s">
        <v>1455</v>
      </c>
      <c r="AE497" s="1" t="str">
        <f t="shared" si="36"/>
        <v>1400 3</v>
      </c>
      <c r="AF497" s="5" t="str">
        <f t="shared" ref="AF497:AF502" si="39">MID(AD497,FIND("(",AD497)+1,FIND(")",AD497)-FIND("(",AD497)-1)</f>
        <v>348.5</v>
      </c>
      <c r="AG497" s="1" t="str">
        <f t="shared" si="35"/>
        <v/>
      </c>
    </row>
    <row r="498" spans="1:33" x14ac:dyDescent="0.2">
      <c r="A498" s="1" t="s">
        <v>1426</v>
      </c>
      <c r="B498" s="1" t="s">
        <v>1452</v>
      </c>
      <c r="C498" s="1">
        <v>1400</v>
      </c>
      <c r="D498" s="1">
        <v>4</v>
      </c>
      <c r="F498" s="1">
        <v>2023</v>
      </c>
      <c r="G498" s="1" t="s">
        <v>1428</v>
      </c>
      <c r="H498" s="1">
        <v>610205</v>
      </c>
      <c r="I498" s="1">
        <v>6</v>
      </c>
      <c r="J498" s="1" t="s">
        <v>228</v>
      </c>
      <c r="K498" s="1" t="s">
        <v>1453</v>
      </c>
      <c r="L498" s="1" t="s">
        <v>1454</v>
      </c>
      <c r="M498" s="1">
        <v>101</v>
      </c>
      <c r="N498" s="1" t="s">
        <v>39</v>
      </c>
      <c r="O498" s="1">
        <v>29.822299999999998</v>
      </c>
      <c r="P498" s="1">
        <v>-91.542699999999996</v>
      </c>
      <c r="Q498" s="1" t="s">
        <v>1448</v>
      </c>
      <c r="R498" s="1" t="s">
        <v>41</v>
      </c>
      <c r="T498" s="1" t="s">
        <v>93</v>
      </c>
      <c r="U498" s="1" t="s">
        <v>44</v>
      </c>
      <c r="X498" s="1" t="s">
        <v>140</v>
      </c>
      <c r="AA498" s="3">
        <v>40634</v>
      </c>
      <c r="AB498" s="1" t="s">
        <v>46</v>
      </c>
      <c r="AC498" s="5">
        <v>449.4</v>
      </c>
      <c r="AD498" s="1" t="s">
        <v>1456</v>
      </c>
      <c r="AE498" s="1" t="str">
        <f t="shared" si="36"/>
        <v>1400 4</v>
      </c>
      <c r="AF498" s="5" t="str">
        <f t="shared" si="39"/>
        <v>35</v>
      </c>
      <c r="AG498" s="1" t="str">
        <f t="shared" si="35"/>
        <v/>
      </c>
    </row>
    <row r="499" spans="1:33" x14ac:dyDescent="0.2">
      <c r="A499" s="1" t="s">
        <v>1426</v>
      </c>
      <c r="B499" s="1" t="s">
        <v>1457</v>
      </c>
      <c r="C499" s="1">
        <v>1402</v>
      </c>
      <c r="D499" s="1">
        <v>2</v>
      </c>
      <c r="F499" s="1">
        <v>2023</v>
      </c>
      <c r="G499" s="1" t="s">
        <v>1428</v>
      </c>
      <c r="H499" s="1" t="s">
        <v>350</v>
      </c>
      <c r="I499" s="1">
        <v>6</v>
      </c>
      <c r="K499" s="1" t="s">
        <v>1458</v>
      </c>
      <c r="L499" s="1" t="s">
        <v>1459</v>
      </c>
      <c r="M499" s="1">
        <v>89</v>
      </c>
      <c r="N499" s="1" t="s">
        <v>39</v>
      </c>
      <c r="O499" s="1">
        <v>30.003299999999999</v>
      </c>
      <c r="P499" s="1">
        <v>-90.461100000000002</v>
      </c>
      <c r="Q499" s="1" t="s">
        <v>353</v>
      </c>
      <c r="R499" s="1" t="s">
        <v>41</v>
      </c>
      <c r="T499" s="1" t="s">
        <v>89</v>
      </c>
      <c r="U499" s="1" t="s">
        <v>44</v>
      </c>
      <c r="V499" s="1" t="s">
        <v>94</v>
      </c>
      <c r="X499" s="1" t="s">
        <v>1460</v>
      </c>
      <c r="AA499" s="3">
        <v>24077</v>
      </c>
      <c r="AB499" s="1" t="s">
        <v>46</v>
      </c>
      <c r="AC499" s="5">
        <v>4755</v>
      </c>
      <c r="AD499" s="1" t="s">
        <v>1461</v>
      </c>
      <c r="AE499" s="1" t="str">
        <f t="shared" si="36"/>
        <v>1402 2</v>
      </c>
      <c r="AF499" s="5" t="str">
        <f t="shared" si="39"/>
        <v>420.8</v>
      </c>
      <c r="AG499" s="1" t="str">
        <f t="shared" si="35"/>
        <v/>
      </c>
    </row>
    <row r="500" spans="1:33" x14ac:dyDescent="0.2">
      <c r="A500" s="1" t="s">
        <v>1426</v>
      </c>
      <c r="B500" s="1" t="s">
        <v>1457</v>
      </c>
      <c r="C500" s="1">
        <v>1402</v>
      </c>
      <c r="D500" s="1">
        <v>3</v>
      </c>
      <c r="F500" s="1">
        <v>2023</v>
      </c>
      <c r="G500" s="1" t="s">
        <v>1428</v>
      </c>
      <c r="H500" s="1" t="s">
        <v>350</v>
      </c>
      <c r="I500" s="1">
        <v>6</v>
      </c>
      <c r="K500" s="1" t="s">
        <v>1458</v>
      </c>
      <c r="L500" s="1" t="s">
        <v>1459</v>
      </c>
      <c r="M500" s="1">
        <v>89</v>
      </c>
      <c r="N500" s="1" t="s">
        <v>39</v>
      </c>
      <c r="O500" s="1">
        <v>30.003299999999999</v>
      </c>
      <c r="P500" s="1">
        <v>-90.461100000000002</v>
      </c>
      <c r="Q500" s="1" t="s">
        <v>353</v>
      </c>
      <c r="R500" s="1" t="s">
        <v>41</v>
      </c>
      <c r="T500" s="1" t="s">
        <v>89</v>
      </c>
      <c r="U500" s="1" t="s">
        <v>44</v>
      </c>
      <c r="X500" s="1" t="s">
        <v>1460</v>
      </c>
      <c r="AA500" s="3">
        <v>25235</v>
      </c>
      <c r="AB500" s="1" t="s">
        <v>46</v>
      </c>
      <c r="AC500" s="5">
        <v>6350</v>
      </c>
      <c r="AD500" s="1" t="s">
        <v>1462</v>
      </c>
      <c r="AE500" s="1" t="str">
        <f t="shared" si="36"/>
        <v>1402 3</v>
      </c>
      <c r="AF500" s="5" t="str">
        <f t="shared" si="39"/>
        <v>582.3</v>
      </c>
      <c r="AG500" s="1" t="str">
        <f t="shared" si="35"/>
        <v/>
      </c>
    </row>
    <row r="501" spans="1:33" x14ac:dyDescent="0.2">
      <c r="A501" s="1" t="s">
        <v>1426</v>
      </c>
      <c r="B501" s="1" t="s">
        <v>1463</v>
      </c>
      <c r="C501" s="1">
        <v>1403</v>
      </c>
      <c r="D501" s="1">
        <v>4</v>
      </c>
      <c r="F501" s="1">
        <v>2023</v>
      </c>
      <c r="G501" s="1" t="s">
        <v>1428</v>
      </c>
      <c r="H501" s="1" t="s">
        <v>350</v>
      </c>
      <c r="I501" s="1">
        <v>6</v>
      </c>
      <c r="J501" s="1" t="s">
        <v>228</v>
      </c>
      <c r="K501" s="1" t="s">
        <v>1464</v>
      </c>
      <c r="L501" s="1" t="s">
        <v>1465</v>
      </c>
      <c r="M501" s="1">
        <v>51</v>
      </c>
      <c r="N501" s="1" t="s">
        <v>39</v>
      </c>
      <c r="O501" s="1">
        <v>29.947199999999999</v>
      </c>
      <c r="P501" s="1">
        <v>-90.145799999999994</v>
      </c>
      <c r="Q501" s="1" t="s">
        <v>353</v>
      </c>
      <c r="R501" s="1" t="s">
        <v>41</v>
      </c>
      <c r="T501" s="1" t="s">
        <v>43</v>
      </c>
      <c r="U501" s="1" t="s">
        <v>44</v>
      </c>
      <c r="V501" s="1" t="s">
        <v>94</v>
      </c>
      <c r="X501" s="1" t="s">
        <v>1460</v>
      </c>
      <c r="AA501" s="3">
        <v>25934</v>
      </c>
      <c r="AB501" s="1" t="s">
        <v>46</v>
      </c>
      <c r="AC501" s="5">
        <v>7405</v>
      </c>
      <c r="AD501" s="1" t="s">
        <v>1466</v>
      </c>
      <c r="AE501" s="1" t="str">
        <f t="shared" si="36"/>
        <v>1403 4</v>
      </c>
      <c r="AF501" s="5" t="str">
        <f t="shared" si="39"/>
        <v>895.1</v>
      </c>
      <c r="AG501" s="1" t="str">
        <f t="shared" si="35"/>
        <v/>
      </c>
    </row>
    <row r="502" spans="1:33" x14ac:dyDescent="0.2">
      <c r="A502" s="1" t="s">
        <v>1426</v>
      </c>
      <c r="B502" s="1" t="s">
        <v>1463</v>
      </c>
      <c r="C502" s="1">
        <v>1403</v>
      </c>
      <c r="D502" s="1">
        <v>5</v>
      </c>
      <c r="F502" s="1">
        <v>2023</v>
      </c>
      <c r="G502" s="1" t="s">
        <v>1428</v>
      </c>
      <c r="H502" s="1" t="s">
        <v>350</v>
      </c>
      <c r="I502" s="1">
        <v>6</v>
      </c>
      <c r="J502" s="1" t="s">
        <v>228</v>
      </c>
      <c r="K502" s="1" t="s">
        <v>1464</v>
      </c>
      <c r="L502" s="1" t="s">
        <v>1465</v>
      </c>
      <c r="M502" s="1">
        <v>51</v>
      </c>
      <c r="N502" s="1" t="s">
        <v>39</v>
      </c>
      <c r="O502" s="1">
        <v>29.947199999999999</v>
      </c>
      <c r="P502" s="1">
        <v>-90.145799999999994</v>
      </c>
      <c r="Q502" s="1" t="s">
        <v>353</v>
      </c>
      <c r="R502" s="1" t="s">
        <v>41</v>
      </c>
      <c r="T502" s="1" t="s">
        <v>43</v>
      </c>
      <c r="U502" s="1" t="s">
        <v>44</v>
      </c>
      <c r="V502" s="1" t="s">
        <v>94</v>
      </c>
      <c r="X502" s="1" t="s">
        <v>1460</v>
      </c>
      <c r="AA502" s="3">
        <v>26665</v>
      </c>
      <c r="AB502" s="1" t="s">
        <v>46</v>
      </c>
      <c r="AC502" s="5">
        <v>7450</v>
      </c>
      <c r="AD502" s="1" t="s">
        <v>1467</v>
      </c>
      <c r="AE502" s="1" t="str">
        <f t="shared" si="36"/>
        <v>1403 5</v>
      </c>
      <c r="AF502" s="5" t="str">
        <f t="shared" si="39"/>
        <v>895.1</v>
      </c>
      <c r="AG502" s="1" t="str">
        <f t="shared" si="35"/>
        <v/>
      </c>
    </row>
    <row r="503" spans="1:33" x14ac:dyDescent="0.2">
      <c r="A503" s="1" t="s">
        <v>1426</v>
      </c>
      <c r="B503" s="1" t="s">
        <v>1463</v>
      </c>
      <c r="C503" s="1">
        <v>1403</v>
      </c>
      <c r="D503" s="1" t="s">
        <v>70</v>
      </c>
      <c r="F503" s="1">
        <v>2023</v>
      </c>
      <c r="G503" s="1" t="s">
        <v>1428</v>
      </c>
      <c r="H503" s="1" t="s">
        <v>350</v>
      </c>
      <c r="I503" s="1">
        <v>6</v>
      </c>
      <c r="J503" s="1" t="s">
        <v>228</v>
      </c>
      <c r="K503" s="1" t="s">
        <v>1464</v>
      </c>
      <c r="L503" s="1" t="s">
        <v>1465</v>
      </c>
      <c r="M503" s="1">
        <v>51</v>
      </c>
      <c r="N503" s="1" t="s">
        <v>39</v>
      </c>
      <c r="O503" s="1">
        <v>29.947199999999999</v>
      </c>
      <c r="P503" s="1">
        <v>-90.145799999999994</v>
      </c>
      <c r="Q503" s="1" t="s">
        <v>353</v>
      </c>
      <c r="R503" s="1" t="s">
        <v>41</v>
      </c>
      <c r="T503" s="1" t="s">
        <v>71</v>
      </c>
      <c r="U503" s="1" t="s">
        <v>44</v>
      </c>
      <c r="V503" s="1" t="s">
        <v>94</v>
      </c>
      <c r="X503" s="1" t="s">
        <v>176</v>
      </c>
      <c r="AA503" s="3">
        <v>41865</v>
      </c>
      <c r="AB503" s="1" t="s">
        <v>46</v>
      </c>
      <c r="AC503" s="5">
        <v>2200</v>
      </c>
      <c r="AD503" s="1" t="s">
        <v>1468</v>
      </c>
      <c r="AE503" s="1" t="str">
        <f t="shared" si="36"/>
        <v>1403 6A</v>
      </c>
      <c r="AF503" s="14">
        <f>MID(AD503,FIND("(",AD503)+1,FIND(")",AD503)-FIND("(",AD503)-1)+260.1/2</f>
        <v>324.75</v>
      </c>
      <c r="AG503" s="1" t="str">
        <f t="shared" si="35"/>
        <v>Y</v>
      </c>
    </row>
    <row r="504" spans="1:33" x14ac:dyDescent="0.2">
      <c r="A504" s="1" t="s">
        <v>1426</v>
      </c>
      <c r="B504" s="1" t="s">
        <v>1463</v>
      </c>
      <c r="C504" s="1">
        <v>1403</v>
      </c>
      <c r="D504" s="1" t="s">
        <v>73</v>
      </c>
      <c r="F504" s="1">
        <v>2023</v>
      </c>
      <c r="G504" s="1" t="s">
        <v>1428</v>
      </c>
      <c r="H504" s="1" t="s">
        <v>350</v>
      </c>
      <c r="I504" s="1">
        <v>6</v>
      </c>
      <c r="J504" s="1" t="s">
        <v>228</v>
      </c>
      <c r="K504" s="1" t="s">
        <v>1464</v>
      </c>
      <c r="L504" s="1" t="s">
        <v>1465</v>
      </c>
      <c r="M504" s="1">
        <v>51</v>
      </c>
      <c r="N504" s="1" t="s">
        <v>39</v>
      </c>
      <c r="O504" s="1">
        <v>29.947199999999999</v>
      </c>
      <c r="P504" s="1">
        <v>-90.145799999999994</v>
      </c>
      <c r="Q504" s="1" t="s">
        <v>353</v>
      </c>
      <c r="R504" s="1" t="s">
        <v>41</v>
      </c>
      <c r="T504" s="1" t="s">
        <v>71</v>
      </c>
      <c r="U504" s="1" t="s">
        <v>44</v>
      </c>
      <c r="V504" s="1" t="s">
        <v>94</v>
      </c>
      <c r="X504" s="1" t="s">
        <v>176</v>
      </c>
      <c r="AA504" s="3">
        <v>41886</v>
      </c>
      <c r="AB504" s="1" t="s">
        <v>46</v>
      </c>
      <c r="AC504" s="5">
        <v>3000</v>
      </c>
      <c r="AD504" s="1" t="s">
        <v>1469</v>
      </c>
      <c r="AE504" s="1" t="str">
        <f t="shared" si="36"/>
        <v>1403 6B</v>
      </c>
      <c r="AF504" s="14">
        <f>AF503</f>
        <v>324.75</v>
      </c>
      <c r="AG504" s="1" t="str">
        <f t="shared" si="35"/>
        <v>Y</v>
      </c>
    </row>
    <row r="505" spans="1:33" x14ac:dyDescent="0.2">
      <c r="A505" s="1" t="s">
        <v>1426</v>
      </c>
      <c r="B505" s="1" t="s">
        <v>1470</v>
      </c>
      <c r="C505" s="1">
        <v>1404</v>
      </c>
      <c r="D505" s="1" t="s">
        <v>1471</v>
      </c>
      <c r="F505" s="1">
        <v>2023</v>
      </c>
      <c r="G505" s="1" t="s">
        <v>1428</v>
      </c>
      <c r="H505" s="1" t="s">
        <v>350</v>
      </c>
      <c r="I505" s="1">
        <v>6</v>
      </c>
      <c r="J505" s="1" t="s">
        <v>228</v>
      </c>
      <c r="K505" s="1" t="s">
        <v>1472</v>
      </c>
      <c r="L505" s="1" t="s">
        <v>1473</v>
      </c>
      <c r="M505" s="1">
        <v>73</v>
      </c>
      <c r="N505" s="1" t="s">
        <v>39</v>
      </c>
      <c r="O505" s="1">
        <v>32.704700000000003</v>
      </c>
      <c r="P505" s="1">
        <v>-92.0792</v>
      </c>
      <c r="Q505" s="1" t="s">
        <v>353</v>
      </c>
      <c r="R505" s="1" t="s">
        <v>41</v>
      </c>
      <c r="T505" s="1" t="s">
        <v>71</v>
      </c>
      <c r="U505" s="1" t="s">
        <v>44</v>
      </c>
      <c r="V505" s="1" t="s">
        <v>94</v>
      </c>
      <c r="AA505" s="3">
        <v>27242</v>
      </c>
      <c r="AB505" s="1" t="s">
        <v>46</v>
      </c>
      <c r="AC505" s="5">
        <v>1072</v>
      </c>
      <c r="AD505" s="1" t="s">
        <v>1474</v>
      </c>
      <c r="AE505" s="1" t="str">
        <f t="shared" si="36"/>
        <v>1404 7AB</v>
      </c>
      <c r="AF505" s="14">
        <f>MID(AD505,FIND("(",AD505)+1,FIND(")",AD505)-FIND("(",AD505)-1)+59.3</f>
        <v>160.30000000000001</v>
      </c>
      <c r="AG505" s="1" t="str">
        <f t="shared" si="35"/>
        <v/>
      </c>
    </row>
    <row r="506" spans="1:33" x14ac:dyDescent="0.2">
      <c r="A506" s="1" t="s">
        <v>1426</v>
      </c>
      <c r="B506" s="1" t="s">
        <v>1475</v>
      </c>
      <c r="C506" s="1">
        <v>1416</v>
      </c>
      <c r="D506" s="1" t="s">
        <v>955</v>
      </c>
      <c r="F506" s="1">
        <v>2023</v>
      </c>
      <c r="G506" s="1" t="s">
        <v>1428</v>
      </c>
      <c r="H506" s="1" t="s">
        <v>1346</v>
      </c>
      <c r="I506" s="1">
        <v>6</v>
      </c>
      <c r="J506" s="1" t="s">
        <v>228</v>
      </c>
      <c r="K506" s="1" t="s">
        <v>1476</v>
      </c>
      <c r="L506" s="1" t="s">
        <v>1477</v>
      </c>
      <c r="M506" s="1">
        <v>17</v>
      </c>
      <c r="N506" s="1" t="s">
        <v>39</v>
      </c>
      <c r="O506" s="1">
        <v>32.518099999999997</v>
      </c>
      <c r="P506" s="1">
        <v>-93.761099999999999</v>
      </c>
      <c r="Q506" s="1" t="s">
        <v>1478</v>
      </c>
      <c r="R506" s="1" t="s">
        <v>41</v>
      </c>
      <c r="T506" s="1" t="s">
        <v>43</v>
      </c>
      <c r="U506" s="1" t="s">
        <v>44</v>
      </c>
      <c r="AA506" s="3">
        <v>21976</v>
      </c>
      <c r="AB506" s="1" t="s">
        <v>46</v>
      </c>
      <c r="AC506" s="5">
        <v>1274</v>
      </c>
      <c r="AD506" s="1" t="s">
        <v>1479</v>
      </c>
      <c r="AE506" s="1" t="str">
        <f t="shared" si="36"/>
        <v>1416 5A</v>
      </c>
      <c r="AF506" s="5" t="str">
        <f>MID(AD506,FIND("(",AD506)+1,FIND(")",AD506)-FIND("(",AD506)-1)</f>
        <v>100</v>
      </c>
      <c r="AG506" s="1" t="str">
        <f t="shared" si="35"/>
        <v/>
      </c>
    </row>
    <row r="507" spans="1:33" x14ac:dyDescent="0.2">
      <c r="A507" s="1" t="s">
        <v>1426</v>
      </c>
      <c r="B507" s="1" t="s">
        <v>1475</v>
      </c>
      <c r="C507" s="1">
        <v>1416</v>
      </c>
      <c r="D507" s="1" t="s">
        <v>1480</v>
      </c>
      <c r="F507" s="1">
        <v>2023</v>
      </c>
      <c r="G507" s="1" t="s">
        <v>1428</v>
      </c>
      <c r="H507" s="1" t="s">
        <v>1346</v>
      </c>
      <c r="I507" s="1">
        <v>6</v>
      </c>
      <c r="J507" s="1" t="s">
        <v>228</v>
      </c>
      <c r="K507" s="1" t="s">
        <v>1476</v>
      </c>
      <c r="L507" s="1" t="s">
        <v>1477</v>
      </c>
      <c r="M507" s="1">
        <v>17</v>
      </c>
      <c r="N507" s="1" t="s">
        <v>39</v>
      </c>
      <c r="O507" s="1">
        <v>32.518099999999997</v>
      </c>
      <c r="P507" s="1">
        <v>-93.761099999999999</v>
      </c>
      <c r="Q507" s="1" t="s">
        <v>1478</v>
      </c>
      <c r="R507" s="1" t="s">
        <v>41</v>
      </c>
      <c r="T507" s="1" t="s">
        <v>71</v>
      </c>
      <c r="U507" s="1" t="s">
        <v>44</v>
      </c>
      <c r="X507" s="1" t="s">
        <v>64</v>
      </c>
      <c r="AA507" s="3">
        <v>40237</v>
      </c>
      <c r="AB507" s="1" t="s">
        <v>46</v>
      </c>
      <c r="AC507" s="5">
        <v>2110</v>
      </c>
      <c r="AD507" s="1" t="s">
        <v>1481</v>
      </c>
      <c r="AE507" s="1" t="str">
        <f t="shared" si="36"/>
        <v>1416 CTG-6A</v>
      </c>
      <c r="AF507" s="14">
        <f>MID(AD507,FIND("(",AD507)+1,FIND(")",AD507)-FIND("(",AD507)-1)+256/2</f>
        <v>312</v>
      </c>
      <c r="AG507" s="1" t="str">
        <f t="shared" si="35"/>
        <v>Y</v>
      </c>
    </row>
    <row r="508" spans="1:33" x14ac:dyDescent="0.2">
      <c r="A508" s="1" t="s">
        <v>1426</v>
      </c>
      <c r="B508" s="1" t="s">
        <v>1475</v>
      </c>
      <c r="C508" s="1">
        <v>1416</v>
      </c>
      <c r="D508" s="1" t="s">
        <v>1482</v>
      </c>
      <c r="F508" s="1">
        <v>2023</v>
      </c>
      <c r="G508" s="1" t="s">
        <v>1428</v>
      </c>
      <c r="H508" s="1" t="s">
        <v>1346</v>
      </c>
      <c r="I508" s="1">
        <v>6</v>
      </c>
      <c r="J508" s="1" t="s">
        <v>228</v>
      </c>
      <c r="K508" s="1" t="s">
        <v>1476</v>
      </c>
      <c r="L508" s="1" t="s">
        <v>1477</v>
      </c>
      <c r="M508" s="1">
        <v>17</v>
      </c>
      <c r="N508" s="1" t="s">
        <v>39</v>
      </c>
      <c r="O508" s="1">
        <v>32.518099999999997</v>
      </c>
      <c r="P508" s="1">
        <v>-93.761099999999999</v>
      </c>
      <c r="Q508" s="1" t="s">
        <v>1478</v>
      </c>
      <c r="R508" s="1" t="s">
        <v>41</v>
      </c>
      <c r="T508" s="1" t="s">
        <v>71</v>
      </c>
      <c r="U508" s="1" t="s">
        <v>44</v>
      </c>
      <c r="X508" s="1" t="s">
        <v>64</v>
      </c>
      <c r="AA508" s="3">
        <v>40242</v>
      </c>
      <c r="AB508" s="1" t="s">
        <v>46</v>
      </c>
      <c r="AC508" s="5">
        <v>2110</v>
      </c>
      <c r="AD508" s="1" t="s">
        <v>1483</v>
      </c>
      <c r="AE508" s="1" t="str">
        <f t="shared" si="36"/>
        <v>1416 CTG-6B</v>
      </c>
      <c r="AF508" s="14">
        <f>AF507</f>
        <v>312</v>
      </c>
      <c r="AG508" s="1" t="str">
        <f t="shared" si="35"/>
        <v>Y</v>
      </c>
    </row>
    <row r="509" spans="1:33" x14ac:dyDescent="0.2">
      <c r="A509" s="1" t="s">
        <v>1426</v>
      </c>
      <c r="B509" s="1" t="s">
        <v>1484</v>
      </c>
      <c r="C509" s="1">
        <v>1417</v>
      </c>
      <c r="D509" s="1">
        <v>3</v>
      </c>
      <c r="F509" s="1">
        <v>2023</v>
      </c>
      <c r="G509" s="1" t="s">
        <v>1428</v>
      </c>
      <c r="H509" s="1" t="s">
        <v>1346</v>
      </c>
      <c r="I509" s="1">
        <v>6</v>
      </c>
      <c r="J509" s="1" t="s">
        <v>228</v>
      </c>
      <c r="K509" s="1" t="s">
        <v>1476</v>
      </c>
      <c r="L509" s="1" t="s">
        <v>1477</v>
      </c>
      <c r="M509" s="1">
        <v>17</v>
      </c>
      <c r="N509" s="1" t="s">
        <v>39</v>
      </c>
      <c r="O509" s="1">
        <v>32.704700000000003</v>
      </c>
      <c r="P509" s="1">
        <v>-93.959699999999998</v>
      </c>
      <c r="Q509" s="1" t="s">
        <v>1478</v>
      </c>
      <c r="R509" s="1" t="s">
        <v>41</v>
      </c>
      <c r="T509" s="1" t="s">
        <v>43</v>
      </c>
      <c r="U509" s="1" t="s">
        <v>44</v>
      </c>
      <c r="AA509" s="3">
        <v>20941</v>
      </c>
      <c r="AB509" s="1" t="s">
        <v>46</v>
      </c>
      <c r="AC509" s="5">
        <v>1170</v>
      </c>
      <c r="AD509" s="1" t="s">
        <v>1485</v>
      </c>
      <c r="AE509" s="1" t="str">
        <f t="shared" si="36"/>
        <v>1417 3</v>
      </c>
      <c r="AF509" s="5" t="str">
        <f t="shared" ref="AF509:AF543" si="40">MID(AD509,FIND("(",AD509)+1,FIND(")",AD509)-FIND("(",AD509)-1)</f>
        <v>100</v>
      </c>
      <c r="AG509" s="1" t="str">
        <f t="shared" si="35"/>
        <v/>
      </c>
    </row>
    <row r="510" spans="1:33" x14ac:dyDescent="0.2">
      <c r="A510" s="1" t="s">
        <v>1426</v>
      </c>
      <c r="B510" s="1" t="s">
        <v>1484</v>
      </c>
      <c r="C510" s="1">
        <v>1417</v>
      </c>
      <c r="D510" s="1">
        <v>4</v>
      </c>
      <c r="F510" s="1">
        <v>2023</v>
      </c>
      <c r="G510" s="1" t="s">
        <v>1428</v>
      </c>
      <c r="H510" s="1" t="s">
        <v>1346</v>
      </c>
      <c r="I510" s="1">
        <v>6</v>
      </c>
      <c r="J510" s="1" t="s">
        <v>228</v>
      </c>
      <c r="K510" s="1" t="s">
        <v>1476</v>
      </c>
      <c r="L510" s="1" t="s">
        <v>1477</v>
      </c>
      <c r="M510" s="1">
        <v>17</v>
      </c>
      <c r="N510" s="1" t="s">
        <v>39</v>
      </c>
      <c r="O510" s="1">
        <v>32.704700000000003</v>
      </c>
      <c r="P510" s="1">
        <v>-93.959699999999998</v>
      </c>
      <c r="Q510" s="1" t="s">
        <v>1478</v>
      </c>
      <c r="R510" s="1" t="s">
        <v>41</v>
      </c>
      <c r="T510" s="1" t="s">
        <v>43</v>
      </c>
      <c r="U510" s="1" t="s">
        <v>44</v>
      </c>
      <c r="AA510" s="3">
        <v>21641</v>
      </c>
      <c r="AB510" s="1" t="s">
        <v>46</v>
      </c>
      <c r="AC510" s="5">
        <v>1150</v>
      </c>
      <c r="AD510" s="1" t="s">
        <v>1486</v>
      </c>
      <c r="AE510" s="1" t="str">
        <f t="shared" si="36"/>
        <v>1417 4</v>
      </c>
      <c r="AF510" s="5" t="str">
        <f t="shared" si="40"/>
        <v>100</v>
      </c>
      <c r="AG510" s="1" t="str">
        <f t="shared" si="35"/>
        <v/>
      </c>
    </row>
    <row r="511" spans="1:33" x14ac:dyDescent="0.2">
      <c r="A511" s="1" t="s">
        <v>1426</v>
      </c>
      <c r="B511" s="1" t="s">
        <v>1487</v>
      </c>
      <c r="C511" s="1">
        <v>1439</v>
      </c>
      <c r="D511" s="1">
        <v>15</v>
      </c>
      <c r="F511" s="1">
        <v>2023</v>
      </c>
      <c r="G511" s="1" t="s">
        <v>1428</v>
      </c>
      <c r="H511" s="1">
        <v>604931</v>
      </c>
      <c r="I511" s="1">
        <v>6</v>
      </c>
      <c r="J511" s="1" t="s">
        <v>228</v>
      </c>
      <c r="K511" s="1" t="s">
        <v>1488</v>
      </c>
      <c r="L511" s="1" t="s">
        <v>1489</v>
      </c>
      <c r="M511" s="1">
        <v>109</v>
      </c>
      <c r="N511" s="1" t="s">
        <v>39</v>
      </c>
      <c r="O511" s="1">
        <v>29.5808</v>
      </c>
      <c r="P511" s="1">
        <v>-90.722200000000001</v>
      </c>
      <c r="Q511" s="1" t="s">
        <v>1490</v>
      </c>
      <c r="R511" s="1" t="s">
        <v>41</v>
      </c>
      <c r="T511" s="1" t="s">
        <v>89</v>
      </c>
      <c r="U511" s="1" t="s">
        <v>44</v>
      </c>
      <c r="AA511" s="3">
        <v>25324</v>
      </c>
      <c r="AB511" s="1" t="s">
        <v>46</v>
      </c>
      <c r="AC511" s="5">
        <v>450</v>
      </c>
      <c r="AD511" s="1" t="s">
        <v>1491</v>
      </c>
      <c r="AE511" s="1" t="str">
        <f t="shared" si="36"/>
        <v>1439 15</v>
      </c>
      <c r="AF511" s="5" t="str">
        <f t="shared" si="40"/>
        <v>25.5</v>
      </c>
      <c r="AG511" s="1" t="str">
        <f t="shared" si="35"/>
        <v/>
      </c>
    </row>
    <row r="512" spans="1:33" x14ac:dyDescent="0.2">
      <c r="A512" s="1" t="s">
        <v>1426</v>
      </c>
      <c r="B512" s="1" t="s">
        <v>1487</v>
      </c>
      <c r="C512" s="1">
        <v>1439</v>
      </c>
      <c r="D512" s="1">
        <v>16</v>
      </c>
      <c r="F512" s="1">
        <v>2023</v>
      </c>
      <c r="G512" s="1" t="s">
        <v>1428</v>
      </c>
      <c r="H512" s="1">
        <v>604931</v>
      </c>
      <c r="I512" s="1">
        <v>6</v>
      </c>
      <c r="J512" s="1" t="s">
        <v>228</v>
      </c>
      <c r="K512" s="1" t="s">
        <v>1488</v>
      </c>
      <c r="L512" s="1" t="s">
        <v>1489</v>
      </c>
      <c r="M512" s="1">
        <v>109</v>
      </c>
      <c r="N512" s="1" t="s">
        <v>39</v>
      </c>
      <c r="O512" s="1">
        <v>29.5808</v>
      </c>
      <c r="P512" s="1">
        <v>-90.722200000000001</v>
      </c>
      <c r="Q512" s="1" t="s">
        <v>1490</v>
      </c>
      <c r="R512" s="1" t="s">
        <v>41</v>
      </c>
      <c r="T512" s="1" t="s">
        <v>43</v>
      </c>
      <c r="U512" s="1" t="s">
        <v>44</v>
      </c>
      <c r="AA512" s="3">
        <v>27881</v>
      </c>
      <c r="AB512" s="1" t="s">
        <v>46</v>
      </c>
      <c r="AC512" s="5">
        <v>550</v>
      </c>
      <c r="AD512" s="1" t="s">
        <v>1492</v>
      </c>
      <c r="AE512" s="1" t="str">
        <f t="shared" si="36"/>
        <v>1439 16</v>
      </c>
      <c r="AF512" s="5" t="str">
        <f t="shared" si="40"/>
        <v>40.8</v>
      </c>
      <c r="AG512" s="1" t="str">
        <f t="shared" si="35"/>
        <v/>
      </c>
    </row>
    <row r="513" spans="1:33" x14ac:dyDescent="0.2">
      <c r="A513" s="1" t="s">
        <v>1426</v>
      </c>
      <c r="B513" s="1" t="s">
        <v>1493</v>
      </c>
      <c r="C513" s="1">
        <v>1464</v>
      </c>
      <c r="D513" s="1" t="s">
        <v>1494</v>
      </c>
      <c r="F513" s="1">
        <v>2023</v>
      </c>
      <c r="G513" s="1" t="s">
        <v>1428</v>
      </c>
      <c r="H513" s="1">
        <v>605667</v>
      </c>
      <c r="I513" s="1">
        <v>6</v>
      </c>
      <c r="J513" s="1" t="s">
        <v>228</v>
      </c>
      <c r="K513" s="1" t="s">
        <v>1495</v>
      </c>
      <c r="L513" s="1" t="s">
        <v>1496</v>
      </c>
      <c r="M513" s="1">
        <v>77</v>
      </c>
      <c r="N513" s="1" t="s">
        <v>39</v>
      </c>
      <c r="O513" s="1">
        <v>30.6736</v>
      </c>
      <c r="P513" s="1">
        <v>-91.352500000000006</v>
      </c>
      <c r="Q513" s="1" t="s">
        <v>1497</v>
      </c>
      <c r="R513" s="1" t="s">
        <v>41</v>
      </c>
      <c r="T513" s="1" t="s">
        <v>89</v>
      </c>
      <c r="U513" s="1" t="s">
        <v>44</v>
      </c>
      <c r="V513" s="1" t="s">
        <v>94</v>
      </c>
      <c r="X513" s="1" t="s">
        <v>1498</v>
      </c>
      <c r="AA513" s="3">
        <v>26420</v>
      </c>
      <c r="AB513" s="1" t="s">
        <v>46</v>
      </c>
      <c r="AC513" s="5">
        <v>1250</v>
      </c>
      <c r="AD513" s="1" t="s">
        <v>1499</v>
      </c>
      <c r="AE513" s="1" t="str">
        <f t="shared" si="36"/>
        <v>1464 1B1</v>
      </c>
      <c r="AF513" s="5" t="str">
        <f t="shared" si="40"/>
        <v>115</v>
      </c>
      <c r="AG513" s="1" t="str">
        <f t="shared" si="35"/>
        <v/>
      </c>
    </row>
    <row r="514" spans="1:33" x14ac:dyDescent="0.2">
      <c r="A514" s="1" t="s">
        <v>1426</v>
      </c>
      <c r="B514" s="1" t="s">
        <v>1493</v>
      </c>
      <c r="C514" s="1">
        <v>1464</v>
      </c>
      <c r="D514" s="1" t="s">
        <v>1500</v>
      </c>
      <c r="F514" s="1">
        <v>2023</v>
      </c>
      <c r="G514" s="1" t="s">
        <v>1428</v>
      </c>
      <c r="H514" s="1">
        <v>605667</v>
      </c>
      <c r="I514" s="1">
        <v>6</v>
      </c>
      <c r="J514" s="1" t="s">
        <v>228</v>
      </c>
      <c r="K514" s="1" t="s">
        <v>1495</v>
      </c>
      <c r="L514" s="1" t="s">
        <v>1496</v>
      </c>
      <c r="M514" s="1">
        <v>77</v>
      </c>
      <c r="N514" s="1" t="s">
        <v>39</v>
      </c>
      <c r="O514" s="1">
        <v>30.6736</v>
      </c>
      <c r="P514" s="1">
        <v>-91.352500000000006</v>
      </c>
      <c r="Q514" s="1" t="s">
        <v>1497</v>
      </c>
      <c r="R514" s="1" t="s">
        <v>41</v>
      </c>
      <c r="T514" s="1" t="s">
        <v>89</v>
      </c>
      <c r="U514" s="1" t="s">
        <v>44</v>
      </c>
      <c r="V514" s="1" t="s">
        <v>94</v>
      </c>
      <c r="X514" s="1" t="s">
        <v>1498</v>
      </c>
      <c r="AA514" s="3">
        <v>26330</v>
      </c>
      <c r="AB514" s="1" t="s">
        <v>46</v>
      </c>
      <c r="AC514" s="5">
        <v>1250</v>
      </c>
      <c r="AD514" s="1" t="s">
        <v>1501</v>
      </c>
      <c r="AE514" s="1" t="str">
        <f t="shared" si="36"/>
        <v>1464 1B2</v>
      </c>
      <c r="AF514" s="5" t="str">
        <f t="shared" si="40"/>
        <v>115</v>
      </c>
      <c r="AG514" s="1" t="str">
        <f t="shared" ref="AG514:AG577" si="41">IF(ISNUMBER(SEARCH("selective", X514)), "Y", "")</f>
        <v/>
      </c>
    </row>
    <row r="515" spans="1:33" x14ac:dyDescent="0.2">
      <c r="A515" s="1" t="s">
        <v>1426</v>
      </c>
      <c r="B515" s="1" t="s">
        <v>1493</v>
      </c>
      <c r="C515" s="1">
        <v>1464</v>
      </c>
      <c r="D515" s="1" t="s">
        <v>1129</v>
      </c>
      <c r="F515" s="1">
        <v>2023</v>
      </c>
      <c r="G515" s="1" t="s">
        <v>1428</v>
      </c>
      <c r="H515" s="1">
        <v>605667</v>
      </c>
      <c r="I515" s="1">
        <v>6</v>
      </c>
      <c r="J515" s="1" t="s">
        <v>228</v>
      </c>
      <c r="K515" s="1" t="s">
        <v>1495</v>
      </c>
      <c r="L515" s="1" t="s">
        <v>1496</v>
      </c>
      <c r="M515" s="1">
        <v>77</v>
      </c>
      <c r="N515" s="1" t="s">
        <v>39</v>
      </c>
      <c r="O515" s="1">
        <v>30.6736</v>
      </c>
      <c r="P515" s="1">
        <v>-91.352500000000006</v>
      </c>
      <c r="Q515" s="1" t="s">
        <v>1502</v>
      </c>
      <c r="R515" s="1" t="s">
        <v>41</v>
      </c>
      <c r="T515" s="1" t="s">
        <v>93</v>
      </c>
      <c r="U515" s="1" t="s">
        <v>44</v>
      </c>
      <c r="X515" s="1" t="s">
        <v>140</v>
      </c>
      <c r="AA515" s="3">
        <v>37043</v>
      </c>
      <c r="AB515" s="1" t="s">
        <v>46</v>
      </c>
      <c r="AC515" s="5">
        <v>1638</v>
      </c>
      <c r="AD515" s="1" t="s">
        <v>1503</v>
      </c>
      <c r="AE515" s="1" t="str">
        <f t="shared" ref="AE515:AE578" si="42">C515&amp;" "&amp;D515</f>
        <v>1464 CTG1</v>
      </c>
      <c r="AF515" s="5" t="str">
        <f t="shared" si="40"/>
        <v>132.8</v>
      </c>
      <c r="AG515" s="1" t="str">
        <f t="shared" si="41"/>
        <v/>
      </c>
    </row>
    <row r="516" spans="1:33" x14ac:dyDescent="0.2">
      <c r="A516" s="1" t="s">
        <v>1426</v>
      </c>
      <c r="B516" s="1" t="s">
        <v>1493</v>
      </c>
      <c r="C516" s="1">
        <v>1464</v>
      </c>
      <c r="D516" s="1" t="s">
        <v>1135</v>
      </c>
      <c r="F516" s="1">
        <v>2023</v>
      </c>
      <c r="G516" s="1" t="s">
        <v>1428</v>
      </c>
      <c r="H516" s="1">
        <v>605667</v>
      </c>
      <c r="I516" s="1">
        <v>6</v>
      </c>
      <c r="J516" s="1" t="s">
        <v>228</v>
      </c>
      <c r="K516" s="1" t="s">
        <v>1495</v>
      </c>
      <c r="L516" s="1" t="s">
        <v>1496</v>
      </c>
      <c r="M516" s="1">
        <v>77</v>
      </c>
      <c r="N516" s="1" t="s">
        <v>39</v>
      </c>
      <c r="O516" s="1">
        <v>30.6736</v>
      </c>
      <c r="P516" s="1">
        <v>-91.352500000000006</v>
      </c>
      <c r="Q516" s="1" t="s">
        <v>1502</v>
      </c>
      <c r="R516" s="1" t="s">
        <v>41</v>
      </c>
      <c r="T516" s="1" t="s">
        <v>93</v>
      </c>
      <c r="U516" s="1" t="s">
        <v>44</v>
      </c>
      <c r="X516" s="1" t="s">
        <v>140</v>
      </c>
      <c r="AA516" s="3">
        <v>37073</v>
      </c>
      <c r="AB516" s="1" t="s">
        <v>46</v>
      </c>
      <c r="AC516" s="5">
        <v>1638</v>
      </c>
      <c r="AD516" s="1" t="s">
        <v>1504</v>
      </c>
      <c r="AE516" s="1" t="str">
        <f t="shared" si="42"/>
        <v>1464 CTG2</v>
      </c>
      <c r="AF516" s="5" t="str">
        <f t="shared" si="40"/>
        <v>132.8</v>
      </c>
      <c r="AG516" s="1" t="str">
        <f t="shared" si="41"/>
        <v/>
      </c>
    </row>
    <row r="517" spans="1:33" x14ac:dyDescent="0.2">
      <c r="A517" s="1" t="s">
        <v>1505</v>
      </c>
      <c r="B517" s="1" t="s">
        <v>1506</v>
      </c>
      <c r="C517" s="1">
        <v>1507</v>
      </c>
      <c r="D517" s="1">
        <v>3</v>
      </c>
      <c r="F517" s="1">
        <v>2023</v>
      </c>
      <c r="G517" s="1" t="s">
        <v>1507</v>
      </c>
      <c r="H517" s="1">
        <v>610478</v>
      </c>
      <c r="I517" s="1">
        <v>1</v>
      </c>
      <c r="J517" s="1" t="s">
        <v>580</v>
      </c>
      <c r="K517" s="1" t="s">
        <v>1158</v>
      </c>
      <c r="L517" s="1" t="s">
        <v>1508</v>
      </c>
      <c r="M517" s="1">
        <v>5</v>
      </c>
      <c r="N517" s="1" t="s">
        <v>39</v>
      </c>
      <c r="O517" s="1">
        <v>43.75</v>
      </c>
      <c r="P517" s="1">
        <v>-70.156899999999993</v>
      </c>
      <c r="Q517" s="1" t="s">
        <v>1509</v>
      </c>
      <c r="R517" s="1" t="s">
        <v>41</v>
      </c>
      <c r="T517" s="1" t="s">
        <v>43</v>
      </c>
      <c r="U517" s="1" t="s">
        <v>173</v>
      </c>
      <c r="X517" s="1" t="s">
        <v>454</v>
      </c>
      <c r="Y517" s="1" t="s">
        <v>672</v>
      </c>
      <c r="AA517" s="3">
        <v>23743</v>
      </c>
      <c r="AB517" s="1" t="s">
        <v>46</v>
      </c>
      <c r="AC517" s="5">
        <v>1190</v>
      </c>
      <c r="AD517" s="1" t="s">
        <v>1510</v>
      </c>
      <c r="AE517" s="1" t="str">
        <f t="shared" si="42"/>
        <v>1507 3</v>
      </c>
      <c r="AF517" s="5" t="str">
        <f t="shared" si="40"/>
        <v>113.6</v>
      </c>
      <c r="AG517" s="1" t="str">
        <f t="shared" si="41"/>
        <v/>
      </c>
    </row>
    <row r="518" spans="1:33" x14ac:dyDescent="0.2">
      <c r="A518" s="1" t="s">
        <v>1505</v>
      </c>
      <c r="B518" s="1" t="s">
        <v>1506</v>
      </c>
      <c r="C518" s="1">
        <v>1507</v>
      </c>
      <c r="D518" s="1">
        <v>4</v>
      </c>
      <c r="F518" s="1">
        <v>2023</v>
      </c>
      <c r="G518" s="1" t="s">
        <v>1507</v>
      </c>
      <c r="H518" s="1">
        <v>610478</v>
      </c>
      <c r="I518" s="1">
        <v>1</v>
      </c>
      <c r="J518" s="1" t="s">
        <v>580</v>
      </c>
      <c r="K518" s="1" t="s">
        <v>1158</v>
      </c>
      <c r="L518" s="1" t="s">
        <v>1508</v>
      </c>
      <c r="M518" s="1">
        <v>5</v>
      </c>
      <c r="N518" s="1" t="s">
        <v>39</v>
      </c>
      <c r="O518" s="1">
        <v>43.75</v>
      </c>
      <c r="P518" s="1">
        <v>-70.156899999999993</v>
      </c>
      <c r="Q518" s="1" t="s">
        <v>1511</v>
      </c>
      <c r="R518" s="1" t="s">
        <v>41</v>
      </c>
      <c r="T518" s="1" t="s">
        <v>89</v>
      </c>
      <c r="U518" s="1" t="s">
        <v>173</v>
      </c>
      <c r="X518" s="1" t="s">
        <v>1460</v>
      </c>
      <c r="Y518" s="1" t="s">
        <v>58</v>
      </c>
      <c r="AA518" s="3">
        <v>28829</v>
      </c>
      <c r="AB518" s="1" t="s">
        <v>46</v>
      </c>
      <c r="AC518" s="5">
        <v>6290</v>
      </c>
      <c r="AD518" s="1" t="s">
        <v>1512</v>
      </c>
      <c r="AE518" s="1" t="str">
        <f t="shared" si="42"/>
        <v>1507 4</v>
      </c>
      <c r="AF518" s="5" t="str">
        <f t="shared" si="40"/>
        <v>632.4</v>
      </c>
      <c r="AG518" s="1" t="str">
        <f t="shared" si="41"/>
        <v/>
      </c>
    </row>
    <row r="519" spans="1:33" x14ac:dyDescent="0.2">
      <c r="A519" s="1" t="s">
        <v>680</v>
      </c>
      <c r="B519" s="1" t="s">
        <v>1513</v>
      </c>
      <c r="C519" s="1">
        <v>1554</v>
      </c>
      <c r="D519" s="1">
        <v>1</v>
      </c>
      <c r="F519" s="1">
        <v>2023</v>
      </c>
      <c r="G519" s="1" t="s">
        <v>682</v>
      </c>
      <c r="H519" s="1" t="s">
        <v>683</v>
      </c>
      <c r="I519" s="1">
        <v>3</v>
      </c>
      <c r="J519" s="1" t="s">
        <v>668</v>
      </c>
      <c r="K519" s="1" t="s">
        <v>684</v>
      </c>
      <c r="L519" s="1" t="s">
        <v>685</v>
      </c>
      <c r="M519" s="1">
        <v>3</v>
      </c>
      <c r="N519" s="1" t="s">
        <v>39</v>
      </c>
      <c r="O519" s="1">
        <v>39.178100000000001</v>
      </c>
      <c r="P519" s="1">
        <v>-76.526799999999994</v>
      </c>
      <c r="Q519" s="1" t="s">
        <v>686</v>
      </c>
      <c r="R519" s="1" t="s">
        <v>41</v>
      </c>
      <c r="T519" s="1" t="s">
        <v>89</v>
      </c>
      <c r="U519" s="1" t="s">
        <v>44</v>
      </c>
      <c r="V519" s="1" t="s">
        <v>1292</v>
      </c>
      <c r="Y519" s="1" t="s">
        <v>58</v>
      </c>
      <c r="AA519" s="3">
        <v>20424</v>
      </c>
      <c r="AB519" s="1" t="s">
        <v>46</v>
      </c>
      <c r="AC519" s="5">
        <v>1504</v>
      </c>
      <c r="AD519" s="1" t="s">
        <v>1514</v>
      </c>
      <c r="AE519" s="1" t="str">
        <f t="shared" si="42"/>
        <v>1554 1</v>
      </c>
      <c r="AF519" s="5" t="str">
        <f t="shared" si="40"/>
        <v>135</v>
      </c>
      <c r="AG519" s="1" t="str">
        <f t="shared" si="41"/>
        <v/>
      </c>
    </row>
    <row r="520" spans="1:33" x14ac:dyDescent="0.2">
      <c r="A520" s="1" t="s">
        <v>680</v>
      </c>
      <c r="B520" s="1" t="s">
        <v>1513</v>
      </c>
      <c r="C520" s="1">
        <v>1554</v>
      </c>
      <c r="D520" s="1">
        <v>2</v>
      </c>
      <c r="F520" s="1">
        <v>2023</v>
      </c>
      <c r="G520" s="1" t="s">
        <v>1515</v>
      </c>
      <c r="H520" s="1" t="s">
        <v>683</v>
      </c>
      <c r="I520" s="1">
        <v>3</v>
      </c>
      <c r="J520" s="1" t="s">
        <v>668</v>
      </c>
      <c r="K520" s="1" t="s">
        <v>684</v>
      </c>
      <c r="L520" s="1" t="s">
        <v>685</v>
      </c>
      <c r="M520" s="1">
        <v>3</v>
      </c>
      <c r="N520" s="1" t="s">
        <v>39</v>
      </c>
      <c r="O520" s="1">
        <v>39.178100000000001</v>
      </c>
      <c r="P520" s="1">
        <v>-76.526799999999994</v>
      </c>
      <c r="Q520" s="1" t="s">
        <v>686</v>
      </c>
      <c r="R520" s="1" t="s">
        <v>41</v>
      </c>
      <c r="S520" s="1" t="s">
        <v>42</v>
      </c>
      <c r="T520" s="1" t="s">
        <v>89</v>
      </c>
      <c r="U520" s="1" t="s">
        <v>44</v>
      </c>
      <c r="X520" s="1" t="s">
        <v>1516</v>
      </c>
      <c r="Y520" s="1" t="s">
        <v>58</v>
      </c>
      <c r="AA520" s="3">
        <v>21520</v>
      </c>
      <c r="AB520" s="1" t="s">
        <v>46</v>
      </c>
      <c r="AC520" s="5">
        <v>250</v>
      </c>
      <c r="AD520" s="1" t="s">
        <v>1517</v>
      </c>
      <c r="AE520" s="1" t="str">
        <f t="shared" si="42"/>
        <v>1554 2</v>
      </c>
      <c r="AF520" s="5" t="str">
        <f t="shared" si="40"/>
        <v>145</v>
      </c>
      <c r="AG520" s="1" t="str">
        <f t="shared" si="41"/>
        <v>Y</v>
      </c>
    </row>
    <row r="521" spans="1:33" x14ac:dyDescent="0.2">
      <c r="A521" s="1" t="s">
        <v>680</v>
      </c>
      <c r="B521" s="1" t="s">
        <v>1513</v>
      </c>
      <c r="C521" s="1">
        <v>1554</v>
      </c>
      <c r="D521" s="1">
        <v>3</v>
      </c>
      <c r="F521" s="1">
        <v>2023</v>
      </c>
      <c r="G521" s="1" t="s">
        <v>682</v>
      </c>
      <c r="H521" s="1" t="s">
        <v>683</v>
      </c>
      <c r="I521" s="1">
        <v>3</v>
      </c>
      <c r="J521" s="1" t="s">
        <v>668</v>
      </c>
      <c r="K521" s="1" t="s">
        <v>684</v>
      </c>
      <c r="L521" s="1" t="s">
        <v>685</v>
      </c>
      <c r="M521" s="1">
        <v>3</v>
      </c>
      <c r="N521" s="1" t="s">
        <v>39</v>
      </c>
      <c r="O521" s="1">
        <v>39.178100000000001</v>
      </c>
      <c r="P521" s="1">
        <v>-76.526799999999994</v>
      </c>
      <c r="Q521" s="1" t="s">
        <v>686</v>
      </c>
      <c r="R521" s="1" t="s">
        <v>41</v>
      </c>
      <c r="S521" s="1" t="s">
        <v>85</v>
      </c>
      <c r="T521" s="1" t="s">
        <v>89</v>
      </c>
      <c r="U521" s="1" t="s">
        <v>55</v>
      </c>
      <c r="X521" s="1" t="s">
        <v>563</v>
      </c>
      <c r="Y521" s="1" t="s">
        <v>58</v>
      </c>
      <c r="AA521" s="3">
        <v>24259</v>
      </c>
      <c r="AB521" s="1" t="s">
        <v>46</v>
      </c>
      <c r="AC521" s="5">
        <v>2740</v>
      </c>
      <c r="AD521" s="1" t="s">
        <v>1518</v>
      </c>
      <c r="AE521" s="1" t="str">
        <f t="shared" si="42"/>
        <v>1554 3</v>
      </c>
      <c r="AF521" s="5" t="str">
        <f t="shared" si="40"/>
        <v>355</v>
      </c>
      <c r="AG521" s="1" t="str">
        <f t="shared" si="41"/>
        <v>Y</v>
      </c>
    </row>
    <row r="522" spans="1:33" x14ac:dyDescent="0.2">
      <c r="A522" s="1" t="s">
        <v>680</v>
      </c>
      <c r="B522" s="1" t="s">
        <v>1513</v>
      </c>
      <c r="C522" s="1">
        <v>1554</v>
      </c>
      <c r="D522" s="1">
        <v>4</v>
      </c>
      <c r="F522" s="1">
        <v>2023</v>
      </c>
      <c r="G522" s="1" t="s">
        <v>682</v>
      </c>
      <c r="H522" s="1" t="s">
        <v>683</v>
      </c>
      <c r="I522" s="1">
        <v>3</v>
      </c>
      <c r="J522" s="1" t="s">
        <v>668</v>
      </c>
      <c r="K522" s="1" t="s">
        <v>684</v>
      </c>
      <c r="L522" s="1" t="s">
        <v>685</v>
      </c>
      <c r="M522" s="1">
        <v>3</v>
      </c>
      <c r="N522" s="1" t="s">
        <v>39</v>
      </c>
      <c r="O522" s="1">
        <v>39.178100000000001</v>
      </c>
      <c r="P522" s="1">
        <v>-76.526799999999994</v>
      </c>
      <c r="Q522" s="1" t="s">
        <v>686</v>
      </c>
      <c r="R522" s="1" t="s">
        <v>41</v>
      </c>
      <c r="T522" s="1" t="s">
        <v>89</v>
      </c>
      <c r="U522" s="1" t="s">
        <v>1292</v>
      </c>
      <c r="V522" s="1" t="s">
        <v>44</v>
      </c>
      <c r="Y522" s="1" t="s">
        <v>58</v>
      </c>
      <c r="AA522" s="3">
        <v>26451</v>
      </c>
      <c r="AB522" s="1" t="s">
        <v>46</v>
      </c>
      <c r="AC522" s="5">
        <v>4800</v>
      </c>
      <c r="AD522" s="1" t="s">
        <v>1519</v>
      </c>
      <c r="AE522" s="1" t="str">
        <f t="shared" si="42"/>
        <v>1554 4</v>
      </c>
      <c r="AF522" s="5" t="str">
        <f t="shared" si="40"/>
        <v>426</v>
      </c>
      <c r="AG522" s="1" t="str">
        <f t="shared" si="41"/>
        <v/>
      </c>
    </row>
    <row r="523" spans="1:33" x14ac:dyDescent="0.2">
      <c r="A523" s="1" t="s">
        <v>680</v>
      </c>
      <c r="B523" s="1" t="s">
        <v>1520</v>
      </c>
      <c r="C523" s="1">
        <v>1556</v>
      </c>
      <c r="D523" s="2">
        <v>45444</v>
      </c>
      <c r="E523" s="1" t="s">
        <v>1521</v>
      </c>
      <c r="F523" s="1">
        <v>2023</v>
      </c>
      <c r="G523" s="1" t="s">
        <v>1515</v>
      </c>
      <c r="H523" s="1">
        <v>609041</v>
      </c>
      <c r="I523" s="1">
        <v>3</v>
      </c>
      <c r="K523" s="1" t="s">
        <v>1522</v>
      </c>
      <c r="L523" s="1" t="s">
        <v>1523</v>
      </c>
      <c r="M523" s="1">
        <v>25</v>
      </c>
      <c r="N523" s="1" t="s">
        <v>39</v>
      </c>
      <c r="O523" s="1">
        <v>39.4422</v>
      </c>
      <c r="P523" s="1">
        <v>-76.220799999999997</v>
      </c>
      <c r="Q523" s="1" t="s">
        <v>1524</v>
      </c>
      <c r="R523" s="1" t="s">
        <v>41</v>
      </c>
      <c r="T523" s="1" t="s">
        <v>93</v>
      </c>
      <c r="U523" s="1" t="s">
        <v>44</v>
      </c>
      <c r="V523" s="1" t="s">
        <v>94</v>
      </c>
      <c r="X523" s="1" t="s">
        <v>176</v>
      </c>
      <c r="AA523" s="3">
        <v>42133</v>
      </c>
      <c r="AB523" s="1" t="s">
        <v>46</v>
      </c>
      <c r="AC523" s="5">
        <v>633</v>
      </c>
      <c r="AD523" s="1" t="s">
        <v>1525</v>
      </c>
      <c r="AE523" s="1" t="str">
        <f t="shared" si="42"/>
        <v>1556 45444</v>
      </c>
      <c r="AF523" s="5" t="str">
        <f t="shared" si="40"/>
        <v>120</v>
      </c>
      <c r="AG523" s="1" t="str">
        <f t="shared" si="41"/>
        <v>Y</v>
      </c>
    </row>
    <row r="524" spans="1:33" x14ac:dyDescent="0.2">
      <c r="A524" s="1" t="s">
        <v>680</v>
      </c>
      <c r="B524" s="1" t="s">
        <v>1520</v>
      </c>
      <c r="C524" s="1">
        <v>1556</v>
      </c>
      <c r="D524" s="2">
        <v>45445</v>
      </c>
      <c r="E524" s="1" t="s">
        <v>1521</v>
      </c>
      <c r="F524" s="1">
        <v>2023</v>
      </c>
      <c r="G524" s="1" t="s">
        <v>1515</v>
      </c>
      <c r="H524" s="1">
        <v>609041</v>
      </c>
      <c r="I524" s="1">
        <v>3</v>
      </c>
      <c r="K524" s="1" t="s">
        <v>1522</v>
      </c>
      <c r="L524" s="1" t="s">
        <v>1523</v>
      </c>
      <c r="M524" s="1">
        <v>25</v>
      </c>
      <c r="N524" s="1" t="s">
        <v>39</v>
      </c>
      <c r="O524" s="1">
        <v>39.4422</v>
      </c>
      <c r="P524" s="1">
        <v>-76.220799999999997</v>
      </c>
      <c r="Q524" s="1" t="s">
        <v>1524</v>
      </c>
      <c r="R524" s="1" t="s">
        <v>41</v>
      </c>
      <c r="T524" s="1" t="s">
        <v>93</v>
      </c>
      <c r="U524" s="1" t="s">
        <v>44</v>
      </c>
      <c r="V524" s="1" t="s">
        <v>94</v>
      </c>
      <c r="X524" s="1" t="s">
        <v>176</v>
      </c>
      <c r="AA524" s="3">
        <v>42153</v>
      </c>
      <c r="AB524" s="1" t="s">
        <v>46</v>
      </c>
      <c r="AC524" s="5">
        <v>633.20000000000005</v>
      </c>
      <c r="AD524" s="1" t="s">
        <v>1525</v>
      </c>
      <c r="AE524" s="1" t="str">
        <f t="shared" si="42"/>
        <v>1556 45445</v>
      </c>
      <c r="AF524" s="5" t="str">
        <f t="shared" si="40"/>
        <v>120</v>
      </c>
      <c r="AG524" s="1" t="str">
        <f t="shared" si="41"/>
        <v>Y</v>
      </c>
    </row>
    <row r="525" spans="1:33" x14ac:dyDescent="0.2">
      <c r="A525" s="1" t="s">
        <v>680</v>
      </c>
      <c r="B525" s="1" t="s">
        <v>1520</v>
      </c>
      <c r="C525" s="1">
        <v>1556</v>
      </c>
      <c r="D525" s="1" t="s">
        <v>1526</v>
      </c>
      <c r="F525" s="1">
        <v>2023</v>
      </c>
      <c r="G525" s="1" t="s">
        <v>1515</v>
      </c>
      <c r="H525" s="1">
        <v>609041</v>
      </c>
      <c r="I525" s="1">
        <v>3</v>
      </c>
      <c r="K525" s="1" t="s">
        <v>1522</v>
      </c>
      <c r="L525" s="1" t="s">
        <v>1523</v>
      </c>
      <c r="M525" s="1">
        <v>25</v>
      </c>
      <c r="N525" s="1" t="s">
        <v>39</v>
      </c>
      <c r="O525" s="1">
        <v>39.4422</v>
      </c>
      <c r="P525" s="1">
        <v>-76.220799999999997</v>
      </c>
      <c r="Q525" s="1" t="s">
        <v>1524</v>
      </c>
      <c r="R525" s="1" t="s">
        <v>41</v>
      </c>
      <c r="T525" s="1" t="s">
        <v>93</v>
      </c>
      <c r="U525" s="1" t="s">
        <v>44</v>
      </c>
      <c r="V525" s="1" t="s">
        <v>94</v>
      </c>
      <c r="X525" s="1" t="s">
        <v>95</v>
      </c>
      <c r="AA525" s="3">
        <v>34851</v>
      </c>
      <c r="AB525" s="1" t="s">
        <v>46</v>
      </c>
      <c r="AC525" s="5">
        <v>1900</v>
      </c>
      <c r="AD525" s="1" t="s">
        <v>1527</v>
      </c>
      <c r="AE525" s="1" t="str">
        <f t="shared" si="42"/>
        <v>1556 **51</v>
      </c>
      <c r="AF525" s="5" t="str">
        <f t="shared" si="40"/>
        <v>192</v>
      </c>
      <c r="AG525" s="1" t="str">
        <f t="shared" si="41"/>
        <v/>
      </c>
    </row>
    <row r="526" spans="1:33" x14ac:dyDescent="0.2">
      <c r="A526" s="1" t="s">
        <v>680</v>
      </c>
      <c r="B526" s="1" t="s">
        <v>1520</v>
      </c>
      <c r="C526" s="1">
        <v>1556</v>
      </c>
      <c r="D526" s="1" t="s">
        <v>311</v>
      </c>
      <c r="F526" s="1">
        <v>2023</v>
      </c>
      <c r="G526" s="1" t="s">
        <v>1528</v>
      </c>
      <c r="H526" s="1">
        <v>609041</v>
      </c>
      <c r="I526" s="1">
        <v>3</v>
      </c>
      <c r="K526" s="1" t="s">
        <v>1522</v>
      </c>
      <c r="L526" s="1" t="s">
        <v>1523</v>
      </c>
      <c r="M526" s="1">
        <v>25</v>
      </c>
      <c r="N526" s="1" t="s">
        <v>39</v>
      </c>
      <c r="O526" s="1">
        <v>39.4422</v>
      </c>
      <c r="P526" s="1">
        <v>-76.220799999999997</v>
      </c>
      <c r="Q526" s="1" t="s">
        <v>1524</v>
      </c>
      <c r="T526" s="1" t="s">
        <v>93</v>
      </c>
      <c r="U526" s="1" t="s">
        <v>94</v>
      </c>
      <c r="AA526" s="3">
        <v>26309</v>
      </c>
      <c r="AB526" s="1" t="s">
        <v>46</v>
      </c>
      <c r="AC526" s="5">
        <v>817</v>
      </c>
      <c r="AD526" s="1" t="s">
        <v>1529</v>
      </c>
      <c r="AE526" s="1" t="str">
        <f t="shared" si="42"/>
        <v>1556 CT1</v>
      </c>
      <c r="AF526" s="5" t="str">
        <f t="shared" si="40"/>
        <v>51</v>
      </c>
      <c r="AG526" s="1" t="str">
        <f t="shared" si="41"/>
        <v/>
      </c>
    </row>
    <row r="527" spans="1:33" x14ac:dyDescent="0.2">
      <c r="A527" s="1" t="s">
        <v>680</v>
      </c>
      <c r="B527" s="1" t="s">
        <v>1520</v>
      </c>
      <c r="C527" s="1">
        <v>1556</v>
      </c>
      <c r="D527" s="1" t="s">
        <v>101</v>
      </c>
      <c r="F527" s="1">
        <v>2023</v>
      </c>
      <c r="G527" s="1" t="s">
        <v>1528</v>
      </c>
      <c r="H527" s="1">
        <v>609041</v>
      </c>
      <c r="I527" s="1">
        <v>3</v>
      </c>
      <c r="K527" s="1" t="s">
        <v>1522</v>
      </c>
      <c r="L527" s="1" t="s">
        <v>1523</v>
      </c>
      <c r="M527" s="1">
        <v>25</v>
      </c>
      <c r="N527" s="1" t="s">
        <v>39</v>
      </c>
      <c r="O527" s="1">
        <v>39.4422</v>
      </c>
      <c r="P527" s="1">
        <v>-76.220799999999997</v>
      </c>
      <c r="Q527" s="1" t="s">
        <v>1524</v>
      </c>
      <c r="T527" s="1" t="s">
        <v>93</v>
      </c>
      <c r="U527" s="1" t="s">
        <v>94</v>
      </c>
      <c r="AA527" s="3">
        <v>26418</v>
      </c>
      <c r="AB527" s="1" t="s">
        <v>46</v>
      </c>
      <c r="AC527" s="5">
        <v>830</v>
      </c>
      <c r="AD527" s="1" t="s">
        <v>1530</v>
      </c>
      <c r="AE527" s="1" t="str">
        <f t="shared" si="42"/>
        <v>1556 CT3</v>
      </c>
      <c r="AF527" s="5" t="str">
        <f t="shared" si="40"/>
        <v>51</v>
      </c>
      <c r="AG527" s="1" t="str">
        <f t="shared" si="41"/>
        <v/>
      </c>
    </row>
    <row r="528" spans="1:33" x14ac:dyDescent="0.2">
      <c r="A528" s="1" t="s">
        <v>680</v>
      </c>
      <c r="B528" s="1" t="s">
        <v>1520</v>
      </c>
      <c r="C528" s="1">
        <v>1556</v>
      </c>
      <c r="D528" s="1" t="s">
        <v>103</v>
      </c>
      <c r="F528" s="1">
        <v>2023</v>
      </c>
      <c r="G528" s="1" t="s">
        <v>1528</v>
      </c>
      <c r="H528" s="1">
        <v>609041</v>
      </c>
      <c r="I528" s="1">
        <v>3</v>
      </c>
      <c r="K528" s="1" t="s">
        <v>1522</v>
      </c>
      <c r="L528" s="1" t="s">
        <v>1523</v>
      </c>
      <c r="M528" s="1">
        <v>25</v>
      </c>
      <c r="N528" s="1" t="s">
        <v>39</v>
      </c>
      <c r="O528" s="1">
        <v>39.4422</v>
      </c>
      <c r="P528" s="1">
        <v>-76.220799999999997</v>
      </c>
      <c r="Q528" s="1" t="s">
        <v>1524</v>
      </c>
      <c r="T528" s="1" t="s">
        <v>93</v>
      </c>
      <c r="U528" s="1" t="s">
        <v>94</v>
      </c>
      <c r="AA528" s="3">
        <v>25836</v>
      </c>
      <c r="AB528" s="1" t="s">
        <v>46</v>
      </c>
      <c r="AC528" s="5">
        <v>830</v>
      </c>
      <c r="AD528" s="1" t="s">
        <v>1531</v>
      </c>
      <c r="AE528" s="1" t="str">
        <f t="shared" si="42"/>
        <v>1556 CT4</v>
      </c>
      <c r="AF528" s="5" t="str">
        <f t="shared" si="40"/>
        <v>51</v>
      </c>
      <c r="AG528" s="1" t="str">
        <f t="shared" si="41"/>
        <v/>
      </c>
    </row>
    <row r="529" spans="1:33" x14ac:dyDescent="0.2">
      <c r="A529" s="1" t="s">
        <v>680</v>
      </c>
      <c r="B529" s="1" t="s">
        <v>1532</v>
      </c>
      <c r="C529" s="1">
        <v>1564</v>
      </c>
      <c r="D529" s="1">
        <v>8</v>
      </c>
      <c r="F529" s="1">
        <v>2023</v>
      </c>
      <c r="G529" s="1" t="s">
        <v>682</v>
      </c>
      <c r="H529" s="1">
        <v>608788</v>
      </c>
      <c r="I529" s="1">
        <v>3</v>
      </c>
      <c r="K529" s="1" t="s">
        <v>1533</v>
      </c>
      <c r="L529" s="1" t="s">
        <v>1534</v>
      </c>
      <c r="M529" s="1">
        <v>19</v>
      </c>
      <c r="N529" s="1" t="s">
        <v>39</v>
      </c>
      <c r="O529" s="1">
        <v>38.4878</v>
      </c>
      <c r="P529" s="1">
        <v>-75.820800000000006</v>
      </c>
      <c r="Q529" s="1" t="s">
        <v>1535</v>
      </c>
      <c r="R529" s="1" t="s">
        <v>41</v>
      </c>
      <c r="T529" s="1" t="s">
        <v>43</v>
      </c>
      <c r="U529" s="1" t="s">
        <v>173</v>
      </c>
      <c r="AA529" s="3">
        <v>26268</v>
      </c>
      <c r="AB529" s="1" t="s">
        <v>46</v>
      </c>
      <c r="AC529" s="5">
        <v>2400</v>
      </c>
      <c r="AD529" s="1" t="s">
        <v>1536</v>
      </c>
      <c r="AE529" s="1" t="str">
        <f t="shared" si="42"/>
        <v>1564 8</v>
      </c>
      <c r="AF529" s="5" t="str">
        <f t="shared" si="40"/>
        <v>162</v>
      </c>
      <c r="AG529" s="1" t="str">
        <f t="shared" si="41"/>
        <v/>
      </c>
    </row>
    <row r="530" spans="1:33" x14ac:dyDescent="0.2">
      <c r="A530" s="1" t="s">
        <v>680</v>
      </c>
      <c r="B530" s="1" t="s">
        <v>1537</v>
      </c>
      <c r="C530" s="1">
        <v>1571</v>
      </c>
      <c r="D530" s="1">
        <v>3</v>
      </c>
      <c r="F530" s="1">
        <v>2023</v>
      </c>
      <c r="G530" s="1" t="s">
        <v>682</v>
      </c>
      <c r="H530" s="1">
        <v>608175</v>
      </c>
      <c r="I530" s="1">
        <v>3</v>
      </c>
      <c r="J530" s="1" t="s">
        <v>668</v>
      </c>
      <c r="K530" s="1" t="s">
        <v>1538</v>
      </c>
      <c r="L530" s="1" t="s">
        <v>1539</v>
      </c>
      <c r="M530" s="1">
        <v>33</v>
      </c>
      <c r="N530" s="1" t="s">
        <v>39</v>
      </c>
      <c r="O530" s="1">
        <v>38.544400000000003</v>
      </c>
      <c r="P530" s="1">
        <v>-76.686099999999996</v>
      </c>
      <c r="Q530" s="1" t="s">
        <v>1540</v>
      </c>
      <c r="R530" s="1" t="s">
        <v>41</v>
      </c>
      <c r="T530" s="1" t="s">
        <v>43</v>
      </c>
      <c r="U530" s="1" t="s">
        <v>44</v>
      </c>
      <c r="V530" s="1" t="s">
        <v>173</v>
      </c>
      <c r="X530" s="1" t="s">
        <v>220</v>
      </c>
      <c r="AA530" s="3">
        <v>27546</v>
      </c>
      <c r="AB530" s="1" t="s">
        <v>46</v>
      </c>
      <c r="AC530" s="5">
        <v>7366</v>
      </c>
      <c r="AD530" s="1" t="s">
        <v>1541</v>
      </c>
      <c r="AE530" s="1" t="str">
        <f t="shared" si="42"/>
        <v>1571 3</v>
      </c>
      <c r="AF530" s="5" t="str">
        <f t="shared" si="40"/>
        <v>640</v>
      </c>
      <c r="AG530" s="1" t="str">
        <f t="shared" si="41"/>
        <v/>
      </c>
    </row>
    <row r="531" spans="1:33" x14ac:dyDescent="0.2">
      <c r="A531" s="1" t="s">
        <v>680</v>
      </c>
      <c r="B531" s="1" t="s">
        <v>1537</v>
      </c>
      <c r="C531" s="1">
        <v>1571</v>
      </c>
      <c r="D531" s="1">
        <v>4</v>
      </c>
      <c r="F531" s="1">
        <v>2023</v>
      </c>
      <c r="G531" s="1" t="s">
        <v>682</v>
      </c>
      <c r="H531" s="1">
        <v>608175</v>
      </c>
      <c r="I531" s="1">
        <v>3</v>
      </c>
      <c r="J531" s="1" t="s">
        <v>668</v>
      </c>
      <c r="K531" s="1" t="s">
        <v>1538</v>
      </c>
      <c r="L531" s="1" t="s">
        <v>1539</v>
      </c>
      <c r="M531" s="1">
        <v>33</v>
      </c>
      <c r="N531" s="1" t="s">
        <v>39</v>
      </c>
      <c r="O531" s="1">
        <v>38.544400000000003</v>
      </c>
      <c r="P531" s="1">
        <v>-76.686099999999996</v>
      </c>
      <c r="Q531" s="1" t="s">
        <v>1540</v>
      </c>
      <c r="R531" s="1" t="s">
        <v>41</v>
      </c>
      <c r="T531" s="1" t="s">
        <v>43</v>
      </c>
      <c r="U531" s="1" t="s">
        <v>44</v>
      </c>
      <c r="V531" s="1" t="s">
        <v>173</v>
      </c>
      <c r="X531" s="1" t="s">
        <v>220</v>
      </c>
      <c r="AA531" s="3">
        <v>29921</v>
      </c>
      <c r="AB531" s="1" t="s">
        <v>46</v>
      </c>
      <c r="AC531" s="5">
        <v>9817</v>
      </c>
      <c r="AD531" s="1" t="s">
        <v>1542</v>
      </c>
      <c r="AE531" s="1" t="str">
        <f t="shared" si="42"/>
        <v>1571 4</v>
      </c>
      <c r="AF531" s="5" t="str">
        <f t="shared" si="40"/>
        <v>640</v>
      </c>
      <c r="AG531" s="1" t="str">
        <f t="shared" si="41"/>
        <v/>
      </c>
    </row>
    <row r="532" spans="1:33" x14ac:dyDescent="0.2">
      <c r="A532" s="1" t="s">
        <v>680</v>
      </c>
      <c r="B532" s="1" t="s">
        <v>1537</v>
      </c>
      <c r="C532" s="1">
        <v>1571</v>
      </c>
      <c r="D532" s="1" t="s">
        <v>1543</v>
      </c>
      <c r="F532" s="1">
        <v>2023</v>
      </c>
      <c r="G532" s="1" t="s">
        <v>1515</v>
      </c>
      <c r="H532" s="1">
        <v>608175</v>
      </c>
      <c r="I532" s="1">
        <v>3</v>
      </c>
      <c r="J532" s="1" t="s">
        <v>668</v>
      </c>
      <c r="K532" s="1" t="s">
        <v>1538</v>
      </c>
      <c r="L532" s="1" t="s">
        <v>1539</v>
      </c>
      <c r="M532" s="1">
        <v>33</v>
      </c>
      <c r="N532" s="1" t="s">
        <v>39</v>
      </c>
      <c r="O532" s="1">
        <v>38.544400000000003</v>
      </c>
      <c r="P532" s="1">
        <v>-76.686099999999996</v>
      </c>
      <c r="Q532" s="1" t="s">
        <v>1540</v>
      </c>
      <c r="R532" s="1" t="s">
        <v>41</v>
      </c>
      <c r="T532" s="1" t="s">
        <v>93</v>
      </c>
      <c r="U532" s="1" t="s">
        <v>44</v>
      </c>
      <c r="V532" s="1" t="s">
        <v>94</v>
      </c>
      <c r="X532" s="1" t="s">
        <v>95</v>
      </c>
      <c r="AA532" s="3">
        <v>33390</v>
      </c>
      <c r="AB532" s="1" t="s">
        <v>46</v>
      </c>
      <c r="AC532" s="5">
        <v>1187</v>
      </c>
      <c r="AD532" s="1" t="s">
        <v>1544</v>
      </c>
      <c r="AE532" s="1" t="str">
        <f t="shared" si="42"/>
        <v>1571 **GT3</v>
      </c>
      <c r="AF532" s="5" t="str">
        <f t="shared" si="40"/>
        <v>99</v>
      </c>
      <c r="AG532" s="1" t="str">
        <f t="shared" si="41"/>
        <v/>
      </c>
    </row>
    <row r="533" spans="1:33" x14ac:dyDescent="0.2">
      <c r="A533" s="1" t="s">
        <v>680</v>
      </c>
      <c r="B533" s="1" t="s">
        <v>1537</v>
      </c>
      <c r="C533" s="1">
        <v>1571</v>
      </c>
      <c r="D533" s="1" t="s">
        <v>1545</v>
      </c>
      <c r="F533" s="1">
        <v>2023</v>
      </c>
      <c r="G533" s="1" t="s">
        <v>1515</v>
      </c>
      <c r="H533" s="1">
        <v>608175</v>
      </c>
      <c r="I533" s="1">
        <v>3</v>
      </c>
      <c r="J533" s="1" t="s">
        <v>668</v>
      </c>
      <c r="K533" s="1" t="s">
        <v>1538</v>
      </c>
      <c r="L533" s="1" t="s">
        <v>1539</v>
      </c>
      <c r="M533" s="1">
        <v>33</v>
      </c>
      <c r="N533" s="1" t="s">
        <v>39</v>
      </c>
      <c r="O533" s="1">
        <v>38.544400000000003</v>
      </c>
      <c r="P533" s="1">
        <v>-76.686099999999996</v>
      </c>
      <c r="Q533" s="1" t="s">
        <v>1540</v>
      </c>
      <c r="R533" s="1" t="s">
        <v>41</v>
      </c>
      <c r="T533" s="1" t="s">
        <v>93</v>
      </c>
      <c r="U533" s="1" t="s">
        <v>44</v>
      </c>
      <c r="V533" s="1" t="s">
        <v>94</v>
      </c>
      <c r="X533" s="1" t="s">
        <v>95</v>
      </c>
      <c r="AA533" s="3">
        <v>33390</v>
      </c>
      <c r="AB533" s="1" t="s">
        <v>46</v>
      </c>
      <c r="AC533" s="5">
        <v>1187</v>
      </c>
      <c r="AD533" s="1" t="s">
        <v>1546</v>
      </c>
      <c r="AE533" s="1" t="str">
        <f t="shared" si="42"/>
        <v>1571 **GT4</v>
      </c>
      <c r="AF533" s="5" t="str">
        <f t="shared" si="40"/>
        <v>99</v>
      </c>
      <c r="AG533" s="1" t="str">
        <f t="shared" si="41"/>
        <v/>
      </c>
    </row>
    <row r="534" spans="1:33" x14ac:dyDescent="0.2">
      <c r="A534" s="1" t="s">
        <v>680</v>
      </c>
      <c r="B534" s="1" t="s">
        <v>1537</v>
      </c>
      <c r="C534" s="1">
        <v>1571</v>
      </c>
      <c r="D534" s="1" t="s">
        <v>1547</v>
      </c>
      <c r="F534" s="1">
        <v>2023</v>
      </c>
      <c r="G534" s="1" t="s">
        <v>1515</v>
      </c>
      <c r="H534" s="1">
        <v>608175</v>
      </c>
      <c r="I534" s="1">
        <v>3</v>
      </c>
      <c r="J534" s="1" t="s">
        <v>668</v>
      </c>
      <c r="K534" s="1" t="s">
        <v>1538</v>
      </c>
      <c r="L534" s="1" t="s">
        <v>1539</v>
      </c>
      <c r="M534" s="1">
        <v>33</v>
      </c>
      <c r="N534" s="1" t="s">
        <v>39</v>
      </c>
      <c r="O534" s="1">
        <v>38.544400000000003</v>
      </c>
      <c r="P534" s="1">
        <v>-76.686099999999996</v>
      </c>
      <c r="Q534" s="1" t="s">
        <v>1540</v>
      </c>
      <c r="R534" s="1" t="s">
        <v>41</v>
      </c>
      <c r="T534" s="1" t="s">
        <v>93</v>
      </c>
      <c r="U534" s="1" t="s">
        <v>44</v>
      </c>
      <c r="V534" s="1" t="s">
        <v>94</v>
      </c>
      <c r="X534" s="1" t="s">
        <v>95</v>
      </c>
      <c r="AA534" s="3">
        <v>33390</v>
      </c>
      <c r="AB534" s="1" t="s">
        <v>46</v>
      </c>
      <c r="AC534" s="5">
        <v>1354</v>
      </c>
      <c r="AD534" s="1" t="s">
        <v>1548</v>
      </c>
      <c r="AE534" s="1" t="str">
        <f t="shared" si="42"/>
        <v>1571 **GT5</v>
      </c>
      <c r="AF534" s="5" t="str">
        <f t="shared" si="40"/>
        <v>120</v>
      </c>
      <c r="AG534" s="1" t="str">
        <f t="shared" si="41"/>
        <v/>
      </c>
    </row>
    <row r="535" spans="1:33" x14ac:dyDescent="0.2">
      <c r="A535" s="1" t="s">
        <v>680</v>
      </c>
      <c r="B535" s="1" t="s">
        <v>1537</v>
      </c>
      <c r="C535" s="1">
        <v>1571</v>
      </c>
      <c r="D535" s="1" t="s">
        <v>1549</v>
      </c>
      <c r="F535" s="1">
        <v>2023</v>
      </c>
      <c r="G535" s="1" t="s">
        <v>1515</v>
      </c>
      <c r="H535" s="1">
        <v>608175</v>
      </c>
      <c r="I535" s="1">
        <v>3</v>
      </c>
      <c r="J535" s="1" t="s">
        <v>668</v>
      </c>
      <c r="K535" s="1" t="s">
        <v>1538</v>
      </c>
      <c r="L535" s="1" t="s">
        <v>1539</v>
      </c>
      <c r="M535" s="1">
        <v>33</v>
      </c>
      <c r="N535" s="1" t="s">
        <v>39</v>
      </c>
      <c r="O535" s="1">
        <v>38.544400000000003</v>
      </c>
      <c r="P535" s="1">
        <v>-76.686099999999996</v>
      </c>
      <c r="Q535" s="1" t="s">
        <v>1540</v>
      </c>
      <c r="R535" s="1" t="s">
        <v>41</v>
      </c>
      <c r="T535" s="1" t="s">
        <v>93</v>
      </c>
      <c r="U535" s="1" t="s">
        <v>44</v>
      </c>
      <c r="V535" s="1" t="s">
        <v>94</v>
      </c>
      <c r="X535" s="1" t="s">
        <v>95</v>
      </c>
      <c r="AA535" s="3">
        <v>33390</v>
      </c>
      <c r="AB535" s="1" t="s">
        <v>46</v>
      </c>
      <c r="AC535" s="5">
        <v>1354</v>
      </c>
      <c r="AD535" s="1" t="s">
        <v>1550</v>
      </c>
      <c r="AE535" s="1" t="str">
        <f t="shared" si="42"/>
        <v>1571 **GT6</v>
      </c>
      <c r="AF535" s="5" t="str">
        <f t="shared" si="40"/>
        <v>120</v>
      </c>
      <c r="AG535" s="1" t="str">
        <f t="shared" si="41"/>
        <v/>
      </c>
    </row>
    <row r="536" spans="1:33" x14ac:dyDescent="0.2">
      <c r="A536" s="1" t="s">
        <v>680</v>
      </c>
      <c r="B536" s="1" t="s">
        <v>1537</v>
      </c>
      <c r="C536" s="1">
        <v>1571</v>
      </c>
      <c r="D536" s="1" t="s">
        <v>1102</v>
      </c>
      <c r="F536" s="1">
        <v>2023</v>
      </c>
      <c r="G536" s="1" t="s">
        <v>1528</v>
      </c>
      <c r="H536" s="1">
        <v>608175</v>
      </c>
      <c r="I536" s="1">
        <v>3</v>
      </c>
      <c r="J536" s="1" t="s">
        <v>668</v>
      </c>
      <c r="K536" s="1" t="s">
        <v>1538</v>
      </c>
      <c r="L536" s="1" t="s">
        <v>1539</v>
      </c>
      <c r="M536" s="1">
        <v>33</v>
      </c>
      <c r="N536" s="1" t="s">
        <v>39</v>
      </c>
      <c r="O536" s="1">
        <v>38.544400000000003</v>
      </c>
      <c r="P536" s="1">
        <v>-76.686099999999996</v>
      </c>
      <c r="Q536" s="1" t="s">
        <v>1551</v>
      </c>
      <c r="T536" s="1" t="s">
        <v>93</v>
      </c>
      <c r="U536" s="1" t="s">
        <v>94</v>
      </c>
      <c r="AA536" s="3">
        <v>27181</v>
      </c>
      <c r="AB536" s="1" t="s">
        <v>46</v>
      </c>
      <c r="AC536" s="5">
        <v>420</v>
      </c>
      <c r="AD536" s="1" t="s">
        <v>1552</v>
      </c>
      <c r="AE536" s="1" t="str">
        <f t="shared" si="42"/>
        <v>1571 GT2</v>
      </c>
      <c r="AF536" s="5" t="str">
        <f t="shared" si="40"/>
        <v>35</v>
      </c>
      <c r="AG536" s="1" t="str">
        <f t="shared" si="41"/>
        <v/>
      </c>
    </row>
    <row r="537" spans="1:33" x14ac:dyDescent="0.2">
      <c r="A537" s="1" t="s">
        <v>680</v>
      </c>
      <c r="B537" s="1" t="s">
        <v>1537</v>
      </c>
      <c r="C537" s="1">
        <v>1571</v>
      </c>
      <c r="D537" s="1" t="s">
        <v>1553</v>
      </c>
      <c r="F537" s="1">
        <v>2023</v>
      </c>
      <c r="G537" s="1" t="s">
        <v>1528</v>
      </c>
      <c r="H537" s="1">
        <v>608175</v>
      </c>
      <c r="I537" s="1">
        <v>3</v>
      </c>
      <c r="J537" s="1" t="s">
        <v>668</v>
      </c>
      <c r="K537" s="1" t="s">
        <v>1538</v>
      </c>
      <c r="L537" s="1" t="s">
        <v>1539</v>
      </c>
      <c r="M537" s="1">
        <v>33</v>
      </c>
      <c r="N537" s="1" t="s">
        <v>39</v>
      </c>
      <c r="O537" s="1">
        <v>38.544400000000003</v>
      </c>
      <c r="P537" s="1">
        <v>-76.686099999999996</v>
      </c>
      <c r="Q537" s="1" t="s">
        <v>1554</v>
      </c>
      <c r="T537" s="1" t="s">
        <v>93</v>
      </c>
      <c r="U537" s="1" t="s">
        <v>44</v>
      </c>
      <c r="V537" s="1" t="s">
        <v>94</v>
      </c>
      <c r="X537" s="1" t="s">
        <v>95</v>
      </c>
      <c r="AA537" s="3">
        <v>33025</v>
      </c>
      <c r="AB537" s="1" t="s">
        <v>46</v>
      </c>
      <c r="AC537" s="5">
        <v>940</v>
      </c>
      <c r="AD537" s="1" t="s">
        <v>1555</v>
      </c>
      <c r="AE537" s="1" t="str">
        <f t="shared" si="42"/>
        <v>1571 SMECO</v>
      </c>
      <c r="AF537" s="5" t="str">
        <f t="shared" si="40"/>
        <v>93</v>
      </c>
      <c r="AG537" s="1" t="str">
        <f t="shared" si="41"/>
        <v/>
      </c>
    </row>
    <row r="538" spans="1:33" x14ac:dyDescent="0.2">
      <c r="A538" s="1" t="s">
        <v>680</v>
      </c>
      <c r="B538" s="1" t="s">
        <v>1556</v>
      </c>
      <c r="C538" s="1">
        <v>1572</v>
      </c>
      <c r="D538" s="1" t="s">
        <v>1102</v>
      </c>
      <c r="F538" s="1">
        <v>2023</v>
      </c>
      <c r="G538" s="1" t="s">
        <v>1515</v>
      </c>
      <c r="H538" s="1">
        <v>608175</v>
      </c>
      <c r="I538" s="1">
        <v>3</v>
      </c>
      <c r="J538" s="1" t="s">
        <v>668</v>
      </c>
      <c r="K538" s="1" t="s">
        <v>1319</v>
      </c>
      <c r="L538" s="1" t="s">
        <v>1557</v>
      </c>
      <c r="M538" s="1">
        <v>31</v>
      </c>
      <c r="N538" s="1" t="s">
        <v>39</v>
      </c>
      <c r="O538" s="1">
        <v>39.208599999999997</v>
      </c>
      <c r="P538" s="1">
        <v>-77.464399999999998</v>
      </c>
      <c r="Q538" s="1" t="s">
        <v>1558</v>
      </c>
      <c r="R538" s="1" t="s">
        <v>41</v>
      </c>
      <c r="T538" s="1" t="s">
        <v>93</v>
      </c>
      <c r="U538" s="1" t="s">
        <v>44</v>
      </c>
      <c r="V538" s="1" t="s">
        <v>94</v>
      </c>
      <c r="X538" s="1" t="s">
        <v>95</v>
      </c>
      <c r="AA538" s="3">
        <v>33756</v>
      </c>
      <c r="AB538" s="1" t="s">
        <v>46</v>
      </c>
      <c r="AC538" s="5">
        <v>1850</v>
      </c>
      <c r="AD538" s="1" t="s">
        <v>1559</v>
      </c>
      <c r="AE538" s="1" t="str">
        <f t="shared" si="42"/>
        <v>1572 GT2</v>
      </c>
      <c r="AF538" s="5" t="str">
        <f t="shared" si="40"/>
        <v>168</v>
      </c>
      <c r="AG538" s="1" t="str">
        <f t="shared" si="41"/>
        <v/>
      </c>
    </row>
    <row r="539" spans="1:33" x14ac:dyDescent="0.2">
      <c r="A539" s="1" t="s">
        <v>680</v>
      </c>
      <c r="B539" s="1" t="s">
        <v>1556</v>
      </c>
      <c r="C539" s="1">
        <v>1572</v>
      </c>
      <c r="D539" s="1" t="s">
        <v>246</v>
      </c>
      <c r="F539" s="1">
        <v>2023</v>
      </c>
      <c r="G539" s="1" t="s">
        <v>1515</v>
      </c>
      <c r="H539" s="1">
        <v>608175</v>
      </c>
      <c r="I539" s="1">
        <v>3</v>
      </c>
      <c r="J539" s="1" t="s">
        <v>668</v>
      </c>
      <c r="K539" s="1" t="s">
        <v>1319</v>
      </c>
      <c r="L539" s="1" t="s">
        <v>1557</v>
      </c>
      <c r="M539" s="1">
        <v>31</v>
      </c>
      <c r="N539" s="1" t="s">
        <v>39</v>
      </c>
      <c r="O539" s="1">
        <v>39.208599999999997</v>
      </c>
      <c r="P539" s="1">
        <v>-77.464399999999998</v>
      </c>
      <c r="Q539" s="1" t="s">
        <v>1558</v>
      </c>
      <c r="R539" s="1" t="s">
        <v>41</v>
      </c>
      <c r="T539" s="1" t="s">
        <v>93</v>
      </c>
      <c r="U539" s="1" t="s">
        <v>44</v>
      </c>
      <c r="V539" s="1" t="s">
        <v>94</v>
      </c>
      <c r="X539" s="1" t="s">
        <v>95</v>
      </c>
      <c r="AA539" s="3">
        <v>34121</v>
      </c>
      <c r="AB539" s="1" t="s">
        <v>46</v>
      </c>
      <c r="AC539" s="5">
        <v>1915</v>
      </c>
      <c r="AD539" s="1" t="s">
        <v>1560</v>
      </c>
      <c r="AE539" s="1" t="str">
        <f t="shared" si="42"/>
        <v>1572 GT3</v>
      </c>
      <c r="AF539" s="5" t="str">
        <f t="shared" si="40"/>
        <v>168</v>
      </c>
      <c r="AG539" s="1" t="str">
        <f t="shared" si="41"/>
        <v/>
      </c>
    </row>
    <row r="540" spans="1:33" x14ac:dyDescent="0.2">
      <c r="A540" s="1" t="s">
        <v>680</v>
      </c>
      <c r="B540" s="1" t="s">
        <v>1561</v>
      </c>
      <c r="C540" s="1">
        <v>1573</v>
      </c>
      <c r="D540" s="1" t="s">
        <v>246</v>
      </c>
      <c r="F540" s="1">
        <v>2023</v>
      </c>
      <c r="G540" s="1" t="s">
        <v>1528</v>
      </c>
      <c r="H540" s="1">
        <v>608175</v>
      </c>
      <c r="I540" s="1">
        <v>3</v>
      </c>
      <c r="J540" s="1" t="s">
        <v>668</v>
      </c>
      <c r="K540" s="1" t="s">
        <v>1562</v>
      </c>
      <c r="L540" s="1" t="s">
        <v>1563</v>
      </c>
      <c r="M540" s="1">
        <v>17</v>
      </c>
      <c r="N540" s="1" t="s">
        <v>39</v>
      </c>
      <c r="O540" s="1">
        <v>38.359200000000001</v>
      </c>
      <c r="P540" s="1">
        <v>-76.976699999999994</v>
      </c>
      <c r="Q540" s="1" t="s">
        <v>1558</v>
      </c>
      <c r="T540" s="1" t="s">
        <v>93</v>
      </c>
      <c r="U540" s="1" t="s">
        <v>94</v>
      </c>
      <c r="AA540" s="3">
        <v>26816</v>
      </c>
      <c r="AB540" s="1" t="s">
        <v>46</v>
      </c>
      <c r="AC540" s="5">
        <v>705</v>
      </c>
      <c r="AD540" s="1" t="s">
        <v>1564</v>
      </c>
      <c r="AE540" s="1" t="str">
        <f t="shared" si="42"/>
        <v>1573 GT3</v>
      </c>
      <c r="AF540" s="5" t="str">
        <f t="shared" si="40"/>
        <v>65</v>
      </c>
      <c r="AG540" s="1" t="str">
        <f t="shared" si="41"/>
        <v/>
      </c>
    </row>
    <row r="541" spans="1:33" x14ac:dyDescent="0.2">
      <c r="A541" s="1" t="s">
        <v>680</v>
      </c>
      <c r="B541" s="1" t="s">
        <v>1561</v>
      </c>
      <c r="C541" s="1">
        <v>1573</v>
      </c>
      <c r="D541" s="1" t="s">
        <v>251</v>
      </c>
      <c r="F541" s="1">
        <v>2023</v>
      </c>
      <c r="G541" s="1" t="s">
        <v>1528</v>
      </c>
      <c r="H541" s="1">
        <v>608175</v>
      </c>
      <c r="I541" s="1">
        <v>3</v>
      </c>
      <c r="J541" s="1" t="s">
        <v>668</v>
      </c>
      <c r="K541" s="1" t="s">
        <v>1562</v>
      </c>
      <c r="L541" s="1" t="s">
        <v>1563</v>
      </c>
      <c r="M541" s="1">
        <v>17</v>
      </c>
      <c r="N541" s="1" t="s">
        <v>39</v>
      </c>
      <c r="O541" s="1">
        <v>38.359200000000001</v>
      </c>
      <c r="P541" s="1">
        <v>-76.976699999999994</v>
      </c>
      <c r="Q541" s="1" t="s">
        <v>1558</v>
      </c>
      <c r="T541" s="1" t="s">
        <v>93</v>
      </c>
      <c r="U541" s="1" t="s">
        <v>94</v>
      </c>
      <c r="AA541" s="3">
        <v>26816</v>
      </c>
      <c r="AB541" s="1" t="s">
        <v>46</v>
      </c>
      <c r="AC541" s="5">
        <v>690</v>
      </c>
      <c r="AD541" s="1" t="s">
        <v>1565</v>
      </c>
      <c r="AE541" s="1" t="str">
        <f t="shared" si="42"/>
        <v>1573 GT4</v>
      </c>
      <c r="AF541" s="5" t="str">
        <f t="shared" si="40"/>
        <v>65</v>
      </c>
      <c r="AG541" s="1" t="str">
        <f t="shared" si="41"/>
        <v/>
      </c>
    </row>
    <row r="542" spans="1:33" x14ac:dyDescent="0.2">
      <c r="A542" s="1" t="s">
        <v>680</v>
      </c>
      <c r="B542" s="1" t="s">
        <v>1561</v>
      </c>
      <c r="C542" s="1">
        <v>1573</v>
      </c>
      <c r="D542" s="1" t="s">
        <v>253</v>
      </c>
      <c r="F542" s="1">
        <v>2023</v>
      </c>
      <c r="G542" s="1" t="s">
        <v>1528</v>
      </c>
      <c r="H542" s="1">
        <v>608175</v>
      </c>
      <c r="I542" s="1">
        <v>3</v>
      </c>
      <c r="J542" s="1" t="s">
        <v>668</v>
      </c>
      <c r="K542" s="1" t="s">
        <v>1562</v>
      </c>
      <c r="L542" s="1" t="s">
        <v>1563</v>
      </c>
      <c r="M542" s="1">
        <v>17</v>
      </c>
      <c r="N542" s="1" t="s">
        <v>39</v>
      </c>
      <c r="O542" s="1">
        <v>38.359200000000001</v>
      </c>
      <c r="P542" s="1">
        <v>-76.976699999999994</v>
      </c>
      <c r="Q542" s="1" t="s">
        <v>1558</v>
      </c>
      <c r="T542" s="1" t="s">
        <v>93</v>
      </c>
      <c r="U542" s="1" t="s">
        <v>94</v>
      </c>
      <c r="AA542" s="3">
        <v>26816</v>
      </c>
      <c r="AB542" s="1" t="s">
        <v>46</v>
      </c>
      <c r="AC542" s="5">
        <v>670</v>
      </c>
      <c r="AD542" s="1" t="s">
        <v>1566</v>
      </c>
      <c r="AE542" s="1" t="str">
        <f t="shared" si="42"/>
        <v>1573 GT5</v>
      </c>
      <c r="AF542" s="5" t="str">
        <f t="shared" si="40"/>
        <v>65</v>
      </c>
      <c r="AG542" s="1" t="str">
        <f t="shared" si="41"/>
        <v/>
      </c>
    </row>
    <row r="543" spans="1:33" x14ac:dyDescent="0.2">
      <c r="A543" s="1" t="s">
        <v>680</v>
      </c>
      <c r="B543" s="1" t="s">
        <v>1561</v>
      </c>
      <c r="C543" s="1">
        <v>1573</v>
      </c>
      <c r="D543" s="1" t="s">
        <v>255</v>
      </c>
      <c r="F543" s="1">
        <v>2023</v>
      </c>
      <c r="G543" s="1" t="s">
        <v>1528</v>
      </c>
      <c r="H543" s="1">
        <v>608175</v>
      </c>
      <c r="I543" s="1">
        <v>3</v>
      </c>
      <c r="J543" s="1" t="s">
        <v>668</v>
      </c>
      <c r="K543" s="1" t="s">
        <v>1562</v>
      </c>
      <c r="L543" s="1" t="s">
        <v>1563</v>
      </c>
      <c r="M543" s="1">
        <v>17</v>
      </c>
      <c r="N543" s="1" t="s">
        <v>39</v>
      </c>
      <c r="O543" s="1">
        <v>38.359200000000001</v>
      </c>
      <c r="P543" s="1">
        <v>-76.976699999999994</v>
      </c>
      <c r="Q543" s="1" t="s">
        <v>1558</v>
      </c>
      <c r="T543" s="1" t="s">
        <v>93</v>
      </c>
      <c r="U543" s="1" t="s">
        <v>94</v>
      </c>
      <c r="AA543" s="3">
        <v>26816</v>
      </c>
      <c r="AB543" s="1" t="s">
        <v>46</v>
      </c>
      <c r="AC543" s="5">
        <v>654</v>
      </c>
      <c r="AD543" s="1" t="s">
        <v>1567</v>
      </c>
      <c r="AE543" s="1" t="str">
        <f t="shared" si="42"/>
        <v>1573 GT6</v>
      </c>
      <c r="AF543" s="5" t="str">
        <f t="shared" si="40"/>
        <v>65</v>
      </c>
      <c r="AG543" s="1" t="str">
        <f t="shared" si="41"/>
        <v/>
      </c>
    </row>
    <row r="544" spans="1:33" x14ac:dyDescent="0.2">
      <c r="A544" s="1" t="s">
        <v>1568</v>
      </c>
      <c r="B544" s="1" t="s">
        <v>1569</v>
      </c>
      <c r="C544" s="1">
        <v>1588</v>
      </c>
      <c r="D544" s="1">
        <v>81</v>
      </c>
      <c r="F544" s="1">
        <v>2023</v>
      </c>
      <c r="G544" s="1" t="s">
        <v>579</v>
      </c>
      <c r="H544" s="1">
        <v>606408</v>
      </c>
      <c r="I544" s="1">
        <v>1</v>
      </c>
      <c r="J544" s="1" t="s">
        <v>580</v>
      </c>
      <c r="K544" s="1" t="s">
        <v>601</v>
      </c>
      <c r="L544" s="1" t="s">
        <v>1570</v>
      </c>
      <c r="M544" s="1">
        <v>17</v>
      </c>
      <c r="N544" s="1" t="s">
        <v>39</v>
      </c>
      <c r="O544" s="1">
        <v>42.3917</v>
      </c>
      <c r="P544" s="1">
        <v>-71.066699999999997</v>
      </c>
      <c r="Q544" s="1" t="s">
        <v>1571</v>
      </c>
      <c r="R544" s="1" t="s">
        <v>41</v>
      </c>
      <c r="T544" s="1" t="s">
        <v>71</v>
      </c>
      <c r="U544" s="1" t="s">
        <v>44</v>
      </c>
      <c r="X544" s="1" t="s">
        <v>223</v>
      </c>
      <c r="AA544" s="3">
        <v>37510</v>
      </c>
      <c r="AB544" s="1" t="s">
        <v>46</v>
      </c>
      <c r="AC544" s="5">
        <v>3048</v>
      </c>
      <c r="AD544" s="1" t="s">
        <v>1572</v>
      </c>
      <c r="AE544" s="1" t="str">
        <f t="shared" si="42"/>
        <v>1588 81</v>
      </c>
      <c r="AF544" s="14">
        <f>MID(AD544,FIND("(",AD544)+1,FIND(")",AD544)-FIND("(",AD544)-1)+315/2</f>
        <v>436.1</v>
      </c>
      <c r="AG544" s="1" t="str">
        <f t="shared" si="41"/>
        <v>Y</v>
      </c>
    </row>
    <row r="545" spans="1:33" x14ac:dyDescent="0.2">
      <c r="A545" s="1" t="s">
        <v>1568</v>
      </c>
      <c r="B545" s="1" t="s">
        <v>1569</v>
      </c>
      <c r="C545" s="1">
        <v>1588</v>
      </c>
      <c r="D545" s="1">
        <v>82</v>
      </c>
      <c r="F545" s="1">
        <v>2023</v>
      </c>
      <c r="G545" s="1" t="s">
        <v>579</v>
      </c>
      <c r="H545" s="1">
        <v>606408</v>
      </c>
      <c r="I545" s="1">
        <v>1</v>
      </c>
      <c r="J545" s="1" t="s">
        <v>580</v>
      </c>
      <c r="K545" s="1" t="s">
        <v>601</v>
      </c>
      <c r="L545" s="1" t="s">
        <v>1570</v>
      </c>
      <c r="M545" s="1">
        <v>17</v>
      </c>
      <c r="N545" s="1" t="s">
        <v>39</v>
      </c>
      <c r="O545" s="1">
        <v>42.3917</v>
      </c>
      <c r="P545" s="1">
        <v>-71.066699999999997</v>
      </c>
      <c r="Q545" s="1" t="s">
        <v>1571</v>
      </c>
      <c r="R545" s="1" t="s">
        <v>41</v>
      </c>
      <c r="T545" s="1" t="s">
        <v>71</v>
      </c>
      <c r="U545" s="1" t="s">
        <v>44</v>
      </c>
      <c r="X545" s="1" t="s">
        <v>223</v>
      </c>
      <c r="AA545" s="3">
        <v>37602</v>
      </c>
      <c r="AB545" s="1" t="s">
        <v>46</v>
      </c>
      <c r="AC545" s="5">
        <v>3005.1</v>
      </c>
      <c r="AD545" s="1" t="s">
        <v>1573</v>
      </c>
      <c r="AE545" s="1" t="str">
        <f t="shared" si="42"/>
        <v>1588 82</v>
      </c>
      <c r="AF545" s="14">
        <f>AF544</f>
        <v>436.1</v>
      </c>
      <c r="AG545" s="1" t="str">
        <f t="shared" si="41"/>
        <v>Y</v>
      </c>
    </row>
    <row r="546" spans="1:33" x14ac:dyDescent="0.2">
      <c r="A546" s="1" t="s">
        <v>1568</v>
      </c>
      <c r="B546" s="1" t="s">
        <v>1569</v>
      </c>
      <c r="C546" s="1">
        <v>1588</v>
      </c>
      <c r="D546" s="1">
        <v>93</v>
      </c>
      <c r="F546" s="1">
        <v>2023</v>
      </c>
      <c r="G546" s="1" t="s">
        <v>579</v>
      </c>
      <c r="H546" s="1">
        <v>606408</v>
      </c>
      <c r="I546" s="1">
        <v>1</v>
      </c>
      <c r="J546" s="1" t="s">
        <v>580</v>
      </c>
      <c r="K546" s="1" t="s">
        <v>601</v>
      </c>
      <c r="L546" s="1" t="s">
        <v>1570</v>
      </c>
      <c r="M546" s="1">
        <v>17</v>
      </c>
      <c r="N546" s="1" t="s">
        <v>39</v>
      </c>
      <c r="O546" s="1">
        <v>42.3917</v>
      </c>
      <c r="P546" s="1">
        <v>-71.066699999999997</v>
      </c>
      <c r="Q546" s="1" t="s">
        <v>1571</v>
      </c>
      <c r="R546" s="1" t="s">
        <v>41</v>
      </c>
      <c r="T546" s="1" t="s">
        <v>71</v>
      </c>
      <c r="U546" s="1" t="s">
        <v>44</v>
      </c>
      <c r="X546" s="1" t="s">
        <v>223</v>
      </c>
      <c r="AA546" s="3">
        <v>37703</v>
      </c>
      <c r="AB546" s="1" t="s">
        <v>46</v>
      </c>
      <c r="AC546" s="5">
        <v>3107</v>
      </c>
      <c r="AD546" s="1" t="s">
        <v>1574</v>
      </c>
      <c r="AE546" s="1" t="str">
        <f t="shared" si="42"/>
        <v>1588 93</v>
      </c>
      <c r="AF546" s="14">
        <f>AF547</f>
        <v>436.1</v>
      </c>
      <c r="AG546" s="1" t="str">
        <f t="shared" si="41"/>
        <v>Y</v>
      </c>
    </row>
    <row r="547" spans="1:33" x14ac:dyDescent="0.2">
      <c r="A547" s="1" t="s">
        <v>1568</v>
      </c>
      <c r="B547" s="1" t="s">
        <v>1569</v>
      </c>
      <c r="C547" s="1">
        <v>1588</v>
      </c>
      <c r="D547" s="1">
        <v>94</v>
      </c>
      <c r="F547" s="1">
        <v>2023</v>
      </c>
      <c r="G547" s="1" t="s">
        <v>579</v>
      </c>
      <c r="H547" s="1">
        <v>606408</v>
      </c>
      <c r="I547" s="1">
        <v>1</v>
      </c>
      <c r="J547" s="1" t="s">
        <v>580</v>
      </c>
      <c r="K547" s="1" t="s">
        <v>601</v>
      </c>
      <c r="L547" s="1" t="s">
        <v>1570</v>
      </c>
      <c r="M547" s="1">
        <v>17</v>
      </c>
      <c r="N547" s="1" t="s">
        <v>39</v>
      </c>
      <c r="O547" s="1">
        <v>42.3917</v>
      </c>
      <c r="P547" s="1">
        <v>-71.066699999999997</v>
      </c>
      <c r="Q547" s="1" t="s">
        <v>1571</v>
      </c>
      <c r="R547" s="1" t="s">
        <v>41</v>
      </c>
      <c r="T547" s="1" t="s">
        <v>71</v>
      </c>
      <c r="U547" s="1" t="s">
        <v>44</v>
      </c>
      <c r="X547" s="1" t="s">
        <v>223</v>
      </c>
      <c r="AA547" s="3">
        <v>37732</v>
      </c>
      <c r="AB547" s="1" t="s">
        <v>46</v>
      </c>
      <c r="AC547" s="5">
        <v>3086</v>
      </c>
      <c r="AD547" s="1" t="s">
        <v>1575</v>
      </c>
      <c r="AE547" s="1" t="str">
        <f t="shared" si="42"/>
        <v>1588 94</v>
      </c>
      <c r="AF547" s="14">
        <f>MID(AD547,FIND("(",AD547)+1,FIND(")",AD547)-FIND("(",AD547)-1)+315/2</f>
        <v>436.1</v>
      </c>
      <c r="AG547" s="1" t="str">
        <f t="shared" si="41"/>
        <v>Y</v>
      </c>
    </row>
    <row r="548" spans="1:33" x14ac:dyDescent="0.2">
      <c r="A548" s="1" t="s">
        <v>1568</v>
      </c>
      <c r="B548" s="1" t="s">
        <v>1576</v>
      </c>
      <c r="C548" s="1">
        <v>1592</v>
      </c>
      <c r="D548" s="1" t="s">
        <v>1577</v>
      </c>
      <c r="F548" s="1">
        <v>2023</v>
      </c>
      <c r="G548" s="1" t="s">
        <v>617</v>
      </c>
      <c r="H548" s="1">
        <v>606408</v>
      </c>
      <c r="I548" s="1">
        <v>1</v>
      </c>
      <c r="K548" s="1" t="s">
        <v>1578</v>
      </c>
      <c r="L548" s="1" t="s">
        <v>1579</v>
      </c>
      <c r="M548" s="1">
        <v>21</v>
      </c>
      <c r="N548" s="1" t="s">
        <v>39</v>
      </c>
      <c r="O548" s="1">
        <v>42.136400000000002</v>
      </c>
      <c r="P548" s="1">
        <v>-71.447800000000001</v>
      </c>
      <c r="Q548" s="1" t="s">
        <v>1580</v>
      </c>
      <c r="T548" s="1" t="s">
        <v>93</v>
      </c>
      <c r="U548" s="1" t="s">
        <v>94</v>
      </c>
      <c r="V548" s="1" t="s">
        <v>44</v>
      </c>
      <c r="AA548" s="3">
        <v>25569</v>
      </c>
      <c r="AB548" s="1" t="s">
        <v>46</v>
      </c>
      <c r="AC548" s="5">
        <v>392</v>
      </c>
      <c r="AD548" s="1" t="s">
        <v>1581</v>
      </c>
      <c r="AE548" s="1" t="str">
        <f t="shared" si="42"/>
        <v>1592 J1T1</v>
      </c>
      <c r="AF548" s="5" t="str">
        <f t="shared" ref="AF548:AF553" si="43">MID(AD548,FIND("(",AD548)+1,FIND(")",AD548)-FIND("(",AD548)-1)</f>
        <v>45</v>
      </c>
      <c r="AG548" s="1" t="str">
        <f t="shared" si="41"/>
        <v/>
      </c>
    </row>
    <row r="549" spans="1:33" x14ac:dyDescent="0.2">
      <c r="A549" s="1" t="s">
        <v>1568</v>
      </c>
      <c r="B549" s="1" t="s">
        <v>1576</v>
      </c>
      <c r="C549" s="1">
        <v>1592</v>
      </c>
      <c r="D549" s="1" t="s">
        <v>1582</v>
      </c>
      <c r="F549" s="1">
        <v>2023</v>
      </c>
      <c r="G549" s="1" t="s">
        <v>617</v>
      </c>
      <c r="H549" s="1">
        <v>606408</v>
      </c>
      <c r="I549" s="1">
        <v>1</v>
      </c>
      <c r="K549" s="1" t="s">
        <v>1578</v>
      </c>
      <c r="L549" s="1" t="s">
        <v>1579</v>
      </c>
      <c r="M549" s="1">
        <v>21</v>
      </c>
      <c r="N549" s="1" t="s">
        <v>39</v>
      </c>
      <c r="O549" s="1">
        <v>42.136400000000002</v>
      </c>
      <c r="P549" s="1">
        <v>-71.447800000000001</v>
      </c>
      <c r="Q549" s="1" t="s">
        <v>1580</v>
      </c>
      <c r="T549" s="1" t="s">
        <v>93</v>
      </c>
      <c r="U549" s="1" t="s">
        <v>94</v>
      </c>
      <c r="V549" s="1" t="s">
        <v>44</v>
      </c>
      <c r="AA549" s="3">
        <v>25569</v>
      </c>
      <c r="AB549" s="1" t="s">
        <v>46</v>
      </c>
      <c r="AC549" s="5">
        <v>392</v>
      </c>
      <c r="AD549" s="1" t="s">
        <v>1581</v>
      </c>
      <c r="AE549" s="1" t="str">
        <f t="shared" si="42"/>
        <v>1592 J1T2</v>
      </c>
      <c r="AF549" s="5" t="str">
        <f t="shared" si="43"/>
        <v>45</v>
      </c>
      <c r="AG549" s="1" t="str">
        <f t="shared" si="41"/>
        <v/>
      </c>
    </row>
    <row r="550" spans="1:33" x14ac:dyDescent="0.2">
      <c r="A550" s="1" t="s">
        <v>1568</v>
      </c>
      <c r="B550" s="1" t="s">
        <v>1576</v>
      </c>
      <c r="C550" s="1">
        <v>1592</v>
      </c>
      <c r="D550" s="1" t="s">
        <v>1583</v>
      </c>
      <c r="F550" s="1">
        <v>2023</v>
      </c>
      <c r="G550" s="1" t="s">
        <v>617</v>
      </c>
      <c r="H550" s="1">
        <v>606408</v>
      </c>
      <c r="I550" s="1">
        <v>1</v>
      </c>
      <c r="K550" s="1" t="s">
        <v>1578</v>
      </c>
      <c r="L550" s="1" t="s">
        <v>1579</v>
      </c>
      <c r="M550" s="1">
        <v>21</v>
      </c>
      <c r="N550" s="1" t="s">
        <v>39</v>
      </c>
      <c r="O550" s="1">
        <v>42.136400000000002</v>
      </c>
      <c r="P550" s="1">
        <v>-71.447800000000001</v>
      </c>
      <c r="Q550" s="1" t="s">
        <v>1580</v>
      </c>
      <c r="T550" s="1" t="s">
        <v>93</v>
      </c>
      <c r="U550" s="1" t="s">
        <v>94</v>
      </c>
      <c r="V550" s="1" t="s">
        <v>44</v>
      </c>
      <c r="AA550" s="3">
        <v>25569</v>
      </c>
      <c r="AB550" s="1" t="s">
        <v>46</v>
      </c>
      <c r="AC550" s="5">
        <v>392</v>
      </c>
      <c r="AD550" s="1" t="s">
        <v>1584</v>
      </c>
      <c r="AE550" s="1" t="str">
        <f t="shared" si="42"/>
        <v>1592 J2T1</v>
      </c>
      <c r="AF550" s="5" t="str">
        <f t="shared" si="43"/>
        <v>45</v>
      </c>
      <c r="AG550" s="1" t="str">
        <f t="shared" si="41"/>
        <v/>
      </c>
    </row>
    <row r="551" spans="1:33" x14ac:dyDescent="0.2">
      <c r="A551" s="1" t="s">
        <v>1568</v>
      </c>
      <c r="B551" s="1" t="s">
        <v>1576</v>
      </c>
      <c r="C551" s="1">
        <v>1592</v>
      </c>
      <c r="D551" s="1" t="s">
        <v>1585</v>
      </c>
      <c r="F551" s="1">
        <v>2023</v>
      </c>
      <c r="G551" s="1" t="s">
        <v>617</v>
      </c>
      <c r="H551" s="1">
        <v>606408</v>
      </c>
      <c r="I551" s="1">
        <v>1</v>
      </c>
      <c r="K551" s="1" t="s">
        <v>1578</v>
      </c>
      <c r="L551" s="1" t="s">
        <v>1579</v>
      </c>
      <c r="M551" s="1">
        <v>21</v>
      </c>
      <c r="N551" s="1" t="s">
        <v>39</v>
      </c>
      <c r="O551" s="1">
        <v>42.136400000000002</v>
      </c>
      <c r="P551" s="1">
        <v>-71.447800000000001</v>
      </c>
      <c r="Q551" s="1" t="s">
        <v>1580</v>
      </c>
      <c r="T551" s="1" t="s">
        <v>93</v>
      </c>
      <c r="U551" s="1" t="s">
        <v>94</v>
      </c>
      <c r="V551" s="1" t="s">
        <v>44</v>
      </c>
      <c r="AA551" s="3">
        <v>25569</v>
      </c>
      <c r="AB551" s="1" t="s">
        <v>46</v>
      </c>
      <c r="AC551" s="5">
        <v>392</v>
      </c>
      <c r="AD551" s="1" t="s">
        <v>1584</v>
      </c>
      <c r="AE551" s="1" t="str">
        <f t="shared" si="42"/>
        <v>1592 J2T2</v>
      </c>
      <c r="AF551" s="5" t="str">
        <f t="shared" si="43"/>
        <v>45</v>
      </c>
      <c r="AG551" s="1" t="str">
        <f t="shared" si="41"/>
        <v/>
      </c>
    </row>
    <row r="552" spans="1:33" x14ac:dyDescent="0.2">
      <c r="A552" s="1" t="s">
        <v>1568</v>
      </c>
      <c r="B552" s="1" t="s">
        <v>1576</v>
      </c>
      <c r="C552" s="1">
        <v>1592</v>
      </c>
      <c r="D552" s="1" t="s">
        <v>1586</v>
      </c>
      <c r="F552" s="1">
        <v>2023</v>
      </c>
      <c r="G552" s="1" t="s">
        <v>617</v>
      </c>
      <c r="H552" s="1">
        <v>606408</v>
      </c>
      <c r="I552" s="1">
        <v>1</v>
      </c>
      <c r="K552" s="1" t="s">
        <v>1578</v>
      </c>
      <c r="L552" s="1" t="s">
        <v>1579</v>
      </c>
      <c r="M552" s="1">
        <v>21</v>
      </c>
      <c r="N552" s="1" t="s">
        <v>39</v>
      </c>
      <c r="O552" s="1">
        <v>42.136400000000002</v>
      </c>
      <c r="P552" s="1">
        <v>-71.447800000000001</v>
      </c>
      <c r="Q552" s="1" t="s">
        <v>1580</v>
      </c>
      <c r="T552" s="1" t="s">
        <v>93</v>
      </c>
      <c r="U552" s="1" t="s">
        <v>94</v>
      </c>
      <c r="V552" s="1" t="s">
        <v>44</v>
      </c>
      <c r="AA552" s="3">
        <v>25569</v>
      </c>
      <c r="AB552" s="1" t="s">
        <v>46</v>
      </c>
      <c r="AC552" s="5">
        <v>392</v>
      </c>
      <c r="AD552" s="1" t="s">
        <v>1587</v>
      </c>
      <c r="AE552" s="1" t="str">
        <f t="shared" si="42"/>
        <v>1592 J3T1</v>
      </c>
      <c r="AF552" s="5" t="str">
        <f t="shared" si="43"/>
        <v>45</v>
      </c>
      <c r="AG552" s="1" t="str">
        <f t="shared" si="41"/>
        <v/>
      </c>
    </row>
    <row r="553" spans="1:33" x14ac:dyDescent="0.2">
      <c r="A553" s="1" t="s">
        <v>1568</v>
      </c>
      <c r="B553" s="1" t="s">
        <v>1576</v>
      </c>
      <c r="C553" s="1">
        <v>1592</v>
      </c>
      <c r="D553" s="1" t="s">
        <v>1588</v>
      </c>
      <c r="F553" s="1">
        <v>2023</v>
      </c>
      <c r="G553" s="1" t="s">
        <v>617</v>
      </c>
      <c r="H553" s="1">
        <v>606408</v>
      </c>
      <c r="I553" s="1">
        <v>1</v>
      </c>
      <c r="K553" s="1" t="s">
        <v>1578</v>
      </c>
      <c r="L553" s="1" t="s">
        <v>1579</v>
      </c>
      <c r="M553" s="1">
        <v>21</v>
      </c>
      <c r="N553" s="1" t="s">
        <v>39</v>
      </c>
      <c r="O553" s="1">
        <v>42.136400000000002</v>
      </c>
      <c r="P553" s="1">
        <v>-71.447800000000001</v>
      </c>
      <c r="Q553" s="1" t="s">
        <v>1580</v>
      </c>
      <c r="T553" s="1" t="s">
        <v>93</v>
      </c>
      <c r="U553" s="1" t="s">
        <v>94</v>
      </c>
      <c r="V553" s="1" t="s">
        <v>44</v>
      </c>
      <c r="AA553" s="3">
        <v>25569</v>
      </c>
      <c r="AB553" s="1" t="s">
        <v>46</v>
      </c>
      <c r="AC553" s="5">
        <v>392</v>
      </c>
      <c r="AD553" s="1" t="s">
        <v>1587</v>
      </c>
      <c r="AE553" s="1" t="str">
        <f t="shared" si="42"/>
        <v>1592 J3T2</v>
      </c>
      <c r="AF553" s="5" t="str">
        <f t="shared" si="43"/>
        <v>45</v>
      </c>
      <c r="AG553" s="1" t="str">
        <f t="shared" si="41"/>
        <v/>
      </c>
    </row>
    <row r="554" spans="1:33" x14ac:dyDescent="0.2">
      <c r="A554" s="1" t="s">
        <v>1568</v>
      </c>
      <c r="B554" s="1" t="s">
        <v>1589</v>
      </c>
      <c r="C554" s="1">
        <v>1595</v>
      </c>
      <c r="D554" s="1">
        <v>2</v>
      </c>
      <c r="F554" s="1">
        <v>2023</v>
      </c>
      <c r="G554" s="1" t="s">
        <v>579</v>
      </c>
      <c r="H554" s="1">
        <v>609759</v>
      </c>
      <c r="I554" s="1">
        <v>1</v>
      </c>
      <c r="K554" s="1" t="s">
        <v>601</v>
      </c>
      <c r="L554" s="1" t="s">
        <v>1570</v>
      </c>
      <c r="M554" s="1">
        <v>17</v>
      </c>
      <c r="N554" s="1" t="s">
        <v>39</v>
      </c>
      <c r="O554" s="1">
        <v>42.363300000000002</v>
      </c>
      <c r="P554" s="1">
        <v>-71.0792</v>
      </c>
      <c r="Q554" s="1" t="s">
        <v>1590</v>
      </c>
      <c r="R554" s="1" t="s">
        <v>41</v>
      </c>
      <c r="T554" s="1" t="s">
        <v>89</v>
      </c>
      <c r="U554" s="1" t="s">
        <v>44</v>
      </c>
      <c r="V554" s="1" t="s">
        <v>173</v>
      </c>
      <c r="AA554" s="3">
        <v>18050</v>
      </c>
      <c r="AB554" s="1" t="s">
        <v>46</v>
      </c>
      <c r="AC554" s="5">
        <v>273</v>
      </c>
      <c r="AD554" s="1" t="s">
        <v>1591</v>
      </c>
      <c r="AE554" s="1" t="str">
        <f t="shared" si="42"/>
        <v>1595 2</v>
      </c>
      <c r="AF554" s="14">
        <f>MID(AD554,FIND("(",AD554)+1,FIND(")",AD554)-FIND("(",AD554)-1)/4+23/2</f>
        <v>18.3</v>
      </c>
      <c r="AG554" s="1" t="str">
        <f t="shared" si="41"/>
        <v/>
      </c>
    </row>
    <row r="555" spans="1:33" x14ac:dyDescent="0.2">
      <c r="A555" s="1" t="s">
        <v>1568</v>
      </c>
      <c r="B555" s="1" t="s">
        <v>1589</v>
      </c>
      <c r="C555" s="1">
        <v>1595</v>
      </c>
      <c r="D555" s="1">
        <v>3</v>
      </c>
      <c r="F555" s="1">
        <v>2023</v>
      </c>
      <c r="G555" s="1" t="s">
        <v>579</v>
      </c>
      <c r="H555" s="1">
        <v>609759</v>
      </c>
      <c r="I555" s="1">
        <v>1</v>
      </c>
      <c r="K555" s="1" t="s">
        <v>601</v>
      </c>
      <c r="L555" s="1" t="s">
        <v>1570</v>
      </c>
      <c r="M555" s="1">
        <v>17</v>
      </c>
      <c r="N555" s="1" t="s">
        <v>39</v>
      </c>
      <c r="O555" s="1">
        <v>42.363300000000002</v>
      </c>
      <c r="P555" s="1">
        <v>-71.0792</v>
      </c>
      <c r="Q555" s="1" t="s">
        <v>1590</v>
      </c>
      <c r="R555" s="1" t="s">
        <v>41</v>
      </c>
      <c r="T555" s="1" t="s">
        <v>89</v>
      </c>
      <c r="U555" s="1" t="s">
        <v>44</v>
      </c>
      <c r="V555" s="1" t="s">
        <v>173</v>
      </c>
      <c r="X555" s="1" t="s">
        <v>90</v>
      </c>
      <c r="AA555" s="3">
        <v>20029</v>
      </c>
      <c r="AB555" s="1" t="s">
        <v>46</v>
      </c>
      <c r="AC555" s="5">
        <v>409</v>
      </c>
      <c r="AD555" s="1" t="s">
        <v>1592</v>
      </c>
      <c r="AE555" s="1" t="str">
        <f t="shared" si="42"/>
        <v>1595 3</v>
      </c>
      <c r="AF555" s="14">
        <f>MID(AD555,FIND("(",AD555)+1,FIND(")",AD555)-FIND("(",AD555)-1)/4</f>
        <v>6.8</v>
      </c>
      <c r="AG555" s="1" t="str">
        <f t="shared" si="41"/>
        <v/>
      </c>
    </row>
    <row r="556" spans="1:33" x14ac:dyDescent="0.2">
      <c r="A556" s="1" t="s">
        <v>1568</v>
      </c>
      <c r="B556" s="1" t="s">
        <v>1589</v>
      </c>
      <c r="C556" s="1">
        <v>1595</v>
      </c>
      <c r="D556" s="1">
        <v>4</v>
      </c>
      <c r="F556" s="1">
        <v>2023</v>
      </c>
      <c r="G556" s="1" t="s">
        <v>579</v>
      </c>
      <c r="H556" s="1">
        <v>609759</v>
      </c>
      <c r="I556" s="1">
        <v>1</v>
      </c>
      <c r="K556" s="1" t="s">
        <v>601</v>
      </c>
      <c r="L556" s="1" t="s">
        <v>1570</v>
      </c>
      <c r="M556" s="1">
        <v>17</v>
      </c>
      <c r="N556" s="1" t="s">
        <v>39</v>
      </c>
      <c r="O556" s="1">
        <v>42.363300000000002</v>
      </c>
      <c r="P556" s="1">
        <v>-71.0792</v>
      </c>
      <c r="Q556" s="1" t="s">
        <v>1590</v>
      </c>
      <c r="R556" s="1" t="s">
        <v>41</v>
      </c>
      <c r="T556" s="1" t="s">
        <v>71</v>
      </c>
      <c r="U556" s="1" t="s">
        <v>44</v>
      </c>
      <c r="V556" s="1" t="s">
        <v>94</v>
      </c>
      <c r="X556" s="1" t="s">
        <v>64</v>
      </c>
      <c r="AA556" s="3">
        <v>37476</v>
      </c>
      <c r="AB556" s="1" t="s">
        <v>46</v>
      </c>
      <c r="AC556" s="5">
        <v>2450</v>
      </c>
      <c r="AD556" s="1" t="s">
        <v>1593</v>
      </c>
      <c r="AE556" s="1" t="str">
        <f t="shared" si="42"/>
        <v>1595 4</v>
      </c>
      <c r="AF556" s="14">
        <f>MID(AD556,FIND("(",AD556)+1,FIND(")",AD556)-FIND("(",AD556)-1)+17.2+27.2/4+23/2</f>
        <v>221.7</v>
      </c>
      <c r="AG556" s="1" t="str">
        <f t="shared" si="41"/>
        <v>Y</v>
      </c>
    </row>
    <row r="557" spans="1:33" x14ac:dyDescent="0.2">
      <c r="A557" s="1" t="s">
        <v>1568</v>
      </c>
      <c r="B557" s="1" t="s">
        <v>1594</v>
      </c>
      <c r="C557" s="1">
        <v>1599</v>
      </c>
      <c r="D557" s="1">
        <v>1</v>
      </c>
      <c r="F557" s="1">
        <v>2023</v>
      </c>
      <c r="G557" s="1" t="s">
        <v>594</v>
      </c>
      <c r="H557" s="1">
        <v>605836</v>
      </c>
      <c r="I557" s="1">
        <v>1</v>
      </c>
      <c r="J557" s="1" t="s">
        <v>580</v>
      </c>
      <c r="K557" s="1" t="s">
        <v>1595</v>
      </c>
      <c r="L557" s="1" t="s">
        <v>1596</v>
      </c>
      <c r="M557" s="1">
        <v>1</v>
      </c>
      <c r="N557" s="1" t="s">
        <v>39</v>
      </c>
      <c r="O557" s="1">
        <v>41.769399999999997</v>
      </c>
      <c r="P557" s="1">
        <v>-70.509699999999995</v>
      </c>
      <c r="Q557" s="1" t="s">
        <v>1597</v>
      </c>
      <c r="R557" s="1" t="s">
        <v>41</v>
      </c>
      <c r="T557" s="1" t="s">
        <v>89</v>
      </c>
      <c r="U557" s="1" t="s">
        <v>173</v>
      </c>
      <c r="X557" s="1" t="s">
        <v>1598</v>
      </c>
      <c r="Y557" s="1" t="s">
        <v>58</v>
      </c>
      <c r="AA557" s="3">
        <v>25020</v>
      </c>
      <c r="AB557" s="1" t="s">
        <v>46</v>
      </c>
      <c r="AC557" s="5">
        <v>5450</v>
      </c>
      <c r="AD557" s="1" t="s">
        <v>1599</v>
      </c>
      <c r="AE557" s="1" t="str">
        <f t="shared" si="42"/>
        <v>1599 1</v>
      </c>
      <c r="AF557" s="5" t="str">
        <f>MID(AD557,FIND("(",AD557)+1,FIND(")",AD557)-FIND("(",AD557)-1)</f>
        <v>542.5</v>
      </c>
      <c r="AG557" s="1" t="str">
        <f t="shared" si="41"/>
        <v>Y</v>
      </c>
    </row>
    <row r="558" spans="1:33" x14ac:dyDescent="0.2">
      <c r="A558" s="1" t="s">
        <v>1568</v>
      </c>
      <c r="B558" s="1" t="s">
        <v>1594</v>
      </c>
      <c r="C558" s="1">
        <v>1599</v>
      </c>
      <c r="D558" s="1">
        <v>2</v>
      </c>
      <c r="F558" s="1">
        <v>2023</v>
      </c>
      <c r="G558" s="1" t="s">
        <v>594</v>
      </c>
      <c r="H558" s="1">
        <v>605836</v>
      </c>
      <c r="I558" s="1">
        <v>1</v>
      </c>
      <c r="J558" s="1" t="s">
        <v>580</v>
      </c>
      <c r="K558" s="1" t="s">
        <v>1595</v>
      </c>
      <c r="L558" s="1" t="s">
        <v>1596</v>
      </c>
      <c r="M558" s="1">
        <v>1</v>
      </c>
      <c r="N558" s="1" t="s">
        <v>39</v>
      </c>
      <c r="O558" s="1">
        <v>41.769399999999997</v>
      </c>
      <c r="P558" s="1">
        <v>-70.509699999999995</v>
      </c>
      <c r="Q558" s="1" t="s">
        <v>1597</v>
      </c>
      <c r="R558" s="1" t="s">
        <v>41</v>
      </c>
      <c r="T558" s="1" t="s">
        <v>89</v>
      </c>
      <c r="U558" s="1" t="s">
        <v>44</v>
      </c>
      <c r="V558" s="1" t="s">
        <v>173</v>
      </c>
      <c r="X558" s="1" t="s">
        <v>1600</v>
      </c>
      <c r="Y558" s="1" t="s">
        <v>58</v>
      </c>
      <c r="AA558" s="3">
        <v>27791</v>
      </c>
      <c r="AB558" s="1" t="s">
        <v>46</v>
      </c>
      <c r="AC558" s="5">
        <v>6213.1</v>
      </c>
      <c r="AD558" s="1" t="s">
        <v>1601</v>
      </c>
      <c r="AE558" s="1" t="str">
        <f t="shared" si="42"/>
        <v>1599 2</v>
      </c>
      <c r="AF558" s="5" t="str">
        <f>MID(AD558,FIND("(",AD558)+1,FIND(")",AD558)-FIND("(",AD558)-1)</f>
        <v>529.62</v>
      </c>
      <c r="AG558" s="1" t="str">
        <f t="shared" si="41"/>
        <v/>
      </c>
    </row>
    <row r="559" spans="1:33" x14ac:dyDescent="0.2">
      <c r="A559" s="1" t="s">
        <v>1568</v>
      </c>
      <c r="B559" s="1" t="s">
        <v>1594</v>
      </c>
      <c r="C559" s="1">
        <v>1599</v>
      </c>
      <c r="D559" s="1">
        <v>3</v>
      </c>
      <c r="F559" s="1">
        <v>2023</v>
      </c>
      <c r="G559" s="1" t="s">
        <v>579</v>
      </c>
      <c r="H559" s="1">
        <v>605836</v>
      </c>
      <c r="I559" s="1">
        <v>1</v>
      </c>
      <c r="J559" s="1" t="s">
        <v>580</v>
      </c>
      <c r="K559" s="1" t="s">
        <v>1595</v>
      </c>
      <c r="L559" s="1" t="s">
        <v>1596</v>
      </c>
      <c r="M559" s="1">
        <v>1</v>
      </c>
      <c r="N559" s="1" t="s">
        <v>39</v>
      </c>
      <c r="O559" s="1">
        <v>41.769399999999997</v>
      </c>
      <c r="P559" s="1">
        <v>-70.509699999999995</v>
      </c>
      <c r="Q559" s="1" t="s">
        <v>1602</v>
      </c>
      <c r="R559" s="1" t="s">
        <v>41</v>
      </c>
      <c r="T559" s="1" t="s">
        <v>93</v>
      </c>
      <c r="U559" s="1" t="s">
        <v>44</v>
      </c>
      <c r="V559" s="1" t="s">
        <v>94</v>
      </c>
      <c r="X559" s="1" t="s">
        <v>643</v>
      </c>
      <c r="AA559" s="3">
        <v>43560</v>
      </c>
      <c r="AB559" s="1" t="s">
        <v>46</v>
      </c>
      <c r="AC559" s="5">
        <v>3667.4</v>
      </c>
      <c r="AD559" s="1" t="s">
        <v>1603</v>
      </c>
      <c r="AE559" s="1" t="str">
        <f t="shared" si="42"/>
        <v>1599 3</v>
      </c>
      <c r="AF559" s="5" t="str">
        <f>MID(AD559,FIND("(",AD559)+1,FIND(")",AD559)-FIND("(",AD559)-1)</f>
        <v>330</v>
      </c>
      <c r="AG559" s="1" t="str">
        <f t="shared" si="41"/>
        <v>Y</v>
      </c>
    </row>
    <row r="560" spans="1:33" x14ac:dyDescent="0.2">
      <c r="A560" s="1" t="s">
        <v>1568</v>
      </c>
      <c r="B560" s="1" t="s">
        <v>1604</v>
      </c>
      <c r="C560" s="1">
        <v>1660</v>
      </c>
      <c r="D560" s="1">
        <v>3</v>
      </c>
      <c r="F560" s="1">
        <v>2023</v>
      </c>
      <c r="G560" s="1" t="s">
        <v>617</v>
      </c>
      <c r="H560" s="1">
        <v>609565</v>
      </c>
      <c r="I560" s="1">
        <v>1</v>
      </c>
      <c r="J560" s="1" t="s">
        <v>580</v>
      </c>
      <c r="K560" s="1" t="s">
        <v>1578</v>
      </c>
      <c r="L560" s="1" t="s">
        <v>1579</v>
      </c>
      <c r="M560" s="1">
        <v>21</v>
      </c>
      <c r="N560" s="1" t="s">
        <v>39</v>
      </c>
      <c r="O560" s="1">
        <v>42.234999999999999</v>
      </c>
      <c r="P560" s="1">
        <v>-70.967200000000005</v>
      </c>
      <c r="Q560" s="1" t="s">
        <v>1605</v>
      </c>
      <c r="T560" s="1" t="s">
        <v>71</v>
      </c>
      <c r="U560" s="1" t="s">
        <v>44</v>
      </c>
      <c r="V560" s="1" t="s">
        <v>94</v>
      </c>
      <c r="X560" s="1" t="s">
        <v>1606</v>
      </c>
      <c r="AA560" s="3">
        <v>28216</v>
      </c>
      <c r="AB560" s="1" t="s">
        <v>46</v>
      </c>
      <c r="AC560" s="5">
        <v>975</v>
      </c>
      <c r="AD560" s="1" t="s">
        <v>1607</v>
      </c>
      <c r="AE560" s="1" t="str">
        <f t="shared" si="42"/>
        <v>1660 3</v>
      </c>
      <c r="AF560" s="14">
        <f>MID(AD560,FIND("(",AD560)+1,FIND(")",AD560)-FIND("(",AD560)-1)+25</f>
        <v>101</v>
      </c>
      <c r="AG560" s="1" t="str">
        <f t="shared" si="41"/>
        <v/>
      </c>
    </row>
    <row r="561" spans="1:33" x14ac:dyDescent="0.2">
      <c r="A561" s="1" t="s">
        <v>1568</v>
      </c>
      <c r="B561" s="1" t="s">
        <v>1604</v>
      </c>
      <c r="C561" s="1">
        <v>1660</v>
      </c>
      <c r="D561" s="1">
        <v>4</v>
      </c>
      <c r="F561" s="1">
        <v>2023</v>
      </c>
      <c r="G561" s="1" t="s">
        <v>579</v>
      </c>
      <c r="H561" s="1">
        <v>609565</v>
      </c>
      <c r="I561" s="1">
        <v>1</v>
      </c>
      <c r="J561" s="1" t="s">
        <v>580</v>
      </c>
      <c r="K561" s="1" t="s">
        <v>1578</v>
      </c>
      <c r="L561" s="1" t="s">
        <v>1579</v>
      </c>
      <c r="M561" s="1">
        <v>21</v>
      </c>
      <c r="N561" s="1" t="s">
        <v>39</v>
      </c>
      <c r="O561" s="1">
        <v>42.234999999999999</v>
      </c>
      <c r="P561" s="1">
        <v>-70.967200000000005</v>
      </c>
      <c r="Q561" s="1" t="s">
        <v>1605</v>
      </c>
      <c r="R561" s="1" t="s">
        <v>41</v>
      </c>
      <c r="T561" s="1" t="s">
        <v>93</v>
      </c>
      <c r="U561" s="1" t="s">
        <v>44</v>
      </c>
      <c r="V561" s="1" t="s">
        <v>94</v>
      </c>
      <c r="X561" s="1" t="s">
        <v>1608</v>
      </c>
      <c r="AA561" s="3">
        <v>39931</v>
      </c>
      <c r="AB561" s="1" t="s">
        <v>46</v>
      </c>
      <c r="AC561" s="5">
        <v>565</v>
      </c>
      <c r="AD561" s="1" t="s">
        <v>1609</v>
      </c>
      <c r="AE561" s="1" t="str">
        <f t="shared" si="42"/>
        <v>1660 4</v>
      </c>
      <c r="AF561" s="5" t="str">
        <f>MID(AD561,FIND("(",AD561)+1,FIND(")",AD561)-FIND("(",AD561)-1)</f>
        <v>58</v>
      </c>
      <c r="AG561" s="1" t="str">
        <f t="shared" si="41"/>
        <v>Y</v>
      </c>
    </row>
    <row r="562" spans="1:33" x14ac:dyDescent="0.2">
      <c r="A562" s="1" t="s">
        <v>1568</v>
      </c>
      <c r="B562" s="1" t="s">
        <v>1604</v>
      </c>
      <c r="C562" s="1">
        <v>1660</v>
      </c>
      <c r="D562" s="1">
        <v>5</v>
      </c>
      <c r="F562" s="1">
        <v>2023</v>
      </c>
      <c r="G562" s="1" t="s">
        <v>579</v>
      </c>
      <c r="H562" s="1">
        <v>609565</v>
      </c>
      <c r="I562" s="1">
        <v>1</v>
      </c>
      <c r="J562" s="1" t="s">
        <v>580</v>
      </c>
      <c r="K562" s="1" t="s">
        <v>1578</v>
      </c>
      <c r="L562" s="1" t="s">
        <v>1579</v>
      </c>
      <c r="M562" s="1">
        <v>21</v>
      </c>
      <c r="N562" s="1" t="s">
        <v>39</v>
      </c>
      <c r="O562" s="1">
        <v>42.234999999999999</v>
      </c>
      <c r="P562" s="1">
        <v>-70.967200000000005</v>
      </c>
      <c r="Q562" s="1" t="s">
        <v>1605</v>
      </c>
      <c r="R562" s="1" t="s">
        <v>41</v>
      </c>
      <c r="T562" s="1" t="s">
        <v>93</v>
      </c>
      <c r="U562" s="1" t="s">
        <v>44</v>
      </c>
      <c r="V562" s="1" t="s">
        <v>94</v>
      </c>
      <c r="X562" s="1" t="s">
        <v>1608</v>
      </c>
      <c r="AA562" s="3">
        <v>39924</v>
      </c>
      <c r="AB562" s="1" t="s">
        <v>46</v>
      </c>
      <c r="AC562" s="5">
        <v>565</v>
      </c>
      <c r="AD562" s="1" t="s">
        <v>1610</v>
      </c>
      <c r="AE562" s="1" t="str">
        <f t="shared" si="42"/>
        <v>1660 5</v>
      </c>
      <c r="AF562" s="5" t="str">
        <f>MID(AD562,FIND("(",AD562)+1,FIND(")",AD562)-FIND("(",AD562)-1)</f>
        <v>58</v>
      </c>
      <c r="AG562" s="1" t="str">
        <f t="shared" si="41"/>
        <v>Y</v>
      </c>
    </row>
    <row r="563" spans="1:33" x14ac:dyDescent="0.2">
      <c r="A563" s="1" t="s">
        <v>1568</v>
      </c>
      <c r="B563" s="1" t="s">
        <v>1611</v>
      </c>
      <c r="C563" s="1">
        <v>1678</v>
      </c>
      <c r="D563" s="1">
        <v>2</v>
      </c>
      <c r="E563" s="1" t="s">
        <v>1156</v>
      </c>
      <c r="F563" s="1">
        <v>2023</v>
      </c>
      <c r="G563" s="1" t="s">
        <v>617</v>
      </c>
      <c r="H563" s="1">
        <v>609229</v>
      </c>
      <c r="I563" s="1">
        <v>1</v>
      </c>
      <c r="K563" s="1" t="s">
        <v>1612</v>
      </c>
      <c r="L563" s="1" t="s">
        <v>1613</v>
      </c>
      <c r="M563" s="1">
        <v>9</v>
      </c>
      <c r="N563" s="1" t="s">
        <v>39</v>
      </c>
      <c r="O563" s="1">
        <v>42.5428</v>
      </c>
      <c r="P563" s="1">
        <v>-70.923599999999993</v>
      </c>
      <c r="Q563" s="1" t="s">
        <v>1614</v>
      </c>
      <c r="T563" s="1" t="s">
        <v>93</v>
      </c>
      <c r="U563" s="1" t="s">
        <v>44</v>
      </c>
      <c r="V563" s="1" t="s">
        <v>94</v>
      </c>
      <c r="X563" s="1" t="s">
        <v>95</v>
      </c>
      <c r="AA563" s="3">
        <v>33182</v>
      </c>
      <c r="AB563" s="1" t="s">
        <v>46</v>
      </c>
      <c r="AC563" s="5">
        <v>485.9</v>
      </c>
      <c r="AD563" s="1" t="s">
        <v>1615</v>
      </c>
      <c r="AE563" s="1" t="str">
        <f t="shared" si="42"/>
        <v>1678 2</v>
      </c>
      <c r="AF563" s="5" t="str">
        <f>MID(AD563,FIND("(",AD563)+1,FIND(")",AD563)-FIND("(",AD563)-1)</f>
        <v>49.9</v>
      </c>
      <c r="AG563" s="1" t="str">
        <f t="shared" si="41"/>
        <v/>
      </c>
    </row>
    <row r="564" spans="1:33" x14ac:dyDescent="0.2">
      <c r="A564" s="1" t="s">
        <v>1568</v>
      </c>
      <c r="B564" s="1" t="s">
        <v>1616</v>
      </c>
      <c r="C564" s="1">
        <v>1682</v>
      </c>
      <c r="D564" s="1">
        <v>9</v>
      </c>
      <c r="F564" s="1">
        <v>2023</v>
      </c>
      <c r="G564" s="1" t="s">
        <v>579</v>
      </c>
      <c r="H564" s="1">
        <v>609267</v>
      </c>
      <c r="I564" s="1">
        <v>1</v>
      </c>
      <c r="J564" s="1" t="s">
        <v>580</v>
      </c>
      <c r="K564" s="1" t="s">
        <v>1617</v>
      </c>
      <c r="L564" s="1" t="s">
        <v>1618</v>
      </c>
      <c r="M564" s="1">
        <v>5</v>
      </c>
      <c r="N564" s="1" t="s">
        <v>39</v>
      </c>
      <c r="O564" s="1">
        <v>41.865299999999998</v>
      </c>
      <c r="P564" s="1">
        <v>-71.106099999999998</v>
      </c>
      <c r="Q564" s="1" t="s">
        <v>1619</v>
      </c>
      <c r="R564" s="1" t="s">
        <v>41</v>
      </c>
      <c r="T564" s="1" t="s">
        <v>656</v>
      </c>
      <c r="U564" s="1" t="s">
        <v>44</v>
      </c>
      <c r="V564" s="1" t="s">
        <v>94</v>
      </c>
      <c r="X564" s="1" t="s">
        <v>289</v>
      </c>
      <c r="AA564" s="3">
        <v>27576</v>
      </c>
      <c r="AB564" s="1" t="s">
        <v>46</v>
      </c>
      <c r="AC564" s="5">
        <v>1334</v>
      </c>
      <c r="AD564" s="1" t="s">
        <v>1620</v>
      </c>
      <c r="AE564" s="1" t="str">
        <f t="shared" si="42"/>
        <v>1682 9</v>
      </c>
      <c r="AF564" s="14">
        <f>MID(AD564,FIND("(",AD564)+1,FIND(")",AD564)-FIND("(",AD564)-1)+95</f>
        <v>118</v>
      </c>
      <c r="AG564" s="1" t="str">
        <f t="shared" si="41"/>
        <v/>
      </c>
    </row>
    <row r="565" spans="1:33" x14ac:dyDescent="0.2">
      <c r="A565" s="1" t="s">
        <v>1621</v>
      </c>
      <c r="B565" s="1" t="s">
        <v>1622</v>
      </c>
      <c r="C565" s="1">
        <v>1702</v>
      </c>
      <c r="D565" s="1">
        <v>1</v>
      </c>
      <c r="F565" s="1">
        <v>2023</v>
      </c>
      <c r="G565" s="1" t="s">
        <v>1005</v>
      </c>
      <c r="H565" s="1">
        <v>607360</v>
      </c>
      <c r="I565" s="1">
        <v>5</v>
      </c>
      <c r="K565" s="1" t="s">
        <v>839</v>
      </c>
      <c r="L565" s="1" t="s">
        <v>1623</v>
      </c>
      <c r="M565" s="1">
        <v>17</v>
      </c>
      <c r="N565" s="1" t="s">
        <v>39</v>
      </c>
      <c r="O565" s="1">
        <v>43.642499999999998</v>
      </c>
      <c r="P565" s="1">
        <v>-83.843100000000007</v>
      </c>
      <c r="Q565" s="1" t="s">
        <v>1624</v>
      </c>
      <c r="R565" s="1" t="s">
        <v>41</v>
      </c>
      <c r="S565" s="1" t="s">
        <v>42</v>
      </c>
      <c r="T565" s="1" t="s">
        <v>43</v>
      </c>
      <c r="U565" s="1" t="s">
        <v>55</v>
      </c>
      <c r="V565" s="1" t="s">
        <v>94</v>
      </c>
      <c r="W565" s="1" t="s">
        <v>212</v>
      </c>
      <c r="X565" s="1" t="s">
        <v>223</v>
      </c>
      <c r="Y565" s="1" t="s">
        <v>232</v>
      </c>
      <c r="Z565" s="1" t="s">
        <v>214</v>
      </c>
      <c r="AA565" s="3">
        <v>20637</v>
      </c>
      <c r="AB565" s="1" t="s">
        <v>621</v>
      </c>
      <c r="AC565" s="5">
        <v>3400</v>
      </c>
      <c r="AD565" s="1" t="s">
        <v>1625</v>
      </c>
      <c r="AE565" s="1" t="str">
        <f t="shared" si="42"/>
        <v>1702 1</v>
      </c>
      <c r="AF565" s="5" t="str">
        <f t="shared" ref="AF565:AF579" si="44">MID(AD565,FIND("(",AD565)+1,FIND(")",AD565)-FIND("(",AD565)-1)</f>
        <v>265</v>
      </c>
      <c r="AG565" s="1" t="str">
        <f t="shared" si="41"/>
        <v>Y</v>
      </c>
    </row>
    <row r="566" spans="1:33" x14ac:dyDescent="0.2">
      <c r="A566" s="1" t="s">
        <v>1621</v>
      </c>
      <c r="B566" s="1" t="s">
        <v>1622</v>
      </c>
      <c r="C566" s="1">
        <v>1702</v>
      </c>
      <c r="D566" s="1">
        <v>2</v>
      </c>
      <c r="F566" s="1">
        <v>2023</v>
      </c>
      <c r="G566" s="1" t="s">
        <v>1005</v>
      </c>
      <c r="H566" s="1">
        <v>607360</v>
      </c>
      <c r="I566" s="1">
        <v>5</v>
      </c>
      <c r="K566" s="1" t="s">
        <v>839</v>
      </c>
      <c r="L566" s="1" t="s">
        <v>1623</v>
      </c>
      <c r="M566" s="1">
        <v>17</v>
      </c>
      <c r="N566" s="1" t="s">
        <v>39</v>
      </c>
      <c r="O566" s="1">
        <v>43.642499999999998</v>
      </c>
      <c r="P566" s="1">
        <v>-83.843100000000007</v>
      </c>
      <c r="Q566" s="1" t="s">
        <v>1624</v>
      </c>
      <c r="R566" s="1" t="s">
        <v>41</v>
      </c>
      <c r="S566" s="1" t="s">
        <v>42</v>
      </c>
      <c r="T566" s="1" t="s">
        <v>89</v>
      </c>
      <c r="U566" s="1" t="s">
        <v>55</v>
      </c>
      <c r="V566" s="1" t="s">
        <v>94</v>
      </c>
      <c r="W566" s="1" t="s">
        <v>212</v>
      </c>
      <c r="X566" s="1" t="s">
        <v>563</v>
      </c>
      <c r="Y566" s="1" t="s">
        <v>232</v>
      </c>
      <c r="Z566" s="1" t="s">
        <v>214</v>
      </c>
      <c r="AA566" s="3">
        <v>20637</v>
      </c>
      <c r="AB566" s="1" t="s">
        <v>621</v>
      </c>
      <c r="AC566" s="5">
        <v>3100</v>
      </c>
      <c r="AD566" s="1" t="s">
        <v>1626</v>
      </c>
      <c r="AE566" s="1" t="str">
        <f t="shared" si="42"/>
        <v>1702 2</v>
      </c>
      <c r="AF566" s="5" t="str">
        <f t="shared" si="44"/>
        <v>265</v>
      </c>
      <c r="AG566" s="1" t="str">
        <f t="shared" si="41"/>
        <v>Y</v>
      </c>
    </row>
    <row r="567" spans="1:33" x14ac:dyDescent="0.2">
      <c r="A567" s="1" t="s">
        <v>1621</v>
      </c>
      <c r="B567" s="1" t="s">
        <v>1622</v>
      </c>
      <c r="C567" s="1">
        <v>1702</v>
      </c>
      <c r="D567" s="1">
        <v>3</v>
      </c>
      <c r="E567" s="1" t="s">
        <v>1627</v>
      </c>
      <c r="F567" s="1">
        <v>2023</v>
      </c>
      <c r="G567" s="1" t="s">
        <v>461</v>
      </c>
      <c r="H567" s="1">
        <v>607360</v>
      </c>
      <c r="I567" s="1">
        <v>5</v>
      </c>
      <c r="K567" s="1" t="s">
        <v>839</v>
      </c>
      <c r="L567" s="1" t="s">
        <v>1623</v>
      </c>
      <c r="M567" s="1">
        <v>17</v>
      </c>
      <c r="N567" s="1" t="s">
        <v>39</v>
      </c>
      <c r="O567" s="1">
        <v>43.642499999999998</v>
      </c>
      <c r="P567" s="1">
        <v>-83.843100000000007</v>
      </c>
      <c r="Q567" s="1" t="s">
        <v>1624</v>
      </c>
      <c r="R567" s="1" t="s">
        <v>41</v>
      </c>
      <c r="T567" s="1" t="s">
        <v>89</v>
      </c>
      <c r="U567" s="1" t="s">
        <v>44</v>
      </c>
      <c r="V567" s="1" t="s">
        <v>173</v>
      </c>
      <c r="X567" s="1" t="s">
        <v>90</v>
      </c>
      <c r="AA567" s="3">
        <v>27030</v>
      </c>
      <c r="AB567" s="1" t="s">
        <v>46</v>
      </c>
      <c r="AC567" s="5">
        <v>10856.4</v>
      </c>
      <c r="AD567" s="1" t="s">
        <v>1628</v>
      </c>
      <c r="AE567" s="1" t="str">
        <f t="shared" si="42"/>
        <v>1702 3</v>
      </c>
      <c r="AF567" s="5" t="str">
        <f t="shared" si="44"/>
        <v>605</v>
      </c>
      <c r="AG567" s="1" t="str">
        <f t="shared" si="41"/>
        <v/>
      </c>
    </row>
    <row r="568" spans="1:33" x14ac:dyDescent="0.2">
      <c r="A568" s="1" t="s">
        <v>1621</v>
      </c>
      <c r="B568" s="1" t="s">
        <v>1622</v>
      </c>
      <c r="C568" s="1">
        <v>1702</v>
      </c>
      <c r="D568" s="1">
        <v>4</v>
      </c>
      <c r="E568" s="1" t="s">
        <v>1627</v>
      </c>
      <c r="F568" s="1">
        <v>2023</v>
      </c>
      <c r="G568" s="1" t="s">
        <v>461</v>
      </c>
      <c r="H568" s="1">
        <v>607360</v>
      </c>
      <c r="I568" s="1">
        <v>5</v>
      </c>
      <c r="K568" s="1" t="s">
        <v>839</v>
      </c>
      <c r="L568" s="1" t="s">
        <v>1623</v>
      </c>
      <c r="M568" s="1">
        <v>17</v>
      </c>
      <c r="N568" s="1" t="s">
        <v>39</v>
      </c>
      <c r="O568" s="1">
        <v>43.642499999999998</v>
      </c>
      <c r="P568" s="1">
        <v>-83.843100000000007</v>
      </c>
      <c r="Q568" s="1" t="s">
        <v>1624</v>
      </c>
      <c r="R568" s="1" t="s">
        <v>41</v>
      </c>
      <c r="T568" s="1" t="s">
        <v>89</v>
      </c>
      <c r="U568" s="1" t="s">
        <v>44</v>
      </c>
      <c r="V568" s="1" t="s">
        <v>173</v>
      </c>
      <c r="X568" s="1" t="s">
        <v>90</v>
      </c>
      <c r="AA568" s="3">
        <v>28126</v>
      </c>
      <c r="AB568" s="1" t="s">
        <v>46</v>
      </c>
      <c r="AC568" s="5">
        <v>11475.5</v>
      </c>
      <c r="AD568" s="1" t="s">
        <v>1629</v>
      </c>
      <c r="AE568" s="1" t="str">
        <f t="shared" si="42"/>
        <v>1702 4</v>
      </c>
      <c r="AF568" s="5" t="str">
        <f t="shared" si="44"/>
        <v>626.3</v>
      </c>
      <c r="AG568" s="1" t="str">
        <f t="shared" si="41"/>
        <v/>
      </c>
    </row>
    <row r="569" spans="1:33" x14ac:dyDescent="0.2">
      <c r="A569" s="1" t="s">
        <v>1621</v>
      </c>
      <c r="B569" s="1" t="s">
        <v>1630</v>
      </c>
      <c r="C569" s="1">
        <v>1710</v>
      </c>
      <c r="D569" s="1">
        <v>1</v>
      </c>
      <c r="F569" s="1">
        <v>2023</v>
      </c>
      <c r="G569" s="1" t="s">
        <v>1005</v>
      </c>
      <c r="H569" s="1">
        <v>607360</v>
      </c>
      <c r="I569" s="1">
        <v>5</v>
      </c>
      <c r="K569" s="1" t="s">
        <v>1631</v>
      </c>
      <c r="L569" s="1" t="s">
        <v>1632</v>
      </c>
      <c r="M569" s="1">
        <v>139</v>
      </c>
      <c r="N569" s="1" t="s">
        <v>39</v>
      </c>
      <c r="O569" s="1">
        <v>42.910299999999999</v>
      </c>
      <c r="P569" s="1">
        <v>-86.203599999999994</v>
      </c>
      <c r="Q569" s="1" t="s">
        <v>1624</v>
      </c>
      <c r="R569" s="1" t="s">
        <v>120</v>
      </c>
      <c r="S569" s="1" t="s">
        <v>121</v>
      </c>
      <c r="T569" s="1" t="s">
        <v>43</v>
      </c>
      <c r="U569" s="1" t="s">
        <v>55</v>
      </c>
      <c r="W569" s="1" t="s">
        <v>1009</v>
      </c>
      <c r="X569" s="1" t="s">
        <v>213</v>
      </c>
      <c r="Y569" s="1" t="s">
        <v>232</v>
      </c>
      <c r="Z569" s="1" t="s">
        <v>214</v>
      </c>
      <c r="AA569" s="3">
        <v>22859</v>
      </c>
      <c r="AB569" s="1" t="s">
        <v>46</v>
      </c>
      <c r="AC569" s="5">
        <v>3237</v>
      </c>
      <c r="AD569" s="1" t="s">
        <v>1625</v>
      </c>
      <c r="AE569" s="1" t="str">
        <f t="shared" si="42"/>
        <v>1710 1</v>
      </c>
      <c r="AF569" s="5" t="str">
        <f t="shared" si="44"/>
        <v>265</v>
      </c>
      <c r="AG569" s="1" t="str">
        <f t="shared" si="41"/>
        <v/>
      </c>
    </row>
    <row r="570" spans="1:33" x14ac:dyDescent="0.2">
      <c r="A570" s="1" t="s">
        <v>1621</v>
      </c>
      <c r="B570" s="1" t="s">
        <v>1630</v>
      </c>
      <c r="C570" s="1">
        <v>1710</v>
      </c>
      <c r="D570" s="1">
        <v>2</v>
      </c>
      <c r="F570" s="1">
        <v>2023</v>
      </c>
      <c r="G570" s="1" t="s">
        <v>1005</v>
      </c>
      <c r="H570" s="1">
        <v>607360</v>
      </c>
      <c r="I570" s="1">
        <v>5</v>
      </c>
      <c r="K570" s="1" t="s">
        <v>1631</v>
      </c>
      <c r="L570" s="1" t="s">
        <v>1632</v>
      </c>
      <c r="M570" s="1">
        <v>139</v>
      </c>
      <c r="N570" s="1" t="s">
        <v>39</v>
      </c>
      <c r="O570" s="1">
        <v>42.910299999999999</v>
      </c>
      <c r="P570" s="1">
        <v>-86.203599999999994</v>
      </c>
      <c r="Q570" s="1" t="s">
        <v>1624</v>
      </c>
      <c r="R570" s="1" t="s">
        <v>120</v>
      </c>
      <c r="S570" s="1" t="s">
        <v>85</v>
      </c>
      <c r="T570" s="1" t="s">
        <v>86</v>
      </c>
      <c r="U570" s="1" t="s">
        <v>55</v>
      </c>
      <c r="W570" s="1" t="s">
        <v>1009</v>
      </c>
      <c r="X570" s="1" t="s">
        <v>1633</v>
      </c>
      <c r="Y570" s="1" t="s">
        <v>232</v>
      </c>
      <c r="Z570" s="1" t="s">
        <v>214</v>
      </c>
      <c r="AA570" s="3">
        <v>24593</v>
      </c>
      <c r="AB570" s="1" t="s">
        <v>46</v>
      </c>
      <c r="AC570" s="5">
        <v>4270</v>
      </c>
      <c r="AD570" s="1" t="s">
        <v>1634</v>
      </c>
      <c r="AE570" s="1" t="str">
        <f t="shared" si="42"/>
        <v>1710 2</v>
      </c>
      <c r="AF570" s="5" t="str">
        <f t="shared" si="44"/>
        <v>385</v>
      </c>
      <c r="AG570" s="1" t="str">
        <f t="shared" si="41"/>
        <v>Y</v>
      </c>
    </row>
    <row r="571" spans="1:33" x14ac:dyDescent="0.2">
      <c r="A571" s="1" t="s">
        <v>1621</v>
      </c>
      <c r="B571" s="1" t="s">
        <v>1630</v>
      </c>
      <c r="C571" s="1">
        <v>1710</v>
      </c>
      <c r="D571" s="1">
        <v>3</v>
      </c>
      <c r="F571" s="1">
        <v>2023</v>
      </c>
      <c r="G571" s="1" t="s">
        <v>1005</v>
      </c>
      <c r="H571" s="1">
        <v>607360</v>
      </c>
      <c r="I571" s="1">
        <v>5</v>
      </c>
      <c r="K571" s="1" t="s">
        <v>1631</v>
      </c>
      <c r="L571" s="1" t="s">
        <v>1632</v>
      </c>
      <c r="M571" s="1">
        <v>139</v>
      </c>
      <c r="N571" s="1" t="s">
        <v>39</v>
      </c>
      <c r="O571" s="1">
        <v>42.910299999999999</v>
      </c>
      <c r="P571" s="1">
        <v>-86.203599999999994</v>
      </c>
      <c r="Q571" s="1" t="s">
        <v>1635</v>
      </c>
      <c r="R571" s="1" t="s">
        <v>41</v>
      </c>
      <c r="S571" s="1" t="s">
        <v>42</v>
      </c>
      <c r="T571" s="1" t="s">
        <v>89</v>
      </c>
      <c r="U571" s="1" t="s">
        <v>55</v>
      </c>
      <c r="W571" s="1" t="s">
        <v>212</v>
      </c>
      <c r="X571" s="1" t="s">
        <v>563</v>
      </c>
      <c r="Y571" s="1" t="s">
        <v>232</v>
      </c>
      <c r="Z571" s="1" t="s">
        <v>214</v>
      </c>
      <c r="AA571" s="3">
        <v>29373</v>
      </c>
      <c r="AB571" s="1" t="s">
        <v>46</v>
      </c>
      <c r="AC571" s="5">
        <v>9909.7000000000007</v>
      </c>
      <c r="AD571" s="1" t="s">
        <v>1636</v>
      </c>
      <c r="AE571" s="1" t="str">
        <f t="shared" si="42"/>
        <v>1710 3</v>
      </c>
      <c r="AF571" s="5" t="str">
        <f t="shared" si="44"/>
        <v>871</v>
      </c>
      <c r="AG571" s="1" t="str">
        <f t="shared" si="41"/>
        <v>Y</v>
      </c>
    </row>
    <row r="572" spans="1:33" x14ac:dyDescent="0.2">
      <c r="A572" s="1" t="s">
        <v>1621</v>
      </c>
      <c r="B572" s="1" t="s">
        <v>1637</v>
      </c>
      <c r="C572" s="1">
        <v>1728</v>
      </c>
      <c r="D572" s="1" t="s">
        <v>1638</v>
      </c>
      <c r="F572" s="1">
        <v>2023</v>
      </c>
      <c r="G572" s="1" t="s">
        <v>461</v>
      </c>
      <c r="H572" s="1" t="s">
        <v>1639</v>
      </c>
      <c r="I572" s="1">
        <v>5</v>
      </c>
      <c r="K572" s="1" t="s">
        <v>1178</v>
      </c>
      <c r="L572" s="1" t="s">
        <v>1640</v>
      </c>
      <c r="M572" s="1">
        <v>163</v>
      </c>
      <c r="N572" s="1" t="s">
        <v>39</v>
      </c>
      <c r="O572" s="1">
        <v>42.294699999999999</v>
      </c>
      <c r="P572" s="1">
        <v>-83.101900000000001</v>
      </c>
      <c r="Q572" s="1" t="s">
        <v>1641</v>
      </c>
      <c r="R572" s="1" t="s">
        <v>41</v>
      </c>
      <c r="T572" s="1" t="s">
        <v>93</v>
      </c>
      <c r="U572" s="1" t="s">
        <v>44</v>
      </c>
      <c r="X572" s="1" t="s">
        <v>140</v>
      </c>
      <c r="AA572" s="3">
        <v>36406</v>
      </c>
      <c r="AB572" s="1" t="s">
        <v>46</v>
      </c>
      <c r="AC572" s="5">
        <v>1000</v>
      </c>
      <c r="AD572" s="1" t="s">
        <v>1642</v>
      </c>
      <c r="AE572" s="1" t="str">
        <f t="shared" si="42"/>
        <v>1728 CTG111</v>
      </c>
      <c r="AF572" s="5" t="str">
        <f t="shared" si="44"/>
        <v>76</v>
      </c>
      <c r="AG572" s="1" t="str">
        <f t="shared" si="41"/>
        <v/>
      </c>
    </row>
    <row r="573" spans="1:33" x14ac:dyDescent="0.2">
      <c r="A573" s="1" t="s">
        <v>1621</v>
      </c>
      <c r="B573" s="1" t="s">
        <v>1637</v>
      </c>
      <c r="C573" s="1">
        <v>1728</v>
      </c>
      <c r="D573" s="1" t="s">
        <v>1643</v>
      </c>
      <c r="F573" s="1">
        <v>2023</v>
      </c>
      <c r="G573" s="1" t="s">
        <v>461</v>
      </c>
      <c r="H573" s="1" t="s">
        <v>1639</v>
      </c>
      <c r="I573" s="1">
        <v>5</v>
      </c>
      <c r="K573" s="1" t="s">
        <v>1178</v>
      </c>
      <c r="L573" s="1" t="s">
        <v>1640</v>
      </c>
      <c r="M573" s="1">
        <v>163</v>
      </c>
      <c r="N573" s="1" t="s">
        <v>39</v>
      </c>
      <c r="O573" s="1">
        <v>42.294699999999999</v>
      </c>
      <c r="P573" s="1">
        <v>-83.101900000000001</v>
      </c>
      <c r="Q573" s="1" t="s">
        <v>1641</v>
      </c>
      <c r="R573" s="1" t="s">
        <v>41</v>
      </c>
      <c r="T573" s="1" t="s">
        <v>93</v>
      </c>
      <c r="U573" s="1" t="s">
        <v>44</v>
      </c>
      <c r="X573" s="1" t="s">
        <v>140</v>
      </c>
      <c r="AA573" s="3">
        <v>36508</v>
      </c>
      <c r="AB573" s="1" t="s">
        <v>46</v>
      </c>
      <c r="AC573" s="5">
        <v>950</v>
      </c>
      <c r="AD573" s="1" t="s">
        <v>1644</v>
      </c>
      <c r="AE573" s="1" t="str">
        <f t="shared" si="42"/>
        <v>1728 CTG121</v>
      </c>
      <c r="AF573" s="5" t="str">
        <f t="shared" si="44"/>
        <v>76</v>
      </c>
      <c r="AG573" s="1" t="str">
        <f t="shared" si="41"/>
        <v/>
      </c>
    </row>
    <row r="574" spans="1:33" x14ac:dyDescent="0.2">
      <c r="A574" s="1" t="s">
        <v>1621</v>
      </c>
      <c r="B574" s="1" t="s">
        <v>1645</v>
      </c>
      <c r="C574" s="1">
        <v>1730</v>
      </c>
      <c r="D574" s="1" t="s">
        <v>1643</v>
      </c>
      <c r="F574" s="1">
        <v>2023</v>
      </c>
      <c r="G574" s="1" t="s">
        <v>1020</v>
      </c>
      <c r="H574" s="1" t="s">
        <v>1639</v>
      </c>
      <c r="I574" s="1">
        <v>5</v>
      </c>
      <c r="J574" s="1" t="s">
        <v>169</v>
      </c>
      <c r="K574" s="1" t="s">
        <v>1646</v>
      </c>
      <c r="L574" s="1" t="s">
        <v>1647</v>
      </c>
      <c r="M574" s="1">
        <v>125</v>
      </c>
      <c r="N574" s="1" t="s">
        <v>39</v>
      </c>
      <c r="O574" s="1">
        <v>42.549700000000001</v>
      </c>
      <c r="P574" s="1">
        <v>-83.442499999999995</v>
      </c>
      <c r="Q574" s="1" t="s">
        <v>1641</v>
      </c>
      <c r="T574" s="1" t="s">
        <v>93</v>
      </c>
      <c r="U574" s="1" t="s">
        <v>44</v>
      </c>
      <c r="AA574" s="3">
        <v>25709</v>
      </c>
      <c r="AB574" s="1" t="s">
        <v>46</v>
      </c>
      <c r="AC574" s="5">
        <v>514.1</v>
      </c>
      <c r="AD574" s="1" t="s">
        <v>1648</v>
      </c>
      <c r="AE574" s="1" t="str">
        <f t="shared" si="42"/>
        <v>1730 CTG121</v>
      </c>
      <c r="AF574" s="5" t="str">
        <f t="shared" si="44"/>
        <v>41.9</v>
      </c>
      <c r="AG574" s="1" t="str">
        <f t="shared" si="41"/>
        <v/>
      </c>
    </row>
    <row r="575" spans="1:33" x14ac:dyDescent="0.2">
      <c r="A575" s="1" t="s">
        <v>1621</v>
      </c>
      <c r="B575" s="1" t="s">
        <v>1645</v>
      </c>
      <c r="C575" s="1">
        <v>1730</v>
      </c>
      <c r="D575" s="1" t="s">
        <v>1649</v>
      </c>
      <c r="F575" s="1">
        <v>2023</v>
      </c>
      <c r="G575" s="1" t="s">
        <v>1020</v>
      </c>
      <c r="H575" s="1" t="s">
        <v>1639</v>
      </c>
      <c r="I575" s="1">
        <v>5</v>
      </c>
      <c r="J575" s="1" t="s">
        <v>169</v>
      </c>
      <c r="K575" s="1" t="s">
        <v>1646</v>
      </c>
      <c r="L575" s="1" t="s">
        <v>1647</v>
      </c>
      <c r="M575" s="1">
        <v>125</v>
      </c>
      <c r="N575" s="1" t="s">
        <v>39</v>
      </c>
      <c r="O575" s="1">
        <v>42.549700000000001</v>
      </c>
      <c r="P575" s="1">
        <v>-83.442499999999995</v>
      </c>
      <c r="Q575" s="1" t="s">
        <v>1641</v>
      </c>
      <c r="T575" s="1" t="s">
        <v>93</v>
      </c>
      <c r="U575" s="1" t="s">
        <v>44</v>
      </c>
      <c r="AA575" s="3">
        <v>24227</v>
      </c>
      <c r="AB575" s="1" t="s">
        <v>46</v>
      </c>
      <c r="AC575" s="5">
        <v>514.1</v>
      </c>
      <c r="AD575" s="1" t="s">
        <v>1650</v>
      </c>
      <c r="AE575" s="1" t="str">
        <f t="shared" si="42"/>
        <v>1730 CTG122</v>
      </c>
      <c r="AF575" s="5" t="str">
        <f t="shared" si="44"/>
        <v>41.9</v>
      </c>
      <c r="AG575" s="1" t="str">
        <f t="shared" si="41"/>
        <v/>
      </c>
    </row>
    <row r="576" spans="1:33" x14ac:dyDescent="0.2">
      <c r="A576" s="1" t="s">
        <v>1621</v>
      </c>
      <c r="B576" s="1" t="s">
        <v>1651</v>
      </c>
      <c r="C576" s="1">
        <v>1733</v>
      </c>
      <c r="D576" s="1">
        <v>1</v>
      </c>
      <c r="F576" s="1">
        <v>2023</v>
      </c>
      <c r="G576" s="1" t="s">
        <v>1005</v>
      </c>
      <c r="H576" s="1" t="s">
        <v>1639</v>
      </c>
      <c r="I576" s="1">
        <v>5</v>
      </c>
      <c r="J576" s="1" t="s">
        <v>169</v>
      </c>
      <c r="K576" s="1" t="s">
        <v>1652</v>
      </c>
      <c r="L576" s="1" t="s">
        <v>1653</v>
      </c>
      <c r="M576" s="1">
        <v>115</v>
      </c>
      <c r="N576" s="1" t="s">
        <v>39</v>
      </c>
      <c r="O576" s="1">
        <v>41.8917</v>
      </c>
      <c r="P576" s="1">
        <v>-83.346100000000007</v>
      </c>
      <c r="Q576" s="1" t="s">
        <v>1641</v>
      </c>
      <c r="R576" s="1" t="s">
        <v>41</v>
      </c>
      <c r="S576" s="1" t="s">
        <v>85</v>
      </c>
      <c r="T576" s="1" t="s">
        <v>86</v>
      </c>
      <c r="U576" s="1" t="s">
        <v>55</v>
      </c>
      <c r="V576" s="1" t="s">
        <v>94</v>
      </c>
      <c r="W576" s="1" t="s">
        <v>56</v>
      </c>
      <c r="X576" s="1" t="s">
        <v>1633</v>
      </c>
      <c r="Y576" s="1" t="s">
        <v>58</v>
      </c>
      <c r="AA576" s="3">
        <v>25993</v>
      </c>
      <c r="AB576" s="1" t="s">
        <v>46</v>
      </c>
      <c r="AC576" s="5">
        <v>8000</v>
      </c>
      <c r="AD576" s="1" t="s">
        <v>1654</v>
      </c>
      <c r="AE576" s="1" t="str">
        <f t="shared" si="42"/>
        <v>1733 1</v>
      </c>
      <c r="AF576" s="5" t="str">
        <f t="shared" si="44"/>
        <v>817.2</v>
      </c>
      <c r="AG576" s="1" t="str">
        <f t="shared" si="41"/>
        <v>Y</v>
      </c>
    </row>
    <row r="577" spans="1:33" x14ac:dyDescent="0.2">
      <c r="A577" s="1" t="s">
        <v>1621</v>
      </c>
      <c r="B577" s="1" t="s">
        <v>1651</v>
      </c>
      <c r="C577" s="1">
        <v>1733</v>
      </c>
      <c r="D577" s="1">
        <v>2</v>
      </c>
      <c r="F577" s="1">
        <v>2023</v>
      </c>
      <c r="G577" s="1" t="s">
        <v>1005</v>
      </c>
      <c r="H577" s="1" t="s">
        <v>1639</v>
      </c>
      <c r="I577" s="1">
        <v>5</v>
      </c>
      <c r="J577" s="1" t="s">
        <v>169</v>
      </c>
      <c r="K577" s="1" t="s">
        <v>1652</v>
      </c>
      <c r="L577" s="1" t="s">
        <v>1653</v>
      </c>
      <c r="M577" s="1">
        <v>115</v>
      </c>
      <c r="N577" s="1" t="s">
        <v>39</v>
      </c>
      <c r="O577" s="1">
        <v>41.8917</v>
      </c>
      <c r="P577" s="1">
        <v>-83.346100000000007</v>
      </c>
      <c r="Q577" s="1" t="s">
        <v>1641</v>
      </c>
      <c r="R577" s="1" t="s">
        <v>41</v>
      </c>
      <c r="S577" s="1" t="s">
        <v>85</v>
      </c>
      <c r="T577" s="1" t="s">
        <v>86</v>
      </c>
      <c r="U577" s="1" t="s">
        <v>55</v>
      </c>
      <c r="V577" s="1" t="s">
        <v>94</v>
      </c>
      <c r="W577" s="1" t="s">
        <v>56</v>
      </c>
      <c r="X577" s="1" t="s">
        <v>1633</v>
      </c>
      <c r="Y577" s="1" t="s">
        <v>58</v>
      </c>
      <c r="AA577" s="3">
        <v>26634</v>
      </c>
      <c r="AB577" s="1" t="s">
        <v>46</v>
      </c>
      <c r="AC577" s="5">
        <v>8220</v>
      </c>
      <c r="AD577" s="1" t="s">
        <v>1655</v>
      </c>
      <c r="AE577" s="1" t="str">
        <f t="shared" si="42"/>
        <v>1733 2</v>
      </c>
      <c r="AF577" s="5" t="str">
        <f t="shared" si="44"/>
        <v>822.6</v>
      </c>
      <c r="AG577" s="1" t="str">
        <f t="shared" si="41"/>
        <v>Y</v>
      </c>
    </row>
    <row r="578" spans="1:33" x14ac:dyDescent="0.2">
      <c r="A578" s="1" t="s">
        <v>1621</v>
      </c>
      <c r="B578" s="1" t="s">
        <v>1651</v>
      </c>
      <c r="C578" s="1">
        <v>1733</v>
      </c>
      <c r="D578" s="1">
        <v>3</v>
      </c>
      <c r="F578" s="1">
        <v>2023</v>
      </c>
      <c r="G578" s="1" t="s">
        <v>1005</v>
      </c>
      <c r="H578" s="1" t="s">
        <v>1639</v>
      </c>
      <c r="I578" s="1">
        <v>5</v>
      </c>
      <c r="J578" s="1" t="s">
        <v>169</v>
      </c>
      <c r="K578" s="1" t="s">
        <v>1652</v>
      </c>
      <c r="L578" s="1" t="s">
        <v>1653</v>
      </c>
      <c r="M578" s="1">
        <v>115</v>
      </c>
      <c r="N578" s="1" t="s">
        <v>39</v>
      </c>
      <c r="O578" s="1">
        <v>41.8917</v>
      </c>
      <c r="P578" s="1">
        <v>-83.346100000000007</v>
      </c>
      <c r="Q578" s="1" t="s">
        <v>1641</v>
      </c>
      <c r="R578" s="1" t="s">
        <v>41</v>
      </c>
      <c r="S578" s="1" t="s">
        <v>85</v>
      </c>
      <c r="T578" s="1" t="s">
        <v>86</v>
      </c>
      <c r="U578" s="1" t="s">
        <v>55</v>
      </c>
      <c r="V578" s="1" t="s">
        <v>94</v>
      </c>
      <c r="W578" s="1" t="s">
        <v>56</v>
      </c>
      <c r="X578" s="1" t="s">
        <v>1633</v>
      </c>
      <c r="Y578" s="1" t="s">
        <v>58</v>
      </c>
      <c r="AA578" s="3">
        <v>26696</v>
      </c>
      <c r="AB578" s="1" t="s">
        <v>46</v>
      </c>
      <c r="AC578" s="5">
        <v>8200</v>
      </c>
      <c r="AD578" s="1" t="s">
        <v>1656</v>
      </c>
      <c r="AE578" s="1" t="str">
        <f t="shared" si="42"/>
        <v>1733 3</v>
      </c>
      <c r="AF578" s="5" t="str">
        <f t="shared" si="44"/>
        <v>822.6</v>
      </c>
      <c r="AG578" s="1" t="str">
        <f t="shared" ref="AG578:AG641" si="45">IF(ISNUMBER(SEARCH("selective", X578)), "Y", "")</f>
        <v>Y</v>
      </c>
    </row>
    <row r="579" spans="1:33" x14ac:dyDescent="0.2">
      <c r="A579" s="1" t="s">
        <v>1621</v>
      </c>
      <c r="B579" s="1" t="s">
        <v>1651</v>
      </c>
      <c r="C579" s="1">
        <v>1733</v>
      </c>
      <c r="D579" s="1">
        <v>4</v>
      </c>
      <c r="F579" s="1">
        <v>2023</v>
      </c>
      <c r="G579" s="1" t="s">
        <v>1005</v>
      </c>
      <c r="H579" s="1" t="s">
        <v>1639</v>
      </c>
      <c r="I579" s="1">
        <v>5</v>
      </c>
      <c r="J579" s="1" t="s">
        <v>169</v>
      </c>
      <c r="K579" s="1" t="s">
        <v>1652</v>
      </c>
      <c r="L579" s="1" t="s">
        <v>1653</v>
      </c>
      <c r="M579" s="1">
        <v>115</v>
      </c>
      <c r="N579" s="1" t="s">
        <v>39</v>
      </c>
      <c r="O579" s="1">
        <v>41.8917</v>
      </c>
      <c r="P579" s="1">
        <v>-83.346100000000007</v>
      </c>
      <c r="Q579" s="1" t="s">
        <v>1641</v>
      </c>
      <c r="R579" s="1" t="s">
        <v>41</v>
      </c>
      <c r="S579" s="1" t="s">
        <v>85</v>
      </c>
      <c r="T579" s="1" t="s">
        <v>86</v>
      </c>
      <c r="U579" s="1" t="s">
        <v>55</v>
      </c>
      <c r="V579" s="1" t="s">
        <v>94</v>
      </c>
      <c r="W579" s="1" t="s">
        <v>56</v>
      </c>
      <c r="X579" s="1" t="s">
        <v>1633</v>
      </c>
      <c r="Y579" s="1" t="s">
        <v>58</v>
      </c>
      <c r="AA579" s="3">
        <v>27061</v>
      </c>
      <c r="AB579" s="1" t="s">
        <v>46</v>
      </c>
      <c r="AC579" s="5">
        <v>8005</v>
      </c>
      <c r="AD579" s="1" t="s">
        <v>1657</v>
      </c>
      <c r="AE579" s="1" t="str">
        <f t="shared" ref="AE579:AE642" si="46">C579&amp;" "&amp;D579</f>
        <v>1733 4</v>
      </c>
      <c r="AF579" s="5" t="str">
        <f t="shared" si="44"/>
        <v>817.2</v>
      </c>
      <c r="AG579" s="1" t="str">
        <f t="shared" si="45"/>
        <v>Y</v>
      </c>
    </row>
    <row r="580" spans="1:33" x14ac:dyDescent="0.2">
      <c r="A580" s="1" t="s">
        <v>1621</v>
      </c>
      <c r="B580" s="1" t="s">
        <v>1658</v>
      </c>
      <c r="C580" s="1">
        <v>1866</v>
      </c>
      <c r="D580" s="1">
        <v>5</v>
      </c>
      <c r="F580" s="1">
        <v>2023</v>
      </c>
      <c r="G580" s="1" t="s">
        <v>461</v>
      </c>
      <c r="H580" s="1">
        <v>609379</v>
      </c>
      <c r="I580" s="1">
        <v>5</v>
      </c>
      <c r="J580" s="1" t="s">
        <v>169</v>
      </c>
      <c r="K580" s="1" t="s">
        <v>1178</v>
      </c>
      <c r="L580" s="1" t="s">
        <v>1640</v>
      </c>
      <c r="M580" s="1">
        <v>163</v>
      </c>
      <c r="N580" s="1" t="s">
        <v>39</v>
      </c>
      <c r="O580" s="1">
        <v>42.208100000000002</v>
      </c>
      <c r="P580" s="1">
        <v>-83.145300000000006</v>
      </c>
      <c r="Q580" s="1" t="s">
        <v>1659</v>
      </c>
      <c r="R580" s="1" t="s">
        <v>41</v>
      </c>
      <c r="T580" s="1" t="s">
        <v>1660</v>
      </c>
      <c r="U580" s="1" t="s">
        <v>44</v>
      </c>
      <c r="AA580" s="3">
        <v>21337</v>
      </c>
      <c r="AB580" s="1" t="s">
        <v>46</v>
      </c>
      <c r="AC580" s="5">
        <v>260</v>
      </c>
      <c r="AD580" s="1" t="s">
        <v>1661</v>
      </c>
      <c r="AE580" s="1" t="str">
        <f t="shared" si="46"/>
        <v>1866 5</v>
      </c>
      <c r="AF580" s="14">
        <f>MID(AD580,FIND("(",AD580)+1,FIND(")",AD580)-FIND("(",AD580)-1)/2+7.5/2+11.5/2+32/2</f>
        <v>36.5</v>
      </c>
      <c r="AG580" s="1" t="str">
        <f t="shared" si="45"/>
        <v/>
      </c>
    </row>
    <row r="581" spans="1:33" x14ac:dyDescent="0.2">
      <c r="A581" s="1" t="s">
        <v>1621</v>
      </c>
      <c r="B581" s="1" t="s">
        <v>1658</v>
      </c>
      <c r="C581" s="1">
        <v>1866</v>
      </c>
      <c r="D581" s="1">
        <v>7</v>
      </c>
      <c r="F581" s="1">
        <v>2023</v>
      </c>
      <c r="G581" s="1" t="s">
        <v>461</v>
      </c>
      <c r="H581" s="1">
        <v>609379</v>
      </c>
      <c r="I581" s="1">
        <v>5</v>
      </c>
      <c r="J581" s="1" t="s">
        <v>169</v>
      </c>
      <c r="K581" s="1" t="s">
        <v>1178</v>
      </c>
      <c r="L581" s="1" t="s">
        <v>1640</v>
      </c>
      <c r="M581" s="1">
        <v>163</v>
      </c>
      <c r="N581" s="1" t="s">
        <v>39</v>
      </c>
      <c r="O581" s="1">
        <v>42.208100000000002</v>
      </c>
      <c r="P581" s="1">
        <v>-83.145300000000006</v>
      </c>
      <c r="Q581" s="1" t="s">
        <v>1659</v>
      </c>
      <c r="R581" s="1" t="s">
        <v>41</v>
      </c>
      <c r="S581" s="1" t="s">
        <v>42</v>
      </c>
      <c r="T581" s="1" t="s">
        <v>89</v>
      </c>
      <c r="U581" s="1" t="s">
        <v>44</v>
      </c>
      <c r="X581" s="1" t="s">
        <v>90</v>
      </c>
      <c r="Y581" s="1" t="s">
        <v>58</v>
      </c>
      <c r="AA581" s="3">
        <v>30147</v>
      </c>
      <c r="AB581" s="1" t="s">
        <v>46</v>
      </c>
      <c r="AC581" s="5">
        <v>439</v>
      </c>
      <c r="AD581" s="1" t="s">
        <v>1662</v>
      </c>
      <c r="AE581" s="1" t="str">
        <f t="shared" si="46"/>
        <v>1866 7</v>
      </c>
      <c r="AF581" s="14">
        <f>AF580</f>
        <v>36.5</v>
      </c>
      <c r="AG581" s="1" t="str">
        <f t="shared" si="45"/>
        <v/>
      </c>
    </row>
    <row r="582" spans="1:33" x14ac:dyDescent="0.2">
      <c r="A582" s="1" t="s">
        <v>1663</v>
      </c>
      <c r="B582" s="1" t="s">
        <v>1664</v>
      </c>
      <c r="C582" s="1">
        <v>1891</v>
      </c>
      <c r="D582" s="1">
        <v>1</v>
      </c>
      <c r="E582" s="1" t="s">
        <v>1665</v>
      </c>
      <c r="F582" s="1">
        <v>2023</v>
      </c>
      <c r="G582" s="1" t="s">
        <v>1666</v>
      </c>
      <c r="H582" s="1">
        <v>610522</v>
      </c>
      <c r="I582" s="1">
        <v>5</v>
      </c>
      <c r="J582" s="1" t="s">
        <v>207</v>
      </c>
      <c r="K582" s="1" t="s">
        <v>1667</v>
      </c>
      <c r="L582" s="1" t="s">
        <v>1668</v>
      </c>
      <c r="M582" s="1">
        <v>137</v>
      </c>
      <c r="N582" s="1" t="s">
        <v>39</v>
      </c>
      <c r="O582" s="1">
        <v>47.5306</v>
      </c>
      <c r="P582" s="1">
        <v>-92.161900000000003</v>
      </c>
      <c r="Q582" s="1" t="s">
        <v>1669</v>
      </c>
      <c r="R582" s="1" t="s">
        <v>41</v>
      </c>
      <c r="S582" s="1" t="s">
        <v>42</v>
      </c>
      <c r="T582" s="1" t="s">
        <v>43</v>
      </c>
      <c r="U582" s="1" t="s">
        <v>284</v>
      </c>
      <c r="X582" s="1" t="s">
        <v>242</v>
      </c>
      <c r="AA582" s="3">
        <v>19478</v>
      </c>
      <c r="AB582" s="1" t="s">
        <v>46</v>
      </c>
      <c r="AC582" s="5">
        <v>660</v>
      </c>
      <c r="AD582" s="1" t="s">
        <v>1670</v>
      </c>
      <c r="AE582" s="1" t="str">
        <f t="shared" si="46"/>
        <v>1891 1</v>
      </c>
      <c r="AF582" s="5" t="str">
        <f t="shared" ref="AF582:AF587" si="47">MID(AD582,FIND("(",AD582)+1,FIND(")",AD582)-FIND("(",AD582)-1)</f>
        <v>58</v>
      </c>
      <c r="AG582" s="1" t="str">
        <f t="shared" si="45"/>
        <v/>
      </c>
    </row>
    <row r="583" spans="1:33" x14ac:dyDescent="0.2">
      <c r="A583" s="1" t="s">
        <v>1663</v>
      </c>
      <c r="B583" s="1" t="s">
        <v>1664</v>
      </c>
      <c r="C583" s="1">
        <v>1891</v>
      </c>
      <c r="D583" s="1">
        <v>2</v>
      </c>
      <c r="E583" s="1" t="s">
        <v>1665</v>
      </c>
      <c r="F583" s="1">
        <v>2023</v>
      </c>
      <c r="G583" s="1" t="s">
        <v>1666</v>
      </c>
      <c r="H583" s="1">
        <v>610522</v>
      </c>
      <c r="I583" s="1">
        <v>5</v>
      </c>
      <c r="J583" s="1" t="s">
        <v>207</v>
      </c>
      <c r="K583" s="1" t="s">
        <v>1667</v>
      </c>
      <c r="L583" s="1" t="s">
        <v>1668</v>
      </c>
      <c r="M583" s="1">
        <v>137</v>
      </c>
      <c r="N583" s="1" t="s">
        <v>39</v>
      </c>
      <c r="O583" s="1">
        <v>47.5306</v>
      </c>
      <c r="P583" s="1">
        <v>-92.161900000000003</v>
      </c>
      <c r="Q583" s="1" t="s">
        <v>1669</v>
      </c>
      <c r="R583" s="1" t="s">
        <v>41</v>
      </c>
      <c r="S583" s="1" t="s">
        <v>42</v>
      </c>
      <c r="T583" s="1" t="s">
        <v>43</v>
      </c>
      <c r="U583" s="1" t="s">
        <v>284</v>
      </c>
      <c r="X583" s="1" t="s">
        <v>242</v>
      </c>
      <c r="AA583" s="3">
        <v>19600</v>
      </c>
      <c r="AB583" s="1" t="s">
        <v>46</v>
      </c>
      <c r="AC583" s="5">
        <v>660</v>
      </c>
      <c r="AD583" s="1" t="s">
        <v>1671</v>
      </c>
      <c r="AE583" s="1" t="str">
        <f t="shared" si="46"/>
        <v>1891 2</v>
      </c>
      <c r="AF583" s="5" t="str">
        <f t="shared" si="47"/>
        <v>58</v>
      </c>
      <c r="AG583" s="1" t="str">
        <f t="shared" si="45"/>
        <v/>
      </c>
    </row>
    <row r="584" spans="1:33" x14ac:dyDescent="0.2">
      <c r="A584" s="1" t="s">
        <v>1663</v>
      </c>
      <c r="B584" s="1" t="s">
        <v>1672</v>
      </c>
      <c r="C584" s="1">
        <v>1893</v>
      </c>
      <c r="D584" s="1">
        <v>3</v>
      </c>
      <c r="F584" s="1">
        <v>2023</v>
      </c>
      <c r="G584" s="1" t="s">
        <v>205</v>
      </c>
      <c r="H584" s="1">
        <v>610522</v>
      </c>
      <c r="I584" s="1">
        <v>5</v>
      </c>
      <c r="J584" s="1" t="s">
        <v>207</v>
      </c>
      <c r="K584" s="1" t="s">
        <v>1673</v>
      </c>
      <c r="L584" s="1" t="s">
        <v>1674</v>
      </c>
      <c r="M584" s="1">
        <v>61</v>
      </c>
      <c r="N584" s="1" t="s">
        <v>39</v>
      </c>
      <c r="O584" s="1">
        <v>47.260300000000001</v>
      </c>
      <c r="P584" s="1">
        <v>-93.653099999999995</v>
      </c>
      <c r="Q584" s="1" t="s">
        <v>1669</v>
      </c>
      <c r="R584" s="1" t="s">
        <v>41</v>
      </c>
      <c r="S584" s="1" t="s">
        <v>211</v>
      </c>
      <c r="T584" s="1" t="s">
        <v>43</v>
      </c>
      <c r="U584" s="1" t="s">
        <v>55</v>
      </c>
      <c r="V584" s="1" t="s">
        <v>44</v>
      </c>
      <c r="W584" s="1" t="s">
        <v>56</v>
      </c>
      <c r="X584" s="1" t="s">
        <v>855</v>
      </c>
      <c r="Y584" s="1" t="s">
        <v>232</v>
      </c>
      <c r="Z584" s="1" t="s">
        <v>344</v>
      </c>
      <c r="AA584" s="3">
        <v>26696</v>
      </c>
      <c r="AB584" s="1" t="s">
        <v>46</v>
      </c>
      <c r="AC584" s="5">
        <v>4500</v>
      </c>
      <c r="AD584" s="1" t="s">
        <v>1675</v>
      </c>
      <c r="AE584" s="1" t="str">
        <f t="shared" si="46"/>
        <v>1893 3</v>
      </c>
      <c r="AF584" s="5" t="str">
        <f t="shared" si="47"/>
        <v>364.5</v>
      </c>
      <c r="AG584" s="1" t="str">
        <f t="shared" si="45"/>
        <v>Y</v>
      </c>
    </row>
    <row r="585" spans="1:33" x14ac:dyDescent="0.2">
      <c r="A585" s="1" t="s">
        <v>1663</v>
      </c>
      <c r="B585" s="1" t="s">
        <v>1672</v>
      </c>
      <c r="C585" s="1">
        <v>1893</v>
      </c>
      <c r="D585" s="1">
        <v>4</v>
      </c>
      <c r="F585" s="1">
        <v>2023</v>
      </c>
      <c r="G585" s="1" t="s">
        <v>205</v>
      </c>
      <c r="H585" s="1">
        <v>610522</v>
      </c>
      <c r="I585" s="1">
        <v>5</v>
      </c>
      <c r="J585" s="1" t="s">
        <v>207</v>
      </c>
      <c r="K585" s="1" t="s">
        <v>1673</v>
      </c>
      <c r="L585" s="1" t="s">
        <v>1674</v>
      </c>
      <c r="M585" s="1">
        <v>61</v>
      </c>
      <c r="N585" s="1" t="s">
        <v>39</v>
      </c>
      <c r="O585" s="1">
        <v>47.260300000000001</v>
      </c>
      <c r="P585" s="1">
        <v>-93.653099999999995</v>
      </c>
      <c r="Q585" s="1" t="s">
        <v>1676</v>
      </c>
      <c r="R585" s="1" t="s">
        <v>41</v>
      </c>
      <c r="S585" s="1" t="s">
        <v>42</v>
      </c>
      <c r="T585" s="1" t="s">
        <v>43</v>
      </c>
      <c r="U585" s="1" t="s">
        <v>55</v>
      </c>
      <c r="W585" s="1" t="s">
        <v>1009</v>
      </c>
      <c r="X585" s="1" t="s">
        <v>1677</v>
      </c>
      <c r="Y585" s="1" t="s">
        <v>232</v>
      </c>
      <c r="Z585" s="1" t="s">
        <v>214</v>
      </c>
      <c r="AA585" s="3">
        <v>29342</v>
      </c>
      <c r="AB585" s="1" t="s">
        <v>46</v>
      </c>
      <c r="AC585" s="5">
        <v>7000</v>
      </c>
      <c r="AD585" s="1" t="s">
        <v>1678</v>
      </c>
      <c r="AE585" s="1" t="str">
        <f t="shared" si="46"/>
        <v>1893 4</v>
      </c>
      <c r="AF585" s="5" t="str">
        <f t="shared" si="47"/>
        <v>558</v>
      </c>
      <c r="AG585" s="1" t="str">
        <f t="shared" si="45"/>
        <v>Y</v>
      </c>
    </row>
    <row r="586" spans="1:33" x14ac:dyDescent="0.2">
      <c r="A586" s="1" t="s">
        <v>1663</v>
      </c>
      <c r="B586" s="1" t="s">
        <v>1679</v>
      </c>
      <c r="C586" s="1">
        <v>1897</v>
      </c>
      <c r="D586" s="1">
        <v>3</v>
      </c>
      <c r="E586" s="1" t="s">
        <v>1665</v>
      </c>
      <c r="F586" s="1">
        <v>2023</v>
      </c>
      <c r="G586" s="1" t="s">
        <v>1666</v>
      </c>
      <c r="H586" s="1">
        <v>610522</v>
      </c>
      <c r="I586" s="1">
        <v>5</v>
      </c>
      <c r="J586" s="1" t="s">
        <v>207</v>
      </c>
      <c r="K586" s="1" t="s">
        <v>1667</v>
      </c>
      <c r="L586" s="1" t="s">
        <v>1668</v>
      </c>
      <c r="M586" s="1">
        <v>137</v>
      </c>
      <c r="N586" s="1" t="s">
        <v>1680</v>
      </c>
      <c r="O586" s="1">
        <v>46.735599999999998</v>
      </c>
      <c r="P586" s="1">
        <v>-92.153099999999995</v>
      </c>
      <c r="Q586" s="1" t="s">
        <v>1669</v>
      </c>
      <c r="R586" s="1" t="s">
        <v>41</v>
      </c>
      <c r="T586" s="1" t="s">
        <v>1660</v>
      </c>
      <c r="U586" s="1" t="s">
        <v>657</v>
      </c>
      <c r="V586" s="1" t="s">
        <v>55</v>
      </c>
      <c r="Y586" s="1" t="s">
        <v>58</v>
      </c>
      <c r="AA586" s="3">
        <v>18080</v>
      </c>
      <c r="AB586" s="1" t="s">
        <v>46</v>
      </c>
      <c r="AC586" s="5">
        <v>686</v>
      </c>
      <c r="AD586" s="1" t="s">
        <v>1681</v>
      </c>
      <c r="AE586" s="1" t="str">
        <f t="shared" si="46"/>
        <v>1897 3</v>
      </c>
      <c r="AF586" s="5" t="str">
        <f t="shared" si="47"/>
        <v>35.3</v>
      </c>
      <c r="AG586" s="1" t="str">
        <f t="shared" si="45"/>
        <v/>
      </c>
    </row>
    <row r="587" spans="1:33" x14ac:dyDescent="0.2">
      <c r="A587" s="1" t="s">
        <v>1663</v>
      </c>
      <c r="B587" s="1" t="s">
        <v>1679</v>
      </c>
      <c r="C587" s="1">
        <v>1897</v>
      </c>
      <c r="D587" s="1">
        <v>4</v>
      </c>
      <c r="E587" s="1" t="s">
        <v>1665</v>
      </c>
      <c r="F587" s="1">
        <v>2023</v>
      </c>
      <c r="G587" s="1" t="s">
        <v>1666</v>
      </c>
      <c r="H587" s="1">
        <v>610522</v>
      </c>
      <c r="I587" s="1">
        <v>5</v>
      </c>
      <c r="J587" s="1" t="s">
        <v>207</v>
      </c>
      <c r="K587" s="1" t="s">
        <v>1667</v>
      </c>
      <c r="L587" s="1" t="s">
        <v>1668</v>
      </c>
      <c r="M587" s="1">
        <v>137</v>
      </c>
      <c r="N587" s="1" t="s">
        <v>1680</v>
      </c>
      <c r="O587" s="1">
        <v>46.735599999999998</v>
      </c>
      <c r="P587" s="1">
        <v>-92.153099999999995</v>
      </c>
      <c r="Q587" s="1" t="s">
        <v>1669</v>
      </c>
      <c r="R587" s="1" t="s">
        <v>41</v>
      </c>
      <c r="T587" s="1" t="s">
        <v>1660</v>
      </c>
      <c r="U587" s="1" t="s">
        <v>657</v>
      </c>
      <c r="V587" s="1" t="s">
        <v>55</v>
      </c>
      <c r="Y587" s="1" t="s">
        <v>58</v>
      </c>
      <c r="AA587" s="3">
        <v>18688</v>
      </c>
      <c r="AB587" s="1" t="s">
        <v>46</v>
      </c>
      <c r="AC587" s="5">
        <v>661</v>
      </c>
      <c r="AD587" s="1" t="s">
        <v>1682</v>
      </c>
      <c r="AE587" s="1" t="str">
        <f t="shared" si="46"/>
        <v>1897 4</v>
      </c>
      <c r="AF587" s="5" t="str">
        <f t="shared" si="47"/>
        <v>37.5</v>
      </c>
      <c r="AG587" s="1" t="str">
        <f t="shared" si="45"/>
        <v/>
      </c>
    </row>
    <row r="588" spans="1:33" x14ac:dyDescent="0.2">
      <c r="A588" s="1" t="s">
        <v>1663</v>
      </c>
      <c r="B588" s="1" t="s">
        <v>1683</v>
      </c>
      <c r="C588" s="1">
        <v>1904</v>
      </c>
      <c r="D588" s="1">
        <v>5</v>
      </c>
      <c r="F588" s="1">
        <v>2023</v>
      </c>
      <c r="G588" s="1" t="s">
        <v>1666</v>
      </c>
      <c r="H588" s="1">
        <v>608123</v>
      </c>
      <c r="I588" s="1">
        <v>5</v>
      </c>
      <c r="J588" s="1" t="s">
        <v>207</v>
      </c>
      <c r="K588" s="1" t="s">
        <v>1684</v>
      </c>
      <c r="L588" s="1" t="s">
        <v>1685</v>
      </c>
      <c r="M588" s="1">
        <v>37</v>
      </c>
      <c r="N588" s="1" t="s">
        <v>39</v>
      </c>
      <c r="O588" s="1">
        <v>44.8108</v>
      </c>
      <c r="P588" s="1">
        <v>-93.250100000000003</v>
      </c>
      <c r="Q588" s="1" t="s">
        <v>1686</v>
      </c>
      <c r="R588" s="1" t="s">
        <v>41</v>
      </c>
      <c r="T588" s="1" t="s">
        <v>71</v>
      </c>
      <c r="U588" s="1" t="s">
        <v>44</v>
      </c>
      <c r="X588" s="1" t="s">
        <v>223</v>
      </c>
      <c r="AA588" s="3">
        <v>37421</v>
      </c>
      <c r="AB588" s="1" t="s">
        <v>46</v>
      </c>
      <c r="AC588" s="5">
        <v>2900</v>
      </c>
      <c r="AD588" s="1" t="s">
        <v>1687</v>
      </c>
      <c r="AE588" s="1" t="str">
        <f t="shared" si="46"/>
        <v>1904 5</v>
      </c>
      <c r="AF588" s="14">
        <f>MID(AD588,FIND("(",AD588)+1,FIND(")",AD588)-FIND("(",AD588)-1)+137+187.9</f>
        <v>461.9</v>
      </c>
      <c r="AG588" s="1" t="str">
        <f t="shared" si="45"/>
        <v>Y</v>
      </c>
    </row>
    <row r="589" spans="1:33" x14ac:dyDescent="0.2">
      <c r="A589" s="1" t="s">
        <v>1663</v>
      </c>
      <c r="B589" s="1" t="s">
        <v>1683</v>
      </c>
      <c r="C589" s="1">
        <v>1904</v>
      </c>
      <c r="D589" s="1">
        <v>6</v>
      </c>
      <c r="F589" s="1">
        <v>2023</v>
      </c>
      <c r="G589" s="1" t="s">
        <v>1666</v>
      </c>
      <c r="H589" s="1">
        <v>608123</v>
      </c>
      <c r="I589" s="1">
        <v>5</v>
      </c>
      <c r="J589" s="1" t="s">
        <v>207</v>
      </c>
      <c r="K589" s="1" t="s">
        <v>1684</v>
      </c>
      <c r="L589" s="1" t="s">
        <v>1685</v>
      </c>
      <c r="M589" s="1">
        <v>37</v>
      </c>
      <c r="N589" s="1" t="s">
        <v>39</v>
      </c>
      <c r="O589" s="1">
        <v>44.8108</v>
      </c>
      <c r="P589" s="1">
        <v>-93.250100000000003</v>
      </c>
      <c r="Q589" s="1" t="s">
        <v>1686</v>
      </c>
      <c r="R589" s="1" t="s">
        <v>41</v>
      </c>
      <c r="T589" s="1" t="s">
        <v>93</v>
      </c>
      <c r="U589" s="1" t="s">
        <v>44</v>
      </c>
      <c r="X589" s="12"/>
      <c r="AA589" s="3">
        <v>43180</v>
      </c>
      <c r="AB589" s="1" t="s">
        <v>46</v>
      </c>
      <c r="AC589" s="5">
        <v>2420</v>
      </c>
      <c r="AD589" s="1" t="s">
        <v>1688</v>
      </c>
      <c r="AE589" s="1" t="str">
        <f t="shared" si="46"/>
        <v>1904 6</v>
      </c>
      <c r="AF589" s="5" t="str">
        <f>MID(AD589,FIND("(",AD589)+1,FIND(")",AD589)-FIND("(",AD589)-1)</f>
        <v>215</v>
      </c>
      <c r="AG589" s="1" t="str">
        <f t="shared" si="45"/>
        <v/>
      </c>
    </row>
    <row r="590" spans="1:33" x14ac:dyDescent="0.2">
      <c r="A590" s="1" t="s">
        <v>1663</v>
      </c>
      <c r="B590" s="1" t="s">
        <v>1689</v>
      </c>
      <c r="C590" s="1">
        <v>1912</v>
      </c>
      <c r="D590" s="1">
        <v>7</v>
      </c>
      <c r="F590" s="1">
        <v>2023</v>
      </c>
      <c r="G590" s="1" t="s">
        <v>1666</v>
      </c>
      <c r="H590" s="1">
        <v>608123</v>
      </c>
      <c r="I590" s="1">
        <v>5</v>
      </c>
      <c r="J590" s="1" t="s">
        <v>207</v>
      </c>
      <c r="K590" s="1" t="s">
        <v>1690</v>
      </c>
      <c r="L590" s="1" t="s">
        <v>1691</v>
      </c>
      <c r="M590" s="1">
        <v>123</v>
      </c>
      <c r="N590" s="1" t="s">
        <v>39</v>
      </c>
      <c r="O590" s="1">
        <v>44.933100000000003</v>
      </c>
      <c r="P590" s="1">
        <v>-93.107500000000002</v>
      </c>
      <c r="Q590" s="1" t="s">
        <v>1692</v>
      </c>
      <c r="R590" s="1" t="s">
        <v>41</v>
      </c>
      <c r="T590" s="1" t="s">
        <v>71</v>
      </c>
      <c r="U590" s="1" t="s">
        <v>44</v>
      </c>
      <c r="X590" s="1" t="s">
        <v>64</v>
      </c>
      <c r="AA590" s="3">
        <v>39491</v>
      </c>
      <c r="AB590" s="1" t="s">
        <v>46</v>
      </c>
      <c r="AC590" s="5">
        <v>2400</v>
      </c>
      <c r="AD590" s="1" t="s">
        <v>1693</v>
      </c>
      <c r="AE590" s="1" t="str">
        <f t="shared" si="46"/>
        <v>1912 7</v>
      </c>
      <c r="AF590" s="14">
        <f>MID(AD590,FIND("(",AD590)+1,FIND(")",AD590)-FIND("(",AD590)-1)+250/2</f>
        <v>321</v>
      </c>
      <c r="AG590" s="1" t="str">
        <f t="shared" si="45"/>
        <v>Y</v>
      </c>
    </row>
    <row r="591" spans="1:33" x14ac:dyDescent="0.2">
      <c r="A591" s="1" t="s">
        <v>1663</v>
      </c>
      <c r="B591" s="1" t="s">
        <v>1689</v>
      </c>
      <c r="C591" s="1">
        <v>1912</v>
      </c>
      <c r="D591" s="1">
        <v>8</v>
      </c>
      <c r="F591" s="1">
        <v>2023</v>
      </c>
      <c r="G591" s="1" t="s">
        <v>1666</v>
      </c>
      <c r="H591" s="1">
        <v>608123</v>
      </c>
      <c r="I591" s="1">
        <v>5</v>
      </c>
      <c r="J591" s="1" t="s">
        <v>207</v>
      </c>
      <c r="K591" s="1" t="s">
        <v>1690</v>
      </c>
      <c r="L591" s="1" t="s">
        <v>1691</v>
      </c>
      <c r="M591" s="1">
        <v>123</v>
      </c>
      <c r="N591" s="1" t="s">
        <v>39</v>
      </c>
      <c r="O591" s="1">
        <v>44.933100000000003</v>
      </c>
      <c r="P591" s="1">
        <v>-93.107500000000002</v>
      </c>
      <c r="Q591" s="1" t="s">
        <v>1692</v>
      </c>
      <c r="R591" s="1" t="s">
        <v>41</v>
      </c>
      <c r="T591" s="1" t="s">
        <v>71</v>
      </c>
      <c r="U591" s="1" t="s">
        <v>44</v>
      </c>
      <c r="X591" s="1" t="s">
        <v>64</v>
      </c>
      <c r="AA591" s="3">
        <v>39505</v>
      </c>
      <c r="AB591" s="1" t="s">
        <v>46</v>
      </c>
      <c r="AC591" s="5">
        <v>2400</v>
      </c>
      <c r="AD591" s="1" t="s">
        <v>1694</v>
      </c>
      <c r="AE591" s="1" t="str">
        <f t="shared" si="46"/>
        <v>1912 8</v>
      </c>
      <c r="AF591" s="14">
        <f>AF590</f>
        <v>321</v>
      </c>
      <c r="AG591" s="1" t="str">
        <f t="shared" si="45"/>
        <v>Y</v>
      </c>
    </row>
    <row r="592" spans="1:33" x14ac:dyDescent="0.2">
      <c r="A592" s="1" t="s">
        <v>1663</v>
      </c>
      <c r="B592" s="1" t="s">
        <v>1695</v>
      </c>
      <c r="C592" s="1">
        <v>1913</v>
      </c>
      <c r="D592" s="1">
        <v>1</v>
      </c>
      <c r="F592" s="1">
        <v>2023</v>
      </c>
      <c r="G592" s="1" t="s">
        <v>1696</v>
      </c>
      <c r="H592" s="1">
        <v>608123</v>
      </c>
      <c r="I592" s="1">
        <v>5</v>
      </c>
      <c r="J592" s="1" t="s">
        <v>207</v>
      </c>
      <c r="K592" s="1" t="s">
        <v>1684</v>
      </c>
      <c r="L592" s="1" t="s">
        <v>1685</v>
      </c>
      <c r="M592" s="1">
        <v>37</v>
      </c>
      <c r="N592" s="1" t="s">
        <v>39</v>
      </c>
      <c r="O592" s="1">
        <v>44.780999999999999</v>
      </c>
      <c r="P592" s="1">
        <v>-93.042000000000002</v>
      </c>
      <c r="Q592" s="1" t="s">
        <v>1686</v>
      </c>
      <c r="T592" s="1" t="s">
        <v>93</v>
      </c>
      <c r="U592" s="1" t="s">
        <v>44</v>
      </c>
      <c r="V592" s="1" t="s">
        <v>94</v>
      </c>
      <c r="AA592" s="3">
        <v>26299</v>
      </c>
      <c r="AB592" s="1" t="s">
        <v>46</v>
      </c>
      <c r="AC592" s="5">
        <v>852.5</v>
      </c>
      <c r="AD592" s="1" t="s">
        <v>1697</v>
      </c>
      <c r="AE592" s="1" t="str">
        <f t="shared" si="46"/>
        <v>1913 1</v>
      </c>
      <c r="AF592" s="5" t="str">
        <f t="shared" ref="AF592:AF598" si="48">MID(AD592,FIND("(",AD592)+1,FIND(")",AD592)-FIND("(",AD592)-1)</f>
        <v>54.4</v>
      </c>
      <c r="AG592" s="1" t="str">
        <f t="shared" si="45"/>
        <v/>
      </c>
    </row>
    <row r="593" spans="1:33" x14ac:dyDescent="0.2">
      <c r="A593" s="1" t="s">
        <v>1663</v>
      </c>
      <c r="B593" s="1" t="s">
        <v>1695</v>
      </c>
      <c r="C593" s="1">
        <v>1913</v>
      </c>
      <c r="D593" s="1">
        <v>2</v>
      </c>
      <c r="F593" s="1">
        <v>2023</v>
      </c>
      <c r="G593" s="1" t="s">
        <v>1696</v>
      </c>
      <c r="H593" s="1">
        <v>608123</v>
      </c>
      <c r="I593" s="1">
        <v>5</v>
      </c>
      <c r="J593" s="1" t="s">
        <v>207</v>
      </c>
      <c r="K593" s="1" t="s">
        <v>1684</v>
      </c>
      <c r="L593" s="1" t="s">
        <v>1685</v>
      </c>
      <c r="M593" s="1">
        <v>37</v>
      </c>
      <c r="N593" s="1" t="s">
        <v>39</v>
      </c>
      <c r="O593" s="1">
        <v>44.780999999999999</v>
      </c>
      <c r="P593" s="1">
        <v>-93.042000000000002</v>
      </c>
      <c r="Q593" s="1" t="s">
        <v>1686</v>
      </c>
      <c r="T593" s="1" t="s">
        <v>93</v>
      </c>
      <c r="U593" s="1" t="s">
        <v>44</v>
      </c>
      <c r="V593" s="1" t="s">
        <v>94</v>
      </c>
      <c r="AA593" s="3">
        <v>26299</v>
      </c>
      <c r="AB593" s="1" t="s">
        <v>46</v>
      </c>
      <c r="AC593" s="5">
        <v>728.4</v>
      </c>
      <c r="AD593" s="1" t="s">
        <v>1698</v>
      </c>
      <c r="AE593" s="1" t="str">
        <f t="shared" si="46"/>
        <v>1913 2</v>
      </c>
      <c r="AF593" s="5" t="str">
        <f t="shared" si="48"/>
        <v>54.4</v>
      </c>
      <c r="AG593" s="1" t="str">
        <f t="shared" si="45"/>
        <v/>
      </c>
    </row>
    <row r="594" spans="1:33" x14ac:dyDescent="0.2">
      <c r="A594" s="1" t="s">
        <v>1663</v>
      </c>
      <c r="B594" s="1" t="s">
        <v>1695</v>
      </c>
      <c r="C594" s="1">
        <v>1913</v>
      </c>
      <c r="D594" s="1">
        <v>3</v>
      </c>
      <c r="F594" s="1">
        <v>2023</v>
      </c>
      <c r="G594" s="1" t="s">
        <v>1696</v>
      </c>
      <c r="H594" s="1">
        <v>608123</v>
      </c>
      <c r="I594" s="1">
        <v>5</v>
      </c>
      <c r="J594" s="1" t="s">
        <v>207</v>
      </c>
      <c r="K594" s="1" t="s">
        <v>1684</v>
      </c>
      <c r="L594" s="1" t="s">
        <v>1685</v>
      </c>
      <c r="M594" s="1">
        <v>37</v>
      </c>
      <c r="N594" s="1" t="s">
        <v>39</v>
      </c>
      <c r="O594" s="1">
        <v>44.780999999999999</v>
      </c>
      <c r="P594" s="1">
        <v>-93.042000000000002</v>
      </c>
      <c r="Q594" s="1" t="s">
        <v>1686</v>
      </c>
      <c r="T594" s="1" t="s">
        <v>93</v>
      </c>
      <c r="U594" s="1" t="s">
        <v>44</v>
      </c>
      <c r="V594" s="1" t="s">
        <v>94</v>
      </c>
      <c r="AA594" s="3">
        <v>26299</v>
      </c>
      <c r="AB594" s="1" t="s">
        <v>46</v>
      </c>
      <c r="AC594" s="5">
        <v>761.6</v>
      </c>
      <c r="AD594" s="1" t="s">
        <v>1699</v>
      </c>
      <c r="AE594" s="1" t="str">
        <f t="shared" si="46"/>
        <v>1913 3</v>
      </c>
      <c r="AF594" s="5" t="str">
        <f t="shared" si="48"/>
        <v>54.4</v>
      </c>
      <c r="AG594" s="1" t="str">
        <f t="shared" si="45"/>
        <v/>
      </c>
    </row>
    <row r="595" spans="1:33" x14ac:dyDescent="0.2">
      <c r="A595" s="1" t="s">
        <v>1663</v>
      </c>
      <c r="B595" s="1" t="s">
        <v>1695</v>
      </c>
      <c r="C595" s="1">
        <v>1913</v>
      </c>
      <c r="D595" s="1">
        <v>4</v>
      </c>
      <c r="F595" s="1">
        <v>2023</v>
      </c>
      <c r="G595" s="1" t="s">
        <v>1696</v>
      </c>
      <c r="H595" s="1">
        <v>608123</v>
      </c>
      <c r="I595" s="1">
        <v>5</v>
      </c>
      <c r="J595" s="1" t="s">
        <v>207</v>
      </c>
      <c r="K595" s="1" t="s">
        <v>1684</v>
      </c>
      <c r="L595" s="1" t="s">
        <v>1685</v>
      </c>
      <c r="M595" s="1">
        <v>37</v>
      </c>
      <c r="N595" s="1" t="s">
        <v>39</v>
      </c>
      <c r="O595" s="1">
        <v>44.780999999999999</v>
      </c>
      <c r="P595" s="1">
        <v>-93.042000000000002</v>
      </c>
      <c r="Q595" s="1" t="s">
        <v>1686</v>
      </c>
      <c r="T595" s="1" t="s">
        <v>93</v>
      </c>
      <c r="U595" s="1" t="s">
        <v>44</v>
      </c>
      <c r="V595" s="1" t="s">
        <v>94</v>
      </c>
      <c r="AA595" s="3">
        <v>26299</v>
      </c>
      <c r="AB595" s="1" t="s">
        <v>46</v>
      </c>
      <c r="AC595" s="5">
        <v>779.3</v>
      </c>
      <c r="AD595" s="1" t="s">
        <v>1700</v>
      </c>
      <c r="AE595" s="1" t="str">
        <f t="shared" si="46"/>
        <v>1913 4</v>
      </c>
      <c r="AF595" s="5" t="str">
        <f t="shared" si="48"/>
        <v>54.4</v>
      </c>
      <c r="AG595" s="1" t="str">
        <f t="shared" si="45"/>
        <v/>
      </c>
    </row>
    <row r="596" spans="1:33" x14ac:dyDescent="0.2">
      <c r="A596" s="1" t="s">
        <v>1663</v>
      </c>
      <c r="B596" s="1" t="s">
        <v>1695</v>
      </c>
      <c r="C596" s="1">
        <v>1913</v>
      </c>
      <c r="D596" s="1">
        <v>5</v>
      </c>
      <c r="F596" s="1">
        <v>2023</v>
      </c>
      <c r="G596" s="1" t="s">
        <v>1696</v>
      </c>
      <c r="H596" s="1">
        <v>608123</v>
      </c>
      <c r="I596" s="1">
        <v>5</v>
      </c>
      <c r="J596" s="1" t="s">
        <v>207</v>
      </c>
      <c r="K596" s="1" t="s">
        <v>1684</v>
      </c>
      <c r="L596" s="1" t="s">
        <v>1685</v>
      </c>
      <c r="M596" s="1">
        <v>37</v>
      </c>
      <c r="N596" s="1" t="s">
        <v>39</v>
      </c>
      <c r="O596" s="1">
        <v>44.780999999999999</v>
      </c>
      <c r="P596" s="1">
        <v>-93.042000000000002</v>
      </c>
      <c r="Q596" s="1" t="s">
        <v>1686</v>
      </c>
      <c r="T596" s="1" t="s">
        <v>93</v>
      </c>
      <c r="U596" s="1" t="s">
        <v>44</v>
      </c>
      <c r="V596" s="1" t="s">
        <v>94</v>
      </c>
      <c r="AA596" s="3">
        <v>26299</v>
      </c>
      <c r="AB596" s="1" t="s">
        <v>46</v>
      </c>
      <c r="AC596" s="5">
        <v>727.5</v>
      </c>
      <c r="AD596" s="1" t="s">
        <v>1701</v>
      </c>
      <c r="AE596" s="1" t="str">
        <f t="shared" si="46"/>
        <v>1913 5</v>
      </c>
      <c r="AF596" s="5" t="str">
        <f t="shared" si="48"/>
        <v>54.4</v>
      </c>
      <c r="AG596" s="1" t="str">
        <f t="shared" si="45"/>
        <v/>
      </c>
    </row>
    <row r="597" spans="1:33" x14ac:dyDescent="0.2">
      <c r="A597" s="1" t="s">
        <v>1663</v>
      </c>
      <c r="B597" s="1" t="s">
        <v>1695</v>
      </c>
      <c r="C597" s="1">
        <v>1913</v>
      </c>
      <c r="D597" s="1">
        <v>6</v>
      </c>
      <c r="F597" s="1">
        <v>2023</v>
      </c>
      <c r="G597" s="1" t="s">
        <v>1696</v>
      </c>
      <c r="H597" s="1">
        <v>608123</v>
      </c>
      <c r="I597" s="1">
        <v>5</v>
      </c>
      <c r="J597" s="1" t="s">
        <v>207</v>
      </c>
      <c r="K597" s="1" t="s">
        <v>1684</v>
      </c>
      <c r="L597" s="1" t="s">
        <v>1685</v>
      </c>
      <c r="M597" s="1">
        <v>37</v>
      </c>
      <c r="N597" s="1" t="s">
        <v>39</v>
      </c>
      <c r="O597" s="1">
        <v>44.780999999999999</v>
      </c>
      <c r="P597" s="1">
        <v>-93.042000000000002</v>
      </c>
      <c r="Q597" s="1" t="s">
        <v>1686</v>
      </c>
      <c r="T597" s="1" t="s">
        <v>93</v>
      </c>
      <c r="U597" s="1" t="s">
        <v>44</v>
      </c>
      <c r="V597" s="1" t="s">
        <v>94</v>
      </c>
      <c r="AA597" s="3">
        <v>26299</v>
      </c>
      <c r="AB597" s="1" t="s">
        <v>46</v>
      </c>
      <c r="AC597" s="5">
        <v>779.1</v>
      </c>
      <c r="AD597" s="1" t="s">
        <v>1702</v>
      </c>
      <c r="AE597" s="1" t="str">
        <f t="shared" si="46"/>
        <v>1913 6</v>
      </c>
      <c r="AF597" s="5" t="str">
        <f t="shared" si="48"/>
        <v>54.4</v>
      </c>
      <c r="AG597" s="1" t="str">
        <f t="shared" si="45"/>
        <v/>
      </c>
    </row>
    <row r="598" spans="1:33" x14ac:dyDescent="0.2">
      <c r="A598" s="1" t="s">
        <v>1663</v>
      </c>
      <c r="B598" s="1" t="s">
        <v>1703</v>
      </c>
      <c r="C598" s="1">
        <v>1915</v>
      </c>
      <c r="D598" s="1">
        <v>1</v>
      </c>
      <c r="F598" s="1">
        <v>2023</v>
      </c>
      <c r="G598" s="1" t="s">
        <v>205</v>
      </c>
      <c r="H598" s="1">
        <v>608123</v>
      </c>
      <c r="I598" s="1">
        <v>5</v>
      </c>
      <c r="J598" s="1" t="s">
        <v>207</v>
      </c>
      <c r="K598" s="1" t="s">
        <v>196</v>
      </c>
      <c r="L598" s="1" t="s">
        <v>1704</v>
      </c>
      <c r="M598" s="1">
        <v>163</v>
      </c>
      <c r="N598" s="1" t="s">
        <v>39</v>
      </c>
      <c r="O598" s="1">
        <v>45.03</v>
      </c>
      <c r="P598" s="1">
        <v>-92.778599999999997</v>
      </c>
      <c r="Q598" s="1" t="s">
        <v>1686</v>
      </c>
      <c r="R598" s="1" t="s">
        <v>41</v>
      </c>
      <c r="S598" s="1" t="s">
        <v>85</v>
      </c>
      <c r="T598" s="1" t="s">
        <v>606</v>
      </c>
      <c r="U598" s="1" t="s">
        <v>55</v>
      </c>
      <c r="W598" s="1" t="s">
        <v>212</v>
      </c>
      <c r="X598" s="1" t="s">
        <v>1010</v>
      </c>
      <c r="Y598" s="1" t="s">
        <v>123</v>
      </c>
      <c r="Z598" s="1" t="s">
        <v>214</v>
      </c>
      <c r="AA598" s="3">
        <v>24869</v>
      </c>
      <c r="AB598" s="1" t="s">
        <v>46</v>
      </c>
      <c r="AC598" s="5">
        <v>7530</v>
      </c>
      <c r="AD598" s="1" t="s">
        <v>1705</v>
      </c>
      <c r="AE598" s="1" t="str">
        <f t="shared" si="46"/>
        <v>1915 1</v>
      </c>
      <c r="AF598" s="5" t="str">
        <f t="shared" si="48"/>
        <v>598.4</v>
      </c>
      <c r="AG598" s="1" t="str">
        <f t="shared" si="45"/>
        <v>Y</v>
      </c>
    </row>
    <row r="599" spans="1:33" x14ac:dyDescent="0.2">
      <c r="A599" s="1" t="s">
        <v>1663</v>
      </c>
      <c r="B599" s="1" t="s">
        <v>1706</v>
      </c>
      <c r="C599" s="1">
        <v>1927</v>
      </c>
      <c r="D599" s="1">
        <v>9</v>
      </c>
      <c r="F599" s="1">
        <v>2023</v>
      </c>
      <c r="G599" s="1" t="s">
        <v>1666</v>
      </c>
      <c r="H599" s="1">
        <v>608123</v>
      </c>
      <c r="I599" s="1">
        <v>5</v>
      </c>
      <c r="J599" s="1" t="s">
        <v>207</v>
      </c>
      <c r="K599" s="1" t="s">
        <v>1707</v>
      </c>
      <c r="L599" s="1" t="s">
        <v>1708</v>
      </c>
      <c r="M599" s="1">
        <v>53</v>
      </c>
      <c r="N599" s="1" t="s">
        <v>39</v>
      </c>
      <c r="O599" s="1">
        <v>45.020299999999999</v>
      </c>
      <c r="P599" s="1">
        <v>-93.275300000000001</v>
      </c>
      <c r="Q599" s="1" t="s">
        <v>1686</v>
      </c>
      <c r="R599" s="1" t="s">
        <v>41</v>
      </c>
      <c r="T599" s="1" t="s">
        <v>71</v>
      </c>
      <c r="U599" s="1" t="s">
        <v>44</v>
      </c>
      <c r="X599" s="1" t="s">
        <v>64</v>
      </c>
      <c r="AA599" s="3">
        <v>39799</v>
      </c>
      <c r="AB599" s="1" t="s">
        <v>46</v>
      </c>
      <c r="AC599" s="5">
        <v>1975</v>
      </c>
      <c r="AD599" s="1" t="s">
        <v>1709</v>
      </c>
      <c r="AE599" s="1" t="str">
        <f t="shared" si="46"/>
        <v>1927 9</v>
      </c>
      <c r="AF599" s="14">
        <f>MID(AD599,FIND("(",AD599)+1,FIND(")",AD599)-FIND("(",AD599)-1)+165/2</f>
        <v>274.60000000000002</v>
      </c>
      <c r="AG599" s="1" t="str">
        <f t="shared" si="45"/>
        <v>Y</v>
      </c>
    </row>
    <row r="600" spans="1:33" x14ac:dyDescent="0.2">
      <c r="A600" s="1" t="s">
        <v>1663</v>
      </c>
      <c r="B600" s="1" t="s">
        <v>1706</v>
      </c>
      <c r="C600" s="1">
        <v>1927</v>
      </c>
      <c r="D600" s="1">
        <v>10</v>
      </c>
      <c r="F600" s="1">
        <v>2023</v>
      </c>
      <c r="G600" s="1" t="s">
        <v>1666</v>
      </c>
      <c r="H600" s="1">
        <v>608123</v>
      </c>
      <c r="I600" s="1">
        <v>5</v>
      </c>
      <c r="J600" s="1" t="s">
        <v>207</v>
      </c>
      <c r="K600" s="1" t="s">
        <v>1707</v>
      </c>
      <c r="L600" s="1" t="s">
        <v>1708</v>
      </c>
      <c r="M600" s="1">
        <v>53</v>
      </c>
      <c r="N600" s="1" t="s">
        <v>39</v>
      </c>
      <c r="O600" s="1">
        <v>45.020299999999999</v>
      </c>
      <c r="P600" s="1">
        <v>-93.275300000000001</v>
      </c>
      <c r="Q600" s="1" t="s">
        <v>1686</v>
      </c>
      <c r="R600" s="1" t="s">
        <v>41</v>
      </c>
      <c r="T600" s="1" t="s">
        <v>71</v>
      </c>
      <c r="U600" s="1" t="s">
        <v>44</v>
      </c>
      <c r="X600" s="1" t="s">
        <v>64</v>
      </c>
      <c r="AA600" s="3">
        <v>39795</v>
      </c>
      <c r="AB600" s="1" t="s">
        <v>46</v>
      </c>
      <c r="AC600" s="5">
        <v>1975</v>
      </c>
      <c r="AD600" s="1" t="s">
        <v>1710</v>
      </c>
      <c r="AE600" s="1" t="str">
        <f t="shared" si="46"/>
        <v>1927 10</v>
      </c>
      <c r="AF600" s="14">
        <f>AF599</f>
        <v>274.60000000000002</v>
      </c>
      <c r="AG600" s="1" t="str">
        <f t="shared" si="45"/>
        <v>Y</v>
      </c>
    </row>
    <row r="601" spans="1:33" x14ac:dyDescent="0.2">
      <c r="A601" s="1" t="s">
        <v>1663</v>
      </c>
      <c r="B601" s="1" t="s">
        <v>1711</v>
      </c>
      <c r="C601" s="1">
        <v>2001</v>
      </c>
      <c r="D601" s="1">
        <v>7</v>
      </c>
      <c r="F601" s="1">
        <v>2023</v>
      </c>
      <c r="G601" s="1" t="s">
        <v>1696</v>
      </c>
      <c r="H601" s="1" t="s">
        <v>1712</v>
      </c>
      <c r="I601" s="1">
        <v>5</v>
      </c>
      <c r="J601" s="1" t="s">
        <v>207</v>
      </c>
      <c r="K601" s="1" t="s">
        <v>1713</v>
      </c>
      <c r="L601" s="1" t="s">
        <v>1714</v>
      </c>
      <c r="M601" s="1">
        <v>15</v>
      </c>
      <c r="N601" s="1" t="s">
        <v>39</v>
      </c>
      <c r="O601" s="1">
        <v>44.315899999999999</v>
      </c>
      <c r="P601" s="1">
        <v>-94.457800000000006</v>
      </c>
      <c r="Q601" s="1" t="s">
        <v>1715</v>
      </c>
      <c r="T601" s="1" t="s">
        <v>93</v>
      </c>
      <c r="U601" s="1" t="s">
        <v>94</v>
      </c>
      <c r="X601" s="1" t="s">
        <v>95</v>
      </c>
      <c r="AA601" s="3">
        <v>37032</v>
      </c>
      <c r="AB601" s="1" t="s">
        <v>46</v>
      </c>
      <c r="AC601" s="5">
        <v>350</v>
      </c>
      <c r="AD601" s="1" t="s">
        <v>1716</v>
      </c>
      <c r="AE601" s="1" t="str">
        <f t="shared" si="46"/>
        <v>2001 7</v>
      </c>
      <c r="AF601" s="5" t="str">
        <f t="shared" ref="AF601:AF611" si="49">MID(AD601,FIND("(",AD601)+1,FIND(")",AD601)-FIND("(",AD601)-1)</f>
        <v>26</v>
      </c>
      <c r="AG601" s="1" t="str">
        <f t="shared" si="45"/>
        <v/>
      </c>
    </row>
    <row r="602" spans="1:33" x14ac:dyDescent="0.2">
      <c r="A602" s="1" t="s">
        <v>1663</v>
      </c>
      <c r="B602" s="1" t="s">
        <v>1717</v>
      </c>
      <c r="C602" s="1">
        <v>2038</v>
      </c>
      <c r="D602" s="1">
        <v>1</v>
      </c>
      <c r="F602" s="1">
        <v>2023</v>
      </c>
      <c r="G602" s="1" t="s">
        <v>1696</v>
      </c>
      <c r="H602" s="1">
        <v>607684</v>
      </c>
      <c r="I602" s="1">
        <v>5</v>
      </c>
      <c r="J602" s="1" t="s">
        <v>207</v>
      </c>
      <c r="K602" s="1" t="s">
        <v>1718</v>
      </c>
      <c r="L602" s="1" t="s">
        <v>1719</v>
      </c>
      <c r="M602" s="1">
        <v>59</v>
      </c>
      <c r="N602" s="1" t="s">
        <v>39</v>
      </c>
      <c r="O602" s="1">
        <v>45.600999999999999</v>
      </c>
      <c r="P602" s="1">
        <v>-93.208100000000002</v>
      </c>
      <c r="Q602" s="1" t="s">
        <v>1720</v>
      </c>
      <c r="T602" s="1" t="s">
        <v>93</v>
      </c>
      <c r="U602" s="1" t="s">
        <v>94</v>
      </c>
      <c r="AA602" s="3">
        <v>28592</v>
      </c>
      <c r="AB602" s="1" t="s">
        <v>46</v>
      </c>
      <c r="AC602" s="5">
        <v>363.3</v>
      </c>
      <c r="AD602" s="1" t="s">
        <v>1721</v>
      </c>
      <c r="AE602" s="1" t="str">
        <f t="shared" si="46"/>
        <v>2038 1</v>
      </c>
      <c r="AF602" s="5" t="str">
        <f t="shared" si="49"/>
        <v>29</v>
      </c>
      <c r="AG602" s="1" t="str">
        <f t="shared" si="45"/>
        <v/>
      </c>
    </row>
    <row r="603" spans="1:33" x14ac:dyDescent="0.2">
      <c r="A603" s="1" t="s">
        <v>1663</v>
      </c>
      <c r="B603" s="1" t="s">
        <v>1717</v>
      </c>
      <c r="C603" s="1">
        <v>2038</v>
      </c>
      <c r="D603" s="1">
        <v>2</v>
      </c>
      <c r="F603" s="1">
        <v>2023</v>
      </c>
      <c r="G603" s="1" t="s">
        <v>1666</v>
      </c>
      <c r="H603" s="1">
        <v>607684</v>
      </c>
      <c r="I603" s="1">
        <v>5</v>
      </c>
      <c r="J603" s="1" t="s">
        <v>207</v>
      </c>
      <c r="K603" s="1" t="s">
        <v>1718</v>
      </c>
      <c r="L603" s="1" t="s">
        <v>1719</v>
      </c>
      <c r="M603" s="1">
        <v>59</v>
      </c>
      <c r="N603" s="1" t="s">
        <v>39</v>
      </c>
      <c r="O603" s="1">
        <v>45.600999999999999</v>
      </c>
      <c r="P603" s="1">
        <v>-93.208100000000002</v>
      </c>
      <c r="Q603" s="1" t="s">
        <v>1720</v>
      </c>
      <c r="R603" s="1" t="s">
        <v>41</v>
      </c>
      <c r="T603" s="1" t="s">
        <v>93</v>
      </c>
      <c r="U603" s="1" t="s">
        <v>44</v>
      </c>
      <c r="X603" s="1" t="s">
        <v>140</v>
      </c>
      <c r="AA603" s="3">
        <v>39205</v>
      </c>
      <c r="AB603" s="1" t="s">
        <v>46</v>
      </c>
      <c r="AC603" s="5">
        <v>1885</v>
      </c>
      <c r="AD603" s="1" t="s">
        <v>1722</v>
      </c>
      <c r="AE603" s="1" t="str">
        <f t="shared" si="46"/>
        <v>2038 2</v>
      </c>
      <c r="AF603" s="5" t="str">
        <f t="shared" si="49"/>
        <v>224</v>
      </c>
      <c r="AG603" s="1" t="str">
        <f t="shared" si="45"/>
        <v/>
      </c>
    </row>
    <row r="604" spans="1:33" x14ac:dyDescent="0.2">
      <c r="A604" s="1" t="s">
        <v>1663</v>
      </c>
      <c r="B604" s="1" t="s">
        <v>1723</v>
      </c>
      <c r="C604" s="1">
        <v>2039</v>
      </c>
      <c r="D604" s="1" t="s">
        <v>1724</v>
      </c>
      <c r="F604" s="1">
        <v>2023</v>
      </c>
      <c r="G604" s="1" t="s">
        <v>1666</v>
      </c>
      <c r="H604" s="1">
        <v>607684</v>
      </c>
      <c r="I604" s="1">
        <v>5</v>
      </c>
      <c r="J604" s="1" t="s">
        <v>207</v>
      </c>
      <c r="K604" s="1" t="s">
        <v>1725</v>
      </c>
      <c r="L604" s="1" t="s">
        <v>1726</v>
      </c>
      <c r="M604" s="1">
        <v>141</v>
      </c>
      <c r="N604" s="1" t="s">
        <v>39</v>
      </c>
      <c r="O604" s="1">
        <v>45.2958</v>
      </c>
      <c r="P604" s="1">
        <v>-93.554199999999994</v>
      </c>
      <c r="Q604" s="1" t="s">
        <v>1720</v>
      </c>
      <c r="R604" s="1" t="s">
        <v>41</v>
      </c>
      <c r="T604" s="1" t="s">
        <v>93</v>
      </c>
      <c r="U604" s="1" t="s">
        <v>44</v>
      </c>
      <c r="V604" s="1" t="s">
        <v>94</v>
      </c>
      <c r="X604" s="1" t="s">
        <v>140</v>
      </c>
      <c r="AA604" s="3">
        <v>39977</v>
      </c>
      <c r="AB604" s="1" t="s">
        <v>46</v>
      </c>
      <c r="AC604" s="5">
        <v>2269</v>
      </c>
      <c r="AD604" s="1" t="s">
        <v>1727</v>
      </c>
      <c r="AE604" s="1" t="str">
        <f t="shared" si="46"/>
        <v>2039 ERPS11</v>
      </c>
      <c r="AF604" s="5" t="str">
        <f t="shared" si="49"/>
        <v>225</v>
      </c>
      <c r="AG604" s="1" t="str">
        <f t="shared" si="45"/>
        <v/>
      </c>
    </row>
    <row r="605" spans="1:33" x14ac:dyDescent="0.2">
      <c r="A605" s="1" t="s">
        <v>1663</v>
      </c>
      <c r="B605" s="1" t="s">
        <v>1728</v>
      </c>
      <c r="C605" s="1">
        <v>2042</v>
      </c>
      <c r="D605" s="1">
        <v>1</v>
      </c>
      <c r="F605" s="1">
        <v>2023</v>
      </c>
      <c r="G605" s="1" t="s">
        <v>1696</v>
      </c>
      <c r="H605" s="1">
        <v>607684</v>
      </c>
      <c r="I605" s="1">
        <v>5</v>
      </c>
      <c r="J605" s="1" t="s">
        <v>207</v>
      </c>
      <c r="K605" s="1" t="s">
        <v>1729</v>
      </c>
      <c r="L605" s="1" t="s">
        <v>1730</v>
      </c>
      <c r="M605" s="1">
        <v>171</v>
      </c>
      <c r="N605" s="1" t="s">
        <v>39</v>
      </c>
      <c r="O605" s="1">
        <v>45.228999999999999</v>
      </c>
      <c r="P605" s="1">
        <v>-94.009699999999995</v>
      </c>
      <c r="Q605" s="1" t="s">
        <v>1720</v>
      </c>
      <c r="T605" s="1" t="s">
        <v>93</v>
      </c>
      <c r="U605" s="1" t="s">
        <v>94</v>
      </c>
      <c r="AA605" s="3">
        <v>28606</v>
      </c>
      <c r="AB605" s="1" t="s">
        <v>46</v>
      </c>
      <c r="AC605" s="5">
        <v>363.3</v>
      </c>
      <c r="AD605" s="1" t="s">
        <v>1731</v>
      </c>
      <c r="AE605" s="1" t="str">
        <f t="shared" si="46"/>
        <v>2042 1</v>
      </c>
      <c r="AF605" s="5" t="str">
        <f t="shared" si="49"/>
        <v>29.3</v>
      </c>
      <c r="AG605" s="1" t="str">
        <f t="shared" si="45"/>
        <v/>
      </c>
    </row>
    <row r="606" spans="1:33" x14ac:dyDescent="0.2">
      <c r="A606" s="1" t="s">
        <v>1732</v>
      </c>
      <c r="B606" s="1" t="s">
        <v>1733</v>
      </c>
      <c r="C606" s="1">
        <v>2047</v>
      </c>
      <c r="D606" s="1">
        <v>5</v>
      </c>
      <c r="F606" s="1">
        <v>2023</v>
      </c>
      <c r="G606" s="1" t="s">
        <v>346</v>
      </c>
      <c r="H606" s="1">
        <v>610389</v>
      </c>
      <c r="I606" s="1">
        <v>4</v>
      </c>
      <c r="J606" s="1" t="s">
        <v>36</v>
      </c>
      <c r="K606" s="1" t="s">
        <v>994</v>
      </c>
      <c r="L606" s="1" t="s">
        <v>1734</v>
      </c>
      <c r="M606" s="1">
        <v>59</v>
      </c>
      <c r="N606" s="1" t="s">
        <v>1680</v>
      </c>
      <c r="O606" s="1">
        <v>30.34</v>
      </c>
      <c r="P606" s="1">
        <v>-88.492000000000004</v>
      </c>
      <c r="Q606" s="1" t="s">
        <v>1735</v>
      </c>
      <c r="R606" s="1" t="s">
        <v>41</v>
      </c>
      <c r="T606" s="1" t="s">
        <v>93</v>
      </c>
      <c r="U606" s="1" t="s">
        <v>284</v>
      </c>
      <c r="X606" s="1" t="s">
        <v>140</v>
      </c>
      <c r="AA606" s="3">
        <v>34468</v>
      </c>
      <c r="AB606" s="1" t="s">
        <v>46</v>
      </c>
      <c r="AC606" s="5">
        <v>1096</v>
      </c>
      <c r="AD606" s="1" t="s">
        <v>1736</v>
      </c>
      <c r="AE606" s="1" t="str">
        <f t="shared" si="46"/>
        <v>2047 5</v>
      </c>
      <c r="AF606" s="5" t="str">
        <f t="shared" si="49"/>
        <v>74.6</v>
      </c>
      <c r="AG606" s="1" t="str">
        <f t="shared" si="45"/>
        <v/>
      </c>
    </row>
    <row r="607" spans="1:33" x14ac:dyDescent="0.2">
      <c r="A607" s="1" t="s">
        <v>1732</v>
      </c>
      <c r="B607" s="1" t="s">
        <v>1737</v>
      </c>
      <c r="C607" s="1">
        <v>2049</v>
      </c>
      <c r="D607" s="1">
        <v>4</v>
      </c>
      <c r="F607" s="1">
        <v>2023</v>
      </c>
      <c r="G607" s="1" t="s">
        <v>346</v>
      </c>
      <c r="H607" s="1">
        <v>610389</v>
      </c>
      <c r="I607" s="1">
        <v>4</v>
      </c>
      <c r="J607" s="1" t="s">
        <v>36</v>
      </c>
      <c r="K607" s="1" t="s">
        <v>1738</v>
      </c>
      <c r="L607" s="1" t="s">
        <v>1739</v>
      </c>
      <c r="M607" s="1">
        <v>47</v>
      </c>
      <c r="N607" s="1" t="s">
        <v>39</v>
      </c>
      <c r="O607" s="1">
        <v>30.440799999999999</v>
      </c>
      <c r="P607" s="1">
        <v>-89.026499999999999</v>
      </c>
      <c r="Q607" s="1" t="s">
        <v>1735</v>
      </c>
      <c r="R607" s="1" t="s">
        <v>120</v>
      </c>
      <c r="S607" s="1" t="s">
        <v>121</v>
      </c>
      <c r="T607" s="1" t="s">
        <v>89</v>
      </c>
      <c r="U607" s="1" t="s">
        <v>44</v>
      </c>
      <c r="X607" s="1" t="s">
        <v>90</v>
      </c>
      <c r="Y607" s="1" t="s">
        <v>58</v>
      </c>
      <c r="AA607" s="3">
        <v>25039</v>
      </c>
      <c r="AB607" s="1" t="s">
        <v>46</v>
      </c>
      <c r="AC607" s="5">
        <v>2526</v>
      </c>
      <c r="AD607" s="1" t="s">
        <v>1740</v>
      </c>
      <c r="AE607" s="1" t="str">
        <f t="shared" si="46"/>
        <v>2049 4</v>
      </c>
      <c r="AF607" s="5" t="str">
        <f t="shared" si="49"/>
        <v>250</v>
      </c>
      <c r="AG607" s="1" t="str">
        <f t="shared" si="45"/>
        <v/>
      </c>
    </row>
    <row r="608" spans="1:33" x14ac:dyDescent="0.2">
      <c r="A608" s="1" t="s">
        <v>1732</v>
      </c>
      <c r="B608" s="1" t="s">
        <v>1737</v>
      </c>
      <c r="C608" s="1">
        <v>2049</v>
      </c>
      <c r="D608" s="1">
        <v>5</v>
      </c>
      <c r="F608" s="1">
        <v>2023</v>
      </c>
      <c r="G608" s="1" t="s">
        <v>346</v>
      </c>
      <c r="H608" s="1">
        <v>610389</v>
      </c>
      <c r="I608" s="1">
        <v>4</v>
      </c>
      <c r="J608" s="1" t="s">
        <v>36</v>
      </c>
      <c r="K608" s="1" t="s">
        <v>1738</v>
      </c>
      <c r="L608" s="1" t="s">
        <v>1739</v>
      </c>
      <c r="M608" s="1">
        <v>47</v>
      </c>
      <c r="N608" s="1" t="s">
        <v>39</v>
      </c>
      <c r="O608" s="1">
        <v>30.440799999999999</v>
      </c>
      <c r="P608" s="1">
        <v>-89.026499999999999</v>
      </c>
      <c r="Q608" s="1" t="s">
        <v>1735</v>
      </c>
      <c r="R608" s="1" t="s">
        <v>120</v>
      </c>
      <c r="S608" s="1" t="s">
        <v>121</v>
      </c>
      <c r="T608" s="1" t="s">
        <v>89</v>
      </c>
      <c r="U608" s="1" t="s">
        <v>44</v>
      </c>
      <c r="X608" s="1" t="s">
        <v>90</v>
      </c>
      <c r="Y608" s="1" t="s">
        <v>58</v>
      </c>
      <c r="AA608" s="3">
        <v>26815</v>
      </c>
      <c r="AB608" s="1" t="s">
        <v>46</v>
      </c>
      <c r="AC608" s="5">
        <v>5095</v>
      </c>
      <c r="AD608" s="1" t="s">
        <v>1741</v>
      </c>
      <c r="AE608" s="1" t="str">
        <f t="shared" si="46"/>
        <v>2049 5</v>
      </c>
      <c r="AF608" s="5" t="str">
        <f t="shared" si="49"/>
        <v>500</v>
      </c>
      <c r="AG608" s="1" t="str">
        <f t="shared" si="45"/>
        <v/>
      </c>
    </row>
    <row r="609" spans="1:33" x14ac:dyDescent="0.2">
      <c r="A609" s="1" t="s">
        <v>1732</v>
      </c>
      <c r="B609" s="1" t="s">
        <v>1742</v>
      </c>
      <c r="C609" s="1">
        <v>2050</v>
      </c>
      <c r="D609" s="1">
        <v>1</v>
      </c>
      <c r="F609" s="1">
        <v>2023</v>
      </c>
      <c r="G609" s="1" t="s">
        <v>247</v>
      </c>
      <c r="H609" s="1" t="s">
        <v>350</v>
      </c>
      <c r="I609" s="1">
        <v>4</v>
      </c>
      <c r="J609" s="1" t="s">
        <v>228</v>
      </c>
      <c r="K609" s="1" t="s">
        <v>1743</v>
      </c>
      <c r="L609" s="1" t="s">
        <v>1744</v>
      </c>
      <c r="M609" s="1">
        <v>149</v>
      </c>
      <c r="N609" s="1" t="s">
        <v>39</v>
      </c>
      <c r="O609" s="1">
        <v>32.283099999999997</v>
      </c>
      <c r="P609" s="1">
        <v>-90.930599999999998</v>
      </c>
      <c r="Q609" s="1" t="s">
        <v>353</v>
      </c>
      <c r="R609" s="1" t="s">
        <v>41</v>
      </c>
      <c r="T609" s="1" t="s">
        <v>43</v>
      </c>
      <c r="U609" s="1" t="s">
        <v>44</v>
      </c>
      <c r="V609" s="1" t="s">
        <v>173</v>
      </c>
      <c r="AA609" s="3">
        <v>24381</v>
      </c>
      <c r="AB609" s="1" t="s">
        <v>1745</v>
      </c>
      <c r="AC609" s="5">
        <v>5585</v>
      </c>
      <c r="AD609" s="1" t="s">
        <v>1746</v>
      </c>
      <c r="AE609" s="1" t="str">
        <f t="shared" si="46"/>
        <v>2050 1</v>
      </c>
      <c r="AF609" s="5" t="str">
        <f t="shared" si="49"/>
        <v>544.6</v>
      </c>
      <c r="AG609" s="1" t="str">
        <f t="shared" si="45"/>
        <v/>
      </c>
    </row>
    <row r="610" spans="1:33" x14ac:dyDescent="0.2">
      <c r="A610" s="1" t="s">
        <v>1732</v>
      </c>
      <c r="B610" s="1" t="s">
        <v>1747</v>
      </c>
      <c r="C610" s="1">
        <v>2070</v>
      </c>
      <c r="D610" s="1">
        <v>3</v>
      </c>
      <c r="F610" s="1">
        <v>2023</v>
      </c>
      <c r="G610" s="1" t="s">
        <v>346</v>
      </c>
      <c r="H610" s="1">
        <v>609473</v>
      </c>
      <c r="I610" s="1">
        <v>4</v>
      </c>
      <c r="J610" s="1" t="s">
        <v>36</v>
      </c>
      <c r="K610" s="1" t="s">
        <v>1748</v>
      </c>
      <c r="L610" s="1" t="s">
        <v>1749</v>
      </c>
      <c r="M610" s="1">
        <v>67</v>
      </c>
      <c r="N610" s="1" t="s">
        <v>39</v>
      </c>
      <c r="O610" s="1">
        <v>31.5289</v>
      </c>
      <c r="P610" s="1">
        <v>-89.299199999999999</v>
      </c>
      <c r="Q610" s="1" t="s">
        <v>1750</v>
      </c>
      <c r="R610" s="1" t="s">
        <v>41</v>
      </c>
      <c r="T610" s="1" t="s">
        <v>89</v>
      </c>
      <c r="U610" s="1" t="s">
        <v>44</v>
      </c>
      <c r="V610" s="1" t="s">
        <v>94</v>
      </c>
      <c r="AA610" s="3">
        <v>25781</v>
      </c>
      <c r="AB610" s="1" t="s">
        <v>46</v>
      </c>
      <c r="AC610" s="5">
        <v>725</v>
      </c>
      <c r="AD610" s="1" t="s">
        <v>1564</v>
      </c>
      <c r="AE610" s="1" t="str">
        <f t="shared" si="46"/>
        <v>2070 3</v>
      </c>
      <c r="AF610" s="5" t="str">
        <f t="shared" si="49"/>
        <v>65</v>
      </c>
      <c r="AG610" s="1" t="str">
        <f t="shared" si="45"/>
        <v/>
      </c>
    </row>
    <row r="611" spans="1:33" x14ac:dyDescent="0.2">
      <c r="A611" s="1" t="s">
        <v>1732</v>
      </c>
      <c r="B611" s="1" t="s">
        <v>1747</v>
      </c>
      <c r="C611" s="1">
        <v>2070</v>
      </c>
      <c r="D611" s="1">
        <v>5</v>
      </c>
      <c r="F611" s="1">
        <v>2023</v>
      </c>
      <c r="G611" s="1" t="s">
        <v>346</v>
      </c>
      <c r="H611" s="1">
        <v>609473</v>
      </c>
      <c r="I611" s="1">
        <v>4</v>
      </c>
      <c r="J611" s="1" t="s">
        <v>36</v>
      </c>
      <c r="K611" s="1" t="s">
        <v>1748</v>
      </c>
      <c r="L611" s="1" t="s">
        <v>1749</v>
      </c>
      <c r="M611" s="1">
        <v>67</v>
      </c>
      <c r="N611" s="1" t="s">
        <v>39</v>
      </c>
      <c r="O611" s="1">
        <v>31.5289</v>
      </c>
      <c r="P611" s="1">
        <v>-89.299199999999999</v>
      </c>
      <c r="Q611" s="1" t="s">
        <v>1750</v>
      </c>
      <c r="R611" s="1" t="s">
        <v>41</v>
      </c>
      <c r="T611" s="1" t="s">
        <v>93</v>
      </c>
      <c r="U611" s="1" t="s">
        <v>44</v>
      </c>
      <c r="X611" s="1" t="s">
        <v>140</v>
      </c>
      <c r="AA611" s="3">
        <v>38778</v>
      </c>
      <c r="AB611" s="1" t="s">
        <v>46</v>
      </c>
      <c r="AC611" s="5">
        <v>1143.3</v>
      </c>
      <c r="AD611" s="1" t="s">
        <v>1751</v>
      </c>
      <c r="AE611" s="1" t="str">
        <f t="shared" si="46"/>
        <v>2070 5</v>
      </c>
      <c r="AF611" s="5" t="str">
        <f t="shared" si="49"/>
        <v>95</v>
      </c>
      <c r="AG611" s="1" t="str">
        <f t="shared" si="45"/>
        <v/>
      </c>
    </row>
    <row r="612" spans="1:33" x14ac:dyDescent="0.2">
      <c r="A612" s="1" t="s">
        <v>1732</v>
      </c>
      <c r="B612" s="1" t="s">
        <v>1747</v>
      </c>
      <c r="C612" s="1">
        <v>2070</v>
      </c>
      <c r="D612" s="1">
        <v>6</v>
      </c>
      <c r="F612" s="1">
        <v>2023</v>
      </c>
      <c r="G612" s="1" t="s">
        <v>346</v>
      </c>
      <c r="H612" s="1">
        <v>609473</v>
      </c>
      <c r="I612" s="1">
        <v>4</v>
      </c>
      <c r="J612" s="1" t="s">
        <v>36</v>
      </c>
      <c r="K612" s="1" t="s">
        <v>1748</v>
      </c>
      <c r="L612" s="1" t="s">
        <v>1749</v>
      </c>
      <c r="M612" s="1">
        <v>67</v>
      </c>
      <c r="N612" s="1" t="s">
        <v>39</v>
      </c>
      <c r="O612" s="1">
        <v>31.5289</v>
      </c>
      <c r="P612" s="1">
        <v>-89.299199999999999</v>
      </c>
      <c r="Q612" s="1" t="s">
        <v>1750</v>
      </c>
      <c r="R612" s="1" t="s">
        <v>41</v>
      </c>
      <c r="T612" s="1" t="s">
        <v>71</v>
      </c>
      <c r="U612" s="1" t="s">
        <v>44</v>
      </c>
      <c r="X612" s="1" t="s">
        <v>64</v>
      </c>
      <c r="AA612" s="3">
        <v>40828</v>
      </c>
      <c r="AB612" s="1" t="s">
        <v>46</v>
      </c>
      <c r="AC612" s="5">
        <v>1540</v>
      </c>
      <c r="AD612" s="1" t="s">
        <v>1752</v>
      </c>
      <c r="AE612" s="1" t="str">
        <f t="shared" si="46"/>
        <v>2070 6</v>
      </c>
      <c r="AF612" s="14">
        <f>MID(AD612,FIND("(",AD612)+1,FIND(")",AD612)-FIND("(",AD612)-1)+65</f>
        <v>203</v>
      </c>
      <c r="AG612" s="1" t="str">
        <f t="shared" si="45"/>
        <v>Y</v>
      </c>
    </row>
    <row r="613" spans="1:33" x14ac:dyDescent="0.2">
      <c r="A613" s="1" t="s">
        <v>1732</v>
      </c>
      <c r="B613" s="1" t="s">
        <v>1747</v>
      </c>
      <c r="C613" s="1">
        <v>2070</v>
      </c>
      <c r="D613" s="1">
        <v>7</v>
      </c>
      <c r="F613" s="1">
        <v>2023</v>
      </c>
      <c r="G613" s="1" t="s">
        <v>346</v>
      </c>
      <c r="H613" s="1">
        <v>609473</v>
      </c>
      <c r="I613" s="1">
        <v>4</v>
      </c>
      <c r="J613" s="1" t="s">
        <v>36</v>
      </c>
      <c r="K613" s="1" t="s">
        <v>1748</v>
      </c>
      <c r="L613" s="1" t="s">
        <v>1749</v>
      </c>
      <c r="M613" s="1">
        <v>67</v>
      </c>
      <c r="N613" s="1" t="s">
        <v>39</v>
      </c>
      <c r="O613" s="1">
        <v>31.5289</v>
      </c>
      <c r="P613" s="1">
        <v>-89.299199999999999</v>
      </c>
      <c r="Q613" s="1" t="s">
        <v>1750</v>
      </c>
      <c r="R613" s="1" t="s">
        <v>41</v>
      </c>
      <c r="T613" s="1" t="s">
        <v>71</v>
      </c>
      <c r="U613" s="1" t="s">
        <v>44</v>
      </c>
      <c r="X613" s="1" t="s">
        <v>64</v>
      </c>
      <c r="AA613" s="3">
        <v>40810</v>
      </c>
      <c r="AB613" s="1" t="s">
        <v>46</v>
      </c>
      <c r="AC613" s="5">
        <v>1540</v>
      </c>
      <c r="AD613" s="1" t="s">
        <v>1753</v>
      </c>
      <c r="AE613" s="1" t="str">
        <f t="shared" si="46"/>
        <v>2070 7</v>
      </c>
      <c r="AF613" s="14">
        <f>MID(AD613,FIND("(",AD613)+1,FIND(")",AD613)-FIND("(",AD613)-1)+138</f>
        <v>203</v>
      </c>
      <c r="AG613" s="1" t="str">
        <f t="shared" si="45"/>
        <v>Y</v>
      </c>
    </row>
    <row r="614" spans="1:33" x14ac:dyDescent="0.2">
      <c r="A614" s="1" t="s">
        <v>1732</v>
      </c>
      <c r="B614" s="1" t="s">
        <v>1747</v>
      </c>
      <c r="C614" s="1">
        <v>2070</v>
      </c>
      <c r="D614" s="1" t="s">
        <v>569</v>
      </c>
      <c r="F614" s="1">
        <v>2023</v>
      </c>
      <c r="G614" s="1" t="s">
        <v>346</v>
      </c>
      <c r="H614" s="1">
        <v>609473</v>
      </c>
      <c r="I614" s="1">
        <v>4</v>
      </c>
      <c r="J614" s="1" t="s">
        <v>36</v>
      </c>
      <c r="K614" s="1" t="s">
        <v>1748</v>
      </c>
      <c r="L614" s="1" t="s">
        <v>1749</v>
      </c>
      <c r="M614" s="1">
        <v>67</v>
      </c>
      <c r="N614" s="1" t="s">
        <v>39</v>
      </c>
      <c r="O614" s="1">
        <v>31.5289</v>
      </c>
      <c r="P614" s="1">
        <v>-89.299199999999999</v>
      </c>
      <c r="Q614" s="1" t="s">
        <v>1750</v>
      </c>
      <c r="R614" s="1" t="s">
        <v>41</v>
      </c>
      <c r="T614" s="1" t="s">
        <v>93</v>
      </c>
      <c r="U614" s="1" t="s">
        <v>44</v>
      </c>
      <c r="V614" s="1" t="s">
        <v>94</v>
      </c>
      <c r="X614" s="1" t="s">
        <v>140</v>
      </c>
      <c r="AA614" s="3">
        <v>35582</v>
      </c>
      <c r="AB614" s="1" t="s">
        <v>46</v>
      </c>
      <c r="AC614" s="5">
        <v>1200</v>
      </c>
      <c r="AD614" s="1" t="s">
        <v>1754</v>
      </c>
      <c r="AE614" s="1" t="str">
        <f t="shared" si="46"/>
        <v>2070 **4</v>
      </c>
      <c r="AF614" s="5" t="str">
        <f t="shared" ref="AF614:AF641" si="50">MID(AD614,FIND("(",AD614)+1,FIND(")",AD614)-FIND("(",AD614)-1)</f>
        <v>90</v>
      </c>
      <c r="AG614" s="1" t="str">
        <f t="shared" si="45"/>
        <v/>
      </c>
    </row>
    <row r="615" spans="1:33" x14ac:dyDescent="0.2">
      <c r="A615" s="1" t="s">
        <v>1755</v>
      </c>
      <c r="B615" s="1" t="s">
        <v>1756</v>
      </c>
      <c r="C615" s="1">
        <v>2079</v>
      </c>
      <c r="D615" s="1">
        <v>6</v>
      </c>
      <c r="F615" s="1">
        <v>2023</v>
      </c>
      <c r="G615" s="1" t="s">
        <v>1207</v>
      </c>
      <c r="H615" s="1">
        <v>605879</v>
      </c>
      <c r="I615" s="1">
        <v>7</v>
      </c>
      <c r="J615" s="1" t="s">
        <v>228</v>
      </c>
      <c r="K615" s="1" t="s">
        <v>994</v>
      </c>
      <c r="L615" s="1" t="s">
        <v>1757</v>
      </c>
      <c r="M615" s="1">
        <v>95</v>
      </c>
      <c r="N615" s="1" t="s">
        <v>39</v>
      </c>
      <c r="O615" s="1">
        <v>39.130600000000001</v>
      </c>
      <c r="P615" s="1">
        <v>-94.477800000000002</v>
      </c>
      <c r="Q615" s="1" t="s">
        <v>1283</v>
      </c>
      <c r="R615" s="1" t="s">
        <v>41</v>
      </c>
      <c r="T615" s="1" t="s">
        <v>93</v>
      </c>
      <c r="U615" s="1" t="s">
        <v>44</v>
      </c>
      <c r="X615" s="1" t="s">
        <v>454</v>
      </c>
      <c r="AA615" s="3">
        <v>35724</v>
      </c>
      <c r="AB615" s="1" t="s">
        <v>46</v>
      </c>
      <c r="AC615" s="5">
        <v>1602</v>
      </c>
      <c r="AD615" s="1" t="s">
        <v>1758</v>
      </c>
      <c r="AE615" s="1" t="str">
        <f t="shared" si="46"/>
        <v>2079 6</v>
      </c>
      <c r="AF615" s="5" t="str">
        <f t="shared" si="50"/>
        <v>164</v>
      </c>
      <c r="AG615" s="1" t="str">
        <f t="shared" si="45"/>
        <v/>
      </c>
    </row>
    <row r="616" spans="1:33" x14ac:dyDescent="0.2">
      <c r="A616" s="1" t="s">
        <v>1755</v>
      </c>
      <c r="B616" s="1" t="s">
        <v>1756</v>
      </c>
      <c r="C616" s="1">
        <v>2079</v>
      </c>
      <c r="D616" s="1">
        <v>7</v>
      </c>
      <c r="F616" s="1">
        <v>2023</v>
      </c>
      <c r="G616" s="1" t="s">
        <v>1207</v>
      </c>
      <c r="H616" s="1">
        <v>605879</v>
      </c>
      <c r="I616" s="1">
        <v>7</v>
      </c>
      <c r="J616" s="1" t="s">
        <v>228</v>
      </c>
      <c r="K616" s="1" t="s">
        <v>994</v>
      </c>
      <c r="L616" s="1" t="s">
        <v>1757</v>
      </c>
      <c r="M616" s="1">
        <v>95</v>
      </c>
      <c r="N616" s="1" t="s">
        <v>39</v>
      </c>
      <c r="O616" s="1">
        <v>39.130600000000001</v>
      </c>
      <c r="P616" s="1">
        <v>-94.477800000000002</v>
      </c>
      <c r="Q616" s="1" t="s">
        <v>1283</v>
      </c>
      <c r="R616" s="1" t="s">
        <v>41</v>
      </c>
      <c r="T616" s="1" t="s">
        <v>93</v>
      </c>
      <c r="U616" s="1" t="s">
        <v>44</v>
      </c>
      <c r="X616" s="1" t="s">
        <v>454</v>
      </c>
      <c r="AA616" s="3">
        <v>36677</v>
      </c>
      <c r="AB616" s="1" t="s">
        <v>46</v>
      </c>
      <c r="AC616" s="5">
        <v>925</v>
      </c>
      <c r="AD616" s="1" t="s">
        <v>1759</v>
      </c>
      <c r="AE616" s="1" t="str">
        <f t="shared" si="46"/>
        <v>2079 7</v>
      </c>
      <c r="AF616" s="5" t="str">
        <f t="shared" si="50"/>
        <v>85</v>
      </c>
      <c r="AG616" s="1" t="str">
        <f t="shared" si="45"/>
        <v/>
      </c>
    </row>
    <row r="617" spans="1:33" x14ac:dyDescent="0.2">
      <c r="A617" s="1" t="s">
        <v>1755</v>
      </c>
      <c r="B617" s="1" t="s">
        <v>1756</v>
      </c>
      <c r="C617" s="1">
        <v>2079</v>
      </c>
      <c r="D617" s="1">
        <v>8</v>
      </c>
      <c r="F617" s="1">
        <v>2023</v>
      </c>
      <c r="G617" s="1" t="s">
        <v>1207</v>
      </c>
      <c r="H617" s="1">
        <v>605879</v>
      </c>
      <c r="I617" s="1">
        <v>7</v>
      </c>
      <c r="J617" s="1" t="s">
        <v>228</v>
      </c>
      <c r="K617" s="1" t="s">
        <v>994</v>
      </c>
      <c r="L617" s="1" t="s">
        <v>1757</v>
      </c>
      <c r="M617" s="1">
        <v>95</v>
      </c>
      <c r="N617" s="1" t="s">
        <v>39</v>
      </c>
      <c r="O617" s="1">
        <v>39.130600000000001</v>
      </c>
      <c r="P617" s="1">
        <v>-94.477800000000002</v>
      </c>
      <c r="Q617" s="1" t="s">
        <v>1283</v>
      </c>
      <c r="R617" s="1" t="s">
        <v>41</v>
      </c>
      <c r="T617" s="1" t="s">
        <v>93</v>
      </c>
      <c r="U617" s="1" t="s">
        <v>44</v>
      </c>
      <c r="X617" s="1" t="s">
        <v>454</v>
      </c>
      <c r="AA617" s="3">
        <v>36691</v>
      </c>
      <c r="AB617" s="1" t="s">
        <v>46</v>
      </c>
      <c r="AC617" s="5">
        <v>925</v>
      </c>
      <c r="AD617" s="1" t="s">
        <v>1760</v>
      </c>
      <c r="AE617" s="1" t="str">
        <f t="shared" si="46"/>
        <v>2079 8</v>
      </c>
      <c r="AF617" s="5" t="str">
        <f t="shared" si="50"/>
        <v>85</v>
      </c>
      <c r="AG617" s="1" t="str">
        <f t="shared" si="45"/>
        <v/>
      </c>
    </row>
    <row r="618" spans="1:33" x14ac:dyDescent="0.2">
      <c r="A618" s="1" t="s">
        <v>1755</v>
      </c>
      <c r="B618" s="1" t="s">
        <v>1756</v>
      </c>
      <c r="C618" s="1">
        <v>2079</v>
      </c>
      <c r="D618" s="1">
        <v>9</v>
      </c>
      <c r="F618" s="1">
        <v>2023</v>
      </c>
      <c r="G618" s="1" t="s">
        <v>1207</v>
      </c>
      <c r="H618" s="1">
        <v>605879</v>
      </c>
      <c r="I618" s="1">
        <v>7</v>
      </c>
      <c r="J618" s="1" t="s">
        <v>228</v>
      </c>
      <c r="K618" s="1" t="s">
        <v>994</v>
      </c>
      <c r="L618" s="1" t="s">
        <v>1757</v>
      </c>
      <c r="M618" s="1">
        <v>95</v>
      </c>
      <c r="N618" s="1" t="s">
        <v>39</v>
      </c>
      <c r="O618" s="1">
        <v>39.130600000000001</v>
      </c>
      <c r="P618" s="1">
        <v>-94.477800000000002</v>
      </c>
      <c r="Q618" s="1" t="s">
        <v>1283</v>
      </c>
      <c r="R618" s="1" t="s">
        <v>41</v>
      </c>
      <c r="T618" s="1" t="s">
        <v>71</v>
      </c>
      <c r="U618" s="1" t="s">
        <v>44</v>
      </c>
      <c r="X618" s="1" t="s">
        <v>223</v>
      </c>
      <c r="AA618" s="3">
        <v>36722</v>
      </c>
      <c r="AB618" s="1" t="s">
        <v>46</v>
      </c>
      <c r="AC618" s="5">
        <v>2439</v>
      </c>
      <c r="AD618" s="1" t="s">
        <v>1761</v>
      </c>
      <c r="AE618" s="1" t="str">
        <f t="shared" si="46"/>
        <v>2079 9</v>
      </c>
      <c r="AF618" s="5" t="str">
        <f t="shared" si="50"/>
        <v>140</v>
      </c>
      <c r="AG618" s="1" t="str">
        <f t="shared" si="45"/>
        <v>Y</v>
      </c>
    </row>
    <row r="619" spans="1:33" x14ac:dyDescent="0.2">
      <c r="A619" s="1" t="s">
        <v>1755</v>
      </c>
      <c r="B619" s="1" t="s">
        <v>1756</v>
      </c>
      <c r="C619" s="1">
        <v>2079</v>
      </c>
      <c r="D619" s="1" t="s">
        <v>955</v>
      </c>
      <c r="F619" s="1">
        <v>2023</v>
      </c>
      <c r="G619" s="1" t="s">
        <v>1188</v>
      </c>
      <c r="H619" s="1">
        <v>605879</v>
      </c>
      <c r="I619" s="1">
        <v>7</v>
      </c>
      <c r="J619" s="1" t="s">
        <v>228</v>
      </c>
      <c r="K619" s="1" t="s">
        <v>994</v>
      </c>
      <c r="L619" s="1" t="s">
        <v>1757</v>
      </c>
      <c r="M619" s="1">
        <v>95</v>
      </c>
      <c r="N619" s="1" t="s">
        <v>39</v>
      </c>
      <c r="O619" s="1">
        <v>39.130600000000001</v>
      </c>
      <c r="P619" s="1">
        <v>-94.477800000000002</v>
      </c>
      <c r="Q619" s="1" t="s">
        <v>1283</v>
      </c>
      <c r="R619" s="1" t="s">
        <v>41</v>
      </c>
      <c r="T619" s="1" t="s">
        <v>89</v>
      </c>
      <c r="U619" s="1" t="s">
        <v>55</v>
      </c>
      <c r="W619" s="1" t="s">
        <v>212</v>
      </c>
      <c r="X619" s="1" t="s">
        <v>563</v>
      </c>
      <c r="Y619" s="1" t="s">
        <v>232</v>
      </c>
      <c r="Z619" s="1" t="s">
        <v>214</v>
      </c>
      <c r="AA619" s="3">
        <v>37022</v>
      </c>
      <c r="AB619" s="1" t="s">
        <v>46</v>
      </c>
      <c r="AC619" s="5">
        <v>7179</v>
      </c>
      <c r="AD619" s="1" t="s">
        <v>1762</v>
      </c>
      <c r="AE619" s="1" t="str">
        <f t="shared" si="46"/>
        <v>2079 5A</v>
      </c>
      <c r="AF619" s="5" t="str">
        <f t="shared" si="50"/>
        <v>550</v>
      </c>
      <c r="AG619" s="1" t="str">
        <f t="shared" si="45"/>
        <v>Y</v>
      </c>
    </row>
    <row r="620" spans="1:33" x14ac:dyDescent="0.2">
      <c r="A620" s="1" t="s">
        <v>1755</v>
      </c>
      <c r="B620" s="1" t="s">
        <v>1763</v>
      </c>
      <c r="C620" s="1">
        <v>2081</v>
      </c>
      <c r="D620" s="1">
        <v>11</v>
      </c>
      <c r="F620" s="1">
        <v>2023</v>
      </c>
      <c r="G620" s="1" t="s">
        <v>1195</v>
      </c>
      <c r="H620" s="1">
        <v>605879</v>
      </c>
      <c r="I620" s="1">
        <v>7</v>
      </c>
      <c r="K620" s="1" t="s">
        <v>994</v>
      </c>
      <c r="L620" s="1" t="s">
        <v>1757</v>
      </c>
      <c r="M620" s="1">
        <v>95</v>
      </c>
      <c r="N620" s="1" t="s">
        <v>39</v>
      </c>
      <c r="O620" s="1">
        <v>39.123100000000001</v>
      </c>
      <c r="P620" s="1">
        <v>-94.560500000000005</v>
      </c>
      <c r="Q620" s="1" t="s">
        <v>1283</v>
      </c>
      <c r="T620" s="1" t="s">
        <v>93</v>
      </c>
      <c r="U620" s="1" t="s">
        <v>94</v>
      </c>
      <c r="AA620" s="3">
        <v>26449</v>
      </c>
      <c r="AB620" s="1" t="s">
        <v>46</v>
      </c>
      <c r="AC620" s="5">
        <v>1000</v>
      </c>
      <c r="AD620" s="1" t="s">
        <v>1764</v>
      </c>
      <c r="AE620" s="1" t="str">
        <f t="shared" si="46"/>
        <v>2081 11</v>
      </c>
      <c r="AF620" s="5" t="str">
        <f t="shared" si="50"/>
        <v>64</v>
      </c>
      <c r="AG620" s="1" t="str">
        <f t="shared" si="45"/>
        <v/>
      </c>
    </row>
    <row r="621" spans="1:33" x14ac:dyDescent="0.2">
      <c r="A621" s="1" t="s">
        <v>1755</v>
      </c>
      <c r="B621" s="1" t="s">
        <v>1763</v>
      </c>
      <c r="C621" s="1">
        <v>2081</v>
      </c>
      <c r="D621" s="1">
        <v>12</v>
      </c>
      <c r="F621" s="1">
        <v>2023</v>
      </c>
      <c r="G621" s="1" t="s">
        <v>1195</v>
      </c>
      <c r="H621" s="1">
        <v>605879</v>
      </c>
      <c r="I621" s="1">
        <v>7</v>
      </c>
      <c r="K621" s="1" t="s">
        <v>994</v>
      </c>
      <c r="L621" s="1" t="s">
        <v>1757</v>
      </c>
      <c r="M621" s="1">
        <v>95</v>
      </c>
      <c r="N621" s="1" t="s">
        <v>39</v>
      </c>
      <c r="O621" s="1">
        <v>39.123100000000001</v>
      </c>
      <c r="P621" s="1">
        <v>-94.560500000000005</v>
      </c>
      <c r="Q621" s="1" t="s">
        <v>1283</v>
      </c>
      <c r="T621" s="1" t="s">
        <v>93</v>
      </c>
      <c r="U621" s="1" t="s">
        <v>94</v>
      </c>
      <c r="AA621" s="3">
        <v>26449</v>
      </c>
      <c r="AB621" s="1" t="s">
        <v>46</v>
      </c>
      <c r="AC621" s="5">
        <v>1000</v>
      </c>
      <c r="AD621" s="1" t="s">
        <v>1765</v>
      </c>
      <c r="AE621" s="1" t="str">
        <f t="shared" si="46"/>
        <v>2081 12</v>
      </c>
      <c r="AF621" s="5" t="str">
        <f t="shared" si="50"/>
        <v>64</v>
      </c>
      <c r="AG621" s="1" t="str">
        <f t="shared" si="45"/>
        <v/>
      </c>
    </row>
    <row r="622" spans="1:33" x14ac:dyDescent="0.2">
      <c r="A622" s="1" t="s">
        <v>1755</v>
      </c>
      <c r="B622" s="1" t="s">
        <v>1763</v>
      </c>
      <c r="C622" s="1">
        <v>2081</v>
      </c>
      <c r="D622" s="1">
        <v>13</v>
      </c>
      <c r="F622" s="1">
        <v>2023</v>
      </c>
      <c r="G622" s="1" t="s">
        <v>1195</v>
      </c>
      <c r="H622" s="1">
        <v>605879</v>
      </c>
      <c r="I622" s="1">
        <v>7</v>
      </c>
      <c r="K622" s="1" t="s">
        <v>994</v>
      </c>
      <c r="L622" s="1" t="s">
        <v>1757</v>
      </c>
      <c r="M622" s="1">
        <v>95</v>
      </c>
      <c r="N622" s="1" t="s">
        <v>39</v>
      </c>
      <c r="O622" s="1">
        <v>39.123100000000001</v>
      </c>
      <c r="P622" s="1">
        <v>-94.560500000000005</v>
      </c>
      <c r="Q622" s="1" t="s">
        <v>1283</v>
      </c>
      <c r="T622" s="1" t="s">
        <v>93</v>
      </c>
      <c r="U622" s="1" t="s">
        <v>94</v>
      </c>
      <c r="AA622" s="3">
        <v>27936</v>
      </c>
      <c r="AB622" s="1" t="s">
        <v>46</v>
      </c>
      <c r="AC622" s="5">
        <v>1000</v>
      </c>
      <c r="AD622" s="1" t="s">
        <v>1766</v>
      </c>
      <c r="AE622" s="1" t="str">
        <f t="shared" si="46"/>
        <v>2081 13</v>
      </c>
      <c r="AF622" s="5" t="str">
        <f t="shared" si="50"/>
        <v>64</v>
      </c>
      <c r="AG622" s="1" t="str">
        <f t="shared" si="45"/>
        <v/>
      </c>
    </row>
    <row r="623" spans="1:33" x14ac:dyDescent="0.2">
      <c r="A623" s="1" t="s">
        <v>1755</v>
      </c>
      <c r="B623" s="1" t="s">
        <v>1763</v>
      </c>
      <c r="C623" s="1">
        <v>2081</v>
      </c>
      <c r="D623" s="1">
        <v>14</v>
      </c>
      <c r="F623" s="1">
        <v>2023</v>
      </c>
      <c r="G623" s="1" t="s">
        <v>1195</v>
      </c>
      <c r="H623" s="1">
        <v>605879</v>
      </c>
      <c r="I623" s="1">
        <v>7</v>
      </c>
      <c r="K623" s="1" t="s">
        <v>994</v>
      </c>
      <c r="L623" s="1" t="s">
        <v>1757</v>
      </c>
      <c r="M623" s="1">
        <v>95</v>
      </c>
      <c r="N623" s="1" t="s">
        <v>39</v>
      </c>
      <c r="O623" s="1">
        <v>39.123100000000001</v>
      </c>
      <c r="P623" s="1">
        <v>-94.560500000000005</v>
      </c>
      <c r="Q623" s="1" t="s">
        <v>1283</v>
      </c>
      <c r="T623" s="1" t="s">
        <v>93</v>
      </c>
      <c r="U623" s="1" t="s">
        <v>94</v>
      </c>
      <c r="AA623" s="3">
        <v>27908</v>
      </c>
      <c r="AB623" s="1" t="s">
        <v>46</v>
      </c>
      <c r="AC623" s="5">
        <v>1000</v>
      </c>
      <c r="AD623" s="1" t="s">
        <v>1767</v>
      </c>
      <c r="AE623" s="1" t="str">
        <f t="shared" si="46"/>
        <v>2081 14</v>
      </c>
      <c r="AF623" s="5" t="str">
        <f t="shared" si="50"/>
        <v>64</v>
      </c>
      <c r="AG623" s="1" t="str">
        <f t="shared" si="45"/>
        <v/>
      </c>
    </row>
    <row r="624" spans="1:33" x14ac:dyDescent="0.2">
      <c r="A624" s="1" t="s">
        <v>1755</v>
      </c>
      <c r="B624" s="1" t="s">
        <v>1763</v>
      </c>
      <c r="C624" s="1">
        <v>2081</v>
      </c>
      <c r="D624" s="1">
        <v>15</v>
      </c>
      <c r="F624" s="1">
        <v>2023</v>
      </c>
      <c r="G624" s="1" t="s">
        <v>1195</v>
      </c>
      <c r="H624" s="1">
        <v>605879</v>
      </c>
      <c r="I624" s="1">
        <v>7</v>
      </c>
      <c r="K624" s="1" t="s">
        <v>994</v>
      </c>
      <c r="L624" s="1" t="s">
        <v>1757</v>
      </c>
      <c r="M624" s="1">
        <v>95</v>
      </c>
      <c r="N624" s="1" t="s">
        <v>39</v>
      </c>
      <c r="O624" s="1">
        <v>39.123100000000001</v>
      </c>
      <c r="P624" s="1">
        <v>-94.560500000000005</v>
      </c>
      <c r="Q624" s="1" t="s">
        <v>1283</v>
      </c>
      <c r="T624" s="1" t="s">
        <v>93</v>
      </c>
      <c r="U624" s="1" t="s">
        <v>94</v>
      </c>
      <c r="AA624" s="3">
        <v>27542</v>
      </c>
      <c r="AB624" s="1" t="s">
        <v>46</v>
      </c>
      <c r="AC624" s="5">
        <v>1000</v>
      </c>
      <c r="AD624" s="1" t="s">
        <v>1768</v>
      </c>
      <c r="AE624" s="1" t="str">
        <f t="shared" si="46"/>
        <v>2081 15</v>
      </c>
      <c r="AF624" s="5" t="str">
        <f t="shared" si="50"/>
        <v>64</v>
      </c>
      <c r="AG624" s="1" t="str">
        <f t="shared" si="45"/>
        <v/>
      </c>
    </row>
    <row r="625" spans="1:33" x14ac:dyDescent="0.2">
      <c r="A625" s="1" t="s">
        <v>1755</v>
      </c>
      <c r="B625" s="1" t="s">
        <v>1763</v>
      </c>
      <c r="C625" s="1">
        <v>2081</v>
      </c>
      <c r="D625" s="1">
        <v>16</v>
      </c>
      <c r="F625" s="1">
        <v>2023</v>
      </c>
      <c r="G625" s="1" t="s">
        <v>1195</v>
      </c>
      <c r="H625" s="1">
        <v>605879</v>
      </c>
      <c r="I625" s="1">
        <v>7</v>
      </c>
      <c r="K625" s="1" t="s">
        <v>994</v>
      </c>
      <c r="L625" s="1" t="s">
        <v>1757</v>
      </c>
      <c r="M625" s="1">
        <v>95</v>
      </c>
      <c r="N625" s="1" t="s">
        <v>39</v>
      </c>
      <c r="O625" s="1">
        <v>39.123100000000001</v>
      </c>
      <c r="P625" s="1">
        <v>-94.560500000000005</v>
      </c>
      <c r="Q625" s="1" t="s">
        <v>1283</v>
      </c>
      <c r="T625" s="1" t="s">
        <v>93</v>
      </c>
      <c r="U625" s="1" t="s">
        <v>94</v>
      </c>
      <c r="AA625" s="3">
        <v>27542</v>
      </c>
      <c r="AB625" s="1" t="s">
        <v>46</v>
      </c>
      <c r="AC625" s="5">
        <v>1000</v>
      </c>
      <c r="AD625" s="1" t="s">
        <v>1769</v>
      </c>
      <c r="AE625" s="1" t="str">
        <f t="shared" si="46"/>
        <v>2081 16</v>
      </c>
      <c r="AF625" s="5" t="str">
        <f t="shared" si="50"/>
        <v>64</v>
      </c>
      <c r="AG625" s="1" t="str">
        <f t="shared" si="45"/>
        <v/>
      </c>
    </row>
    <row r="626" spans="1:33" x14ac:dyDescent="0.2">
      <c r="A626" s="1" t="s">
        <v>1755</v>
      </c>
      <c r="B626" s="1" t="s">
        <v>1763</v>
      </c>
      <c r="C626" s="1">
        <v>2081</v>
      </c>
      <c r="D626" s="1">
        <v>17</v>
      </c>
      <c r="F626" s="1">
        <v>2023</v>
      </c>
      <c r="G626" s="1" t="s">
        <v>1195</v>
      </c>
      <c r="H626" s="1">
        <v>605879</v>
      </c>
      <c r="I626" s="1">
        <v>7</v>
      </c>
      <c r="K626" s="1" t="s">
        <v>994</v>
      </c>
      <c r="L626" s="1" t="s">
        <v>1757</v>
      </c>
      <c r="M626" s="1">
        <v>95</v>
      </c>
      <c r="N626" s="1" t="s">
        <v>39</v>
      </c>
      <c r="O626" s="1">
        <v>39.123100000000001</v>
      </c>
      <c r="P626" s="1">
        <v>-94.560500000000005</v>
      </c>
      <c r="Q626" s="1" t="s">
        <v>1283</v>
      </c>
      <c r="T626" s="1" t="s">
        <v>93</v>
      </c>
      <c r="U626" s="1" t="s">
        <v>94</v>
      </c>
      <c r="AA626" s="3">
        <v>28276</v>
      </c>
      <c r="AB626" s="1" t="s">
        <v>46</v>
      </c>
      <c r="AC626" s="5">
        <v>1000</v>
      </c>
      <c r="AD626" s="1" t="s">
        <v>1770</v>
      </c>
      <c r="AE626" s="1" t="str">
        <f t="shared" si="46"/>
        <v>2081 17</v>
      </c>
      <c r="AF626" s="5" t="str">
        <f t="shared" si="50"/>
        <v>64</v>
      </c>
      <c r="AG626" s="1" t="str">
        <f t="shared" si="45"/>
        <v/>
      </c>
    </row>
    <row r="627" spans="1:33" x14ac:dyDescent="0.2">
      <c r="A627" s="1" t="s">
        <v>1755</v>
      </c>
      <c r="B627" s="1" t="s">
        <v>1763</v>
      </c>
      <c r="C627" s="1">
        <v>2081</v>
      </c>
      <c r="D627" s="1">
        <v>18</v>
      </c>
      <c r="F627" s="1">
        <v>2023</v>
      </c>
      <c r="G627" s="1" t="s">
        <v>1195</v>
      </c>
      <c r="H627" s="1">
        <v>605879</v>
      </c>
      <c r="I627" s="1">
        <v>7</v>
      </c>
      <c r="K627" s="1" t="s">
        <v>994</v>
      </c>
      <c r="L627" s="1" t="s">
        <v>1757</v>
      </c>
      <c r="M627" s="1">
        <v>95</v>
      </c>
      <c r="N627" s="1" t="s">
        <v>39</v>
      </c>
      <c r="O627" s="1">
        <v>39.123100000000001</v>
      </c>
      <c r="P627" s="1">
        <v>-94.560500000000005</v>
      </c>
      <c r="Q627" s="1" t="s">
        <v>1283</v>
      </c>
      <c r="T627" s="1" t="s">
        <v>93</v>
      </c>
      <c r="U627" s="1" t="s">
        <v>94</v>
      </c>
      <c r="AA627" s="3">
        <v>28276</v>
      </c>
      <c r="AB627" s="1" t="s">
        <v>46</v>
      </c>
      <c r="AC627" s="5">
        <v>1000</v>
      </c>
      <c r="AD627" s="1" t="s">
        <v>1771</v>
      </c>
      <c r="AE627" s="1" t="str">
        <f t="shared" si="46"/>
        <v>2081 18</v>
      </c>
      <c r="AF627" s="5" t="str">
        <f t="shared" si="50"/>
        <v>64</v>
      </c>
      <c r="AG627" s="1" t="str">
        <f t="shared" si="45"/>
        <v/>
      </c>
    </row>
    <row r="628" spans="1:33" x14ac:dyDescent="0.2">
      <c r="A628" s="1" t="s">
        <v>1755</v>
      </c>
      <c r="B628" s="1" t="s">
        <v>1772</v>
      </c>
      <c r="C628" s="1">
        <v>2082</v>
      </c>
      <c r="D628" s="1" t="s">
        <v>993</v>
      </c>
      <c r="F628" s="1">
        <v>2023</v>
      </c>
      <c r="G628" s="1" t="s">
        <v>1195</v>
      </c>
      <c r="H628" s="1">
        <v>607655</v>
      </c>
      <c r="I628" s="1">
        <v>7</v>
      </c>
      <c r="K628" s="1" t="s">
        <v>1773</v>
      </c>
      <c r="L628" s="1" t="s">
        <v>1774</v>
      </c>
      <c r="M628" s="1">
        <v>51</v>
      </c>
      <c r="N628" s="1" t="s">
        <v>39</v>
      </c>
      <c r="O628" s="1">
        <v>38.593499999999999</v>
      </c>
      <c r="P628" s="1">
        <v>-92.220299999999995</v>
      </c>
      <c r="Q628" s="1" t="s">
        <v>1046</v>
      </c>
      <c r="T628" s="1" t="s">
        <v>93</v>
      </c>
      <c r="U628" s="1" t="s">
        <v>94</v>
      </c>
      <c r="AA628" s="3">
        <v>27030</v>
      </c>
      <c r="AB628" s="1" t="s">
        <v>46</v>
      </c>
      <c r="AC628" s="5">
        <v>891</v>
      </c>
      <c r="AD628" s="1" t="s">
        <v>1775</v>
      </c>
      <c r="AE628" s="1" t="str">
        <f t="shared" si="46"/>
        <v>2082 CT01</v>
      </c>
      <c r="AF628" s="5" t="str">
        <f t="shared" si="50"/>
        <v>68</v>
      </c>
      <c r="AG628" s="1" t="str">
        <f t="shared" si="45"/>
        <v/>
      </c>
    </row>
    <row r="629" spans="1:33" x14ac:dyDescent="0.2">
      <c r="A629" s="1" t="s">
        <v>1755</v>
      </c>
      <c r="B629" s="1" t="s">
        <v>1776</v>
      </c>
      <c r="C629" s="1">
        <v>2092</v>
      </c>
      <c r="D629" s="1">
        <v>3</v>
      </c>
      <c r="F629" s="1">
        <v>2023</v>
      </c>
      <c r="G629" s="1" t="s">
        <v>1195</v>
      </c>
      <c r="H629" s="1">
        <v>605879</v>
      </c>
      <c r="I629" s="1">
        <v>7</v>
      </c>
      <c r="K629" s="1" t="s">
        <v>1777</v>
      </c>
      <c r="L629" s="1" t="s">
        <v>1778</v>
      </c>
      <c r="M629" s="1">
        <v>37</v>
      </c>
      <c r="N629" s="1" t="s">
        <v>39</v>
      </c>
      <c r="O629" s="1">
        <v>38.786499999999997</v>
      </c>
      <c r="P629" s="1">
        <v>-94.276799999999994</v>
      </c>
      <c r="Q629" s="1" t="s">
        <v>1283</v>
      </c>
      <c r="T629" s="1" t="s">
        <v>93</v>
      </c>
      <c r="U629" s="1" t="s">
        <v>44</v>
      </c>
      <c r="X629" s="1" t="s">
        <v>95</v>
      </c>
      <c r="AA629" s="3">
        <v>29738</v>
      </c>
      <c r="AB629" s="1" t="s">
        <v>46</v>
      </c>
      <c r="AC629" s="5">
        <v>1187</v>
      </c>
      <c r="AD629" s="1" t="s">
        <v>1779</v>
      </c>
      <c r="AE629" s="1" t="str">
        <f t="shared" si="46"/>
        <v>2092 3</v>
      </c>
      <c r="AF629" s="5" t="str">
        <f t="shared" si="50"/>
        <v>71</v>
      </c>
      <c r="AG629" s="1" t="str">
        <f t="shared" si="45"/>
        <v/>
      </c>
    </row>
    <row r="630" spans="1:33" x14ac:dyDescent="0.2">
      <c r="A630" s="1" t="s">
        <v>1755</v>
      </c>
      <c r="B630" s="1" t="s">
        <v>1780</v>
      </c>
      <c r="C630" s="1">
        <v>2098</v>
      </c>
      <c r="D630" s="1">
        <v>6</v>
      </c>
      <c r="F630" s="1">
        <v>2023</v>
      </c>
      <c r="G630" s="1" t="s">
        <v>1207</v>
      </c>
      <c r="H630" s="1">
        <v>605879</v>
      </c>
      <c r="I630" s="1">
        <v>7</v>
      </c>
      <c r="J630" s="1" t="s">
        <v>228</v>
      </c>
      <c r="K630" s="1" t="s">
        <v>1781</v>
      </c>
      <c r="L630" s="1" t="s">
        <v>1782</v>
      </c>
      <c r="M630" s="1">
        <v>21</v>
      </c>
      <c r="N630" s="1" t="s">
        <v>39</v>
      </c>
      <c r="O630" s="1">
        <v>39.724600000000002</v>
      </c>
      <c r="P630" s="1">
        <v>-94.877300000000005</v>
      </c>
      <c r="Q630" s="1" t="s">
        <v>1283</v>
      </c>
      <c r="R630" s="1" t="s">
        <v>41</v>
      </c>
      <c r="T630" s="1" t="s">
        <v>606</v>
      </c>
      <c r="U630" s="1" t="s">
        <v>44</v>
      </c>
      <c r="X630" s="1" t="s">
        <v>220</v>
      </c>
      <c r="AA630" s="3">
        <v>24259</v>
      </c>
      <c r="AB630" s="1" t="s">
        <v>46</v>
      </c>
      <c r="AC630" s="5">
        <v>1571</v>
      </c>
      <c r="AD630" s="1" t="s">
        <v>1754</v>
      </c>
      <c r="AE630" s="1" t="str">
        <f t="shared" si="46"/>
        <v>2098 6</v>
      </c>
      <c r="AF630" s="5" t="str">
        <f t="shared" si="50"/>
        <v>90</v>
      </c>
      <c r="AG630" s="1" t="str">
        <f t="shared" si="45"/>
        <v/>
      </c>
    </row>
    <row r="631" spans="1:33" x14ac:dyDescent="0.2">
      <c r="A631" s="1" t="s">
        <v>1755</v>
      </c>
      <c r="B631" s="1" t="s">
        <v>1780</v>
      </c>
      <c r="C631" s="1">
        <v>2098</v>
      </c>
      <c r="D631" s="1" t="s">
        <v>253</v>
      </c>
      <c r="F631" s="1">
        <v>2023</v>
      </c>
      <c r="G631" s="1" t="s">
        <v>1195</v>
      </c>
      <c r="H631" s="1">
        <v>605879</v>
      </c>
      <c r="I631" s="1">
        <v>7</v>
      </c>
      <c r="J631" s="1" t="s">
        <v>228</v>
      </c>
      <c r="K631" s="1" t="s">
        <v>1781</v>
      </c>
      <c r="L631" s="1" t="s">
        <v>1782</v>
      </c>
      <c r="M631" s="1">
        <v>21</v>
      </c>
      <c r="N631" s="1" t="s">
        <v>39</v>
      </c>
      <c r="O631" s="1">
        <v>39.724600000000002</v>
      </c>
      <c r="P631" s="1">
        <v>-94.877300000000005</v>
      </c>
      <c r="Q631" s="1" t="s">
        <v>1283</v>
      </c>
      <c r="T631" s="1" t="s">
        <v>93</v>
      </c>
      <c r="U631" s="1" t="s">
        <v>44</v>
      </c>
      <c r="V631" s="1" t="s">
        <v>94</v>
      </c>
      <c r="AA631" s="3">
        <v>26830</v>
      </c>
      <c r="AB631" s="1" t="s">
        <v>46</v>
      </c>
      <c r="AC631" s="5">
        <v>867</v>
      </c>
      <c r="AD631" s="1" t="s">
        <v>1783</v>
      </c>
      <c r="AE631" s="1" t="str">
        <f t="shared" si="46"/>
        <v>2098 GT5</v>
      </c>
      <c r="AF631" s="5" t="str">
        <f t="shared" si="50"/>
        <v>85</v>
      </c>
      <c r="AG631" s="1" t="str">
        <f t="shared" si="45"/>
        <v/>
      </c>
    </row>
    <row r="632" spans="1:33" x14ac:dyDescent="0.2">
      <c r="A632" s="1" t="s">
        <v>1755</v>
      </c>
      <c r="B632" s="1" t="s">
        <v>1784</v>
      </c>
      <c r="C632" s="1">
        <v>2103</v>
      </c>
      <c r="D632" s="1">
        <v>1</v>
      </c>
      <c r="F632" s="1">
        <v>2023</v>
      </c>
      <c r="G632" s="1" t="s">
        <v>1188</v>
      </c>
      <c r="H632" s="1">
        <v>607655</v>
      </c>
      <c r="I632" s="1">
        <v>7</v>
      </c>
      <c r="K632" s="1" t="s">
        <v>357</v>
      </c>
      <c r="L632" s="1" t="s">
        <v>1785</v>
      </c>
      <c r="M632" s="1">
        <v>71</v>
      </c>
      <c r="N632" s="1" t="s">
        <v>39</v>
      </c>
      <c r="O632" s="1">
        <v>38.558300000000003</v>
      </c>
      <c r="P632" s="1">
        <v>-90.836100000000002</v>
      </c>
      <c r="Q632" s="1" t="s">
        <v>1046</v>
      </c>
      <c r="R632" s="1" t="s">
        <v>120</v>
      </c>
      <c r="S632" s="1" t="s">
        <v>121</v>
      </c>
      <c r="T632" s="1" t="s">
        <v>43</v>
      </c>
      <c r="U632" s="1" t="s">
        <v>55</v>
      </c>
      <c r="X632" s="1" t="s">
        <v>213</v>
      </c>
      <c r="Y632" s="1" t="s">
        <v>58</v>
      </c>
      <c r="Z632" s="1" t="s">
        <v>214</v>
      </c>
      <c r="AA632" s="3">
        <v>25689</v>
      </c>
      <c r="AB632" s="1" t="s">
        <v>46</v>
      </c>
      <c r="AC632" s="5">
        <v>6183</v>
      </c>
      <c r="AD632" s="1" t="s">
        <v>1786</v>
      </c>
      <c r="AE632" s="1" t="str">
        <f t="shared" si="46"/>
        <v>2103 1</v>
      </c>
      <c r="AF632" s="5" t="str">
        <f t="shared" si="50"/>
        <v>573.8</v>
      </c>
      <c r="AG632" s="1" t="str">
        <f t="shared" si="45"/>
        <v/>
      </c>
    </row>
    <row r="633" spans="1:33" x14ac:dyDescent="0.2">
      <c r="A633" s="1" t="s">
        <v>1755</v>
      </c>
      <c r="B633" s="1" t="s">
        <v>1784</v>
      </c>
      <c r="C633" s="1">
        <v>2103</v>
      </c>
      <c r="D633" s="1">
        <v>2</v>
      </c>
      <c r="F633" s="1">
        <v>2023</v>
      </c>
      <c r="G633" s="1" t="s">
        <v>1188</v>
      </c>
      <c r="H633" s="1">
        <v>607655</v>
      </c>
      <c r="I633" s="1">
        <v>7</v>
      </c>
      <c r="K633" s="1" t="s">
        <v>357</v>
      </c>
      <c r="L633" s="1" t="s">
        <v>1785</v>
      </c>
      <c r="M633" s="1">
        <v>71</v>
      </c>
      <c r="N633" s="1" t="s">
        <v>39</v>
      </c>
      <c r="O633" s="1">
        <v>38.558300000000003</v>
      </c>
      <c r="P633" s="1">
        <v>-90.836100000000002</v>
      </c>
      <c r="Q633" s="1" t="s">
        <v>1046</v>
      </c>
      <c r="R633" s="1" t="s">
        <v>120</v>
      </c>
      <c r="S633" s="1" t="s">
        <v>121</v>
      </c>
      <c r="T633" s="1" t="s">
        <v>43</v>
      </c>
      <c r="U633" s="1" t="s">
        <v>55</v>
      </c>
      <c r="X633" s="1" t="s">
        <v>213</v>
      </c>
      <c r="Y633" s="1" t="s">
        <v>58</v>
      </c>
      <c r="Z633" s="1" t="s">
        <v>214</v>
      </c>
      <c r="AA633" s="3">
        <v>26024</v>
      </c>
      <c r="AB633" s="1" t="s">
        <v>46</v>
      </c>
      <c r="AC633" s="5">
        <v>6183</v>
      </c>
      <c r="AD633" s="1" t="s">
        <v>1787</v>
      </c>
      <c r="AE633" s="1" t="str">
        <f t="shared" si="46"/>
        <v>2103 2</v>
      </c>
      <c r="AF633" s="5" t="str">
        <f t="shared" si="50"/>
        <v>573.8</v>
      </c>
      <c r="AG633" s="1" t="str">
        <f t="shared" si="45"/>
        <v/>
      </c>
    </row>
    <row r="634" spans="1:33" x14ac:dyDescent="0.2">
      <c r="A634" s="1" t="s">
        <v>1755</v>
      </c>
      <c r="B634" s="1" t="s">
        <v>1784</v>
      </c>
      <c r="C634" s="1">
        <v>2103</v>
      </c>
      <c r="D634" s="1">
        <v>3</v>
      </c>
      <c r="F634" s="1">
        <v>2023</v>
      </c>
      <c r="G634" s="1" t="s">
        <v>1188</v>
      </c>
      <c r="H634" s="1">
        <v>607655</v>
      </c>
      <c r="I634" s="1">
        <v>7</v>
      </c>
      <c r="K634" s="1" t="s">
        <v>357</v>
      </c>
      <c r="L634" s="1" t="s">
        <v>1785</v>
      </c>
      <c r="M634" s="1">
        <v>71</v>
      </c>
      <c r="N634" s="1" t="s">
        <v>39</v>
      </c>
      <c r="O634" s="1">
        <v>38.558300000000003</v>
      </c>
      <c r="P634" s="1">
        <v>-90.836100000000002</v>
      </c>
      <c r="Q634" s="1" t="s">
        <v>1046</v>
      </c>
      <c r="R634" s="1" t="s">
        <v>120</v>
      </c>
      <c r="S634" s="1" t="s">
        <v>121</v>
      </c>
      <c r="T634" s="1" t="s">
        <v>43</v>
      </c>
      <c r="U634" s="1" t="s">
        <v>55</v>
      </c>
      <c r="X634" s="1" t="s">
        <v>213</v>
      </c>
      <c r="Y634" s="1" t="s">
        <v>58</v>
      </c>
      <c r="Z634" s="1" t="s">
        <v>214</v>
      </c>
      <c r="AA634" s="3">
        <v>26481</v>
      </c>
      <c r="AB634" s="1" t="s">
        <v>46</v>
      </c>
      <c r="AC634" s="5">
        <v>6107</v>
      </c>
      <c r="AD634" s="1" t="s">
        <v>1788</v>
      </c>
      <c r="AE634" s="1" t="str">
        <f t="shared" si="46"/>
        <v>2103 3</v>
      </c>
      <c r="AF634" s="5" t="str">
        <f t="shared" si="50"/>
        <v>621</v>
      </c>
      <c r="AG634" s="1" t="str">
        <f t="shared" si="45"/>
        <v/>
      </c>
    </row>
    <row r="635" spans="1:33" x14ac:dyDescent="0.2">
      <c r="A635" s="1" t="s">
        <v>1755</v>
      </c>
      <c r="B635" s="1" t="s">
        <v>1784</v>
      </c>
      <c r="C635" s="1">
        <v>2103</v>
      </c>
      <c r="D635" s="1">
        <v>4</v>
      </c>
      <c r="F635" s="1">
        <v>2023</v>
      </c>
      <c r="G635" s="1" t="s">
        <v>1188</v>
      </c>
      <c r="H635" s="1">
        <v>607655</v>
      </c>
      <c r="I635" s="1">
        <v>7</v>
      </c>
      <c r="K635" s="1" t="s">
        <v>357</v>
      </c>
      <c r="L635" s="1" t="s">
        <v>1785</v>
      </c>
      <c r="M635" s="1">
        <v>71</v>
      </c>
      <c r="N635" s="1" t="s">
        <v>39</v>
      </c>
      <c r="O635" s="1">
        <v>38.558300000000003</v>
      </c>
      <c r="P635" s="1">
        <v>-90.836100000000002</v>
      </c>
      <c r="Q635" s="1" t="s">
        <v>1046</v>
      </c>
      <c r="R635" s="1" t="s">
        <v>120</v>
      </c>
      <c r="S635" s="1" t="s">
        <v>121</v>
      </c>
      <c r="T635" s="1" t="s">
        <v>43</v>
      </c>
      <c r="U635" s="1" t="s">
        <v>55</v>
      </c>
      <c r="X635" s="1" t="s">
        <v>213</v>
      </c>
      <c r="Y635" s="1" t="s">
        <v>58</v>
      </c>
      <c r="Z635" s="1" t="s">
        <v>214</v>
      </c>
      <c r="AA635" s="3">
        <v>26816</v>
      </c>
      <c r="AB635" s="1" t="s">
        <v>46</v>
      </c>
      <c r="AC635" s="5">
        <v>6107</v>
      </c>
      <c r="AD635" s="1" t="s">
        <v>1789</v>
      </c>
      <c r="AE635" s="1" t="str">
        <f t="shared" si="46"/>
        <v>2103 4</v>
      </c>
      <c r="AF635" s="5" t="str">
        <f t="shared" si="50"/>
        <v>621</v>
      </c>
      <c r="AG635" s="1" t="str">
        <f t="shared" si="45"/>
        <v/>
      </c>
    </row>
    <row r="636" spans="1:33" x14ac:dyDescent="0.2">
      <c r="A636" s="1" t="s">
        <v>1755</v>
      </c>
      <c r="B636" s="1" t="s">
        <v>1790</v>
      </c>
      <c r="C636" s="1">
        <v>2107</v>
      </c>
      <c r="D636" s="1">
        <v>1</v>
      </c>
      <c r="F636" s="1">
        <v>2023</v>
      </c>
      <c r="G636" s="1" t="s">
        <v>1188</v>
      </c>
      <c r="H636" s="1">
        <v>607655</v>
      </c>
      <c r="I636" s="1">
        <v>7</v>
      </c>
      <c r="K636" s="1" t="s">
        <v>1791</v>
      </c>
      <c r="L636" s="1" t="s">
        <v>1792</v>
      </c>
      <c r="M636" s="1">
        <v>183</v>
      </c>
      <c r="N636" s="1" t="s">
        <v>39</v>
      </c>
      <c r="O636" s="1">
        <v>38.915799999999997</v>
      </c>
      <c r="P636" s="1">
        <v>-90.291700000000006</v>
      </c>
      <c r="Q636" s="1" t="s">
        <v>1046</v>
      </c>
      <c r="R636" s="1" t="s">
        <v>120</v>
      </c>
      <c r="S636" s="1" t="s">
        <v>85</v>
      </c>
      <c r="T636" s="1" t="s">
        <v>606</v>
      </c>
      <c r="U636" s="1" t="s">
        <v>55</v>
      </c>
      <c r="W636" s="1" t="s">
        <v>56</v>
      </c>
      <c r="X636" s="1" t="s">
        <v>1793</v>
      </c>
      <c r="Y636" s="1" t="s">
        <v>800</v>
      </c>
      <c r="AA636" s="3">
        <v>24532</v>
      </c>
      <c r="AB636" s="1" t="s">
        <v>46</v>
      </c>
      <c r="AC636" s="5">
        <v>4920</v>
      </c>
      <c r="AD636" s="1" t="s">
        <v>1794</v>
      </c>
      <c r="AE636" s="1" t="str">
        <f t="shared" si="46"/>
        <v>2107 1</v>
      </c>
      <c r="AF636" s="5" t="str">
        <f t="shared" si="50"/>
        <v>549.8</v>
      </c>
      <c r="AG636" s="1" t="str">
        <f t="shared" si="45"/>
        <v/>
      </c>
    </row>
    <row r="637" spans="1:33" x14ac:dyDescent="0.2">
      <c r="A637" s="1" t="s">
        <v>1755</v>
      </c>
      <c r="B637" s="1" t="s">
        <v>1790</v>
      </c>
      <c r="C637" s="1">
        <v>2107</v>
      </c>
      <c r="D637" s="1">
        <v>2</v>
      </c>
      <c r="F637" s="1">
        <v>2023</v>
      </c>
      <c r="G637" s="1" t="s">
        <v>1188</v>
      </c>
      <c r="H637" s="1">
        <v>607655</v>
      </c>
      <c r="I637" s="1">
        <v>7</v>
      </c>
      <c r="K637" s="1" t="s">
        <v>1791</v>
      </c>
      <c r="L637" s="1" t="s">
        <v>1792</v>
      </c>
      <c r="M637" s="1">
        <v>183</v>
      </c>
      <c r="N637" s="1" t="s">
        <v>39</v>
      </c>
      <c r="O637" s="1">
        <v>38.915799999999997</v>
      </c>
      <c r="P637" s="1">
        <v>-90.291700000000006</v>
      </c>
      <c r="Q637" s="1" t="s">
        <v>1046</v>
      </c>
      <c r="R637" s="1" t="s">
        <v>120</v>
      </c>
      <c r="S637" s="1" t="s">
        <v>85</v>
      </c>
      <c r="T637" s="1" t="s">
        <v>606</v>
      </c>
      <c r="U637" s="1" t="s">
        <v>55</v>
      </c>
      <c r="W637" s="1" t="s">
        <v>56</v>
      </c>
      <c r="X637" s="1" t="s">
        <v>1793</v>
      </c>
      <c r="Y637" s="1" t="s">
        <v>800</v>
      </c>
      <c r="AA637" s="3">
        <v>24898</v>
      </c>
      <c r="AB637" s="1" t="s">
        <v>46</v>
      </c>
      <c r="AC637" s="5">
        <v>4920</v>
      </c>
      <c r="AD637" s="1" t="s">
        <v>1795</v>
      </c>
      <c r="AE637" s="1" t="str">
        <f t="shared" si="46"/>
        <v>2107 2</v>
      </c>
      <c r="AF637" s="5" t="str">
        <f t="shared" si="50"/>
        <v>549.8</v>
      </c>
      <c r="AG637" s="1" t="str">
        <f t="shared" si="45"/>
        <v/>
      </c>
    </row>
    <row r="638" spans="1:33" x14ac:dyDescent="0.2">
      <c r="A638" s="1" t="s">
        <v>1755</v>
      </c>
      <c r="B638" s="1" t="s">
        <v>1796</v>
      </c>
      <c r="C638" s="1">
        <v>2122</v>
      </c>
      <c r="D638" s="1" t="s">
        <v>1797</v>
      </c>
      <c r="E638" s="1" t="s">
        <v>1798</v>
      </c>
      <c r="F638" s="1">
        <v>2023</v>
      </c>
      <c r="G638" s="1" t="s">
        <v>1195</v>
      </c>
      <c r="H638" s="1">
        <v>608370</v>
      </c>
      <c r="I638" s="1">
        <v>7</v>
      </c>
      <c r="J638" s="1" t="s">
        <v>462</v>
      </c>
      <c r="K638" s="1" t="s">
        <v>1799</v>
      </c>
      <c r="L638" s="1" t="s">
        <v>1800</v>
      </c>
      <c r="M638" s="1">
        <v>117</v>
      </c>
      <c r="N638" s="1" t="s">
        <v>39</v>
      </c>
      <c r="O638" s="1">
        <v>39.783999999999999</v>
      </c>
      <c r="P638" s="1">
        <v>-93.561999999999998</v>
      </c>
      <c r="Q638" s="1" t="s">
        <v>1801</v>
      </c>
      <c r="T638" s="1" t="s">
        <v>93</v>
      </c>
      <c r="U638" s="1" t="s">
        <v>44</v>
      </c>
      <c r="V638" s="1" t="s">
        <v>94</v>
      </c>
      <c r="AA638" s="3">
        <v>31564</v>
      </c>
      <c r="AB638" s="1" t="s">
        <v>46</v>
      </c>
      <c r="AC638" s="5">
        <v>297</v>
      </c>
      <c r="AD638" s="1" t="s">
        <v>1802</v>
      </c>
      <c r="AE638" s="1" t="str">
        <f t="shared" si="46"/>
        <v>2122 GT1A</v>
      </c>
      <c r="AF638" s="5" t="str">
        <f t="shared" si="50"/>
        <v>40</v>
      </c>
      <c r="AG638" s="1" t="str">
        <f t="shared" si="45"/>
        <v/>
      </c>
    </row>
    <row r="639" spans="1:33" x14ac:dyDescent="0.2">
      <c r="A639" s="1" t="s">
        <v>1755</v>
      </c>
      <c r="B639" s="1" t="s">
        <v>1796</v>
      </c>
      <c r="C639" s="1">
        <v>2122</v>
      </c>
      <c r="D639" s="1" t="s">
        <v>1803</v>
      </c>
      <c r="E639" s="1" t="s">
        <v>1798</v>
      </c>
      <c r="F639" s="1">
        <v>2023</v>
      </c>
      <c r="G639" s="1" t="s">
        <v>1195</v>
      </c>
      <c r="H639" s="1">
        <v>608370</v>
      </c>
      <c r="I639" s="1">
        <v>7</v>
      </c>
      <c r="J639" s="1" t="s">
        <v>462</v>
      </c>
      <c r="K639" s="1" t="s">
        <v>1799</v>
      </c>
      <c r="L639" s="1" t="s">
        <v>1800</v>
      </c>
      <c r="M639" s="1">
        <v>117</v>
      </c>
      <c r="N639" s="1" t="s">
        <v>39</v>
      </c>
      <c r="O639" s="1">
        <v>39.783999999999999</v>
      </c>
      <c r="P639" s="1">
        <v>-93.561999999999998</v>
      </c>
      <c r="Q639" s="1" t="s">
        <v>1801</v>
      </c>
      <c r="T639" s="1" t="s">
        <v>93</v>
      </c>
      <c r="U639" s="1" t="s">
        <v>44</v>
      </c>
      <c r="V639" s="1" t="s">
        <v>94</v>
      </c>
      <c r="AA639" s="3">
        <v>31564</v>
      </c>
      <c r="AB639" s="1" t="s">
        <v>46</v>
      </c>
      <c r="AC639" s="5">
        <v>297</v>
      </c>
      <c r="AD639" s="1" t="s">
        <v>1802</v>
      </c>
      <c r="AE639" s="1" t="str">
        <f t="shared" si="46"/>
        <v>2122 GT1B</v>
      </c>
      <c r="AF639" s="5" t="str">
        <f t="shared" si="50"/>
        <v>40</v>
      </c>
      <c r="AG639" s="1" t="str">
        <f t="shared" si="45"/>
        <v/>
      </c>
    </row>
    <row r="640" spans="1:33" x14ac:dyDescent="0.2">
      <c r="A640" s="1" t="s">
        <v>1755</v>
      </c>
      <c r="B640" s="1" t="s">
        <v>1796</v>
      </c>
      <c r="C640" s="1">
        <v>2122</v>
      </c>
      <c r="D640" s="1" t="s">
        <v>1804</v>
      </c>
      <c r="E640" s="1" t="s">
        <v>1798</v>
      </c>
      <c r="F640" s="1">
        <v>2023</v>
      </c>
      <c r="G640" s="1" t="s">
        <v>1195</v>
      </c>
      <c r="H640" s="1">
        <v>608370</v>
      </c>
      <c r="I640" s="1">
        <v>7</v>
      </c>
      <c r="J640" s="1" t="s">
        <v>462</v>
      </c>
      <c r="K640" s="1" t="s">
        <v>1799</v>
      </c>
      <c r="L640" s="1" t="s">
        <v>1800</v>
      </c>
      <c r="M640" s="1">
        <v>117</v>
      </c>
      <c r="N640" s="1" t="s">
        <v>39</v>
      </c>
      <c r="O640" s="1">
        <v>39.783999999999999</v>
      </c>
      <c r="P640" s="1">
        <v>-93.561999999999998</v>
      </c>
      <c r="Q640" s="1" t="s">
        <v>1801</v>
      </c>
      <c r="T640" s="1" t="s">
        <v>93</v>
      </c>
      <c r="U640" s="1" t="s">
        <v>44</v>
      </c>
      <c r="V640" s="1" t="s">
        <v>94</v>
      </c>
      <c r="AA640" s="3">
        <v>31564</v>
      </c>
      <c r="AB640" s="1" t="s">
        <v>46</v>
      </c>
      <c r="AC640" s="5">
        <v>297</v>
      </c>
      <c r="AD640" s="1" t="s">
        <v>1805</v>
      </c>
      <c r="AE640" s="1" t="str">
        <f t="shared" si="46"/>
        <v>2122 GT2A</v>
      </c>
      <c r="AF640" s="5" t="str">
        <f t="shared" si="50"/>
        <v>40</v>
      </c>
      <c r="AG640" s="1" t="str">
        <f t="shared" si="45"/>
        <v/>
      </c>
    </row>
    <row r="641" spans="1:33" x14ac:dyDescent="0.2">
      <c r="A641" s="1" t="s">
        <v>1755</v>
      </c>
      <c r="B641" s="1" t="s">
        <v>1796</v>
      </c>
      <c r="C641" s="1">
        <v>2122</v>
      </c>
      <c r="D641" s="1" t="s">
        <v>1806</v>
      </c>
      <c r="E641" s="1" t="s">
        <v>1798</v>
      </c>
      <c r="F641" s="1">
        <v>2023</v>
      </c>
      <c r="G641" s="1" t="s">
        <v>1195</v>
      </c>
      <c r="H641" s="1">
        <v>608370</v>
      </c>
      <c r="I641" s="1">
        <v>7</v>
      </c>
      <c r="J641" s="1" t="s">
        <v>462</v>
      </c>
      <c r="K641" s="1" t="s">
        <v>1799</v>
      </c>
      <c r="L641" s="1" t="s">
        <v>1800</v>
      </c>
      <c r="M641" s="1">
        <v>117</v>
      </c>
      <c r="N641" s="1" t="s">
        <v>39</v>
      </c>
      <c r="O641" s="1">
        <v>39.783999999999999</v>
      </c>
      <c r="P641" s="1">
        <v>-93.561999999999998</v>
      </c>
      <c r="Q641" s="1" t="s">
        <v>1801</v>
      </c>
      <c r="T641" s="1" t="s">
        <v>93</v>
      </c>
      <c r="U641" s="1" t="s">
        <v>44</v>
      </c>
      <c r="V641" s="1" t="s">
        <v>94</v>
      </c>
      <c r="AA641" s="3">
        <v>31564</v>
      </c>
      <c r="AB641" s="1" t="s">
        <v>46</v>
      </c>
      <c r="AC641" s="5">
        <v>297</v>
      </c>
      <c r="AD641" s="1" t="s">
        <v>1805</v>
      </c>
      <c r="AE641" s="1" t="str">
        <f t="shared" si="46"/>
        <v>2122 GT2B</v>
      </c>
      <c r="AF641" s="5" t="str">
        <f t="shared" si="50"/>
        <v>40</v>
      </c>
      <c r="AG641" s="1" t="str">
        <f t="shared" si="45"/>
        <v/>
      </c>
    </row>
    <row r="642" spans="1:33" x14ac:dyDescent="0.2">
      <c r="A642" s="1" t="s">
        <v>1755</v>
      </c>
      <c r="B642" s="1" t="s">
        <v>1807</v>
      </c>
      <c r="C642" s="1">
        <v>2123</v>
      </c>
      <c r="D642" s="1">
        <v>6</v>
      </c>
      <c r="E642" s="1" t="s">
        <v>1808</v>
      </c>
      <c r="F642" s="1">
        <v>2023</v>
      </c>
      <c r="G642" s="1" t="s">
        <v>1188</v>
      </c>
      <c r="H642" s="1" t="s">
        <v>1809</v>
      </c>
      <c r="I642" s="1">
        <v>7</v>
      </c>
      <c r="J642" s="1" t="s">
        <v>36</v>
      </c>
      <c r="K642" s="1" t="s">
        <v>1810</v>
      </c>
      <c r="L642" s="1" t="s">
        <v>1811</v>
      </c>
      <c r="M642" s="1">
        <v>19</v>
      </c>
      <c r="N642" s="1" t="s">
        <v>39</v>
      </c>
      <c r="O642" s="1">
        <v>38.965800000000002</v>
      </c>
      <c r="P642" s="1">
        <v>-92.317499999999995</v>
      </c>
      <c r="Q642" s="1" t="s">
        <v>1812</v>
      </c>
      <c r="R642" s="1" t="s">
        <v>41</v>
      </c>
      <c r="T642" s="1" t="s">
        <v>1660</v>
      </c>
      <c r="U642" s="1" t="s">
        <v>55</v>
      </c>
      <c r="Y642" s="1" t="s">
        <v>232</v>
      </c>
      <c r="AA642" s="3">
        <v>20821</v>
      </c>
      <c r="AB642" s="1" t="s">
        <v>46</v>
      </c>
      <c r="AC642" s="5">
        <v>260</v>
      </c>
      <c r="AD642" s="1" t="s">
        <v>1813</v>
      </c>
      <c r="AE642" s="1" t="str">
        <f t="shared" si="46"/>
        <v>2123 6</v>
      </c>
      <c r="AF642" s="14">
        <f>MID(AD642,FIND("(",AD642)+1,FIND(")",AD642)-FIND("(",AD642)-1)/2+35/2+22/2</f>
        <v>36.75</v>
      </c>
      <c r="AG642" s="1" t="str">
        <f t="shared" ref="AG642:AG705" si="51">IF(ISNUMBER(SEARCH("selective", X642)), "Y", "")</f>
        <v/>
      </c>
    </row>
    <row r="643" spans="1:33" x14ac:dyDescent="0.2">
      <c r="A643" s="1" t="s">
        <v>1755</v>
      </c>
      <c r="B643" s="1" t="s">
        <v>1807</v>
      </c>
      <c r="C643" s="1">
        <v>2123</v>
      </c>
      <c r="D643" s="1">
        <v>7</v>
      </c>
      <c r="E643" s="1" t="s">
        <v>1808</v>
      </c>
      <c r="F643" s="1">
        <v>2023</v>
      </c>
      <c r="G643" s="1" t="s">
        <v>1188</v>
      </c>
      <c r="H643" s="1" t="s">
        <v>1809</v>
      </c>
      <c r="I643" s="1">
        <v>7</v>
      </c>
      <c r="J643" s="1" t="s">
        <v>36</v>
      </c>
      <c r="K643" s="1" t="s">
        <v>1810</v>
      </c>
      <c r="L643" s="1" t="s">
        <v>1811</v>
      </c>
      <c r="M643" s="1">
        <v>19</v>
      </c>
      <c r="N643" s="1" t="s">
        <v>39</v>
      </c>
      <c r="O643" s="1">
        <v>38.965800000000002</v>
      </c>
      <c r="P643" s="1">
        <v>-92.317499999999995</v>
      </c>
      <c r="Q643" s="1" t="s">
        <v>1812</v>
      </c>
      <c r="R643" s="1" t="s">
        <v>41</v>
      </c>
      <c r="T643" s="1" t="s">
        <v>1660</v>
      </c>
      <c r="U643" s="1" t="s">
        <v>55</v>
      </c>
      <c r="Y643" s="1" t="s">
        <v>232</v>
      </c>
      <c r="AA643" s="3">
        <v>23743</v>
      </c>
      <c r="AB643" s="1" t="s">
        <v>46</v>
      </c>
      <c r="AC643" s="5">
        <v>345</v>
      </c>
      <c r="AD643" s="1" t="s">
        <v>1813</v>
      </c>
      <c r="AE643" s="1" t="str">
        <f t="shared" ref="AE643:AE706" si="52">C643&amp;" "&amp;D643</f>
        <v>2123 7</v>
      </c>
      <c r="AF643" s="14">
        <f>AF642</f>
        <v>36.75</v>
      </c>
      <c r="AG643" s="1" t="str">
        <f t="shared" si="51"/>
        <v/>
      </c>
    </row>
    <row r="644" spans="1:33" x14ac:dyDescent="0.2">
      <c r="A644" s="1" t="s">
        <v>1755</v>
      </c>
      <c r="B644" s="1" t="s">
        <v>1807</v>
      </c>
      <c r="C644" s="1">
        <v>2123</v>
      </c>
      <c r="D644" s="1">
        <v>8</v>
      </c>
      <c r="F644" s="1">
        <v>2023</v>
      </c>
      <c r="G644" s="1" t="s">
        <v>1207</v>
      </c>
      <c r="H644" s="1" t="s">
        <v>1809</v>
      </c>
      <c r="I644" s="1">
        <v>7</v>
      </c>
      <c r="J644" s="1" t="s">
        <v>36</v>
      </c>
      <c r="K644" s="1" t="s">
        <v>1810</v>
      </c>
      <c r="L644" s="1" t="s">
        <v>1811</v>
      </c>
      <c r="M644" s="1">
        <v>19</v>
      </c>
      <c r="N644" s="1" t="s">
        <v>39</v>
      </c>
      <c r="O644" s="1">
        <v>38.965800000000002</v>
      </c>
      <c r="P644" s="1">
        <v>-92.317499999999995</v>
      </c>
      <c r="Q644" s="1" t="s">
        <v>1812</v>
      </c>
      <c r="R644" s="1" t="s">
        <v>41</v>
      </c>
      <c r="T644" s="1" t="s">
        <v>89</v>
      </c>
      <c r="U644" s="1" t="s">
        <v>44</v>
      </c>
      <c r="AA644" s="3">
        <v>25569</v>
      </c>
      <c r="AB644" s="1" t="s">
        <v>46</v>
      </c>
      <c r="AC644" s="5">
        <v>490</v>
      </c>
      <c r="AD644" s="1" t="s">
        <v>1814</v>
      </c>
      <c r="AE644" s="1" t="str">
        <f t="shared" si="52"/>
        <v>2123 8</v>
      </c>
      <c r="AF644" s="5" t="str">
        <f t="shared" ref="AF644:AF675" si="53">MID(AD644,FIND("(",AD644)+1,FIND(")",AD644)-FIND("(",AD644)-1)</f>
        <v>35</v>
      </c>
      <c r="AG644" s="1" t="str">
        <f t="shared" si="51"/>
        <v/>
      </c>
    </row>
    <row r="645" spans="1:33" x14ac:dyDescent="0.2">
      <c r="A645" s="1" t="s">
        <v>1755</v>
      </c>
      <c r="B645" s="1" t="s">
        <v>1815</v>
      </c>
      <c r="C645" s="1">
        <v>2131</v>
      </c>
      <c r="D645" s="1" t="s">
        <v>381</v>
      </c>
      <c r="F645" s="1">
        <v>2023</v>
      </c>
      <c r="G645" s="1" t="s">
        <v>1195</v>
      </c>
      <c r="H645" s="1" t="s">
        <v>1816</v>
      </c>
      <c r="I645" s="1">
        <v>7</v>
      </c>
      <c r="K645" s="1" t="s">
        <v>1817</v>
      </c>
      <c r="L645" s="1" t="s">
        <v>1818</v>
      </c>
      <c r="M645" s="1">
        <v>107</v>
      </c>
      <c r="N645" s="1" t="s">
        <v>39</v>
      </c>
      <c r="O645" s="1">
        <v>39.072099999999999</v>
      </c>
      <c r="P645" s="1">
        <v>-93.721000000000004</v>
      </c>
      <c r="Q645" s="1" t="s">
        <v>1819</v>
      </c>
      <c r="T645" s="1" t="s">
        <v>93</v>
      </c>
      <c r="U645" s="1" t="s">
        <v>44</v>
      </c>
      <c r="V645" s="1" t="s">
        <v>94</v>
      </c>
      <c r="X645" s="1" t="s">
        <v>95</v>
      </c>
      <c r="AA645" s="3">
        <v>35065</v>
      </c>
      <c r="AB645" s="1" t="s">
        <v>46</v>
      </c>
      <c r="AC645" s="5">
        <v>283</v>
      </c>
      <c r="AD645" s="1" t="s">
        <v>1820</v>
      </c>
      <c r="AE645" s="1" t="str">
        <f t="shared" si="52"/>
        <v>2131 4A</v>
      </c>
      <c r="AF645" s="5" t="str">
        <f t="shared" si="53"/>
        <v>60</v>
      </c>
      <c r="AG645" s="1" t="str">
        <f t="shared" si="51"/>
        <v/>
      </c>
    </row>
    <row r="646" spans="1:33" x14ac:dyDescent="0.2">
      <c r="A646" s="1" t="s">
        <v>1755</v>
      </c>
      <c r="B646" s="1" t="s">
        <v>1815</v>
      </c>
      <c r="C646" s="1">
        <v>2131</v>
      </c>
      <c r="D646" s="1" t="s">
        <v>815</v>
      </c>
      <c r="F646" s="1">
        <v>2023</v>
      </c>
      <c r="G646" s="1" t="s">
        <v>1195</v>
      </c>
      <c r="H646" s="1" t="s">
        <v>1816</v>
      </c>
      <c r="I646" s="1">
        <v>7</v>
      </c>
      <c r="K646" s="1" t="s">
        <v>1817</v>
      </c>
      <c r="L646" s="1" t="s">
        <v>1818</v>
      </c>
      <c r="M646" s="1">
        <v>107</v>
      </c>
      <c r="N646" s="1" t="s">
        <v>39</v>
      </c>
      <c r="O646" s="1">
        <v>39.072099999999999</v>
      </c>
      <c r="P646" s="1">
        <v>-93.721000000000004</v>
      </c>
      <c r="Q646" s="1" t="s">
        <v>1819</v>
      </c>
      <c r="T646" s="1" t="s">
        <v>93</v>
      </c>
      <c r="U646" s="1" t="s">
        <v>44</v>
      </c>
      <c r="V646" s="1" t="s">
        <v>94</v>
      </c>
      <c r="X646" s="1" t="s">
        <v>95</v>
      </c>
      <c r="AA646" s="3">
        <v>35065</v>
      </c>
      <c r="AB646" s="1" t="s">
        <v>46</v>
      </c>
      <c r="AC646" s="5">
        <v>283</v>
      </c>
      <c r="AD646" s="1" t="s">
        <v>1820</v>
      </c>
      <c r="AE646" s="1" t="str">
        <f t="shared" si="52"/>
        <v>2131 4B</v>
      </c>
      <c r="AF646" s="5" t="str">
        <f t="shared" si="53"/>
        <v>60</v>
      </c>
      <c r="AG646" s="1" t="str">
        <f t="shared" si="51"/>
        <v/>
      </c>
    </row>
    <row r="647" spans="1:33" x14ac:dyDescent="0.2">
      <c r="A647" s="1" t="s">
        <v>1755</v>
      </c>
      <c r="B647" s="1" t="s">
        <v>1821</v>
      </c>
      <c r="C647" s="1">
        <v>2161</v>
      </c>
      <c r="D647" s="1" t="s">
        <v>1822</v>
      </c>
      <c r="F647" s="1">
        <v>2023</v>
      </c>
      <c r="G647" s="1" t="s">
        <v>1195</v>
      </c>
      <c r="H647" s="1">
        <v>500501</v>
      </c>
      <c r="I647" s="1">
        <v>7</v>
      </c>
      <c r="J647" s="1" t="s">
        <v>228</v>
      </c>
      <c r="K647" s="1" t="s">
        <v>81</v>
      </c>
      <c r="L647" s="1" t="s">
        <v>1823</v>
      </c>
      <c r="M647" s="1">
        <v>77</v>
      </c>
      <c r="N647" s="1" t="s">
        <v>39</v>
      </c>
      <c r="O647" s="1">
        <v>37.108600000000003</v>
      </c>
      <c r="P647" s="1">
        <v>-93.259200000000007</v>
      </c>
      <c r="Q647" s="1" t="s">
        <v>1824</v>
      </c>
      <c r="T647" s="1" t="s">
        <v>93</v>
      </c>
      <c r="U647" s="1" t="s">
        <v>284</v>
      </c>
      <c r="V647" s="1" t="s">
        <v>94</v>
      </c>
      <c r="X647" s="1" t="s">
        <v>95</v>
      </c>
      <c r="AA647" s="3">
        <v>32599</v>
      </c>
      <c r="AB647" s="1" t="s">
        <v>46</v>
      </c>
      <c r="AC647" s="5">
        <v>991</v>
      </c>
      <c r="AD647" s="1" t="s">
        <v>1825</v>
      </c>
      <c r="AE647" s="1" t="str">
        <f t="shared" si="52"/>
        <v>2161 **GT1</v>
      </c>
      <c r="AF647" s="5" t="str">
        <f t="shared" si="53"/>
        <v>96</v>
      </c>
      <c r="AG647" s="1" t="str">
        <f t="shared" si="51"/>
        <v/>
      </c>
    </row>
    <row r="648" spans="1:33" x14ac:dyDescent="0.2">
      <c r="A648" s="1" t="s">
        <v>1755</v>
      </c>
      <c r="B648" s="1" t="s">
        <v>1821</v>
      </c>
      <c r="C648" s="1">
        <v>2161</v>
      </c>
      <c r="D648" s="1" t="s">
        <v>1826</v>
      </c>
      <c r="F648" s="1">
        <v>2023</v>
      </c>
      <c r="G648" s="1" t="s">
        <v>1207</v>
      </c>
      <c r="H648" s="1">
        <v>500501</v>
      </c>
      <c r="I648" s="1">
        <v>7</v>
      </c>
      <c r="J648" s="1" t="s">
        <v>228</v>
      </c>
      <c r="K648" s="1" t="s">
        <v>81</v>
      </c>
      <c r="L648" s="1" t="s">
        <v>1823</v>
      </c>
      <c r="M648" s="1">
        <v>77</v>
      </c>
      <c r="N648" s="1" t="s">
        <v>39</v>
      </c>
      <c r="O648" s="1">
        <v>37.108600000000003</v>
      </c>
      <c r="P648" s="1">
        <v>-93.259200000000007</v>
      </c>
      <c r="Q648" s="1" t="s">
        <v>1824</v>
      </c>
      <c r="R648" s="1" t="s">
        <v>41</v>
      </c>
      <c r="T648" s="1" t="s">
        <v>93</v>
      </c>
      <c r="U648" s="1" t="s">
        <v>284</v>
      </c>
      <c r="V648" s="1" t="s">
        <v>94</v>
      </c>
      <c r="X648" s="1" t="s">
        <v>95</v>
      </c>
      <c r="AA648" s="3">
        <v>33695</v>
      </c>
      <c r="AB648" s="1" t="s">
        <v>46</v>
      </c>
      <c r="AC648" s="5">
        <v>973</v>
      </c>
      <c r="AD648" s="1" t="s">
        <v>1827</v>
      </c>
      <c r="AE648" s="1" t="str">
        <f t="shared" si="52"/>
        <v>2161 **GT2</v>
      </c>
      <c r="AF648" s="5" t="str">
        <f t="shared" si="53"/>
        <v>93</v>
      </c>
      <c r="AG648" s="1" t="str">
        <f t="shared" si="51"/>
        <v/>
      </c>
    </row>
    <row r="649" spans="1:33" x14ac:dyDescent="0.2">
      <c r="A649" s="1" t="s">
        <v>1755</v>
      </c>
      <c r="B649" s="1" t="s">
        <v>1828</v>
      </c>
      <c r="C649" s="1">
        <v>2167</v>
      </c>
      <c r="D649" s="1">
        <v>1</v>
      </c>
      <c r="F649" s="1">
        <v>2023</v>
      </c>
      <c r="G649" s="1" t="s">
        <v>1188</v>
      </c>
      <c r="H649" s="1">
        <v>606546</v>
      </c>
      <c r="I649" s="1">
        <v>7</v>
      </c>
      <c r="J649" s="1" t="s">
        <v>228</v>
      </c>
      <c r="K649" s="1" t="s">
        <v>1829</v>
      </c>
      <c r="L649" s="1" t="s">
        <v>1830</v>
      </c>
      <c r="M649" s="1">
        <v>143</v>
      </c>
      <c r="N649" s="1" t="s">
        <v>39</v>
      </c>
      <c r="O649" s="1">
        <v>36.514699999999998</v>
      </c>
      <c r="P649" s="1">
        <v>-89.561700000000002</v>
      </c>
      <c r="Q649" s="1" t="s">
        <v>1831</v>
      </c>
      <c r="R649" s="1" t="s">
        <v>120</v>
      </c>
      <c r="S649" s="1" t="s">
        <v>85</v>
      </c>
      <c r="T649" s="1" t="s">
        <v>606</v>
      </c>
      <c r="U649" s="1" t="s">
        <v>55</v>
      </c>
      <c r="V649" s="1" t="s">
        <v>94</v>
      </c>
      <c r="X649" s="1" t="s">
        <v>872</v>
      </c>
      <c r="Y649" s="1" t="s">
        <v>58</v>
      </c>
      <c r="Z649" s="1" t="s">
        <v>937</v>
      </c>
      <c r="AA649" s="3">
        <v>26634</v>
      </c>
      <c r="AB649" s="1" t="s">
        <v>46</v>
      </c>
      <c r="AC649" s="5">
        <v>6728</v>
      </c>
      <c r="AD649" s="1" t="s">
        <v>1832</v>
      </c>
      <c r="AE649" s="1" t="str">
        <f t="shared" si="52"/>
        <v>2167 1</v>
      </c>
      <c r="AF649" s="5" t="str">
        <f t="shared" si="53"/>
        <v>600</v>
      </c>
      <c r="AG649" s="1" t="str">
        <f t="shared" si="51"/>
        <v>Y</v>
      </c>
    </row>
    <row r="650" spans="1:33" x14ac:dyDescent="0.2">
      <c r="A650" s="1" t="s">
        <v>1755</v>
      </c>
      <c r="B650" s="1" t="s">
        <v>1828</v>
      </c>
      <c r="C650" s="1">
        <v>2167</v>
      </c>
      <c r="D650" s="1">
        <v>2</v>
      </c>
      <c r="F650" s="1">
        <v>2023</v>
      </c>
      <c r="G650" s="1" t="s">
        <v>1188</v>
      </c>
      <c r="H650" s="1">
        <v>606546</v>
      </c>
      <c r="I650" s="1">
        <v>7</v>
      </c>
      <c r="J650" s="1" t="s">
        <v>228</v>
      </c>
      <c r="K650" s="1" t="s">
        <v>1829</v>
      </c>
      <c r="L650" s="1" t="s">
        <v>1830</v>
      </c>
      <c r="M650" s="1">
        <v>143</v>
      </c>
      <c r="N650" s="1" t="s">
        <v>39</v>
      </c>
      <c r="O650" s="1">
        <v>36.514699999999998</v>
      </c>
      <c r="P650" s="1">
        <v>-89.561700000000002</v>
      </c>
      <c r="Q650" s="1" t="s">
        <v>1831</v>
      </c>
      <c r="R650" s="1" t="s">
        <v>120</v>
      </c>
      <c r="S650" s="1" t="s">
        <v>85</v>
      </c>
      <c r="T650" s="1" t="s">
        <v>606</v>
      </c>
      <c r="U650" s="1" t="s">
        <v>55</v>
      </c>
      <c r="V650" s="1" t="s">
        <v>94</v>
      </c>
      <c r="X650" s="1" t="s">
        <v>872</v>
      </c>
      <c r="Y650" s="1" t="s">
        <v>58</v>
      </c>
      <c r="Z650" s="1" t="s">
        <v>937</v>
      </c>
      <c r="AA650" s="3">
        <v>28277</v>
      </c>
      <c r="AB650" s="1" t="s">
        <v>46</v>
      </c>
      <c r="AC650" s="5">
        <v>6985</v>
      </c>
      <c r="AD650" s="1" t="s">
        <v>1833</v>
      </c>
      <c r="AE650" s="1" t="str">
        <f t="shared" si="52"/>
        <v>2167 2</v>
      </c>
      <c r="AF650" s="5" t="str">
        <f t="shared" si="53"/>
        <v>600</v>
      </c>
      <c r="AG650" s="1" t="str">
        <f t="shared" si="51"/>
        <v>Y</v>
      </c>
    </row>
    <row r="651" spans="1:33" x14ac:dyDescent="0.2">
      <c r="A651" s="1" t="s">
        <v>1755</v>
      </c>
      <c r="B651" s="1" t="s">
        <v>1834</v>
      </c>
      <c r="C651" s="1">
        <v>2168</v>
      </c>
      <c r="D651" s="1" t="s">
        <v>1835</v>
      </c>
      <c r="F651" s="1">
        <v>2023</v>
      </c>
      <c r="G651" s="1" t="s">
        <v>1188</v>
      </c>
      <c r="H651" s="1">
        <v>606546</v>
      </c>
      <c r="I651" s="1">
        <v>7</v>
      </c>
      <c r="K651" s="1" t="s">
        <v>1037</v>
      </c>
      <c r="L651" s="1" t="s">
        <v>1836</v>
      </c>
      <c r="M651" s="1">
        <v>175</v>
      </c>
      <c r="N651" s="1" t="s">
        <v>39</v>
      </c>
      <c r="O651" s="1">
        <v>39.553100000000001</v>
      </c>
      <c r="P651" s="1">
        <v>-92.639200000000002</v>
      </c>
      <c r="Q651" s="1" t="s">
        <v>1831</v>
      </c>
      <c r="R651" s="1" t="s">
        <v>120</v>
      </c>
      <c r="S651" s="1" t="s">
        <v>85</v>
      </c>
      <c r="T651" s="1" t="s">
        <v>606</v>
      </c>
      <c r="U651" s="1" t="s">
        <v>55</v>
      </c>
      <c r="V651" s="1" t="s">
        <v>94</v>
      </c>
      <c r="X651" s="1" t="s">
        <v>1010</v>
      </c>
      <c r="Y651" s="1" t="s">
        <v>58</v>
      </c>
      <c r="Z651" s="1" t="s">
        <v>937</v>
      </c>
      <c r="AA651" s="3">
        <v>24441</v>
      </c>
      <c r="AB651" s="1" t="s">
        <v>46</v>
      </c>
      <c r="AC651" s="5">
        <v>2065</v>
      </c>
      <c r="AD651" s="1" t="s">
        <v>1837</v>
      </c>
      <c r="AE651" s="1" t="str">
        <f t="shared" si="52"/>
        <v>2168 MB1</v>
      </c>
      <c r="AF651" s="5" t="str">
        <f t="shared" si="53"/>
        <v>180</v>
      </c>
      <c r="AG651" s="1" t="str">
        <f t="shared" si="51"/>
        <v>Y</v>
      </c>
    </row>
    <row r="652" spans="1:33" x14ac:dyDescent="0.2">
      <c r="A652" s="1" t="s">
        <v>1755</v>
      </c>
      <c r="B652" s="1" t="s">
        <v>1834</v>
      </c>
      <c r="C652" s="1">
        <v>2168</v>
      </c>
      <c r="D652" s="1" t="s">
        <v>1838</v>
      </c>
      <c r="F652" s="1">
        <v>2023</v>
      </c>
      <c r="G652" s="1" t="s">
        <v>1188</v>
      </c>
      <c r="H652" s="1">
        <v>606546</v>
      </c>
      <c r="I652" s="1">
        <v>7</v>
      </c>
      <c r="K652" s="1" t="s">
        <v>1037</v>
      </c>
      <c r="L652" s="1" t="s">
        <v>1836</v>
      </c>
      <c r="M652" s="1">
        <v>175</v>
      </c>
      <c r="N652" s="1" t="s">
        <v>39</v>
      </c>
      <c r="O652" s="1">
        <v>39.553100000000001</v>
      </c>
      <c r="P652" s="1">
        <v>-92.639200000000002</v>
      </c>
      <c r="Q652" s="1" t="s">
        <v>1831</v>
      </c>
      <c r="R652" s="1" t="s">
        <v>120</v>
      </c>
      <c r="S652" s="1" t="s">
        <v>85</v>
      </c>
      <c r="T652" s="1" t="s">
        <v>606</v>
      </c>
      <c r="U652" s="1" t="s">
        <v>55</v>
      </c>
      <c r="V652" s="1" t="s">
        <v>94</v>
      </c>
      <c r="X652" s="1" t="s">
        <v>1010</v>
      </c>
      <c r="Y652" s="1" t="s">
        <v>58</v>
      </c>
      <c r="Z652" s="1" t="s">
        <v>937</v>
      </c>
      <c r="AA652" s="3">
        <v>25263</v>
      </c>
      <c r="AB652" s="1" t="s">
        <v>46</v>
      </c>
      <c r="AC652" s="5">
        <v>3122</v>
      </c>
      <c r="AD652" s="1" t="s">
        <v>1839</v>
      </c>
      <c r="AE652" s="1" t="str">
        <f t="shared" si="52"/>
        <v>2168 MB2</v>
      </c>
      <c r="AF652" s="5" t="str">
        <f t="shared" si="53"/>
        <v>285</v>
      </c>
      <c r="AG652" s="1" t="str">
        <f t="shared" si="51"/>
        <v>Y</v>
      </c>
    </row>
    <row r="653" spans="1:33" x14ac:dyDescent="0.2">
      <c r="A653" s="1" t="s">
        <v>1755</v>
      </c>
      <c r="B653" s="1" t="s">
        <v>1834</v>
      </c>
      <c r="C653" s="1">
        <v>2168</v>
      </c>
      <c r="D653" s="1" t="s">
        <v>1840</v>
      </c>
      <c r="F653" s="1">
        <v>2023</v>
      </c>
      <c r="G653" s="1" t="s">
        <v>1188</v>
      </c>
      <c r="H653" s="1">
        <v>606546</v>
      </c>
      <c r="I653" s="1">
        <v>7</v>
      </c>
      <c r="K653" s="1" t="s">
        <v>1037</v>
      </c>
      <c r="L653" s="1" t="s">
        <v>1836</v>
      </c>
      <c r="M653" s="1">
        <v>175</v>
      </c>
      <c r="N653" s="1" t="s">
        <v>39</v>
      </c>
      <c r="O653" s="1">
        <v>39.553100000000001</v>
      </c>
      <c r="P653" s="1">
        <v>-92.639200000000002</v>
      </c>
      <c r="Q653" s="1" t="s">
        <v>1831</v>
      </c>
      <c r="R653" s="1" t="s">
        <v>41</v>
      </c>
      <c r="S653" s="1" t="s">
        <v>121</v>
      </c>
      <c r="T653" s="1" t="s">
        <v>89</v>
      </c>
      <c r="U653" s="1" t="s">
        <v>55</v>
      </c>
      <c r="V653" s="1" t="s">
        <v>94</v>
      </c>
      <c r="X653" s="1" t="s">
        <v>1841</v>
      </c>
      <c r="Y653" s="1" t="s">
        <v>58</v>
      </c>
      <c r="Z653" s="1" t="s">
        <v>937</v>
      </c>
      <c r="AA653" s="3">
        <v>30103</v>
      </c>
      <c r="AB653" s="1" t="s">
        <v>46</v>
      </c>
      <c r="AC653" s="5">
        <v>7823</v>
      </c>
      <c r="AD653" s="1" t="s">
        <v>1842</v>
      </c>
      <c r="AE653" s="1" t="str">
        <f t="shared" si="52"/>
        <v>2168 MB3</v>
      </c>
      <c r="AF653" s="5" t="str">
        <f t="shared" si="53"/>
        <v>670</v>
      </c>
      <c r="AG653" s="1" t="str">
        <f t="shared" si="51"/>
        <v>Y</v>
      </c>
    </row>
    <row r="654" spans="1:33" x14ac:dyDescent="0.2">
      <c r="A654" s="1" t="s">
        <v>1843</v>
      </c>
      <c r="B654" s="1" t="s">
        <v>1844</v>
      </c>
      <c r="C654" s="1">
        <v>2176</v>
      </c>
      <c r="D654" s="1" t="s">
        <v>1162</v>
      </c>
      <c r="F654" s="1">
        <v>2023</v>
      </c>
      <c r="G654" s="1" t="s">
        <v>247</v>
      </c>
      <c r="H654" s="1">
        <v>607438</v>
      </c>
      <c r="I654" s="1">
        <v>8</v>
      </c>
      <c r="J654" s="1" t="s">
        <v>207</v>
      </c>
      <c r="K654" s="1" t="s">
        <v>1845</v>
      </c>
      <c r="L654" s="1" t="s">
        <v>1846</v>
      </c>
      <c r="M654" s="1">
        <v>21</v>
      </c>
      <c r="N654" s="1" t="s">
        <v>39</v>
      </c>
      <c r="O654" s="1">
        <v>47.053899999999999</v>
      </c>
      <c r="P654" s="1">
        <v>-104.74</v>
      </c>
      <c r="Q654" s="1" t="s">
        <v>1847</v>
      </c>
      <c r="R654" s="1" t="s">
        <v>41</v>
      </c>
      <c r="T654" s="1" t="s">
        <v>93</v>
      </c>
      <c r="U654" s="1" t="s">
        <v>44</v>
      </c>
      <c r="V654" s="1" t="s">
        <v>94</v>
      </c>
      <c r="X654" s="1" t="s">
        <v>140</v>
      </c>
      <c r="AA654" s="3">
        <v>37773</v>
      </c>
      <c r="AB654" s="1" t="s">
        <v>46</v>
      </c>
      <c r="AC654" s="5">
        <v>420.8</v>
      </c>
      <c r="AD654" s="1" t="s">
        <v>1848</v>
      </c>
      <c r="AE654" s="1" t="str">
        <f t="shared" si="52"/>
        <v>2176 GT-2</v>
      </c>
      <c r="AF654" s="5" t="str">
        <f t="shared" si="53"/>
        <v>43</v>
      </c>
      <c r="AG654" s="1" t="str">
        <f t="shared" si="51"/>
        <v/>
      </c>
    </row>
    <row r="655" spans="1:33" x14ac:dyDescent="0.2">
      <c r="A655" s="1" t="s">
        <v>203</v>
      </c>
      <c r="B655" s="1" t="s">
        <v>1849</v>
      </c>
      <c r="C655" s="1">
        <v>2226</v>
      </c>
      <c r="D655" s="1">
        <v>1</v>
      </c>
      <c r="F655" s="1">
        <v>2023</v>
      </c>
      <c r="G655" s="1" t="s">
        <v>1666</v>
      </c>
      <c r="H655" s="1">
        <v>609180</v>
      </c>
      <c r="I655" s="1">
        <v>7</v>
      </c>
      <c r="K655" s="1" t="s">
        <v>1850</v>
      </c>
      <c r="L655" s="1" t="s">
        <v>1851</v>
      </c>
      <c r="M655" s="1">
        <v>73</v>
      </c>
      <c r="N655" s="1" t="s">
        <v>39</v>
      </c>
      <c r="O655" s="1">
        <v>40.694099999999999</v>
      </c>
      <c r="P655" s="1">
        <v>-99.700500000000005</v>
      </c>
      <c r="Q655" s="1" t="s">
        <v>1852</v>
      </c>
      <c r="R655" s="1" t="s">
        <v>41</v>
      </c>
      <c r="T655" s="1" t="s">
        <v>43</v>
      </c>
      <c r="U655" s="1" t="s">
        <v>44</v>
      </c>
      <c r="AA655" s="3">
        <v>21306</v>
      </c>
      <c r="AB655" s="1" t="s">
        <v>46</v>
      </c>
      <c r="AC655" s="5">
        <v>1275</v>
      </c>
      <c r="AD655" s="1" t="s">
        <v>1853</v>
      </c>
      <c r="AE655" s="1" t="str">
        <f t="shared" si="52"/>
        <v>2226 1</v>
      </c>
      <c r="AF655" s="5" t="str">
        <f t="shared" si="53"/>
        <v>108.8</v>
      </c>
      <c r="AG655" s="1" t="str">
        <f t="shared" si="51"/>
        <v/>
      </c>
    </row>
    <row r="656" spans="1:33" x14ac:dyDescent="0.2">
      <c r="A656" s="1" t="s">
        <v>203</v>
      </c>
      <c r="B656" s="1" t="s">
        <v>1854</v>
      </c>
      <c r="C656" s="1">
        <v>2240</v>
      </c>
      <c r="D656" s="1">
        <v>8</v>
      </c>
      <c r="F656" s="1">
        <v>2023</v>
      </c>
      <c r="G656" s="1" t="s">
        <v>205</v>
      </c>
      <c r="H656" s="1">
        <v>609960</v>
      </c>
      <c r="I656" s="1">
        <v>7</v>
      </c>
      <c r="J656" s="1" t="s">
        <v>207</v>
      </c>
      <c r="K656" s="1" t="s">
        <v>1855</v>
      </c>
      <c r="L656" s="1" t="s">
        <v>1856</v>
      </c>
      <c r="M656" s="1">
        <v>53</v>
      </c>
      <c r="N656" s="1" t="s">
        <v>39</v>
      </c>
      <c r="O656" s="1">
        <v>41.427500000000002</v>
      </c>
      <c r="P656" s="1">
        <v>-96.4619</v>
      </c>
      <c r="Q656" s="1" t="s">
        <v>1857</v>
      </c>
      <c r="R656" s="1" t="s">
        <v>41</v>
      </c>
      <c r="S656" s="1" t="s">
        <v>42</v>
      </c>
      <c r="T656" s="1" t="s">
        <v>89</v>
      </c>
      <c r="U656" s="1" t="s">
        <v>55</v>
      </c>
      <c r="V656" s="1" t="s">
        <v>44</v>
      </c>
      <c r="W656" s="1" t="s">
        <v>56</v>
      </c>
      <c r="X656" s="1" t="s">
        <v>90</v>
      </c>
      <c r="Y656" s="1" t="s">
        <v>123</v>
      </c>
      <c r="Z656" s="1" t="s">
        <v>214</v>
      </c>
      <c r="AA656" s="3">
        <v>27956</v>
      </c>
      <c r="AB656" s="1" t="s">
        <v>46</v>
      </c>
      <c r="AC656" s="5">
        <v>1192</v>
      </c>
      <c r="AD656" s="1" t="s">
        <v>1858</v>
      </c>
      <c r="AE656" s="1" t="str">
        <f t="shared" si="52"/>
        <v>2240 8</v>
      </c>
      <c r="AF656" s="5" t="str">
        <f t="shared" si="53"/>
        <v>91.5</v>
      </c>
      <c r="AG656" s="1" t="str">
        <f t="shared" si="51"/>
        <v/>
      </c>
    </row>
    <row r="657" spans="1:33" x14ac:dyDescent="0.2">
      <c r="A657" s="1" t="s">
        <v>203</v>
      </c>
      <c r="B657" s="1" t="s">
        <v>1854</v>
      </c>
      <c r="C657" s="1">
        <v>2240</v>
      </c>
      <c r="D657" s="1" t="s">
        <v>1859</v>
      </c>
      <c r="F657" s="1">
        <v>2023</v>
      </c>
      <c r="G657" s="1" t="s">
        <v>1666</v>
      </c>
      <c r="H657" s="1">
        <v>609960</v>
      </c>
      <c r="I657" s="1">
        <v>7</v>
      </c>
      <c r="J657" s="1" t="s">
        <v>207</v>
      </c>
      <c r="K657" s="1" t="s">
        <v>1855</v>
      </c>
      <c r="L657" s="1" t="s">
        <v>1856</v>
      </c>
      <c r="M657" s="1">
        <v>53</v>
      </c>
      <c r="N657" s="1" t="s">
        <v>39</v>
      </c>
      <c r="O657" s="1">
        <v>41.427500000000002</v>
      </c>
      <c r="P657" s="1">
        <v>-96.4619</v>
      </c>
      <c r="Q657" s="1" t="s">
        <v>1857</v>
      </c>
      <c r="R657" s="1" t="s">
        <v>41</v>
      </c>
      <c r="T657" s="1" t="s">
        <v>93</v>
      </c>
      <c r="U657" s="1" t="s">
        <v>44</v>
      </c>
      <c r="V657" s="1" t="s">
        <v>94</v>
      </c>
      <c r="X657" s="1" t="s">
        <v>183</v>
      </c>
      <c r="AA657" s="3">
        <v>37911</v>
      </c>
      <c r="AB657" s="1" t="s">
        <v>46</v>
      </c>
      <c r="AC657" s="5">
        <v>578.29999999999995</v>
      </c>
      <c r="AD657" s="1" t="s">
        <v>1860</v>
      </c>
      <c r="AE657" s="1" t="str">
        <f t="shared" si="52"/>
        <v>2240 50T</v>
      </c>
      <c r="AF657" s="5" t="str">
        <f t="shared" si="53"/>
        <v>42.1</v>
      </c>
      <c r="AG657" s="1" t="str">
        <f t="shared" si="51"/>
        <v/>
      </c>
    </row>
    <row r="658" spans="1:33" x14ac:dyDescent="0.2">
      <c r="A658" s="1" t="s">
        <v>203</v>
      </c>
      <c r="B658" s="1" t="s">
        <v>1861</v>
      </c>
      <c r="C658" s="1">
        <v>2241</v>
      </c>
      <c r="D658" s="1" t="s">
        <v>1162</v>
      </c>
      <c r="F658" s="1">
        <v>2023</v>
      </c>
      <c r="G658" s="1" t="s">
        <v>1666</v>
      </c>
      <c r="H658" s="1" t="s">
        <v>206</v>
      </c>
      <c r="I658" s="1">
        <v>7</v>
      </c>
      <c r="J658" s="1" t="s">
        <v>207</v>
      </c>
      <c r="K658" s="1" t="s">
        <v>208</v>
      </c>
      <c r="L658" s="1" t="s">
        <v>209</v>
      </c>
      <c r="M658" s="1">
        <v>79</v>
      </c>
      <c r="N658" s="1" t="s">
        <v>39</v>
      </c>
      <c r="O658" s="1">
        <v>40.922800000000002</v>
      </c>
      <c r="P658" s="1">
        <v>-98.326899999999995</v>
      </c>
      <c r="Q658" s="1" t="s">
        <v>210</v>
      </c>
      <c r="R658" s="1" t="s">
        <v>41</v>
      </c>
      <c r="T658" s="1" t="s">
        <v>93</v>
      </c>
      <c r="U658" s="1" t="s">
        <v>44</v>
      </c>
      <c r="V658" s="1" t="s">
        <v>94</v>
      </c>
      <c r="X658" s="1" t="s">
        <v>183</v>
      </c>
      <c r="AA658" s="3">
        <v>37707</v>
      </c>
      <c r="AB658" s="1" t="s">
        <v>46</v>
      </c>
      <c r="AC658" s="5">
        <v>530</v>
      </c>
      <c r="AD658" s="1" t="s">
        <v>1862</v>
      </c>
      <c r="AE658" s="1" t="str">
        <f t="shared" si="52"/>
        <v>2241 GT-2</v>
      </c>
      <c r="AF658" s="5" t="str">
        <f t="shared" si="53"/>
        <v>46</v>
      </c>
      <c r="AG658" s="1" t="str">
        <f t="shared" si="51"/>
        <v/>
      </c>
    </row>
    <row r="659" spans="1:33" x14ac:dyDescent="0.2">
      <c r="A659" s="1" t="s">
        <v>203</v>
      </c>
      <c r="B659" s="1" t="s">
        <v>1861</v>
      </c>
      <c r="C659" s="1">
        <v>2241</v>
      </c>
      <c r="D659" s="1" t="s">
        <v>1164</v>
      </c>
      <c r="F659" s="1">
        <v>2023</v>
      </c>
      <c r="G659" s="1" t="s">
        <v>1666</v>
      </c>
      <c r="H659" s="1" t="s">
        <v>206</v>
      </c>
      <c r="I659" s="1">
        <v>7</v>
      </c>
      <c r="J659" s="1" t="s">
        <v>207</v>
      </c>
      <c r="K659" s="1" t="s">
        <v>208</v>
      </c>
      <c r="L659" s="1" t="s">
        <v>209</v>
      </c>
      <c r="M659" s="1">
        <v>79</v>
      </c>
      <c r="N659" s="1" t="s">
        <v>39</v>
      </c>
      <c r="O659" s="1">
        <v>40.922800000000002</v>
      </c>
      <c r="P659" s="1">
        <v>-98.326899999999995</v>
      </c>
      <c r="Q659" s="1" t="s">
        <v>210</v>
      </c>
      <c r="R659" s="1" t="s">
        <v>41</v>
      </c>
      <c r="T659" s="1" t="s">
        <v>93</v>
      </c>
      <c r="U659" s="1" t="s">
        <v>44</v>
      </c>
      <c r="V659" s="1" t="s">
        <v>94</v>
      </c>
      <c r="X659" s="1" t="s">
        <v>183</v>
      </c>
      <c r="AA659" s="3">
        <v>37707</v>
      </c>
      <c r="AB659" s="1" t="s">
        <v>46</v>
      </c>
      <c r="AC659" s="5">
        <v>530</v>
      </c>
      <c r="AD659" s="1" t="s">
        <v>1863</v>
      </c>
      <c r="AE659" s="1" t="str">
        <f t="shared" si="52"/>
        <v>2241 GT-3</v>
      </c>
      <c r="AF659" s="5" t="str">
        <f t="shared" si="53"/>
        <v>46</v>
      </c>
      <c r="AG659" s="1" t="str">
        <f t="shared" si="51"/>
        <v/>
      </c>
    </row>
    <row r="660" spans="1:33" x14ac:dyDescent="0.2">
      <c r="A660" s="1" t="s">
        <v>203</v>
      </c>
      <c r="B660" s="1" t="s">
        <v>1864</v>
      </c>
      <c r="C660" s="1">
        <v>2250</v>
      </c>
      <c r="D660" s="1">
        <v>1</v>
      </c>
      <c r="F660" s="1">
        <v>2023</v>
      </c>
      <c r="G660" s="1" t="s">
        <v>1696</v>
      </c>
      <c r="H660" s="1">
        <v>608164</v>
      </c>
      <c r="I660" s="1">
        <v>7</v>
      </c>
      <c r="K660" s="1" t="s">
        <v>1865</v>
      </c>
      <c r="L660" s="1" t="s">
        <v>1866</v>
      </c>
      <c r="M660" s="1">
        <v>109</v>
      </c>
      <c r="N660" s="1" t="s">
        <v>39</v>
      </c>
      <c r="O660" s="1">
        <v>40.8078</v>
      </c>
      <c r="P660" s="1">
        <v>-96.710700000000003</v>
      </c>
      <c r="Q660" s="1" t="s">
        <v>1867</v>
      </c>
      <c r="T660" s="1" t="s">
        <v>93</v>
      </c>
      <c r="U660" s="1" t="s">
        <v>44</v>
      </c>
      <c r="V660" s="1" t="s">
        <v>94</v>
      </c>
      <c r="X660" s="1" t="s">
        <v>95</v>
      </c>
      <c r="AA660" s="3">
        <v>26451</v>
      </c>
      <c r="AB660" s="1" t="s">
        <v>46</v>
      </c>
      <c r="AC660" s="5">
        <v>548.79999999999995</v>
      </c>
      <c r="AD660" s="1" t="s">
        <v>1868</v>
      </c>
      <c r="AE660" s="1" t="str">
        <f t="shared" si="52"/>
        <v>2250 1</v>
      </c>
      <c r="AF660" s="5" t="str">
        <f t="shared" si="53"/>
        <v>27</v>
      </c>
      <c r="AG660" s="1" t="str">
        <f t="shared" si="51"/>
        <v/>
      </c>
    </row>
    <row r="661" spans="1:33" x14ac:dyDescent="0.2">
      <c r="A661" s="1" t="s">
        <v>203</v>
      </c>
      <c r="B661" s="1" t="s">
        <v>1869</v>
      </c>
      <c r="C661" s="1">
        <v>2265</v>
      </c>
      <c r="D661" s="1" t="s">
        <v>372</v>
      </c>
      <c r="F661" s="1">
        <v>2023</v>
      </c>
      <c r="G661" s="1" t="s">
        <v>1696</v>
      </c>
      <c r="H661" s="1">
        <v>609180</v>
      </c>
      <c r="I661" s="1">
        <v>7</v>
      </c>
      <c r="K661" s="1" t="s">
        <v>1865</v>
      </c>
      <c r="L661" s="1" t="s">
        <v>1866</v>
      </c>
      <c r="M661" s="1">
        <v>109</v>
      </c>
      <c r="N661" s="1" t="s">
        <v>39</v>
      </c>
      <c r="O661" s="1">
        <v>40.558700000000002</v>
      </c>
      <c r="P661" s="1">
        <v>-96.786199999999994</v>
      </c>
      <c r="Q661" s="1" t="s">
        <v>1852</v>
      </c>
      <c r="T661" s="1" t="s">
        <v>93</v>
      </c>
      <c r="U661" s="1" t="s">
        <v>44</v>
      </c>
      <c r="V661" s="1" t="s">
        <v>94</v>
      </c>
      <c r="AA661" s="3">
        <v>26816</v>
      </c>
      <c r="AB661" s="1" t="s">
        <v>46</v>
      </c>
      <c r="AC661" s="5">
        <v>487</v>
      </c>
      <c r="AD661" s="1" t="s">
        <v>1870</v>
      </c>
      <c r="AE661" s="1" t="str">
        <f t="shared" si="52"/>
        <v>2265 1A</v>
      </c>
      <c r="AF661" s="5" t="str">
        <f t="shared" si="53"/>
        <v>56.7</v>
      </c>
      <c r="AG661" s="1" t="str">
        <f t="shared" si="51"/>
        <v/>
      </c>
    </row>
    <row r="662" spans="1:33" x14ac:dyDescent="0.2">
      <c r="A662" s="1" t="s">
        <v>203</v>
      </c>
      <c r="B662" s="1" t="s">
        <v>1869</v>
      </c>
      <c r="C662" s="1">
        <v>2265</v>
      </c>
      <c r="D662" s="1" t="s">
        <v>1199</v>
      </c>
      <c r="F662" s="1">
        <v>2023</v>
      </c>
      <c r="G662" s="1" t="s">
        <v>1696</v>
      </c>
      <c r="H662" s="1">
        <v>609180</v>
      </c>
      <c r="I662" s="1">
        <v>7</v>
      </c>
      <c r="K662" s="1" t="s">
        <v>1865</v>
      </c>
      <c r="L662" s="1" t="s">
        <v>1866</v>
      </c>
      <c r="M662" s="1">
        <v>109</v>
      </c>
      <c r="N662" s="1" t="s">
        <v>39</v>
      </c>
      <c r="O662" s="1">
        <v>40.558700000000002</v>
      </c>
      <c r="P662" s="1">
        <v>-96.786199999999994</v>
      </c>
      <c r="Q662" s="1" t="s">
        <v>1852</v>
      </c>
      <c r="T662" s="1" t="s">
        <v>93</v>
      </c>
      <c r="U662" s="1" t="s">
        <v>44</v>
      </c>
      <c r="V662" s="1" t="s">
        <v>94</v>
      </c>
      <c r="AA662" s="3">
        <v>26816</v>
      </c>
      <c r="AB662" s="1" t="s">
        <v>46</v>
      </c>
      <c r="AC662" s="5">
        <v>487</v>
      </c>
      <c r="AD662" s="1" t="s">
        <v>1870</v>
      </c>
      <c r="AE662" s="1" t="str">
        <f t="shared" si="52"/>
        <v>2265 1B</v>
      </c>
      <c r="AF662" s="5" t="str">
        <f t="shared" si="53"/>
        <v>56.7</v>
      </c>
      <c r="AG662" s="1" t="str">
        <f t="shared" si="51"/>
        <v/>
      </c>
    </row>
    <row r="663" spans="1:33" x14ac:dyDescent="0.2">
      <c r="A663" s="1" t="s">
        <v>203</v>
      </c>
      <c r="B663" s="1" t="s">
        <v>1871</v>
      </c>
      <c r="C663" s="1">
        <v>2266</v>
      </c>
      <c r="D663" s="1" t="s">
        <v>372</v>
      </c>
      <c r="F663" s="1">
        <v>2023</v>
      </c>
      <c r="G663" s="1" t="s">
        <v>1696</v>
      </c>
      <c r="H663" s="1">
        <v>609180</v>
      </c>
      <c r="I663" s="1">
        <v>7</v>
      </c>
      <c r="K663" s="1" t="s">
        <v>1872</v>
      </c>
      <c r="L663" s="1" t="s">
        <v>1873</v>
      </c>
      <c r="M663" s="1">
        <v>169</v>
      </c>
      <c r="N663" s="1" t="s">
        <v>39</v>
      </c>
      <c r="O663" s="1">
        <v>40.187899999999999</v>
      </c>
      <c r="P663" s="1">
        <v>-97.5779</v>
      </c>
      <c r="Q663" s="1" t="s">
        <v>1852</v>
      </c>
      <c r="T663" s="1" t="s">
        <v>93</v>
      </c>
      <c r="U663" s="1" t="s">
        <v>94</v>
      </c>
      <c r="AA663" s="3">
        <v>26816</v>
      </c>
      <c r="AB663" s="1" t="s">
        <v>46</v>
      </c>
      <c r="AC663" s="5">
        <v>477.7</v>
      </c>
      <c r="AD663" s="1" t="s">
        <v>1870</v>
      </c>
      <c r="AE663" s="1" t="str">
        <f t="shared" si="52"/>
        <v>2266 1A</v>
      </c>
      <c r="AF663" s="5" t="str">
        <f t="shared" si="53"/>
        <v>56.7</v>
      </c>
      <c r="AG663" s="1" t="str">
        <f t="shared" si="51"/>
        <v/>
      </c>
    </row>
    <row r="664" spans="1:33" x14ac:dyDescent="0.2">
      <c r="A664" s="1" t="s">
        <v>203</v>
      </c>
      <c r="B664" s="1" t="s">
        <v>1871</v>
      </c>
      <c r="C664" s="1">
        <v>2266</v>
      </c>
      <c r="D664" s="1" t="s">
        <v>1199</v>
      </c>
      <c r="F664" s="1">
        <v>2023</v>
      </c>
      <c r="G664" s="1" t="s">
        <v>1696</v>
      </c>
      <c r="H664" s="1">
        <v>609180</v>
      </c>
      <c r="I664" s="1">
        <v>7</v>
      </c>
      <c r="K664" s="1" t="s">
        <v>1872</v>
      </c>
      <c r="L664" s="1" t="s">
        <v>1873</v>
      </c>
      <c r="M664" s="1">
        <v>169</v>
      </c>
      <c r="N664" s="1" t="s">
        <v>39</v>
      </c>
      <c r="O664" s="1">
        <v>40.187899999999999</v>
      </c>
      <c r="P664" s="1">
        <v>-97.5779</v>
      </c>
      <c r="Q664" s="1" t="s">
        <v>1852</v>
      </c>
      <c r="T664" s="1" t="s">
        <v>93</v>
      </c>
      <c r="U664" s="1" t="s">
        <v>94</v>
      </c>
      <c r="AA664" s="3">
        <v>26816</v>
      </c>
      <c r="AB664" s="1" t="s">
        <v>46</v>
      </c>
      <c r="AC664" s="5">
        <v>477.7</v>
      </c>
      <c r="AD664" s="1" t="s">
        <v>1870</v>
      </c>
      <c r="AE664" s="1" t="str">
        <f t="shared" si="52"/>
        <v>2266 1B</v>
      </c>
      <c r="AF664" s="5" t="str">
        <f t="shared" si="53"/>
        <v>56.7</v>
      </c>
      <c r="AG664" s="1" t="str">
        <f t="shared" si="51"/>
        <v/>
      </c>
    </row>
    <row r="665" spans="1:33" x14ac:dyDescent="0.2">
      <c r="A665" s="1" t="s">
        <v>203</v>
      </c>
      <c r="B665" s="1" t="s">
        <v>1874</v>
      </c>
      <c r="C665" s="1">
        <v>2271</v>
      </c>
      <c r="D665" s="1" t="s">
        <v>372</v>
      </c>
      <c r="F665" s="1">
        <v>2023</v>
      </c>
      <c r="G665" s="1" t="s">
        <v>1696</v>
      </c>
      <c r="H665" s="1">
        <v>609180</v>
      </c>
      <c r="I665" s="1">
        <v>7</v>
      </c>
      <c r="K665" s="1" t="s">
        <v>1875</v>
      </c>
      <c r="L665" s="1" t="s">
        <v>1876</v>
      </c>
      <c r="M665" s="1">
        <v>145</v>
      </c>
      <c r="N665" s="1" t="s">
        <v>39</v>
      </c>
      <c r="O665" s="1">
        <v>40.2209</v>
      </c>
      <c r="P665" s="1">
        <v>-100.6511</v>
      </c>
      <c r="Q665" s="1" t="s">
        <v>1852</v>
      </c>
      <c r="T665" s="1" t="s">
        <v>93</v>
      </c>
      <c r="U665" s="1" t="s">
        <v>94</v>
      </c>
      <c r="AA665" s="3">
        <v>26816</v>
      </c>
      <c r="AB665" s="1" t="s">
        <v>46</v>
      </c>
      <c r="AC665" s="5">
        <v>454.8</v>
      </c>
      <c r="AD665" s="1" t="s">
        <v>1870</v>
      </c>
      <c r="AE665" s="1" t="str">
        <f t="shared" si="52"/>
        <v>2271 1A</v>
      </c>
      <c r="AF665" s="5" t="str">
        <f t="shared" si="53"/>
        <v>56.7</v>
      </c>
      <c r="AG665" s="1" t="str">
        <f t="shared" si="51"/>
        <v/>
      </c>
    </row>
    <row r="666" spans="1:33" x14ac:dyDescent="0.2">
      <c r="A666" s="1" t="s">
        <v>203</v>
      </c>
      <c r="B666" s="1" t="s">
        <v>1874</v>
      </c>
      <c r="C666" s="1">
        <v>2271</v>
      </c>
      <c r="D666" s="1" t="s">
        <v>1199</v>
      </c>
      <c r="F666" s="1">
        <v>2023</v>
      </c>
      <c r="G666" s="1" t="s">
        <v>1696</v>
      </c>
      <c r="H666" s="1">
        <v>609180</v>
      </c>
      <c r="I666" s="1">
        <v>7</v>
      </c>
      <c r="K666" s="1" t="s">
        <v>1875</v>
      </c>
      <c r="L666" s="1" t="s">
        <v>1876</v>
      </c>
      <c r="M666" s="1">
        <v>145</v>
      </c>
      <c r="N666" s="1" t="s">
        <v>39</v>
      </c>
      <c r="O666" s="1">
        <v>40.2209</v>
      </c>
      <c r="P666" s="1">
        <v>-100.6511</v>
      </c>
      <c r="Q666" s="1" t="s">
        <v>1852</v>
      </c>
      <c r="T666" s="1" t="s">
        <v>93</v>
      </c>
      <c r="U666" s="1" t="s">
        <v>94</v>
      </c>
      <c r="AA666" s="3">
        <v>26816</v>
      </c>
      <c r="AB666" s="1" t="s">
        <v>46</v>
      </c>
      <c r="AC666" s="5">
        <v>454.8</v>
      </c>
      <c r="AD666" s="1" t="s">
        <v>1870</v>
      </c>
      <c r="AE666" s="1" t="str">
        <f t="shared" si="52"/>
        <v>2271 1B</v>
      </c>
      <c r="AF666" s="5" t="str">
        <f t="shared" si="53"/>
        <v>56.7</v>
      </c>
      <c r="AG666" s="1" t="str">
        <f t="shared" si="51"/>
        <v/>
      </c>
    </row>
    <row r="667" spans="1:33" x14ac:dyDescent="0.2">
      <c r="A667" s="1" t="s">
        <v>203</v>
      </c>
      <c r="B667" s="1" t="s">
        <v>1877</v>
      </c>
      <c r="C667" s="1">
        <v>2277</v>
      </c>
      <c r="D667" s="1">
        <v>1</v>
      </c>
      <c r="F667" s="1">
        <v>2023</v>
      </c>
      <c r="G667" s="1" t="s">
        <v>205</v>
      </c>
      <c r="H667" s="1">
        <v>609180</v>
      </c>
      <c r="I667" s="1">
        <v>7</v>
      </c>
      <c r="J667" s="1" t="s">
        <v>207</v>
      </c>
      <c r="K667" s="1" t="s">
        <v>1865</v>
      </c>
      <c r="L667" s="1" t="s">
        <v>1866</v>
      </c>
      <c r="M667" s="1">
        <v>109</v>
      </c>
      <c r="N667" s="1" t="s">
        <v>39</v>
      </c>
      <c r="O667" s="1">
        <v>40.558900000000001</v>
      </c>
      <c r="P667" s="1">
        <v>-96.784199999999998</v>
      </c>
      <c r="Q667" s="1" t="s">
        <v>1878</v>
      </c>
      <c r="R667" s="1" t="s">
        <v>41</v>
      </c>
      <c r="T667" s="1" t="s">
        <v>606</v>
      </c>
      <c r="U667" s="1" t="s">
        <v>55</v>
      </c>
      <c r="V667" s="1" t="s">
        <v>44</v>
      </c>
      <c r="X667" s="1" t="s">
        <v>220</v>
      </c>
      <c r="Y667" s="1" t="s">
        <v>232</v>
      </c>
      <c r="AA667" s="3">
        <v>25020</v>
      </c>
      <c r="AB667" s="1" t="s">
        <v>46</v>
      </c>
      <c r="AC667" s="5">
        <v>1495.5</v>
      </c>
      <c r="AD667" s="1" t="s">
        <v>1853</v>
      </c>
      <c r="AE667" s="1" t="str">
        <f t="shared" si="52"/>
        <v>2277 1</v>
      </c>
      <c r="AF667" s="5" t="str">
        <f t="shared" si="53"/>
        <v>108.8</v>
      </c>
      <c r="AG667" s="1" t="str">
        <f t="shared" si="51"/>
        <v/>
      </c>
    </row>
    <row r="668" spans="1:33" x14ac:dyDescent="0.2">
      <c r="A668" s="1" t="s">
        <v>203</v>
      </c>
      <c r="B668" s="1" t="s">
        <v>1877</v>
      </c>
      <c r="C668" s="1">
        <v>2277</v>
      </c>
      <c r="D668" s="1">
        <v>2</v>
      </c>
      <c r="F668" s="1">
        <v>2023</v>
      </c>
      <c r="G668" s="1" t="s">
        <v>205</v>
      </c>
      <c r="H668" s="1">
        <v>609180</v>
      </c>
      <c r="I668" s="1">
        <v>7</v>
      </c>
      <c r="J668" s="1" t="s">
        <v>207</v>
      </c>
      <c r="K668" s="1" t="s">
        <v>1865</v>
      </c>
      <c r="L668" s="1" t="s">
        <v>1866</v>
      </c>
      <c r="M668" s="1">
        <v>109</v>
      </c>
      <c r="N668" s="1" t="s">
        <v>39</v>
      </c>
      <c r="O668" s="1">
        <v>40.558900000000001</v>
      </c>
      <c r="P668" s="1">
        <v>-96.784199999999998</v>
      </c>
      <c r="Q668" s="1" t="s">
        <v>1878</v>
      </c>
      <c r="R668" s="1" t="s">
        <v>41</v>
      </c>
      <c r="T668" s="1" t="s">
        <v>606</v>
      </c>
      <c r="U668" s="1" t="s">
        <v>55</v>
      </c>
      <c r="V668" s="1" t="s">
        <v>44</v>
      </c>
      <c r="X668" s="1" t="s">
        <v>220</v>
      </c>
      <c r="Y668" s="1" t="s">
        <v>232</v>
      </c>
      <c r="AA668" s="3">
        <v>22463</v>
      </c>
      <c r="AB668" s="1" t="s">
        <v>46</v>
      </c>
      <c r="AC668" s="5">
        <v>1619.7</v>
      </c>
      <c r="AD668" s="1" t="s">
        <v>1879</v>
      </c>
      <c r="AE668" s="1" t="str">
        <f t="shared" si="52"/>
        <v>2277 2</v>
      </c>
      <c r="AF668" s="5" t="str">
        <f t="shared" si="53"/>
        <v>119.9</v>
      </c>
      <c r="AG668" s="1" t="str">
        <f t="shared" si="51"/>
        <v/>
      </c>
    </row>
    <row r="669" spans="1:33" x14ac:dyDescent="0.2">
      <c r="A669" s="1" t="s">
        <v>203</v>
      </c>
      <c r="B669" s="1" t="s">
        <v>1880</v>
      </c>
      <c r="C669" s="1">
        <v>2290</v>
      </c>
      <c r="D669" s="1">
        <v>1</v>
      </c>
      <c r="E669" s="1" t="s">
        <v>1881</v>
      </c>
      <c r="F669" s="1">
        <v>2023</v>
      </c>
      <c r="G669" s="1" t="s">
        <v>1696</v>
      </c>
      <c r="H669" s="1" t="s">
        <v>1882</v>
      </c>
      <c r="I669" s="1">
        <v>7</v>
      </c>
      <c r="J669" s="1" t="s">
        <v>207</v>
      </c>
      <c r="K669" s="1" t="s">
        <v>1308</v>
      </c>
      <c r="L669" s="1" t="s">
        <v>1883</v>
      </c>
      <c r="M669" s="1">
        <v>55</v>
      </c>
      <c r="N669" s="1" t="s">
        <v>39</v>
      </c>
      <c r="O669" s="1">
        <v>41.2517</v>
      </c>
      <c r="P669" s="1">
        <v>-95.923500000000004</v>
      </c>
      <c r="Q669" s="1" t="s">
        <v>1884</v>
      </c>
      <c r="T669" s="1" t="s">
        <v>93</v>
      </c>
      <c r="U669" s="1" t="s">
        <v>94</v>
      </c>
      <c r="AA669" s="3">
        <v>26816</v>
      </c>
      <c r="AB669" s="1" t="s">
        <v>46</v>
      </c>
      <c r="AC669" s="5">
        <v>795</v>
      </c>
      <c r="AD669" s="1" t="s">
        <v>1885</v>
      </c>
      <c r="AE669" s="1" t="str">
        <f t="shared" si="52"/>
        <v>2290 1</v>
      </c>
      <c r="AF669" s="5" t="str">
        <f t="shared" si="53"/>
        <v>56.5</v>
      </c>
      <c r="AG669" s="1" t="str">
        <f t="shared" si="51"/>
        <v/>
      </c>
    </row>
    <row r="670" spans="1:33" x14ac:dyDescent="0.2">
      <c r="A670" s="1" t="s">
        <v>203</v>
      </c>
      <c r="B670" s="1" t="s">
        <v>1880</v>
      </c>
      <c r="C670" s="1">
        <v>2290</v>
      </c>
      <c r="D670" s="1">
        <v>2</v>
      </c>
      <c r="E670" s="1" t="s">
        <v>1881</v>
      </c>
      <c r="F670" s="1">
        <v>2023</v>
      </c>
      <c r="G670" s="1" t="s">
        <v>1696</v>
      </c>
      <c r="H670" s="1" t="s">
        <v>1882</v>
      </c>
      <c r="I670" s="1">
        <v>7</v>
      </c>
      <c r="J670" s="1" t="s">
        <v>207</v>
      </c>
      <c r="K670" s="1" t="s">
        <v>1308</v>
      </c>
      <c r="L670" s="1" t="s">
        <v>1883</v>
      </c>
      <c r="M670" s="1">
        <v>55</v>
      </c>
      <c r="N670" s="1" t="s">
        <v>39</v>
      </c>
      <c r="O670" s="1">
        <v>41.2517</v>
      </c>
      <c r="P670" s="1">
        <v>-95.923500000000004</v>
      </c>
      <c r="Q670" s="1" t="s">
        <v>1884</v>
      </c>
      <c r="T670" s="1" t="s">
        <v>93</v>
      </c>
      <c r="U670" s="1" t="s">
        <v>94</v>
      </c>
      <c r="AA670" s="3">
        <v>26816</v>
      </c>
      <c r="AB670" s="1" t="s">
        <v>46</v>
      </c>
      <c r="AC670" s="5">
        <v>795</v>
      </c>
      <c r="AD670" s="1" t="s">
        <v>1886</v>
      </c>
      <c r="AE670" s="1" t="str">
        <f t="shared" si="52"/>
        <v>2290 2</v>
      </c>
      <c r="AF670" s="5" t="str">
        <f t="shared" si="53"/>
        <v>56.5</v>
      </c>
      <c r="AG670" s="1" t="str">
        <f t="shared" si="51"/>
        <v/>
      </c>
    </row>
    <row r="671" spans="1:33" x14ac:dyDescent="0.2">
      <c r="A671" s="1" t="s">
        <v>203</v>
      </c>
      <c r="B671" s="1" t="s">
        <v>1887</v>
      </c>
      <c r="C671" s="1">
        <v>2291</v>
      </c>
      <c r="D671" s="1">
        <v>1</v>
      </c>
      <c r="E671" s="1" t="s">
        <v>1888</v>
      </c>
      <c r="F671" s="1">
        <v>2023</v>
      </c>
      <c r="G671" s="1" t="s">
        <v>1666</v>
      </c>
      <c r="H671" s="1" t="s">
        <v>1882</v>
      </c>
      <c r="I671" s="1">
        <v>7</v>
      </c>
      <c r="J671" s="1" t="s">
        <v>207</v>
      </c>
      <c r="K671" s="1" t="s">
        <v>1308</v>
      </c>
      <c r="L671" s="1" t="s">
        <v>1883</v>
      </c>
      <c r="M671" s="1">
        <v>55</v>
      </c>
      <c r="N671" s="1" t="s">
        <v>39</v>
      </c>
      <c r="O671" s="1">
        <v>41.329700000000003</v>
      </c>
      <c r="P671" s="1">
        <v>-95.945800000000006</v>
      </c>
      <c r="Q671" s="1" t="s">
        <v>1884</v>
      </c>
      <c r="R671" s="1" t="s">
        <v>41</v>
      </c>
      <c r="S671" s="1" t="s">
        <v>42</v>
      </c>
      <c r="T671" s="1" t="s">
        <v>43</v>
      </c>
      <c r="U671" s="1" t="s">
        <v>44</v>
      </c>
      <c r="Y671" s="1" t="s">
        <v>58</v>
      </c>
      <c r="AA671" s="3">
        <v>19906</v>
      </c>
      <c r="AB671" s="1" t="s">
        <v>46</v>
      </c>
      <c r="AC671" s="5">
        <v>1010</v>
      </c>
      <c r="AD671" s="1" t="s">
        <v>1889</v>
      </c>
      <c r="AE671" s="1" t="str">
        <f t="shared" si="52"/>
        <v>2291 1</v>
      </c>
      <c r="AF671" s="5" t="str">
        <f t="shared" si="53"/>
        <v>73.5</v>
      </c>
      <c r="AG671" s="1" t="str">
        <f t="shared" si="51"/>
        <v/>
      </c>
    </row>
    <row r="672" spans="1:33" x14ac:dyDescent="0.2">
      <c r="A672" s="1" t="s">
        <v>203</v>
      </c>
      <c r="B672" s="1" t="s">
        <v>1887</v>
      </c>
      <c r="C672" s="1">
        <v>2291</v>
      </c>
      <c r="D672" s="1">
        <v>2</v>
      </c>
      <c r="E672" s="1" t="s">
        <v>1888</v>
      </c>
      <c r="F672" s="1">
        <v>2023</v>
      </c>
      <c r="G672" s="1" t="s">
        <v>1666</v>
      </c>
      <c r="H672" s="1" t="s">
        <v>1882</v>
      </c>
      <c r="I672" s="1">
        <v>7</v>
      </c>
      <c r="J672" s="1" t="s">
        <v>207</v>
      </c>
      <c r="K672" s="1" t="s">
        <v>1308</v>
      </c>
      <c r="L672" s="1" t="s">
        <v>1883</v>
      </c>
      <c r="M672" s="1">
        <v>55</v>
      </c>
      <c r="N672" s="1" t="s">
        <v>39</v>
      </c>
      <c r="O672" s="1">
        <v>41.329700000000003</v>
      </c>
      <c r="P672" s="1">
        <v>-95.945800000000006</v>
      </c>
      <c r="Q672" s="1" t="s">
        <v>1884</v>
      </c>
      <c r="R672" s="1" t="s">
        <v>41</v>
      </c>
      <c r="S672" s="1" t="s">
        <v>42</v>
      </c>
      <c r="T672" s="1" t="s">
        <v>43</v>
      </c>
      <c r="U672" s="1" t="s">
        <v>44</v>
      </c>
      <c r="X672" s="1" t="s">
        <v>1233</v>
      </c>
      <c r="Y672" s="1" t="s">
        <v>58</v>
      </c>
      <c r="AA672" s="3">
        <v>20919</v>
      </c>
      <c r="AB672" s="1" t="s">
        <v>46</v>
      </c>
      <c r="AC672" s="5">
        <v>1511</v>
      </c>
      <c r="AD672" s="1" t="s">
        <v>1890</v>
      </c>
      <c r="AE672" s="1" t="str">
        <f t="shared" si="52"/>
        <v>2291 2</v>
      </c>
      <c r="AF672" s="5" t="str">
        <f t="shared" si="53"/>
        <v>108.8</v>
      </c>
      <c r="AG672" s="1" t="str">
        <f t="shared" si="51"/>
        <v/>
      </c>
    </row>
    <row r="673" spans="1:33" x14ac:dyDescent="0.2">
      <c r="A673" s="1" t="s">
        <v>203</v>
      </c>
      <c r="B673" s="1" t="s">
        <v>1887</v>
      </c>
      <c r="C673" s="1">
        <v>2291</v>
      </c>
      <c r="D673" s="1">
        <v>3</v>
      </c>
      <c r="E673" s="1" t="s">
        <v>1888</v>
      </c>
      <c r="F673" s="1">
        <v>2023</v>
      </c>
      <c r="G673" s="1" t="s">
        <v>1666</v>
      </c>
      <c r="H673" s="1" t="s">
        <v>1882</v>
      </c>
      <c r="I673" s="1">
        <v>7</v>
      </c>
      <c r="J673" s="1" t="s">
        <v>207</v>
      </c>
      <c r="K673" s="1" t="s">
        <v>1308</v>
      </c>
      <c r="L673" s="1" t="s">
        <v>1883</v>
      </c>
      <c r="M673" s="1">
        <v>55</v>
      </c>
      <c r="N673" s="1" t="s">
        <v>39</v>
      </c>
      <c r="O673" s="1">
        <v>41.329700000000003</v>
      </c>
      <c r="P673" s="1">
        <v>-95.945800000000006</v>
      </c>
      <c r="Q673" s="1" t="s">
        <v>1884</v>
      </c>
      <c r="R673" s="1" t="s">
        <v>41</v>
      </c>
      <c r="S673" s="1" t="s">
        <v>42</v>
      </c>
      <c r="T673" s="1" t="s">
        <v>43</v>
      </c>
      <c r="U673" s="1" t="s">
        <v>44</v>
      </c>
      <c r="X673" s="1" t="s">
        <v>1233</v>
      </c>
      <c r="Y673" s="1" t="s">
        <v>58</v>
      </c>
      <c r="AA673" s="3">
        <v>21651</v>
      </c>
      <c r="AB673" s="1" t="s">
        <v>46</v>
      </c>
      <c r="AC673" s="5">
        <v>1357</v>
      </c>
      <c r="AD673" s="1" t="s">
        <v>1891</v>
      </c>
      <c r="AE673" s="1" t="str">
        <f t="shared" si="52"/>
        <v>2291 3</v>
      </c>
      <c r="AF673" s="5" t="str">
        <f t="shared" si="53"/>
        <v>108.8</v>
      </c>
      <c r="AG673" s="1" t="str">
        <f t="shared" si="51"/>
        <v/>
      </c>
    </row>
    <row r="674" spans="1:33" x14ac:dyDescent="0.2">
      <c r="A674" s="1" t="s">
        <v>203</v>
      </c>
      <c r="B674" s="1" t="s">
        <v>1887</v>
      </c>
      <c r="C674" s="1">
        <v>2291</v>
      </c>
      <c r="D674" s="1">
        <v>4</v>
      </c>
      <c r="F674" s="1">
        <v>2023</v>
      </c>
      <c r="G674" s="1" t="s">
        <v>205</v>
      </c>
      <c r="H674" s="1" t="s">
        <v>1882</v>
      </c>
      <c r="I674" s="1">
        <v>7</v>
      </c>
      <c r="J674" s="1" t="s">
        <v>207</v>
      </c>
      <c r="K674" s="1" t="s">
        <v>1308</v>
      </c>
      <c r="L674" s="1" t="s">
        <v>1883</v>
      </c>
      <c r="M674" s="1">
        <v>55</v>
      </c>
      <c r="N674" s="1" t="s">
        <v>39</v>
      </c>
      <c r="O674" s="1">
        <v>41.329700000000003</v>
      </c>
      <c r="P674" s="1">
        <v>-95.945800000000006</v>
      </c>
      <c r="Q674" s="1" t="s">
        <v>1884</v>
      </c>
      <c r="R674" s="1" t="s">
        <v>41</v>
      </c>
      <c r="S674" s="1" t="s">
        <v>211</v>
      </c>
      <c r="T674" s="1" t="s">
        <v>43</v>
      </c>
      <c r="U674" s="1" t="s">
        <v>55</v>
      </c>
      <c r="V674" s="1" t="s">
        <v>284</v>
      </c>
      <c r="Y674" s="1" t="s">
        <v>58</v>
      </c>
      <c r="Z674" s="1" t="s">
        <v>214</v>
      </c>
      <c r="AA674" s="3">
        <v>23085</v>
      </c>
      <c r="AB674" s="1" t="s">
        <v>46</v>
      </c>
      <c r="AC674" s="5">
        <v>1691</v>
      </c>
      <c r="AD674" s="1" t="s">
        <v>1892</v>
      </c>
      <c r="AE674" s="1" t="str">
        <f t="shared" si="52"/>
        <v>2291 4</v>
      </c>
      <c r="AF674" s="5" t="str">
        <f t="shared" si="53"/>
        <v>136</v>
      </c>
      <c r="AG674" s="1" t="str">
        <f t="shared" si="51"/>
        <v/>
      </c>
    </row>
    <row r="675" spans="1:33" x14ac:dyDescent="0.2">
      <c r="A675" s="1" t="s">
        <v>203</v>
      </c>
      <c r="B675" s="1" t="s">
        <v>1887</v>
      </c>
      <c r="C675" s="1">
        <v>2291</v>
      </c>
      <c r="D675" s="1">
        <v>5</v>
      </c>
      <c r="F675" s="1">
        <v>2023</v>
      </c>
      <c r="G675" s="1" t="s">
        <v>205</v>
      </c>
      <c r="H675" s="1" t="s">
        <v>1882</v>
      </c>
      <c r="I675" s="1">
        <v>7</v>
      </c>
      <c r="J675" s="1" t="s">
        <v>207</v>
      </c>
      <c r="K675" s="1" t="s">
        <v>1308</v>
      </c>
      <c r="L675" s="1" t="s">
        <v>1883</v>
      </c>
      <c r="M675" s="1">
        <v>55</v>
      </c>
      <c r="N675" s="1" t="s">
        <v>39</v>
      </c>
      <c r="O675" s="1">
        <v>41.329700000000003</v>
      </c>
      <c r="P675" s="1">
        <v>-95.945800000000006</v>
      </c>
      <c r="Q675" s="1" t="s">
        <v>1884</v>
      </c>
      <c r="R675" s="1" t="s">
        <v>41</v>
      </c>
      <c r="S675" s="1" t="s">
        <v>42</v>
      </c>
      <c r="T675" s="1" t="s">
        <v>89</v>
      </c>
      <c r="U675" s="1" t="s">
        <v>55</v>
      </c>
      <c r="V675" s="1" t="s">
        <v>284</v>
      </c>
      <c r="X675" s="1" t="s">
        <v>90</v>
      </c>
      <c r="Y675" s="1" t="s">
        <v>58</v>
      </c>
      <c r="Z675" s="1" t="s">
        <v>214</v>
      </c>
      <c r="AA675" s="3">
        <v>24959</v>
      </c>
      <c r="AB675" s="1" t="s">
        <v>46</v>
      </c>
      <c r="AC675" s="5">
        <v>2586</v>
      </c>
      <c r="AD675" s="1" t="s">
        <v>1893</v>
      </c>
      <c r="AE675" s="1" t="str">
        <f t="shared" si="52"/>
        <v>2291 5</v>
      </c>
      <c r="AF675" s="5" t="str">
        <f t="shared" si="53"/>
        <v>217.6</v>
      </c>
      <c r="AG675" s="1" t="str">
        <f t="shared" si="51"/>
        <v/>
      </c>
    </row>
    <row r="676" spans="1:33" x14ac:dyDescent="0.2">
      <c r="A676" s="1" t="s">
        <v>203</v>
      </c>
      <c r="B676" s="1" t="s">
        <v>1894</v>
      </c>
      <c r="C676" s="1">
        <v>2292</v>
      </c>
      <c r="D676" s="1">
        <v>1</v>
      </c>
      <c r="F676" s="1">
        <v>2023</v>
      </c>
      <c r="G676" s="1" t="s">
        <v>1696</v>
      </c>
      <c r="H676" s="1" t="s">
        <v>1882</v>
      </c>
      <c r="I676" s="1">
        <v>7</v>
      </c>
      <c r="J676" s="1" t="s">
        <v>207</v>
      </c>
      <c r="K676" s="1" t="s">
        <v>1895</v>
      </c>
      <c r="L676" s="1" t="s">
        <v>1896</v>
      </c>
      <c r="M676" s="1">
        <v>153</v>
      </c>
      <c r="N676" s="1" t="s">
        <v>39</v>
      </c>
      <c r="O676" s="1">
        <v>41.1706</v>
      </c>
      <c r="P676" s="1">
        <v>-95.969200000000001</v>
      </c>
      <c r="Q676" s="1" t="s">
        <v>1884</v>
      </c>
      <c r="T676" s="1" t="s">
        <v>93</v>
      </c>
      <c r="U676" s="1" t="s">
        <v>94</v>
      </c>
      <c r="V676" s="1" t="s">
        <v>44</v>
      </c>
      <c r="AA676" s="3">
        <v>26451</v>
      </c>
      <c r="AB676" s="1" t="s">
        <v>46</v>
      </c>
      <c r="AC676" s="5">
        <v>1001</v>
      </c>
      <c r="AD676" s="1" t="s">
        <v>1897</v>
      </c>
      <c r="AE676" s="1" t="str">
        <f t="shared" si="52"/>
        <v>2292 1</v>
      </c>
      <c r="AF676" s="5" t="str">
        <f t="shared" ref="AF676:AF707" si="54">MID(AD676,FIND("(",AD676)+1,FIND(")",AD676)-FIND("(",AD676)-1)</f>
        <v>55.4</v>
      </c>
      <c r="AG676" s="1" t="str">
        <f t="shared" si="51"/>
        <v/>
      </c>
    </row>
    <row r="677" spans="1:33" x14ac:dyDescent="0.2">
      <c r="A677" s="1" t="s">
        <v>203</v>
      </c>
      <c r="B677" s="1" t="s">
        <v>1894</v>
      </c>
      <c r="C677" s="1">
        <v>2292</v>
      </c>
      <c r="D677" s="1">
        <v>2</v>
      </c>
      <c r="F677" s="1">
        <v>2023</v>
      </c>
      <c r="G677" s="1" t="s">
        <v>1696</v>
      </c>
      <c r="H677" s="1" t="s">
        <v>1882</v>
      </c>
      <c r="I677" s="1">
        <v>7</v>
      </c>
      <c r="J677" s="1" t="s">
        <v>207</v>
      </c>
      <c r="K677" s="1" t="s">
        <v>1895</v>
      </c>
      <c r="L677" s="1" t="s">
        <v>1896</v>
      </c>
      <c r="M677" s="1">
        <v>153</v>
      </c>
      <c r="N677" s="1" t="s">
        <v>39</v>
      </c>
      <c r="O677" s="1">
        <v>41.1706</v>
      </c>
      <c r="P677" s="1">
        <v>-95.969200000000001</v>
      </c>
      <c r="Q677" s="1" t="s">
        <v>1884</v>
      </c>
      <c r="T677" s="1" t="s">
        <v>93</v>
      </c>
      <c r="U677" s="1" t="s">
        <v>44</v>
      </c>
      <c r="V677" s="1" t="s">
        <v>94</v>
      </c>
      <c r="AA677" s="3">
        <v>26451</v>
      </c>
      <c r="AB677" s="1" t="s">
        <v>46</v>
      </c>
      <c r="AC677" s="5">
        <v>1001</v>
      </c>
      <c r="AD677" s="1" t="s">
        <v>1898</v>
      </c>
      <c r="AE677" s="1" t="str">
        <f t="shared" si="52"/>
        <v>2292 2</v>
      </c>
      <c r="AF677" s="5" t="str">
        <f t="shared" si="54"/>
        <v>55.4</v>
      </c>
      <c r="AG677" s="1" t="str">
        <f t="shared" si="51"/>
        <v/>
      </c>
    </row>
    <row r="678" spans="1:33" x14ac:dyDescent="0.2">
      <c r="A678" s="1" t="s">
        <v>203</v>
      </c>
      <c r="B678" s="1" t="s">
        <v>1894</v>
      </c>
      <c r="C678" s="1">
        <v>2292</v>
      </c>
      <c r="D678" s="1" t="s">
        <v>101</v>
      </c>
      <c r="F678" s="1">
        <v>2023</v>
      </c>
      <c r="G678" s="1" t="s">
        <v>1666</v>
      </c>
      <c r="H678" s="1" t="s">
        <v>1882</v>
      </c>
      <c r="I678" s="1">
        <v>7</v>
      </c>
      <c r="J678" s="1" t="s">
        <v>207</v>
      </c>
      <c r="K678" s="1" t="s">
        <v>1895</v>
      </c>
      <c r="L678" s="1" t="s">
        <v>1896</v>
      </c>
      <c r="M678" s="1">
        <v>153</v>
      </c>
      <c r="N678" s="1" t="s">
        <v>39</v>
      </c>
      <c r="O678" s="1">
        <v>41.1706</v>
      </c>
      <c r="P678" s="1">
        <v>-95.969200000000001</v>
      </c>
      <c r="Q678" s="1" t="s">
        <v>1884</v>
      </c>
      <c r="R678" s="1" t="s">
        <v>41</v>
      </c>
      <c r="T678" s="1" t="s">
        <v>93</v>
      </c>
      <c r="U678" s="1" t="s">
        <v>44</v>
      </c>
      <c r="V678" s="1" t="s">
        <v>94</v>
      </c>
      <c r="X678" s="1" t="s">
        <v>183</v>
      </c>
      <c r="AA678" s="3">
        <v>35217</v>
      </c>
      <c r="AB678" s="1" t="s">
        <v>46</v>
      </c>
      <c r="AC678" s="5">
        <v>1418</v>
      </c>
      <c r="AD678" s="1" t="s">
        <v>1899</v>
      </c>
      <c r="AE678" s="1" t="str">
        <f t="shared" si="52"/>
        <v>2292 CT3</v>
      </c>
      <c r="AF678" s="5" t="str">
        <f t="shared" si="54"/>
        <v>120</v>
      </c>
      <c r="AG678" s="1" t="str">
        <f t="shared" si="51"/>
        <v/>
      </c>
    </row>
    <row r="679" spans="1:33" x14ac:dyDescent="0.2">
      <c r="A679" s="1" t="s">
        <v>203</v>
      </c>
      <c r="B679" s="1" t="s">
        <v>1894</v>
      </c>
      <c r="C679" s="1">
        <v>2292</v>
      </c>
      <c r="D679" s="1" t="s">
        <v>862</v>
      </c>
      <c r="F679" s="1">
        <v>2023</v>
      </c>
      <c r="G679" s="1" t="s">
        <v>1666</v>
      </c>
      <c r="H679" s="1" t="s">
        <v>1882</v>
      </c>
      <c r="I679" s="1">
        <v>7</v>
      </c>
      <c r="J679" s="1" t="s">
        <v>207</v>
      </c>
      <c r="K679" s="1" t="s">
        <v>1895</v>
      </c>
      <c r="L679" s="1" t="s">
        <v>1896</v>
      </c>
      <c r="M679" s="1">
        <v>153</v>
      </c>
      <c r="N679" s="1" t="s">
        <v>39</v>
      </c>
      <c r="O679" s="1">
        <v>41.1706</v>
      </c>
      <c r="P679" s="1">
        <v>-95.969200000000001</v>
      </c>
      <c r="Q679" s="1" t="s">
        <v>1884</v>
      </c>
      <c r="R679" s="1" t="s">
        <v>41</v>
      </c>
      <c r="T679" s="1" t="s">
        <v>93</v>
      </c>
      <c r="U679" s="1" t="s">
        <v>44</v>
      </c>
      <c r="V679" s="1" t="s">
        <v>94</v>
      </c>
      <c r="X679" s="1" t="s">
        <v>95</v>
      </c>
      <c r="AA679" s="3">
        <v>36665</v>
      </c>
      <c r="AB679" s="1" t="s">
        <v>46</v>
      </c>
      <c r="AC679" s="5">
        <v>315</v>
      </c>
      <c r="AD679" s="1" t="s">
        <v>697</v>
      </c>
      <c r="AE679" s="1" t="str">
        <f t="shared" si="52"/>
        <v>2292 CT4A</v>
      </c>
      <c r="AF679" s="5" t="str">
        <f t="shared" si="54"/>
        <v>58.9</v>
      </c>
      <c r="AG679" s="1" t="str">
        <f t="shared" si="51"/>
        <v/>
      </c>
    </row>
    <row r="680" spans="1:33" x14ac:dyDescent="0.2">
      <c r="A680" s="1" t="s">
        <v>203</v>
      </c>
      <c r="B680" s="1" t="s">
        <v>1894</v>
      </c>
      <c r="C680" s="1">
        <v>2292</v>
      </c>
      <c r="D680" s="1" t="s">
        <v>864</v>
      </c>
      <c r="F680" s="1">
        <v>2023</v>
      </c>
      <c r="G680" s="1" t="s">
        <v>1666</v>
      </c>
      <c r="H680" s="1" t="s">
        <v>1882</v>
      </c>
      <c r="I680" s="1">
        <v>7</v>
      </c>
      <c r="J680" s="1" t="s">
        <v>207</v>
      </c>
      <c r="K680" s="1" t="s">
        <v>1895</v>
      </c>
      <c r="L680" s="1" t="s">
        <v>1896</v>
      </c>
      <c r="M680" s="1">
        <v>153</v>
      </c>
      <c r="N680" s="1" t="s">
        <v>39</v>
      </c>
      <c r="O680" s="1">
        <v>41.1706</v>
      </c>
      <c r="P680" s="1">
        <v>-95.969200000000001</v>
      </c>
      <c r="Q680" s="1" t="s">
        <v>1884</v>
      </c>
      <c r="R680" s="1" t="s">
        <v>41</v>
      </c>
      <c r="T680" s="1" t="s">
        <v>93</v>
      </c>
      <c r="U680" s="1" t="s">
        <v>44</v>
      </c>
      <c r="V680" s="1" t="s">
        <v>94</v>
      </c>
      <c r="X680" s="1" t="s">
        <v>95</v>
      </c>
      <c r="AA680" s="3">
        <v>36665</v>
      </c>
      <c r="AB680" s="1" t="s">
        <v>46</v>
      </c>
      <c r="AC680" s="5">
        <v>315</v>
      </c>
      <c r="AD680" s="1" t="s">
        <v>697</v>
      </c>
      <c r="AE680" s="1" t="str">
        <f t="shared" si="52"/>
        <v>2292 CT4B</v>
      </c>
      <c r="AF680" s="5" t="str">
        <f t="shared" si="54"/>
        <v>58.9</v>
      </c>
      <c r="AG680" s="1" t="str">
        <f t="shared" si="51"/>
        <v/>
      </c>
    </row>
    <row r="681" spans="1:33" x14ac:dyDescent="0.2">
      <c r="A681" s="1" t="s">
        <v>203</v>
      </c>
      <c r="B681" s="1" t="s">
        <v>1894</v>
      </c>
      <c r="C681" s="1">
        <v>2292</v>
      </c>
      <c r="D681" s="1" t="s">
        <v>1900</v>
      </c>
      <c r="F681" s="1">
        <v>2023</v>
      </c>
      <c r="G681" s="1" t="s">
        <v>1666</v>
      </c>
      <c r="H681" s="1" t="s">
        <v>1882</v>
      </c>
      <c r="I681" s="1">
        <v>7</v>
      </c>
      <c r="J681" s="1" t="s">
        <v>207</v>
      </c>
      <c r="K681" s="1" t="s">
        <v>1895</v>
      </c>
      <c r="L681" s="1" t="s">
        <v>1896</v>
      </c>
      <c r="M681" s="1">
        <v>153</v>
      </c>
      <c r="N681" s="1" t="s">
        <v>39</v>
      </c>
      <c r="O681" s="1">
        <v>41.1706</v>
      </c>
      <c r="P681" s="1">
        <v>-95.969200000000001</v>
      </c>
      <c r="Q681" s="1" t="s">
        <v>1884</v>
      </c>
      <c r="R681" s="1" t="s">
        <v>41</v>
      </c>
      <c r="T681" s="1" t="s">
        <v>93</v>
      </c>
      <c r="U681" s="1" t="s">
        <v>44</v>
      </c>
      <c r="V681" s="1" t="s">
        <v>94</v>
      </c>
      <c r="X681" s="1" t="s">
        <v>95</v>
      </c>
      <c r="AA681" s="3">
        <v>36665</v>
      </c>
      <c r="AB681" s="1" t="s">
        <v>46</v>
      </c>
      <c r="AC681" s="5">
        <v>315</v>
      </c>
      <c r="AD681" s="1" t="s">
        <v>1901</v>
      </c>
      <c r="AE681" s="1" t="str">
        <f t="shared" si="52"/>
        <v>2292 CT5A</v>
      </c>
      <c r="AF681" s="5" t="str">
        <f t="shared" si="54"/>
        <v>58.9</v>
      </c>
      <c r="AG681" s="1" t="str">
        <f t="shared" si="51"/>
        <v/>
      </c>
    </row>
    <row r="682" spans="1:33" x14ac:dyDescent="0.2">
      <c r="A682" s="1" t="s">
        <v>203</v>
      </c>
      <c r="B682" s="1" t="s">
        <v>1894</v>
      </c>
      <c r="C682" s="1">
        <v>2292</v>
      </c>
      <c r="D682" s="1" t="s">
        <v>1902</v>
      </c>
      <c r="F682" s="1">
        <v>2023</v>
      </c>
      <c r="G682" s="1" t="s">
        <v>1666</v>
      </c>
      <c r="H682" s="1" t="s">
        <v>1882</v>
      </c>
      <c r="I682" s="1">
        <v>7</v>
      </c>
      <c r="J682" s="1" t="s">
        <v>207</v>
      </c>
      <c r="K682" s="1" t="s">
        <v>1895</v>
      </c>
      <c r="L682" s="1" t="s">
        <v>1896</v>
      </c>
      <c r="M682" s="1">
        <v>153</v>
      </c>
      <c r="N682" s="1" t="s">
        <v>39</v>
      </c>
      <c r="O682" s="1">
        <v>41.1706</v>
      </c>
      <c r="P682" s="1">
        <v>-95.969200000000001</v>
      </c>
      <c r="Q682" s="1" t="s">
        <v>1884</v>
      </c>
      <c r="R682" s="1" t="s">
        <v>41</v>
      </c>
      <c r="T682" s="1" t="s">
        <v>93</v>
      </c>
      <c r="U682" s="1" t="s">
        <v>44</v>
      </c>
      <c r="V682" s="1" t="s">
        <v>94</v>
      </c>
      <c r="X682" s="1" t="s">
        <v>95</v>
      </c>
      <c r="AA682" s="3">
        <v>36665</v>
      </c>
      <c r="AB682" s="1" t="s">
        <v>46</v>
      </c>
      <c r="AC682" s="5">
        <v>315</v>
      </c>
      <c r="AD682" s="1" t="s">
        <v>1901</v>
      </c>
      <c r="AE682" s="1" t="str">
        <f t="shared" si="52"/>
        <v>2292 CT5B</v>
      </c>
      <c r="AF682" s="5" t="str">
        <f t="shared" si="54"/>
        <v>58.9</v>
      </c>
      <c r="AG682" s="1" t="str">
        <f t="shared" si="51"/>
        <v/>
      </c>
    </row>
    <row r="683" spans="1:33" x14ac:dyDescent="0.2">
      <c r="A683" s="1" t="s">
        <v>1903</v>
      </c>
      <c r="B683" s="1" t="s">
        <v>1904</v>
      </c>
      <c r="C683" s="1">
        <v>2322</v>
      </c>
      <c r="D683" s="1" t="s">
        <v>616</v>
      </c>
      <c r="E683" s="1" t="s">
        <v>1905</v>
      </c>
      <c r="F683" s="1">
        <v>2023</v>
      </c>
      <c r="G683" s="1" t="s">
        <v>247</v>
      </c>
      <c r="H683" s="1">
        <v>610268</v>
      </c>
      <c r="I683" s="1">
        <v>9</v>
      </c>
      <c r="J683" s="1" t="s">
        <v>237</v>
      </c>
      <c r="K683" s="1" t="s">
        <v>170</v>
      </c>
      <c r="L683" s="1" t="s">
        <v>1906</v>
      </c>
      <c r="M683" s="1">
        <v>3</v>
      </c>
      <c r="N683" s="1" t="s">
        <v>39</v>
      </c>
      <c r="O683" s="1">
        <v>36.087499999999999</v>
      </c>
      <c r="P683" s="1">
        <v>-115.05070000000001</v>
      </c>
      <c r="Q683" s="1" t="s">
        <v>1907</v>
      </c>
      <c r="R683" s="1" t="s">
        <v>41</v>
      </c>
      <c r="T683" s="1" t="s">
        <v>93</v>
      </c>
      <c r="U683" s="1" t="s">
        <v>44</v>
      </c>
      <c r="X683" s="1" t="s">
        <v>223</v>
      </c>
      <c r="AA683" s="3">
        <v>39652</v>
      </c>
      <c r="AB683" s="1" t="s">
        <v>46</v>
      </c>
      <c r="AC683" s="5">
        <v>328.4</v>
      </c>
      <c r="AD683" s="1" t="s">
        <v>1908</v>
      </c>
      <c r="AE683" s="1" t="str">
        <f t="shared" si="52"/>
        <v>2322 11A</v>
      </c>
      <c r="AF683" s="5" t="str">
        <f t="shared" si="54"/>
        <v>64.3</v>
      </c>
      <c r="AG683" s="1" t="str">
        <f t="shared" si="51"/>
        <v>Y</v>
      </c>
    </row>
    <row r="684" spans="1:33" x14ac:dyDescent="0.2">
      <c r="A684" s="1" t="s">
        <v>1903</v>
      </c>
      <c r="B684" s="1" t="s">
        <v>1904</v>
      </c>
      <c r="C684" s="1">
        <v>2322</v>
      </c>
      <c r="D684" s="1" t="s">
        <v>623</v>
      </c>
      <c r="E684" s="1" t="s">
        <v>1905</v>
      </c>
      <c r="F684" s="1">
        <v>2023</v>
      </c>
      <c r="G684" s="1" t="s">
        <v>247</v>
      </c>
      <c r="H684" s="1">
        <v>610268</v>
      </c>
      <c r="I684" s="1">
        <v>9</v>
      </c>
      <c r="J684" s="1" t="s">
        <v>237</v>
      </c>
      <c r="K684" s="1" t="s">
        <v>170</v>
      </c>
      <c r="L684" s="1" t="s">
        <v>1906</v>
      </c>
      <c r="M684" s="1">
        <v>3</v>
      </c>
      <c r="N684" s="1" t="s">
        <v>39</v>
      </c>
      <c r="O684" s="1">
        <v>36.087499999999999</v>
      </c>
      <c r="P684" s="1">
        <v>-115.05070000000001</v>
      </c>
      <c r="Q684" s="1" t="s">
        <v>1907</v>
      </c>
      <c r="R684" s="1" t="s">
        <v>41</v>
      </c>
      <c r="T684" s="1" t="s">
        <v>93</v>
      </c>
      <c r="U684" s="1" t="s">
        <v>44</v>
      </c>
      <c r="X684" s="1" t="s">
        <v>223</v>
      </c>
      <c r="AA684" s="3">
        <v>39652</v>
      </c>
      <c r="AB684" s="1" t="s">
        <v>46</v>
      </c>
      <c r="AC684" s="5">
        <v>328.4</v>
      </c>
      <c r="AD684" s="1" t="s">
        <v>1908</v>
      </c>
      <c r="AE684" s="1" t="str">
        <f t="shared" si="52"/>
        <v>2322 11B</v>
      </c>
      <c r="AF684" s="5" t="str">
        <f t="shared" si="54"/>
        <v>64.3</v>
      </c>
      <c r="AG684" s="1" t="str">
        <f t="shared" si="51"/>
        <v>Y</v>
      </c>
    </row>
    <row r="685" spans="1:33" x14ac:dyDescent="0.2">
      <c r="A685" s="1" t="s">
        <v>1903</v>
      </c>
      <c r="B685" s="1" t="s">
        <v>1904</v>
      </c>
      <c r="C685" s="1">
        <v>2322</v>
      </c>
      <c r="D685" s="1" t="s">
        <v>624</v>
      </c>
      <c r="E685" s="1" t="s">
        <v>1177</v>
      </c>
      <c r="F685" s="1">
        <v>2023</v>
      </c>
      <c r="G685" s="1" t="s">
        <v>247</v>
      </c>
      <c r="H685" s="1">
        <v>610268</v>
      </c>
      <c r="I685" s="1">
        <v>9</v>
      </c>
      <c r="J685" s="1" t="s">
        <v>237</v>
      </c>
      <c r="K685" s="1" t="s">
        <v>170</v>
      </c>
      <c r="L685" s="1" t="s">
        <v>1906</v>
      </c>
      <c r="M685" s="1">
        <v>3</v>
      </c>
      <c r="N685" s="1" t="s">
        <v>39</v>
      </c>
      <c r="O685" s="1">
        <v>36.087499999999999</v>
      </c>
      <c r="P685" s="1">
        <v>-115.05070000000001</v>
      </c>
      <c r="Q685" s="1" t="s">
        <v>1907</v>
      </c>
      <c r="R685" s="1" t="s">
        <v>41</v>
      </c>
      <c r="T685" s="1" t="s">
        <v>93</v>
      </c>
      <c r="U685" s="1" t="s">
        <v>44</v>
      </c>
      <c r="X685" s="1" t="s">
        <v>223</v>
      </c>
      <c r="AA685" s="3">
        <v>39652</v>
      </c>
      <c r="AB685" s="1" t="s">
        <v>46</v>
      </c>
      <c r="AC685" s="5">
        <v>328.4</v>
      </c>
      <c r="AD685" s="1" t="s">
        <v>1909</v>
      </c>
      <c r="AE685" s="1" t="str">
        <f t="shared" si="52"/>
        <v>2322 12A</v>
      </c>
      <c r="AF685" s="5" t="str">
        <f t="shared" si="54"/>
        <v>64.3</v>
      </c>
      <c r="AG685" s="1" t="str">
        <f t="shared" si="51"/>
        <v>Y</v>
      </c>
    </row>
    <row r="686" spans="1:33" x14ac:dyDescent="0.2">
      <c r="A686" s="1" t="s">
        <v>1903</v>
      </c>
      <c r="B686" s="1" t="s">
        <v>1904</v>
      </c>
      <c r="C686" s="1">
        <v>2322</v>
      </c>
      <c r="D686" s="1" t="s">
        <v>626</v>
      </c>
      <c r="E686" s="1" t="s">
        <v>1177</v>
      </c>
      <c r="F686" s="1">
        <v>2023</v>
      </c>
      <c r="G686" s="1" t="s">
        <v>247</v>
      </c>
      <c r="H686" s="1">
        <v>610268</v>
      </c>
      <c r="I686" s="1">
        <v>9</v>
      </c>
      <c r="J686" s="1" t="s">
        <v>237</v>
      </c>
      <c r="K686" s="1" t="s">
        <v>170</v>
      </c>
      <c r="L686" s="1" t="s">
        <v>1906</v>
      </c>
      <c r="M686" s="1">
        <v>3</v>
      </c>
      <c r="N686" s="1" t="s">
        <v>39</v>
      </c>
      <c r="O686" s="1">
        <v>36.087499999999999</v>
      </c>
      <c r="P686" s="1">
        <v>-115.05070000000001</v>
      </c>
      <c r="Q686" s="1" t="s">
        <v>1907</v>
      </c>
      <c r="R686" s="1" t="s">
        <v>41</v>
      </c>
      <c r="T686" s="1" t="s">
        <v>93</v>
      </c>
      <c r="U686" s="1" t="s">
        <v>44</v>
      </c>
      <c r="X686" s="1" t="s">
        <v>223</v>
      </c>
      <c r="AA686" s="3">
        <v>39652</v>
      </c>
      <c r="AB686" s="1" t="s">
        <v>46</v>
      </c>
      <c r="AC686" s="5">
        <v>328.4</v>
      </c>
      <c r="AD686" s="1" t="s">
        <v>1909</v>
      </c>
      <c r="AE686" s="1" t="str">
        <f t="shared" si="52"/>
        <v>2322 12B</v>
      </c>
      <c r="AF686" s="5" t="str">
        <f t="shared" si="54"/>
        <v>64.3</v>
      </c>
      <c r="AG686" s="1" t="str">
        <f t="shared" si="51"/>
        <v>Y</v>
      </c>
    </row>
    <row r="687" spans="1:33" x14ac:dyDescent="0.2">
      <c r="A687" s="1" t="s">
        <v>1903</v>
      </c>
      <c r="B687" s="1" t="s">
        <v>1904</v>
      </c>
      <c r="C687" s="1">
        <v>2322</v>
      </c>
      <c r="D687" s="1" t="s">
        <v>627</v>
      </c>
      <c r="E687" s="1" t="s">
        <v>1910</v>
      </c>
      <c r="F687" s="1">
        <v>2023</v>
      </c>
      <c r="G687" s="1" t="s">
        <v>247</v>
      </c>
      <c r="H687" s="1">
        <v>610268</v>
      </c>
      <c r="I687" s="1">
        <v>9</v>
      </c>
      <c r="J687" s="1" t="s">
        <v>237</v>
      </c>
      <c r="K687" s="1" t="s">
        <v>170</v>
      </c>
      <c r="L687" s="1" t="s">
        <v>1906</v>
      </c>
      <c r="M687" s="1">
        <v>3</v>
      </c>
      <c r="N687" s="1" t="s">
        <v>39</v>
      </c>
      <c r="O687" s="1">
        <v>36.087499999999999</v>
      </c>
      <c r="P687" s="1">
        <v>-115.05070000000001</v>
      </c>
      <c r="Q687" s="1" t="s">
        <v>1907</v>
      </c>
      <c r="R687" s="1" t="s">
        <v>41</v>
      </c>
      <c r="T687" s="1" t="s">
        <v>93</v>
      </c>
      <c r="U687" s="1" t="s">
        <v>44</v>
      </c>
      <c r="X687" s="1" t="s">
        <v>223</v>
      </c>
      <c r="AA687" s="3">
        <v>39658</v>
      </c>
      <c r="AB687" s="1" t="s">
        <v>46</v>
      </c>
      <c r="AC687" s="5">
        <v>328.4</v>
      </c>
      <c r="AD687" s="1" t="s">
        <v>1911</v>
      </c>
      <c r="AE687" s="1" t="str">
        <f t="shared" si="52"/>
        <v>2322 13A</v>
      </c>
      <c r="AF687" s="5" t="str">
        <f t="shared" si="54"/>
        <v>64.3</v>
      </c>
      <c r="AG687" s="1" t="str">
        <f t="shared" si="51"/>
        <v>Y</v>
      </c>
    </row>
    <row r="688" spans="1:33" x14ac:dyDescent="0.2">
      <c r="A688" s="1" t="s">
        <v>1903</v>
      </c>
      <c r="B688" s="1" t="s">
        <v>1904</v>
      </c>
      <c r="C688" s="1">
        <v>2322</v>
      </c>
      <c r="D688" s="1" t="s">
        <v>629</v>
      </c>
      <c r="E688" s="1" t="s">
        <v>1910</v>
      </c>
      <c r="F688" s="1">
        <v>2023</v>
      </c>
      <c r="G688" s="1" t="s">
        <v>247</v>
      </c>
      <c r="H688" s="1">
        <v>610268</v>
      </c>
      <c r="I688" s="1">
        <v>9</v>
      </c>
      <c r="J688" s="1" t="s">
        <v>237</v>
      </c>
      <c r="K688" s="1" t="s">
        <v>170</v>
      </c>
      <c r="L688" s="1" t="s">
        <v>1906</v>
      </c>
      <c r="M688" s="1">
        <v>3</v>
      </c>
      <c r="N688" s="1" t="s">
        <v>39</v>
      </c>
      <c r="O688" s="1">
        <v>36.087499999999999</v>
      </c>
      <c r="P688" s="1">
        <v>-115.05070000000001</v>
      </c>
      <c r="Q688" s="1" t="s">
        <v>1907</v>
      </c>
      <c r="R688" s="1" t="s">
        <v>41</v>
      </c>
      <c r="T688" s="1" t="s">
        <v>93</v>
      </c>
      <c r="U688" s="1" t="s">
        <v>44</v>
      </c>
      <c r="X688" s="1" t="s">
        <v>223</v>
      </c>
      <c r="AA688" s="3">
        <v>39658</v>
      </c>
      <c r="AB688" s="1" t="s">
        <v>46</v>
      </c>
      <c r="AC688" s="5">
        <v>328.4</v>
      </c>
      <c r="AD688" s="1" t="s">
        <v>1911</v>
      </c>
      <c r="AE688" s="1" t="str">
        <f t="shared" si="52"/>
        <v>2322 13B</v>
      </c>
      <c r="AF688" s="5" t="str">
        <f t="shared" si="54"/>
        <v>64.3</v>
      </c>
      <c r="AG688" s="1" t="str">
        <f t="shared" si="51"/>
        <v>Y</v>
      </c>
    </row>
    <row r="689" spans="1:33" x14ac:dyDescent="0.2">
      <c r="A689" s="1" t="s">
        <v>1903</v>
      </c>
      <c r="B689" s="1" t="s">
        <v>1904</v>
      </c>
      <c r="C689" s="1">
        <v>2322</v>
      </c>
      <c r="D689" s="1" t="s">
        <v>630</v>
      </c>
      <c r="E689" s="1" t="s">
        <v>1912</v>
      </c>
      <c r="F689" s="1">
        <v>2023</v>
      </c>
      <c r="G689" s="1" t="s">
        <v>247</v>
      </c>
      <c r="H689" s="1">
        <v>610268</v>
      </c>
      <c r="I689" s="1">
        <v>9</v>
      </c>
      <c r="J689" s="1" t="s">
        <v>237</v>
      </c>
      <c r="K689" s="1" t="s">
        <v>170</v>
      </c>
      <c r="L689" s="1" t="s">
        <v>1906</v>
      </c>
      <c r="M689" s="1">
        <v>3</v>
      </c>
      <c r="N689" s="1" t="s">
        <v>39</v>
      </c>
      <c r="O689" s="1">
        <v>36.087499999999999</v>
      </c>
      <c r="P689" s="1">
        <v>-115.05070000000001</v>
      </c>
      <c r="Q689" s="1" t="s">
        <v>1907</v>
      </c>
      <c r="R689" s="1" t="s">
        <v>41</v>
      </c>
      <c r="T689" s="1" t="s">
        <v>93</v>
      </c>
      <c r="U689" s="1" t="s">
        <v>44</v>
      </c>
      <c r="X689" s="1" t="s">
        <v>223</v>
      </c>
      <c r="AA689" s="3">
        <v>39652</v>
      </c>
      <c r="AB689" s="1" t="s">
        <v>46</v>
      </c>
      <c r="AC689" s="5">
        <v>328.4</v>
      </c>
      <c r="AD689" s="1" t="s">
        <v>1913</v>
      </c>
      <c r="AE689" s="1" t="str">
        <f t="shared" si="52"/>
        <v>2322 14A</v>
      </c>
      <c r="AF689" s="5" t="str">
        <f t="shared" si="54"/>
        <v>64.3</v>
      </c>
      <c r="AG689" s="1" t="str">
        <f t="shared" si="51"/>
        <v>Y</v>
      </c>
    </row>
    <row r="690" spans="1:33" x14ac:dyDescent="0.2">
      <c r="A690" s="1" t="s">
        <v>1903</v>
      </c>
      <c r="B690" s="1" t="s">
        <v>1904</v>
      </c>
      <c r="C690" s="1">
        <v>2322</v>
      </c>
      <c r="D690" s="1" t="s">
        <v>632</v>
      </c>
      <c r="E690" s="1" t="s">
        <v>1912</v>
      </c>
      <c r="F690" s="1">
        <v>2023</v>
      </c>
      <c r="G690" s="1" t="s">
        <v>247</v>
      </c>
      <c r="H690" s="1">
        <v>610268</v>
      </c>
      <c r="I690" s="1">
        <v>9</v>
      </c>
      <c r="J690" s="1" t="s">
        <v>237</v>
      </c>
      <c r="K690" s="1" t="s">
        <v>170</v>
      </c>
      <c r="L690" s="1" t="s">
        <v>1906</v>
      </c>
      <c r="M690" s="1">
        <v>3</v>
      </c>
      <c r="N690" s="1" t="s">
        <v>39</v>
      </c>
      <c r="O690" s="1">
        <v>36.087499999999999</v>
      </c>
      <c r="P690" s="1">
        <v>-115.05070000000001</v>
      </c>
      <c r="Q690" s="1" t="s">
        <v>1907</v>
      </c>
      <c r="R690" s="1" t="s">
        <v>41</v>
      </c>
      <c r="T690" s="1" t="s">
        <v>93</v>
      </c>
      <c r="U690" s="1" t="s">
        <v>44</v>
      </c>
      <c r="X690" s="1" t="s">
        <v>223</v>
      </c>
      <c r="AA690" s="3">
        <v>39652</v>
      </c>
      <c r="AB690" s="1" t="s">
        <v>46</v>
      </c>
      <c r="AC690" s="5">
        <v>328.4</v>
      </c>
      <c r="AD690" s="1" t="s">
        <v>1913</v>
      </c>
      <c r="AE690" s="1" t="str">
        <f t="shared" si="52"/>
        <v>2322 14B</v>
      </c>
      <c r="AF690" s="5" t="str">
        <f t="shared" si="54"/>
        <v>64.3</v>
      </c>
      <c r="AG690" s="1" t="str">
        <f t="shared" si="51"/>
        <v>Y</v>
      </c>
    </row>
    <row r="691" spans="1:33" x14ac:dyDescent="0.2">
      <c r="A691" s="1" t="s">
        <v>1903</v>
      </c>
      <c r="B691" s="1" t="s">
        <v>1904</v>
      </c>
      <c r="C691" s="1">
        <v>2322</v>
      </c>
      <c r="D691" s="1" t="s">
        <v>1914</v>
      </c>
      <c r="E691" s="1" t="s">
        <v>1915</v>
      </c>
      <c r="F691" s="1">
        <v>2023</v>
      </c>
      <c r="G691" s="1" t="s">
        <v>247</v>
      </c>
      <c r="H691" s="1">
        <v>610268</v>
      </c>
      <c r="I691" s="1">
        <v>9</v>
      </c>
      <c r="J691" s="1" t="s">
        <v>237</v>
      </c>
      <c r="K691" s="1" t="s">
        <v>170</v>
      </c>
      <c r="L691" s="1" t="s">
        <v>1906</v>
      </c>
      <c r="M691" s="1">
        <v>3</v>
      </c>
      <c r="N691" s="1" t="s">
        <v>39</v>
      </c>
      <c r="O691" s="1">
        <v>36.087499999999999</v>
      </c>
      <c r="P691" s="1">
        <v>-115.05070000000001</v>
      </c>
      <c r="Q691" s="1" t="s">
        <v>1907</v>
      </c>
      <c r="R691" s="1" t="s">
        <v>41</v>
      </c>
      <c r="T691" s="1" t="s">
        <v>93</v>
      </c>
      <c r="U691" s="1" t="s">
        <v>44</v>
      </c>
      <c r="X691" s="1" t="s">
        <v>223</v>
      </c>
      <c r="AA691" s="3">
        <v>39580</v>
      </c>
      <c r="AB691" s="1" t="s">
        <v>46</v>
      </c>
      <c r="AC691" s="5">
        <v>328.4</v>
      </c>
      <c r="AD691" s="1" t="s">
        <v>1916</v>
      </c>
      <c r="AE691" s="1" t="str">
        <f t="shared" si="52"/>
        <v>2322 15A</v>
      </c>
      <c r="AF691" s="5" t="str">
        <f t="shared" si="54"/>
        <v>64.3</v>
      </c>
      <c r="AG691" s="1" t="str">
        <f t="shared" si="51"/>
        <v>Y</v>
      </c>
    </row>
    <row r="692" spans="1:33" x14ac:dyDescent="0.2">
      <c r="A692" s="1" t="s">
        <v>1903</v>
      </c>
      <c r="B692" s="1" t="s">
        <v>1904</v>
      </c>
      <c r="C692" s="1">
        <v>2322</v>
      </c>
      <c r="D692" s="1" t="s">
        <v>1917</v>
      </c>
      <c r="E692" s="1" t="s">
        <v>1915</v>
      </c>
      <c r="F692" s="1">
        <v>2023</v>
      </c>
      <c r="G692" s="1" t="s">
        <v>247</v>
      </c>
      <c r="H692" s="1">
        <v>610268</v>
      </c>
      <c r="I692" s="1">
        <v>9</v>
      </c>
      <c r="J692" s="1" t="s">
        <v>237</v>
      </c>
      <c r="K692" s="1" t="s">
        <v>170</v>
      </c>
      <c r="L692" s="1" t="s">
        <v>1906</v>
      </c>
      <c r="M692" s="1">
        <v>3</v>
      </c>
      <c r="N692" s="1" t="s">
        <v>39</v>
      </c>
      <c r="O692" s="1">
        <v>36.087499999999999</v>
      </c>
      <c r="P692" s="1">
        <v>-115.05070000000001</v>
      </c>
      <c r="Q692" s="1" t="s">
        <v>1907</v>
      </c>
      <c r="R692" s="1" t="s">
        <v>41</v>
      </c>
      <c r="T692" s="1" t="s">
        <v>93</v>
      </c>
      <c r="U692" s="1" t="s">
        <v>44</v>
      </c>
      <c r="X692" s="1" t="s">
        <v>223</v>
      </c>
      <c r="AA692" s="3">
        <v>39580</v>
      </c>
      <c r="AB692" s="1" t="s">
        <v>46</v>
      </c>
      <c r="AC692" s="5">
        <v>328.4</v>
      </c>
      <c r="AD692" s="1" t="s">
        <v>1916</v>
      </c>
      <c r="AE692" s="1" t="str">
        <f t="shared" si="52"/>
        <v>2322 15B</v>
      </c>
      <c r="AF692" s="5" t="str">
        <f t="shared" si="54"/>
        <v>64.3</v>
      </c>
      <c r="AG692" s="1" t="str">
        <f t="shared" si="51"/>
        <v>Y</v>
      </c>
    </row>
    <row r="693" spans="1:33" x14ac:dyDescent="0.2">
      <c r="A693" s="1" t="s">
        <v>1903</v>
      </c>
      <c r="B693" s="1" t="s">
        <v>1904</v>
      </c>
      <c r="C693" s="1">
        <v>2322</v>
      </c>
      <c r="D693" s="1" t="s">
        <v>1918</v>
      </c>
      <c r="E693" s="1" t="s">
        <v>1919</v>
      </c>
      <c r="F693" s="1">
        <v>2023</v>
      </c>
      <c r="G693" s="1" t="s">
        <v>247</v>
      </c>
      <c r="H693" s="1">
        <v>610268</v>
      </c>
      <c r="I693" s="1">
        <v>9</v>
      </c>
      <c r="J693" s="1" t="s">
        <v>237</v>
      </c>
      <c r="K693" s="1" t="s">
        <v>170</v>
      </c>
      <c r="L693" s="1" t="s">
        <v>1906</v>
      </c>
      <c r="M693" s="1">
        <v>3</v>
      </c>
      <c r="N693" s="1" t="s">
        <v>39</v>
      </c>
      <c r="O693" s="1">
        <v>36.087499999999999</v>
      </c>
      <c r="P693" s="1">
        <v>-115.05070000000001</v>
      </c>
      <c r="Q693" s="1" t="s">
        <v>1907</v>
      </c>
      <c r="R693" s="1" t="s">
        <v>41</v>
      </c>
      <c r="T693" s="1" t="s">
        <v>93</v>
      </c>
      <c r="U693" s="1" t="s">
        <v>44</v>
      </c>
      <c r="X693" s="1" t="s">
        <v>223</v>
      </c>
      <c r="AA693" s="3">
        <v>39590</v>
      </c>
      <c r="AB693" s="1" t="s">
        <v>46</v>
      </c>
      <c r="AC693" s="5">
        <v>328.4</v>
      </c>
      <c r="AD693" s="1" t="s">
        <v>1920</v>
      </c>
      <c r="AE693" s="1" t="str">
        <f t="shared" si="52"/>
        <v>2322 16A</v>
      </c>
      <c r="AF693" s="5" t="str">
        <f t="shared" si="54"/>
        <v>64.3</v>
      </c>
      <c r="AG693" s="1" t="str">
        <f t="shared" si="51"/>
        <v>Y</v>
      </c>
    </row>
    <row r="694" spans="1:33" x14ac:dyDescent="0.2">
      <c r="A694" s="1" t="s">
        <v>1903</v>
      </c>
      <c r="B694" s="1" t="s">
        <v>1904</v>
      </c>
      <c r="C694" s="1">
        <v>2322</v>
      </c>
      <c r="D694" s="1" t="s">
        <v>1921</v>
      </c>
      <c r="E694" s="1" t="s">
        <v>1919</v>
      </c>
      <c r="F694" s="1">
        <v>2023</v>
      </c>
      <c r="G694" s="1" t="s">
        <v>247</v>
      </c>
      <c r="H694" s="1">
        <v>610268</v>
      </c>
      <c r="I694" s="1">
        <v>9</v>
      </c>
      <c r="J694" s="1" t="s">
        <v>237</v>
      </c>
      <c r="K694" s="1" t="s">
        <v>170</v>
      </c>
      <c r="L694" s="1" t="s">
        <v>1906</v>
      </c>
      <c r="M694" s="1">
        <v>3</v>
      </c>
      <c r="N694" s="1" t="s">
        <v>39</v>
      </c>
      <c r="O694" s="1">
        <v>36.087499999999999</v>
      </c>
      <c r="P694" s="1">
        <v>-115.05070000000001</v>
      </c>
      <c r="Q694" s="1" t="s">
        <v>1907</v>
      </c>
      <c r="R694" s="1" t="s">
        <v>41</v>
      </c>
      <c r="T694" s="1" t="s">
        <v>93</v>
      </c>
      <c r="U694" s="1" t="s">
        <v>44</v>
      </c>
      <c r="X694" s="1" t="s">
        <v>223</v>
      </c>
      <c r="AA694" s="3">
        <v>39590</v>
      </c>
      <c r="AB694" s="1" t="s">
        <v>46</v>
      </c>
      <c r="AC694" s="5">
        <v>328.4</v>
      </c>
      <c r="AD694" s="1" t="s">
        <v>1920</v>
      </c>
      <c r="AE694" s="1" t="str">
        <f t="shared" si="52"/>
        <v>2322 16B</v>
      </c>
      <c r="AF694" s="5" t="str">
        <f t="shared" si="54"/>
        <v>64.3</v>
      </c>
      <c r="AG694" s="1" t="str">
        <f t="shared" si="51"/>
        <v>Y</v>
      </c>
    </row>
    <row r="695" spans="1:33" x14ac:dyDescent="0.2">
      <c r="A695" s="1" t="s">
        <v>1903</v>
      </c>
      <c r="B695" s="1" t="s">
        <v>1904</v>
      </c>
      <c r="C695" s="1">
        <v>2322</v>
      </c>
      <c r="D695" s="1" t="s">
        <v>1922</v>
      </c>
      <c r="E695" s="1" t="s">
        <v>1923</v>
      </c>
      <c r="F695" s="1">
        <v>2023</v>
      </c>
      <c r="G695" s="1" t="s">
        <v>247</v>
      </c>
      <c r="H695" s="1">
        <v>610268</v>
      </c>
      <c r="I695" s="1">
        <v>9</v>
      </c>
      <c r="J695" s="1" t="s">
        <v>237</v>
      </c>
      <c r="K695" s="1" t="s">
        <v>170</v>
      </c>
      <c r="L695" s="1" t="s">
        <v>1906</v>
      </c>
      <c r="M695" s="1">
        <v>3</v>
      </c>
      <c r="N695" s="1" t="s">
        <v>39</v>
      </c>
      <c r="O695" s="1">
        <v>36.087499999999999</v>
      </c>
      <c r="P695" s="1">
        <v>-115.05070000000001</v>
      </c>
      <c r="Q695" s="1" t="s">
        <v>1907</v>
      </c>
      <c r="R695" s="1" t="s">
        <v>41</v>
      </c>
      <c r="T695" s="1" t="s">
        <v>93</v>
      </c>
      <c r="U695" s="1" t="s">
        <v>44</v>
      </c>
      <c r="X695" s="1" t="s">
        <v>223</v>
      </c>
      <c r="AA695" s="3">
        <v>39590</v>
      </c>
      <c r="AB695" s="1" t="s">
        <v>46</v>
      </c>
      <c r="AC695" s="5">
        <v>328.4</v>
      </c>
      <c r="AD695" s="1" t="s">
        <v>1924</v>
      </c>
      <c r="AE695" s="1" t="str">
        <f t="shared" si="52"/>
        <v>2322 17A</v>
      </c>
      <c r="AF695" s="5" t="str">
        <f t="shared" si="54"/>
        <v>64.3</v>
      </c>
      <c r="AG695" s="1" t="str">
        <f t="shared" si="51"/>
        <v>Y</v>
      </c>
    </row>
    <row r="696" spans="1:33" x14ac:dyDescent="0.2">
      <c r="A696" s="1" t="s">
        <v>1903</v>
      </c>
      <c r="B696" s="1" t="s">
        <v>1904</v>
      </c>
      <c r="C696" s="1">
        <v>2322</v>
      </c>
      <c r="D696" s="1" t="s">
        <v>1925</v>
      </c>
      <c r="E696" s="1" t="s">
        <v>1923</v>
      </c>
      <c r="F696" s="1">
        <v>2023</v>
      </c>
      <c r="G696" s="1" t="s">
        <v>247</v>
      </c>
      <c r="H696" s="1">
        <v>610268</v>
      </c>
      <c r="I696" s="1">
        <v>9</v>
      </c>
      <c r="J696" s="1" t="s">
        <v>237</v>
      </c>
      <c r="K696" s="1" t="s">
        <v>170</v>
      </c>
      <c r="L696" s="1" t="s">
        <v>1906</v>
      </c>
      <c r="M696" s="1">
        <v>3</v>
      </c>
      <c r="N696" s="1" t="s">
        <v>39</v>
      </c>
      <c r="O696" s="1">
        <v>36.087499999999999</v>
      </c>
      <c r="P696" s="1">
        <v>-115.05070000000001</v>
      </c>
      <c r="Q696" s="1" t="s">
        <v>1907</v>
      </c>
      <c r="R696" s="1" t="s">
        <v>41</v>
      </c>
      <c r="T696" s="1" t="s">
        <v>93</v>
      </c>
      <c r="U696" s="1" t="s">
        <v>44</v>
      </c>
      <c r="X696" s="1" t="s">
        <v>223</v>
      </c>
      <c r="AA696" s="3">
        <v>39590</v>
      </c>
      <c r="AB696" s="1" t="s">
        <v>46</v>
      </c>
      <c r="AC696" s="5">
        <v>328.4</v>
      </c>
      <c r="AD696" s="1" t="s">
        <v>1924</v>
      </c>
      <c r="AE696" s="1" t="str">
        <f t="shared" si="52"/>
        <v>2322 17B</v>
      </c>
      <c r="AF696" s="5" t="str">
        <f t="shared" si="54"/>
        <v>64.3</v>
      </c>
      <c r="AG696" s="1" t="str">
        <f t="shared" si="51"/>
        <v>Y</v>
      </c>
    </row>
    <row r="697" spans="1:33" x14ac:dyDescent="0.2">
      <c r="A697" s="1" t="s">
        <v>1903</v>
      </c>
      <c r="B697" s="1" t="s">
        <v>1904</v>
      </c>
      <c r="C697" s="1">
        <v>2322</v>
      </c>
      <c r="D697" s="1" t="s">
        <v>1926</v>
      </c>
      <c r="E697" s="1" t="s">
        <v>1927</v>
      </c>
      <c r="F697" s="1">
        <v>2023</v>
      </c>
      <c r="G697" s="1" t="s">
        <v>247</v>
      </c>
      <c r="H697" s="1">
        <v>610268</v>
      </c>
      <c r="I697" s="1">
        <v>9</v>
      </c>
      <c r="J697" s="1" t="s">
        <v>237</v>
      </c>
      <c r="K697" s="1" t="s">
        <v>170</v>
      </c>
      <c r="L697" s="1" t="s">
        <v>1906</v>
      </c>
      <c r="M697" s="1">
        <v>3</v>
      </c>
      <c r="N697" s="1" t="s">
        <v>39</v>
      </c>
      <c r="O697" s="1">
        <v>36.087499999999999</v>
      </c>
      <c r="P697" s="1">
        <v>-115.05070000000001</v>
      </c>
      <c r="Q697" s="1" t="s">
        <v>1907</v>
      </c>
      <c r="R697" s="1" t="s">
        <v>41</v>
      </c>
      <c r="T697" s="1" t="s">
        <v>93</v>
      </c>
      <c r="U697" s="1" t="s">
        <v>44</v>
      </c>
      <c r="X697" s="1" t="s">
        <v>223</v>
      </c>
      <c r="AA697" s="3">
        <v>39580</v>
      </c>
      <c r="AB697" s="1" t="s">
        <v>46</v>
      </c>
      <c r="AC697" s="5">
        <v>328.4</v>
      </c>
      <c r="AD697" s="1" t="s">
        <v>1928</v>
      </c>
      <c r="AE697" s="1" t="str">
        <f t="shared" si="52"/>
        <v>2322 18A</v>
      </c>
      <c r="AF697" s="5" t="str">
        <f t="shared" si="54"/>
        <v>64.3</v>
      </c>
      <c r="AG697" s="1" t="str">
        <f t="shared" si="51"/>
        <v>Y</v>
      </c>
    </row>
    <row r="698" spans="1:33" x14ac:dyDescent="0.2">
      <c r="A698" s="1" t="s">
        <v>1903</v>
      </c>
      <c r="B698" s="1" t="s">
        <v>1904</v>
      </c>
      <c r="C698" s="1">
        <v>2322</v>
      </c>
      <c r="D698" s="1" t="s">
        <v>1929</v>
      </c>
      <c r="E698" s="1" t="s">
        <v>1927</v>
      </c>
      <c r="F698" s="1">
        <v>2023</v>
      </c>
      <c r="G698" s="1" t="s">
        <v>247</v>
      </c>
      <c r="H698" s="1">
        <v>610268</v>
      </c>
      <c r="I698" s="1">
        <v>9</v>
      </c>
      <c r="J698" s="1" t="s">
        <v>237</v>
      </c>
      <c r="K698" s="1" t="s">
        <v>170</v>
      </c>
      <c r="L698" s="1" t="s">
        <v>1906</v>
      </c>
      <c r="M698" s="1">
        <v>3</v>
      </c>
      <c r="N698" s="1" t="s">
        <v>39</v>
      </c>
      <c r="O698" s="1">
        <v>36.087499999999999</v>
      </c>
      <c r="P698" s="1">
        <v>-115.05070000000001</v>
      </c>
      <c r="Q698" s="1" t="s">
        <v>1907</v>
      </c>
      <c r="R698" s="1" t="s">
        <v>41</v>
      </c>
      <c r="T698" s="1" t="s">
        <v>93</v>
      </c>
      <c r="U698" s="1" t="s">
        <v>44</v>
      </c>
      <c r="X698" s="1" t="s">
        <v>223</v>
      </c>
      <c r="AA698" s="3">
        <v>39580</v>
      </c>
      <c r="AB698" s="1" t="s">
        <v>46</v>
      </c>
      <c r="AC698" s="5">
        <v>328.4</v>
      </c>
      <c r="AD698" s="1" t="s">
        <v>1928</v>
      </c>
      <c r="AE698" s="1" t="str">
        <f t="shared" si="52"/>
        <v>2322 18B</v>
      </c>
      <c r="AF698" s="5" t="str">
        <f t="shared" si="54"/>
        <v>64.3</v>
      </c>
      <c r="AG698" s="1" t="str">
        <f t="shared" si="51"/>
        <v>Y</v>
      </c>
    </row>
    <row r="699" spans="1:33" x14ac:dyDescent="0.2">
      <c r="A699" s="1" t="s">
        <v>1903</v>
      </c>
      <c r="B699" s="1" t="s">
        <v>1904</v>
      </c>
      <c r="C699" s="1">
        <v>2322</v>
      </c>
      <c r="D699" s="1" t="s">
        <v>1930</v>
      </c>
      <c r="E699" s="1" t="s">
        <v>1931</v>
      </c>
      <c r="F699" s="1">
        <v>2023</v>
      </c>
      <c r="G699" s="1" t="s">
        <v>247</v>
      </c>
      <c r="H699" s="1">
        <v>610268</v>
      </c>
      <c r="I699" s="1">
        <v>9</v>
      </c>
      <c r="J699" s="1" t="s">
        <v>237</v>
      </c>
      <c r="K699" s="1" t="s">
        <v>170</v>
      </c>
      <c r="L699" s="1" t="s">
        <v>1906</v>
      </c>
      <c r="M699" s="1">
        <v>3</v>
      </c>
      <c r="N699" s="1" t="s">
        <v>39</v>
      </c>
      <c r="O699" s="1">
        <v>36.087499999999999</v>
      </c>
      <c r="P699" s="1">
        <v>-115.05070000000001</v>
      </c>
      <c r="Q699" s="1" t="s">
        <v>1907</v>
      </c>
      <c r="R699" s="1" t="s">
        <v>41</v>
      </c>
      <c r="T699" s="1" t="s">
        <v>93</v>
      </c>
      <c r="U699" s="1" t="s">
        <v>44</v>
      </c>
      <c r="X699" s="1" t="s">
        <v>223</v>
      </c>
      <c r="AA699" s="3">
        <v>39549</v>
      </c>
      <c r="AB699" s="1" t="s">
        <v>46</v>
      </c>
      <c r="AC699" s="5">
        <v>328.4</v>
      </c>
      <c r="AD699" s="1" t="s">
        <v>1932</v>
      </c>
      <c r="AE699" s="1" t="str">
        <f t="shared" si="52"/>
        <v>2322 19A</v>
      </c>
      <c r="AF699" s="5" t="str">
        <f t="shared" si="54"/>
        <v>64.3</v>
      </c>
      <c r="AG699" s="1" t="str">
        <f t="shared" si="51"/>
        <v>Y</v>
      </c>
    </row>
    <row r="700" spans="1:33" x14ac:dyDescent="0.2">
      <c r="A700" s="1" t="s">
        <v>1903</v>
      </c>
      <c r="B700" s="1" t="s">
        <v>1904</v>
      </c>
      <c r="C700" s="1">
        <v>2322</v>
      </c>
      <c r="D700" s="1" t="s">
        <v>1933</v>
      </c>
      <c r="E700" s="1" t="s">
        <v>1931</v>
      </c>
      <c r="F700" s="1">
        <v>2023</v>
      </c>
      <c r="G700" s="1" t="s">
        <v>247</v>
      </c>
      <c r="H700" s="1">
        <v>610268</v>
      </c>
      <c r="I700" s="1">
        <v>9</v>
      </c>
      <c r="J700" s="1" t="s">
        <v>237</v>
      </c>
      <c r="K700" s="1" t="s">
        <v>170</v>
      </c>
      <c r="L700" s="1" t="s">
        <v>1906</v>
      </c>
      <c r="M700" s="1">
        <v>3</v>
      </c>
      <c r="N700" s="1" t="s">
        <v>39</v>
      </c>
      <c r="O700" s="1">
        <v>36.087499999999999</v>
      </c>
      <c r="P700" s="1">
        <v>-115.05070000000001</v>
      </c>
      <c r="Q700" s="1" t="s">
        <v>1907</v>
      </c>
      <c r="R700" s="1" t="s">
        <v>41</v>
      </c>
      <c r="T700" s="1" t="s">
        <v>93</v>
      </c>
      <c r="U700" s="1" t="s">
        <v>44</v>
      </c>
      <c r="X700" s="1" t="s">
        <v>223</v>
      </c>
      <c r="AA700" s="3">
        <v>39549</v>
      </c>
      <c r="AB700" s="1" t="s">
        <v>46</v>
      </c>
      <c r="AC700" s="5">
        <v>328.4</v>
      </c>
      <c r="AD700" s="1" t="s">
        <v>1932</v>
      </c>
      <c r="AE700" s="1" t="str">
        <f t="shared" si="52"/>
        <v>2322 19B</v>
      </c>
      <c r="AF700" s="5" t="str">
        <f t="shared" si="54"/>
        <v>64.3</v>
      </c>
      <c r="AG700" s="1" t="str">
        <f t="shared" si="51"/>
        <v>Y</v>
      </c>
    </row>
    <row r="701" spans="1:33" x14ac:dyDescent="0.2">
      <c r="A701" s="1" t="s">
        <v>1903</v>
      </c>
      <c r="B701" s="1" t="s">
        <v>1904</v>
      </c>
      <c r="C701" s="1">
        <v>2322</v>
      </c>
      <c r="D701" s="1" t="s">
        <v>1934</v>
      </c>
      <c r="E701" s="1" t="s">
        <v>1935</v>
      </c>
      <c r="F701" s="1">
        <v>2023</v>
      </c>
      <c r="G701" s="1" t="s">
        <v>247</v>
      </c>
      <c r="H701" s="1">
        <v>610268</v>
      </c>
      <c r="I701" s="1">
        <v>9</v>
      </c>
      <c r="J701" s="1" t="s">
        <v>237</v>
      </c>
      <c r="K701" s="1" t="s">
        <v>170</v>
      </c>
      <c r="L701" s="1" t="s">
        <v>1906</v>
      </c>
      <c r="M701" s="1">
        <v>3</v>
      </c>
      <c r="N701" s="1" t="s">
        <v>39</v>
      </c>
      <c r="O701" s="1">
        <v>36.087499999999999</v>
      </c>
      <c r="P701" s="1">
        <v>-115.05070000000001</v>
      </c>
      <c r="Q701" s="1" t="s">
        <v>1907</v>
      </c>
      <c r="R701" s="1" t="s">
        <v>41</v>
      </c>
      <c r="T701" s="1" t="s">
        <v>93</v>
      </c>
      <c r="U701" s="1" t="s">
        <v>44</v>
      </c>
      <c r="X701" s="1" t="s">
        <v>223</v>
      </c>
      <c r="AA701" s="3">
        <v>39548</v>
      </c>
      <c r="AB701" s="1" t="s">
        <v>46</v>
      </c>
      <c r="AC701" s="5">
        <v>328.4</v>
      </c>
      <c r="AD701" s="1" t="s">
        <v>1936</v>
      </c>
      <c r="AE701" s="1" t="str">
        <f t="shared" si="52"/>
        <v>2322 20A</v>
      </c>
      <c r="AF701" s="5" t="str">
        <f t="shared" si="54"/>
        <v>64.3</v>
      </c>
      <c r="AG701" s="1" t="str">
        <f t="shared" si="51"/>
        <v>Y</v>
      </c>
    </row>
    <row r="702" spans="1:33" x14ac:dyDescent="0.2">
      <c r="A702" s="1" t="s">
        <v>1903</v>
      </c>
      <c r="B702" s="1" t="s">
        <v>1904</v>
      </c>
      <c r="C702" s="1">
        <v>2322</v>
      </c>
      <c r="D702" s="1" t="s">
        <v>1937</v>
      </c>
      <c r="E702" s="1" t="s">
        <v>1935</v>
      </c>
      <c r="F702" s="1">
        <v>2023</v>
      </c>
      <c r="G702" s="1" t="s">
        <v>247</v>
      </c>
      <c r="H702" s="1">
        <v>610268</v>
      </c>
      <c r="I702" s="1">
        <v>9</v>
      </c>
      <c r="J702" s="1" t="s">
        <v>237</v>
      </c>
      <c r="K702" s="1" t="s">
        <v>170</v>
      </c>
      <c r="L702" s="1" t="s">
        <v>1906</v>
      </c>
      <c r="M702" s="1">
        <v>3</v>
      </c>
      <c r="N702" s="1" t="s">
        <v>39</v>
      </c>
      <c r="O702" s="1">
        <v>36.087499999999999</v>
      </c>
      <c r="P702" s="1">
        <v>-115.05070000000001</v>
      </c>
      <c r="Q702" s="1" t="s">
        <v>1907</v>
      </c>
      <c r="R702" s="1" t="s">
        <v>41</v>
      </c>
      <c r="T702" s="1" t="s">
        <v>93</v>
      </c>
      <c r="U702" s="1" t="s">
        <v>44</v>
      </c>
      <c r="X702" s="1" t="s">
        <v>223</v>
      </c>
      <c r="AA702" s="3">
        <v>39548</v>
      </c>
      <c r="AB702" s="1" t="s">
        <v>46</v>
      </c>
      <c r="AC702" s="5">
        <v>328.4</v>
      </c>
      <c r="AD702" s="1" t="s">
        <v>1936</v>
      </c>
      <c r="AE702" s="1" t="str">
        <f t="shared" si="52"/>
        <v>2322 20B</v>
      </c>
      <c r="AF702" s="5" t="str">
        <f t="shared" si="54"/>
        <v>64.3</v>
      </c>
      <c r="AG702" s="1" t="str">
        <f t="shared" si="51"/>
        <v>Y</v>
      </c>
    </row>
    <row r="703" spans="1:33" x14ac:dyDescent="0.2">
      <c r="A703" s="1" t="s">
        <v>1903</v>
      </c>
      <c r="B703" s="1" t="s">
        <v>1904</v>
      </c>
      <c r="C703" s="1">
        <v>2322</v>
      </c>
      <c r="D703" s="1" t="s">
        <v>1938</v>
      </c>
      <c r="E703" s="1" t="s">
        <v>1939</v>
      </c>
      <c r="F703" s="1">
        <v>2023</v>
      </c>
      <c r="G703" s="1" t="s">
        <v>247</v>
      </c>
      <c r="H703" s="1">
        <v>610268</v>
      </c>
      <c r="I703" s="1">
        <v>9</v>
      </c>
      <c r="J703" s="1" t="s">
        <v>237</v>
      </c>
      <c r="K703" s="1" t="s">
        <v>170</v>
      </c>
      <c r="L703" s="1" t="s">
        <v>1906</v>
      </c>
      <c r="M703" s="1">
        <v>3</v>
      </c>
      <c r="N703" s="1" t="s">
        <v>39</v>
      </c>
      <c r="O703" s="1">
        <v>36.087499999999999</v>
      </c>
      <c r="P703" s="1">
        <v>-115.05070000000001</v>
      </c>
      <c r="Q703" s="1" t="s">
        <v>1907</v>
      </c>
      <c r="R703" s="1" t="s">
        <v>41</v>
      </c>
      <c r="T703" s="1" t="s">
        <v>93</v>
      </c>
      <c r="U703" s="1" t="s">
        <v>44</v>
      </c>
      <c r="X703" s="1" t="s">
        <v>223</v>
      </c>
      <c r="AA703" s="3">
        <v>39558</v>
      </c>
      <c r="AB703" s="1" t="s">
        <v>46</v>
      </c>
      <c r="AC703" s="5">
        <v>328.4</v>
      </c>
      <c r="AD703" s="1" t="s">
        <v>1940</v>
      </c>
      <c r="AE703" s="1" t="str">
        <f t="shared" si="52"/>
        <v>2322 21A</v>
      </c>
      <c r="AF703" s="5" t="str">
        <f t="shared" si="54"/>
        <v>64.3</v>
      </c>
      <c r="AG703" s="1" t="str">
        <f t="shared" si="51"/>
        <v>Y</v>
      </c>
    </row>
    <row r="704" spans="1:33" x14ac:dyDescent="0.2">
      <c r="A704" s="1" t="s">
        <v>1903</v>
      </c>
      <c r="B704" s="1" t="s">
        <v>1904</v>
      </c>
      <c r="C704" s="1">
        <v>2322</v>
      </c>
      <c r="D704" s="1" t="s">
        <v>1941</v>
      </c>
      <c r="E704" s="1" t="s">
        <v>1939</v>
      </c>
      <c r="F704" s="1">
        <v>2023</v>
      </c>
      <c r="G704" s="1" t="s">
        <v>247</v>
      </c>
      <c r="H704" s="1">
        <v>610268</v>
      </c>
      <c r="I704" s="1">
        <v>9</v>
      </c>
      <c r="J704" s="1" t="s">
        <v>237</v>
      </c>
      <c r="K704" s="1" t="s">
        <v>170</v>
      </c>
      <c r="L704" s="1" t="s">
        <v>1906</v>
      </c>
      <c r="M704" s="1">
        <v>3</v>
      </c>
      <c r="N704" s="1" t="s">
        <v>39</v>
      </c>
      <c r="O704" s="1">
        <v>36.087499999999999</v>
      </c>
      <c r="P704" s="1">
        <v>-115.05070000000001</v>
      </c>
      <c r="Q704" s="1" t="s">
        <v>1907</v>
      </c>
      <c r="R704" s="1" t="s">
        <v>41</v>
      </c>
      <c r="T704" s="1" t="s">
        <v>93</v>
      </c>
      <c r="U704" s="1" t="s">
        <v>44</v>
      </c>
      <c r="X704" s="1" t="s">
        <v>223</v>
      </c>
      <c r="AA704" s="3">
        <v>39558</v>
      </c>
      <c r="AB704" s="1" t="s">
        <v>46</v>
      </c>
      <c r="AC704" s="5">
        <v>328.4</v>
      </c>
      <c r="AD704" s="1" t="s">
        <v>1940</v>
      </c>
      <c r="AE704" s="1" t="str">
        <f t="shared" si="52"/>
        <v>2322 21B</v>
      </c>
      <c r="AF704" s="5" t="str">
        <f t="shared" si="54"/>
        <v>64.3</v>
      </c>
      <c r="AG704" s="1" t="str">
        <f t="shared" si="51"/>
        <v>Y</v>
      </c>
    </row>
    <row r="705" spans="1:33" x14ac:dyDescent="0.2">
      <c r="A705" s="1" t="s">
        <v>1903</v>
      </c>
      <c r="B705" s="1" t="s">
        <v>1904</v>
      </c>
      <c r="C705" s="1">
        <v>2322</v>
      </c>
      <c r="D705" s="1" t="s">
        <v>1942</v>
      </c>
      <c r="E705" s="1" t="s">
        <v>1943</v>
      </c>
      <c r="F705" s="1">
        <v>2023</v>
      </c>
      <c r="G705" s="1" t="s">
        <v>247</v>
      </c>
      <c r="H705" s="1">
        <v>610268</v>
      </c>
      <c r="I705" s="1">
        <v>9</v>
      </c>
      <c r="J705" s="1" t="s">
        <v>237</v>
      </c>
      <c r="K705" s="1" t="s">
        <v>170</v>
      </c>
      <c r="L705" s="1" t="s">
        <v>1906</v>
      </c>
      <c r="M705" s="1">
        <v>3</v>
      </c>
      <c r="N705" s="1" t="s">
        <v>39</v>
      </c>
      <c r="O705" s="1">
        <v>36.087499999999999</v>
      </c>
      <c r="P705" s="1">
        <v>-115.05070000000001</v>
      </c>
      <c r="Q705" s="1" t="s">
        <v>1907</v>
      </c>
      <c r="R705" s="1" t="s">
        <v>41</v>
      </c>
      <c r="T705" s="1" t="s">
        <v>93</v>
      </c>
      <c r="U705" s="1" t="s">
        <v>44</v>
      </c>
      <c r="X705" s="1" t="s">
        <v>223</v>
      </c>
      <c r="AA705" s="3">
        <v>39558</v>
      </c>
      <c r="AB705" s="1" t="s">
        <v>46</v>
      </c>
      <c r="AC705" s="5">
        <v>328.4</v>
      </c>
      <c r="AD705" s="1" t="s">
        <v>1944</v>
      </c>
      <c r="AE705" s="1" t="str">
        <f t="shared" si="52"/>
        <v>2322 22A</v>
      </c>
      <c r="AF705" s="5" t="str">
        <f t="shared" si="54"/>
        <v>64.3</v>
      </c>
      <c r="AG705" s="1" t="str">
        <f t="shared" si="51"/>
        <v>Y</v>
      </c>
    </row>
    <row r="706" spans="1:33" x14ac:dyDescent="0.2">
      <c r="A706" s="1" t="s">
        <v>1903</v>
      </c>
      <c r="B706" s="1" t="s">
        <v>1904</v>
      </c>
      <c r="C706" s="1">
        <v>2322</v>
      </c>
      <c r="D706" s="1" t="s">
        <v>1945</v>
      </c>
      <c r="E706" s="1" t="s">
        <v>1943</v>
      </c>
      <c r="F706" s="1">
        <v>2023</v>
      </c>
      <c r="G706" s="1" t="s">
        <v>247</v>
      </c>
      <c r="H706" s="1">
        <v>610268</v>
      </c>
      <c r="I706" s="1">
        <v>9</v>
      </c>
      <c r="J706" s="1" t="s">
        <v>237</v>
      </c>
      <c r="K706" s="1" t="s">
        <v>170</v>
      </c>
      <c r="L706" s="1" t="s">
        <v>1906</v>
      </c>
      <c r="M706" s="1">
        <v>3</v>
      </c>
      <c r="N706" s="1" t="s">
        <v>39</v>
      </c>
      <c r="O706" s="1">
        <v>36.087499999999999</v>
      </c>
      <c r="P706" s="1">
        <v>-115.05070000000001</v>
      </c>
      <c r="Q706" s="1" t="s">
        <v>1907</v>
      </c>
      <c r="R706" s="1" t="s">
        <v>41</v>
      </c>
      <c r="T706" s="1" t="s">
        <v>93</v>
      </c>
      <c r="U706" s="1" t="s">
        <v>44</v>
      </c>
      <c r="X706" s="1" t="s">
        <v>223</v>
      </c>
      <c r="AA706" s="3">
        <v>39558</v>
      </c>
      <c r="AB706" s="1" t="s">
        <v>46</v>
      </c>
      <c r="AC706" s="5">
        <v>328.4</v>
      </c>
      <c r="AD706" s="1" t="s">
        <v>1944</v>
      </c>
      <c r="AE706" s="1" t="str">
        <f t="shared" si="52"/>
        <v>2322 22B</v>
      </c>
      <c r="AF706" s="5" t="str">
        <f t="shared" si="54"/>
        <v>64.3</v>
      </c>
      <c r="AG706" s="1" t="str">
        <f t="shared" ref="AG706:AG769" si="55">IF(ISNUMBER(SEARCH("selective", X706)), "Y", "")</f>
        <v>Y</v>
      </c>
    </row>
    <row r="707" spans="1:33" x14ac:dyDescent="0.2">
      <c r="A707" s="1" t="s">
        <v>1903</v>
      </c>
      <c r="B707" s="1" t="s">
        <v>1946</v>
      </c>
      <c r="C707" s="1">
        <v>2330</v>
      </c>
      <c r="D707" s="1">
        <v>1</v>
      </c>
      <c r="F707" s="1">
        <v>2023</v>
      </c>
      <c r="G707" s="1" t="s">
        <v>247</v>
      </c>
      <c r="H707" s="1">
        <v>610268</v>
      </c>
      <c r="I707" s="1">
        <v>9</v>
      </c>
      <c r="K707" s="1" t="s">
        <v>1947</v>
      </c>
      <c r="L707" s="1" t="s">
        <v>1948</v>
      </c>
      <c r="M707" s="1">
        <v>19</v>
      </c>
      <c r="N707" s="1" t="s">
        <v>39</v>
      </c>
      <c r="O707" s="1">
        <v>39.128100000000003</v>
      </c>
      <c r="P707" s="1">
        <v>-119.1319</v>
      </c>
      <c r="Q707" s="1" t="s">
        <v>1949</v>
      </c>
      <c r="R707" s="1" t="s">
        <v>41</v>
      </c>
      <c r="T707" s="1" t="s">
        <v>89</v>
      </c>
      <c r="U707" s="1" t="s">
        <v>44</v>
      </c>
      <c r="X707" s="1" t="s">
        <v>289</v>
      </c>
      <c r="AA707" s="3">
        <v>25020</v>
      </c>
      <c r="AB707" s="1" t="s">
        <v>46</v>
      </c>
      <c r="AC707" s="5">
        <v>1319.8</v>
      </c>
      <c r="AD707" s="1" t="s">
        <v>1950</v>
      </c>
      <c r="AE707" s="1" t="str">
        <f t="shared" ref="AE707:AE770" si="56">C707&amp;" "&amp;D707</f>
        <v>2330 1</v>
      </c>
      <c r="AF707" s="5" t="str">
        <f t="shared" si="54"/>
        <v>105.2</v>
      </c>
      <c r="AG707" s="1" t="str">
        <f t="shared" si="55"/>
        <v/>
      </c>
    </row>
    <row r="708" spans="1:33" x14ac:dyDescent="0.2">
      <c r="A708" s="1" t="s">
        <v>1903</v>
      </c>
      <c r="B708" s="1" t="s">
        <v>1946</v>
      </c>
      <c r="C708" s="1">
        <v>2330</v>
      </c>
      <c r="D708" s="1">
        <v>2</v>
      </c>
      <c r="F708" s="1">
        <v>2023</v>
      </c>
      <c r="G708" s="1" t="s">
        <v>247</v>
      </c>
      <c r="H708" s="1">
        <v>610268</v>
      </c>
      <c r="I708" s="1">
        <v>9</v>
      </c>
      <c r="K708" s="1" t="s">
        <v>1947</v>
      </c>
      <c r="L708" s="1" t="s">
        <v>1948</v>
      </c>
      <c r="M708" s="1">
        <v>19</v>
      </c>
      <c r="N708" s="1" t="s">
        <v>39</v>
      </c>
      <c r="O708" s="1">
        <v>39.128100000000003</v>
      </c>
      <c r="P708" s="1">
        <v>-119.1319</v>
      </c>
      <c r="Q708" s="1" t="s">
        <v>1949</v>
      </c>
      <c r="R708" s="1" t="s">
        <v>41</v>
      </c>
      <c r="T708" s="1" t="s">
        <v>89</v>
      </c>
      <c r="U708" s="1" t="s">
        <v>44</v>
      </c>
      <c r="AA708" s="3">
        <v>26085</v>
      </c>
      <c r="AB708" s="1" t="s">
        <v>46</v>
      </c>
      <c r="AC708" s="5">
        <v>1320</v>
      </c>
      <c r="AD708" s="1" t="s">
        <v>1951</v>
      </c>
      <c r="AE708" s="1" t="str">
        <f t="shared" si="56"/>
        <v>2330 2</v>
      </c>
      <c r="AF708" s="5" t="str">
        <f t="shared" ref="AF708:AF711" si="57">MID(AD708,FIND("(",AD708)+1,FIND(")",AD708)-FIND("(",AD708)-1)</f>
        <v>105.2</v>
      </c>
      <c r="AG708" s="1" t="str">
        <f t="shared" si="55"/>
        <v/>
      </c>
    </row>
    <row r="709" spans="1:33" x14ac:dyDescent="0.2">
      <c r="A709" s="1" t="s">
        <v>1903</v>
      </c>
      <c r="B709" s="1" t="s">
        <v>1952</v>
      </c>
      <c r="C709" s="1">
        <v>2336</v>
      </c>
      <c r="D709" s="1">
        <v>3</v>
      </c>
      <c r="F709" s="1">
        <v>2023</v>
      </c>
      <c r="G709" s="1" t="s">
        <v>247</v>
      </c>
      <c r="H709" s="1">
        <v>610268</v>
      </c>
      <c r="I709" s="1">
        <v>9</v>
      </c>
      <c r="K709" s="1" t="s">
        <v>1953</v>
      </c>
      <c r="L709" s="1" t="s">
        <v>1954</v>
      </c>
      <c r="M709" s="1">
        <v>29</v>
      </c>
      <c r="N709" s="1" t="s">
        <v>39</v>
      </c>
      <c r="O709" s="1">
        <v>39.5625</v>
      </c>
      <c r="P709" s="1">
        <v>-119.52500000000001</v>
      </c>
      <c r="Q709" s="1" t="s">
        <v>1949</v>
      </c>
      <c r="R709" s="1" t="s">
        <v>41</v>
      </c>
      <c r="T709" s="1" t="s">
        <v>89</v>
      </c>
      <c r="U709" s="1" t="s">
        <v>44</v>
      </c>
      <c r="AA709" s="3">
        <v>27377</v>
      </c>
      <c r="AB709" s="1" t="s">
        <v>46</v>
      </c>
      <c r="AC709" s="5">
        <v>1150</v>
      </c>
      <c r="AD709" s="1" t="s">
        <v>1955</v>
      </c>
      <c r="AE709" s="1" t="str">
        <f t="shared" si="56"/>
        <v>2336 3</v>
      </c>
      <c r="AF709" s="5" t="str">
        <f t="shared" si="57"/>
        <v>122</v>
      </c>
      <c r="AG709" s="1" t="str">
        <f t="shared" si="55"/>
        <v/>
      </c>
    </row>
    <row r="710" spans="1:33" x14ac:dyDescent="0.2">
      <c r="A710" s="1" t="s">
        <v>1903</v>
      </c>
      <c r="B710" s="1" t="s">
        <v>1952</v>
      </c>
      <c r="C710" s="1">
        <v>2336</v>
      </c>
      <c r="D710" s="1">
        <v>4</v>
      </c>
      <c r="F710" s="1">
        <v>2023</v>
      </c>
      <c r="G710" s="1" t="s">
        <v>247</v>
      </c>
      <c r="H710" s="1">
        <v>610268</v>
      </c>
      <c r="I710" s="1">
        <v>9</v>
      </c>
      <c r="K710" s="1" t="s">
        <v>1953</v>
      </c>
      <c r="L710" s="1" t="s">
        <v>1954</v>
      </c>
      <c r="M710" s="1">
        <v>29</v>
      </c>
      <c r="N710" s="1" t="s">
        <v>39</v>
      </c>
      <c r="O710" s="1">
        <v>39.5625</v>
      </c>
      <c r="P710" s="1">
        <v>-119.52500000000001</v>
      </c>
      <c r="Q710" s="1" t="s">
        <v>1949</v>
      </c>
      <c r="R710" s="1" t="s">
        <v>41</v>
      </c>
      <c r="T710" s="1" t="s">
        <v>93</v>
      </c>
      <c r="U710" s="1" t="s">
        <v>44</v>
      </c>
      <c r="V710" s="1" t="s">
        <v>94</v>
      </c>
      <c r="X710" s="1" t="s">
        <v>140</v>
      </c>
      <c r="AA710" s="3">
        <v>34502</v>
      </c>
      <c r="AB710" s="1" t="s">
        <v>46</v>
      </c>
      <c r="AC710" s="5">
        <v>1011</v>
      </c>
      <c r="AD710" s="1" t="s">
        <v>1956</v>
      </c>
      <c r="AE710" s="1" t="str">
        <f t="shared" si="56"/>
        <v>2336 4</v>
      </c>
      <c r="AF710" s="5" t="str">
        <f t="shared" si="57"/>
        <v>85</v>
      </c>
      <c r="AG710" s="1" t="str">
        <f t="shared" si="55"/>
        <v/>
      </c>
    </row>
    <row r="711" spans="1:33" x14ac:dyDescent="0.2">
      <c r="A711" s="1" t="s">
        <v>1903</v>
      </c>
      <c r="B711" s="1" t="s">
        <v>1952</v>
      </c>
      <c r="C711" s="1">
        <v>2336</v>
      </c>
      <c r="D711" s="1">
        <v>5</v>
      </c>
      <c r="F711" s="1">
        <v>2023</v>
      </c>
      <c r="G711" s="1" t="s">
        <v>247</v>
      </c>
      <c r="H711" s="1">
        <v>610268</v>
      </c>
      <c r="I711" s="1">
        <v>9</v>
      </c>
      <c r="K711" s="1" t="s">
        <v>1953</v>
      </c>
      <c r="L711" s="1" t="s">
        <v>1954</v>
      </c>
      <c r="M711" s="1">
        <v>29</v>
      </c>
      <c r="N711" s="1" t="s">
        <v>39</v>
      </c>
      <c r="O711" s="1">
        <v>39.5625</v>
      </c>
      <c r="P711" s="1">
        <v>-119.52500000000001</v>
      </c>
      <c r="Q711" s="1" t="s">
        <v>1949</v>
      </c>
      <c r="R711" s="1" t="s">
        <v>41</v>
      </c>
      <c r="T711" s="1" t="s">
        <v>93</v>
      </c>
      <c r="U711" s="1" t="s">
        <v>44</v>
      </c>
      <c r="V711" s="1" t="s">
        <v>94</v>
      </c>
      <c r="X711" s="1" t="s">
        <v>140</v>
      </c>
      <c r="AA711" s="3">
        <v>34502</v>
      </c>
      <c r="AB711" s="1" t="s">
        <v>46</v>
      </c>
      <c r="AC711" s="5">
        <v>1011</v>
      </c>
      <c r="AD711" s="1" t="s">
        <v>1957</v>
      </c>
      <c r="AE711" s="1" t="str">
        <f t="shared" si="56"/>
        <v>2336 5</v>
      </c>
      <c r="AF711" s="5" t="str">
        <f t="shared" si="57"/>
        <v>85</v>
      </c>
      <c r="AG711" s="1" t="str">
        <f t="shared" si="55"/>
        <v/>
      </c>
    </row>
    <row r="712" spans="1:33" x14ac:dyDescent="0.2">
      <c r="A712" s="1" t="s">
        <v>1903</v>
      </c>
      <c r="B712" s="1" t="s">
        <v>1952</v>
      </c>
      <c r="C712" s="1">
        <v>2336</v>
      </c>
      <c r="D712" s="1">
        <v>6</v>
      </c>
      <c r="F712" s="1">
        <v>2023</v>
      </c>
      <c r="G712" s="1" t="s">
        <v>247</v>
      </c>
      <c r="H712" s="1">
        <v>610268</v>
      </c>
      <c r="I712" s="1">
        <v>9</v>
      </c>
      <c r="K712" s="1" t="s">
        <v>1953</v>
      </c>
      <c r="L712" s="1" t="s">
        <v>1954</v>
      </c>
      <c r="M712" s="1">
        <v>29</v>
      </c>
      <c r="N712" s="1" t="s">
        <v>39</v>
      </c>
      <c r="O712" s="1">
        <v>39.5625</v>
      </c>
      <c r="P712" s="1">
        <v>-119.52500000000001</v>
      </c>
      <c r="Q712" s="1" t="s">
        <v>1949</v>
      </c>
      <c r="R712" s="1" t="s">
        <v>41</v>
      </c>
      <c r="T712" s="1" t="s">
        <v>71</v>
      </c>
      <c r="U712" s="1" t="s">
        <v>44</v>
      </c>
      <c r="X712" s="1" t="s">
        <v>454</v>
      </c>
      <c r="AA712" s="3">
        <v>35366</v>
      </c>
      <c r="AB712" s="1" t="s">
        <v>46</v>
      </c>
      <c r="AC712" s="5">
        <v>920</v>
      </c>
      <c r="AD712" s="1" t="s">
        <v>1958</v>
      </c>
      <c r="AE712" s="1" t="str">
        <f t="shared" si="56"/>
        <v>2336 6</v>
      </c>
      <c r="AF712" s="14">
        <f>MID(AD712,FIND("(",AD712)+1,FIND(")",AD712)-FIND("(",AD712)-1)+50.2</f>
        <v>119.9</v>
      </c>
      <c r="AG712" s="1" t="str">
        <f t="shared" si="55"/>
        <v/>
      </c>
    </row>
    <row r="713" spans="1:33" x14ac:dyDescent="0.2">
      <c r="A713" s="1" t="s">
        <v>1903</v>
      </c>
      <c r="B713" s="1" t="s">
        <v>1952</v>
      </c>
      <c r="C713" s="1">
        <v>2336</v>
      </c>
      <c r="D713" s="1">
        <v>8</v>
      </c>
      <c r="F713" s="1">
        <v>2023</v>
      </c>
      <c r="G713" s="1" t="s">
        <v>247</v>
      </c>
      <c r="H713" s="1">
        <v>610268</v>
      </c>
      <c r="I713" s="1">
        <v>9</v>
      </c>
      <c r="K713" s="1" t="s">
        <v>1953</v>
      </c>
      <c r="L713" s="1" t="s">
        <v>1954</v>
      </c>
      <c r="M713" s="1">
        <v>29</v>
      </c>
      <c r="N713" s="1" t="s">
        <v>39</v>
      </c>
      <c r="O713" s="1">
        <v>39.5625</v>
      </c>
      <c r="P713" s="1">
        <v>-119.52500000000001</v>
      </c>
      <c r="Q713" s="1" t="s">
        <v>1949</v>
      </c>
      <c r="R713" s="1" t="s">
        <v>41</v>
      </c>
      <c r="T713" s="1" t="s">
        <v>71</v>
      </c>
      <c r="U713" s="1" t="s">
        <v>44</v>
      </c>
      <c r="X713" s="1" t="s">
        <v>64</v>
      </c>
      <c r="AA713" s="3">
        <v>39480</v>
      </c>
      <c r="AB713" s="1" t="s">
        <v>46</v>
      </c>
      <c r="AC713" s="5">
        <v>2522</v>
      </c>
      <c r="AD713" s="1" t="s">
        <v>1959</v>
      </c>
      <c r="AE713" s="1" t="str">
        <f t="shared" si="56"/>
        <v>2336 8</v>
      </c>
      <c r="AF713" s="14">
        <f>MID(AD713,FIND("(",AD713)+1,FIND(")",AD713)-FIND("(",AD713)-1)+367/2</f>
        <v>366.5</v>
      </c>
      <c r="AG713" s="1" t="str">
        <f t="shared" si="55"/>
        <v>Y</v>
      </c>
    </row>
    <row r="714" spans="1:33" x14ac:dyDescent="0.2">
      <c r="A714" s="1" t="s">
        <v>1903</v>
      </c>
      <c r="B714" s="1" t="s">
        <v>1952</v>
      </c>
      <c r="C714" s="1">
        <v>2336</v>
      </c>
      <c r="D714" s="1">
        <v>9</v>
      </c>
      <c r="F714" s="1">
        <v>2023</v>
      </c>
      <c r="G714" s="1" t="s">
        <v>247</v>
      </c>
      <c r="H714" s="1">
        <v>610268</v>
      </c>
      <c r="I714" s="1">
        <v>9</v>
      </c>
      <c r="K714" s="1" t="s">
        <v>1953</v>
      </c>
      <c r="L714" s="1" t="s">
        <v>1954</v>
      </c>
      <c r="M714" s="1">
        <v>29</v>
      </c>
      <c r="N714" s="1" t="s">
        <v>39</v>
      </c>
      <c r="O714" s="1">
        <v>39.5625</v>
      </c>
      <c r="P714" s="1">
        <v>-119.52500000000001</v>
      </c>
      <c r="Q714" s="1" t="s">
        <v>1949</v>
      </c>
      <c r="R714" s="1" t="s">
        <v>41</v>
      </c>
      <c r="T714" s="1" t="s">
        <v>71</v>
      </c>
      <c r="U714" s="1" t="s">
        <v>44</v>
      </c>
      <c r="X714" s="1" t="s">
        <v>64</v>
      </c>
      <c r="AA714" s="3">
        <v>39491</v>
      </c>
      <c r="AB714" s="1" t="s">
        <v>46</v>
      </c>
      <c r="AC714" s="5">
        <v>2522</v>
      </c>
      <c r="AD714" s="1" t="s">
        <v>1960</v>
      </c>
      <c r="AE714" s="1" t="str">
        <f t="shared" si="56"/>
        <v>2336 9</v>
      </c>
      <c r="AF714" s="14">
        <f>AF713</f>
        <v>366.5</v>
      </c>
      <c r="AG714" s="1" t="str">
        <f t="shared" si="55"/>
        <v>Y</v>
      </c>
    </row>
    <row r="715" spans="1:33" x14ac:dyDescent="0.2">
      <c r="A715" s="1" t="s">
        <v>1961</v>
      </c>
      <c r="B715" s="1" t="s">
        <v>1962</v>
      </c>
      <c r="C715" s="1">
        <v>2364</v>
      </c>
      <c r="D715" s="1">
        <v>1</v>
      </c>
      <c r="E715" s="1" t="s">
        <v>1963</v>
      </c>
      <c r="F715" s="1">
        <v>2023</v>
      </c>
      <c r="G715" s="1" t="s">
        <v>1964</v>
      </c>
      <c r="H715" s="1">
        <v>606930</v>
      </c>
      <c r="I715" s="1">
        <v>1</v>
      </c>
      <c r="J715" s="1" t="s">
        <v>580</v>
      </c>
      <c r="K715" s="1" t="s">
        <v>1965</v>
      </c>
      <c r="L715" s="1" t="s">
        <v>1966</v>
      </c>
      <c r="M715" s="1">
        <v>13</v>
      </c>
      <c r="N715" s="1" t="s">
        <v>39</v>
      </c>
      <c r="O715" s="1">
        <v>43.141100000000002</v>
      </c>
      <c r="P715" s="1">
        <v>-71.469200000000001</v>
      </c>
      <c r="Q715" s="1" t="s">
        <v>1967</v>
      </c>
      <c r="R715" s="1" t="s">
        <v>120</v>
      </c>
      <c r="T715" s="1" t="s">
        <v>606</v>
      </c>
      <c r="U715" s="1" t="s">
        <v>55</v>
      </c>
      <c r="W715" s="1" t="s">
        <v>241</v>
      </c>
      <c r="X715" s="1" t="s">
        <v>223</v>
      </c>
      <c r="Y715" s="1" t="s">
        <v>58</v>
      </c>
      <c r="AA715" s="3">
        <v>22251</v>
      </c>
      <c r="AB715" s="1" t="s">
        <v>46</v>
      </c>
      <c r="AC715" s="5">
        <v>1400</v>
      </c>
      <c r="AD715" s="1" t="s">
        <v>243</v>
      </c>
      <c r="AE715" s="1" t="str">
        <f t="shared" si="56"/>
        <v>2364 1</v>
      </c>
      <c r="AF715" s="5" t="str">
        <f t="shared" ref="AF715:AF725" si="58">MID(AD715,FIND("(",AD715)+1,FIND(")",AD715)-FIND("(",AD715)-1)</f>
        <v>113.6</v>
      </c>
      <c r="AG715" s="1" t="str">
        <f t="shared" si="55"/>
        <v>Y</v>
      </c>
    </row>
    <row r="716" spans="1:33" x14ac:dyDescent="0.2">
      <c r="A716" s="1" t="s">
        <v>1961</v>
      </c>
      <c r="B716" s="1" t="s">
        <v>1962</v>
      </c>
      <c r="C716" s="1">
        <v>2364</v>
      </c>
      <c r="D716" s="1">
        <v>2</v>
      </c>
      <c r="E716" s="1" t="s">
        <v>1963</v>
      </c>
      <c r="F716" s="1">
        <v>2023</v>
      </c>
      <c r="G716" s="1" t="s">
        <v>1964</v>
      </c>
      <c r="H716" s="1">
        <v>606930</v>
      </c>
      <c r="I716" s="1">
        <v>1</v>
      </c>
      <c r="J716" s="1" t="s">
        <v>580</v>
      </c>
      <c r="K716" s="1" t="s">
        <v>1965</v>
      </c>
      <c r="L716" s="1" t="s">
        <v>1966</v>
      </c>
      <c r="M716" s="1">
        <v>13</v>
      </c>
      <c r="N716" s="1" t="s">
        <v>39</v>
      </c>
      <c r="O716" s="1">
        <v>43.141100000000002</v>
      </c>
      <c r="P716" s="1">
        <v>-71.469200000000001</v>
      </c>
      <c r="Q716" s="1" t="s">
        <v>1967</v>
      </c>
      <c r="R716" s="1" t="s">
        <v>120</v>
      </c>
      <c r="S716" s="1" t="s">
        <v>85</v>
      </c>
      <c r="T716" s="1" t="s">
        <v>606</v>
      </c>
      <c r="U716" s="1" t="s">
        <v>55</v>
      </c>
      <c r="W716" s="1" t="s">
        <v>241</v>
      </c>
      <c r="X716" s="1" t="s">
        <v>223</v>
      </c>
      <c r="Y716" s="1" t="s">
        <v>58</v>
      </c>
      <c r="AA716" s="3">
        <v>24959</v>
      </c>
      <c r="AB716" s="1" t="s">
        <v>46</v>
      </c>
      <c r="AC716" s="5">
        <v>4090</v>
      </c>
      <c r="AD716" s="1" t="s">
        <v>1968</v>
      </c>
      <c r="AE716" s="1" t="str">
        <f t="shared" si="56"/>
        <v>2364 2</v>
      </c>
      <c r="AF716" s="5" t="str">
        <f t="shared" si="58"/>
        <v>345.6</v>
      </c>
      <c r="AG716" s="1" t="str">
        <f t="shared" si="55"/>
        <v>Y</v>
      </c>
    </row>
    <row r="717" spans="1:33" x14ac:dyDescent="0.2">
      <c r="A717" s="1" t="s">
        <v>1961</v>
      </c>
      <c r="B717" s="1" t="s">
        <v>1969</v>
      </c>
      <c r="C717" s="1">
        <v>2367</v>
      </c>
      <c r="D717" s="1">
        <v>4</v>
      </c>
      <c r="F717" s="1">
        <v>2023</v>
      </c>
      <c r="G717" s="1" t="s">
        <v>1964</v>
      </c>
      <c r="H717" s="1">
        <v>606930</v>
      </c>
      <c r="I717" s="1">
        <v>1</v>
      </c>
      <c r="K717" s="1" t="s">
        <v>1970</v>
      </c>
      <c r="L717" s="1" t="s">
        <v>1971</v>
      </c>
      <c r="M717" s="1">
        <v>15</v>
      </c>
      <c r="N717" s="1" t="s">
        <v>39</v>
      </c>
      <c r="O717" s="1">
        <v>43.097799999999999</v>
      </c>
      <c r="P717" s="1">
        <v>-70.784199999999998</v>
      </c>
      <c r="Q717" s="1" t="s">
        <v>1972</v>
      </c>
      <c r="R717" s="1" t="s">
        <v>41</v>
      </c>
      <c r="S717" s="1" t="s">
        <v>42</v>
      </c>
      <c r="T717" s="1" t="s">
        <v>89</v>
      </c>
      <c r="U717" s="1" t="s">
        <v>55</v>
      </c>
      <c r="V717" s="1" t="s">
        <v>173</v>
      </c>
      <c r="X717" s="1" t="s">
        <v>1973</v>
      </c>
      <c r="Y717" s="1" t="s">
        <v>58</v>
      </c>
      <c r="Z717" s="1" t="s">
        <v>1974</v>
      </c>
      <c r="AA717" s="3">
        <v>19268</v>
      </c>
      <c r="AB717" s="1" t="s">
        <v>46</v>
      </c>
      <c r="AC717" s="5">
        <v>619</v>
      </c>
      <c r="AD717" s="1" t="s">
        <v>1975</v>
      </c>
      <c r="AE717" s="1" t="str">
        <f t="shared" si="56"/>
        <v>2367 4</v>
      </c>
      <c r="AF717" s="5" t="str">
        <f t="shared" si="58"/>
        <v>50</v>
      </c>
      <c r="AG717" s="1" t="str">
        <f t="shared" si="55"/>
        <v>Y</v>
      </c>
    </row>
    <row r="718" spans="1:33" x14ac:dyDescent="0.2">
      <c r="A718" s="1" t="s">
        <v>1961</v>
      </c>
      <c r="B718" s="1" t="s">
        <v>1969</v>
      </c>
      <c r="C718" s="1">
        <v>2367</v>
      </c>
      <c r="D718" s="1">
        <v>5</v>
      </c>
      <c r="F718" s="1">
        <v>2023</v>
      </c>
      <c r="G718" s="1" t="s">
        <v>1976</v>
      </c>
      <c r="H718" s="1">
        <v>606930</v>
      </c>
      <c r="I718" s="1">
        <v>1</v>
      </c>
      <c r="K718" s="1" t="s">
        <v>1970</v>
      </c>
      <c r="L718" s="1" t="s">
        <v>1971</v>
      </c>
      <c r="M718" s="1">
        <v>15</v>
      </c>
      <c r="N718" s="1" t="s">
        <v>39</v>
      </c>
      <c r="O718" s="1">
        <v>43.097799999999999</v>
      </c>
      <c r="P718" s="1">
        <v>-70.784199999999998</v>
      </c>
      <c r="Q718" s="1" t="s">
        <v>1972</v>
      </c>
      <c r="R718" s="1" t="s">
        <v>41</v>
      </c>
      <c r="S718" s="1" t="s">
        <v>42</v>
      </c>
      <c r="T718" s="1" t="s">
        <v>885</v>
      </c>
      <c r="U718" s="1" t="s">
        <v>657</v>
      </c>
      <c r="V718" s="1" t="s">
        <v>1977</v>
      </c>
      <c r="W718" s="1" t="s">
        <v>1069</v>
      </c>
      <c r="X718" s="1" t="s">
        <v>669</v>
      </c>
      <c r="Y718" s="1" t="s">
        <v>232</v>
      </c>
      <c r="AA718" s="3">
        <v>20210</v>
      </c>
      <c r="AB718" s="1" t="s">
        <v>46</v>
      </c>
      <c r="AC718" s="5">
        <v>775</v>
      </c>
      <c r="AD718" s="1" t="s">
        <v>1978</v>
      </c>
      <c r="AE718" s="1" t="str">
        <f t="shared" si="56"/>
        <v>2367 5</v>
      </c>
      <c r="AF718" s="5" t="str">
        <f t="shared" si="58"/>
        <v>50</v>
      </c>
      <c r="AG718" s="1" t="str">
        <f t="shared" si="55"/>
        <v>Y</v>
      </c>
    </row>
    <row r="719" spans="1:33" x14ac:dyDescent="0.2">
      <c r="A719" s="1" t="s">
        <v>1961</v>
      </c>
      <c r="B719" s="1" t="s">
        <v>1969</v>
      </c>
      <c r="C719" s="1">
        <v>2367</v>
      </c>
      <c r="D719" s="1">
        <v>6</v>
      </c>
      <c r="F719" s="1">
        <v>2023</v>
      </c>
      <c r="G719" s="1" t="s">
        <v>1964</v>
      </c>
      <c r="H719" s="1">
        <v>606930</v>
      </c>
      <c r="I719" s="1">
        <v>1</v>
      </c>
      <c r="K719" s="1" t="s">
        <v>1970</v>
      </c>
      <c r="L719" s="1" t="s">
        <v>1971</v>
      </c>
      <c r="M719" s="1">
        <v>15</v>
      </c>
      <c r="N719" s="1" t="s">
        <v>39</v>
      </c>
      <c r="O719" s="1">
        <v>43.097799999999999</v>
      </c>
      <c r="P719" s="1">
        <v>-70.784199999999998</v>
      </c>
      <c r="Q719" s="1" t="s">
        <v>1972</v>
      </c>
      <c r="R719" s="1" t="s">
        <v>41</v>
      </c>
      <c r="S719" s="1" t="s">
        <v>42</v>
      </c>
      <c r="T719" s="1" t="s">
        <v>89</v>
      </c>
      <c r="U719" s="1" t="s">
        <v>55</v>
      </c>
      <c r="V719" s="1" t="s">
        <v>173</v>
      </c>
      <c r="X719" s="1" t="s">
        <v>1973</v>
      </c>
      <c r="Y719" s="1" t="s">
        <v>58</v>
      </c>
      <c r="Z719" s="1" t="s">
        <v>1974</v>
      </c>
      <c r="AA719" s="3">
        <v>21002</v>
      </c>
      <c r="AB719" s="1" t="s">
        <v>46</v>
      </c>
      <c r="AC719" s="5">
        <v>610</v>
      </c>
      <c r="AD719" s="1" t="s">
        <v>1979</v>
      </c>
      <c r="AE719" s="1" t="str">
        <f t="shared" si="56"/>
        <v>2367 6</v>
      </c>
      <c r="AF719" s="5" t="str">
        <f t="shared" si="58"/>
        <v>50</v>
      </c>
      <c r="AG719" s="1" t="str">
        <f t="shared" si="55"/>
        <v>Y</v>
      </c>
    </row>
    <row r="720" spans="1:33" x14ac:dyDescent="0.2">
      <c r="A720" s="1" t="s">
        <v>1980</v>
      </c>
      <c r="B720" s="1" t="s">
        <v>1981</v>
      </c>
      <c r="C720" s="1">
        <v>2379</v>
      </c>
      <c r="D720" s="1">
        <v>2001</v>
      </c>
      <c r="F720" s="1">
        <v>2023</v>
      </c>
      <c r="G720" s="1" t="s">
        <v>1528</v>
      </c>
      <c r="H720" s="1">
        <v>1277</v>
      </c>
      <c r="I720" s="1">
        <v>2</v>
      </c>
      <c r="K720" s="1" t="s">
        <v>1158</v>
      </c>
      <c r="L720" s="1" t="s">
        <v>1982</v>
      </c>
      <c r="M720" s="1">
        <v>11</v>
      </c>
      <c r="N720" s="1" t="s">
        <v>39</v>
      </c>
      <c r="O720" s="1">
        <v>39.454700000000003</v>
      </c>
      <c r="P720" s="1">
        <v>-75.201099999999997</v>
      </c>
      <c r="Q720" s="1" t="s">
        <v>1983</v>
      </c>
      <c r="T720" s="1" t="s">
        <v>93</v>
      </c>
      <c r="U720" s="1" t="s">
        <v>44</v>
      </c>
      <c r="V720" s="1" t="s">
        <v>94</v>
      </c>
      <c r="X720" s="1" t="s">
        <v>95</v>
      </c>
      <c r="AA720" s="3">
        <v>26766</v>
      </c>
      <c r="AB720" s="1" t="s">
        <v>46</v>
      </c>
      <c r="AC720" s="5">
        <v>680</v>
      </c>
      <c r="AD720" s="1" t="s">
        <v>1984</v>
      </c>
      <c r="AE720" s="1" t="str">
        <f t="shared" si="56"/>
        <v>2379 2001</v>
      </c>
      <c r="AF720" s="5" t="str">
        <f t="shared" si="58"/>
        <v>41.9</v>
      </c>
      <c r="AG720" s="1" t="str">
        <f t="shared" si="55"/>
        <v/>
      </c>
    </row>
    <row r="721" spans="1:33" x14ac:dyDescent="0.2">
      <c r="A721" s="1" t="s">
        <v>1980</v>
      </c>
      <c r="B721" s="1" t="s">
        <v>1981</v>
      </c>
      <c r="C721" s="1">
        <v>2379</v>
      </c>
      <c r="D721" s="1">
        <v>3001</v>
      </c>
      <c r="F721" s="1">
        <v>2023</v>
      </c>
      <c r="G721" s="1" t="s">
        <v>1528</v>
      </c>
      <c r="H721" s="1">
        <v>1277</v>
      </c>
      <c r="I721" s="1">
        <v>2</v>
      </c>
      <c r="K721" s="1" t="s">
        <v>1158</v>
      </c>
      <c r="L721" s="1" t="s">
        <v>1982</v>
      </c>
      <c r="M721" s="1">
        <v>11</v>
      </c>
      <c r="N721" s="1" t="s">
        <v>39</v>
      </c>
      <c r="O721" s="1">
        <v>39.454700000000003</v>
      </c>
      <c r="P721" s="1">
        <v>-75.201099999999997</v>
      </c>
      <c r="Q721" s="1" t="s">
        <v>1983</v>
      </c>
      <c r="T721" s="1" t="s">
        <v>93</v>
      </c>
      <c r="U721" s="1" t="s">
        <v>44</v>
      </c>
      <c r="V721" s="1" t="s">
        <v>94</v>
      </c>
      <c r="X721" s="1" t="s">
        <v>95</v>
      </c>
      <c r="AA721" s="3">
        <v>26784</v>
      </c>
      <c r="AB721" s="1" t="s">
        <v>46</v>
      </c>
      <c r="AC721" s="5">
        <v>680</v>
      </c>
      <c r="AD721" s="1" t="s">
        <v>1985</v>
      </c>
      <c r="AE721" s="1" t="str">
        <f t="shared" si="56"/>
        <v>2379 3001</v>
      </c>
      <c r="AF721" s="5" t="str">
        <f t="shared" si="58"/>
        <v>41.9</v>
      </c>
      <c r="AG721" s="1" t="str">
        <f t="shared" si="55"/>
        <v/>
      </c>
    </row>
    <row r="722" spans="1:33" x14ac:dyDescent="0.2">
      <c r="A722" s="1" t="s">
        <v>1980</v>
      </c>
      <c r="B722" s="1" t="s">
        <v>1986</v>
      </c>
      <c r="C722" s="1">
        <v>2390</v>
      </c>
      <c r="D722" s="1">
        <v>12001</v>
      </c>
      <c r="F722" s="1">
        <v>2023</v>
      </c>
      <c r="G722" s="1" t="s">
        <v>1528</v>
      </c>
      <c r="H722" s="1">
        <v>748</v>
      </c>
      <c r="I722" s="1">
        <v>2</v>
      </c>
      <c r="K722" s="1" t="s">
        <v>601</v>
      </c>
      <c r="L722" s="1" t="s">
        <v>1987</v>
      </c>
      <c r="M722" s="1">
        <v>23</v>
      </c>
      <c r="N722" s="1" t="s">
        <v>39</v>
      </c>
      <c r="O722" s="1">
        <v>40.475299999999997</v>
      </c>
      <c r="P722" s="1">
        <v>-74.355199999999996</v>
      </c>
      <c r="Q722" s="1" t="s">
        <v>1988</v>
      </c>
      <c r="T722" s="1" t="s">
        <v>93</v>
      </c>
      <c r="U722" s="1" t="s">
        <v>44</v>
      </c>
      <c r="V722" s="1" t="s">
        <v>94</v>
      </c>
      <c r="X722" s="1" t="s">
        <v>176</v>
      </c>
      <c r="AA722" s="3">
        <v>26938</v>
      </c>
      <c r="AB722" s="1" t="s">
        <v>46</v>
      </c>
      <c r="AC722" s="5">
        <v>858</v>
      </c>
      <c r="AD722" s="1" t="s">
        <v>1989</v>
      </c>
      <c r="AE722" s="1" t="str">
        <f t="shared" si="56"/>
        <v>2390 12001</v>
      </c>
      <c r="AF722" s="5" t="str">
        <f t="shared" si="58"/>
        <v>53</v>
      </c>
      <c r="AG722" s="1" t="str">
        <f t="shared" si="55"/>
        <v>Y</v>
      </c>
    </row>
    <row r="723" spans="1:33" x14ac:dyDescent="0.2">
      <c r="A723" s="1" t="s">
        <v>1980</v>
      </c>
      <c r="B723" s="1" t="s">
        <v>1986</v>
      </c>
      <c r="C723" s="1">
        <v>2390</v>
      </c>
      <c r="D723" s="1">
        <v>14001</v>
      </c>
      <c r="F723" s="1">
        <v>2023</v>
      </c>
      <c r="G723" s="1" t="s">
        <v>1528</v>
      </c>
      <c r="H723" s="1">
        <v>748</v>
      </c>
      <c r="I723" s="1">
        <v>2</v>
      </c>
      <c r="K723" s="1" t="s">
        <v>601</v>
      </c>
      <c r="L723" s="1" t="s">
        <v>1987</v>
      </c>
      <c r="M723" s="1">
        <v>23</v>
      </c>
      <c r="N723" s="1" t="s">
        <v>39</v>
      </c>
      <c r="O723" s="1">
        <v>40.475299999999997</v>
      </c>
      <c r="P723" s="1">
        <v>-74.355199999999996</v>
      </c>
      <c r="Q723" s="1" t="s">
        <v>1988</v>
      </c>
      <c r="T723" s="1" t="s">
        <v>93</v>
      </c>
      <c r="U723" s="1" t="s">
        <v>44</v>
      </c>
      <c r="V723" s="1" t="s">
        <v>94</v>
      </c>
      <c r="X723" s="1" t="s">
        <v>176</v>
      </c>
      <c r="AA723" s="3">
        <v>26451</v>
      </c>
      <c r="AB723" s="1" t="s">
        <v>46</v>
      </c>
      <c r="AC723" s="5">
        <v>858</v>
      </c>
      <c r="AD723" s="1" t="s">
        <v>1990</v>
      </c>
      <c r="AE723" s="1" t="str">
        <f t="shared" si="56"/>
        <v>2390 14001</v>
      </c>
      <c r="AF723" s="5" t="str">
        <f t="shared" si="58"/>
        <v>53</v>
      </c>
      <c r="AG723" s="1" t="str">
        <f t="shared" si="55"/>
        <v>Y</v>
      </c>
    </row>
    <row r="724" spans="1:33" x14ac:dyDescent="0.2">
      <c r="A724" s="1" t="s">
        <v>1980</v>
      </c>
      <c r="B724" s="1" t="s">
        <v>1986</v>
      </c>
      <c r="C724" s="1">
        <v>2390</v>
      </c>
      <c r="D724" s="1">
        <v>15001</v>
      </c>
      <c r="F724" s="1">
        <v>2023</v>
      </c>
      <c r="G724" s="1" t="s">
        <v>1528</v>
      </c>
      <c r="H724" s="1">
        <v>748</v>
      </c>
      <c r="I724" s="1">
        <v>2</v>
      </c>
      <c r="K724" s="1" t="s">
        <v>601</v>
      </c>
      <c r="L724" s="1" t="s">
        <v>1987</v>
      </c>
      <c r="M724" s="1">
        <v>23</v>
      </c>
      <c r="N724" s="1" t="s">
        <v>39</v>
      </c>
      <c r="O724" s="1">
        <v>40.475299999999997</v>
      </c>
      <c r="P724" s="1">
        <v>-74.355199999999996</v>
      </c>
      <c r="Q724" s="1" t="s">
        <v>1988</v>
      </c>
      <c r="T724" s="1" t="s">
        <v>93</v>
      </c>
      <c r="U724" s="1" t="s">
        <v>44</v>
      </c>
      <c r="V724" s="1" t="s">
        <v>94</v>
      </c>
      <c r="X724" s="1" t="s">
        <v>176</v>
      </c>
      <c r="AA724" s="3">
        <v>26359</v>
      </c>
      <c r="AB724" s="1" t="s">
        <v>46</v>
      </c>
      <c r="AC724" s="5">
        <v>858</v>
      </c>
      <c r="AD724" s="1" t="s">
        <v>1991</v>
      </c>
      <c r="AE724" s="1" t="str">
        <f t="shared" si="56"/>
        <v>2390 15001</v>
      </c>
      <c r="AF724" s="5" t="str">
        <f t="shared" si="58"/>
        <v>53</v>
      </c>
      <c r="AG724" s="1" t="str">
        <f t="shared" si="55"/>
        <v>Y</v>
      </c>
    </row>
    <row r="725" spans="1:33" x14ac:dyDescent="0.2">
      <c r="A725" s="1" t="s">
        <v>1980</v>
      </c>
      <c r="B725" s="1" t="s">
        <v>1986</v>
      </c>
      <c r="C725" s="1">
        <v>2390</v>
      </c>
      <c r="D725" s="1">
        <v>16001</v>
      </c>
      <c r="F725" s="1">
        <v>2023</v>
      </c>
      <c r="G725" s="1" t="s">
        <v>1528</v>
      </c>
      <c r="H725" s="1">
        <v>748</v>
      </c>
      <c r="I725" s="1">
        <v>2</v>
      </c>
      <c r="K725" s="1" t="s">
        <v>601</v>
      </c>
      <c r="L725" s="1" t="s">
        <v>1987</v>
      </c>
      <c r="M725" s="1">
        <v>23</v>
      </c>
      <c r="N725" s="1" t="s">
        <v>39</v>
      </c>
      <c r="O725" s="1">
        <v>40.475299999999997</v>
      </c>
      <c r="P725" s="1">
        <v>-74.355199999999996</v>
      </c>
      <c r="Q725" s="1" t="s">
        <v>1988</v>
      </c>
      <c r="T725" s="1" t="s">
        <v>93</v>
      </c>
      <c r="U725" s="1" t="s">
        <v>44</v>
      </c>
      <c r="V725" s="1" t="s">
        <v>94</v>
      </c>
      <c r="X725" s="1" t="s">
        <v>176</v>
      </c>
      <c r="AA725" s="3">
        <v>26359</v>
      </c>
      <c r="AB725" s="1" t="s">
        <v>46</v>
      </c>
      <c r="AC725" s="5">
        <v>858</v>
      </c>
      <c r="AD725" s="1" t="s">
        <v>1992</v>
      </c>
      <c r="AE725" s="1" t="str">
        <f t="shared" si="56"/>
        <v>2390 16001</v>
      </c>
      <c r="AF725" s="5" t="str">
        <f t="shared" si="58"/>
        <v>53</v>
      </c>
      <c r="AG725" s="1" t="str">
        <f t="shared" si="55"/>
        <v>Y</v>
      </c>
    </row>
    <row r="726" spans="1:33" x14ac:dyDescent="0.2">
      <c r="A726" s="1" t="s">
        <v>1980</v>
      </c>
      <c r="B726" s="1" t="s">
        <v>1993</v>
      </c>
      <c r="C726" s="1">
        <v>2393</v>
      </c>
      <c r="D726" s="1">
        <v>4</v>
      </c>
      <c r="F726" s="1">
        <v>2023</v>
      </c>
      <c r="G726" s="1" t="s">
        <v>1515</v>
      </c>
      <c r="H726" s="1">
        <v>1427</v>
      </c>
      <c r="I726" s="1">
        <v>2</v>
      </c>
      <c r="J726" s="1" t="s">
        <v>668</v>
      </c>
      <c r="K726" s="1" t="s">
        <v>1994</v>
      </c>
      <c r="L726" s="1" t="s">
        <v>1995</v>
      </c>
      <c r="M726" s="1">
        <v>19</v>
      </c>
      <c r="N726" s="1" t="s">
        <v>39</v>
      </c>
      <c r="O726" s="1">
        <v>40.566099999999999</v>
      </c>
      <c r="P726" s="1">
        <v>-75.165000000000006</v>
      </c>
      <c r="Q726" s="1" t="s">
        <v>1996</v>
      </c>
      <c r="R726" s="1" t="s">
        <v>41</v>
      </c>
      <c r="T726" s="1" t="s">
        <v>71</v>
      </c>
      <c r="U726" s="1" t="s">
        <v>44</v>
      </c>
      <c r="X726" s="1" t="s">
        <v>140</v>
      </c>
      <c r="AA726" s="3">
        <v>27037</v>
      </c>
      <c r="AB726" s="1" t="s">
        <v>46</v>
      </c>
      <c r="AC726" s="5">
        <v>915</v>
      </c>
      <c r="AD726" s="1" t="s">
        <v>1997</v>
      </c>
      <c r="AE726" s="1" t="str">
        <f t="shared" si="56"/>
        <v>2393 4</v>
      </c>
      <c r="AF726" s="14">
        <f>AF729</f>
        <v>87.45</v>
      </c>
      <c r="AG726" s="1" t="str">
        <f t="shared" si="55"/>
        <v/>
      </c>
    </row>
    <row r="727" spans="1:33" x14ac:dyDescent="0.2">
      <c r="A727" s="1" t="s">
        <v>1980</v>
      </c>
      <c r="B727" s="1" t="s">
        <v>1993</v>
      </c>
      <c r="C727" s="1">
        <v>2393</v>
      </c>
      <c r="D727" s="1">
        <v>5</v>
      </c>
      <c r="F727" s="1">
        <v>2023</v>
      </c>
      <c r="G727" s="1" t="s">
        <v>1515</v>
      </c>
      <c r="H727" s="1">
        <v>1427</v>
      </c>
      <c r="I727" s="1">
        <v>2</v>
      </c>
      <c r="J727" s="1" t="s">
        <v>668</v>
      </c>
      <c r="K727" s="1" t="s">
        <v>1994</v>
      </c>
      <c r="L727" s="1" t="s">
        <v>1995</v>
      </c>
      <c r="M727" s="1">
        <v>19</v>
      </c>
      <c r="N727" s="1" t="s">
        <v>39</v>
      </c>
      <c r="O727" s="1">
        <v>40.566099999999999</v>
      </c>
      <c r="P727" s="1">
        <v>-75.165000000000006</v>
      </c>
      <c r="Q727" s="1" t="s">
        <v>1996</v>
      </c>
      <c r="R727" s="1" t="s">
        <v>41</v>
      </c>
      <c r="T727" s="1" t="s">
        <v>71</v>
      </c>
      <c r="U727" s="1" t="s">
        <v>44</v>
      </c>
      <c r="X727" s="1" t="s">
        <v>140</v>
      </c>
      <c r="AA727" s="3">
        <v>27141</v>
      </c>
      <c r="AB727" s="1" t="s">
        <v>46</v>
      </c>
      <c r="AC727" s="5">
        <v>911</v>
      </c>
      <c r="AD727" s="1" t="s">
        <v>1998</v>
      </c>
      <c r="AE727" s="1" t="str">
        <f t="shared" si="56"/>
        <v>2393 5</v>
      </c>
      <c r="AF727" s="14">
        <f>AF729</f>
        <v>87.45</v>
      </c>
      <c r="AG727" s="1" t="str">
        <f t="shared" si="55"/>
        <v/>
      </c>
    </row>
    <row r="728" spans="1:33" x14ac:dyDescent="0.2">
      <c r="A728" s="1" t="s">
        <v>1980</v>
      </c>
      <c r="B728" s="1" t="s">
        <v>1993</v>
      </c>
      <c r="C728" s="1">
        <v>2393</v>
      </c>
      <c r="D728" s="1">
        <v>6</v>
      </c>
      <c r="F728" s="1">
        <v>2023</v>
      </c>
      <c r="G728" s="1" t="s">
        <v>1515</v>
      </c>
      <c r="H728" s="1">
        <v>1427</v>
      </c>
      <c r="I728" s="1">
        <v>2</v>
      </c>
      <c r="J728" s="1" t="s">
        <v>668</v>
      </c>
      <c r="K728" s="1" t="s">
        <v>1994</v>
      </c>
      <c r="L728" s="1" t="s">
        <v>1995</v>
      </c>
      <c r="M728" s="1">
        <v>19</v>
      </c>
      <c r="N728" s="1" t="s">
        <v>39</v>
      </c>
      <c r="O728" s="1">
        <v>40.566099999999999</v>
      </c>
      <c r="P728" s="1">
        <v>-75.165000000000006</v>
      </c>
      <c r="Q728" s="1" t="s">
        <v>1996</v>
      </c>
      <c r="R728" s="1" t="s">
        <v>41</v>
      </c>
      <c r="T728" s="1" t="s">
        <v>71</v>
      </c>
      <c r="U728" s="1" t="s">
        <v>44</v>
      </c>
      <c r="X728" s="1" t="s">
        <v>140</v>
      </c>
      <c r="AA728" s="3">
        <v>27141</v>
      </c>
      <c r="AB728" s="1" t="s">
        <v>46</v>
      </c>
      <c r="AC728" s="5">
        <v>952</v>
      </c>
      <c r="AD728" s="1" t="s">
        <v>1999</v>
      </c>
      <c r="AE728" s="1" t="str">
        <f t="shared" si="56"/>
        <v>2393 6</v>
      </c>
      <c r="AF728" s="14">
        <f>AF729</f>
        <v>87.45</v>
      </c>
      <c r="AG728" s="1" t="str">
        <f t="shared" si="55"/>
        <v/>
      </c>
    </row>
    <row r="729" spans="1:33" x14ac:dyDescent="0.2">
      <c r="A729" s="1" t="s">
        <v>1980</v>
      </c>
      <c r="B729" s="1" t="s">
        <v>1993</v>
      </c>
      <c r="C729" s="1">
        <v>2393</v>
      </c>
      <c r="D729" s="1">
        <v>7</v>
      </c>
      <c r="F729" s="1">
        <v>2023</v>
      </c>
      <c r="G729" s="1" t="s">
        <v>1515</v>
      </c>
      <c r="H729" s="1">
        <v>1427</v>
      </c>
      <c r="I729" s="1">
        <v>2</v>
      </c>
      <c r="J729" s="1" t="s">
        <v>668</v>
      </c>
      <c r="K729" s="1" t="s">
        <v>1994</v>
      </c>
      <c r="L729" s="1" t="s">
        <v>1995</v>
      </c>
      <c r="M729" s="1">
        <v>19</v>
      </c>
      <c r="N729" s="1" t="s">
        <v>39</v>
      </c>
      <c r="O729" s="1">
        <v>40.566099999999999</v>
      </c>
      <c r="P729" s="1">
        <v>-75.165000000000006</v>
      </c>
      <c r="Q729" s="1" t="s">
        <v>1996</v>
      </c>
      <c r="R729" s="1" t="s">
        <v>41</v>
      </c>
      <c r="T729" s="1" t="s">
        <v>71</v>
      </c>
      <c r="U729" s="1" t="s">
        <v>44</v>
      </c>
      <c r="X729" s="1" t="s">
        <v>140</v>
      </c>
      <c r="AA729" s="3">
        <v>27172</v>
      </c>
      <c r="AB729" s="1" t="s">
        <v>46</v>
      </c>
      <c r="AC729" s="5">
        <v>997</v>
      </c>
      <c r="AD729" s="1" t="s">
        <v>2000</v>
      </c>
      <c r="AE729" s="1" t="str">
        <f t="shared" si="56"/>
        <v>2393 7</v>
      </c>
      <c r="AF729" s="14">
        <f>MID(AD729,FIND("(",AD729)+1,FIND(")",AD729)-FIND("(",AD729)-1)+135/4</f>
        <v>87.45</v>
      </c>
      <c r="AG729" s="1" t="str">
        <f t="shared" si="55"/>
        <v/>
      </c>
    </row>
    <row r="730" spans="1:33" x14ac:dyDescent="0.2">
      <c r="A730" s="1" t="s">
        <v>1980</v>
      </c>
      <c r="B730" s="1" t="s">
        <v>1993</v>
      </c>
      <c r="C730" s="1">
        <v>2393</v>
      </c>
      <c r="D730" s="1">
        <v>9</v>
      </c>
      <c r="F730" s="1">
        <v>2023</v>
      </c>
      <c r="G730" s="1" t="s">
        <v>1515</v>
      </c>
      <c r="H730" s="1">
        <v>1427</v>
      </c>
      <c r="I730" s="1">
        <v>2</v>
      </c>
      <c r="J730" s="1" t="s">
        <v>668</v>
      </c>
      <c r="K730" s="1" t="s">
        <v>1994</v>
      </c>
      <c r="L730" s="1" t="s">
        <v>1995</v>
      </c>
      <c r="M730" s="1">
        <v>19</v>
      </c>
      <c r="N730" s="1" t="s">
        <v>39</v>
      </c>
      <c r="O730" s="1">
        <v>40.566099999999999</v>
      </c>
      <c r="P730" s="1">
        <v>-75.165000000000006</v>
      </c>
      <c r="Q730" s="1" t="s">
        <v>1996</v>
      </c>
      <c r="R730" s="1" t="s">
        <v>41</v>
      </c>
      <c r="T730" s="1" t="s">
        <v>93</v>
      </c>
      <c r="U730" s="1" t="s">
        <v>44</v>
      </c>
      <c r="V730" s="1" t="s">
        <v>94</v>
      </c>
      <c r="X730" s="1" t="s">
        <v>183</v>
      </c>
      <c r="AA730" s="3">
        <v>35143</v>
      </c>
      <c r="AB730" s="1" t="s">
        <v>46</v>
      </c>
      <c r="AC730" s="5">
        <v>1835</v>
      </c>
      <c r="AD730" s="1" t="s">
        <v>2001</v>
      </c>
      <c r="AE730" s="1" t="str">
        <f t="shared" si="56"/>
        <v>2393 9</v>
      </c>
      <c r="AF730" s="5" t="str">
        <f>MID(AD730,FIND("(",AD730)+1,FIND(")",AD730)-FIND("(",AD730)-1)</f>
        <v>161</v>
      </c>
      <c r="AG730" s="1" t="str">
        <f t="shared" si="55"/>
        <v/>
      </c>
    </row>
    <row r="731" spans="1:33" x14ac:dyDescent="0.2">
      <c r="A731" s="1" t="s">
        <v>1980</v>
      </c>
      <c r="B731" s="1" t="s">
        <v>2002</v>
      </c>
      <c r="C731" s="1">
        <v>2398</v>
      </c>
      <c r="D731" s="1">
        <v>1101</v>
      </c>
      <c r="F731" s="1">
        <v>2023</v>
      </c>
      <c r="G731" s="1" t="s">
        <v>1515</v>
      </c>
      <c r="H731" s="1">
        <v>608054</v>
      </c>
      <c r="I731" s="1">
        <v>2</v>
      </c>
      <c r="J731" s="1" t="s">
        <v>668</v>
      </c>
      <c r="K731" s="1" t="s">
        <v>2003</v>
      </c>
      <c r="L731" s="1" t="s">
        <v>2004</v>
      </c>
      <c r="M731" s="1">
        <v>3</v>
      </c>
      <c r="N731" s="1" t="s">
        <v>39</v>
      </c>
      <c r="O731" s="1">
        <v>40.837499999999999</v>
      </c>
      <c r="P731" s="1">
        <v>-74.0244</v>
      </c>
      <c r="Q731" s="1" t="s">
        <v>2005</v>
      </c>
      <c r="R731" s="1" t="s">
        <v>41</v>
      </c>
      <c r="T731" s="1" t="s">
        <v>71</v>
      </c>
      <c r="U731" s="1" t="s">
        <v>44</v>
      </c>
      <c r="V731" s="1" t="s">
        <v>94</v>
      </c>
      <c r="X731" s="1" t="s">
        <v>183</v>
      </c>
      <c r="AA731" s="3">
        <v>34851</v>
      </c>
      <c r="AB731" s="1" t="s">
        <v>46</v>
      </c>
      <c r="AC731" s="5">
        <v>1515</v>
      </c>
      <c r="AD731" s="1" t="s">
        <v>2006</v>
      </c>
      <c r="AE731" s="1" t="str">
        <f t="shared" si="56"/>
        <v>2398 1101</v>
      </c>
      <c r="AF731" s="14">
        <f>AF732</f>
        <v>193.80500000000001</v>
      </c>
      <c r="AG731" s="1" t="str">
        <f t="shared" si="55"/>
        <v/>
      </c>
    </row>
    <row r="732" spans="1:33" x14ac:dyDescent="0.2">
      <c r="A732" s="1" t="s">
        <v>1980</v>
      </c>
      <c r="B732" s="1" t="s">
        <v>2002</v>
      </c>
      <c r="C732" s="1">
        <v>2398</v>
      </c>
      <c r="D732" s="1">
        <v>1201</v>
      </c>
      <c r="F732" s="1">
        <v>2023</v>
      </c>
      <c r="G732" s="1" t="s">
        <v>1515</v>
      </c>
      <c r="H732" s="1">
        <v>608054</v>
      </c>
      <c r="I732" s="1">
        <v>2</v>
      </c>
      <c r="J732" s="1" t="s">
        <v>668</v>
      </c>
      <c r="K732" s="1" t="s">
        <v>2003</v>
      </c>
      <c r="L732" s="1" t="s">
        <v>2004</v>
      </c>
      <c r="M732" s="1">
        <v>3</v>
      </c>
      <c r="N732" s="1" t="s">
        <v>39</v>
      </c>
      <c r="O732" s="1">
        <v>40.837499999999999</v>
      </c>
      <c r="P732" s="1">
        <v>-74.0244</v>
      </c>
      <c r="Q732" s="1" t="s">
        <v>2005</v>
      </c>
      <c r="R732" s="1" t="s">
        <v>41</v>
      </c>
      <c r="T732" s="1" t="s">
        <v>71</v>
      </c>
      <c r="U732" s="1" t="s">
        <v>44</v>
      </c>
      <c r="V732" s="1" t="s">
        <v>94</v>
      </c>
      <c r="X732" s="1" t="s">
        <v>183</v>
      </c>
      <c r="AA732" s="3">
        <v>34851</v>
      </c>
      <c r="AB732" s="1" t="s">
        <v>46</v>
      </c>
      <c r="AC732" s="5">
        <v>1515</v>
      </c>
      <c r="AD732" s="1" t="s">
        <v>2007</v>
      </c>
      <c r="AE732" s="1" t="str">
        <f t="shared" si="56"/>
        <v>2398 1201</v>
      </c>
      <c r="AF732" s="14">
        <f>MID(AD732,FIND("(",AD732)+1,FIND(")",AD732)-FIND("(",AD732)-1)+325.22/4</f>
        <v>193.80500000000001</v>
      </c>
      <c r="AG732" s="1" t="str">
        <f t="shared" si="55"/>
        <v/>
      </c>
    </row>
    <row r="733" spans="1:33" x14ac:dyDescent="0.2">
      <c r="A733" s="1" t="s">
        <v>1980</v>
      </c>
      <c r="B733" s="1" t="s">
        <v>2002</v>
      </c>
      <c r="C733" s="1">
        <v>2398</v>
      </c>
      <c r="D733" s="1">
        <v>1301</v>
      </c>
      <c r="F733" s="1">
        <v>2023</v>
      </c>
      <c r="G733" s="1" t="s">
        <v>1515</v>
      </c>
      <c r="H733" s="1">
        <v>608054</v>
      </c>
      <c r="I733" s="1">
        <v>2</v>
      </c>
      <c r="J733" s="1" t="s">
        <v>668</v>
      </c>
      <c r="K733" s="1" t="s">
        <v>2003</v>
      </c>
      <c r="L733" s="1" t="s">
        <v>2004</v>
      </c>
      <c r="M733" s="1">
        <v>3</v>
      </c>
      <c r="N733" s="1" t="s">
        <v>39</v>
      </c>
      <c r="O733" s="1">
        <v>40.837499999999999</v>
      </c>
      <c r="P733" s="1">
        <v>-74.0244</v>
      </c>
      <c r="Q733" s="1" t="s">
        <v>2005</v>
      </c>
      <c r="R733" s="1" t="s">
        <v>41</v>
      </c>
      <c r="T733" s="1" t="s">
        <v>71</v>
      </c>
      <c r="U733" s="1" t="s">
        <v>44</v>
      </c>
      <c r="V733" s="1" t="s">
        <v>94</v>
      </c>
      <c r="X733" s="1" t="s">
        <v>183</v>
      </c>
      <c r="AA733" s="3">
        <v>34851</v>
      </c>
      <c r="AB733" s="1" t="s">
        <v>46</v>
      </c>
      <c r="AC733" s="5">
        <v>1515</v>
      </c>
      <c r="AD733" s="1" t="s">
        <v>2008</v>
      </c>
      <c r="AE733" s="1" t="str">
        <f t="shared" si="56"/>
        <v>2398 1301</v>
      </c>
      <c r="AF733" s="14">
        <f>AF732</f>
        <v>193.80500000000001</v>
      </c>
      <c r="AG733" s="1" t="str">
        <f t="shared" si="55"/>
        <v/>
      </c>
    </row>
    <row r="734" spans="1:33" x14ac:dyDescent="0.2">
      <c r="A734" s="1" t="s">
        <v>1980</v>
      </c>
      <c r="B734" s="1" t="s">
        <v>2002</v>
      </c>
      <c r="C734" s="1">
        <v>2398</v>
      </c>
      <c r="D734" s="1">
        <v>1401</v>
      </c>
      <c r="F734" s="1">
        <v>2023</v>
      </c>
      <c r="G734" s="1" t="s">
        <v>1515</v>
      </c>
      <c r="H734" s="1">
        <v>608054</v>
      </c>
      <c r="I734" s="1">
        <v>2</v>
      </c>
      <c r="J734" s="1" t="s">
        <v>668</v>
      </c>
      <c r="K734" s="1" t="s">
        <v>2003</v>
      </c>
      <c r="L734" s="1" t="s">
        <v>2004</v>
      </c>
      <c r="M734" s="1">
        <v>3</v>
      </c>
      <c r="N734" s="1" t="s">
        <v>39</v>
      </c>
      <c r="O734" s="1">
        <v>40.837499999999999</v>
      </c>
      <c r="P734" s="1">
        <v>-74.0244</v>
      </c>
      <c r="Q734" s="1" t="s">
        <v>2005</v>
      </c>
      <c r="R734" s="1" t="s">
        <v>41</v>
      </c>
      <c r="T734" s="1" t="s">
        <v>71</v>
      </c>
      <c r="U734" s="1" t="s">
        <v>44</v>
      </c>
      <c r="V734" s="1" t="s">
        <v>94</v>
      </c>
      <c r="X734" s="1" t="s">
        <v>183</v>
      </c>
      <c r="AA734" s="3">
        <v>34851</v>
      </c>
      <c r="AB734" s="1" t="s">
        <v>46</v>
      </c>
      <c r="AC734" s="5">
        <v>1515</v>
      </c>
      <c r="AD734" s="1" t="s">
        <v>2009</v>
      </c>
      <c r="AE734" s="1" t="str">
        <f t="shared" si="56"/>
        <v>2398 1401</v>
      </c>
      <c r="AF734" s="14">
        <f>AF732</f>
        <v>193.80500000000001</v>
      </c>
      <c r="AG734" s="1" t="str">
        <f t="shared" si="55"/>
        <v/>
      </c>
    </row>
    <row r="735" spans="1:33" x14ac:dyDescent="0.2">
      <c r="A735" s="1" t="s">
        <v>1980</v>
      </c>
      <c r="B735" s="1" t="s">
        <v>2002</v>
      </c>
      <c r="C735" s="1">
        <v>2398</v>
      </c>
      <c r="D735" s="1">
        <v>2101</v>
      </c>
      <c r="F735" s="1">
        <v>2023</v>
      </c>
      <c r="G735" s="1" t="s">
        <v>1515</v>
      </c>
      <c r="H735" s="1">
        <v>608054</v>
      </c>
      <c r="I735" s="1">
        <v>2</v>
      </c>
      <c r="J735" s="1" t="s">
        <v>668</v>
      </c>
      <c r="K735" s="1" t="s">
        <v>2003</v>
      </c>
      <c r="L735" s="1" t="s">
        <v>2004</v>
      </c>
      <c r="M735" s="1">
        <v>3</v>
      </c>
      <c r="N735" s="1" t="s">
        <v>39</v>
      </c>
      <c r="O735" s="1">
        <v>40.837499999999999</v>
      </c>
      <c r="P735" s="1">
        <v>-74.0244</v>
      </c>
      <c r="Q735" s="1" t="s">
        <v>2005</v>
      </c>
      <c r="R735" s="1" t="s">
        <v>41</v>
      </c>
      <c r="T735" s="1" t="s">
        <v>71</v>
      </c>
      <c r="U735" s="1" t="s">
        <v>44</v>
      </c>
      <c r="V735" s="1" t="s">
        <v>94</v>
      </c>
      <c r="X735" s="1" t="s">
        <v>643</v>
      </c>
      <c r="AA735" s="3">
        <v>37377</v>
      </c>
      <c r="AB735" s="1" t="s">
        <v>46</v>
      </c>
      <c r="AC735" s="5">
        <v>2450</v>
      </c>
      <c r="AD735" s="1" t="s">
        <v>2010</v>
      </c>
      <c r="AE735" s="1" t="str">
        <f t="shared" si="56"/>
        <v>2398 2101</v>
      </c>
      <c r="AF735" s="14">
        <f>MID(AD735,FIND("(",AD735)+1,FIND(")",AD735)-FIND("(",AD735)-1)+258.4/2</f>
        <v>303.2</v>
      </c>
      <c r="AG735" s="1" t="str">
        <f t="shared" si="55"/>
        <v>Y</v>
      </c>
    </row>
    <row r="736" spans="1:33" x14ac:dyDescent="0.2">
      <c r="A736" s="1" t="s">
        <v>1980</v>
      </c>
      <c r="B736" s="1" t="s">
        <v>2002</v>
      </c>
      <c r="C736" s="1">
        <v>2398</v>
      </c>
      <c r="D736" s="1">
        <v>2201</v>
      </c>
      <c r="F736" s="1">
        <v>2023</v>
      </c>
      <c r="G736" s="1" t="s">
        <v>1515</v>
      </c>
      <c r="H736" s="1">
        <v>608054</v>
      </c>
      <c r="I736" s="1">
        <v>2</v>
      </c>
      <c r="J736" s="1" t="s">
        <v>668</v>
      </c>
      <c r="K736" s="1" t="s">
        <v>2003</v>
      </c>
      <c r="L736" s="1" t="s">
        <v>2004</v>
      </c>
      <c r="M736" s="1">
        <v>3</v>
      </c>
      <c r="N736" s="1" t="s">
        <v>39</v>
      </c>
      <c r="O736" s="1">
        <v>40.837499999999999</v>
      </c>
      <c r="P736" s="1">
        <v>-74.0244</v>
      </c>
      <c r="Q736" s="1" t="s">
        <v>2005</v>
      </c>
      <c r="R736" s="1" t="s">
        <v>41</v>
      </c>
      <c r="T736" s="1" t="s">
        <v>71</v>
      </c>
      <c r="U736" s="1" t="s">
        <v>44</v>
      </c>
      <c r="V736" s="1" t="s">
        <v>94</v>
      </c>
      <c r="X736" s="1" t="s">
        <v>643</v>
      </c>
      <c r="AA736" s="3">
        <v>37377</v>
      </c>
      <c r="AB736" s="1" t="s">
        <v>46</v>
      </c>
      <c r="AC736" s="5">
        <v>2450</v>
      </c>
      <c r="AD736" s="1" t="s">
        <v>2011</v>
      </c>
      <c r="AE736" s="1" t="str">
        <f t="shared" si="56"/>
        <v>2398 2201</v>
      </c>
      <c r="AF736" s="14">
        <f>AF735</f>
        <v>303.2</v>
      </c>
      <c r="AG736" s="1" t="str">
        <f t="shared" si="55"/>
        <v>Y</v>
      </c>
    </row>
    <row r="737" spans="1:33" x14ac:dyDescent="0.2">
      <c r="A737" s="1" t="s">
        <v>1980</v>
      </c>
      <c r="B737" s="1" t="s">
        <v>2012</v>
      </c>
      <c r="C737" s="1">
        <v>2399</v>
      </c>
      <c r="D737" s="1">
        <v>121</v>
      </c>
      <c r="F737" s="1">
        <v>2023</v>
      </c>
      <c r="G737" s="1" t="s">
        <v>1515</v>
      </c>
      <c r="H737" s="1">
        <v>608054</v>
      </c>
      <c r="I737" s="1">
        <v>2</v>
      </c>
      <c r="K737" s="1" t="s">
        <v>2013</v>
      </c>
      <c r="L737" s="1" t="s">
        <v>2014</v>
      </c>
      <c r="M737" s="1">
        <v>5</v>
      </c>
      <c r="N737" s="1" t="s">
        <v>39</v>
      </c>
      <c r="O737" s="1">
        <v>40.075299999999999</v>
      </c>
      <c r="P737" s="1">
        <v>-74.878100000000003</v>
      </c>
      <c r="Q737" s="1" t="s">
        <v>2005</v>
      </c>
      <c r="R737" s="1" t="s">
        <v>41</v>
      </c>
      <c r="T737" s="1" t="s">
        <v>93</v>
      </c>
      <c r="U737" s="1" t="s">
        <v>44</v>
      </c>
      <c r="V737" s="1" t="s">
        <v>94</v>
      </c>
      <c r="X737" s="1" t="s">
        <v>95</v>
      </c>
      <c r="AA737" s="3">
        <v>36658</v>
      </c>
      <c r="AB737" s="1" t="s">
        <v>46</v>
      </c>
      <c r="AC737" s="5">
        <v>463</v>
      </c>
      <c r="AD737" s="1" t="s">
        <v>2015</v>
      </c>
      <c r="AE737" s="1" t="str">
        <f t="shared" si="56"/>
        <v>2399 121</v>
      </c>
      <c r="AF737" s="5" t="str">
        <f t="shared" ref="AF737:AF754" si="59">MID(AD737,FIND("(",AD737)+1,FIND(")",AD737)-FIND("(",AD737)-1)</f>
        <v>60.5</v>
      </c>
      <c r="AG737" s="1" t="str">
        <f t="shared" si="55"/>
        <v/>
      </c>
    </row>
    <row r="738" spans="1:33" x14ac:dyDescent="0.2">
      <c r="A738" s="1" t="s">
        <v>1980</v>
      </c>
      <c r="B738" s="1" t="s">
        <v>2012</v>
      </c>
      <c r="C738" s="1">
        <v>2399</v>
      </c>
      <c r="D738" s="1">
        <v>122</v>
      </c>
      <c r="F738" s="1">
        <v>2023</v>
      </c>
      <c r="G738" s="1" t="s">
        <v>1515</v>
      </c>
      <c r="H738" s="1">
        <v>608054</v>
      </c>
      <c r="I738" s="1">
        <v>2</v>
      </c>
      <c r="K738" s="1" t="s">
        <v>2013</v>
      </c>
      <c r="L738" s="1" t="s">
        <v>2014</v>
      </c>
      <c r="M738" s="1">
        <v>5</v>
      </c>
      <c r="N738" s="1" t="s">
        <v>39</v>
      </c>
      <c r="O738" s="1">
        <v>40.075299999999999</v>
      </c>
      <c r="P738" s="1">
        <v>-74.878100000000003</v>
      </c>
      <c r="Q738" s="1" t="s">
        <v>2005</v>
      </c>
      <c r="R738" s="1" t="s">
        <v>41</v>
      </c>
      <c r="T738" s="1" t="s">
        <v>93</v>
      </c>
      <c r="U738" s="1" t="s">
        <v>44</v>
      </c>
      <c r="V738" s="1" t="s">
        <v>94</v>
      </c>
      <c r="X738" s="1" t="s">
        <v>95</v>
      </c>
      <c r="AA738" s="3">
        <v>36662</v>
      </c>
      <c r="AB738" s="1" t="s">
        <v>46</v>
      </c>
      <c r="AC738" s="5">
        <v>463</v>
      </c>
      <c r="AD738" s="1" t="s">
        <v>2016</v>
      </c>
      <c r="AE738" s="1" t="str">
        <f t="shared" si="56"/>
        <v>2399 122</v>
      </c>
      <c r="AF738" s="5" t="str">
        <f t="shared" si="59"/>
        <v>60.5</v>
      </c>
      <c r="AG738" s="1" t="str">
        <f t="shared" si="55"/>
        <v/>
      </c>
    </row>
    <row r="739" spans="1:33" x14ac:dyDescent="0.2">
      <c r="A739" s="1" t="s">
        <v>1980</v>
      </c>
      <c r="B739" s="1" t="s">
        <v>2012</v>
      </c>
      <c r="C739" s="1">
        <v>2399</v>
      </c>
      <c r="D739" s="1">
        <v>123</v>
      </c>
      <c r="F739" s="1">
        <v>2023</v>
      </c>
      <c r="G739" s="1" t="s">
        <v>1515</v>
      </c>
      <c r="H739" s="1">
        <v>608054</v>
      </c>
      <c r="I739" s="1">
        <v>2</v>
      </c>
      <c r="K739" s="1" t="s">
        <v>2013</v>
      </c>
      <c r="L739" s="1" t="s">
        <v>2014</v>
      </c>
      <c r="M739" s="1">
        <v>5</v>
      </c>
      <c r="N739" s="1" t="s">
        <v>39</v>
      </c>
      <c r="O739" s="1">
        <v>40.075299999999999</v>
      </c>
      <c r="P739" s="1">
        <v>-74.878100000000003</v>
      </c>
      <c r="Q739" s="1" t="s">
        <v>2005</v>
      </c>
      <c r="R739" s="1" t="s">
        <v>41</v>
      </c>
      <c r="T739" s="1" t="s">
        <v>93</v>
      </c>
      <c r="U739" s="1" t="s">
        <v>44</v>
      </c>
      <c r="V739" s="1" t="s">
        <v>94</v>
      </c>
      <c r="X739" s="1" t="s">
        <v>95</v>
      </c>
      <c r="AA739" s="3">
        <v>36689</v>
      </c>
      <c r="AB739" s="1" t="s">
        <v>46</v>
      </c>
      <c r="AC739" s="5">
        <v>463</v>
      </c>
      <c r="AD739" s="1" t="s">
        <v>2017</v>
      </c>
      <c r="AE739" s="1" t="str">
        <f t="shared" si="56"/>
        <v>2399 123</v>
      </c>
      <c r="AF739" s="5" t="str">
        <f t="shared" si="59"/>
        <v>60.5</v>
      </c>
      <c r="AG739" s="1" t="str">
        <f t="shared" si="55"/>
        <v/>
      </c>
    </row>
    <row r="740" spans="1:33" x14ac:dyDescent="0.2">
      <c r="A740" s="1" t="s">
        <v>1980</v>
      </c>
      <c r="B740" s="1" t="s">
        <v>2012</v>
      </c>
      <c r="C740" s="1">
        <v>2399</v>
      </c>
      <c r="D740" s="1">
        <v>124</v>
      </c>
      <c r="F740" s="1">
        <v>2023</v>
      </c>
      <c r="G740" s="1" t="s">
        <v>1515</v>
      </c>
      <c r="H740" s="1">
        <v>608054</v>
      </c>
      <c r="I740" s="1">
        <v>2</v>
      </c>
      <c r="K740" s="1" t="s">
        <v>2013</v>
      </c>
      <c r="L740" s="1" t="s">
        <v>2014</v>
      </c>
      <c r="M740" s="1">
        <v>5</v>
      </c>
      <c r="N740" s="1" t="s">
        <v>39</v>
      </c>
      <c r="O740" s="1">
        <v>40.075299999999999</v>
      </c>
      <c r="P740" s="1">
        <v>-74.878100000000003</v>
      </c>
      <c r="Q740" s="1" t="s">
        <v>2005</v>
      </c>
      <c r="R740" s="1" t="s">
        <v>41</v>
      </c>
      <c r="T740" s="1" t="s">
        <v>93</v>
      </c>
      <c r="U740" s="1" t="s">
        <v>44</v>
      </c>
      <c r="V740" s="1" t="s">
        <v>94</v>
      </c>
      <c r="X740" s="1" t="s">
        <v>95</v>
      </c>
      <c r="AA740" s="3">
        <v>36693</v>
      </c>
      <c r="AB740" s="1" t="s">
        <v>46</v>
      </c>
      <c r="AC740" s="5">
        <v>463</v>
      </c>
      <c r="AD740" s="1" t="s">
        <v>2018</v>
      </c>
      <c r="AE740" s="1" t="str">
        <f t="shared" si="56"/>
        <v>2399 124</v>
      </c>
      <c r="AF740" s="5" t="str">
        <f t="shared" si="59"/>
        <v>60.5</v>
      </c>
      <c r="AG740" s="1" t="str">
        <f t="shared" si="55"/>
        <v/>
      </c>
    </row>
    <row r="741" spans="1:33" x14ac:dyDescent="0.2">
      <c r="A741" s="1" t="s">
        <v>1980</v>
      </c>
      <c r="B741" s="1" t="s">
        <v>2019</v>
      </c>
      <c r="C741" s="1">
        <v>2404</v>
      </c>
      <c r="D741" s="1">
        <v>121</v>
      </c>
      <c r="F741" s="1">
        <v>2023</v>
      </c>
      <c r="G741" s="1" t="s">
        <v>1515</v>
      </c>
      <c r="H741" s="1">
        <v>608054</v>
      </c>
      <c r="I741" s="1">
        <v>2</v>
      </c>
      <c r="K741" s="1" t="s">
        <v>2020</v>
      </c>
      <c r="L741" s="1" t="s">
        <v>2021</v>
      </c>
      <c r="M741" s="1">
        <v>17</v>
      </c>
      <c r="N741" s="1" t="s">
        <v>39</v>
      </c>
      <c r="O741" s="1">
        <v>40.737499999999997</v>
      </c>
      <c r="P741" s="1">
        <v>-74.099999999999994</v>
      </c>
      <c r="Q741" s="1" t="s">
        <v>2005</v>
      </c>
      <c r="R741" s="1" t="s">
        <v>41</v>
      </c>
      <c r="T741" s="1" t="s">
        <v>93</v>
      </c>
      <c r="U741" s="1" t="s">
        <v>44</v>
      </c>
      <c r="V741" s="1" t="s">
        <v>94</v>
      </c>
      <c r="X741" s="1" t="s">
        <v>95</v>
      </c>
      <c r="AA741" s="3">
        <v>37043</v>
      </c>
      <c r="AB741" s="1" t="s">
        <v>46</v>
      </c>
      <c r="AC741" s="5">
        <v>463</v>
      </c>
      <c r="AD741" s="1" t="s">
        <v>2022</v>
      </c>
      <c r="AE741" s="1" t="str">
        <f t="shared" si="56"/>
        <v>2404 121</v>
      </c>
      <c r="AF741" s="5" t="str">
        <f t="shared" si="59"/>
        <v>60.5</v>
      </c>
      <c r="AG741" s="1" t="str">
        <f t="shared" si="55"/>
        <v/>
      </c>
    </row>
    <row r="742" spans="1:33" x14ac:dyDescent="0.2">
      <c r="A742" s="1" t="s">
        <v>1980</v>
      </c>
      <c r="B742" s="1" t="s">
        <v>2019</v>
      </c>
      <c r="C742" s="1">
        <v>2404</v>
      </c>
      <c r="D742" s="1">
        <v>122</v>
      </c>
      <c r="F742" s="1">
        <v>2023</v>
      </c>
      <c r="G742" s="1" t="s">
        <v>1515</v>
      </c>
      <c r="H742" s="1">
        <v>608054</v>
      </c>
      <c r="I742" s="1">
        <v>2</v>
      </c>
      <c r="K742" s="1" t="s">
        <v>2020</v>
      </c>
      <c r="L742" s="1" t="s">
        <v>2021</v>
      </c>
      <c r="M742" s="1">
        <v>17</v>
      </c>
      <c r="N742" s="1" t="s">
        <v>39</v>
      </c>
      <c r="O742" s="1">
        <v>40.737499999999997</v>
      </c>
      <c r="P742" s="1">
        <v>-74.099999999999994</v>
      </c>
      <c r="Q742" s="1" t="s">
        <v>2005</v>
      </c>
      <c r="R742" s="1" t="s">
        <v>41</v>
      </c>
      <c r="T742" s="1" t="s">
        <v>93</v>
      </c>
      <c r="U742" s="1" t="s">
        <v>44</v>
      </c>
      <c r="V742" s="1" t="s">
        <v>94</v>
      </c>
      <c r="X742" s="1" t="s">
        <v>95</v>
      </c>
      <c r="AA742" s="3">
        <v>37042</v>
      </c>
      <c r="AB742" s="1" t="s">
        <v>46</v>
      </c>
      <c r="AC742" s="5">
        <v>463</v>
      </c>
      <c r="AD742" s="1" t="s">
        <v>2023</v>
      </c>
      <c r="AE742" s="1" t="str">
        <f t="shared" si="56"/>
        <v>2404 122</v>
      </c>
      <c r="AF742" s="5" t="str">
        <f t="shared" si="59"/>
        <v>60.5</v>
      </c>
      <c r="AG742" s="1" t="str">
        <f t="shared" si="55"/>
        <v/>
      </c>
    </row>
    <row r="743" spans="1:33" x14ac:dyDescent="0.2">
      <c r="A743" s="1" t="s">
        <v>1980</v>
      </c>
      <c r="B743" s="1" t="s">
        <v>2019</v>
      </c>
      <c r="C743" s="1">
        <v>2404</v>
      </c>
      <c r="D743" s="1">
        <v>123</v>
      </c>
      <c r="F743" s="1">
        <v>2023</v>
      </c>
      <c r="G743" s="1" t="s">
        <v>1515</v>
      </c>
      <c r="H743" s="1">
        <v>608054</v>
      </c>
      <c r="I743" s="1">
        <v>2</v>
      </c>
      <c r="K743" s="1" t="s">
        <v>2020</v>
      </c>
      <c r="L743" s="1" t="s">
        <v>2021</v>
      </c>
      <c r="M743" s="1">
        <v>17</v>
      </c>
      <c r="N743" s="1" t="s">
        <v>39</v>
      </c>
      <c r="O743" s="1">
        <v>40.737499999999997</v>
      </c>
      <c r="P743" s="1">
        <v>-74.099999999999994</v>
      </c>
      <c r="Q743" s="1" t="s">
        <v>2005</v>
      </c>
      <c r="R743" s="1" t="s">
        <v>41</v>
      </c>
      <c r="T743" s="1" t="s">
        <v>93</v>
      </c>
      <c r="U743" s="1" t="s">
        <v>44</v>
      </c>
      <c r="V743" s="1" t="s">
        <v>94</v>
      </c>
      <c r="X743" s="1" t="s">
        <v>95</v>
      </c>
      <c r="AA743" s="3">
        <v>37043</v>
      </c>
      <c r="AB743" s="1" t="s">
        <v>46</v>
      </c>
      <c r="AC743" s="5">
        <v>463</v>
      </c>
      <c r="AD743" s="1" t="s">
        <v>2024</v>
      </c>
      <c r="AE743" s="1" t="str">
        <f t="shared" si="56"/>
        <v>2404 123</v>
      </c>
      <c r="AF743" s="5" t="str">
        <f t="shared" si="59"/>
        <v>60.5</v>
      </c>
      <c r="AG743" s="1" t="str">
        <f t="shared" si="55"/>
        <v/>
      </c>
    </row>
    <row r="744" spans="1:33" x14ac:dyDescent="0.2">
      <c r="A744" s="1" t="s">
        <v>1980</v>
      </c>
      <c r="B744" s="1" t="s">
        <v>2019</v>
      </c>
      <c r="C744" s="1">
        <v>2404</v>
      </c>
      <c r="D744" s="1">
        <v>124</v>
      </c>
      <c r="F744" s="1">
        <v>2023</v>
      </c>
      <c r="G744" s="1" t="s">
        <v>1515</v>
      </c>
      <c r="H744" s="1">
        <v>608054</v>
      </c>
      <c r="I744" s="1">
        <v>2</v>
      </c>
      <c r="K744" s="1" t="s">
        <v>2020</v>
      </c>
      <c r="L744" s="1" t="s">
        <v>2021</v>
      </c>
      <c r="M744" s="1">
        <v>17</v>
      </c>
      <c r="N744" s="1" t="s">
        <v>39</v>
      </c>
      <c r="O744" s="1">
        <v>40.737499999999997</v>
      </c>
      <c r="P744" s="1">
        <v>-74.099999999999994</v>
      </c>
      <c r="Q744" s="1" t="s">
        <v>2005</v>
      </c>
      <c r="R744" s="1" t="s">
        <v>41</v>
      </c>
      <c r="T744" s="1" t="s">
        <v>93</v>
      </c>
      <c r="U744" s="1" t="s">
        <v>44</v>
      </c>
      <c r="V744" s="1" t="s">
        <v>94</v>
      </c>
      <c r="X744" s="1" t="s">
        <v>95</v>
      </c>
      <c r="AA744" s="3">
        <v>37043</v>
      </c>
      <c r="AB744" s="1" t="s">
        <v>46</v>
      </c>
      <c r="AC744" s="5">
        <v>463</v>
      </c>
      <c r="AD744" s="1" t="s">
        <v>2025</v>
      </c>
      <c r="AE744" s="1" t="str">
        <f t="shared" si="56"/>
        <v>2404 124</v>
      </c>
      <c r="AF744" s="5" t="str">
        <f t="shared" si="59"/>
        <v>60.5</v>
      </c>
      <c r="AG744" s="1" t="str">
        <f t="shared" si="55"/>
        <v/>
      </c>
    </row>
    <row r="745" spans="1:33" x14ac:dyDescent="0.2">
      <c r="A745" s="1" t="s">
        <v>1980</v>
      </c>
      <c r="B745" s="1" t="s">
        <v>2019</v>
      </c>
      <c r="C745" s="1">
        <v>2404</v>
      </c>
      <c r="D745" s="1">
        <v>131</v>
      </c>
      <c r="F745" s="1">
        <v>2023</v>
      </c>
      <c r="G745" s="1" t="s">
        <v>1515</v>
      </c>
      <c r="H745" s="1">
        <v>608054</v>
      </c>
      <c r="I745" s="1">
        <v>2</v>
      </c>
      <c r="K745" s="1" t="s">
        <v>2020</v>
      </c>
      <c r="L745" s="1" t="s">
        <v>2021</v>
      </c>
      <c r="M745" s="1">
        <v>17</v>
      </c>
      <c r="N745" s="1" t="s">
        <v>39</v>
      </c>
      <c r="O745" s="1">
        <v>40.737499999999997</v>
      </c>
      <c r="P745" s="1">
        <v>-74.099999999999994</v>
      </c>
      <c r="Q745" s="1" t="s">
        <v>2005</v>
      </c>
      <c r="R745" s="1" t="s">
        <v>41</v>
      </c>
      <c r="T745" s="1" t="s">
        <v>93</v>
      </c>
      <c r="U745" s="1" t="s">
        <v>44</v>
      </c>
      <c r="X745" s="1" t="s">
        <v>176</v>
      </c>
      <c r="AA745" s="3">
        <v>41023</v>
      </c>
      <c r="AB745" s="1" t="s">
        <v>46</v>
      </c>
      <c r="AC745" s="5">
        <v>490</v>
      </c>
      <c r="AD745" s="1" t="s">
        <v>2026</v>
      </c>
      <c r="AE745" s="1" t="str">
        <f t="shared" si="56"/>
        <v>2404 131</v>
      </c>
      <c r="AF745" s="5" t="str">
        <f t="shared" si="59"/>
        <v>49</v>
      </c>
      <c r="AG745" s="1" t="str">
        <f t="shared" si="55"/>
        <v>Y</v>
      </c>
    </row>
    <row r="746" spans="1:33" x14ac:dyDescent="0.2">
      <c r="A746" s="1" t="s">
        <v>1980</v>
      </c>
      <c r="B746" s="1" t="s">
        <v>2019</v>
      </c>
      <c r="C746" s="1">
        <v>2404</v>
      </c>
      <c r="D746" s="1">
        <v>132</v>
      </c>
      <c r="F746" s="1">
        <v>2023</v>
      </c>
      <c r="G746" s="1" t="s">
        <v>1515</v>
      </c>
      <c r="H746" s="1">
        <v>608054</v>
      </c>
      <c r="I746" s="1">
        <v>2</v>
      </c>
      <c r="K746" s="1" t="s">
        <v>2020</v>
      </c>
      <c r="L746" s="1" t="s">
        <v>2021</v>
      </c>
      <c r="M746" s="1">
        <v>17</v>
      </c>
      <c r="N746" s="1" t="s">
        <v>39</v>
      </c>
      <c r="O746" s="1">
        <v>40.737499999999997</v>
      </c>
      <c r="P746" s="1">
        <v>-74.099999999999994</v>
      </c>
      <c r="Q746" s="1" t="s">
        <v>2005</v>
      </c>
      <c r="R746" s="1" t="s">
        <v>41</v>
      </c>
      <c r="T746" s="1" t="s">
        <v>93</v>
      </c>
      <c r="U746" s="1" t="s">
        <v>44</v>
      </c>
      <c r="X746" s="1" t="s">
        <v>176</v>
      </c>
      <c r="AA746" s="3">
        <v>41034</v>
      </c>
      <c r="AB746" s="1" t="s">
        <v>46</v>
      </c>
      <c r="AC746" s="5">
        <v>490</v>
      </c>
      <c r="AD746" s="1" t="s">
        <v>2027</v>
      </c>
      <c r="AE746" s="1" t="str">
        <f t="shared" si="56"/>
        <v>2404 132</v>
      </c>
      <c r="AF746" s="5" t="str">
        <f t="shared" si="59"/>
        <v>49</v>
      </c>
      <c r="AG746" s="1" t="str">
        <f t="shared" si="55"/>
        <v>Y</v>
      </c>
    </row>
    <row r="747" spans="1:33" x14ac:dyDescent="0.2">
      <c r="A747" s="1" t="s">
        <v>1980</v>
      </c>
      <c r="B747" s="1" t="s">
        <v>2019</v>
      </c>
      <c r="C747" s="1">
        <v>2404</v>
      </c>
      <c r="D747" s="1">
        <v>133</v>
      </c>
      <c r="F747" s="1">
        <v>2023</v>
      </c>
      <c r="G747" s="1" t="s">
        <v>1515</v>
      </c>
      <c r="H747" s="1">
        <v>608054</v>
      </c>
      <c r="I747" s="1">
        <v>2</v>
      </c>
      <c r="K747" s="1" t="s">
        <v>2020</v>
      </c>
      <c r="L747" s="1" t="s">
        <v>2021</v>
      </c>
      <c r="M747" s="1">
        <v>17</v>
      </c>
      <c r="N747" s="1" t="s">
        <v>39</v>
      </c>
      <c r="O747" s="1">
        <v>40.737499999999997</v>
      </c>
      <c r="P747" s="1">
        <v>-74.099999999999994</v>
      </c>
      <c r="Q747" s="1" t="s">
        <v>2005</v>
      </c>
      <c r="R747" s="1" t="s">
        <v>41</v>
      </c>
      <c r="T747" s="1" t="s">
        <v>93</v>
      </c>
      <c r="U747" s="1" t="s">
        <v>44</v>
      </c>
      <c r="X747" s="1" t="s">
        <v>176</v>
      </c>
      <c r="AA747" s="3">
        <v>41038</v>
      </c>
      <c r="AB747" s="1" t="s">
        <v>46</v>
      </c>
      <c r="AC747" s="5">
        <v>490</v>
      </c>
      <c r="AD747" s="1" t="s">
        <v>2028</v>
      </c>
      <c r="AE747" s="1" t="str">
        <f t="shared" si="56"/>
        <v>2404 133</v>
      </c>
      <c r="AF747" s="5" t="str">
        <f t="shared" si="59"/>
        <v>49</v>
      </c>
      <c r="AG747" s="1" t="str">
        <f t="shared" si="55"/>
        <v>Y</v>
      </c>
    </row>
    <row r="748" spans="1:33" x14ac:dyDescent="0.2">
      <c r="A748" s="1" t="s">
        <v>1980</v>
      </c>
      <c r="B748" s="1" t="s">
        <v>2019</v>
      </c>
      <c r="C748" s="1">
        <v>2404</v>
      </c>
      <c r="D748" s="1">
        <v>134</v>
      </c>
      <c r="F748" s="1">
        <v>2023</v>
      </c>
      <c r="G748" s="1" t="s">
        <v>1515</v>
      </c>
      <c r="H748" s="1">
        <v>608054</v>
      </c>
      <c r="I748" s="1">
        <v>2</v>
      </c>
      <c r="K748" s="1" t="s">
        <v>2020</v>
      </c>
      <c r="L748" s="1" t="s">
        <v>2021</v>
      </c>
      <c r="M748" s="1">
        <v>17</v>
      </c>
      <c r="N748" s="1" t="s">
        <v>39</v>
      </c>
      <c r="O748" s="1">
        <v>40.737499999999997</v>
      </c>
      <c r="P748" s="1">
        <v>-74.099999999999994</v>
      </c>
      <c r="Q748" s="1" t="s">
        <v>2005</v>
      </c>
      <c r="R748" s="1" t="s">
        <v>41</v>
      </c>
      <c r="T748" s="1" t="s">
        <v>93</v>
      </c>
      <c r="U748" s="1" t="s">
        <v>44</v>
      </c>
      <c r="X748" s="1" t="s">
        <v>176</v>
      </c>
      <c r="AA748" s="3">
        <v>41043</v>
      </c>
      <c r="AB748" s="1" t="s">
        <v>46</v>
      </c>
      <c r="AC748" s="5">
        <v>490</v>
      </c>
      <c r="AD748" s="1" t="s">
        <v>2029</v>
      </c>
      <c r="AE748" s="1" t="str">
        <f t="shared" si="56"/>
        <v>2404 134</v>
      </c>
      <c r="AF748" s="5" t="str">
        <f t="shared" si="59"/>
        <v>49</v>
      </c>
      <c r="AG748" s="1" t="str">
        <f t="shared" si="55"/>
        <v>Y</v>
      </c>
    </row>
    <row r="749" spans="1:33" x14ac:dyDescent="0.2">
      <c r="A749" s="1" t="s">
        <v>1980</v>
      </c>
      <c r="B749" s="1" t="s">
        <v>2019</v>
      </c>
      <c r="C749" s="1">
        <v>2404</v>
      </c>
      <c r="D749" s="1">
        <v>141</v>
      </c>
      <c r="F749" s="1">
        <v>2023</v>
      </c>
      <c r="G749" s="1" t="s">
        <v>1515</v>
      </c>
      <c r="H749" s="1">
        <v>608054</v>
      </c>
      <c r="I749" s="1">
        <v>2</v>
      </c>
      <c r="K749" s="1" t="s">
        <v>2020</v>
      </c>
      <c r="L749" s="1" t="s">
        <v>2021</v>
      </c>
      <c r="M749" s="1">
        <v>17</v>
      </c>
      <c r="N749" s="1" t="s">
        <v>39</v>
      </c>
      <c r="O749" s="1">
        <v>40.737499999999997</v>
      </c>
      <c r="P749" s="1">
        <v>-74.099999999999994</v>
      </c>
      <c r="Q749" s="1" t="s">
        <v>2005</v>
      </c>
      <c r="R749" s="1" t="s">
        <v>41</v>
      </c>
      <c r="T749" s="1" t="s">
        <v>93</v>
      </c>
      <c r="U749" s="1" t="s">
        <v>44</v>
      </c>
      <c r="X749" s="1" t="s">
        <v>176</v>
      </c>
      <c r="AA749" s="3">
        <v>41004</v>
      </c>
      <c r="AB749" s="1" t="s">
        <v>46</v>
      </c>
      <c r="AC749" s="5">
        <v>490</v>
      </c>
      <c r="AD749" s="1" t="s">
        <v>2030</v>
      </c>
      <c r="AE749" s="1" t="str">
        <f t="shared" si="56"/>
        <v>2404 141</v>
      </c>
      <c r="AF749" s="5" t="str">
        <f t="shared" si="59"/>
        <v>49</v>
      </c>
      <c r="AG749" s="1" t="str">
        <f t="shared" si="55"/>
        <v>Y</v>
      </c>
    </row>
    <row r="750" spans="1:33" x14ac:dyDescent="0.2">
      <c r="A750" s="1" t="s">
        <v>1980</v>
      </c>
      <c r="B750" s="1" t="s">
        <v>2019</v>
      </c>
      <c r="C750" s="1">
        <v>2404</v>
      </c>
      <c r="D750" s="1">
        <v>142</v>
      </c>
      <c r="F750" s="1">
        <v>2023</v>
      </c>
      <c r="G750" s="1" t="s">
        <v>1515</v>
      </c>
      <c r="H750" s="1">
        <v>608054</v>
      </c>
      <c r="I750" s="1">
        <v>2</v>
      </c>
      <c r="K750" s="1" t="s">
        <v>2020</v>
      </c>
      <c r="L750" s="1" t="s">
        <v>2021</v>
      </c>
      <c r="M750" s="1">
        <v>17</v>
      </c>
      <c r="N750" s="1" t="s">
        <v>39</v>
      </c>
      <c r="O750" s="1">
        <v>40.737499999999997</v>
      </c>
      <c r="P750" s="1">
        <v>-74.099999999999994</v>
      </c>
      <c r="Q750" s="1" t="s">
        <v>2005</v>
      </c>
      <c r="R750" s="1" t="s">
        <v>41</v>
      </c>
      <c r="T750" s="1" t="s">
        <v>93</v>
      </c>
      <c r="U750" s="1" t="s">
        <v>44</v>
      </c>
      <c r="X750" s="1" t="s">
        <v>176</v>
      </c>
      <c r="AA750" s="3">
        <v>41011</v>
      </c>
      <c r="AB750" s="1" t="s">
        <v>46</v>
      </c>
      <c r="AC750" s="5">
        <v>490</v>
      </c>
      <c r="AD750" s="1" t="s">
        <v>2031</v>
      </c>
      <c r="AE750" s="1" t="str">
        <f t="shared" si="56"/>
        <v>2404 142</v>
      </c>
      <c r="AF750" s="5" t="str">
        <f t="shared" si="59"/>
        <v>49</v>
      </c>
      <c r="AG750" s="1" t="str">
        <f t="shared" si="55"/>
        <v>Y</v>
      </c>
    </row>
    <row r="751" spans="1:33" x14ac:dyDescent="0.2">
      <c r="A751" s="1" t="s">
        <v>1980</v>
      </c>
      <c r="B751" s="1" t="s">
        <v>2032</v>
      </c>
      <c r="C751" s="1">
        <v>2406</v>
      </c>
      <c r="D751" s="1">
        <v>5</v>
      </c>
      <c r="F751" s="1">
        <v>2023</v>
      </c>
      <c r="G751" s="1" t="s">
        <v>1515</v>
      </c>
      <c r="H751" s="1">
        <v>610290</v>
      </c>
      <c r="I751" s="1">
        <v>2</v>
      </c>
      <c r="J751" s="1" t="s">
        <v>668</v>
      </c>
      <c r="K751" s="1" t="s">
        <v>1249</v>
      </c>
      <c r="L751" s="1" t="s">
        <v>2033</v>
      </c>
      <c r="M751" s="1">
        <v>39</v>
      </c>
      <c r="N751" s="1" t="s">
        <v>39</v>
      </c>
      <c r="O751" s="1">
        <v>40.622500000000002</v>
      </c>
      <c r="P751" s="1">
        <v>-74.209699999999998</v>
      </c>
      <c r="Q751" s="1" t="s">
        <v>2034</v>
      </c>
      <c r="R751" s="1" t="s">
        <v>41</v>
      </c>
      <c r="T751" s="1" t="s">
        <v>93</v>
      </c>
      <c r="U751" s="1" t="s">
        <v>44</v>
      </c>
      <c r="V751" s="1" t="s">
        <v>94</v>
      </c>
      <c r="X751" s="1" t="s">
        <v>183</v>
      </c>
      <c r="AA751" s="3">
        <v>36461</v>
      </c>
      <c r="AB751" s="1" t="s">
        <v>46</v>
      </c>
      <c r="AC751" s="5">
        <v>1200</v>
      </c>
      <c r="AD751" s="1" t="s">
        <v>2035</v>
      </c>
      <c r="AE751" s="1" t="str">
        <f t="shared" si="56"/>
        <v>2406 5</v>
      </c>
      <c r="AF751" s="5" t="str">
        <f t="shared" si="59"/>
        <v>96.1</v>
      </c>
      <c r="AG751" s="1" t="str">
        <f t="shared" si="55"/>
        <v/>
      </c>
    </row>
    <row r="752" spans="1:33" x14ac:dyDescent="0.2">
      <c r="A752" s="1" t="s">
        <v>1980</v>
      </c>
      <c r="B752" s="1" t="s">
        <v>2032</v>
      </c>
      <c r="C752" s="1">
        <v>2406</v>
      </c>
      <c r="D752" s="1">
        <v>6</v>
      </c>
      <c r="F752" s="1">
        <v>2023</v>
      </c>
      <c r="G752" s="1" t="s">
        <v>1515</v>
      </c>
      <c r="H752" s="1">
        <v>610290</v>
      </c>
      <c r="I752" s="1">
        <v>2</v>
      </c>
      <c r="J752" s="1" t="s">
        <v>668</v>
      </c>
      <c r="K752" s="1" t="s">
        <v>1249</v>
      </c>
      <c r="L752" s="1" t="s">
        <v>2033</v>
      </c>
      <c r="M752" s="1">
        <v>39</v>
      </c>
      <c r="N752" s="1" t="s">
        <v>39</v>
      </c>
      <c r="O752" s="1">
        <v>40.622500000000002</v>
      </c>
      <c r="P752" s="1">
        <v>-74.209699999999998</v>
      </c>
      <c r="Q752" s="1" t="s">
        <v>2034</v>
      </c>
      <c r="R752" s="1" t="s">
        <v>41</v>
      </c>
      <c r="T752" s="1" t="s">
        <v>93</v>
      </c>
      <c r="U752" s="1" t="s">
        <v>44</v>
      </c>
      <c r="V752" s="1" t="s">
        <v>94</v>
      </c>
      <c r="X752" s="1" t="s">
        <v>183</v>
      </c>
      <c r="AA752" s="3">
        <v>36627</v>
      </c>
      <c r="AB752" s="1" t="s">
        <v>46</v>
      </c>
      <c r="AC752" s="5">
        <v>1200</v>
      </c>
      <c r="AD752" s="1" t="s">
        <v>2036</v>
      </c>
      <c r="AE752" s="1" t="str">
        <f t="shared" si="56"/>
        <v>2406 6</v>
      </c>
      <c r="AF752" s="5" t="str">
        <f t="shared" si="59"/>
        <v>96.1</v>
      </c>
      <c r="AG752" s="1" t="str">
        <f t="shared" si="55"/>
        <v/>
      </c>
    </row>
    <row r="753" spans="1:33" x14ac:dyDescent="0.2">
      <c r="A753" s="1" t="s">
        <v>1980</v>
      </c>
      <c r="B753" s="1" t="s">
        <v>2032</v>
      </c>
      <c r="C753" s="1">
        <v>2406</v>
      </c>
      <c r="D753" s="1">
        <v>7</v>
      </c>
      <c r="F753" s="1">
        <v>2023</v>
      </c>
      <c r="G753" s="1" t="s">
        <v>1515</v>
      </c>
      <c r="H753" s="1">
        <v>610290</v>
      </c>
      <c r="I753" s="1">
        <v>2</v>
      </c>
      <c r="J753" s="1" t="s">
        <v>668</v>
      </c>
      <c r="K753" s="1" t="s">
        <v>1249</v>
      </c>
      <c r="L753" s="1" t="s">
        <v>2033</v>
      </c>
      <c r="M753" s="1">
        <v>39</v>
      </c>
      <c r="N753" s="1" t="s">
        <v>39</v>
      </c>
      <c r="O753" s="1">
        <v>40.622500000000002</v>
      </c>
      <c r="P753" s="1">
        <v>-74.209699999999998</v>
      </c>
      <c r="Q753" s="1" t="s">
        <v>2034</v>
      </c>
      <c r="R753" s="1" t="s">
        <v>41</v>
      </c>
      <c r="T753" s="1" t="s">
        <v>93</v>
      </c>
      <c r="U753" s="1" t="s">
        <v>44</v>
      </c>
      <c r="V753" s="1" t="s">
        <v>94</v>
      </c>
      <c r="X753" s="1" t="s">
        <v>183</v>
      </c>
      <c r="AA753" s="3">
        <v>34851</v>
      </c>
      <c r="AB753" s="1" t="s">
        <v>46</v>
      </c>
      <c r="AC753" s="5">
        <v>1150</v>
      </c>
      <c r="AD753" s="1" t="s">
        <v>2037</v>
      </c>
      <c r="AE753" s="1" t="str">
        <f t="shared" si="56"/>
        <v>2406 7</v>
      </c>
      <c r="AF753" s="5" t="str">
        <f t="shared" si="59"/>
        <v>96.1</v>
      </c>
      <c r="AG753" s="1" t="str">
        <f t="shared" si="55"/>
        <v/>
      </c>
    </row>
    <row r="754" spans="1:33" x14ac:dyDescent="0.2">
      <c r="A754" s="1" t="s">
        <v>1980</v>
      </c>
      <c r="B754" s="1" t="s">
        <v>2032</v>
      </c>
      <c r="C754" s="1">
        <v>2406</v>
      </c>
      <c r="D754" s="1">
        <v>8</v>
      </c>
      <c r="F754" s="1">
        <v>2023</v>
      </c>
      <c r="G754" s="1" t="s">
        <v>1515</v>
      </c>
      <c r="H754" s="1">
        <v>610290</v>
      </c>
      <c r="I754" s="1">
        <v>2</v>
      </c>
      <c r="J754" s="1" t="s">
        <v>668</v>
      </c>
      <c r="K754" s="1" t="s">
        <v>1249</v>
      </c>
      <c r="L754" s="1" t="s">
        <v>2033</v>
      </c>
      <c r="M754" s="1">
        <v>39</v>
      </c>
      <c r="N754" s="1" t="s">
        <v>39</v>
      </c>
      <c r="O754" s="1">
        <v>40.622500000000002</v>
      </c>
      <c r="P754" s="1">
        <v>-74.209699999999998</v>
      </c>
      <c r="Q754" s="1" t="s">
        <v>2034</v>
      </c>
      <c r="R754" s="1" t="s">
        <v>41</v>
      </c>
      <c r="T754" s="1" t="s">
        <v>93</v>
      </c>
      <c r="U754" s="1" t="s">
        <v>44</v>
      </c>
      <c r="V754" s="1" t="s">
        <v>94</v>
      </c>
      <c r="X754" s="1" t="s">
        <v>183</v>
      </c>
      <c r="AA754" s="3">
        <v>34851</v>
      </c>
      <c r="AB754" s="1" t="s">
        <v>46</v>
      </c>
      <c r="AC754" s="5">
        <v>1150</v>
      </c>
      <c r="AD754" s="1" t="s">
        <v>2038</v>
      </c>
      <c r="AE754" s="1" t="str">
        <f t="shared" si="56"/>
        <v>2406 8</v>
      </c>
      <c r="AF754" s="5" t="str">
        <f t="shared" si="59"/>
        <v>96.1</v>
      </c>
      <c r="AG754" s="1" t="str">
        <f t="shared" si="55"/>
        <v/>
      </c>
    </row>
    <row r="755" spans="1:33" x14ac:dyDescent="0.2">
      <c r="A755" s="1" t="s">
        <v>1980</v>
      </c>
      <c r="B755" s="1" t="s">
        <v>2032</v>
      </c>
      <c r="C755" s="1">
        <v>2406</v>
      </c>
      <c r="D755" s="1">
        <v>1101</v>
      </c>
      <c r="F755" s="1">
        <v>2023</v>
      </c>
      <c r="G755" s="1" t="s">
        <v>1515</v>
      </c>
      <c r="H755" s="1">
        <v>610290</v>
      </c>
      <c r="I755" s="1">
        <v>2</v>
      </c>
      <c r="J755" s="1" t="s">
        <v>668</v>
      </c>
      <c r="K755" s="1" t="s">
        <v>1249</v>
      </c>
      <c r="L755" s="1" t="s">
        <v>2033</v>
      </c>
      <c r="M755" s="1">
        <v>39</v>
      </c>
      <c r="N755" s="1" t="s">
        <v>39</v>
      </c>
      <c r="O755" s="1">
        <v>40.622500000000002</v>
      </c>
      <c r="P755" s="1">
        <v>-74.209699999999998</v>
      </c>
      <c r="Q755" s="1" t="s">
        <v>2034</v>
      </c>
      <c r="R755" s="1" t="s">
        <v>41</v>
      </c>
      <c r="T755" s="1" t="s">
        <v>71</v>
      </c>
      <c r="U755" s="1" t="s">
        <v>44</v>
      </c>
      <c r="V755" s="1" t="s">
        <v>94</v>
      </c>
      <c r="X755" s="1" t="s">
        <v>643</v>
      </c>
      <c r="AA755" s="3">
        <v>38482</v>
      </c>
      <c r="AB755" s="1" t="s">
        <v>46</v>
      </c>
      <c r="AC755" s="5">
        <v>2650</v>
      </c>
      <c r="AD755" s="1" t="s">
        <v>2039</v>
      </c>
      <c r="AE755" s="1" t="str">
        <f t="shared" si="56"/>
        <v>2406 1101</v>
      </c>
      <c r="AF755" s="14">
        <f>AF756</f>
        <v>350.5</v>
      </c>
      <c r="AG755" s="1" t="str">
        <f t="shared" si="55"/>
        <v>Y</v>
      </c>
    </row>
    <row r="756" spans="1:33" x14ac:dyDescent="0.2">
      <c r="A756" s="1" t="s">
        <v>1980</v>
      </c>
      <c r="B756" s="1" t="s">
        <v>2032</v>
      </c>
      <c r="C756" s="1">
        <v>2406</v>
      </c>
      <c r="D756" s="1">
        <v>1201</v>
      </c>
      <c r="F756" s="1">
        <v>2023</v>
      </c>
      <c r="G756" s="1" t="s">
        <v>1515</v>
      </c>
      <c r="H756" s="1">
        <v>610290</v>
      </c>
      <c r="I756" s="1">
        <v>2</v>
      </c>
      <c r="J756" s="1" t="s">
        <v>668</v>
      </c>
      <c r="K756" s="1" t="s">
        <v>1249</v>
      </c>
      <c r="L756" s="1" t="s">
        <v>2033</v>
      </c>
      <c r="M756" s="1">
        <v>39</v>
      </c>
      <c r="N756" s="1" t="s">
        <v>39</v>
      </c>
      <c r="O756" s="1">
        <v>40.622500000000002</v>
      </c>
      <c r="P756" s="1">
        <v>-74.209699999999998</v>
      </c>
      <c r="Q756" s="1" t="s">
        <v>2034</v>
      </c>
      <c r="R756" s="1" t="s">
        <v>41</v>
      </c>
      <c r="T756" s="1" t="s">
        <v>71</v>
      </c>
      <c r="U756" s="1" t="s">
        <v>44</v>
      </c>
      <c r="V756" s="1" t="s">
        <v>94</v>
      </c>
      <c r="X756" s="1" t="s">
        <v>643</v>
      </c>
      <c r="AA756" s="3">
        <v>38483</v>
      </c>
      <c r="AB756" s="1" t="s">
        <v>46</v>
      </c>
      <c r="AC756" s="5">
        <v>2650</v>
      </c>
      <c r="AD756" s="1" t="s">
        <v>2040</v>
      </c>
      <c r="AE756" s="1" t="str">
        <f t="shared" si="56"/>
        <v>2406 1201</v>
      </c>
      <c r="AF756" s="14">
        <f>MID(AD756,FIND("(",AD756)+1,FIND(")",AD756)-FIND("(",AD756)-1)+315/2</f>
        <v>350.5</v>
      </c>
      <c r="AG756" s="1" t="str">
        <f t="shared" si="55"/>
        <v>Y</v>
      </c>
    </row>
    <row r="757" spans="1:33" x14ac:dyDescent="0.2">
      <c r="A757" s="1" t="s">
        <v>1980</v>
      </c>
      <c r="B757" s="1" t="s">
        <v>2032</v>
      </c>
      <c r="C757" s="1">
        <v>2406</v>
      </c>
      <c r="D757" s="1">
        <v>2101</v>
      </c>
      <c r="F757" s="1">
        <v>2023</v>
      </c>
      <c r="G757" s="1" t="s">
        <v>1515</v>
      </c>
      <c r="H757" s="1">
        <v>610290</v>
      </c>
      <c r="I757" s="1">
        <v>2</v>
      </c>
      <c r="J757" s="1" t="s">
        <v>668</v>
      </c>
      <c r="K757" s="1" t="s">
        <v>1249</v>
      </c>
      <c r="L757" s="1" t="s">
        <v>2033</v>
      </c>
      <c r="M757" s="1">
        <v>39</v>
      </c>
      <c r="N757" s="1" t="s">
        <v>39</v>
      </c>
      <c r="O757" s="1">
        <v>40.622500000000002</v>
      </c>
      <c r="P757" s="1">
        <v>-74.209699999999998</v>
      </c>
      <c r="Q757" s="1" t="s">
        <v>2034</v>
      </c>
      <c r="R757" s="1" t="s">
        <v>41</v>
      </c>
      <c r="T757" s="1" t="s">
        <v>71</v>
      </c>
      <c r="U757" s="1" t="s">
        <v>44</v>
      </c>
      <c r="V757" s="1" t="s">
        <v>94</v>
      </c>
      <c r="X757" s="1" t="s">
        <v>643</v>
      </c>
      <c r="AA757" s="3">
        <v>38534</v>
      </c>
      <c r="AB757" s="1" t="s">
        <v>46</v>
      </c>
      <c r="AC757" s="5">
        <v>2650</v>
      </c>
      <c r="AD757" s="1" t="s">
        <v>2041</v>
      </c>
      <c r="AE757" s="1" t="str">
        <f t="shared" si="56"/>
        <v>2406 2101</v>
      </c>
      <c r="AF757" s="14">
        <f>MID(AD757,FIND("(",AD757)+1,FIND(")",AD757)-FIND("(",AD757)-1)+315/2</f>
        <v>350.5</v>
      </c>
      <c r="AG757" s="1" t="str">
        <f t="shared" si="55"/>
        <v>Y</v>
      </c>
    </row>
    <row r="758" spans="1:33" x14ac:dyDescent="0.2">
      <c r="A758" s="1" t="s">
        <v>1980</v>
      </c>
      <c r="B758" s="1" t="s">
        <v>2032</v>
      </c>
      <c r="C758" s="1">
        <v>2406</v>
      </c>
      <c r="D758" s="1">
        <v>2201</v>
      </c>
      <c r="F758" s="1">
        <v>2023</v>
      </c>
      <c r="G758" s="1" t="s">
        <v>1515</v>
      </c>
      <c r="H758" s="1">
        <v>610290</v>
      </c>
      <c r="I758" s="1">
        <v>2</v>
      </c>
      <c r="J758" s="1" t="s">
        <v>668</v>
      </c>
      <c r="K758" s="1" t="s">
        <v>1249</v>
      </c>
      <c r="L758" s="1" t="s">
        <v>2033</v>
      </c>
      <c r="M758" s="1">
        <v>39</v>
      </c>
      <c r="N758" s="1" t="s">
        <v>39</v>
      </c>
      <c r="O758" s="1">
        <v>40.622500000000002</v>
      </c>
      <c r="P758" s="1">
        <v>-74.209699999999998</v>
      </c>
      <c r="Q758" s="1" t="s">
        <v>2034</v>
      </c>
      <c r="R758" s="1" t="s">
        <v>41</v>
      </c>
      <c r="T758" s="1" t="s">
        <v>71</v>
      </c>
      <c r="U758" s="1" t="s">
        <v>44</v>
      </c>
      <c r="V758" s="1" t="s">
        <v>94</v>
      </c>
      <c r="X758" s="1" t="s">
        <v>643</v>
      </c>
      <c r="AA758" s="3">
        <v>38534</v>
      </c>
      <c r="AB758" s="1" t="s">
        <v>46</v>
      </c>
      <c r="AC758" s="5">
        <v>2650</v>
      </c>
      <c r="AD758" s="1" t="s">
        <v>2042</v>
      </c>
      <c r="AE758" s="1" t="str">
        <f t="shared" si="56"/>
        <v>2406 2201</v>
      </c>
      <c r="AF758" s="14">
        <f>AF757</f>
        <v>350.5</v>
      </c>
      <c r="AG758" s="1" t="str">
        <f t="shared" si="55"/>
        <v>Y</v>
      </c>
    </row>
    <row r="759" spans="1:33" x14ac:dyDescent="0.2">
      <c r="A759" s="1" t="s">
        <v>1980</v>
      </c>
      <c r="B759" s="1" t="s">
        <v>2043</v>
      </c>
      <c r="C759" s="1">
        <v>2410</v>
      </c>
      <c r="D759" s="1">
        <v>2001</v>
      </c>
      <c r="F759" s="1">
        <v>2023</v>
      </c>
      <c r="G759" s="1" t="s">
        <v>1020</v>
      </c>
      <c r="H759" s="1">
        <v>610403</v>
      </c>
      <c r="I759" s="1">
        <v>2</v>
      </c>
      <c r="K759" s="1" t="s">
        <v>2044</v>
      </c>
      <c r="L759" s="1" t="s">
        <v>2045</v>
      </c>
      <c r="M759" s="1">
        <v>33</v>
      </c>
      <c r="N759" s="1" t="s">
        <v>39</v>
      </c>
      <c r="O759" s="1">
        <v>39.462499999999999</v>
      </c>
      <c r="P759" s="1">
        <v>-75.533299999999997</v>
      </c>
      <c r="Q759" s="1" t="s">
        <v>2046</v>
      </c>
      <c r="T759" s="1" t="s">
        <v>93</v>
      </c>
      <c r="U759" s="1" t="s">
        <v>94</v>
      </c>
      <c r="AA759" s="3">
        <v>26101</v>
      </c>
      <c r="AB759" s="1" t="s">
        <v>46</v>
      </c>
      <c r="AC759" s="5">
        <v>810</v>
      </c>
      <c r="AD759" s="1" t="s">
        <v>2047</v>
      </c>
      <c r="AE759" s="1" t="str">
        <f t="shared" si="56"/>
        <v>2410 2001</v>
      </c>
      <c r="AF759" s="5" t="str">
        <f>MID(AD759,FIND("(",AD759)+1,FIND(")",AD759)-FIND("(",AD759)-1)</f>
        <v>41.9</v>
      </c>
      <c r="AG759" s="1" t="str">
        <f t="shared" si="55"/>
        <v/>
      </c>
    </row>
    <row r="760" spans="1:33" x14ac:dyDescent="0.2">
      <c r="A760" s="1" t="s">
        <v>1980</v>
      </c>
      <c r="B760" s="1" t="s">
        <v>2048</v>
      </c>
      <c r="C760" s="1">
        <v>2411</v>
      </c>
      <c r="D760" s="1">
        <v>7</v>
      </c>
      <c r="F760" s="1">
        <v>2023</v>
      </c>
      <c r="G760" s="1" t="s">
        <v>1515</v>
      </c>
      <c r="H760" s="1">
        <v>610072</v>
      </c>
      <c r="I760" s="1">
        <v>2</v>
      </c>
      <c r="J760" s="1" t="s">
        <v>668</v>
      </c>
      <c r="K760" s="1" t="s">
        <v>601</v>
      </c>
      <c r="L760" s="1" t="s">
        <v>1987</v>
      </c>
      <c r="M760" s="1">
        <v>23</v>
      </c>
      <c r="N760" s="1" t="s">
        <v>39</v>
      </c>
      <c r="O760" s="1">
        <v>40.556399999999996</v>
      </c>
      <c r="P760" s="1">
        <v>-74.246099999999998</v>
      </c>
      <c r="Q760" s="1" t="s">
        <v>2049</v>
      </c>
      <c r="R760" s="1" t="s">
        <v>41</v>
      </c>
      <c r="T760" s="1" t="s">
        <v>71</v>
      </c>
      <c r="U760" s="1" t="s">
        <v>44</v>
      </c>
      <c r="V760" s="1" t="s">
        <v>94</v>
      </c>
      <c r="X760" s="1" t="s">
        <v>64</v>
      </c>
      <c r="AA760" s="3">
        <v>43217</v>
      </c>
      <c r="AB760" s="1" t="s">
        <v>46</v>
      </c>
      <c r="AC760" s="5">
        <v>4182</v>
      </c>
      <c r="AD760" s="1" t="s">
        <v>2050</v>
      </c>
      <c r="AE760" s="1" t="str">
        <f t="shared" si="56"/>
        <v>2411 7</v>
      </c>
      <c r="AF760" s="14">
        <f>MID(AD760,FIND("(",AD760)+1,FIND(")",AD760)-FIND("(",AD760)-1)+430</f>
        <v>717</v>
      </c>
      <c r="AG760" s="1" t="str">
        <f t="shared" si="55"/>
        <v>Y</v>
      </c>
    </row>
    <row r="761" spans="1:33" x14ac:dyDescent="0.2">
      <c r="A761" s="1" t="s">
        <v>1980</v>
      </c>
      <c r="B761" s="1" t="s">
        <v>2051</v>
      </c>
      <c r="C761" s="1">
        <v>2434</v>
      </c>
      <c r="D761" s="1" t="s">
        <v>2052</v>
      </c>
      <c r="F761" s="1">
        <v>2023</v>
      </c>
      <c r="G761" s="1" t="s">
        <v>1515</v>
      </c>
      <c r="H761" s="1">
        <v>609493</v>
      </c>
      <c r="I761" s="1">
        <v>2</v>
      </c>
      <c r="J761" s="1" t="s">
        <v>668</v>
      </c>
      <c r="K761" s="1" t="s">
        <v>1158</v>
      </c>
      <c r="L761" s="1" t="s">
        <v>1982</v>
      </c>
      <c r="M761" s="1">
        <v>11</v>
      </c>
      <c r="N761" s="1" t="s">
        <v>39</v>
      </c>
      <c r="O761" s="1">
        <v>39.488900000000001</v>
      </c>
      <c r="P761" s="1">
        <v>-75.034700000000001</v>
      </c>
      <c r="Q761" s="1" t="s">
        <v>2053</v>
      </c>
      <c r="R761" s="1" t="s">
        <v>41</v>
      </c>
      <c r="T761" s="1" t="s">
        <v>93</v>
      </c>
      <c r="U761" s="1" t="s">
        <v>284</v>
      </c>
      <c r="V761" s="1" t="s">
        <v>94</v>
      </c>
      <c r="X761" s="1" t="s">
        <v>176</v>
      </c>
      <c r="AA761" s="3">
        <v>41004</v>
      </c>
      <c r="AB761" s="1" t="s">
        <v>46</v>
      </c>
      <c r="AC761" s="5">
        <v>610</v>
      </c>
      <c r="AD761" s="1" t="s">
        <v>1764</v>
      </c>
      <c r="AE761" s="1" t="str">
        <f t="shared" si="56"/>
        <v>2434 U11</v>
      </c>
      <c r="AF761" s="5" t="str">
        <f t="shared" ref="AF761:AF779" si="60">MID(AD761,FIND("(",AD761)+1,FIND(")",AD761)-FIND("(",AD761)-1)</f>
        <v>64</v>
      </c>
      <c r="AG761" s="1" t="str">
        <f t="shared" si="55"/>
        <v>Y</v>
      </c>
    </row>
    <row r="762" spans="1:33" x14ac:dyDescent="0.2">
      <c r="A762" s="1" t="s">
        <v>2054</v>
      </c>
      <c r="B762" s="1" t="s">
        <v>2055</v>
      </c>
      <c r="C762" s="1">
        <v>2442</v>
      </c>
      <c r="D762" s="1">
        <v>4</v>
      </c>
      <c r="F762" s="1">
        <v>2023</v>
      </c>
      <c r="G762" s="1" t="s">
        <v>236</v>
      </c>
      <c r="H762" s="1" t="s">
        <v>2056</v>
      </c>
      <c r="I762" s="1">
        <v>6</v>
      </c>
      <c r="K762" s="1" t="s">
        <v>2057</v>
      </c>
      <c r="L762" s="1" t="s">
        <v>2058</v>
      </c>
      <c r="M762" s="1">
        <v>45</v>
      </c>
      <c r="N762" s="1" t="s">
        <v>39</v>
      </c>
      <c r="O762" s="1">
        <v>36.69</v>
      </c>
      <c r="P762" s="1">
        <v>-108.48139999999999</v>
      </c>
      <c r="Q762" s="1" t="s">
        <v>2059</v>
      </c>
      <c r="R762" s="1" t="s">
        <v>41</v>
      </c>
      <c r="S762" s="1" t="s">
        <v>85</v>
      </c>
      <c r="T762" s="1" t="s">
        <v>86</v>
      </c>
      <c r="U762" s="1" t="s">
        <v>55</v>
      </c>
      <c r="W762" s="1" t="s">
        <v>241</v>
      </c>
      <c r="X762" s="1" t="s">
        <v>1633</v>
      </c>
      <c r="Y762" s="1" t="s">
        <v>232</v>
      </c>
      <c r="AA762" s="3">
        <v>25384</v>
      </c>
      <c r="AB762" s="1" t="s">
        <v>46</v>
      </c>
      <c r="AC762" s="5">
        <v>8612</v>
      </c>
      <c r="AD762" s="1" t="s">
        <v>2060</v>
      </c>
      <c r="AE762" s="1" t="str">
        <f t="shared" si="56"/>
        <v>2442 4</v>
      </c>
      <c r="AF762" s="5" t="str">
        <f t="shared" si="60"/>
        <v>825</v>
      </c>
      <c r="AG762" s="1" t="str">
        <f t="shared" si="55"/>
        <v>Y</v>
      </c>
    </row>
    <row r="763" spans="1:33" x14ac:dyDescent="0.2">
      <c r="A763" s="1" t="s">
        <v>2054</v>
      </c>
      <c r="B763" s="1" t="s">
        <v>2055</v>
      </c>
      <c r="C763" s="1">
        <v>2442</v>
      </c>
      <c r="D763" s="1">
        <v>5</v>
      </c>
      <c r="F763" s="1">
        <v>2023</v>
      </c>
      <c r="G763" s="1" t="s">
        <v>236</v>
      </c>
      <c r="H763" s="1" t="s">
        <v>2056</v>
      </c>
      <c r="I763" s="1">
        <v>6</v>
      </c>
      <c r="K763" s="1" t="s">
        <v>2057</v>
      </c>
      <c r="L763" s="1" t="s">
        <v>2058</v>
      </c>
      <c r="M763" s="1">
        <v>45</v>
      </c>
      <c r="N763" s="1" t="s">
        <v>39</v>
      </c>
      <c r="O763" s="1">
        <v>36.69</v>
      </c>
      <c r="P763" s="1">
        <v>-108.48139999999999</v>
      </c>
      <c r="Q763" s="1" t="s">
        <v>2059</v>
      </c>
      <c r="R763" s="1" t="s">
        <v>41</v>
      </c>
      <c r="S763" s="1" t="s">
        <v>85</v>
      </c>
      <c r="T763" s="1" t="s">
        <v>86</v>
      </c>
      <c r="U763" s="1" t="s">
        <v>55</v>
      </c>
      <c r="W763" s="1" t="s">
        <v>241</v>
      </c>
      <c r="X763" s="1" t="s">
        <v>1633</v>
      </c>
      <c r="Y763" s="1" t="s">
        <v>232</v>
      </c>
      <c r="AA763" s="3">
        <v>25689</v>
      </c>
      <c r="AB763" s="1" t="s">
        <v>46</v>
      </c>
      <c r="AC763" s="5">
        <v>8612</v>
      </c>
      <c r="AD763" s="1" t="s">
        <v>2061</v>
      </c>
      <c r="AE763" s="1" t="str">
        <f t="shared" si="56"/>
        <v>2442 5</v>
      </c>
      <c r="AF763" s="5" t="str">
        <f t="shared" si="60"/>
        <v>825</v>
      </c>
      <c r="AG763" s="1" t="str">
        <f t="shared" si="55"/>
        <v>Y</v>
      </c>
    </row>
    <row r="764" spans="1:33" x14ac:dyDescent="0.2">
      <c r="A764" s="1" t="s">
        <v>2054</v>
      </c>
      <c r="B764" s="1" t="s">
        <v>2062</v>
      </c>
      <c r="C764" s="1">
        <v>2444</v>
      </c>
      <c r="D764" s="1">
        <v>6</v>
      </c>
      <c r="F764" s="1">
        <v>2023</v>
      </c>
      <c r="G764" s="1" t="s">
        <v>247</v>
      </c>
      <c r="H764" s="1">
        <v>610284</v>
      </c>
      <c r="I764" s="1">
        <v>6</v>
      </c>
      <c r="J764" s="1" t="s">
        <v>237</v>
      </c>
      <c r="K764" s="1" t="s">
        <v>2063</v>
      </c>
      <c r="L764" s="1" t="s">
        <v>2064</v>
      </c>
      <c r="M764" s="1">
        <v>13</v>
      </c>
      <c r="N764" s="1" t="s">
        <v>39</v>
      </c>
      <c r="O764" s="1">
        <v>31.8047</v>
      </c>
      <c r="P764" s="1">
        <v>-106.5472</v>
      </c>
      <c r="Q764" s="1" t="s">
        <v>2065</v>
      </c>
      <c r="R764" s="1" t="s">
        <v>41</v>
      </c>
      <c r="T764" s="1" t="s">
        <v>89</v>
      </c>
      <c r="U764" s="1" t="s">
        <v>44</v>
      </c>
      <c r="V764" s="1" t="s">
        <v>94</v>
      </c>
      <c r="AA764" s="3">
        <v>20821</v>
      </c>
      <c r="AB764" s="1" t="s">
        <v>46</v>
      </c>
      <c r="AC764" s="5">
        <v>610</v>
      </c>
      <c r="AD764" s="1" t="s">
        <v>1979</v>
      </c>
      <c r="AE764" s="1" t="str">
        <f t="shared" si="56"/>
        <v>2444 6</v>
      </c>
      <c r="AF764" s="5" t="str">
        <f t="shared" si="60"/>
        <v>50</v>
      </c>
      <c r="AG764" s="1" t="str">
        <f t="shared" si="55"/>
        <v/>
      </c>
    </row>
    <row r="765" spans="1:33" x14ac:dyDescent="0.2">
      <c r="A765" s="1" t="s">
        <v>2054</v>
      </c>
      <c r="B765" s="1" t="s">
        <v>2062</v>
      </c>
      <c r="C765" s="1">
        <v>2444</v>
      </c>
      <c r="D765" s="1">
        <v>7</v>
      </c>
      <c r="F765" s="1">
        <v>2023</v>
      </c>
      <c r="G765" s="1" t="s">
        <v>247</v>
      </c>
      <c r="H765" s="1">
        <v>610284</v>
      </c>
      <c r="I765" s="1">
        <v>6</v>
      </c>
      <c r="J765" s="1" t="s">
        <v>237</v>
      </c>
      <c r="K765" s="1" t="s">
        <v>2063</v>
      </c>
      <c r="L765" s="1" t="s">
        <v>2064</v>
      </c>
      <c r="M765" s="1">
        <v>13</v>
      </c>
      <c r="N765" s="1" t="s">
        <v>39</v>
      </c>
      <c r="O765" s="1">
        <v>31.8047</v>
      </c>
      <c r="P765" s="1">
        <v>-106.5472</v>
      </c>
      <c r="Q765" s="1" t="s">
        <v>2065</v>
      </c>
      <c r="R765" s="1" t="s">
        <v>41</v>
      </c>
      <c r="T765" s="1" t="s">
        <v>89</v>
      </c>
      <c r="U765" s="1" t="s">
        <v>44</v>
      </c>
      <c r="V765" s="1" t="s">
        <v>94</v>
      </c>
      <c r="AA765" s="3">
        <v>21186</v>
      </c>
      <c r="AB765" s="1" t="s">
        <v>46</v>
      </c>
      <c r="AC765" s="5">
        <v>615</v>
      </c>
      <c r="AD765" s="1" t="s">
        <v>2066</v>
      </c>
      <c r="AE765" s="1" t="str">
        <f t="shared" si="56"/>
        <v>2444 7</v>
      </c>
      <c r="AF765" s="5" t="str">
        <f t="shared" si="60"/>
        <v>50</v>
      </c>
      <c r="AG765" s="1" t="str">
        <f t="shared" si="55"/>
        <v/>
      </c>
    </row>
    <row r="766" spans="1:33" x14ac:dyDescent="0.2">
      <c r="A766" s="1" t="s">
        <v>2054</v>
      </c>
      <c r="B766" s="1" t="s">
        <v>2062</v>
      </c>
      <c r="C766" s="1">
        <v>2444</v>
      </c>
      <c r="D766" s="1">
        <v>8</v>
      </c>
      <c r="F766" s="1">
        <v>2023</v>
      </c>
      <c r="G766" s="1" t="s">
        <v>247</v>
      </c>
      <c r="H766" s="1">
        <v>610284</v>
      </c>
      <c r="I766" s="1">
        <v>6</v>
      </c>
      <c r="J766" s="1" t="s">
        <v>237</v>
      </c>
      <c r="K766" s="1" t="s">
        <v>2063</v>
      </c>
      <c r="L766" s="1" t="s">
        <v>2064</v>
      </c>
      <c r="M766" s="1">
        <v>13</v>
      </c>
      <c r="N766" s="1" t="s">
        <v>39</v>
      </c>
      <c r="O766" s="1">
        <v>31.8047</v>
      </c>
      <c r="P766" s="1">
        <v>-106.5472</v>
      </c>
      <c r="Q766" s="1" t="s">
        <v>2065</v>
      </c>
      <c r="R766" s="1" t="s">
        <v>41</v>
      </c>
      <c r="T766" s="1" t="s">
        <v>89</v>
      </c>
      <c r="U766" s="1" t="s">
        <v>44</v>
      </c>
      <c r="V766" s="1" t="s">
        <v>94</v>
      </c>
      <c r="AA766" s="3">
        <v>24838</v>
      </c>
      <c r="AB766" s="1" t="s">
        <v>46</v>
      </c>
      <c r="AC766" s="5">
        <v>1569</v>
      </c>
      <c r="AD766" s="1" t="s">
        <v>2067</v>
      </c>
      <c r="AE766" s="1" t="str">
        <f t="shared" si="56"/>
        <v>2444 8</v>
      </c>
      <c r="AF766" s="5" t="str">
        <f t="shared" si="60"/>
        <v>166.5</v>
      </c>
      <c r="AG766" s="1" t="str">
        <f t="shared" si="55"/>
        <v/>
      </c>
    </row>
    <row r="767" spans="1:33" x14ac:dyDescent="0.2">
      <c r="A767" s="1" t="s">
        <v>2054</v>
      </c>
      <c r="B767" s="1" t="s">
        <v>2062</v>
      </c>
      <c r="C767" s="1">
        <v>2444</v>
      </c>
      <c r="D767" s="1">
        <v>9</v>
      </c>
      <c r="F767" s="1">
        <v>2023</v>
      </c>
      <c r="G767" s="1" t="s">
        <v>247</v>
      </c>
      <c r="H767" s="1">
        <v>610284</v>
      </c>
      <c r="I767" s="1">
        <v>6</v>
      </c>
      <c r="J767" s="1" t="s">
        <v>237</v>
      </c>
      <c r="K767" s="1" t="s">
        <v>2063</v>
      </c>
      <c r="L767" s="1" t="s">
        <v>2064</v>
      </c>
      <c r="M767" s="1">
        <v>13</v>
      </c>
      <c r="N767" s="1" t="s">
        <v>39</v>
      </c>
      <c r="O767" s="1">
        <v>31.8047</v>
      </c>
      <c r="P767" s="1">
        <v>-106.5472</v>
      </c>
      <c r="Q767" s="1" t="s">
        <v>2065</v>
      </c>
      <c r="R767" s="1" t="s">
        <v>41</v>
      </c>
      <c r="T767" s="1" t="s">
        <v>93</v>
      </c>
      <c r="U767" s="1" t="s">
        <v>44</v>
      </c>
      <c r="X767" s="1" t="s">
        <v>64</v>
      </c>
      <c r="AA767" s="3">
        <v>41381</v>
      </c>
      <c r="AB767" s="1" t="s">
        <v>46</v>
      </c>
      <c r="AC767" s="5">
        <v>888.1</v>
      </c>
      <c r="AD767" s="1" t="s">
        <v>2068</v>
      </c>
      <c r="AE767" s="1" t="str">
        <f t="shared" si="56"/>
        <v>2444 9</v>
      </c>
      <c r="AF767" s="5" t="str">
        <f t="shared" si="60"/>
        <v>106</v>
      </c>
      <c r="AG767" s="1" t="str">
        <f t="shared" si="55"/>
        <v>Y</v>
      </c>
    </row>
    <row r="768" spans="1:33" x14ac:dyDescent="0.2">
      <c r="A768" s="1" t="s">
        <v>2054</v>
      </c>
      <c r="B768" s="1" t="s">
        <v>2069</v>
      </c>
      <c r="C768" s="1">
        <v>2446</v>
      </c>
      <c r="D768" s="1" t="s">
        <v>2070</v>
      </c>
      <c r="F768" s="1">
        <v>2023</v>
      </c>
      <c r="G768" s="1" t="s">
        <v>247</v>
      </c>
      <c r="H768" s="1">
        <v>606233</v>
      </c>
      <c r="I768" s="1">
        <v>6</v>
      </c>
      <c r="J768" s="1" t="s">
        <v>228</v>
      </c>
      <c r="K768" s="1" t="s">
        <v>2071</v>
      </c>
      <c r="L768" s="1" t="s">
        <v>2072</v>
      </c>
      <c r="M768" s="1">
        <v>25</v>
      </c>
      <c r="N768" s="1" t="s">
        <v>39</v>
      </c>
      <c r="O768" s="1">
        <v>32.713099999999997</v>
      </c>
      <c r="P768" s="1">
        <v>-103.31</v>
      </c>
      <c r="Q768" s="1" t="s">
        <v>2073</v>
      </c>
      <c r="R768" s="1" t="s">
        <v>41</v>
      </c>
      <c r="T768" s="1" t="s">
        <v>43</v>
      </c>
      <c r="U768" s="1" t="s">
        <v>44</v>
      </c>
      <c r="X768" s="1" t="s">
        <v>220</v>
      </c>
      <c r="AA768" s="3">
        <v>24654</v>
      </c>
      <c r="AB768" s="1" t="s">
        <v>46</v>
      </c>
      <c r="AC768" s="5">
        <v>2155</v>
      </c>
      <c r="AD768" s="1" t="s">
        <v>2074</v>
      </c>
      <c r="AE768" s="1" t="str">
        <f t="shared" si="56"/>
        <v>2446 051B</v>
      </c>
      <c r="AF768" s="5" t="str">
        <f t="shared" si="60"/>
        <v>114</v>
      </c>
      <c r="AG768" s="1" t="str">
        <f t="shared" si="55"/>
        <v/>
      </c>
    </row>
    <row r="769" spans="1:33" x14ac:dyDescent="0.2">
      <c r="A769" s="1" t="s">
        <v>2054</v>
      </c>
      <c r="B769" s="1" t="s">
        <v>2075</v>
      </c>
      <c r="C769" s="1">
        <v>2450</v>
      </c>
      <c r="D769" s="1">
        <v>1</v>
      </c>
      <c r="F769" s="1">
        <v>2023</v>
      </c>
      <c r="G769" s="1" t="s">
        <v>247</v>
      </c>
      <c r="H769" s="1">
        <v>608871</v>
      </c>
      <c r="I769" s="1">
        <v>6</v>
      </c>
      <c r="J769" s="1" t="s">
        <v>237</v>
      </c>
      <c r="K769" s="1" t="s">
        <v>2076</v>
      </c>
      <c r="L769" s="1" t="s">
        <v>2077</v>
      </c>
      <c r="M769" s="1">
        <v>1</v>
      </c>
      <c r="N769" s="1" t="s">
        <v>39</v>
      </c>
      <c r="O769" s="1">
        <v>35.171599999999998</v>
      </c>
      <c r="P769" s="1">
        <v>-106.6019</v>
      </c>
      <c r="Q769" s="1" t="s">
        <v>2078</v>
      </c>
      <c r="R769" s="1" t="s">
        <v>41</v>
      </c>
      <c r="T769" s="1" t="s">
        <v>89</v>
      </c>
      <c r="U769" s="1" t="s">
        <v>44</v>
      </c>
      <c r="AA769" s="3">
        <v>22190</v>
      </c>
      <c r="AB769" s="1" t="s">
        <v>46</v>
      </c>
      <c r="AC769" s="5">
        <v>623.4</v>
      </c>
      <c r="AD769" s="1" t="s">
        <v>2079</v>
      </c>
      <c r="AE769" s="1" t="str">
        <f t="shared" si="56"/>
        <v>2450 1</v>
      </c>
      <c r="AF769" s="5" t="str">
        <f t="shared" si="60"/>
        <v>52</v>
      </c>
      <c r="AG769" s="1" t="str">
        <f t="shared" si="55"/>
        <v/>
      </c>
    </row>
    <row r="770" spans="1:33" x14ac:dyDescent="0.2">
      <c r="A770" s="1" t="s">
        <v>2054</v>
      </c>
      <c r="B770" s="1" t="s">
        <v>2075</v>
      </c>
      <c r="C770" s="1">
        <v>2450</v>
      </c>
      <c r="D770" s="1">
        <v>2</v>
      </c>
      <c r="F770" s="1">
        <v>2023</v>
      </c>
      <c r="G770" s="1" t="s">
        <v>247</v>
      </c>
      <c r="H770" s="1">
        <v>608871</v>
      </c>
      <c r="I770" s="1">
        <v>6</v>
      </c>
      <c r="J770" s="1" t="s">
        <v>237</v>
      </c>
      <c r="K770" s="1" t="s">
        <v>2076</v>
      </c>
      <c r="L770" s="1" t="s">
        <v>2077</v>
      </c>
      <c r="M770" s="1">
        <v>1</v>
      </c>
      <c r="N770" s="1" t="s">
        <v>39</v>
      </c>
      <c r="O770" s="1">
        <v>35.171599999999998</v>
      </c>
      <c r="P770" s="1">
        <v>-106.6019</v>
      </c>
      <c r="Q770" s="1" t="s">
        <v>2078</v>
      </c>
      <c r="R770" s="1" t="s">
        <v>41</v>
      </c>
      <c r="T770" s="1" t="s">
        <v>89</v>
      </c>
      <c r="U770" s="1" t="s">
        <v>44</v>
      </c>
      <c r="AA770" s="3">
        <v>21459</v>
      </c>
      <c r="AB770" s="1" t="s">
        <v>46</v>
      </c>
      <c r="AC770" s="5">
        <v>623.4</v>
      </c>
      <c r="AD770" s="1" t="s">
        <v>2080</v>
      </c>
      <c r="AE770" s="1" t="str">
        <f t="shared" si="56"/>
        <v>2450 2</v>
      </c>
      <c r="AF770" s="5" t="str">
        <f t="shared" si="60"/>
        <v>52</v>
      </c>
      <c r="AG770" s="1" t="str">
        <f t="shared" ref="AG770:AG833" si="61">IF(ISNUMBER(SEARCH("selective", X770)), "Y", "")</f>
        <v/>
      </c>
    </row>
    <row r="771" spans="1:33" x14ac:dyDescent="0.2">
      <c r="A771" s="1" t="s">
        <v>2054</v>
      </c>
      <c r="B771" s="1" t="s">
        <v>2075</v>
      </c>
      <c r="C771" s="1">
        <v>2450</v>
      </c>
      <c r="D771" s="1">
        <v>3</v>
      </c>
      <c r="F771" s="1">
        <v>2023</v>
      </c>
      <c r="G771" s="1" t="s">
        <v>247</v>
      </c>
      <c r="H771" s="1">
        <v>608871</v>
      </c>
      <c r="I771" s="1">
        <v>6</v>
      </c>
      <c r="J771" s="1" t="s">
        <v>237</v>
      </c>
      <c r="K771" s="1" t="s">
        <v>2076</v>
      </c>
      <c r="L771" s="1" t="s">
        <v>2077</v>
      </c>
      <c r="M771" s="1">
        <v>1</v>
      </c>
      <c r="N771" s="1" t="s">
        <v>39</v>
      </c>
      <c r="O771" s="1">
        <v>35.171599999999998</v>
      </c>
      <c r="P771" s="1">
        <v>-106.6019</v>
      </c>
      <c r="Q771" s="1" t="s">
        <v>2078</v>
      </c>
      <c r="R771" s="1" t="s">
        <v>41</v>
      </c>
      <c r="T771" s="1" t="s">
        <v>89</v>
      </c>
      <c r="U771" s="1" t="s">
        <v>44</v>
      </c>
      <c r="AA771" s="3">
        <v>22920</v>
      </c>
      <c r="AB771" s="1" t="s">
        <v>46</v>
      </c>
      <c r="AC771" s="5">
        <v>872</v>
      </c>
      <c r="AD771" s="1" t="s">
        <v>670</v>
      </c>
      <c r="AE771" s="1" t="str">
        <f t="shared" ref="AE771:AE834" si="62">C771&amp;" "&amp;D771</f>
        <v>2450 3</v>
      </c>
      <c r="AF771" s="5" t="str">
        <f t="shared" si="60"/>
        <v>75</v>
      </c>
      <c r="AG771" s="1" t="str">
        <f t="shared" si="61"/>
        <v/>
      </c>
    </row>
    <row r="772" spans="1:33" x14ac:dyDescent="0.2">
      <c r="A772" s="1" t="s">
        <v>2054</v>
      </c>
      <c r="B772" s="1" t="s">
        <v>2081</v>
      </c>
      <c r="C772" s="1">
        <v>2454</v>
      </c>
      <c r="D772" s="1" t="s">
        <v>2082</v>
      </c>
      <c r="F772" s="1">
        <v>2023</v>
      </c>
      <c r="G772" s="1" t="s">
        <v>247</v>
      </c>
      <c r="H772" s="1">
        <v>606233</v>
      </c>
      <c r="I772" s="1">
        <v>6</v>
      </c>
      <c r="J772" s="1" t="s">
        <v>228</v>
      </c>
      <c r="K772" s="1" t="s">
        <v>2071</v>
      </c>
      <c r="L772" s="1" t="s">
        <v>2072</v>
      </c>
      <c r="M772" s="1">
        <v>25</v>
      </c>
      <c r="N772" s="1" t="s">
        <v>39</v>
      </c>
      <c r="O772" s="1">
        <v>32.713099999999997</v>
      </c>
      <c r="P772" s="1">
        <v>-103.3533</v>
      </c>
      <c r="Q772" s="1" t="s">
        <v>2073</v>
      </c>
      <c r="R772" s="1" t="s">
        <v>41</v>
      </c>
      <c r="T772" s="1" t="s">
        <v>43</v>
      </c>
      <c r="U772" s="1" t="s">
        <v>44</v>
      </c>
      <c r="X772" s="1" t="s">
        <v>220</v>
      </c>
      <c r="AA772" s="3">
        <v>21002</v>
      </c>
      <c r="AB772" s="1" t="s">
        <v>46</v>
      </c>
      <c r="AC772" s="5">
        <v>1000</v>
      </c>
      <c r="AD772" s="1" t="s">
        <v>870</v>
      </c>
      <c r="AE772" s="1" t="str">
        <f t="shared" si="62"/>
        <v>2454 121B</v>
      </c>
      <c r="AF772" s="5" t="str">
        <f t="shared" si="60"/>
        <v>75</v>
      </c>
      <c r="AG772" s="1" t="str">
        <f t="shared" si="61"/>
        <v/>
      </c>
    </row>
    <row r="773" spans="1:33" x14ac:dyDescent="0.2">
      <c r="A773" s="1" t="s">
        <v>2054</v>
      </c>
      <c r="B773" s="1" t="s">
        <v>2081</v>
      </c>
      <c r="C773" s="1">
        <v>2454</v>
      </c>
      <c r="D773" s="1" t="s">
        <v>2083</v>
      </c>
      <c r="F773" s="1">
        <v>2023</v>
      </c>
      <c r="G773" s="1" t="s">
        <v>247</v>
      </c>
      <c r="H773" s="1">
        <v>606233</v>
      </c>
      <c r="I773" s="1">
        <v>6</v>
      </c>
      <c r="J773" s="1" t="s">
        <v>228</v>
      </c>
      <c r="K773" s="1" t="s">
        <v>2071</v>
      </c>
      <c r="L773" s="1" t="s">
        <v>2072</v>
      </c>
      <c r="M773" s="1">
        <v>25</v>
      </c>
      <c r="N773" s="1" t="s">
        <v>39</v>
      </c>
      <c r="O773" s="1">
        <v>32.713099999999997</v>
      </c>
      <c r="P773" s="1">
        <v>-103.3533</v>
      </c>
      <c r="Q773" s="1" t="s">
        <v>2073</v>
      </c>
      <c r="R773" s="1" t="s">
        <v>41</v>
      </c>
      <c r="T773" s="1" t="s">
        <v>43</v>
      </c>
      <c r="U773" s="1" t="s">
        <v>44</v>
      </c>
      <c r="V773" s="1" t="s">
        <v>1292</v>
      </c>
      <c r="X773" s="1" t="s">
        <v>220</v>
      </c>
      <c r="AA773" s="3">
        <v>23924</v>
      </c>
      <c r="AB773" s="1" t="s">
        <v>46</v>
      </c>
      <c r="AC773" s="5">
        <v>1902</v>
      </c>
      <c r="AD773" s="1" t="s">
        <v>2084</v>
      </c>
      <c r="AE773" s="1" t="str">
        <f t="shared" si="62"/>
        <v>2454 122B</v>
      </c>
      <c r="AF773" s="5" t="str">
        <f t="shared" si="60"/>
        <v>190.4</v>
      </c>
      <c r="AG773" s="1" t="str">
        <f t="shared" si="61"/>
        <v/>
      </c>
    </row>
    <row r="774" spans="1:33" x14ac:dyDescent="0.2">
      <c r="A774" s="1" t="s">
        <v>2054</v>
      </c>
      <c r="B774" s="1" t="s">
        <v>2081</v>
      </c>
      <c r="C774" s="1">
        <v>2454</v>
      </c>
      <c r="D774" s="1" t="s">
        <v>2085</v>
      </c>
      <c r="F774" s="1">
        <v>2023</v>
      </c>
      <c r="G774" s="1" t="s">
        <v>247</v>
      </c>
      <c r="H774" s="1">
        <v>606233</v>
      </c>
      <c r="I774" s="1">
        <v>6</v>
      </c>
      <c r="J774" s="1" t="s">
        <v>228</v>
      </c>
      <c r="K774" s="1" t="s">
        <v>2071</v>
      </c>
      <c r="L774" s="1" t="s">
        <v>2072</v>
      </c>
      <c r="M774" s="1">
        <v>25</v>
      </c>
      <c r="N774" s="1" t="s">
        <v>39</v>
      </c>
      <c r="O774" s="1">
        <v>32.713099999999997</v>
      </c>
      <c r="P774" s="1">
        <v>-103.3533</v>
      </c>
      <c r="Q774" s="1" t="s">
        <v>2073</v>
      </c>
      <c r="R774" s="1" t="s">
        <v>41</v>
      </c>
      <c r="T774" s="1" t="s">
        <v>93</v>
      </c>
      <c r="U774" s="1" t="s">
        <v>44</v>
      </c>
      <c r="X774" s="1" t="s">
        <v>140</v>
      </c>
      <c r="AA774" s="3">
        <v>35968</v>
      </c>
      <c r="AB774" s="1" t="s">
        <v>46</v>
      </c>
      <c r="AC774" s="5">
        <v>1246</v>
      </c>
      <c r="AD774" s="1" t="s">
        <v>2086</v>
      </c>
      <c r="AE774" s="1" t="str">
        <f t="shared" si="62"/>
        <v>2454 123T</v>
      </c>
      <c r="AF774" s="5" t="str">
        <f t="shared" si="60"/>
        <v>126.9</v>
      </c>
      <c r="AG774" s="1" t="str">
        <f t="shared" si="61"/>
        <v/>
      </c>
    </row>
    <row r="775" spans="1:33" x14ac:dyDescent="0.2">
      <c r="A775" s="1" t="s">
        <v>2054</v>
      </c>
      <c r="B775" s="1" t="s">
        <v>2081</v>
      </c>
      <c r="C775" s="1">
        <v>2454</v>
      </c>
      <c r="D775" s="1" t="s">
        <v>2087</v>
      </c>
      <c r="F775" s="1">
        <v>2023</v>
      </c>
      <c r="G775" s="1" t="s">
        <v>247</v>
      </c>
      <c r="H775" s="1">
        <v>606233</v>
      </c>
      <c r="I775" s="1">
        <v>6</v>
      </c>
      <c r="J775" s="1" t="s">
        <v>228</v>
      </c>
      <c r="K775" s="1" t="s">
        <v>2071</v>
      </c>
      <c r="L775" s="1" t="s">
        <v>2072</v>
      </c>
      <c r="M775" s="1">
        <v>25</v>
      </c>
      <c r="N775" s="1" t="s">
        <v>39</v>
      </c>
      <c r="O775" s="1">
        <v>32.713099999999997</v>
      </c>
      <c r="P775" s="1">
        <v>-103.3533</v>
      </c>
      <c r="Q775" s="1" t="s">
        <v>2073</v>
      </c>
      <c r="R775" s="1" t="s">
        <v>41</v>
      </c>
      <c r="T775" s="1" t="s">
        <v>93</v>
      </c>
      <c r="U775" s="1" t="s">
        <v>44</v>
      </c>
      <c r="X775" s="1" t="s">
        <v>140</v>
      </c>
      <c r="AA775" s="3">
        <v>35961</v>
      </c>
      <c r="AB775" s="1" t="s">
        <v>46</v>
      </c>
      <c r="AC775" s="5">
        <v>1282</v>
      </c>
      <c r="AD775" s="1" t="s">
        <v>2088</v>
      </c>
      <c r="AE775" s="1" t="str">
        <f t="shared" si="62"/>
        <v>2454 124T</v>
      </c>
      <c r="AF775" s="5" t="str">
        <f t="shared" si="60"/>
        <v>126.9</v>
      </c>
      <c r="AG775" s="1" t="str">
        <f t="shared" si="61"/>
        <v/>
      </c>
    </row>
    <row r="776" spans="1:33" x14ac:dyDescent="0.2">
      <c r="A776" s="1" t="s">
        <v>2089</v>
      </c>
      <c r="B776" s="1" t="s">
        <v>2090</v>
      </c>
      <c r="C776" s="1">
        <v>2480</v>
      </c>
      <c r="D776" s="1">
        <v>1</v>
      </c>
      <c r="F776" s="1">
        <v>2023</v>
      </c>
      <c r="G776" s="1" t="s">
        <v>1515</v>
      </c>
      <c r="H776" s="1">
        <v>606236</v>
      </c>
      <c r="I776" s="1">
        <v>2</v>
      </c>
      <c r="J776" s="1" t="s">
        <v>580</v>
      </c>
      <c r="K776" s="1" t="s">
        <v>418</v>
      </c>
      <c r="L776" s="1" t="s">
        <v>2091</v>
      </c>
      <c r="M776" s="1">
        <v>71</v>
      </c>
      <c r="N776" s="1" t="s">
        <v>39</v>
      </c>
      <c r="O776" s="1">
        <v>41.573</v>
      </c>
      <c r="P776" s="1">
        <v>-73.964600000000004</v>
      </c>
      <c r="Q776" s="1" t="s">
        <v>2092</v>
      </c>
      <c r="R776" s="1" t="s">
        <v>41</v>
      </c>
      <c r="T776" s="1" t="s">
        <v>43</v>
      </c>
      <c r="U776" s="1" t="s">
        <v>44</v>
      </c>
      <c r="V776" s="1" t="s">
        <v>173</v>
      </c>
      <c r="AA776" s="3">
        <v>18629</v>
      </c>
      <c r="AB776" s="1" t="s">
        <v>46</v>
      </c>
      <c r="AC776" s="5">
        <v>1654</v>
      </c>
      <c r="AD776" s="1" t="s">
        <v>2093</v>
      </c>
      <c r="AE776" s="1" t="str">
        <f t="shared" si="62"/>
        <v>2480 1</v>
      </c>
      <c r="AF776" s="5" t="str">
        <f t="shared" si="60"/>
        <v>72</v>
      </c>
      <c r="AG776" s="1" t="str">
        <f t="shared" si="61"/>
        <v/>
      </c>
    </row>
    <row r="777" spans="1:33" x14ac:dyDescent="0.2">
      <c r="A777" s="1" t="s">
        <v>2089</v>
      </c>
      <c r="B777" s="1" t="s">
        <v>2090</v>
      </c>
      <c r="C777" s="1">
        <v>2480</v>
      </c>
      <c r="D777" s="1">
        <v>2</v>
      </c>
      <c r="F777" s="1">
        <v>2023</v>
      </c>
      <c r="G777" s="1" t="s">
        <v>1515</v>
      </c>
      <c r="H777" s="1">
        <v>606236</v>
      </c>
      <c r="I777" s="1">
        <v>2</v>
      </c>
      <c r="J777" s="1" t="s">
        <v>580</v>
      </c>
      <c r="K777" s="1" t="s">
        <v>418</v>
      </c>
      <c r="L777" s="1" t="s">
        <v>2091</v>
      </c>
      <c r="M777" s="1">
        <v>71</v>
      </c>
      <c r="N777" s="1" t="s">
        <v>39</v>
      </c>
      <c r="O777" s="1">
        <v>41.573</v>
      </c>
      <c r="P777" s="1">
        <v>-73.964600000000004</v>
      </c>
      <c r="Q777" s="1" t="s">
        <v>2092</v>
      </c>
      <c r="R777" s="1" t="s">
        <v>41</v>
      </c>
      <c r="T777" s="1" t="s">
        <v>43</v>
      </c>
      <c r="U777" s="1" t="s">
        <v>44</v>
      </c>
      <c r="V777" s="1" t="s">
        <v>173</v>
      </c>
      <c r="AA777" s="3">
        <v>19725</v>
      </c>
      <c r="AB777" s="1" t="s">
        <v>46</v>
      </c>
      <c r="AC777" s="5">
        <v>1100</v>
      </c>
      <c r="AD777" s="1" t="s">
        <v>2094</v>
      </c>
      <c r="AE777" s="1" t="str">
        <f t="shared" si="62"/>
        <v>2480 2</v>
      </c>
      <c r="AF777" s="5" t="str">
        <f t="shared" si="60"/>
        <v>73.5</v>
      </c>
      <c r="AG777" s="1" t="str">
        <f t="shared" si="61"/>
        <v/>
      </c>
    </row>
    <row r="778" spans="1:33" x14ac:dyDescent="0.2">
      <c r="A778" s="1" t="s">
        <v>2089</v>
      </c>
      <c r="B778" s="1" t="s">
        <v>2090</v>
      </c>
      <c r="C778" s="1">
        <v>2480</v>
      </c>
      <c r="D778" s="1">
        <v>3</v>
      </c>
      <c r="F778" s="1">
        <v>2023</v>
      </c>
      <c r="G778" s="1" t="s">
        <v>1515</v>
      </c>
      <c r="H778" s="1">
        <v>606236</v>
      </c>
      <c r="I778" s="1">
        <v>2</v>
      </c>
      <c r="J778" s="1" t="s">
        <v>580</v>
      </c>
      <c r="K778" s="1" t="s">
        <v>418</v>
      </c>
      <c r="L778" s="1" t="s">
        <v>2091</v>
      </c>
      <c r="M778" s="1">
        <v>71</v>
      </c>
      <c r="N778" s="1" t="s">
        <v>39</v>
      </c>
      <c r="O778" s="1">
        <v>41.573</v>
      </c>
      <c r="P778" s="1">
        <v>-73.964600000000004</v>
      </c>
      <c r="Q778" s="1" t="s">
        <v>2092</v>
      </c>
      <c r="R778" s="1" t="s">
        <v>41</v>
      </c>
      <c r="S778" s="1" t="s">
        <v>42</v>
      </c>
      <c r="T778" s="1" t="s">
        <v>43</v>
      </c>
      <c r="U778" s="1" t="s">
        <v>44</v>
      </c>
      <c r="X778" s="1" t="s">
        <v>242</v>
      </c>
      <c r="Y778" s="1" t="s">
        <v>58</v>
      </c>
      <c r="AA778" s="3">
        <v>21824</v>
      </c>
      <c r="AB778" s="1" t="s">
        <v>46</v>
      </c>
      <c r="AC778" s="5">
        <v>3260</v>
      </c>
      <c r="AD778" s="1" t="s">
        <v>2095</v>
      </c>
      <c r="AE778" s="1" t="str">
        <f t="shared" si="62"/>
        <v>2480 3</v>
      </c>
      <c r="AF778" s="5" t="str">
        <f t="shared" si="60"/>
        <v>147.1</v>
      </c>
      <c r="AG778" s="1" t="str">
        <f t="shared" si="61"/>
        <v/>
      </c>
    </row>
    <row r="779" spans="1:33" x14ac:dyDescent="0.2">
      <c r="A779" s="1" t="s">
        <v>2089</v>
      </c>
      <c r="B779" s="1" t="s">
        <v>2090</v>
      </c>
      <c r="C779" s="1">
        <v>2480</v>
      </c>
      <c r="D779" s="1">
        <v>4</v>
      </c>
      <c r="F779" s="1">
        <v>2023</v>
      </c>
      <c r="G779" s="1" t="s">
        <v>1515</v>
      </c>
      <c r="H779" s="1">
        <v>606236</v>
      </c>
      <c r="I779" s="1">
        <v>2</v>
      </c>
      <c r="J779" s="1" t="s">
        <v>580</v>
      </c>
      <c r="K779" s="1" t="s">
        <v>418</v>
      </c>
      <c r="L779" s="1" t="s">
        <v>2091</v>
      </c>
      <c r="M779" s="1">
        <v>71</v>
      </c>
      <c r="N779" s="1" t="s">
        <v>39</v>
      </c>
      <c r="O779" s="1">
        <v>41.573</v>
      </c>
      <c r="P779" s="1">
        <v>-73.964600000000004</v>
      </c>
      <c r="Q779" s="1" t="s">
        <v>2092</v>
      </c>
      <c r="R779" s="1" t="s">
        <v>41</v>
      </c>
      <c r="S779" s="1" t="s">
        <v>42</v>
      </c>
      <c r="T779" s="1" t="s">
        <v>43</v>
      </c>
      <c r="U779" s="1" t="s">
        <v>44</v>
      </c>
      <c r="X779" s="1" t="s">
        <v>242</v>
      </c>
      <c r="Y779" s="1" t="s">
        <v>58</v>
      </c>
      <c r="AA779" s="3">
        <v>24716</v>
      </c>
      <c r="AB779" s="1" t="s">
        <v>46</v>
      </c>
      <c r="AC779" s="5">
        <v>2419</v>
      </c>
      <c r="AD779" s="1" t="s">
        <v>2096</v>
      </c>
      <c r="AE779" s="1" t="str">
        <f t="shared" si="62"/>
        <v>2480 4</v>
      </c>
      <c r="AF779" s="5" t="str">
        <f t="shared" si="60"/>
        <v>239.4</v>
      </c>
      <c r="AG779" s="1" t="str">
        <f t="shared" si="61"/>
        <v/>
      </c>
    </row>
    <row r="780" spans="1:33" x14ac:dyDescent="0.2">
      <c r="A780" s="1" t="s">
        <v>2089</v>
      </c>
      <c r="B780" s="1" t="s">
        <v>2097</v>
      </c>
      <c r="C780" s="1">
        <v>2490</v>
      </c>
      <c r="D780" s="1">
        <v>20</v>
      </c>
      <c r="E780" s="1" t="s">
        <v>2098</v>
      </c>
      <c r="F780" s="1">
        <v>2023</v>
      </c>
      <c r="G780" s="1" t="s">
        <v>1515</v>
      </c>
      <c r="H780" s="1">
        <v>601740</v>
      </c>
      <c r="I780" s="1">
        <v>2</v>
      </c>
      <c r="J780" s="1" t="s">
        <v>580</v>
      </c>
      <c r="K780" s="1" t="s">
        <v>2099</v>
      </c>
      <c r="L780" s="1" t="s">
        <v>2100</v>
      </c>
      <c r="M780" s="1">
        <v>85</v>
      </c>
      <c r="N780" s="1" t="s">
        <v>39</v>
      </c>
      <c r="O780" s="1">
        <v>40.591500000000003</v>
      </c>
      <c r="P780" s="1">
        <v>-74.202699999999993</v>
      </c>
      <c r="Q780" s="1" t="s">
        <v>2101</v>
      </c>
      <c r="R780" s="1" t="s">
        <v>41</v>
      </c>
      <c r="T780" s="1" t="s">
        <v>89</v>
      </c>
      <c r="U780" s="1" t="s">
        <v>44</v>
      </c>
      <c r="AA780" s="3">
        <v>21763</v>
      </c>
      <c r="AB780" s="1" t="s">
        <v>46</v>
      </c>
      <c r="AC780" s="5">
        <v>3717</v>
      </c>
      <c r="AD780" s="1" t="s">
        <v>2102</v>
      </c>
      <c r="AE780" s="1" t="str">
        <f t="shared" si="62"/>
        <v>2490 20</v>
      </c>
      <c r="AF780" s="14">
        <f>MID(AD780,FIND("(",AD780)+1,FIND(")",AD780)-FIND("(",AD780)-1)+376.2</f>
        <v>392.5</v>
      </c>
      <c r="AG780" s="1" t="str">
        <f t="shared" si="61"/>
        <v/>
      </c>
    </row>
    <row r="781" spans="1:33" x14ac:dyDescent="0.2">
      <c r="A781" s="1" t="s">
        <v>2089</v>
      </c>
      <c r="B781" s="1" t="s">
        <v>2097</v>
      </c>
      <c r="C781" s="1">
        <v>2490</v>
      </c>
      <c r="D781" s="1">
        <v>30</v>
      </c>
      <c r="E781" s="1" t="s">
        <v>2098</v>
      </c>
      <c r="F781" s="1">
        <v>2023</v>
      </c>
      <c r="G781" s="1" t="s">
        <v>1515</v>
      </c>
      <c r="H781" s="1">
        <v>601740</v>
      </c>
      <c r="I781" s="1">
        <v>2</v>
      </c>
      <c r="J781" s="1" t="s">
        <v>580</v>
      </c>
      <c r="K781" s="1" t="s">
        <v>2099</v>
      </c>
      <c r="L781" s="1" t="s">
        <v>2100</v>
      </c>
      <c r="M781" s="1">
        <v>85</v>
      </c>
      <c r="N781" s="1" t="s">
        <v>39</v>
      </c>
      <c r="O781" s="1">
        <v>40.591500000000003</v>
      </c>
      <c r="P781" s="1">
        <v>-74.202699999999993</v>
      </c>
      <c r="Q781" s="1" t="s">
        <v>2101</v>
      </c>
      <c r="R781" s="1" t="s">
        <v>41</v>
      </c>
      <c r="T781" s="1" t="s">
        <v>43</v>
      </c>
      <c r="U781" s="1" t="s">
        <v>44</v>
      </c>
      <c r="AA781" s="3">
        <v>25355</v>
      </c>
      <c r="AB781" s="1" t="s">
        <v>46</v>
      </c>
      <c r="AC781" s="5">
        <v>5502</v>
      </c>
      <c r="AD781" s="1" t="s">
        <v>2103</v>
      </c>
      <c r="AE781" s="1" t="str">
        <f t="shared" si="62"/>
        <v>2490 30</v>
      </c>
      <c r="AF781" s="5" t="str">
        <f t="shared" ref="AF781:AF812" si="63">MID(AD781,FIND("(",AD781)+1,FIND(")",AD781)-FIND("(",AD781)-1)</f>
        <v>535.5</v>
      </c>
      <c r="AG781" s="1" t="str">
        <f t="shared" si="61"/>
        <v/>
      </c>
    </row>
    <row r="782" spans="1:33" x14ac:dyDescent="0.2">
      <c r="A782" s="1" t="s">
        <v>2089</v>
      </c>
      <c r="B782" s="1" t="s">
        <v>2097</v>
      </c>
      <c r="C782" s="1">
        <v>2490</v>
      </c>
      <c r="D782" s="1" t="s">
        <v>2104</v>
      </c>
      <c r="F782" s="1">
        <v>2023</v>
      </c>
      <c r="G782" s="1" t="s">
        <v>617</v>
      </c>
      <c r="H782" s="1">
        <v>601740</v>
      </c>
      <c r="I782" s="1">
        <v>2</v>
      </c>
      <c r="J782" s="1" t="s">
        <v>580</v>
      </c>
      <c r="K782" s="1" t="s">
        <v>2099</v>
      </c>
      <c r="L782" s="1" t="s">
        <v>2100</v>
      </c>
      <c r="M782" s="1">
        <v>85</v>
      </c>
      <c r="N782" s="1" t="s">
        <v>39</v>
      </c>
      <c r="O782" s="1">
        <v>40.591500000000003</v>
      </c>
      <c r="P782" s="1">
        <v>-74.202699999999993</v>
      </c>
      <c r="Q782" s="1" t="s">
        <v>2105</v>
      </c>
      <c r="T782" s="1" t="s">
        <v>93</v>
      </c>
      <c r="U782" s="1" t="s">
        <v>44</v>
      </c>
      <c r="AA782" s="3">
        <v>25720</v>
      </c>
      <c r="AB782" s="1" t="s">
        <v>46</v>
      </c>
      <c r="AC782" s="5">
        <v>235</v>
      </c>
      <c r="AD782" s="1" t="s">
        <v>2106</v>
      </c>
      <c r="AE782" s="1" t="str">
        <f t="shared" si="62"/>
        <v>2490 CT0001</v>
      </c>
      <c r="AF782" s="5" t="str">
        <f t="shared" si="63"/>
        <v>16.3</v>
      </c>
      <c r="AG782" s="1" t="str">
        <f t="shared" si="61"/>
        <v/>
      </c>
    </row>
    <row r="783" spans="1:33" x14ac:dyDescent="0.2">
      <c r="A783" s="1" t="s">
        <v>2089</v>
      </c>
      <c r="B783" s="1" t="s">
        <v>2107</v>
      </c>
      <c r="C783" s="1">
        <v>2493</v>
      </c>
      <c r="D783" s="1">
        <v>1</v>
      </c>
      <c r="F783" s="1">
        <v>2023</v>
      </c>
      <c r="G783" s="1" t="s">
        <v>1515</v>
      </c>
      <c r="H783" s="1">
        <v>610097</v>
      </c>
      <c r="I783" s="1">
        <v>2</v>
      </c>
      <c r="K783" s="1" t="s">
        <v>2108</v>
      </c>
      <c r="L783" s="1" t="s">
        <v>2109</v>
      </c>
      <c r="M783" s="1">
        <v>61</v>
      </c>
      <c r="N783" s="1" t="s">
        <v>1680</v>
      </c>
      <c r="O783" s="1">
        <v>40.728099999999998</v>
      </c>
      <c r="P783" s="1">
        <v>-73.974199999999996</v>
      </c>
      <c r="Q783" s="1" t="s">
        <v>2110</v>
      </c>
      <c r="R783" s="1" t="s">
        <v>41</v>
      </c>
      <c r="T783" s="1" t="s">
        <v>71</v>
      </c>
      <c r="U783" s="1" t="s">
        <v>44</v>
      </c>
      <c r="X783" s="1" t="s">
        <v>2111</v>
      </c>
      <c r="AA783" s="3">
        <v>38419</v>
      </c>
      <c r="AB783" s="1" t="s">
        <v>46</v>
      </c>
      <c r="AC783" s="5">
        <v>3165</v>
      </c>
      <c r="AD783" s="1" t="s">
        <v>1837</v>
      </c>
      <c r="AE783" s="1" t="str">
        <f t="shared" si="62"/>
        <v>2493 1</v>
      </c>
      <c r="AF783" s="5" t="str">
        <f t="shared" si="63"/>
        <v>180</v>
      </c>
      <c r="AG783" s="1" t="str">
        <f t="shared" si="61"/>
        <v>Y</v>
      </c>
    </row>
    <row r="784" spans="1:33" x14ac:dyDescent="0.2">
      <c r="A784" s="1" t="s">
        <v>2089</v>
      </c>
      <c r="B784" s="1" t="s">
        <v>2107</v>
      </c>
      <c r="C784" s="1">
        <v>2493</v>
      </c>
      <c r="D784" s="1">
        <v>2</v>
      </c>
      <c r="F784" s="1">
        <v>2023</v>
      </c>
      <c r="G784" s="1" t="s">
        <v>1515</v>
      </c>
      <c r="H784" s="1">
        <v>610097</v>
      </c>
      <c r="I784" s="1">
        <v>2</v>
      </c>
      <c r="K784" s="1" t="s">
        <v>2108</v>
      </c>
      <c r="L784" s="1" t="s">
        <v>2109</v>
      </c>
      <c r="M784" s="1">
        <v>61</v>
      </c>
      <c r="N784" s="1" t="s">
        <v>1680</v>
      </c>
      <c r="O784" s="1">
        <v>40.728099999999998</v>
      </c>
      <c r="P784" s="1">
        <v>-73.974199999999996</v>
      </c>
      <c r="Q784" s="1" t="s">
        <v>2110</v>
      </c>
      <c r="R784" s="1" t="s">
        <v>41</v>
      </c>
      <c r="T784" s="1" t="s">
        <v>71</v>
      </c>
      <c r="U784" s="1" t="s">
        <v>44</v>
      </c>
      <c r="X784" s="1" t="s">
        <v>2111</v>
      </c>
      <c r="AA784" s="3">
        <v>38424</v>
      </c>
      <c r="AB784" s="1" t="s">
        <v>46</v>
      </c>
      <c r="AC784" s="5">
        <v>3165</v>
      </c>
      <c r="AD784" s="1" t="s">
        <v>2112</v>
      </c>
      <c r="AE784" s="1" t="str">
        <f t="shared" si="62"/>
        <v>2493 2</v>
      </c>
      <c r="AF784" s="5" t="str">
        <f t="shared" si="63"/>
        <v>180</v>
      </c>
      <c r="AG784" s="1" t="str">
        <f t="shared" si="61"/>
        <v>Y</v>
      </c>
    </row>
    <row r="785" spans="1:33" x14ac:dyDescent="0.2">
      <c r="A785" s="1" t="s">
        <v>2089</v>
      </c>
      <c r="B785" s="1" t="s">
        <v>2107</v>
      </c>
      <c r="C785" s="1">
        <v>2493</v>
      </c>
      <c r="D785" s="1">
        <v>60</v>
      </c>
      <c r="F785" s="1">
        <v>2023</v>
      </c>
      <c r="G785" s="1" t="s">
        <v>682</v>
      </c>
      <c r="H785" s="1">
        <v>610097</v>
      </c>
      <c r="I785" s="1">
        <v>2</v>
      </c>
      <c r="K785" s="1" t="s">
        <v>2108</v>
      </c>
      <c r="L785" s="1" t="s">
        <v>2109</v>
      </c>
      <c r="M785" s="1">
        <v>61</v>
      </c>
      <c r="N785" s="1" t="s">
        <v>1680</v>
      </c>
      <c r="O785" s="1">
        <v>40.728099999999998</v>
      </c>
      <c r="P785" s="1">
        <v>-73.974199999999996</v>
      </c>
      <c r="Q785" s="1" t="s">
        <v>2110</v>
      </c>
      <c r="R785" s="1" t="s">
        <v>41</v>
      </c>
      <c r="T785" s="1" t="s">
        <v>89</v>
      </c>
      <c r="U785" s="1" t="s">
        <v>44</v>
      </c>
      <c r="V785" s="1" t="s">
        <v>173</v>
      </c>
      <c r="AA785" s="3">
        <v>18872</v>
      </c>
      <c r="AB785" s="1" t="s">
        <v>46</v>
      </c>
      <c r="AC785" s="5">
        <v>1930</v>
      </c>
      <c r="AD785" s="1" t="s">
        <v>2113</v>
      </c>
      <c r="AE785" s="1" t="str">
        <f t="shared" si="62"/>
        <v>2493 60</v>
      </c>
      <c r="AF785" s="5" t="str">
        <f t="shared" si="63"/>
        <v>156.3</v>
      </c>
      <c r="AG785" s="1" t="str">
        <f t="shared" si="61"/>
        <v/>
      </c>
    </row>
    <row r="786" spans="1:33" x14ac:dyDescent="0.2">
      <c r="A786" s="1" t="s">
        <v>2089</v>
      </c>
      <c r="B786" s="1" t="s">
        <v>2107</v>
      </c>
      <c r="C786" s="1">
        <v>2493</v>
      </c>
      <c r="D786" s="1">
        <v>70</v>
      </c>
      <c r="F786" s="1">
        <v>2023</v>
      </c>
      <c r="G786" s="1" t="s">
        <v>682</v>
      </c>
      <c r="H786" s="1">
        <v>610097</v>
      </c>
      <c r="I786" s="1">
        <v>2</v>
      </c>
      <c r="K786" s="1" t="s">
        <v>2108</v>
      </c>
      <c r="L786" s="1" t="s">
        <v>2109</v>
      </c>
      <c r="M786" s="1">
        <v>61</v>
      </c>
      <c r="N786" s="1" t="s">
        <v>39</v>
      </c>
      <c r="O786" s="1">
        <v>40.728099999999998</v>
      </c>
      <c r="P786" s="1">
        <v>-73.974199999999996</v>
      </c>
      <c r="Q786" s="1" t="s">
        <v>2110</v>
      </c>
      <c r="R786" s="1" t="s">
        <v>41</v>
      </c>
      <c r="T786" s="1" t="s">
        <v>89</v>
      </c>
      <c r="U786" s="1" t="s">
        <v>44</v>
      </c>
      <c r="V786" s="1" t="s">
        <v>173</v>
      </c>
      <c r="AA786" s="3">
        <v>20090</v>
      </c>
      <c r="AB786" s="1" t="s">
        <v>46</v>
      </c>
      <c r="AC786" s="5">
        <v>1982</v>
      </c>
      <c r="AD786" s="1" t="s">
        <v>2114</v>
      </c>
      <c r="AE786" s="1" t="str">
        <f t="shared" si="62"/>
        <v>2493 70</v>
      </c>
      <c r="AF786" s="5" t="str">
        <f t="shared" si="63"/>
        <v>200</v>
      </c>
      <c r="AG786" s="1" t="str">
        <f t="shared" si="61"/>
        <v/>
      </c>
    </row>
    <row r="787" spans="1:33" x14ac:dyDescent="0.2">
      <c r="A787" s="1" t="s">
        <v>2089</v>
      </c>
      <c r="B787" s="1" t="s">
        <v>2115</v>
      </c>
      <c r="C787" s="1">
        <v>2494</v>
      </c>
      <c r="D787" s="1" t="s">
        <v>2116</v>
      </c>
      <c r="E787" s="1" t="s">
        <v>2117</v>
      </c>
      <c r="F787" s="1">
        <v>2023</v>
      </c>
      <c r="G787" s="1" t="s">
        <v>617</v>
      </c>
      <c r="H787" s="1">
        <v>601740</v>
      </c>
      <c r="I787" s="1">
        <v>2</v>
      </c>
      <c r="K787" s="1" t="s">
        <v>2118</v>
      </c>
      <c r="L787" s="1" t="s">
        <v>2119</v>
      </c>
      <c r="M787" s="1">
        <v>47</v>
      </c>
      <c r="N787" s="1" t="s">
        <v>39</v>
      </c>
      <c r="O787" s="1">
        <v>40.663499999999999</v>
      </c>
      <c r="P787" s="1">
        <v>-74.005099999999999</v>
      </c>
      <c r="Q787" s="1" t="s">
        <v>2120</v>
      </c>
      <c r="T787" s="1" t="s">
        <v>93</v>
      </c>
      <c r="U787" s="1" t="s">
        <v>94</v>
      </c>
      <c r="AA787" s="3">
        <v>26085</v>
      </c>
      <c r="AB787" s="1" t="s">
        <v>46</v>
      </c>
      <c r="AC787" s="5">
        <v>299</v>
      </c>
      <c r="AD787" s="1" t="s">
        <v>2121</v>
      </c>
      <c r="AE787" s="1" t="str">
        <f t="shared" si="62"/>
        <v>2494 CT01-1</v>
      </c>
      <c r="AF787" s="5" t="str">
        <f t="shared" si="63"/>
        <v>20</v>
      </c>
      <c r="AG787" s="1" t="str">
        <f t="shared" si="61"/>
        <v/>
      </c>
    </row>
    <row r="788" spans="1:33" x14ac:dyDescent="0.2">
      <c r="A788" s="1" t="s">
        <v>2089</v>
      </c>
      <c r="B788" s="1" t="s">
        <v>2115</v>
      </c>
      <c r="C788" s="1">
        <v>2494</v>
      </c>
      <c r="D788" s="1" t="s">
        <v>2122</v>
      </c>
      <c r="E788" s="1" t="s">
        <v>2117</v>
      </c>
      <c r="F788" s="1">
        <v>2023</v>
      </c>
      <c r="G788" s="1" t="s">
        <v>617</v>
      </c>
      <c r="H788" s="1">
        <v>601740</v>
      </c>
      <c r="I788" s="1">
        <v>2</v>
      </c>
      <c r="K788" s="1" t="s">
        <v>2118</v>
      </c>
      <c r="L788" s="1" t="s">
        <v>2119</v>
      </c>
      <c r="M788" s="1">
        <v>47</v>
      </c>
      <c r="N788" s="1" t="s">
        <v>39</v>
      </c>
      <c r="O788" s="1">
        <v>40.663499999999999</v>
      </c>
      <c r="P788" s="1">
        <v>-74.005099999999999</v>
      </c>
      <c r="Q788" s="1" t="s">
        <v>2120</v>
      </c>
      <c r="T788" s="1" t="s">
        <v>93</v>
      </c>
      <c r="U788" s="1" t="s">
        <v>94</v>
      </c>
      <c r="AA788" s="3">
        <v>26085</v>
      </c>
      <c r="AB788" s="1" t="s">
        <v>46</v>
      </c>
      <c r="AC788" s="5">
        <v>299</v>
      </c>
      <c r="AD788" s="1" t="s">
        <v>2123</v>
      </c>
      <c r="AE788" s="1" t="str">
        <f t="shared" si="62"/>
        <v>2494 CT01-2</v>
      </c>
      <c r="AF788" s="5" t="str">
        <f t="shared" si="63"/>
        <v>20</v>
      </c>
      <c r="AG788" s="1" t="str">
        <f t="shared" si="61"/>
        <v/>
      </c>
    </row>
    <row r="789" spans="1:33" x14ac:dyDescent="0.2">
      <c r="A789" s="1" t="s">
        <v>2089</v>
      </c>
      <c r="B789" s="1" t="s">
        <v>2115</v>
      </c>
      <c r="C789" s="1">
        <v>2494</v>
      </c>
      <c r="D789" s="1" t="s">
        <v>2124</v>
      </c>
      <c r="E789" s="1" t="s">
        <v>2117</v>
      </c>
      <c r="F789" s="1">
        <v>2023</v>
      </c>
      <c r="G789" s="1" t="s">
        <v>617</v>
      </c>
      <c r="H789" s="1">
        <v>601740</v>
      </c>
      <c r="I789" s="1">
        <v>2</v>
      </c>
      <c r="K789" s="1" t="s">
        <v>2118</v>
      </c>
      <c r="L789" s="1" t="s">
        <v>2119</v>
      </c>
      <c r="M789" s="1">
        <v>47</v>
      </c>
      <c r="N789" s="1" t="s">
        <v>39</v>
      </c>
      <c r="O789" s="1">
        <v>40.663499999999999</v>
      </c>
      <c r="P789" s="1">
        <v>-74.005099999999999</v>
      </c>
      <c r="Q789" s="1" t="s">
        <v>2120</v>
      </c>
      <c r="T789" s="1" t="s">
        <v>93</v>
      </c>
      <c r="U789" s="1" t="s">
        <v>94</v>
      </c>
      <c r="AA789" s="3">
        <v>26085</v>
      </c>
      <c r="AB789" s="1" t="s">
        <v>46</v>
      </c>
      <c r="AC789" s="5">
        <v>299</v>
      </c>
      <c r="AD789" s="1" t="s">
        <v>2125</v>
      </c>
      <c r="AE789" s="1" t="str">
        <f t="shared" si="62"/>
        <v>2494 CT01-3</v>
      </c>
      <c r="AF789" s="5" t="str">
        <f t="shared" si="63"/>
        <v>20</v>
      </c>
      <c r="AG789" s="1" t="str">
        <f t="shared" si="61"/>
        <v/>
      </c>
    </row>
    <row r="790" spans="1:33" x14ac:dyDescent="0.2">
      <c r="A790" s="1" t="s">
        <v>2089</v>
      </c>
      <c r="B790" s="1" t="s">
        <v>2115</v>
      </c>
      <c r="C790" s="1">
        <v>2494</v>
      </c>
      <c r="D790" s="1" t="s">
        <v>2126</v>
      </c>
      <c r="E790" s="1" t="s">
        <v>2117</v>
      </c>
      <c r="F790" s="1">
        <v>2023</v>
      </c>
      <c r="G790" s="1" t="s">
        <v>617</v>
      </c>
      <c r="H790" s="1">
        <v>601740</v>
      </c>
      <c r="I790" s="1">
        <v>2</v>
      </c>
      <c r="K790" s="1" t="s">
        <v>2118</v>
      </c>
      <c r="L790" s="1" t="s">
        <v>2119</v>
      </c>
      <c r="M790" s="1">
        <v>47</v>
      </c>
      <c r="N790" s="1" t="s">
        <v>39</v>
      </c>
      <c r="O790" s="1">
        <v>40.663499999999999</v>
      </c>
      <c r="P790" s="1">
        <v>-74.005099999999999</v>
      </c>
      <c r="Q790" s="1" t="s">
        <v>2120</v>
      </c>
      <c r="T790" s="1" t="s">
        <v>93</v>
      </c>
      <c r="U790" s="1" t="s">
        <v>94</v>
      </c>
      <c r="AA790" s="3">
        <v>26085</v>
      </c>
      <c r="AB790" s="1" t="s">
        <v>46</v>
      </c>
      <c r="AC790" s="5">
        <v>299</v>
      </c>
      <c r="AD790" s="1" t="s">
        <v>2127</v>
      </c>
      <c r="AE790" s="1" t="str">
        <f t="shared" si="62"/>
        <v>2494 CT01-4</v>
      </c>
      <c r="AF790" s="5" t="str">
        <f t="shared" si="63"/>
        <v>20</v>
      </c>
      <c r="AG790" s="1" t="str">
        <f t="shared" si="61"/>
        <v/>
      </c>
    </row>
    <row r="791" spans="1:33" x14ac:dyDescent="0.2">
      <c r="A791" s="1" t="s">
        <v>2089</v>
      </c>
      <c r="B791" s="1" t="s">
        <v>2115</v>
      </c>
      <c r="C791" s="1">
        <v>2494</v>
      </c>
      <c r="D791" s="1" t="s">
        <v>2128</v>
      </c>
      <c r="E791" s="1" t="s">
        <v>2117</v>
      </c>
      <c r="F791" s="1">
        <v>2023</v>
      </c>
      <c r="G791" s="1" t="s">
        <v>617</v>
      </c>
      <c r="H791" s="1">
        <v>601740</v>
      </c>
      <c r="I791" s="1">
        <v>2</v>
      </c>
      <c r="K791" s="1" t="s">
        <v>2118</v>
      </c>
      <c r="L791" s="1" t="s">
        <v>2119</v>
      </c>
      <c r="M791" s="1">
        <v>47</v>
      </c>
      <c r="N791" s="1" t="s">
        <v>39</v>
      </c>
      <c r="O791" s="1">
        <v>40.663499999999999</v>
      </c>
      <c r="P791" s="1">
        <v>-74.005099999999999</v>
      </c>
      <c r="Q791" s="1" t="s">
        <v>2120</v>
      </c>
      <c r="T791" s="1" t="s">
        <v>93</v>
      </c>
      <c r="U791" s="1" t="s">
        <v>94</v>
      </c>
      <c r="AA791" s="3">
        <v>26085</v>
      </c>
      <c r="AB791" s="1" t="s">
        <v>46</v>
      </c>
      <c r="AC791" s="5">
        <v>299</v>
      </c>
      <c r="AD791" s="1" t="s">
        <v>2129</v>
      </c>
      <c r="AE791" s="1" t="str">
        <f t="shared" si="62"/>
        <v>2494 CT01-5</v>
      </c>
      <c r="AF791" s="5" t="str">
        <f t="shared" si="63"/>
        <v>20</v>
      </c>
      <c r="AG791" s="1" t="str">
        <f t="shared" si="61"/>
        <v/>
      </c>
    </row>
    <row r="792" spans="1:33" x14ac:dyDescent="0.2">
      <c r="A792" s="1" t="s">
        <v>2089</v>
      </c>
      <c r="B792" s="1" t="s">
        <v>2115</v>
      </c>
      <c r="C792" s="1">
        <v>2494</v>
      </c>
      <c r="D792" s="1" t="s">
        <v>2130</v>
      </c>
      <c r="E792" s="1" t="s">
        <v>2117</v>
      </c>
      <c r="F792" s="1">
        <v>2023</v>
      </c>
      <c r="G792" s="1" t="s">
        <v>617</v>
      </c>
      <c r="H792" s="1">
        <v>601740</v>
      </c>
      <c r="I792" s="1">
        <v>2</v>
      </c>
      <c r="K792" s="1" t="s">
        <v>2118</v>
      </c>
      <c r="L792" s="1" t="s">
        <v>2119</v>
      </c>
      <c r="M792" s="1">
        <v>47</v>
      </c>
      <c r="N792" s="1" t="s">
        <v>39</v>
      </c>
      <c r="O792" s="1">
        <v>40.663499999999999</v>
      </c>
      <c r="P792" s="1">
        <v>-74.005099999999999</v>
      </c>
      <c r="Q792" s="1" t="s">
        <v>2120</v>
      </c>
      <c r="T792" s="1" t="s">
        <v>93</v>
      </c>
      <c r="U792" s="1" t="s">
        <v>94</v>
      </c>
      <c r="AA792" s="3">
        <v>26085</v>
      </c>
      <c r="AB792" s="1" t="s">
        <v>46</v>
      </c>
      <c r="AC792" s="5">
        <v>299</v>
      </c>
      <c r="AD792" s="1" t="s">
        <v>2131</v>
      </c>
      <c r="AE792" s="1" t="str">
        <f t="shared" si="62"/>
        <v>2494 CT01-6</v>
      </c>
      <c r="AF792" s="5" t="str">
        <f t="shared" si="63"/>
        <v>20</v>
      </c>
      <c r="AG792" s="1" t="str">
        <f t="shared" si="61"/>
        <v/>
      </c>
    </row>
    <row r="793" spans="1:33" x14ac:dyDescent="0.2">
      <c r="A793" s="1" t="s">
        <v>2089</v>
      </c>
      <c r="B793" s="1" t="s">
        <v>2115</v>
      </c>
      <c r="C793" s="1">
        <v>2494</v>
      </c>
      <c r="D793" s="1" t="s">
        <v>2132</v>
      </c>
      <c r="E793" s="1" t="s">
        <v>2117</v>
      </c>
      <c r="F793" s="1">
        <v>2023</v>
      </c>
      <c r="G793" s="1" t="s">
        <v>617</v>
      </c>
      <c r="H793" s="1">
        <v>601740</v>
      </c>
      <c r="I793" s="1">
        <v>2</v>
      </c>
      <c r="K793" s="1" t="s">
        <v>2118</v>
      </c>
      <c r="L793" s="1" t="s">
        <v>2119</v>
      </c>
      <c r="M793" s="1">
        <v>47</v>
      </c>
      <c r="N793" s="1" t="s">
        <v>39</v>
      </c>
      <c r="O793" s="1">
        <v>40.663499999999999</v>
      </c>
      <c r="P793" s="1">
        <v>-74.005099999999999</v>
      </c>
      <c r="Q793" s="1" t="s">
        <v>2120</v>
      </c>
      <c r="T793" s="1" t="s">
        <v>93</v>
      </c>
      <c r="U793" s="1" t="s">
        <v>94</v>
      </c>
      <c r="AA793" s="3">
        <v>26085</v>
      </c>
      <c r="AB793" s="1" t="s">
        <v>46</v>
      </c>
      <c r="AC793" s="5">
        <v>299</v>
      </c>
      <c r="AD793" s="1" t="s">
        <v>2133</v>
      </c>
      <c r="AE793" s="1" t="str">
        <f t="shared" si="62"/>
        <v>2494 CT01-7</v>
      </c>
      <c r="AF793" s="5" t="str">
        <f t="shared" si="63"/>
        <v>20</v>
      </c>
      <c r="AG793" s="1" t="str">
        <f t="shared" si="61"/>
        <v/>
      </c>
    </row>
    <row r="794" spans="1:33" x14ac:dyDescent="0.2">
      <c r="A794" s="1" t="s">
        <v>2089</v>
      </c>
      <c r="B794" s="1" t="s">
        <v>2115</v>
      </c>
      <c r="C794" s="1">
        <v>2494</v>
      </c>
      <c r="D794" s="1" t="s">
        <v>2134</v>
      </c>
      <c r="E794" s="1" t="s">
        <v>2117</v>
      </c>
      <c r="F794" s="1">
        <v>2023</v>
      </c>
      <c r="G794" s="1" t="s">
        <v>617</v>
      </c>
      <c r="H794" s="1">
        <v>601740</v>
      </c>
      <c r="I794" s="1">
        <v>2</v>
      </c>
      <c r="K794" s="1" t="s">
        <v>2118</v>
      </c>
      <c r="L794" s="1" t="s">
        <v>2119</v>
      </c>
      <c r="M794" s="1">
        <v>47</v>
      </c>
      <c r="N794" s="1" t="s">
        <v>39</v>
      </c>
      <c r="O794" s="1">
        <v>40.663499999999999</v>
      </c>
      <c r="P794" s="1">
        <v>-74.005099999999999</v>
      </c>
      <c r="Q794" s="1" t="s">
        <v>2120</v>
      </c>
      <c r="T794" s="1" t="s">
        <v>93</v>
      </c>
      <c r="U794" s="1" t="s">
        <v>94</v>
      </c>
      <c r="AA794" s="3">
        <v>26085</v>
      </c>
      <c r="AB794" s="1" t="s">
        <v>46</v>
      </c>
      <c r="AC794" s="5">
        <v>299</v>
      </c>
      <c r="AD794" s="1" t="s">
        <v>2135</v>
      </c>
      <c r="AE794" s="1" t="str">
        <f t="shared" si="62"/>
        <v>2494 CT01-8</v>
      </c>
      <c r="AF794" s="5" t="str">
        <f t="shared" si="63"/>
        <v>20</v>
      </c>
      <c r="AG794" s="1" t="str">
        <f t="shared" si="61"/>
        <v/>
      </c>
    </row>
    <row r="795" spans="1:33" x14ac:dyDescent="0.2">
      <c r="A795" s="1" t="s">
        <v>2089</v>
      </c>
      <c r="B795" s="1" t="s">
        <v>2115</v>
      </c>
      <c r="C795" s="1">
        <v>2494</v>
      </c>
      <c r="D795" s="1" t="s">
        <v>2136</v>
      </c>
      <c r="E795" s="1" t="s">
        <v>2117</v>
      </c>
      <c r="F795" s="1">
        <v>2023</v>
      </c>
      <c r="G795" s="1" t="s">
        <v>617</v>
      </c>
      <c r="H795" s="1">
        <v>601740</v>
      </c>
      <c r="I795" s="1">
        <v>2</v>
      </c>
      <c r="K795" s="1" t="s">
        <v>2118</v>
      </c>
      <c r="L795" s="1" t="s">
        <v>2119</v>
      </c>
      <c r="M795" s="1">
        <v>47</v>
      </c>
      <c r="N795" s="1" t="s">
        <v>39</v>
      </c>
      <c r="O795" s="1">
        <v>40.663499999999999</v>
      </c>
      <c r="P795" s="1">
        <v>-74.005099999999999</v>
      </c>
      <c r="Q795" s="1" t="s">
        <v>2120</v>
      </c>
      <c r="T795" s="1" t="s">
        <v>93</v>
      </c>
      <c r="U795" s="1" t="s">
        <v>94</v>
      </c>
      <c r="V795" s="1" t="s">
        <v>44</v>
      </c>
      <c r="AA795" s="3">
        <v>26085</v>
      </c>
      <c r="AB795" s="1" t="s">
        <v>46</v>
      </c>
      <c r="AC795" s="5">
        <v>299</v>
      </c>
      <c r="AD795" s="1" t="s">
        <v>2137</v>
      </c>
      <c r="AE795" s="1" t="str">
        <f t="shared" si="62"/>
        <v>2494 CT02-1</v>
      </c>
      <c r="AF795" s="5" t="str">
        <f t="shared" si="63"/>
        <v>20</v>
      </c>
      <c r="AG795" s="1" t="str">
        <f t="shared" si="61"/>
        <v/>
      </c>
    </row>
    <row r="796" spans="1:33" x14ac:dyDescent="0.2">
      <c r="A796" s="1" t="s">
        <v>2089</v>
      </c>
      <c r="B796" s="1" t="s">
        <v>2115</v>
      </c>
      <c r="C796" s="1">
        <v>2494</v>
      </c>
      <c r="D796" s="1" t="s">
        <v>2138</v>
      </c>
      <c r="E796" s="1" t="s">
        <v>2117</v>
      </c>
      <c r="F796" s="1">
        <v>2023</v>
      </c>
      <c r="G796" s="1" t="s">
        <v>617</v>
      </c>
      <c r="H796" s="1">
        <v>601740</v>
      </c>
      <c r="I796" s="1">
        <v>2</v>
      </c>
      <c r="K796" s="1" t="s">
        <v>2118</v>
      </c>
      <c r="L796" s="1" t="s">
        <v>2119</v>
      </c>
      <c r="M796" s="1">
        <v>47</v>
      </c>
      <c r="N796" s="1" t="s">
        <v>39</v>
      </c>
      <c r="O796" s="1">
        <v>40.663499999999999</v>
      </c>
      <c r="P796" s="1">
        <v>-74.005099999999999</v>
      </c>
      <c r="Q796" s="1" t="s">
        <v>2120</v>
      </c>
      <c r="T796" s="1" t="s">
        <v>93</v>
      </c>
      <c r="U796" s="1" t="s">
        <v>94</v>
      </c>
      <c r="V796" s="1" t="s">
        <v>44</v>
      </c>
      <c r="AA796" s="3">
        <v>26085</v>
      </c>
      <c r="AB796" s="1" t="s">
        <v>46</v>
      </c>
      <c r="AC796" s="5">
        <v>299</v>
      </c>
      <c r="AD796" s="1" t="s">
        <v>2139</v>
      </c>
      <c r="AE796" s="1" t="str">
        <f t="shared" si="62"/>
        <v>2494 CT02-2</v>
      </c>
      <c r="AF796" s="5" t="str">
        <f t="shared" si="63"/>
        <v>20</v>
      </c>
      <c r="AG796" s="1" t="str">
        <f t="shared" si="61"/>
        <v/>
      </c>
    </row>
    <row r="797" spans="1:33" x14ac:dyDescent="0.2">
      <c r="A797" s="1" t="s">
        <v>2089</v>
      </c>
      <c r="B797" s="1" t="s">
        <v>2115</v>
      </c>
      <c r="C797" s="1">
        <v>2494</v>
      </c>
      <c r="D797" s="1" t="s">
        <v>2140</v>
      </c>
      <c r="E797" s="1" t="s">
        <v>2117</v>
      </c>
      <c r="F797" s="1">
        <v>2023</v>
      </c>
      <c r="G797" s="1" t="s">
        <v>617</v>
      </c>
      <c r="H797" s="1">
        <v>601740</v>
      </c>
      <c r="I797" s="1">
        <v>2</v>
      </c>
      <c r="K797" s="1" t="s">
        <v>2118</v>
      </c>
      <c r="L797" s="1" t="s">
        <v>2119</v>
      </c>
      <c r="M797" s="1">
        <v>47</v>
      </c>
      <c r="N797" s="1" t="s">
        <v>39</v>
      </c>
      <c r="O797" s="1">
        <v>40.663499999999999</v>
      </c>
      <c r="P797" s="1">
        <v>-74.005099999999999</v>
      </c>
      <c r="Q797" s="1" t="s">
        <v>2120</v>
      </c>
      <c r="T797" s="1" t="s">
        <v>93</v>
      </c>
      <c r="U797" s="1" t="s">
        <v>94</v>
      </c>
      <c r="V797" s="1" t="s">
        <v>44</v>
      </c>
      <c r="AA797" s="3">
        <v>26085</v>
      </c>
      <c r="AB797" s="1" t="s">
        <v>46</v>
      </c>
      <c r="AC797" s="5">
        <v>299</v>
      </c>
      <c r="AD797" s="1" t="s">
        <v>2141</v>
      </c>
      <c r="AE797" s="1" t="str">
        <f t="shared" si="62"/>
        <v>2494 CT02-3</v>
      </c>
      <c r="AF797" s="5" t="str">
        <f t="shared" si="63"/>
        <v>20</v>
      </c>
      <c r="AG797" s="1" t="str">
        <f t="shared" si="61"/>
        <v/>
      </c>
    </row>
    <row r="798" spans="1:33" x14ac:dyDescent="0.2">
      <c r="A798" s="1" t="s">
        <v>2089</v>
      </c>
      <c r="B798" s="1" t="s">
        <v>2115</v>
      </c>
      <c r="C798" s="1">
        <v>2494</v>
      </c>
      <c r="D798" s="1" t="s">
        <v>2142</v>
      </c>
      <c r="E798" s="1" t="s">
        <v>2117</v>
      </c>
      <c r="F798" s="1">
        <v>2023</v>
      </c>
      <c r="G798" s="1" t="s">
        <v>617</v>
      </c>
      <c r="H798" s="1">
        <v>601740</v>
      </c>
      <c r="I798" s="1">
        <v>2</v>
      </c>
      <c r="K798" s="1" t="s">
        <v>2118</v>
      </c>
      <c r="L798" s="1" t="s">
        <v>2119</v>
      </c>
      <c r="M798" s="1">
        <v>47</v>
      </c>
      <c r="N798" s="1" t="s">
        <v>39</v>
      </c>
      <c r="O798" s="1">
        <v>40.663499999999999</v>
      </c>
      <c r="P798" s="1">
        <v>-74.005099999999999</v>
      </c>
      <c r="Q798" s="1" t="s">
        <v>2120</v>
      </c>
      <c r="T798" s="1" t="s">
        <v>93</v>
      </c>
      <c r="U798" s="1" t="s">
        <v>94</v>
      </c>
      <c r="V798" s="1" t="s">
        <v>44</v>
      </c>
      <c r="AA798" s="3">
        <v>26085</v>
      </c>
      <c r="AB798" s="1" t="s">
        <v>46</v>
      </c>
      <c r="AC798" s="5">
        <v>299</v>
      </c>
      <c r="AD798" s="1" t="s">
        <v>2143</v>
      </c>
      <c r="AE798" s="1" t="str">
        <f t="shared" si="62"/>
        <v>2494 CT02-4</v>
      </c>
      <c r="AF798" s="5" t="str">
        <f t="shared" si="63"/>
        <v>20</v>
      </c>
      <c r="AG798" s="1" t="str">
        <f t="shared" si="61"/>
        <v/>
      </c>
    </row>
    <row r="799" spans="1:33" x14ac:dyDescent="0.2">
      <c r="A799" s="1" t="s">
        <v>2089</v>
      </c>
      <c r="B799" s="1" t="s">
        <v>2115</v>
      </c>
      <c r="C799" s="1">
        <v>2494</v>
      </c>
      <c r="D799" s="1" t="s">
        <v>2144</v>
      </c>
      <c r="E799" s="1" t="s">
        <v>2117</v>
      </c>
      <c r="F799" s="1">
        <v>2023</v>
      </c>
      <c r="G799" s="1" t="s">
        <v>617</v>
      </c>
      <c r="H799" s="1">
        <v>601740</v>
      </c>
      <c r="I799" s="1">
        <v>2</v>
      </c>
      <c r="K799" s="1" t="s">
        <v>2118</v>
      </c>
      <c r="L799" s="1" t="s">
        <v>2119</v>
      </c>
      <c r="M799" s="1">
        <v>47</v>
      </c>
      <c r="N799" s="1" t="s">
        <v>39</v>
      </c>
      <c r="O799" s="1">
        <v>40.663499999999999</v>
      </c>
      <c r="P799" s="1">
        <v>-74.005099999999999</v>
      </c>
      <c r="Q799" s="1" t="s">
        <v>2120</v>
      </c>
      <c r="T799" s="1" t="s">
        <v>93</v>
      </c>
      <c r="U799" s="1" t="s">
        <v>94</v>
      </c>
      <c r="V799" s="1" t="s">
        <v>44</v>
      </c>
      <c r="AA799" s="3">
        <v>26085</v>
      </c>
      <c r="AB799" s="1" t="s">
        <v>46</v>
      </c>
      <c r="AC799" s="5">
        <v>299</v>
      </c>
      <c r="AD799" s="1" t="s">
        <v>2145</v>
      </c>
      <c r="AE799" s="1" t="str">
        <f t="shared" si="62"/>
        <v>2494 CT02-5</v>
      </c>
      <c r="AF799" s="5" t="str">
        <f t="shared" si="63"/>
        <v>20</v>
      </c>
      <c r="AG799" s="1" t="str">
        <f t="shared" si="61"/>
        <v/>
      </c>
    </row>
    <row r="800" spans="1:33" x14ac:dyDescent="0.2">
      <c r="A800" s="1" t="s">
        <v>2089</v>
      </c>
      <c r="B800" s="1" t="s">
        <v>2115</v>
      </c>
      <c r="C800" s="1">
        <v>2494</v>
      </c>
      <c r="D800" s="1" t="s">
        <v>2146</v>
      </c>
      <c r="E800" s="1" t="s">
        <v>2117</v>
      </c>
      <c r="F800" s="1">
        <v>2023</v>
      </c>
      <c r="G800" s="1" t="s">
        <v>617</v>
      </c>
      <c r="H800" s="1">
        <v>601740</v>
      </c>
      <c r="I800" s="1">
        <v>2</v>
      </c>
      <c r="K800" s="1" t="s">
        <v>2118</v>
      </c>
      <c r="L800" s="1" t="s">
        <v>2119</v>
      </c>
      <c r="M800" s="1">
        <v>47</v>
      </c>
      <c r="N800" s="1" t="s">
        <v>39</v>
      </c>
      <c r="O800" s="1">
        <v>40.663499999999999</v>
      </c>
      <c r="P800" s="1">
        <v>-74.005099999999999</v>
      </c>
      <c r="Q800" s="1" t="s">
        <v>2120</v>
      </c>
      <c r="T800" s="1" t="s">
        <v>93</v>
      </c>
      <c r="U800" s="1" t="s">
        <v>94</v>
      </c>
      <c r="V800" s="1" t="s">
        <v>44</v>
      </c>
      <c r="AA800" s="3">
        <v>26085</v>
      </c>
      <c r="AB800" s="1" t="s">
        <v>46</v>
      </c>
      <c r="AC800" s="5">
        <v>299</v>
      </c>
      <c r="AD800" s="1" t="s">
        <v>2147</v>
      </c>
      <c r="AE800" s="1" t="str">
        <f t="shared" si="62"/>
        <v>2494 CT02-6</v>
      </c>
      <c r="AF800" s="5" t="str">
        <f t="shared" si="63"/>
        <v>20</v>
      </c>
      <c r="AG800" s="1" t="str">
        <f t="shared" si="61"/>
        <v/>
      </c>
    </row>
    <row r="801" spans="1:33" x14ac:dyDescent="0.2">
      <c r="A801" s="1" t="s">
        <v>2089</v>
      </c>
      <c r="B801" s="1" t="s">
        <v>2115</v>
      </c>
      <c r="C801" s="1">
        <v>2494</v>
      </c>
      <c r="D801" s="1" t="s">
        <v>2148</v>
      </c>
      <c r="E801" s="1" t="s">
        <v>2117</v>
      </c>
      <c r="F801" s="1">
        <v>2023</v>
      </c>
      <c r="G801" s="1" t="s">
        <v>617</v>
      </c>
      <c r="H801" s="1">
        <v>601740</v>
      </c>
      <c r="I801" s="1">
        <v>2</v>
      </c>
      <c r="K801" s="1" t="s">
        <v>2118</v>
      </c>
      <c r="L801" s="1" t="s">
        <v>2119</v>
      </c>
      <c r="M801" s="1">
        <v>47</v>
      </c>
      <c r="N801" s="1" t="s">
        <v>39</v>
      </c>
      <c r="O801" s="1">
        <v>40.663499999999999</v>
      </c>
      <c r="P801" s="1">
        <v>-74.005099999999999</v>
      </c>
      <c r="Q801" s="1" t="s">
        <v>2120</v>
      </c>
      <c r="T801" s="1" t="s">
        <v>93</v>
      </c>
      <c r="U801" s="1" t="s">
        <v>94</v>
      </c>
      <c r="V801" s="1" t="s">
        <v>44</v>
      </c>
      <c r="AA801" s="3">
        <v>26085</v>
      </c>
      <c r="AB801" s="1" t="s">
        <v>46</v>
      </c>
      <c r="AC801" s="5">
        <v>299</v>
      </c>
      <c r="AD801" s="1" t="s">
        <v>2149</v>
      </c>
      <c r="AE801" s="1" t="str">
        <f t="shared" si="62"/>
        <v>2494 CT02-7</v>
      </c>
      <c r="AF801" s="5" t="str">
        <f t="shared" si="63"/>
        <v>20</v>
      </c>
      <c r="AG801" s="1" t="str">
        <f t="shared" si="61"/>
        <v/>
      </c>
    </row>
    <row r="802" spans="1:33" x14ac:dyDescent="0.2">
      <c r="A802" s="1" t="s">
        <v>2089</v>
      </c>
      <c r="B802" s="1" t="s">
        <v>2115</v>
      </c>
      <c r="C802" s="1">
        <v>2494</v>
      </c>
      <c r="D802" s="1" t="s">
        <v>2150</v>
      </c>
      <c r="E802" s="1" t="s">
        <v>2117</v>
      </c>
      <c r="F802" s="1">
        <v>2023</v>
      </c>
      <c r="G802" s="1" t="s">
        <v>617</v>
      </c>
      <c r="H802" s="1">
        <v>601740</v>
      </c>
      <c r="I802" s="1">
        <v>2</v>
      </c>
      <c r="K802" s="1" t="s">
        <v>2118</v>
      </c>
      <c r="L802" s="1" t="s">
        <v>2119</v>
      </c>
      <c r="M802" s="1">
        <v>47</v>
      </c>
      <c r="N802" s="1" t="s">
        <v>39</v>
      </c>
      <c r="O802" s="1">
        <v>40.663499999999999</v>
      </c>
      <c r="P802" s="1">
        <v>-74.005099999999999</v>
      </c>
      <c r="Q802" s="1" t="s">
        <v>2120</v>
      </c>
      <c r="T802" s="1" t="s">
        <v>93</v>
      </c>
      <c r="U802" s="1" t="s">
        <v>94</v>
      </c>
      <c r="V802" s="1" t="s">
        <v>44</v>
      </c>
      <c r="AA802" s="3">
        <v>26085</v>
      </c>
      <c r="AB802" s="1" t="s">
        <v>46</v>
      </c>
      <c r="AC802" s="5">
        <v>299</v>
      </c>
      <c r="AD802" s="1" t="s">
        <v>2151</v>
      </c>
      <c r="AE802" s="1" t="str">
        <f t="shared" si="62"/>
        <v>2494 CT02-8</v>
      </c>
      <c r="AF802" s="5" t="str">
        <f t="shared" si="63"/>
        <v>20</v>
      </c>
      <c r="AG802" s="1" t="str">
        <f t="shared" si="61"/>
        <v/>
      </c>
    </row>
    <row r="803" spans="1:33" x14ac:dyDescent="0.2">
      <c r="A803" s="1" t="s">
        <v>2089</v>
      </c>
      <c r="B803" s="1" t="s">
        <v>2115</v>
      </c>
      <c r="C803" s="1">
        <v>2494</v>
      </c>
      <c r="D803" s="1" t="s">
        <v>2152</v>
      </c>
      <c r="E803" s="1" t="s">
        <v>2117</v>
      </c>
      <c r="F803" s="1">
        <v>2023</v>
      </c>
      <c r="G803" s="1" t="s">
        <v>617</v>
      </c>
      <c r="H803" s="1">
        <v>601740</v>
      </c>
      <c r="I803" s="1">
        <v>2</v>
      </c>
      <c r="K803" s="1" t="s">
        <v>2118</v>
      </c>
      <c r="L803" s="1" t="s">
        <v>2119</v>
      </c>
      <c r="M803" s="1">
        <v>47</v>
      </c>
      <c r="N803" s="1" t="s">
        <v>39</v>
      </c>
      <c r="O803" s="1">
        <v>40.663499999999999</v>
      </c>
      <c r="P803" s="1">
        <v>-74.005099999999999</v>
      </c>
      <c r="Q803" s="1" t="s">
        <v>2120</v>
      </c>
      <c r="T803" s="1" t="s">
        <v>93</v>
      </c>
      <c r="U803" s="1" t="s">
        <v>94</v>
      </c>
      <c r="V803" s="1" t="s">
        <v>44</v>
      </c>
      <c r="AA803" s="3">
        <v>26085</v>
      </c>
      <c r="AB803" s="1" t="s">
        <v>46</v>
      </c>
      <c r="AC803" s="5">
        <v>299</v>
      </c>
      <c r="AD803" s="1" t="s">
        <v>2153</v>
      </c>
      <c r="AE803" s="1" t="str">
        <f t="shared" si="62"/>
        <v>2494 CT03-1</v>
      </c>
      <c r="AF803" s="5" t="str">
        <f t="shared" si="63"/>
        <v>20</v>
      </c>
      <c r="AG803" s="1" t="str">
        <f t="shared" si="61"/>
        <v/>
      </c>
    </row>
    <row r="804" spans="1:33" x14ac:dyDescent="0.2">
      <c r="A804" s="1" t="s">
        <v>2089</v>
      </c>
      <c r="B804" s="1" t="s">
        <v>2115</v>
      </c>
      <c r="C804" s="1">
        <v>2494</v>
      </c>
      <c r="D804" s="1" t="s">
        <v>2154</v>
      </c>
      <c r="E804" s="1" t="s">
        <v>2117</v>
      </c>
      <c r="F804" s="1">
        <v>2023</v>
      </c>
      <c r="G804" s="1" t="s">
        <v>617</v>
      </c>
      <c r="H804" s="1">
        <v>601740</v>
      </c>
      <c r="I804" s="1">
        <v>2</v>
      </c>
      <c r="K804" s="1" t="s">
        <v>2118</v>
      </c>
      <c r="L804" s="1" t="s">
        <v>2119</v>
      </c>
      <c r="M804" s="1">
        <v>47</v>
      </c>
      <c r="N804" s="1" t="s">
        <v>39</v>
      </c>
      <c r="O804" s="1">
        <v>40.663499999999999</v>
      </c>
      <c r="P804" s="1">
        <v>-74.005099999999999</v>
      </c>
      <c r="Q804" s="1" t="s">
        <v>2120</v>
      </c>
      <c r="T804" s="1" t="s">
        <v>93</v>
      </c>
      <c r="U804" s="1" t="s">
        <v>94</v>
      </c>
      <c r="V804" s="1" t="s">
        <v>44</v>
      </c>
      <c r="AA804" s="3">
        <v>26085</v>
      </c>
      <c r="AB804" s="1" t="s">
        <v>46</v>
      </c>
      <c r="AC804" s="5">
        <v>299</v>
      </c>
      <c r="AD804" s="1" t="s">
        <v>2155</v>
      </c>
      <c r="AE804" s="1" t="str">
        <f t="shared" si="62"/>
        <v>2494 CT03-2</v>
      </c>
      <c r="AF804" s="5" t="str">
        <f t="shared" si="63"/>
        <v>20</v>
      </c>
      <c r="AG804" s="1" t="str">
        <f t="shared" si="61"/>
        <v/>
      </c>
    </row>
    <row r="805" spans="1:33" x14ac:dyDescent="0.2">
      <c r="A805" s="1" t="s">
        <v>2089</v>
      </c>
      <c r="B805" s="1" t="s">
        <v>2115</v>
      </c>
      <c r="C805" s="1">
        <v>2494</v>
      </c>
      <c r="D805" s="1" t="s">
        <v>2156</v>
      </c>
      <c r="E805" s="1" t="s">
        <v>2117</v>
      </c>
      <c r="F805" s="1">
        <v>2023</v>
      </c>
      <c r="G805" s="1" t="s">
        <v>617</v>
      </c>
      <c r="H805" s="1">
        <v>601740</v>
      </c>
      <c r="I805" s="1">
        <v>2</v>
      </c>
      <c r="K805" s="1" t="s">
        <v>2118</v>
      </c>
      <c r="L805" s="1" t="s">
        <v>2119</v>
      </c>
      <c r="M805" s="1">
        <v>47</v>
      </c>
      <c r="N805" s="1" t="s">
        <v>39</v>
      </c>
      <c r="O805" s="1">
        <v>40.663499999999999</v>
      </c>
      <c r="P805" s="1">
        <v>-74.005099999999999</v>
      </c>
      <c r="Q805" s="1" t="s">
        <v>2120</v>
      </c>
      <c r="T805" s="1" t="s">
        <v>93</v>
      </c>
      <c r="U805" s="1" t="s">
        <v>94</v>
      </c>
      <c r="V805" s="1" t="s">
        <v>44</v>
      </c>
      <c r="AA805" s="3">
        <v>26085</v>
      </c>
      <c r="AB805" s="1" t="s">
        <v>46</v>
      </c>
      <c r="AC805" s="5">
        <v>299</v>
      </c>
      <c r="AD805" s="1" t="s">
        <v>2157</v>
      </c>
      <c r="AE805" s="1" t="str">
        <f t="shared" si="62"/>
        <v>2494 CT03-3</v>
      </c>
      <c r="AF805" s="5" t="str">
        <f t="shared" si="63"/>
        <v>20</v>
      </c>
      <c r="AG805" s="1" t="str">
        <f t="shared" si="61"/>
        <v/>
      </c>
    </row>
    <row r="806" spans="1:33" x14ac:dyDescent="0.2">
      <c r="A806" s="1" t="s">
        <v>2089</v>
      </c>
      <c r="B806" s="1" t="s">
        <v>2115</v>
      </c>
      <c r="C806" s="1">
        <v>2494</v>
      </c>
      <c r="D806" s="1" t="s">
        <v>2158</v>
      </c>
      <c r="E806" s="1" t="s">
        <v>2117</v>
      </c>
      <c r="F806" s="1">
        <v>2023</v>
      </c>
      <c r="G806" s="1" t="s">
        <v>617</v>
      </c>
      <c r="H806" s="1">
        <v>601740</v>
      </c>
      <c r="I806" s="1">
        <v>2</v>
      </c>
      <c r="K806" s="1" t="s">
        <v>2118</v>
      </c>
      <c r="L806" s="1" t="s">
        <v>2119</v>
      </c>
      <c r="M806" s="1">
        <v>47</v>
      </c>
      <c r="N806" s="1" t="s">
        <v>39</v>
      </c>
      <c r="O806" s="1">
        <v>40.663499999999999</v>
      </c>
      <c r="P806" s="1">
        <v>-74.005099999999999</v>
      </c>
      <c r="Q806" s="1" t="s">
        <v>2120</v>
      </c>
      <c r="T806" s="1" t="s">
        <v>93</v>
      </c>
      <c r="U806" s="1" t="s">
        <v>94</v>
      </c>
      <c r="V806" s="1" t="s">
        <v>44</v>
      </c>
      <c r="AA806" s="3">
        <v>26085</v>
      </c>
      <c r="AB806" s="1" t="s">
        <v>46</v>
      </c>
      <c r="AC806" s="5">
        <v>299</v>
      </c>
      <c r="AD806" s="1" t="s">
        <v>2159</v>
      </c>
      <c r="AE806" s="1" t="str">
        <f t="shared" si="62"/>
        <v>2494 CT03-4</v>
      </c>
      <c r="AF806" s="5" t="str">
        <f t="shared" si="63"/>
        <v>20</v>
      </c>
      <c r="AG806" s="1" t="str">
        <f t="shared" si="61"/>
        <v/>
      </c>
    </row>
    <row r="807" spans="1:33" x14ac:dyDescent="0.2">
      <c r="A807" s="1" t="s">
        <v>2089</v>
      </c>
      <c r="B807" s="1" t="s">
        <v>2115</v>
      </c>
      <c r="C807" s="1">
        <v>2494</v>
      </c>
      <c r="D807" s="1" t="s">
        <v>2160</v>
      </c>
      <c r="E807" s="1" t="s">
        <v>2117</v>
      </c>
      <c r="F807" s="1">
        <v>2023</v>
      </c>
      <c r="G807" s="1" t="s">
        <v>617</v>
      </c>
      <c r="H807" s="1">
        <v>601740</v>
      </c>
      <c r="I807" s="1">
        <v>2</v>
      </c>
      <c r="K807" s="1" t="s">
        <v>2118</v>
      </c>
      <c r="L807" s="1" t="s">
        <v>2119</v>
      </c>
      <c r="M807" s="1">
        <v>47</v>
      </c>
      <c r="N807" s="1" t="s">
        <v>39</v>
      </c>
      <c r="O807" s="1">
        <v>40.663499999999999</v>
      </c>
      <c r="P807" s="1">
        <v>-74.005099999999999</v>
      </c>
      <c r="Q807" s="1" t="s">
        <v>2120</v>
      </c>
      <c r="T807" s="1" t="s">
        <v>93</v>
      </c>
      <c r="U807" s="1" t="s">
        <v>94</v>
      </c>
      <c r="V807" s="1" t="s">
        <v>44</v>
      </c>
      <c r="AA807" s="3">
        <v>26085</v>
      </c>
      <c r="AB807" s="1" t="s">
        <v>46</v>
      </c>
      <c r="AC807" s="5">
        <v>299</v>
      </c>
      <c r="AD807" s="1" t="s">
        <v>2161</v>
      </c>
      <c r="AE807" s="1" t="str">
        <f t="shared" si="62"/>
        <v>2494 CT03-5</v>
      </c>
      <c r="AF807" s="5" t="str">
        <f t="shared" si="63"/>
        <v>20</v>
      </c>
      <c r="AG807" s="1" t="str">
        <f t="shared" si="61"/>
        <v/>
      </c>
    </row>
    <row r="808" spans="1:33" x14ac:dyDescent="0.2">
      <c r="A808" s="1" t="s">
        <v>2089</v>
      </c>
      <c r="B808" s="1" t="s">
        <v>2115</v>
      </c>
      <c r="C808" s="1">
        <v>2494</v>
      </c>
      <c r="D808" s="1" t="s">
        <v>2162</v>
      </c>
      <c r="E808" s="1" t="s">
        <v>2117</v>
      </c>
      <c r="F808" s="1">
        <v>2023</v>
      </c>
      <c r="G808" s="1" t="s">
        <v>617</v>
      </c>
      <c r="H808" s="1">
        <v>601740</v>
      </c>
      <c r="I808" s="1">
        <v>2</v>
      </c>
      <c r="K808" s="1" t="s">
        <v>2118</v>
      </c>
      <c r="L808" s="1" t="s">
        <v>2119</v>
      </c>
      <c r="M808" s="1">
        <v>47</v>
      </c>
      <c r="N808" s="1" t="s">
        <v>39</v>
      </c>
      <c r="O808" s="1">
        <v>40.663499999999999</v>
      </c>
      <c r="P808" s="1">
        <v>-74.005099999999999</v>
      </c>
      <c r="Q808" s="1" t="s">
        <v>2120</v>
      </c>
      <c r="T808" s="1" t="s">
        <v>93</v>
      </c>
      <c r="U808" s="1" t="s">
        <v>94</v>
      </c>
      <c r="V808" s="1" t="s">
        <v>44</v>
      </c>
      <c r="AA808" s="3">
        <v>26085</v>
      </c>
      <c r="AB808" s="1" t="s">
        <v>46</v>
      </c>
      <c r="AC808" s="5">
        <v>299</v>
      </c>
      <c r="AD808" s="1" t="s">
        <v>2163</v>
      </c>
      <c r="AE808" s="1" t="str">
        <f t="shared" si="62"/>
        <v>2494 CT03-6</v>
      </c>
      <c r="AF808" s="5" t="str">
        <f t="shared" si="63"/>
        <v>20</v>
      </c>
      <c r="AG808" s="1" t="str">
        <f t="shared" si="61"/>
        <v/>
      </c>
    </row>
    <row r="809" spans="1:33" x14ac:dyDescent="0.2">
      <c r="A809" s="1" t="s">
        <v>2089</v>
      </c>
      <c r="B809" s="1" t="s">
        <v>2115</v>
      </c>
      <c r="C809" s="1">
        <v>2494</v>
      </c>
      <c r="D809" s="1" t="s">
        <v>2164</v>
      </c>
      <c r="E809" s="1" t="s">
        <v>2117</v>
      </c>
      <c r="F809" s="1">
        <v>2023</v>
      </c>
      <c r="G809" s="1" t="s">
        <v>617</v>
      </c>
      <c r="H809" s="1">
        <v>601740</v>
      </c>
      <c r="I809" s="1">
        <v>2</v>
      </c>
      <c r="K809" s="1" t="s">
        <v>2118</v>
      </c>
      <c r="L809" s="1" t="s">
        <v>2119</v>
      </c>
      <c r="M809" s="1">
        <v>47</v>
      </c>
      <c r="N809" s="1" t="s">
        <v>39</v>
      </c>
      <c r="O809" s="1">
        <v>40.663499999999999</v>
      </c>
      <c r="P809" s="1">
        <v>-74.005099999999999</v>
      </c>
      <c r="Q809" s="1" t="s">
        <v>2120</v>
      </c>
      <c r="T809" s="1" t="s">
        <v>93</v>
      </c>
      <c r="U809" s="1" t="s">
        <v>94</v>
      </c>
      <c r="V809" s="1" t="s">
        <v>44</v>
      </c>
      <c r="AA809" s="3">
        <v>26085</v>
      </c>
      <c r="AB809" s="1" t="s">
        <v>46</v>
      </c>
      <c r="AC809" s="5">
        <v>299</v>
      </c>
      <c r="AD809" s="1" t="s">
        <v>2165</v>
      </c>
      <c r="AE809" s="1" t="str">
        <f t="shared" si="62"/>
        <v>2494 CT03-7</v>
      </c>
      <c r="AF809" s="5" t="str">
        <f t="shared" si="63"/>
        <v>20</v>
      </c>
      <c r="AG809" s="1" t="str">
        <f t="shared" si="61"/>
        <v/>
      </c>
    </row>
    <row r="810" spans="1:33" x14ac:dyDescent="0.2">
      <c r="A810" s="1" t="s">
        <v>2089</v>
      </c>
      <c r="B810" s="1" t="s">
        <v>2115</v>
      </c>
      <c r="C810" s="1">
        <v>2494</v>
      </c>
      <c r="D810" s="1" t="s">
        <v>2166</v>
      </c>
      <c r="E810" s="1" t="s">
        <v>2117</v>
      </c>
      <c r="F810" s="1">
        <v>2023</v>
      </c>
      <c r="G810" s="1" t="s">
        <v>617</v>
      </c>
      <c r="H810" s="1">
        <v>601740</v>
      </c>
      <c r="I810" s="1">
        <v>2</v>
      </c>
      <c r="K810" s="1" t="s">
        <v>2118</v>
      </c>
      <c r="L810" s="1" t="s">
        <v>2119</v>
      </c>
      <c r="M810" s="1">
        <v>47</v>
      </c>
      <c r="N810" s="1" t="s">
        <v>39</v>
      </c>
      <c r="O810" s="1">
        <v>40.663499999999999</v>
      </c>
      <c r="P810" s="1">
        <v>-74.005099999999999</v>
      </c>
      <c r="Q810" s="1" t="s">
        <v>2120</v>
      </c>
      <c r="T810" s="1" t="s">
        <v>93</v>
      </c>
      <c r="U810" s="1" t="s">
        <v>94</v>
      </c>
      <c r="V810" s="1" t="s">
        <v>44</v>
      </c>
      <c r="AA810" s="3">
        <v>26085</v>
      </c>
      <c r="AB810" s="1" t="s">
        <v>46</v>
      </c>
      <c r="AC810" s="5">
        <v>299</v>
      </c>
      <c r="AD810" s="1" t="s">
        <v>2167</v>
      </c>
      <c r="AE810" s="1" t="str">
        <f t="shared" si="62"/>
        <v>2494 CT03-8</v>
      </c>
      <c r="AF810" s="5" t="str">
        <f t="shared" si="63"/>
        <v>20</v>
      </c>
      <c r="AG810" s="1" t="str">
        <f t="shared" si="61"/>
        <v/>
      </c>
    </row>
    <row r="811" spans="1:33" x14ac:dyDescent="0.2">
      <c r="A811" s="1" t="s">
        <v>2089</v>
      </c>
      <c r="B811" s="1" t="s">
        <v>2115</v>
      </c>
      <c r="C811" s="1">
        <v>2494</v>
      </c>
      <c r="D811" s="1" t="s">
        <v>2168</v>
      </c>
      <c r="E811" s="1" t="s">
        <v>2117</v>
      </c>
      <c r="F811" s="1">
        <v>2023</v>
      </c>
      <c r="G811" s="1" t="s">
        <v>617</v>
      </c>
      <c r="H811" s="1">
        <v>601740</v>
      </c>
      <c r="I811" s="1">
        <v>2</v>
      </c>
      <c r="K811" s="1" t="s">
        <v>2118</v>
      </c>
      <c r="L811" s="1" t="s">
        <v>2119</v>
      </c>
      <c r="M811" s="1">
        <v>47</v>
      </c>
      <c r="N811" s="1" t="s">
        <v>39</v>
      </c>
      <c r="O811" s="1">
        <v>40.663499999999999</v>
      </c>
      <c r="P811" s="1">
        <v>-74.005099999999999</v>
      </c>
      <c r="Q811" s="1" t="s">
        <v>2120</v>
      </c>
      <c r="T811" s="1" t="s">
        <v>93</v>
      </c>
      <c r="U811" s="1" t="s">
        <v>94</v>
      </c>
      <c r="AA811" s="3">
        <v>26085</v>
      </c>
      <c r="AB811" s="1" t="s">
        <v>46</v>
      </c>
      <c r="AC811" s="5">
        <v>299</v>
      </c>
      <c r="AD811" s="1" t="s">
        <v>2169</v>
      </c>
      <c r="AE811" s="1" t="str">
        <f t="shared" si="62"/>
        <v>2494 CT04-1</v>
      </c>
      <c r="AF811" s="5" t="str">
        <f t="shared" si="63"/>
        <v>20</v>
      </c>
      <c r="AG811" s="1" t="str">
        <f t="shared" si="61"/>
        <v/>
      </c>
    </row>
    <row r="812" spans="1:33" x14ac:dyDescent="0.2">
      <c r="A812" s="1" t="s">
        <v>2089</v>
      </c>
      <c r="B812" s="1" t="s">
        <v>2115</v>
      </c>
      <c r="C812" s="1">
        <v>2494</v>
      </c>
      <c r="D812" s="1" t="s">
        <v>2170</v>
      </c>
      <c r="E812" s="1" t="s">
        <v>2117</v>
      </c>
      <c r="F812" s="1">
        <v>2023</v>
      </c>
      <c r="G812" s="1" t="s">
        <v>617</v>
      </c>
      <c r="H812" s="1">
        <v>601740</v>
      </c>
      <c r="I812" s="1">
        <v>2</v>
      </c>
      <c r="K812" s="1" t="s">
        <v>2118</v>
      </c>
      <c r="L812" s="1" t="s">
        <v>2119</v>
      </c>
      <c r="M812" s="1">
        <v>47</v>
      </c>
      <c r="N812" s="1" t="s">
        <v>39</v>
      </c>
      <c r="O812" s="1">
        <v>40.663499999999999</v>
      </c>
      <c r="P812" s="1">
        <v>-74.005099999999999</v>
      </c>
      <c r="Q812" s="1" t="s">
        <v>2120</v>
      </c>
      <c r="T812" s="1" t="s">
        <v>93</v>
      </c>
      <c r="U812" s="1" t="s">
        <v>94</v>
      </c>
      <c r="AA812" s="3">
        <v>26085</v>
      </c>
      <c r="AB812" s="1" t="s">
        <v>46</v>
      </c>
      <c r="AC812" s="5">
        <v>299</v>
      </c>
      <c r="AD812" s="1" t="s">
        <v>2171</v>
      </c>
      <c r="AE812" s="1" t="str">
        <f t="shared" si="62"/>
        <v>2494 CT04-2</v>
      </c>
      <c r="AF812" s="5" t="str">
        <f t="shared" si="63"/>
        <v>20</v>
      </c>
      <c r="AG812" s="1" t="str">
        <f t="shared" si="61"/>
        <v/>
      </c>
    </row>
    <row r="813" spans="1:33" x14ac:dyDescent="0.2">
      <c r="A813" s="1" t="s">
        <v>2089</v>
      </c>
      <c r="B813" s="1" t="s">
        <v>2115</v>
      </c>
      <c r="C813" s="1">
        <v>2494</v>
      </c>
      <c r="D813" s="1" t="s">
        <v>2172</v>
      </c>
      <c r="E813" s="1" t="s">
        <v>2117</v>
      </c>
      <c r="F813" s="1">
        <v>2023</v>
      </c>
      <c r="G813" s="1" t="s">
        <v>617</v>
      </c>
      <c r="H813" s="1">
        <v>601740</v>
      </c>
      <c r="I813" s="1">
        <v>2</v>
      </c>
      <c r="K813" s="1" t="s">
        <v>2118</v>
      </c>
      <c r="L813" s="1" t="s">
        <v>2119</v>
      </c>
      <c r="M813" s="1">
        <v>47</v>
      </c>
      <c r="N813" s="1" t="s">
        <v>39</v>
      </c>
      <c r="O813" s="1">
        <v>40.663499999999999</v>
      </c>
      <c r="P813" s="1">
        <v>-74.005099999999999</v>
      </c>
      <c r="Q813" s="1" t="s">
        <v>2120</v>
      </c>
      <c r="T813" s="1" t="s">
        <v>93</v>
      </c>
      <c r="U813" s="1" t="s">
        <v>94</v>
      </c>
      <c r="AA813" s="3">
        <v>26085</v>
      </c>
      <c r="AB813" s="1" t="s">
        <v>46</v>
      </c>
      <c r="AC813" s="5">
        <v>299</v>
      </c>
      <c r="AD813" s="1" t="s">
        <v>2173</v>
      </c>
      <c r="AE813" s="1" t="str">
        <f t="shared" si="62"/>
        <v>2494 CT04-3</v>
      </c>
      <c r="AF813" s="5" t="str">
        <f t="shared" ref="AF813:AF840" si="64">MID(AD813,FIND("(",AD813)+1,FIND(")",AD813)-FIND("(",AD813)-1)</f>
        <v>20</v>
      </c>
      <c r="AG813" s="1" t="str">
        <f t="shared" si="61"/>
        <v/>
      </c>
    </row>
    <row r="814" spans="1:33" x14ac:dyDescent="0.2">
      <c r="A814" s="1" t="s">
        <v>2089</v>
      </c>
      <c r="B814" s="1" t="s">
        <v>2115</v>
      </c>
      <c r="C814" s="1">
        <v>2494</v>
      </c>
      <c r="D814" s="1" t="s">
        <v>2174</v>
      </c>
      <c r="E814" s="1" t="s">
        <v>2117</v>
      </c>
      <c r="F814" s="1">
        <v>2023</v>
      </c>
      <c r="G814" s="1" t="s">
        <v>617</v>
      </c>
      <c r="H814" s="1">
        <v>601740</v>
      </c>
      <c r="I814" s="1">
        <v>2</v>
      </c>
      <c r="K814" s="1" t="s">
        <v>2118</v>
      </c>
      <c r="L814" s="1" t="s">
        <v>2119</v>
      </c>
      <c r="M814" s="1">
        <v>47</v>
      </c>
      <c r="N814" s="1" t="s">
        <v>39</v>
      </c>
      <c r="O814" s="1">
        <v>40.663499999999999</v>
      </c>
      <c r="P814" s="1">
        <v>-74.005099999999999</v>
      </c>
      <c r="Q814" s="1" t="s">
        <v>2120</v>
      </c>
      <c r="T814" s="1" t="s">
        <v>93</v>
      </c>
      <c r="U814" s="1" t="s">
        <v>94</v>
      </c>
      <c r="AA814" s="3">
        <v>26085</v>
      </c>
      <c r="AB814" s="1" t="s">
        <v>46</v>
      </c>
      <c r="AC814" s="5">
        <v>299</v>
      </c>
      <c r="AD814" s="1" t="s">
        <v>2175</v>
      </c>
      <c r="AE814" s="1" t="str">
        <f t="shared" si="62"/>
        <v>2494 CT04-4</v>
      </c>
      <c r="AF814" s="5" t="str">
        <f t="shared" si="64"/>
        <v>20</v>
      </c>
      <c r="AG814" s="1" t="str">
        <f t="shared" si="61"/>
        <v/>
      </c>
    </row>
    <row r="815" spans="1:33" x14ac:dyDescent="0.2">
      <c r="A815" s="1" t="s">
        <v>2089</v>
      </c>
      <c r="B815" s="1" t="s">
        <v>2115</v>
      </c>
      <c r="C815" s="1">
        <v>2494</v>
      </c>
      <c r="D815" s="1" t="s">
        <v>2176</v>
      </c>
      <c r="E815" s="1" t="s">
        <v>2117</v>
      </c>
      <c r="F815" s="1">
        <v>2023</v>
      </c>
      <c r="G815" s="1" t="s">
        <v>617</v>
      </c>
      <c r="H815" s="1">
        <v>601740</v>
      </c>
      <c r="I815" s="1">
        <v>2</v>
      </c>
      <c r="K815" s="1" t="s">
        <v>2118</v>
      </c>
      <c r="L815" s="1" t="s">
        <v>2119</v>
      </c>
      <c r="M815" s="1">
        <v>47</v>
      </c>
      <c r="N815" s="1" t="s">
        <v>39</v>
      </c>
      <c r="O815" s="1">
        <v>40.663499999999999</v>
      </c>
      <c r="P815" s="1">
        <v>-74.005099999999999</v>
      </c>
      <c r="Q815" s="1" t="s">
        <v>2120</v>
      </c>
      <c r="T815" s="1" t="s">
        <v>93</v>
      </c>
      <c r="U815" s="1" t="s">
        <v>94</v>
      </c>
      <c r="AA815" s="3">
        <v>26085</v>
      </c>
      <c r="AB815" s="1" t="s">
        <v>46</v>
      </c>
      <c r="AC815" s="5">
        <v>299</v>
      </c>
      <c r="AD815" s="1" t="s">
        <v>2177</v>
      </c>
      <c r="AE815" s="1" t="str">
        <f t="shared" si="62"/>
        <v>2494 CT04-5</v>
      </c>
      <c r="AF815" s="5" t="str">
        <f t="shared" si="64"/>
        <v>20</v>
      </c>
      <c r="AG815" s="1" t="str">
        <f t="shared" si="61"/>
        <v/>
      </c>
    </row>
    <row r="816" spans="1:33" x14ac:dyDescent="0.2">
      <c r="A816" s="1" t="s">
        <v>2089</v>
      </c>
      <c r="B816" s="1" t="s">
        <v>2115</v>
      </c>
      <c r="C816" s="1">
        <v>2494</v>
      </c>
      <c r="D816" s="1" t="s">
        <v>2178</v>
      </c>
      <c r="E816" s="1" t="s">
        <v>2117</v>
      </c>
      <c r="F816" s="1">
        <v>2023</v>
      </c>
      <c r="G816" s="1" t="s">
        <v>617</v>
      </c>
      <c r="H816" s="1">
        <v>601740</v>
      </c>
      <c r="I816" s="1">
        <v>2</v>
      </c>
      <c r="K816" s="1" t="s">
        <v>2118</v>
      </c>
      <c r="L816" s="1" t="s">
        <v>2119</v>
      </c>
      <c r="M816" s="1">
        <v>47</v>
      </c>
      <c r="N816" s="1" t="s">
        <v>39</v>
      </c>
      <c r="O816" s="1">
        <v>40.663499999999999</v>
      </c>
      <c r="P816" s="1">
        <v>-74.005099999999999</v>
      </c>
      <c r="Q816" s="1" t="s">
        <v>2120</v>
      </c>
      <c r="T816" s="1" t="s">
        <v>93</v>
      </c>
      <c r="U816" s="1" t="s">
        <v>94</v>
      </c>
      <c r="AA816" s="3">
        <v>26085</v>
      </c>
      <c r="AB816" s="1" t="s">
        <v>46</v>
      </c>
      <c r="AC816" s="5">
        <v>299</v>
      </c>
      <c r="AD816" s="1" t="s">
        <v>2179</v>
      </c>
      <c r="AE816" s="1" t="str">
        <f t="shared" si="62"/>
        <v>2494 CT04-6</v>
      </c>
      <c r="AF816" s="5" t="str">
        <f t="shared" si="64"/>
        <v>20</v>
      </c>
      <c r="AG816" s="1" t="str">
        <f t="shared" si="61"/>
        <v/>
      </c>
    </row>
    <row r="817" spans="1:33" x14ac:dyDescent="0.2">
      <c r="A817" s="1" t="s">
        <v>2089</v>
      </c>
      <c r="B817" s="1" t="s">
        <v>2115</v>
      </c>
      <c r="C817" s="1">
        <v>2494</v>
      </c>
      <c r="D817" s="1" t="s">
        <v>2180</v>
      </c>
      <c r="E817" s="1" t="s">
        <v>2117</v>
      </c>
      <c r="F817" s="1">
        <v>2023</v>
      </c>
      <c r="G817" s="1" t="s">
        <v>617</v>
      </c>
      <c r="H817" s="1">
        <v>601740</v>
      </c>
      <c r="I817" s="1">
        <v>2</v>
      </c>
      <c r="K817" s="1" t="s">
        <v>2118</v>
      </c>
      <c r="L817" s="1" t="s">
        <v>2119</v>
      </c>
      <c r="M817" s="1">
        <v>47</v>
      </c>
      <c r="N817" s="1" t="s">
        <v>39</v>
      </c>
      <c r="O817" s="1">
        <v>40.663499999999999</v>
      </c>
      <c r="P817" s="1">
        <v>-74.005099999999999</v>
      </c>
      <c r="Q817" s="1" t="s">
        <v>2120</v>
      </c>
      <c r="T817" s="1" t="s">
        <v>93</v>
      </c>
      <c r="U817" s="1" t="s">
        <v>94</v>
      </c>
      <c r="AA817" s="3">
        <v>26085</v>
      </c>
      <c r="AB817" s="1" t="s">
        <v>46</v>
      </c>
      <c r="AC817" s="5">
        <v>299</v>
      </c>
      <c r="AD817" s="1" t="s">
        <v>2181</v>
      </c>
      <c r="AE817" s="1" t="str">
        <f t="shared" si="62"/>
        <v>2494 CT04-7</v>
      </c>
      <c r="AF817" s="5" t="str">
        <f t="shared" si="64"/>
        <v>20</v>
      </c>
      <c r="AG817" s="1" t="str">
        <f t="shared" si="61"/>
        <v/>
      </c>
    </row>
    <row r="818" spans="1:33" x14ac:dyDescent="0.2">
      <c r="A818" s="1" t="s">
        <v>2089</v>
      </c>
      <c r="B818" s="1" t="s">
        <v>2115</v>
      </c>
      <c r="C818" s="1">
        <v>2494</v>
      </c>
      <c r="D818" s="1" t="s">
        <v>2182</v>
      </c>
      <c r="E818" s="1" t="s">
        <v>2117</v>
      </c>
      <c r="F818" s="1">
        <v>2023</v>
      </c>
      <c r="G818" s="1" t="s">
        <v>617</v>
      </c>
      <c r="H818" s="1">
        <v>601740</v>
      </c>
      <c r="I818" s="1">
        <v>2</v>
      </c>
      <c r="K818" s="1" t="s">
        <v>2118</v>
      </c>
      <c r="L818" s="1" t="s">
        <v>2119</v>
      </c>
      <c r="M818" s="1">
        <v>47</v>
      </c>
      <c r="N818" s="1" t="s">
        <v>39</v>
      </c>
      <c r="O818" s="1">
        <v>40.663499999999999</v>
      </c>
      <c r="P818" s="1">
        <v>-74.005099999999999</v>
      </c>
      <c r="Q818" s="1" t="s">
        <v>2120</v>
      </c>
      <c r="T818" s="1" t="s">
        <v>93</v>
      </c>
      <c r="U818" s="1" t="s">
        <v>94</v>
      </c>
      <c r="AA818" s="3">
        <v>26085</v>
      </c>
      <c r="AB818" s="1" t="s">
        <v>46</v>
      </c>
      <c r="AC818" s="5">
        <v>299</v>
      </c>
      <c r="AD818" s="1" t="s">
        <v>2183</v>
      </c>
      <c r="AE818" s="1" t="str">
        <f t="shared" si="62"/>
        <v>2494 CT04-8</v>
      </c>
      <c r="AF818" s="5" t="str">
        <f t="shared" si="64"/>
        <v>20</v>
      </c>
      <c r="AG818" s="1" t="str">
        <f t="shared" si="61"/>
        <v/>
      </c>
    </row>
    <row r="819" spans="1:33" x14ac:dyDescent="0.2">
      <c r="A819" s="1" t="s">
        <v>2089</v>
      </c>
      <c r="B819" s="1" t="s">
        <v>2184</v>
      </c>
      <c r="C819" s="1">
        <v>2499</v>
      </c>
      <c r="D819" s="1" t="s">
        <v>2116</v>
      </c>
      <c r="E819" s="1" t="s">
        <v>2117</v>
      </c>
      <c r="F819" s="1">
        <v>2023</v>
      </c>
      <c r="G819" s="1" t="s">
        <v>617</v>
      </c>
      <c r="H819" s="1">
        <v>601740</v>
      </c>
      <c r="I819" s="1">
        <v>2</v>
      </c>
      <c r="K819" s="1" t="s">
        <v>2118</v>
      </c>
      <c r="L819" s="1" t="s">
        <v>2119</v>
      </c>
      <c r="M819" s="1">
        <v>47</v>
      </c>
      <c r="N819" s="1" t="s">
        <v>39</v>
      </c>
      <c r="O819" s="1">
        <v>40.648600000000002</v>
      </c>
      <c r="P819" s="1">
        <v>-74.020899999999997</v>
      </c>
      <c r="Q819" s="1" t="s">
        <v>2120</v>
      </c>
      <c r="T819" s="1" t="s">
        <v>93</v>
      </c>
      <c r="U819" s="1" t="s">
        <v>44</v>
      </c>
      <c r="V819" s="1" t="s">
        <v>94</v>
      </c>
      <c r="AA819" s="3">
        <v>26420</v>
      </c>
      <c r="AB819" s="1" t="s">
        <v>46</v>
      </c>
      <c r="AC819" s="5">
        <v>297</v>
      </c>
      <c r="AD819" s="1" t="s">
        <v>2185</v>
      </c>
      <c r="AE819" s="1" t="str">
        <f t="shared" si="62"/>
        <v>2499 CT01-1</v>
      </c>
      <c r="AF819" s="5" t="str">
        <f t="shared" si="64"/>
        <v>22</v>
      </c>
      <c r="AG819" s="1" t="str">
        <f t="shared" si="61"/>
        <v/>
      </c>
    </row>
    <row r="820" spans="1:33" x14ac:dyDescent="0.2">
      <c r="A820" s="1" t="s">
        <v>2089</v>
      </c>
      <c r="B820" s="1" t="s">
        <v>2184</v>
      </c>
      <c r="C820" s="1">
        <v>2499</v>
      </c>
      <c r="D820" s="1" t="s">
        <v>2122</v>
      </c>
      <c r="E820" s="1" t="s">
        <v>2117</v>
      </c>
      <c r="F820" s="1">
        <v>2023</v>
      </c>
      <c r="G820" s="1" t="s">
        <v>617</v>
      </c>
      <c r="H820" s="1">
        <v>601740</v>
      </c>
      <c r="I820" s="1">
        <v>2</v>
      </c>
      <c r="K820" s="1" t="s">
        <v>2118</v>
      </c>
      <c r="L820" s="1" t="s">
        <v>2119</v>
      </c>
      <c r="M820" s="1">
        <v>47</v>
      </c>
      <c r="N820" s="1" t="s">
        <v>39</v>
      </c>
      <c r="O820" s="1">
        <v>40.648600000000002</v>
      </c>
      <c r="P820" s="1">
        <v>-74.020899999999997</v>
      </c>
      <c r="Q820" s="1" t="s">
        <v>2120</v>
      </c>
      <c r="T820" s="1" t="s">
        <v>93</v>
      </c>
      <c r="U820" s="1" t="s">
        <v>44</v>
      </c>
      <c r="V820" s="1" t="s">
        <v>94</v>
      </c>
      <c r="AA820" s="3">
        <v>26420</v>
      </c>
      <c r="AB820" s="1" t="s">
        <v>46</v>
      </c>
      <c r="AC820" s="5">
        <v>297</v>
      </c>
      <c r="AD820" s="1" t="s">
        <v>2186</v>
      </c>
      <c r="AE820" s="1" t="str">
        <f t="shared" si="62"/>
        <v>2499 CT01-2</v>
      </c>
      <c r="AF820" s="5" t="str">
        <f t="shared" si="64"/>
        <v>22</v>
      </c>
      <c r="AG820" s="1" t="str">
        <f t="shared" si="61"/>
        <v/>
      </c>
    </row>
    <row r="821" spans="1:33" x14ac:dyDescent="0.2">
      <c r="A821" s="1" t="s">
        <v>2089</v>
      </c>
      <c r="B821" s="1" t="s">
        <v>2184</v>
      </c>
      <c r="C821" s="1">
        <v>2499</v>
      </c>
      <c r="D821" s="1" t="s">
        <v>2124</v>
      </c>
      <c r="E821" s="1" t="s">
        <v>2117</v>
      </c>
      <c r="F821" s="1">
        <v>2023</v>
      </c>
      <c r="G821" s="1" t="s">
        <v>617</v>
      </c>
      <c r="H821" s="1">
        <v>601740</v>
      </c>
      <c r="I821" s="1">
        <v>2</v>
      </c>
      <c r="K821" s="1" t="s">
        <v>2118</v>
      </c>
      <c r="L821" s="1" t="s">
        <v>2119</v>
      </c>
      <c r="M821" s="1">
        <v>47</v>
      </c>
      <c r="N821" s="1" t="s">
        <v>39</v>
      </c>
      <c r="O821" s="1">
        <v>40.648600000000002</v>
      </c>
      <c r="P821" s="1">
        <v>-74.020899999999997</v>
      </c>
      <c r="Q821" s="1" t="s">
        <v>2120</v>
      </c>
      <c r="T821" s="1" t="s">
        <v>93</v>
      </c>
      <c r="U821" s="1" t="s">
        <v>44</v>
      </c>
      <c r="V821" s="1" t="s">
        <v>94</v>
      </c>
      <c r="AA821" s="3">
        <v>26420</v>
      </c>
      <c r="AB821" s="1" t="s">
        <v>46</v>
      </c>
      <c r="AC821" s="5">
        <v>297</v>
      </c>
      <c r="AD821" s="1" t="s">
        <v>2187</v>
      </c>
      <c r="AE821" s="1" t="str">
        <f t="shared" si="62"/>
        <v>2499 CT01-3</v>
      </c>
      <c r="AF821" s="5" t="str">
        <f t="shared" si="64"/>
        <v>22</v>
      </c>
      <c r="AG821" s="1" t="str">
        <f t="shared" si="61"/>
        <v/>
      </c>
    </row>
    <row r="822" spans="1:33" x14ac:dyDescent="0.2">
      <c r="A822" s="1" t="s">
        <v>2089</v>
      </c>
      <c r="B822" s="1" t="s">
        <v>2184</v>
      </c>
      <c r="C822" s="1">
        <v>2499</v>
      </c>
      <c r="D822" s="1" t="s">
        <v>2126</v>
      </c>
      <c r="E822" s="1" t="s">
        <v>2117</v>
      </c>
      <c r="F822" s="1">
        <v>2023</v>
      </c>
      <c r="G822" s="1" t="s">
        <v>617</v>
      </c>
      <c r="H822" s="1">
        <v>601740</v>
      </c>
      <c r="I822" s="1">
        <v>2</v>
      </c>
      <c r="K822" s="1" t="s">
        <v>2118</v>
      </c>
      <c r="L822" s="1" t="s">
        <v>2119</v>
      </c>
      <c r="M822" s="1">
        <v>47</v>
      </c>
      <c r="N822" s="1" t="s">
        <v>39</v>
      </c>
      <c r="O822" s="1">
        <v>40.648600000000002</v>
      </c>
      <c r="P822" s="1">
        <v>-74.020899999999997</v>
      </c>
      <c r="Q822" s="1" t="s">
        <v>2120</v>
      </c>
      <c r="T822" s="1" t="s">
        <v>93</v>
      </c>
      <c r="U822" s="1" t="s">
        <v>44</v>
      </c>
      <c r="V822" s="1" t="s">
        <v>94</v>
      </c>
      <c r="AA822" s="3">
        <v>26420</v>
      </c>
      <c r="AB822" s="1" t="s">
        <v>46</v>
      </c>
      <c r="AC822" s="5">
        <v>297</v>
      </c>
      <c r="AD822" s="1" t="s">
        <v>2188</v>
      </c>
      <c r="AE822" s="1" t="str">
        <f t="shared" si="62"/>
        <v>2499 CT01-4</v>
      </c>
      <c r="AF822" s="5" t="str">
        <f t="shared" si="64"/>
        <v>22</v>
      </c>
      <c r="AG822" s="1" t="str">
        <f t="shared" si="61"/>
        <v/>
      </c>
    </row>
    <row r="823" spans="1:33" x14ac:dyDescent="0.2">
      <c r="A823" s="1" t="s">
        <v>2089</v>
      </c>
      <c r="B823" s="1" t="s">
        <v>2184</v>
      </c>
      <c r="C823" s="1">
        <v>2499</v>
      </c>
      <c r="D823" s="1" t="s">
        <v>2128</v>
      </c>
      <c r="E823" s="1" t="s">
        <v>2117</v>
      </c>
      <c r="F823" s="1">
        <v>2023</v>
      </c>
      <c r="G823" s="1" t="s">
        <v>617</v>
      </c>
      <c r="H823" s="1">
        <v>601740</v>
      </c>
      <c r="I823" s="1">
        <v>2</v>
      </c>
      <c r="K823" s="1" t="s">
        <v>2118</v>
      </c>
      <c r="L823" s="1" t="s">
        <v>2119</v>
      </c>
      <c r="M823" s="1">
        <v>47</v>
      </c>
      <c r="N823" s="1" t="s">
        <v>39</v>
      </c>
      <c r="O823" s="1">
        <v>40.648600000000002</v>
      </c>
      <c r="P823" s="1">
        <v>-74.020899999999997</v>
      </c>
      <c r="Q823" s="1" t="s">
        <v>2120</v>
      </c>
      <c r="T823" s="1" t="s">
        <v>93</v>
      </c>
      <c r="U823" s="1" t="s">
        <v>44</v>
      </c>
      <c r="V823" s="1" t="s">
        <v>94</v>
      </c>
      <c r="AA823" s="3">
        <v>26420</v>
      </c>
      <c r="AB823" s="1" t="s">
        <v>46</v>
      </c>
      <c r="AC823" s="5">
        <v>297</v>
      </c>
      <c r="AD823" s="1" t="s">
        <v>2189</v>
      </c>
      <c r="AE823" s="1" t="str">
        <f t="shared" si="62"/>
        <v>2499 CT01-5</v>
      </c>
      <c r="AF823" s="5" t="str">
        <f t="shared" si="64"/>
        <v>22</v>
      </c>
      <c r="AG823" s="1" t="str">
        <f t="shared" si="61"/>
        <v/>
      </c>
    </row>
    <row r="824" spans="1:33" x14ac:dyDescent="0.2">
      <c r="A824" s="1" t="s">
        <v>2089</v>
      </c>
      <c r="B824" s="1" t="s">
        <v>2184</v>
      </c>
      <c r="C824" s="1">
        <v>2499</v>
      </c>
      <c r="D824" s="1" t="s">
        <v>2130</v>
      </c>
      <c r="E824" s="1" t="s">
        <v>2117</v>
      </c>
      <c r="F824" s="1">
        <v>2023</v>
      </c>
      <c r="G824" s="1" t="s">
        <v>617</v>
      </c>
      <c r="H824" s="1">
        <v>601740</v>
      </c>
      <c r="I824" s="1">
        <v>2</v>
      </c>
      <c r="K824" s="1" t="s">
        <v>2118</v>
      </c>
      <c r="L824" s="1" t="s">
        <v>2119</v>
      </c>
      <c r="M824" s="1">
        <v>47</v>
      </c>
      <c r="N824" s="1" t="s">
        <v>39</v>
      </c>
      <c r="O824" s="1">
        <v>40.648600000000002</v>
      </c>
      <c r="P824" s="1">
        <v>-74.020899999999997</v>
      </c>
      <c r="Q824" s="1" t="s">
        <v>2120</v>
      </c>
      <c r="T824" s="1" t="s">
        <v>93</v>
      </c>
      <c r="U824" s="1" t="s">
        <v>44</v>
      </c>
      <c r="V824" s="1" t="s">
        <v>94</v>
      </c>
      <c r="AA824" s="3">
        <v>26420</v>
      </c>
      <c r="AB824" s="1" t="s">
        <v>46</v>
      </c>
      <c r="AC824" s="5">
        <v>297</v>
      </c>
      <c r="AD824" s="1" t="s">
        <v>2190</v>
      </c>
      <c r="AE824" s="1" t="str">
        <f t="shared" si="62"/>
        <v>2499 CT01-6</v>
      </c>
      <c r="AF824" s="5" t="str">
        <f t="shared" si="64"/>
        <v>22</v>
      </c>
      <c r="AG824" s="1" t="str">
        <f t="shared" si="61"/>
        <v/>
      </c>
    </row>
    <row r="825" spans="1:33" x14ac:dyDescent="0.2">
      <c r="A825" s="1" t="s">
        <v>2089</v>
      </c>
      <c r="B825" s="1" t="s">
        <v>2184</v>
      </c>
      <c r="C825" s="1">
        <v>2499</v>
      </c>
      <c r="D825" s="1" t="s">
        <v>2132</v>
      </c>
      <c r="E825" s="1" t="s">
        <v>2117</v>
      </c>
      <c r="F825" s="1">
        <v>2023</v>
      </c>
      <c r="G825" s="1" t="s">
        <v>617</v>
      </c>
      <c r="H825" s="1">
        <v>601740</v>
      </c>
      <c r="I825" s="1">
        <v>2</v>
      </c>
      <c r="K825" s="1" t="s">
        <v>2118</v>
      </c>
      <c r="L825" s="1" t="s">
        <v>2119</v>
      </c>
      <c r="M825" s="1">
        <v>47</v>
      </c>
      <c r="N825" s="1" t="s">
        <v>39</v>
      </c>
      <c r="O825" s="1">
        <v>40.648600000000002</v>
      </c>
      <c r="P825" s="1">
        <v>-74.020899999999997</v>
      </c>
      <c r="Q825" s="1" t="s">
        <v>2120</v>
      </c>
      <c r="T825" s="1" t="s">
        <v>93</v>
      </c>
      <c r="U825" s="1" t="s">
        <v>44</v>
      </c>
      <c r="V825" s="1" t="s">
        <v>94</v>
      </c>
      <c r="AA825" s="3">
        <v>26420</v>
      </c>
      <c r="AB825" s="1" t="s">
        <v>46</v>
      </c>
      <c r="AC825" s="5">
        <v>297</v>
      </c>
      <c r="AD825" s="1" t="s">
        <v>2191</v>
      </c>
      <c r="AE825" s="1" t="str">
        <f t="shared" si="62"/>
        <v>2499 CT01-7</v>
      </c>
      <c r="AF825" s="5" t="str">
        <f t="shared" si="64"/>
        <v>22</v>
      </c>
      <c r="AG825" s="1" t="str">
        <f t="shared" si="61"/>
        <v/>
      </c>
    </row>
    <row r="826" spans="1:33" x14ac:dyDescent="0.2">
      <c r="A826" s="1" t="s">
        <v>2089</v>
      </c>
      <c r="B826" s="1" t="s">
        <v>2184</v>
      </c>
      <c r="C826" s="1">
        <v>2499</v>
      </c>
      <c r="D826" s="1" t="s">
        <v>2134</v>
      </c>
      <c r="E826" s="1" t="s">
        <v>2117</v>
      </c>
      <c r="F826" s="1">
        <v>2023</v>
      </c>
      <c r="G826" s="1" t="s">
        <v>617</v>
      </c>
      <c r="H826" s="1">
        <v>601740</v>
      </c>
      <c r="I826" s="1">
        <v>2</v>
      </c>
      <c r="K826" s="1" t="s">
        <v>2118</v>
      </c>
      <c r="L826" s="1" t="s">
        <v>2119</v>
      </c>
      <c r="M826" s="1">
        <v>47</v>
      </c>
      <c r="N826" s="1" t="s">
        <v>39</v>
      </c>
      <c r="O826" s="1">
        <v>40.648600000000002</v>
      </c>
      <c r="P826" s="1">
        <v>-74.020899999999997</v>
      </c>
      <c r="Q826" s="1" t="s">
        <v>2120</v>
      </c>
      <c r="T826" s="1" t="s">
        <v>93</v>
      </c>
      <c r="U826" s="1" t="s">
        <v>44</v>
      </c>
      <c r="V826" s="1" t="s">
        <v>94</v>
      </c>
      <c r="AA826" s="3">
        <v>26420</v>
      </c>
      <c r="AB826" s="1" t="s">
        <v>46</v>
      </c>
      <c r="AC826" s="5">
        <v>297</v>
      </c>
      <c r="AD826" s="1" t="s">
        <v>2192</v>
      </c>
      <c r="AE826" s="1" t="str">
        <f t="shared" si="62"/>
        <v>2499 CT01-8</v>
      </c>
      <c r="AF826" s="5" t="str">
        <f t="shared" si="64"/>
        <v>22</v>
      </c>
      <c r="AG826" s="1" t="str">
        <f t="shared" si="61"/>
        <v/>
      </c>
    </row>
    <row r="827" spans="1:33" x14ac:dyDescent="0.2">
      <c r="A827" s="1" t="s">
        <v>2089</v>
      </c>
      <c r="B827" s="1" t="s">
        <v>2184</v>
      </c>
      <c r="C827" s="1">
        <v>2499</v>
      </c>
      <c r="D827" s="1" t="s">
        <v>2136</v>
      </c>
      <c r="E827" s="1" t="s">
        <v>2117</v>
      </c>
      <c r="F827" s="1">
        <v>2023</v>
      </c>
      <c r="G827" s="1" t="s">
        <v>617</v>
      </c>
      <c r="H827" s="1">
        <v>601740</v>
      </c>
      <c r="I827" s="1">
        <v>2</v>
      </c>
      <c r="K827" s="1" t="s">
        <v>2118</v>
      </c>
      <c r="L827" s="1" t="s">
        <v>2119</v>
      </c>
      <c r="M827" s="1">
        <v>47</v>
      </c>
      <c r="N827" s="1" t="s">
        <v>39</v>
      </c>
      <c r="O827" s="1">
        <v>40.648600000000002</v>
      </c>
      <c r="P827" s="1">
        <v>-74.020899999999997</v>
      </c>
      <c r="Q827" s="1" t="s">
        <v>2120</v>
      </c>
      <c r="T827" s="1" t="s">
        <v>93</v>
      </c>
      <c r="U827" s="1" t="s">
        <v>44</v>
      </c>
      <c r="V827" s="1" t="s">
        <v>94</v>
      </c>
      <c r="AA827" s="3">
        <v>26420</v>
      </c>
      <c r="AB827" s="1" t="s">
        <v>46</v>
      </c>
      <c r="AC827" s="5">
        <v>297</v>
      </c>
      <c r="AD827" s="1" t="s">
        <v>2193</v>
      </c>
      <c r="AE827" s="1" t="str">
        <f t="shared" si="62"/>
        <v>2499 CT02-1</v>
      </c>
      <c r="AF827" s="5" t="str">
        <f t="shared" si="64"/>
        <v>22</v>
      </c>
      <c r="AG827" s="1" t="str">
        <f t="shared" si="61"/>
        <v/>
      </c>
    </row>
    <row r="828" spans="1:33" x14ac:dyDescent="0.2">
      <c r="A828" s="1" t="s">
        <v>2089</v>
      </c>
      <c r="B828" s="1" t="s">
        <v>2184</v>
      </c>
      <c r="C828" s="1">
        <v>2499</v>
      </c>
      <c r="D828" s="1" t="s">
        <v>2138</v>
      </c>
      <c r="E828" s="1" t="s">
        <v>2117</v>
      </c>
      <c r="F828" s="1">
        <v>2023</v>
      </c>
      <c r="G828" s="1" t="s">
        <v>617</v>
      </c>
      <c r="H828" s="1">
        <v>601740</v>
      </c>
      <c r="I828" s="1">
        <v>2</v>
      </c>
      <c r="K828" s="1" t="s">
        <v>2118</v>
      </c>
      <c r="L828" s="1" t="s">
        <v>2119</v>
      </c>
      <c r="M828" s="1">
        <v>47</v>
      </c>
      <c r="N828" s="1" t="s">
        <v>39</v>
      </c>
      <c r="O828" s="1">
        <v>40.648600000000002</v>
      </c>
      <c r="P828" s="1">
        <v>-74.020899999999997</v>
      </c>
      <c r="Q828" s="1" t="s">
        <v>2120</v>
      </c>
      <c r="T828" s="1" t="s">
        <v>93</v>
      </c>
      <c r="U828" s="1" t="s">
        <v>44</v>
      </c>
      <c r="V828" s="1" t="s">
        <v>94</v>
      </c>
      <c r="AA828" s="3">
        <v>26420</v>
      </c>
      <c r="AB828" s="1" t="s">
        <v>46</v>
      </c>
      <c r="AC828" s="5">
        <v>297</v>
      </c>
      <c r="AD828" s="1" t="s">
        <v>2194</v>
      </c>
      <c r="AE828" s="1" t="str">
        <f t="shared" si="62"/>
        <v>2499 CT02-2</v>
      </c>
      <c r="AF828" s="5" t="str">
        <f t="shared" si="64"/>
        <v>22</v>
      </c>
      <c r="AG828" s="1" t="str">
        <f t="shared" si="61"/>
        <v/>
      </c>
    </row>
    <row r="829" spans="1:33" x14ac:dyDescent="0.2">
      <c r="A829" s="1" t="s">
        <v>2089</v>
      </c>
      <c r="B829" s="1" t="s">
        <v>2184</v>
      </c>
      <c r="C829" s="1">
        <v>2499</v>
      </c>
      <c r="D829" s="1" t="s">
        <v>2140</v>
      </c>
      <c r="E829" s="1" t="s">
        <v>2117</v>
      </c>
      <c r="F829" s="1">
        <v>2023</v>
      </c>
      <c r="G829" s="1" t="s">
        <v>617</v>
      </c>
      <c r="H829" s="1">
        <v>601740</v>
      </c>
      <c r="I829" s="1">
        <v>2</v>
      </c>
      <c r="K829" s="1" t="s">
        <v>2118</v>
      </c>
      <c r="L829" s="1" t="s">
        <v>2119</v>
      </c>
      <c r="M829" s="1">
        <v>47</v>
      </c>
      <c r="N829" s="1" t="s">
        <v>39</v>
      </c>
      <c r="O829" s="1">
        <v>40.648600000000002</v>
      </c>
      <c r="P829" s="1">
        <v>-74.020899999999997</v>
      </c>
      <c r="Q829" s="1" t="s">
        <v>2120</v>
      </c>
      <c r="T829" s="1" t="s">
        <v>93</v>
      </c>
      <c r="U829" s="1" t="s">
        <v>44</v>
      </c>
      <c r="V829" s="1" t="s">
        <v>94</v>
      </c>
      <c r="AA829" s="3">
        <v>26420</v>
      </c>
      <c r="AB829" s="1" t="s">
        <v>46</v>
      </c>
      <c r="AC829" s="5">
        <v>297</v>
      </c>
      <c r="AD829" s="1" t="s">
        <v>2195</v>
      </c>
      <c r="AE829" s="1" t="str">
        <f t="shared" si="62"/>
        <v>2499 CT02-3</v>
      </c>
      <c r="AF829" s="5" t="str">
        <f t="shared" si="64"/>
        <v>22</v>
      </c>
      <c r="AG829" s="1" t="str">
        <f t="shared" si="61"/>
        <v/>
      </c>
    </row>
    <row r="830" spans="1:33" x14ac:dyDescent="0.2">
      <c r="A830" s="1" t="s">
        <v>2089</v>
      </c>
      <c r="B830" s="1" t="s">
        <v>2184</v>
      </c>
      <c r="C830" s="1">
        <v>2499</v>
      </c>
      <c r="D830" s="1" t="s">
        <v>2142</v>
      </c>
      <c r="E830" s="1" t="s">
        <v>2117</v>
      </c>
      <c r="F830" s="1">
        <v>2023</v>
      </c>
      <c r="G830" s="1" t="s">
        <v>617</v>
      </c>
      <c r="H830" s="1">
        <v>601740</v>
      </c>
      <c r="I830" s="1">
        <v>2</v>
      </c>
      <c r="K830" s="1" t="s">
        <v>2118</v>
      </c>
      <c r="L830" s="1" t="s">
        <v>2119</v>
      </c>
      <c r="M830" s="1">
        <v>47</v>
      </c>
      <c r="N830" s="1" t="s">
        <v>39</v>
      </c>
      <c r="O830" s="1">
        <v>40.648600000000002</v>
      </c>
      <c r="P830" s="1">
        <v>-74.020899999999997</v>
      </c>
      <c r="Q830" s="1" t="s">
        <v>2120</v>
      </c>
      <c r="T830" s="1" t="s">
        <v>93</v>
      </c>
      <c r="U830" s="1" t="s">
        <v>44</v>
      </c>
      <c r="V830" s="1" t="s">
        <v>94</v>
      </c>
      <c r="AA830" s="3">
        <v>26420</v>
      </c>
      <c r="AB830" s="1" t="s">
        <v>46</v>
      </c>
      <c r="AC830" s="5">
        <v>297</v>
      </c>
      <c r="AD830" s="1" t="s">
        <v>2196</v>
      </c>
      <c r="AE830" s="1" t="str">
        <f t="shared" si="62"/>
        <v>2499 CT02-4</v>
      </c>
      <c r="AF830" s="5" t="str">
        <f t="shared" si="64"/>
        <v>22</v>
      </c>
      <c r="AG830" s="1" t="str">
        <f t="shared" si="61"/>
        <v/>
      </c>
    </row>
    <row r="831" spans="1:33" x14ac:dyDescent="0.2">
      <c r="A831" s="1" t="s">
        <v>2089</v>
      </c>
      <c r="B831" s="1" t="s">
        <v>2184</v>
      </c>
      <c r="C831" s="1">
        <v>2499</v>
      </c>
      <c r="D831" s="1" t="s">
        <v>2144</v>
      </c>
      <c r="E831" s="1" t="s">
        <v>2117</v>
      </c>
      <c r="F831" s="1">
        <v>2023</v>
      </c>
      <c r="G831" s="1" t="s">
        <v>617</v>
      </c>
      <c r="H831" s="1">
        <v>601740</v>
      </c>
      <c r="I831" s="1">
        <v>2</v>
      </c>
      <c r="K831" s="1" t="s">
        <v>2118</v>
      </c>
      <c r="L831" s="1" t="s">
        <v>2119</v>
      </c>
      <c r="M831" s="1">
        <v>47</v>
      </c>
      <c r="N831" s="1" t="s">
        <v>39</v>
      </c>
      <c r="O831" s="1">
        <v>40.648600000000002</v>
      </c>
      <c r="P831" s="1">
        <v>-74.020899999999997</v>
      </c>
      <c r="Q831" s="1" t="s">
        <v>2120</v>
      </c>
      <c r="T831" s="1" t="s">
        <v>93</v>
      </c>
      <c r="U831" s="1" t="s">
        <v>44</v>
      </c>
      <c r="V831" s="1" t="s">
        <v>94</v>
      </c>
      <c r="AA831" s="3">
        <v>26420</v>
      </c>
      <c r="AB831" s="1" t="s">
        <v>46</v>
      </c>
      <c r="AC831" s="5">
        <v>297</v>
      </c>
      <c r="AD831" s="1" t="s">
        <v>2197</v>
      </c>
      <c r="AE831" s="1" t="str">
        <f t="shared" si="62"/>
        <v>2499 CT02-5</v>
      </c>
      <c r="AF831" s="5" t="str">
        <f t="shared" si="64"/>
        <v>22</v>
      </c>
      <c r="AG831" s="1" t="str">
        <f t="shared" si="61"/>
        <v/>
      </c>
    </row>
    <row r="832" spans="1:33" x14ac:dyDescent="0.2">
      <c r="A832" s="1" t="s">
        <v>2089</v>
      </c>
      <c r="B832" s="1" t="s">
        <v>2184</v>
      </c>
      <c r="C832" s="1">
        <v>2499</v>
      </c>
      <c r="D832" s="1" t="s">
        <v>2146</v>
      </c>
      <c r="E832" s="1" t="s">
        <v>2117</v>
      </c>
      <c r="F832" s="1">
        <v>2023</v>
      </c>
      <c r="G832" s="1" t="s">
        <v>617</v>
      </c>
      <c r="H832" s="1">
        <v>601740</v>
      </c>
      <c r="I832" s="1">
        <v>2</v>
      </c>
      <c r="K832" s="1" t="s">
        <v>2118</v>
      </c>
      <c r="L832" s="1" t="s">
        <v>2119</v>
      </c>
      <c r="M832" s="1">
        <v>47</v>
      </c>
      <c r="N832" s="1" t="s">
        <v>39</v>
      </c>
      <c r="O832" s="1">
        <v>40.648600000000002</v>
      </c>
      <c r="P832" s="1">
        <v>-74.020899999999997</v>
      </c>
      <c r="Q832" s="1" t="s">
        <v>2120</v>
      </c>
      <c r="T832" s="1" t="s">
        <v>93</v>
      </c>
      <c r="U832" s="1" t="s">
        <v>44</v>
      </c>
      <c r="V832" s="1" t="s">
        <v>94</v>
      </c>
      <c r="AA832" s="3">
        <v>26420</v>
      </c>
      <c r="AB832" s="1" t="s">
        <v>46</v>
      </c>
      <c r="AC832" s="5">
        <v>297</v>
      </c>
      <c r="AD832" s="1" t="s">
        <v>2198</v>
      </c>
      <c r="AE832" s="1" t="str">
        <f t="shared" si="62"/>
        <v>2499 CT02-6</v>
      </c>
      <c r="AF832" s="5" t="str">
        <f t="shared" si="64"/>
        <v>22</v>
      </c>
      <c r="AG832" s="1" t="str">
        <f t="shared" si="61"/>
        <v/>
      </c>
    </row>
    <row r="833" spans="1:33" x14ac:dyDescent="0.2">
      <c r="A833" s="1" t="s">
        <v>2089</v>
      </c>
      <c r="B833" s="1" t="s">
        <v>2184</v>
      </c>
      <c r="C833" s="1">
        <v>2499</v>
      </c>
      <c r="D833" s="1" t="s">
        <v>2148</v>
      </c>
      <c r="E833" s="1" t="s">
        <v>2117</v>
      </c>
      <c r="F833" s="1">
        <v>2023</v>
      </c>
      <c r="G833" s="1" t="s">
        <v>617</v>
      </c>
      <c r="H833" s="1">
        <v>601740</v>
      </c>
      <c r="I833" s="1">
        <v>2</v>
      </c>
      <c r="K833" s="1" t="s">
        <v>2118</v>
      </c>
      <c r="L833" s="1" t="s">
        <v>2119</v>
      </c>
      <c r="M833" s="1">
        <v>47</v>
      </c>
      <c r="N833" s="1" t="s">
        <v>39</v>
      </c>
      <c r="O833" s="1">
        <v>40.648600000000002</v>
      </c>
      <c r="P833" s="1">
        <v>-74.020899999999997</v>
      </c>
      <c r="Q833" s="1" t="s">
        <v>2120</v>
      </c>
      <c r="T833" s="1" t="s">
        <v>93</v>
      </c>
      <c r="U833" s="1" t="s">
        <v>44</v>
      </c>
      <c r="V833" s="1" t="s">
        <v>94</v>
      </c>
      <c r="AA833" s="3">
        <v>26420</v>
      </c>
      <c r="AB833" s="1" t="s">
        <v>46</v>
      </c>
      <c r="AC833" s="5">
        <v>297</v>
      </c>
      <c r="AD833" s="1" t="s">
        <v>2199</v>
      </c>
      <c r="AE833" s="1" t="str">
        <f t="shared" si="62"/>
        <v>2499 CT02-7</v>
      </c>
      <c r="AF833" s="5" t="str">
        <f t="shared" si="64"/>
        <v>22</v>
      </c>
      <c r="AG833" s="1" t="str">
        <f t="shared" si="61"/>
        <v/>
      </c>
    </row>
    <row r="834" spans="1:33" x14ac:dyDescent="0.2">
      <c r="A834" s="1" t="s">
        <v>2089</v>
      </c>
      <c r="B834" s="1" t="s">
        <v>2184</v>
      </c>
      <c r="C834" s="1">
        <v>2499</v>
      </c>
      <c r="D834" s="1" t="s">
        <v>2150</v>
      </c>
      <c r="E834" s="1" t="s">
        <v>2117</v>
      </c>
      <c r="F834" s="1">
        <v>2023</v>
      </c>
      <c r="G834" s="1" t="s">
        <v>617</v>
      </c>
      <c r="H834" s="1">
        <v>601740</v>
      </c>
      <c r="I834" s="1">
        <v>2</v>
      </c>
      <c r="K834" s="1" t="s">
        <v>2118</v>
      </c>
      <c r="L834" s="1" t="s">
        <v>2119</v>
      </c>
      <c r="M834" s="1">
        <v>47</v>
      </c>
      <c r="N834" s="1" t="s">
        <v>39</v>
      </c>
      <c r="O834" s="1">
        <v>40.648600000000002</v>
      </c>
      <c r="P834" s="1">
        <v>-74.020899999999997</v>
      </c>
      <c r="Q834" s="1" t="s">
        <v>2120</v>
      </c>
      <c r="T834" s="1" t="s">
        <v>93</v>
      </c>
      <c r="U834" s="1" t="s">
        <v>44</v>
      </c>
      <c r="V834" s="1" t="s">
        <v>94</v>
      </c>
      <c r="AA834" s="3">
        <v>26420</v>
      </c>
      <c r="AB834" s="1" t="s">
        <v>46</v>
      </c>
      <c r="AC834" s="5">
        <v>297</v>
      </c>
      <c r="AD834" s="1" t="s">
        <v>2200</v>
      </c>
      <c r="AE834" s="1" t="str">
        <f t="shared" si="62"/>
        <v>2499 CT02-8</v>
      </c>
      <c r="AF834" s="5" t="str">
        <f t="shared" si="64"/>
        <v>22</v>
      </c>
      <c r="AG834" s="1" t="str">
        <f t="shared" ref="AG834:AG897" si="65">IF(ISNUMBER(SEARCH("selective", X834)), "Y", "")</f>
        <v/>
      </c>
    </row>
    <row r="835" spans="1:33" x14ac:dyDescent="0.2">
      <c r="A835" s="1" t="s">
        <v>2089</v>
      </c>
      <c r="B835" s="1" t="s">
        <v>2201</v>
      </c>
      <c r="C835" s="1">
        <v>2500</v>
      </c>
      <c r="D835" s="1">
        <v>10</v>
      </c>
      <c r="F835" s="1">
        <v>2023</v>
      </c>
      <c r="G835" s="1" t="s">
        <v>1515</v>
      </c>
      <c r="H835" s="1">
        <v>605624</v>
      </c>
      <c r="I835" s="1">
        <v>2</v>
      </c>
      <c r="J835" s="1" t="s">
        <v>580</v>
      </c>
      <c r="K835" s="1" t="s">
        <v>2202</v>
      </c>
      <c r="L835" s="1" t="s">
        <v>2203</v>
      </c>
      <c r="M835" s="1">
        <v>81</v>
      </c>
      <c r="N835" s="1" t="s">
        <v>39</v>
      </c>
      <c r="O835" s="1">
        <v>40.758499999999998</v>
      </c>
      <c r="P835" s="1">
        <v>-73.945099999999996</v>
      </c>
      <c r="Q835" s="1" t="s">
        <v>2204</v>
      </c>
      <c r="R835" s="1" t="s">
        <v>41</v>
      </c>
      <c r="T835" s="1" t="s">
        <v>43</v>
      </c>
      <c r="U835" s="1" t="s">
        <v>44</v>
      </c>
      <c r="V835" s="1" t="s">
        <v>173</v>
      </c>
      <c r="X835" s="1" t="s">
        <v>220</v>
      </c>
      <c r="AA835" s="3">
        <v>23043</v>
      </c>
      <c r="AB835" s="1" t="s">
        <v>46</v>
      </c>
      <c r="AC835" s="5">
        <v>4204</v>
      </c>
      <c r="AD835" s="1" t="s">
        <v>2205</v>
      </c>
      <c r="AE835" s="1" t="str">
        <f t="shared" ref="AE835:AE898" si="66">C835&amp;" "&amp;D835</f>
        <v>2500 10</v>
      </c>
      <c r="AF835" s="5" t="str">
        <f t="shared" si="64"/>
        <v>400</v>
      </c>
      <c r="AG835" s="1" t="str">
        <f t="shared" si="65"/>
        <v/>
      </c>
    </row>
    <row r="836" spans="1:33" x14ac:dyDescent="0.2">
      <c r="A836" s="1" t="s">
        <v>2089</v>
      </c>
      <c r="B836" s="1" t="s">
        <v>2201</v>
      </c>
      <c r="C836" s="1">
        <v>2500</v>
      </c>
      <c r="D836" s="1">
        <v>20</v>
      </c>
      <c r="F836" s="1">
        <v>2023</v>
      </c>
      <c r="G836" s="1" t="s">
        <v>682</v>
      </c>
      <c r="H836" s="1">
        <v>605624</v>
      </c>
      <c r="I836" s="1">
        <v>2</v>
      </c>
      <c r="J836" s="1" t="s">
        <v>580</v>
      </c>
      <c r="K836" s="1" t="s">
        <v>2202</v>
      </c>
      <c r="L836" s="1" t="s">
        <v>2203</v>
      </c>
      <c r="M836" s="1">
        <v>81</v>
      </c>
      <c r="N836" s="1" t="s">
        <v>39</v>
      </c>
      <c r="O836" s="1">
        <v>40.758499999999998</v>
      </c>
      <c r="P836" s="1">
        <v>-73.945099999999996</v>
      </c>
      <c r="Q836" s="1" t="s">
        <v>2204</v>
      </c>
      <c r="R836" s="1" t="s">
        <v>41</v>
      </c>
      <c r="T836" s="1" t="s">
        <v>43</v>
      </c>
      <c r="U836" s="1" t="s">
        <v>44</v>
      </c>
      <c r="V836" s="1" t="s">
        <v>173</v>
      </c>
      <c r="X836" s="1" t="s">
        <v>220</v>
      </c>
      <c r="AA836" s="3">
        <v>23132</v>
      </c>
      <c r="AB836" s="1" t="s">
        <v>46</v>
      </c>
      <c r="AC836" s="5">
        <v>4171</v>
      </c>
      <c r="AD836" s="1" t="s">
        <v>2206</v>
      </c>
      <c r="AE836" s="1" t="str">
        <f t="shared" si="66"/>
        <v>2500 20</v>
      </c>
      <c r="AF836" s="5" t="str">
        <f t="shared" si="64"/>
        <v>400</v>
      </c>
      <c r="AG836" s="1" t="str">
        <f t="shared" si="65"/>
        <v/>
      </c>
    </row>
    <row r="837" spans="1:33" x14ac:dyDescent="0.2">
      <c r="A837" s="1" t="s">
        <v>2089</v>
      </c>
      <c r="B837" s="1" t="s">
        <v>2201</v>
      </c>
      <c r="C837" s="1">
        <v>2500</v>
      </c>
      <c r="D837" s="1">
        <v>30</v>
      </c>
      <c r="F837" s="1">
        <v>2023</v>
      </c>
      <c r="G837" s="1" t="s">
        <v>682</v>
      </c>
      <c r="H837" s="1">
        <v>605624</v>
      </c>
      <c r="I837" s="1">
        <v>2</v>
      </c>
      <c r="J837" s="1" t="s">
        <v>580</v>
      </c>
      <c r="K837" s="1" t="s">
        <v>2202</v>
      </c>
      <c r="L837" s="1" t="s">
        <v>2203</v>
      </c>
      <c r="M837" s="1">
        <v>81</v>
      </c>
      <c r="N837" s="1" t="s">
        <v>39</v>
      </c>
      <c r="O837" s="1">
        <v>40.758499999999998</v>
      </c>
      <c r="P837" s="1">
        <v>-73.945099999999996</v>
      </c>
      <c r="Q837" s="1" t="s">
        <v>2204</v>
      </c>
      <c r="R837" s="1" t="s">
        <v>41</v>
      </c>
      <c r="T837" s="1" t="s">
        <v>43</v>
      </c>
      <c r="U837" s="1" t="s">
        <v>44</v>
      </c>
      <c r="V837" s="1" t="s">
        <v>173</v>
      </c>
      <c r="AA837" s="3">
        <v>23894</v>
      </c>
      <c r="AB837" s="1" t="s">
        <v>46</v>
      </c>
      <c r="AC837" s="5">
        <v>9379</v>
      </c>
      <c r="AD837" s="1" t="s">
        <v>2207</v>
      </c>
      <c r="AE837" s="1" t="str">
        <f t="shared" si="66"/>
        <v>2500 30</v>
      </c>
      <c r="AF837" s="5" t="str">
        <f t="shared" si="64"/>
        <v>1027.7</v>
      </c>
      <c r="AG837" s="1" t="str">
        <f t="shared" si="65"/>
        <v/>
      </c>
    </row>
    <row r="838" spans="1:33" x14ac:dyDescent="0.2">
      <c r="A838" s="1" t="s">
        <v>2089</v>
      </c>
      <c r="B838" s="1" t="s">
        <v>2201</v>
      </c>
      <c r="C838" s="1">
        <v>2500</v>
      </c>
      <c r="D838" s="1" t="s">
        <v>2104</v>
      </c>
      <c r="F838" s="1">
        <v>2023</v>
      </c>
      <c r="G838" s="1" t="s">
        <v>617</v>
      </c>
      <c r="H838" s="1">
        <v>605624</v>
      </c>
      <c r="I838" s="1">
        <v>2</v>
      </c>
      <c r="J838" s="1" t="s">
        <v>580</v>
      </c>
      <c r="K838" s="1" t="s">
        <v>2202</v>
      </c>
      <c r="L838" s="1" t="s">
        <v>2203</v>
      </c>
      <c r="M838" s="1">
        <v>81</v>
      </c>
      <c r="N838" s="1" t="s">
        <v>39</v>
      </c>
      <c r="O838" s="1">
        <v>40.758499999999998</v>
      </c>
      <c r="P838" s="1">
        <v>-73.945099999999996</v>
      </c>
      <c r="Q838" s="1" t="s">
        <v>2204</v>
      </c>
      <c r="T838" s="1" t="s">
        <v>93</v>
      </c>
      <c r="U838" s="1" t="s">
        <v>44</v>
      </c>
      <c r="AA838" s="3">
        <v>24654</v>
      </c>
      <c r="AB838" s="1" t="s">
        <v>46</v>
      </c>
      <c r="AC838" s="5">
        <v>243</v>
      </c>
      <c r="AD838" s="1" t="s">
        <v>2208</v>
      </c>
      <c r="AE838" s="1" t="str">
        <f t="shared" si="66"/>
        <v>2500 CT0001</v>
      </c>
      <c r="AF838" s="5" t="str">
        <f t="shared" si="64"/>
        <v>18.6</v>
      </c>
      <c r="AG838" s="1" t="str">
        <f t="shared" si="65"/>
        <v/>
      </c>
    </row>
    <row r="839" spans="1:33" x14ac:dyDescent="0.2">
      <c r="A839" s="1" t="s">
        <v>2089</v>
      </c>
      <c r="B839" s="1" t="s">
        <v>2201</v>
      </c>
      <c r="C839" s="1">
        <v>2500</v>
      </c>
      <c r="D839" s="1" t="s">
        <v>2209</v>
      </c>
      <c r="F839" s="1">
        <v>2023</v>
      </c>
      <c r="G839" s="1" t="s">
        <v>617</v>
      </c>
      <c r="H839" s="1">
        <v>605624</v>
      </c>
      <c r="I839" s="1">
        <v>2</v>
      </c>
      <c r="J839" s="1" t="s">
        <v>580</v>
      </c>
      <c r="K839" s="1" t="s">
        <v>2202</v>
      </c>
      <c r="L839" s="1" t="s">
        <v>2203</v>
      </c>
      <c r="M839" s="1">
        <v>81</v>
      </c>
      <c r="N839" s="1" t="s">
        <v>39</v>
      </c>
      <c r="O839" s="1">
        <v>40.758499999999998</v>
      </c>
      <c r="P839" s="1">
        <v>-73.945099999999996</v>
      </c>
      <c r="Q839" s="1" t="s">
        <v>2204</v>
      </c>
      <c r="T839" s="1" t="s">
        <v>93</v>
      </c>
      <c r="U839" s="1" t="s">
        <v>44</v>
      </c>
      <c r="V839" s="1" t="s">
        <v>94</v>
      </c>
      <c r="AA839" s="3">
        <v>25781</v>
      </c>
      <c r="AB839" s="1" t="s">
        <v>46</v>
      </c>
      <c r="AC839" s="5">
        <v>255</v>
      </c>
      <c r="AD839" s="1" t="s">
        <v>2210</v>
      </c>
      <c r="AE839" s="1" t="str">
        <f t="shared" si="66"/>
        <v>2500 CT0010</v>
      </c>
      <c r="AF839" s="5" t="str">
        <f t="shared" si="64"/>
        <v>25</v>
      </c>
      <c r="AG839" s="1" t="str">
        <f t="shared" si="65"/>
        <v/>
      </c>
    </row>
    <row r="840" spans="1:33" x14ac:dyDescent="0.2">
      <c r="A840" s="1" t="s">
        <v>2089</v>
      </c>
      <c r="B840" s="1" t="s">
        <v>2201</v>
      </c>
      <c r="C840" s="1">
        <v>2500</v>
      </c>
      <c r="D840" s="1" t="s">
        <v>2211</v>
      </c>
      <c r="F840" s="1">
        <v>2023</v>
      </c>
      <c r="G840" s="1" t="s">
        <v>617</v>
      </c>
      <c r="H840" s="1">
        <v>605624</v>
      </c>
      <c r="I840" s="1">
        <v>2</v>
      </c>
      <c r="J840" s="1" t="s">
        <v>580</v>
      </c>
      <c r="K840" s="1" t="s">
        <v>2202</v>
      </c>
      <c r="L840" s="1" t="s">
        <v>2203</v>
      </c>
      <c r="M840" s="1">
        <v>81</v>
      </c>
      <c r="N840" s="1" t="s">
        <v>39</v>
      </c>
      <c r="O840" s="1">
        <v>40.758499999999998</v>
      </c>
      <c r="P840" s="1">
        <v>-73.945099999999996</v>
      </c>
      <c r="Q840" s="1" t="s">
        <v>2204</v>
      </c>
      <c r="T840" s="1" t="s">
        <v>93</v>
      </c>
      <c r="U840" s="1" t="s">
        <v>44</v>
      </c>
      <c r="V840" s="1" t="s">
        <v>94</v>
      </c>
      <c r="AA840" s="3">
        <v>25781</v>
      </c>
      <c r="AB840" s="1" t="s">
        <v>46</v>
      </c>
      <c r="AC840" s="5">
        <v>255</v>
      </c>
      <c r="AD840" s="1" t="s">
        <v>2212</v>
      </c>
      <c r="AE840" s="1" t="str">
        <f t="shared" si="66"/>
        <v>2500 CT0011</v>
      </c>
      <c r="AF840" s="5" t="str">
        <f t="shared" si="64"/>
        <v>25</v>
      </c>
      <c r="AG840" s="1" t="str">
        <f t="shared" si="65"/>
        <v/>
      </c>
    </row>
    <row r="841" spans="1:33" x14ac:dyDescent="0.2">
      <c r="A841" s="1" t="s">
        <v>2089</v>
      </c>
      <c r="B841" s="1" t="s">
        <v>2201</v>
      </c>
      <c r="C841" s="1">
        <v>2500</v>
      </c>
      <c r="D841" s="1" t="s">
        <v>2213</v>
      </c>
      <c r="F841" s="1">
        <v>2023</v>
      </c>
      <c r="G841" s="1" t="s">
        <v>1515</v>
      </c>
      <c r="H841" s="1">
        <v>605624</v>
      </c>
      <c r="I841" s="1">
        <v>2</v>
      </c>
      <c r="J841" s="1" t="s">
        <v>580</v>
      </c>
      <c r="K841" s="1" t="s">
        <v>2202</v>
      </c>
      <c r="L841" s="1" t="s">
        <v>2203</v>
      </c>
      <c r="M841" s="1">
        <v>81</v>
      </c>
      <c r="N841" s="1" t="s">
        <v>39</v>
      </c>
      <c r="O841" s="1">
        <v>40.758499999999998</v>
      </c>
      <c r="P841" s="1">
        <v>-73.945099999999996</v>
      </c>
      <c r="Q841" s="1" t="s">
        <v>2204</v>
      </c>
      <c r="R841" s="1" t="s">
        <v>41</v>
      </c>
      <c r="T841" s="1" t="s">
        <v>71</v>
      </c>
      <c r="U841" s="1" t="s">
        <v>44</v>
      </c>
      <c r="V841" s="1" t="s">
        <v>94</v>
      </c>
      <c r="X841" s="1" t="s">
        <v>2214</v>
      </c>
      <c r="AA841" s="3">
        <v>37991</v>
      </c>
      <c r="AB841" s="1" t="s">
        <v>46</v>
      </c>
      <c r="AC841" s="5">
        <v>2156</v>
      </c>
      <c r="AD841" s="1" t="s">
        <v>2215</v>
      </c>
      <c r="AE841" s="1" t="str">
        <f t="shared" si="66"/>
        <v>2500 UCC001</v>
      </c>
      <c r="AF841" s="14">
        <f>MID(AD841,FIND("(",AD841)+1,FIND(")",AD841)-FIND("(",AD841)-1)+80</f>
        <v>250</v>
      </c>
      <c r="AG841" s="1" t="str">
        <f t="shared" si="65"/>
        <v/>
      </c>
    </row>
    <row r="842" spans="1:33" x14ac:dyDescent="0.2">
      <c r="A842" s="1" t="s">
        <v>2089</v>
      </c>
      <c r="B842" s="1" t="s">
        <v>2216</v>
      </c>
      <c r="C842" s="1">
        <v>2504</v>
      </c>
      <c r="D842" s="1">
        <v>120</v>
      </c>
      <c r="E842" s="1" t="s">
        <v>2098</v>
      </c>
      <c r="F842" s="1">
        <v>2023</v>
      </c>
      <c r="G842" s="1" t="s">
        <v>2217</v>
      </c>
      <c r="H842" s="1">
        <v>610097</v>
      </c>
      <c r="I842" s="1">
        <v>2</v>
      </c>
      <c r="K842" s="1" t="s">
        <v>2108</v>
      </c>
      <c r="L842" s="1" t="s">
        <v>2109</v>
      </c>
      <c r="M842" s="1">
        <v>61</v>
      </c>
      <c r="N842" s="1" t="s">
        <v>39</v>
      </c>
      <c r="O842" s="1">
        <v>40.768000000000001</v>
      </c>
      <c r="P842" s="1">
        <v>-73.951499999999996</v>
      </c>
      <c r="Q842" s="1" t="s">
        <v>2110</v>
      </c>
      <c r="R842" s="1" t="s">
        <v>41</v>
      </c>
      <c r="T842" s="1" t="s">
        <v>43</v>
      </c>
      <c r="U842" s="1" t="s">
        <v>44</v>
      </c>
      <c r="V842" s="1" t="s">
        <v>173</v>
      </c>
      <c r="AA842" s="3">
        <v>20546</v>
      </c>
      <c r="AB842" s="1" t="s">
        <v>46</v>
      </c>
      <c r="AC842" s="5">
        <v>836</v>
      </c>
      <c r="AD842" s="1" t="s">
        <v>2218</v>
      </c>
      <c r="AE842" s="1" t="str">
        <f t="shared" si="66"/>
        <v>2504 120</v>
      </c>
      <c r="AF842" s="5" t="str">
        <f t="shared" ref="AF842:AF877" si="67">MID(AD842,FIND("(",AD842)+1,FIND(")",AD842)-FIND("(",AD842)-1)</f>
        <v>35</v>
      </c>
      <c r="AG842" s="1" t="str">
        <f t="shared" si="65"/>
        <v/>
      </c>
    </row>
    <row r="843" spans="1:33" x14ac:dyDescent="0.2">
      <c r="A843" s="1" t="s">
        <v>2089</v>
      </c>
      <c r="B843" s="1" t="s">
        <v>2216</v>
      </c>
      <c r="C843" s="1">
        <v>2504</v>
      </c>
      <c r="D843" s="1">
        <v>121</v>
      </c>
      <c r="E843" s="1" t="s">
        <v>2098</v>
      </c>
      <c r="F843" s="1">
        <v>2023</v>
      </c>
      <c r="G843" s="1" t="s">
        <v>2217</v>
      </c>
      <c r="H843" s="1">
        <v>610097</v>
      </c>
      <c r="I843" s="1">
        <v>2</v>
      </c>
      <c r="K843" s="1" t="s">
        <v>2108</v>
      </c>
      <c r="L843" s="1" t="s">
        <v>2109</v>
      </c>
      <c r="M843" s="1">
        <v>61</v>
      </c>
      <c r="N843" s="1" t="s">
        <v>39</v>
      </c>
      <c r="O843" s="1">
        <v>40.768000000000001</v>
      </c>
      <c r="P843" s="1">
        <v>-73.951499999999996</v>
      </c>
      <c r="Q843" s="1" t="s">
        <v>2110</v>
      </c>
      <c r="R843" s="1" t="s">
        <v>41</v>
      </c>
      <c r="T843" s="1" t="s">
        <v>43</v>
      </c>
      <c r="U843" s="1" t="s">
        <v>44</v>
      </c>
      <c r="V843" s="1" t="s">
        <v>173</v>
      </c>
      <c r="AA843" s="3">
        <v>20546</v>
      </c>
      <c r="AB843" s="1" t="s">
        <v>46</v>
      </c>
      <c r="AC843" s="5">
        <v>836</v>
      </c>
      <c r="AD843" s="1" t="s">
        <v>2218</v>
      </c>
      <c r="AE843" s="1" t="str">
        <f t="shared" si="66"/>
        <v>2504 121</v>
      </c>
      <c r="AF843" s="5" t="str">
        <f t="shared" si="67"/>
        <v>35</v>
      </c>
      <c r="AG843" s="1" t="str">
        <f t="shared" si="65"/>
        <v/>
      </c>
    </row>
    <row r="844" spans="1:33" x14ac:dyDescent="0.2">
      <c r="A844" s="1" t="s">
        <v>2089</v>
      </c>
      <c r="B844" s="1" t="s">
        <v>2216</v>
      </c>
      <c r="C844" s="1">
        <v>2504</v>
      </c>
      <c r="D844" s="1">
        <v>122</v>
      </c>
      <c r="E844" s="1" t="s">
        <v>2098</v>
      </c>
      <c r="F844" s="1">
        <v>2023</v>
      </c>
      <c r="G844" s="1" t="s">
        <v>2217</v>
      </c>
      <c r="H844" s="1">
        <v>610097</v>
      </c>
      <c r="I844" s="1">
        <v>2</v>
      </c>
      <c r="K844" s="1" t="s">
        <v>2108</v>
      </c>
      <c r="L844" s="1" t="s">
        <v>2109</v>
      </c>
      <c r="M844" s="1">
        <v>61</v>
      </c>
      <c r="N844" s="1" t="s">
        <v>39</v>
      </c>
      <c r="O844" s="1">
        <v>40.768000000000001</v>
      </c>
      <c r="P844" s="1">
        <v>-73.951499999999996</v>
      </c>
      <c r="Q844" s="1" t="s">
        <v>2110</v>
      </c>
      <c r="R844" s="1" t="s">
        <v>41</v>
      </c>
      <c r="T844" s="1" t="s">
        <v>43</v>
      </c>
      <c r="U844" s="1" t="s">
        <v>44</v>
      </c>
      <c r="V844" s="1" t="s">
        <v>173</v>
      </c>
      <c r="AA844" s="3">
        <v>20546</v>
      </c>
      <c r="AB844" s="1" t="s">
        <v>46</v>
      </c>
      <c r="AC844" s="5">
        <v>836</v>
      </c>
      <c r="AD844" s="1" t="s">
        <v>2218</v>
      </c>
      <c r="AE844" s="1" t="str">
        <f t="shared" si="66"/>
        <v>2504 122</v>
      </c>
      <c r="AF844" s="5" t="str">
        <f t="shared" si="67"/>
        <v>35</v>
      </c>
      <c r="AG844" s="1" t="str">
        <f t="shared" si="65"/>
        <v/>
      </c>
    </row>
    <row r="845" spans="1:33" x14ac:dyDescent="0.2">
      <c r="A845" s="1" t="s">
        <v>2089</v>
      </c>
      <c r="B845" s="1" t="s">
        <v>2216</v>
      </c>
      <c r="C845" s="1">
        <v>2504</v>
      </c>
      <c r="D845" s="1" t="s">
        <v>2104</v>
      </c>
      <c r="F845" s="1">
        <v>2023</v>
      </c>
      <c r="G845" s="1" t="s">
        <v>617</v>
      </c>
      <c r="H845" s="1">
        <v>610097</v>
      </c>
      <c r="I845" s="1">
        <v>2</v>
      </c>
      <c r="K845" s="1" t="s">
        <v>2108</v>
      </c>
      <c r="L845" s="1" t="s">
        <v>2109</v>
      </c>
      <c r="M845" s="1">
        <v>61</v>
      </c>
      <c r="N845" s="1" t="s">
        <v>39</v>
      </c>
      <c r="O845" s="1">
        <v>40.768000000000001</v>
      </c>
      <c r="P845" s="1">
        <v>-73.951499999999996</v>
      </c>
      <c r="Q845" s="1" t="s">
        <v>2110</v>
      </c>
      <c r="T845" s="1" t="s">
        <v>93</v>
      </c>
      <c r="U845" s="1" t="s">
        <v>1292</v>
      </c>
      <c r="AA845" s="3">
        <v>25112</v>
      </c>
      <c r="AB845" s="1" t="s">
        <v>46</v>
      </c>
      <c r="AC845" s="5">
        <v>223</v>
      </c>
      <c r="AD845" s="1" t="s">
        <v>2208</v>
      </c>
      <c r="AE845" s="1" t="str">
        <f t="shared" si="66"/>
        <v>2504 CT0001</v>
      </c>
      <c r="AF845" s="5" t="str">
        <f t="shared" si="67"/>
        <v>18.6</v>
      </c>
      <c r="AG845" s="1" t="str">
        <f t="shared" si="65"/>
        <v/>
      </c>
    </row>
    <row r="846" spans="1:33" x14ac:dyDescent="0.2">
      <c r="A846" s="1" t="s">
        <v>2089</v>
      </c>
      <c r="B846" s="1" t="s">
        <v>2216</v>
      </c>
      <c r="C846" s="1">
        <v>2504</v>
      </c>
      <c r="D846" s="1" t="s">
        <v>2219</v>
      </c>
      <c r="F846" s="1">
        <v>2023</v>
      </c>
      <c r="G846" s="1" t="s">
        <v>617</v>
      </c>
      <c r="H846" s="1">
        <v>610097</v>
      </c>
      <c r="I846" s="1">
        <v>2</v>
      </c>
      <c r="K846" s="1" t="s">
        <v>2108</v>
      </c>
      <c r="L846" s="1" t="s">
        <v>2109</v>
      </c>
      <c r="M846" s="1">
        <v>61</v>
      </c>
      <c r="N846" s="1" t="s">
        <v>39</v>
      </c>
      <c r="O846" s="1">
        <v>40.768000000000001</v>
      </c>
      <c r="P846" s="1">
        <v>-73.951499999999996</v>
      </c>
      <c r="Q846" s="1" t="s">
        <v>2110</v>
      </c>
      <c r="T846" s="1" t="s">
        <v>93</v>
      </c>
      <c r="U846" s="1" t="s">
        <v>1292</v>
      </c>
      <c r="AA846" s="3">
        <v>25112</v>
      </c>
      <c r="AB846" s="1" t="s">
        <v>46</v>
      </c>
      <c r="AC846" s="5">
        <v>223</v>
      </c>
      <c r="AD846" s="1" t="s">
        <v>2220</v>
      </c>
      <c r="AE846" s="1" t="str">
        <f t="shared" si="66"/>
        <v>2504 CT0002</v>
      </c>
      <c r="AF846" s="5" t="str">
        <f t="shared" si="67"/>
        <v>18.6</v>
      </c>
      <c r="AG846" s="1" t="str">
        <f t="shared" si="65"/>
        <v/>
      </c>
    </row>
    <row r="847" spans="1:33" x14ac:dyDescent="0.2">
      <c r="A847" s="1" t="s">
        <v>2089</v>
      </c>
      <c r="B847" s="1" t="s">
        <v>2221</v>
      </c>
      <c r="C847" s="1">
        <v>2511</v>
      </c>
      <c r="D847" s="1">
        <v>10</v>
      </c>
      <c r="F847" s="1">
        <v>2023</v>
      </c>
      <c r="G847" s="1" t="s">
        <v>1515</v>
      </c>
      <c r="H847" s="1">
        <v>606257</v>
      </c>
      <c r="I847" s="1">
        <v>2</v>
      </c>
      <c r="K847" s="1" t="s">
        <v>2222</v>
      </c>
      <c r="L847" s="1" t="s">
        <v>2223</v>
      </c>
      <c r="M847" s="1">
        <v>59</v>
      </c>
      <c r="N847" s="1" t="s">
        <v>39</v>
      </c>
      <c r="O847" s="1">
        <v>40.616900000000001</v>
      </c>
      <c r="P847" s="1">
        <v>-73.648600000000002</v>
      </c>
      <c r="Q847" s="1" t="s">
        <v>2224</v>
      </c>
      <c r="R847" s="1" t="s">
        <v>41</v>
      </c>
      <c r="T847" s="1" t="s">
        <v>43</v>
      </c>
      <c r="U847" s="1" t="s">
        <v>44</v>
      </c>
      <c r="V847" s="1" t="s">
        <v>173</v>
      </c>
      <c r="AA847" s="3">
        <v>20455</v>
      </c>
      <c r="AB847" s="1" t="s">
        <v>46</v>
      </c>
      <c r="AC847" s="5">
        <v>2300</v>
      </c>
      <c r="AD847" s="1" t="s">
        <v>2225</v>
      </c>
      <c r="AE847" s="1" t="str">
        <f t="shared" si="66"/>
        <v>2511 10</v>
      </c>
      <c r="AF847" s="5" t="str">
        <f t="shared" si="67"/>
        <v>175</v>
      </c>
      <c r="AG847" s="1" t="str">
        <f t="shared" si="65"/>
        <v/>
      </c>
    </row>
    <row r="848" spans="1:33" x14ac:dyDescent="0.2">
      <c r="A848" s="1" t="s">
        <v>2089</v>
      </c>
      <c r="B848" s="1" t="s">
        <v>2221</v>
      </c>
      <c r="C848" s="1">
        <v>2511</v>
      </c>
      <c r="D848" s="1">
        <v>20</v>
      </c>
      <c r="F848" s="1">
        <v>2023</v>
      </c>
      <c r="G848" s="1" t="s">
        <v>1515</v>
      </c>
      <c r="H848" s="1">
        <v>606257</v>
      </c>
      <c r="I848" s="1">
        <v>2</v>
      </c>
      <c r="K848" s="1" t="s">
        <v>2222</v>
      </c>
      <c r="L848" s="1" t="s">
        <v>2223</v>
      </c>
      <c r="M848" s="1">
        <v>59</v>
      </c>
      <c r="N848" s="1" t="s">
        <v>39</v>
      </c>
      <c r="O848" s="1">
        <v>40.616900000000001</v>
      </c>
      <c r="P848" s="1">
        <v>-73.648600000000002</v>
      </c>
      <c r="Q848" s="1" t="s">
        <v>2224</v>
      </c>
      <c r="R848" s="1" t="s">
        <v>41</v>
      </c>
      <c r="T848" s="1" t="s">
        <v>43</v>
      </c>
      <c r="U848" s="1" t="s">
        <v>44</v>
      </c>
      <c r="V848" s="1" t="s">
        <v>173</v>
      </c>
      <c r="X848" s="1" t="s">
        <v>220</v>
      </c>
      <c r="AA848" s="3">
        <v>23012</v>
      </c>
      <c r="AB848" s="1" t="s">
        <v>46</v>
      </c>
      <c r="AC848" s="5">
        <v>2100</v>
      </c>
      <c r="AD848" s="1" t="s">
        <v>2226</v>
      </c>
      <c r="AE848" s="1" t="str">
        <f t="shared" si="66"/>
        <v>2511 20</v>
      </c>
      <c r="AF848" s="5" t="str">
        <f t="shared" si="67"/>
        <v>175</v>
      </c>
      <c r="AG848" s="1" t="str">
        <f t="shared" si="65"/>
        <v/>
      </c>
    </row>
    <row r="849" spans="1:33" x14ac:dyDescent="0.2">
      <c r="A849" s="1" t="s">
        <v>2089</v>
      </c>
      <c r="B849" s="1" t="s">
        <v>2221</v>
      </c>
      <c r="C849" s="1">
        <v>2511</v>
      </c>
      <c r="D849" s="1" t="s">
        <v>2227</v>
      </c>
      <c r="E849" s="1" t="s">
        <v>1330</v>
      </c>
      <c r="F849" s="1">
        <v>2023</v>
      </c>
      <c r="G849" s="1" t="s">
        <v>617</v>
      </c>
      <c r="H849" s="1">
        <v>606257</v>
      </c>
      <c r="I849" s="1">
        <v>2</v>
      </c>
      <c r="K849" s="1" t="s">
        <v>2222</v>
      </c>
      <c r="L849" s="1" t="s">
        <v>2223</v>
      </c>
      <c r="M849" s="1">
        <v>59</v>
      </c>
      <c r="N849" s="1" t="s">
        <v>39</v>
      </c>
      <c r="O849" s="1">
        <v>40.616900000000001</v>
      </c>
      <c r="P849" s="1">
        <v>-73.648600000000002</v>
      </c>
      <c r="Q849" s="1" t="s">
        <v>2224</v>
      </c>
      <c r="T849" s="1" t="s">
        <v>93</v>
      </c>
      <c r="U849" s="1" t="s">
        <v>44</v>
      </c>
      <c r="V849" s="1" t="s">
        <v>94</v>
      </c>
      <c r="AA849" s="3">
        <v>25750</v>
      </c>
      <c r="AB849" s="1" t="s">
        <v>46</v>
      </c>
      <c r="AC849" s="5">
        <v>276</v>
      </c>
      <c r="AD849" s="1" t="s">
        <v>2228</v>
      </c>
      <c r="AE849" s="1" t="str">
        <f t="shared" si="66"/>
        <v>2511 U00004</v>
      </c>
      <c r="AF849" s="5" t="str">
        <f t="shared" si="67"/>
        <v>18</v>
      </c>
      <c r="AG849" s="1" t="str">
        <f t="shared" si="65"/>
        <v/>
      </c>
    </row>
    <row r="850" spans="1:33" x14ac:dyDescent="0.2">
      <c r="A850" s="1" t="s">
        <v>2089</v>
      </c>
      <c r="B850" s="1" t="s">
        <v>2221</v>
      </c>
      <c r="C850" s="1">
        <v>2511</v>
      </c>
      <c r="D850" s="1" t="s">
        <v>2229</v>
      </c>
      <c r="E850" s="1" t="s">
        <v>1330</v>
      </c>
      <c r="F850" s="1">
        <v>2023</v>
      </c>
      <c r="G850" s="1" t="s">
        <v>617</v>
      </c>
      <c r="H850" s="1">
        <v>606257</v>
      </c>
      <c r="I850" s="1">
        <v>2</v>
      </c>
      <c r="K850" s="1" t="s">
        <v>2222</v>
      </c>
      <c r="L850" s="1" t="s">
        <v>2223</v>
      </c>
      <c r="M850" s="1">
        <v>59</v>
      </c>
      <c r="N850" s="1" t="s">
        <v>39</v>
      </c>
      <c r="O850" s="1">
        <v>40.616900000000001</v>
      </c>
      <c r="P850" s="1">
        <v>-73.648600000000002</v>
      </c>
      <c r="Q850" s="1" t="s">
        <v>2224</v>
      </c>
      <c r="T850" s="1" t="s">
        <v>93</v>
      </c>
      <c r="U850" s="1" t="s">
        <v>44</v>
      </c>
      <c r="V850" s="1" t="s">
        <v>94</v>
      </c>
      <c r="AA850" s="3">
        <v>25750</v>
      </c>
      <c r="AB850" s="1" t="s">
        <v>46</v>
      </c>
      <c r="AC850" s="5">
        <v>276</v>
      </c>
      <c r="AD850" s="1" t="s">
        <v>2230</v>
      </c>
      <c r="AE850" s="1" t="str">
        <f t="shared" si="66"/>
        <v>2511 U00005</v>
      </c>
      <c r="AF850" s="5" t="str">
        <f t="shared" si="67"/>
        <v>18</v>
      </c>
      <c r="AG850" s="1" t="str">
        <f t="shared" si="65"/>
        <v/>
      </c>
    </row>
    <row r="851" spans="1:33" x14ac:dyDescent="0.2">
      <c r="A851" s="1" t="s">
        <v>2089</v>
      </c>
      <c r="B851" s="1" t="s">
        <v>2221</v>
      </c>
      <c r="C851" s="1">
        <v>2511</v>
      </c>
      <c r="D851" s="1" t="s">
        <v>2231</v>
      </c>
      <c r="E851" s="1" t="s">
        <v>1330</v>
      </c>
      <c r="F851" s="1">
        <v>2023</v>
      </c>
      <c r="G851" s="1" t="s">
        <v>617</v>
      </c>
      <c r="H851" s="1">
        <v>606257</v>
      </c>
      <c r="I851" s="1">
        <v>2</v>
      </c>
      <c r="K851" s="1" t="s">
        <v>2222</v>
      </c>
      <c r="L851" s="1" t="s">
        <v>2223</v>
      </c>
      <c r="M851" s="1">
        <v>59</v>
      </c>
      <c r="N851" s="1" t="s">
        <v>39</v>
      </c>
      <c r="O851" s="1">
        <v>40.616900000000001</v>
      </c>
      <c r="P851" s="1">
        <v>-73.648600000000002</v>
      </c>
      <c r="Q851" s="1" t="s">
        <v>2224</v>
      </c>
      <c r="T851" s="1" t="s">
        <v>93</v>
      </c>
      <c r="U851" s="1" t="s">
        <v>44</v>
      </c>
      <c r="V851" s="1" t="s">
        <v>94</v>
      </c>
      <c r="AA851" s="3">
        <v>25750</v>
      </c>
      <c r="AB851" s="1" t="s">
        <v>46</v>
      </c>
      <c r="AC851" s="5">
        <v>276</v>
      </c>
      <c r="AD851" s="1" t="s">
        <v>2232</v>
      </c>
      <c r="AE851" s="1" t="str">
        <f t="shared" si="66"/>
        <v>2511 U00006</v>
      </c>
      <c r="AF851" s="5" t="str">
        <f t="shared" si="67"/>
        <v>18</v>
      </c>
      <c r="AG851" s="1" t="str">
        <f t="shared" si="65"/>
        <v/>
      </c>
    </row>
    <row r="852" spans="1:33" x14ac:dyDescent="0.2">
      <c r="A852" s="1" t="s">
        <v>2089</v>
      </c>
      <c r="B852" s="1" t="s">
        <v>2221</v>
      </c>
      <c r="C852" s="1">
        <v>2511</v>
      </c>
      <c r="D852" s="1" t="s">
        <v>2233</v>
      </c>
      <c r="E852" s="1" t="s">
        <v>1330</v>
      </c>
      <c r="F852" s="1">
        <v>2023</v>
      </c>
      <c r="G852" s="1" t="s">
        <v>617</v>
      </c>
      <c r="H852" s="1">
        <v>606257</v>
      </c>
      <c r="I852" s="1">
        <v>2</v>
      </c>
      <c r="K852" s="1" t="s">
        <v>2222</v>
      </c>
      <c r="L852" s="1" t="s">
        <v>2223</v>
      </c>
      <c r="M852" s="1">
        <v>59</v>
      </c>
      <c r="N852" s="1" t="s">
        <v>39</v>
      </c>
      <c r="O852" s="1">
        <v>40.616900000000001</v>
      </c>
      <c r="P852" s="1">
        <v>-73.648600000000002</v>
      </c>
      <c r="Q852" s="1" t="s">
        <v>2224</v>
      </c>
      <c r="T852" s="1" t="s">
        <v>93</v>
      </c>
      <c r="U852" s="1" t="s">
        <v>44</v>
      </c>
      <c r="V852" s="1" t="s">
        <v>94</v>
      </c>
      <c r="AA852" s="3">
        <v>25750</v>
      </c>
      <c r="AB852" s="1" t="s">
        <v>46</v>
      </c>
      <c r="AC852" s="5">
        <v>276</v>
      </c>
      <c r="AD852" s="1" t="s">
        <v>2234</v>
      </c>
      <c r="AE852" s="1" t="str">
        <f t="shared" si="66"/>
        <v>2511 U00007</v>
      </c>
      <c r="AF852" s="5" t="str">
        <f t="shared" si="67"/>
        <v>18</v>
      </c>
      <c r="AG852" s="1" t="str">
        <f t="shared" si="65"/>
        <v/>
      </c>
    </row>
    <row r="853" spans="1:33" x14ac:dyDescent="0.2">
      <c r="A853" s="1" t="s">
        <v>2089</v>
      </c>
      <c r="B853" s="1" t="s">
        <v>2221</v>
      </c>
      <c r="C853" s="1">
        <v>2511</v>
      </c>
      <c r="D853" s="1" t="s">
        <v>2235</v>
      </c>
      <c r="E853" s="1" t="s">
        <v>1330</v>
      </c>
      <c r="F853" s="1">
        <v>2023</v>
      </c>
      <c r="G853" s="1" t="s">
        <v>617</v>
      </c>
      <c r="H853" s="1">
        <v>606257</v>
      </c>
      <c r="I853" s="1">
        <v>2</v>
      </c>
      <c r="K853" s="1" t="s">
        <v>2222</v>
      </c>
      <c r="L853" s="1" t="s">
        <v>2223</v>
      </c>
      <c r="M853" s="1">
        <v>59</v>
      </c>
      <c r="N853" s="1" t="s">
        <v>39</v>
      </c>
      <c r="O853" s="1">
        <v>40.616900000000001</v>
      </c>
      <c r="P853" s="1">
        <v>-73.648600000000002</v>
      </c>
      <c r="Q853" s="1" t="s">
        <v>2224</v>
      </c>
      <c r="T853" s="1" t="s">
        <v>93</v>
      </c>
      <c r="U853" s="1" t="s">
        <v>44</v>
      </c>
      <c r="V853" s="1" t="s">
        <v>94</v>
      </c>
      <c r="AA853" s="3">
        <v>25750</v>
      </c>
      <c r="AB853" s="1" t="s">
        <v>46</v>
      </c>
      <c r="AC853" s="5">
        <v>276</v>
      </c>
      <c r="AD853" s="1" t="s">
        <v>2236</v>
      </c>
      <c r="AE853" s="1" t="str">
        <f t="shared" si="66"/>
        <v>2511 U00008</v>
      </c>
      <c r="AF853" s="5" t="str">
        <f t="shared" si="67"/>
        <v>18</v>
      </c>
      <c r="AG853" s="1" t="str">
        <f t="shared" si="65"/>
        <v/>
      </c>
    </row>
    <row r="854" spans="1:33" x14ac:dyDescent="0.2">
      <c r="A854" s="1" t="s">
        <v>2089</v>
      </c>
      <c r="B854" s="1" t="s">
        <v>2221</v>
      </c>
      <c r="C854" s="1">
        <v>2511</v>
      </c>
      <c r="D854" s="1" t="s">
        <v>2237</v>
      </c>
      <c r="E854" s="1" t="s">
        <v>1330</v>
      </c>
      <c r="F854" s="1">
        <v>2023</v>
      </c>
      <c r="G854" s="1" t="s">
        <v>617</v>
      </c>
      <c r="H854" s="1">
        <v>606257</v>
      </c>
      <c r="I854" s="1">
        <v>2</v>
      </c>
      <c r="K854" s="1" t="s">
        <v>2222</v>
      </c>
      <c r="L854" s="1" t="s">
        <v>2223</v>
      </c>
      <c r="M854" s="1">
        <v>59</v>
      </c>
      <c r="N854" s="1" t="s">
        <v>39</v>
      </c>
      <c r="O854" s="1">
        <v>40.616900000000001</v>
      </c>
      <c r="P854" s="1">
        <v>-73.648600000000002</v>
      </c>
      <c r="Q854" s="1" t="s">
        <v>2224</v>
      </c>
      <c r="T854" s="1" t="s">
        <v>93</v>
      </c>
      <c r="U854" s="1" t="s">
        <v>44</v>
      </c>
      <c r="V854" s="1" t="s">
        <v>94</v>
      </c>
      <c r="AA854" s="3">
        <v>25750</v>
      </c>
      <c r="AB854" s="1" t="s">
        <v>46</v>
      </c>
      <c r="AC854" s="5">
        <v>276</v>
      </c>
      <c r="AD854" s="1" t="s">
        <v>2238</v>
      </c>
      <c r="AE854" s="1" t="str">
        <f t="shared" si="66"/>
        <v>2511 U00009</v>
      </c>
      <c r="AF854" s="5" t="str">
        <f t="shared" si="67"/>
        <v>18</v>
      </c>
      <c r="AG854" s="1" t="str">
        <f t="shared" si="65"/>
        <v/>
      </c>
    </row>
    <row r="855" spans="1:33" x14ac:dyDescent="0.2">
      <c r="A855" s="1" t="s">
        <v>2089</v>
      </c>
      <c r="B855" s="1" t="s">
        <v>2221</v>
      </c>
      <c r="C855" s="1">
        <v>2511</v>
      </c>
      <c r="D855" s="1" t="s">
        <v>2239</v>
      </c>
      <c r="E855" s="1" t="s">
        <v>1330</v>
      </c>
      <c r="F855" s="1">
        <v>2023</v>
      </c>
      <c r="G855" s="1" t="s">
        <v>617</v>
      </c>
      <c r="H855" s="1">
        <v>606257</v>
      </c>
      <c r="I855" s="1">
        <v>2</v>
      </c>
      <c r="K855" s="1" t="s">
        <v>2222</v>
      </c>
      <c r="L855" s="1" t="s">
        <v>2223</v>
      </c>
      <c r="M855" s="1">
        <v>59</v>
      </c>
      <c r="N855" s="1" t="s">
        <v>39</v>
      </c>
      <c r="O855" s="1">
        <v>40.616900000000001</v>
      </c>
      <c r="P855" s="1">
        <v>-73.648600000000002</v>
      </c>
      <c r="Q855" s="1" t="s">
        <v>2224</v>
      </c>
      <c r="T855" s="1" t="s">
        <v>93</v>
      </c>
      <c r="U855" s="1" t="s">
        <v>44</v>
      </c>
      <c r="V855" s="1" t="s">
        <v>94</v>
      </c>
      <c r="AA855" s="3">
        <v>25750</v>
      </c>
      <c r="AB855" s="1" t="s">
        <v>46</v>
      </c>
      <c r="AC855" s="5">
        <v>276</v>
      </c>
      <c r="AD855" s="1" t="s">
        <v>2240</v>
      </c>
      <c r="AE855" s="1" t="str">
        <f t="shared" si="66"/>
        <v>2511 U00011</v>
      </c>
      <c r="AF855" s="5" t="str">
        <f t="shared" si="67"/>
        <v>18</v>
      </c>
      <c r="AG855" s="1" t="str">
        <f t="shared" si="65"/>
        <v/>
      </c>
    </row>
    <row r="856" spans="1:33" x14ac:dyDescent="0.2">
      <c r="A856" s="1" t="s">
        <v>2089</v>
      </c>
      <c r="B856" s="1" t="s">
        <v>2221</v>
      </c>
      <c r="C856" s="1">
        <v>2511</v>
      </c>
      <c r="D856" s="1" t="s">
        <v>2241</v>
      </c>
      <c r="E856" s="1" t="s">
        <v>1330</v>
      </c>
      <c r="F856" s="1">
        <v>2023</v>
      </c>
      <c r="G856" s="1" t="s">
        <v>1528</v>
      </c>
      <c r="H856" s="1">
        <v>606257</v>
      </c>
      <c r="I856" s="1">
        <v>2</v>
      </c>
      <c r="K856" s="1" t="s">
        <v>2222</v>
      </c>
      <c r="L856" s="1" t="s">
        <v>2223</v>
      </c>
      <c r="M856" s="1">
        <v>59</v>
      </c>
      <c r="N856" s="1" t="s">
        <v>39</v>
      </c>
      <c r="O856" s="1">
        <v>40.616900000000001</v>
      </c>
      <c r="P856" s="1">
        <v>-73.648600000000002</v>
      </c>
      <c r="Q856" s="1" t="s">
        <v>2224</v>
      </c>
      <c r="T856" s="1" t="s">
        <v>93</v>
      </c>
      <c r="U856" s="1" t="s">
        <v>44</v>
      </c>
      <c r="V856" s="1" t="s">
        <v>94</v>
      </c>
      <c r="X856" s="1" t="s">
        <v>95</v>
      </c>
      <c r="AA856" s="3">
        <v>25750</v>
      </c>
      <c r="AB856" s="1" t="s">
        <v>46</v>
      </c>
      <c r="AC856" s="5">
        <v>270</v>
      </c>
      <c r="AD856" s="1" t="s">
        <v>2242</v>
      </c>
      <c r="AE856" s="1" t="str">
        <f t="shared" si="66"/>
        <v>2511 U00012</v>
      </c>
      <c r="AF856" s="5" t="str">
        <f t="shared" si="67"/>
        <v>41.9</v>
      </c>
      <c r="AG856" s="1" t="str">
        <f t="shared" si="65"/>
        <v/>
      </c>
    </row>
    <row r="857" spans="1:33" x14ac:dyDescent="0.2">
      <c r="A857" s="1" t="s">
        <v>2089</v>
      </c>
      <c r="B857" s="1" t="s">
        <v>2221</v>
      </c>
      <c r="C857" s="1">
        <v>2511</v>
      </c>
      <c r="D857" s="1" t="s">
        <v>2243</v>
      </c>
      <c r="E857" s="1" t="s">
        <v>1330</v>
      </c>
      <c r="F857" s="1">
        <v>2023</v>
      </c>
      <c r="G857" s="1" t="s">
        <v>1528</v>
      </c>
      <c r="H857" s="1">
        <v>606257</v>
      </c>
      <c r="I857" s="1">
        <v>2</v>
      </c>
      <c r="K857" s="1" t="s">
        <v>2222</v>
      </c>
      <c r="L857" s="1" t="s">
        <v>2223</v>
      </c>
      <c r="M857" s="1">
        <v>59</v>
      </c>
      <c r="N857" s="1" t="s">
        <v>39</v>
      </c>
      <c r="O857" s="1">
        <v>40.616900000000001</v>
      </c>
      <c r="P857" s="1">
        <v>-73.648600000000002</v>
      </c>
      <c r="Q857" s="1" t="s">
        <v>2224</v>
      </c>
      <c r="T857" s="1" t="s">
        <v>93</v>
      </c>
      <c r="U857" s="1" t="s">
        <v>44</v>
      </c>
      <c r="V857" s="1" t="s">
        <v>94</v>
      </c>
      <c r="X857" s="1" t="s">
        <v>95</v>
      </c>
      <c r="AA857" s="3">
        <v>25750</v>
      </c>
      <c r="AB857" s="1" t="s">
        <v>46</v>
      </c>
      <c r="AC857" s="5">
        <v>270</v>
      </c>
      <c r="AD857" s="1" t="s">
        <v>2242</v>
      </c>
      <c r="AE857" s="1" t="str">
        <f t="shared" si="66"/>
        <v>2511 U00013</v>
      </c>
      <c r="AF857" s="5" t="str">
        <f t="shared" si="67"/>
        <v>41.9</v>
      </c>
      <c r="AG857" s="1" t="str">
        <f t="shared" si="65"/>
        <v/>
      </c>
    </row>
    <row r="858" spans="1:33" x14ac:dyDescent="0.2">
      <c r="A858" s="1" t="s">
        <v>2089</v>
      </c>
      <c r="B858" s="1" t="s">
        <v>2221</v>
      </c>
      <c r="C858" s="1">
        <v>2511</v>
      </c>
      <c r="D858" s="1" t="s">
        <v>2244</v>
      </c>
      <c r="E858" s="1" t="s">
        <v>1330</v>
      </c>
      <c r="F858" s="1">
        <v>2023</v>
      </c>
      <c r="G858" s="1" t="s">
        <v>1528</v>
      </c>
      <c r="H858" s="1">
        <v>606257</v>
      </c>
      <c r="I858" s="1">
        <v>2</v>
      </c>
      <c r="K858" s="1" t="s">
        <v>2222</v>
      </c>
      <c r="L858" s="1" t="s">
        <v>2223</v>
      </c>
      <c r="M858" s="1">
        <v>59</v>
      </c>
      <c r="N858" s="1" t="s">
        <v>39</v>
      </c>
      <c r="O858" s="1">
        <v>40.616900000000001</v>
      </c>
      <c r="P858" s="1">
        <v>-73.648600000000002</v>
      </c>
      <c r="Q858" s="1" t="s">
        <v>2224</v>
      </c>
      <c r="T858" s="1" t="s">
        <v>93</v>
      </c>
      <c r="U858" s="1" t="s">
        <v>44</v>
      </c>
      <c r="V858" s="1" t="s">
        <v>94</v>
      </c>
      <c r="X858" s="1" t="s">
        <v>95</v>
      </c>
      <c r="AA858" s="3">
        <v>25750</v>
      </c>
      <c r="AB858" s="1" t="s">
        <v>46</v>
      </c>
      <c r="AC858" s="5">
        <v>270</v>
      </c>
      <c r="AD858" s="1" t="s">
        <v>2245</v>
      </c>
      <c r="AE858" s="1" t="str">
        <f t="shared" si="66"/>
        <v>2511 U00014</v>
      </c>
      <c r="AF858" s="5" t="str">
        <f t="shared" si="67"/>
        <v>41.9</v>
      </c>
      <c r="AG858" s="1" t="str">
        <f t="shared" si="65"/>
        <v/>
      </c>
    </row>
    <row r="859" spans="1:33" x14ac:dyDescent="0.2">
      <c r="A859" s="1" t="s">
        <v>2089</v>
      </c>
      <c r="B859" s="1" t="s">
        <v>2221</v>
      </c>
      <c r="C859" s="1">
        <v>2511</v>
      </c>
      <c r="D859" s="1" t="s">
        <v>2246</v>
      </c>
      <c r="E859" s="1" t="s">
        <v>1330</v>
      </c>
      <c r="F859" s="1">
        <v>2023</v>
      </c>
      <c r="G859" s="1" t="s">
        <v>1528</v>
      </c>
      <c r="H859" s="1">
        <v>606257</v>
      </c>
      <c r="I859" s="1">
        <v>2</v>
      </c>
      <c r="K859" s="1" t="s">
        <v>2222</v>
      </c>
      <c r="L859" s="1" t="s">
        <v>2223</v>
      </c>
      <c r="M859" s="1">
        <v>59</v>
      </c>
      <c r="N859" s="1" t="s">
        <v>39</v>
      </c>
      <c r="O859" s="1">
        <v>40.616900000000001</v>
      </c>
      <c r="P859" s="1">
        <v>-73.648600000000002</v>
      </c>
      <c r="Q859" s="1" t="s">
        <v>2224</v>
      </c>
      <c r="T859" s="1" t="s">
        <v>93</v>
      </c>
      <c r="U859" s="1" t="s">
        <v>44</v>
      </c>
      <c r="V859" s="1" t="s">
        <v>94</v>
      </c>
      <c r="X859" s="1" t="s">
        <v>95</v>
      </c>
      <c r="AA859" s="3">
        <v>25750</v>
      </c>
      <c r="AB859" s="1" t="s">
        <v>46</v>
      </c>
      <c r="AC859" s="5">
        <v>270</v>
      </c>
      <c r="AD859" s="1" t="s">
        <v>2245</v>
      </c>
      <c r="AE859" s="1" t="str">
        <f t="shared" si="66"/>
        <v>2511 U00015</v>
      </c>
      <c r="AF859" s="5" t="str">
        <f t="shared" si="67"/>
        <v>41.9</v>
      </c>
      <c r="AG859" s="1" t="str">
        <f t="shared" si="65"/>
        <v/>
      </c>
    </row>
    <row r="860" spans="1:33" x14ac:dyDescent="0.2">
      <c r="A860" s="1" t="s">
        <v>2089</v>
      </c>
      <c r="B860" s="1" t="s">
        <v>2221</v>
      </c>
      <c r="C860" s="1">
        <v>2511</v>
      </c>
      <c r="D860" s="1" t="s">
        <v>2247</v>
      </c>
      <c r="E860" s="1" t="s">
        <v>1330</v>
      </c>
      <c r="F860" s="1">
        <v>2023</v>
      </c>
      <c r="G860" s="1" t="s">
        <v>1528</v>
      </c>
      <c r="H860" s="1">
        <v>606257</v>
      </c>
      <c r="I860" s="1">
        <v>2</v>
      </c>
      <c r="K860" s="1" t="s">
        <v>2222</v>
      </c>
      <c r="L860" s="1" t="s">
        <v>2223</v>
      </c>
      <c r="M860" s="1">
        <v>59</v>
      </c>
      <c r="N860" s="1" t="s">
        <v>39</v>
      </c>
      <c r="O860" s="1">
        <v>40.616900000000001</v>
      </c>
      <c r="P860" s="1">
        <v>-73.648600000000002</v>
      </c>
      <c r="Q860" s="1" t="s">
        <v>2224</v>
      </c>
      <c r="T860" s="1" t="s">
        <v>93</v>
      </c>
      <c r="U860" s="1" t="s">
        <v>44</v>
      </c>
      <c r="V860" s="1" t="s">
        <v>94</v>
      </c>
      <c r="X860" s="1" t="s">
        <v>95</v>
      </c>
      <c r="AA860" s="3">
        <v>25750</v>
      </c>
      <c r="AB860" s="1" t="s">
        <v>46</v>
      </c>
      <c r="AC860" s="5">
        <v>270</v>
      </c>
      <c r="AD860" s="1" t="s">
        <v>622</v>
      </c>
      <c r="AE860" s="1" t="str">
        <f t="shared" si="66"/>
        <v>2511 U00016</v>
      </c>
      <c r="AF860" s="5" t="str">
        <f t="shared" si="67"/>
        <v>41.9</v>
      </c>
      <c r="AG860" s="1" t="str">
        <f t="shared" si="65"/>
        <v/>
      </c>
    </row>
    <row r="861" spans="1:33" x14ac:dyDescent="0.2">
      <c r="A861" s="1" t="s">
        <v>2089</v>
      </c>
      <c r="B861" s="1" t="s">
        <v>2221</v>
      </c>
      <c r="C861" s="1">
        <v>2511</v>
      </c>
      <c r="D861" s="1" t="s">
        <v>2248</v>
      </c>
      <c r="E861" s="1" t="s">
        <v>1330</v>
      </c>
      <c r="F861" s="1">
        <v>2023</v>
      </c>
      <c r="G861" s="1" t="s">
        <v>1528</v>
      </c>
      <c r="H861" s="1">
        <v>606257</v>
      </c>
      <c r="I861" s="1">
        <v>2</v>
      </c>
      <c r="K861" s="1" t="s">
        <v>2222</v>
      </c>
      <c r="L861" s="1" t="s">
        <v>2223</v>
      </c>
      <c r="M861" s="1">
        <v>59</v>
      </c>
      <c r="N861" s="1" t="s">
        <v>39</v>
      </c>
      <c r="O861" s="1">
        <v>40.616900000000001</v>
      </c>
      <c r="P861" s="1">
        <v>-73.648600000000002</v>
      </c>
      <c r="Q861" s="1" t="s">
        <v>2224</v>
      </c>
      <c r="T861" s="1" t="s">
        <v>93</v>
      </c>
      <c r="U861" s="1" t="s">
        <v>44</v>
      </c>
      <c r="V861" s="1" t="s">
        <v>94</v>
      </c>
      <c r="X861" s="1" t="s">
        <v>95</v>
      </c>
      <c r="AA861" s="3">
        <v>25750</v>
      </c>
      <c r="AB861" s="1" t="s">
        <v>46</v>
      </c>
      <c r="AC861" s="5">
        <v>270</v>
      </c>
      <c r="AD861" s="1" t="s">
        <v>622</v>
      </c>
      <c r="AE861" s="1" t="str">
        <f t="shared" si="66"/>
        <v>2511 U00017</v>
      </c>
      <c r="AF861" s="5" t="str">
        <f t="shared" si="67"/>
        <v>41.9</v>
      </c>
      <c r="AG861" s="1" t="str">
        <f t="shared" si="65"/>
        <v/>
      </c>
    </row>
    <row r="862" spans="1:33" x14ac:dyDescent="0.2">
      <c r="A862" s="1" t="s">
        <v>2089</v>
      </c>
      <c r="B862" s="1" t="s">
        <v>2221</v>
      </c>
      <c r="C862" s="1">
        <v>2511</v>
      </c>
      <c r="D862" s="1" t="s">
        <v>2249</v>
      </c>
      <c r="E862" s="1" t="s">
        <v>1330</v>
      </c>
      <c r="F862" s="1">
        <v>2023</v>
      </c>
      <c r="G862" s="1" t="s">
        <v>1528</v>
      </c>
      <c r="H862" s="1">
        <v>606257</v>
      </c>
      <c r="I862" s="1">
        <v>2</v>
      </c>
      <c r="K862" s="1" t="s">
        <v>2222</v>
      </c>
      <c r="L862" s="1" t="s">
        <v>2223</v>
      </c>
      <c r="M862" s="1">
        <v>59</v>
      </c>
      <c r="N862" s="1" t="s">
        <v>39</v>
      </c>
      <c r="O862" s="1">
        <v>40.616900000000001</v>
      </c>
      <c r="P862" s="1">
        <v>-73.648600000000002</v>
      </c>
      <c r="Q862" s="1" t="s">
        <v>2224</v>
      </c>
      <c r="T862" s="1" t="s">
        <v>93</v>
      </c>
      <c r="U862" s="1" t="s">
        <v>44</v>
      </c>
      <c r="V862" s="1" t="s">
        <v>94</v>
      </c>
      <c r="X862" s="1" t="s">
        <v>95</v>
      </c>
      <c r="AA862" s="3">
        <v>25750</v>
      </c>
      <c r="AB862" s="1" t="s">
        <v>46</v>
      </c>
      <c r="AC862" s="5">
        <v>270</v>
      </c>
      <c r="AD862" s="1" t="s">
        <v>625</v>
      </c>
      <c r="AE862" s="1" t="str">
        <f t="shared" si="66"/>
        <v>2511 U00018</v>
      </c>
      <c r="AF862" s="5" t="str">
        <f t="shared" si="67"/>
        <v>41.9</v>
      </c>
      <c r="AG862" s="1" t="str">
        <f t="shared" si="65"/>
        <v/>
      </c>
    </row>
    <row r="863" spans="1:33" x14ac:dyDescent="0.2">
      <c r="A863" s="1" t="s">
        <v>2089</v>
      </c>
      <c r="B863" s="1" t="s">
        <v>2221</v>
      </c>
      <c r="C863" s="1">
        <v>2511</v>
      </c>
      <c r="D863" s="1" t="s">
        <v>2250</v>
      </c>
      <c r="E863" s="1" t="s">
        <v>1330</v>
      </c>
      <c r="F863" s="1">
        <v>2023</v>
      </c>
      <c r="G863" s="1" t="s">
        <v>1528</v>
      </c>
      <c r="H863" s="1">
        <v>606257</v>
      </c>
      <c r="I863" s="1">
        <v>2</v>
      </c>
      <c r="K863" s="1" t="s">
        <v>2222</v>
      </c>
      <c r="L863" s="1" t="s">
        <v>2223</v>
      </c>
      <c r="M863" s="1">
        <v>59</v>
      </c>
      <c r="N863" s="1" t="s">
        <v>39</v>
      </c>
      <c r="O863" s="1">
        <v>40.616900000000001</v>
      </c>
      <c r="P863" s="1">
        <v>-73.648600000000002</v>
      </c>
      <c r="Q863" s="1" t="s">
        <v>2224</v>
      </c>
      <c r="T863" s="1" t="s">
        <v>93</v>
      </c>
      <c r="U863" s="1" t="s">
        <v>44</v>
      </c>
      <c r="V863" s="1" t="s">
        <v>94</v>
      </c>
      <c r="X863" s="1" t="s">
        <v>95</v>
      </c>
      <c r="AA863" s="3">
        <v>25750</v>
      </c>
      <c r="AB863" s="1" t="s">
        <v>46</v>
      </c>
      <c r="AC863" s="5">
        <v>270</v>
      </c>
      <c r="AD863" s="1" t="s">
        <v>625</v>
      </c>
      <c r="AE863" s="1" t="str">
        <f t="shared" si="66"/>
        <v>2511 U00019</v>
      </c>
      <c r="AF863" s="5" t="str">
        <f t="shared" si="67"/>
        <v>41.9</v>
      </c>
      <c r="AG863" s="1" t="str">
        <f t="shared" si="65"/>
        <v/>
      </c>
    </row>
    <row r="864" spans="1:33" x14ac:dyDescent="0.2">
      <c r="A864" s="1" t="s">
        <v>2089</v>
      </c>
      <c r="B864" s="1" t="s">
        <v>2251</v>
      </c>
      <c r="C864" s="1">
        <v>2514</v>
      </c>
      <c r="D864" s="1" t="s">
        <v>2252</v>
      </c>
      <c r="E864" s="1" t="s">
        <v>1330</v>
      </c>
      <c r="F864" s="1">
        <v>2023</v>
      </c>
      <c r="G864" s="1" t="s">
        <v>1528</v>
      </c>
      <c r="H864" s="1">
        <v>606257</v>
      </c>
      <c r="I864" s="1">
        <v>2</v>
      </c>
      <c r="K864" s="1" t="s">
        <v>2222</v>
      </c>
      <c r="L864" s="1" t="s">
        <v>2223</v>
      </c>
      <c r="M864" s="1">
        <v>59</v>
      </c>
      <c r="N864" s="1" t="s">
        <v>39</v>
      </c>
      <c r="O864" s="1">
        <v>40.826900000000002</v>
      </c>
      <c r="P864" s="1">
        <v>-73.647900000000007</v>
      </c>
      <c r="Q864" s="1" t="s">
        <v>2224</v>
      </c>
      <c r="T864" s="1" t="s">
        <v>93</v>
      </c>
      <c r="U864" s="1" t="s">
        <v>94</v>
      </c>
      <c r="X864" s="1" t="s">
        <v>95</v>
      </c>
      <c r="AA864" s="3">
        <v>26481</v>
      </c>
      <c r="AB864" s="1" t="s">
        <v>46</v>
      </c>
      <c r="AC864" s="5">
        <v>662</v>
      </c>
      <c r="AD864" s="1" t="s">
        <v>2253</v>
      </c>
      <c r="AE864" s="1" t="str">
        <f t="shared" si="66"/>
        <v>2514 U00020</v>
      </c>
      <c r="AF864" s="5" t="str">
        <f t="shared" si="67"/>
        <v>55</v>
      </c>
      <c r="AG864" s="1" t="str">
        <f t="shared" si="65"/>
        <v/>
      </c>
    </row>
    <row r="865" spans="1:33" x14ac:dyDescent="0.2">
      <c r="A865" s="1" t="s">
        <v>2089</v>
      </c>
      <c r="B865" s="1" t="s">
        <v>2251</v>
      </c>
      <c r="C865" s="1">
        <v>2514</v>
      </c>
      <c r="D865" s="1" t="s">
        <v>2254</v>
      </c>
      <c r="E865" s="1" t="s">
        <v>1330</v>
      </c>
      <c r="F865" s="1">
        <v>2023</v>
      </c>
      <c r="G865" s="1" t="s">
        <v>1528</v>
      </c>
      <c r="H865" s="1">
        <v>606257</v>
      </c>
      <c r="I865" s="1">
        <v>2</v>
      </c>
      <c r="K865" s="1" t="s">
        <v>2222</v>
      </c>
      <c r="L865" s="1" t="s">
        <v>2223</v>
      </c>
      <c r="M865" s="1">
        <v>59</v>
      </c>
      <c r="N865" s="1" t="s">
        <v>39</v>
      </c>
      <c r="O865" s="1">
        <v>40.826900000000002</v>
      </c>
      <c r="P865" s="1">
        <v>-73.647900000000007</v>
      </c>
      <c r="Q865" s="1" t="s">
        <v>2224</v>
      </c>
      <c r="T865" s="1" t="s">
        <v>93</v>
      </c>
      <c r="U865" s="1" t="s">
        <v>94</v>
      </c>
      <c r="AA865" s="3">
        <v>26481</v>
      </c>
      <c r="AB865" s="1" t="s">
        <v>46</v>
      </c>
      <c r="AC865" s="5">
        <v>662</v>
      </c>
      <c r="AD865" s="1" t="s">
        <v>2255</v>
      </c>
      <c r="AE865" s="1" t="str">
        <f t="shared" si="66"/>
        <v>2514 U00021</v>
      </c>
      <c r="AF865" s="5" t="str">
        <f t="shared" si="67"/>
        <v>55</v>
      </c>
      <c r="AG865" s="1" t="str">
        <f t="shared" si="65"/>
        <v/>
      </c>
    </row>
    <row r="866" spans="1:33" x14ac:dyDescent="0.2">
      <c r="A866" s="1" t="s">
        <v>2089</v>
      </c>
      <c r="B866" s="1" t="s">
        <v>2256</v>
      </c>
      <c r="C866" s="1">
        <v>2516</v>
      </c>
      <c r="D866" s="1">
        <v>1</v>
      </c>
      <c r="F866" s="1">
        <v>2023</v>
      </c>
      <c r="G866" s="1" t="s">
        <v>682</v>
      </c>
      <c r="H866" s="1">
        <v>606257</v>
      </c>
      <c r="I866" s="1">
        <v>2</v>
      </c>
      <c r="K866" s="1" t="s">
        <v>2257</v>
      </c>
      <c r="L866" s="1" t="s">
        <v>2258</v>
      </c>
      <c r="M866" s="1">
        <v>103</v>
      </c>
      <c r="N866" s="1" t="s">
        <v>39</v>
      </c>
      <c r="O866" s="1">
        <v>40.923099999999998</v>
      </c>
      <c r="P866" s="1">
        <v>-73.341700000000003</v>
      </c>
      <c r="Q866" s="1" t="s">
        <v>2224</v>
      </c>
      <c r="R866" s="1" t="s">
        <v>120</v>
      </c>
      <c r="T866" s="1" t="s">
        <v>43</v>
      </c>
      <c r="U866" s="1" t="s">
        <v>44</v>
      </c>
      <c r="V866" s="1" t="s">
        <v>173</v>
      </c>
      <c r="X866" s="1" t="s">
        <v>2259</v>
      </c>
      <c r="Y866" s="1" t="s">
        <v>58</v>
      </c>
      <c r="AA866" s="3">
        <v>24473</v>
      </c>
      <c r="AB866" s="1" t="s">
        <v>46</v>
      </c>
      <c r="AC866" s="5">
        <v>3900</v>
      </c>
      <c r="AD866" s="1" t="s">
        <v>2260</v>
      </c>
      <c r="AE866" s="1" t="str">
        <f t="shared" si="66"/>
        <v>2516 1</v>
      </c>
      <c r="AF866" s="5" t="str">
        <f t="shared" si="67"/>
        <v>387</v>
      </c>
      <c r="AG866" s="1" t="str">
        <f t="shared" si="65"/>
        <v/>
      </c>
    </row>
    <row r="867" spans="1:33" x14ac:dyDescent="0.2">
      <c r="A867" s="1" t="s">
        <v>2089</v>
      </c>
      <c r="B867" s="1" t="s">
        <v>2256</v>
      </c>
      <c r="C867" s="1">
        <v>2516</v>
      </c>
      <c r="D867" s="1">
        <v>2</v>
      </c>
      <c r="F867" s="1">
        <v>2023</v>
      </c>
      <c r="G867" s="1" t="s">
        <v>682</v>
      </c>
      <c r="H867" s="1">
        <v>606257</v>
      </c>
      <c r="I867" s="1">
        <v>2</v>
      </c>
      <c r="K867" s="1" t="s">
        <v>2257</v>
      </c>
      <c r="L867" s="1" t="s">
        <v>2258</v>
      </c>
      <c r="M867" s="1">
        <v>103</v>
      </c>
      <c r="N867" s="1" t="s">
        <v>39</v>
      </c>
      <c r="O867" s="1">
        <v>40.923099999999998</v>
      </c>
      <c r="P867" s="1">
        <v>-73.341700000000003</v>
      </c>
      <c r="Q867" s="1" t="s">
        <v>2224</v>
      </c>
      <c r="R867" s="1" t="s">
        <v>120</v>
      </c>
      <c r="T867" s="1" t="s">
        <v>43</v>
      </c>
      <c r="U867" s="1" t="s">
        <v>44</v>
      </c>
      <c r="V867" s="1" t="s">
        <v>173</v>
      </c>
      <c r="X867" s="1" t="s">
        <v>2259</v>
      </c>
      <c r="Y867" s="1" t="s">
        <v>58</v>
      </c>
      <c r="AA867" s="3">
        <v>24838</v>
      </c>
      <c r="AB867" s="1" t="s">
        <v>46</v>
      </c>
      <c r="AC867" s="5">
        <v>4000</v>
      </c>
      <c r="AD867" s="1" t="s">
        <v>2261</v>
      </c>
      <c r="AE867" s="1" t="str">
        <f t="shared" si="66"/>
        <v>2516 2</v>
      </c>
      <c r="AF867" s="5" t="str">
        <f t="shared" si="67"/>
        <v>387</v>
      </c>
      <c r="AG867" s="1" t="str">
        <f t="shared" si="65"/>
        <v/>
      </c>
    </row>
    <row r="868" spans="1:33" x14ac:dyDescent="0.2">
      <c r="A868" s="1" t="s">
        <v>2089</v>
      </c>
      <c r="B868" s="1" t="s">
        <v>2256</v>
      </c>
      <c r="C868" s="1">
        <v>2516</v>
      </c>
      <c r="D868" s="1">
        <v>3</v>
      </c>
      <c r="F868" s="1">
        <v>2023</v>
      </c>
      <c r="G868" s="1" t="s">
        <v>682</v>
      </c>
      <c r="H868" s="1">
        <v>606257</v>
      </c>
      <c r="I868" s="1">
        <v>2</v>
      </c>
      <c r="K868" s="1" t="s">
        <v>2257</v>
      </c>
      <c r="L868" s="1" t="s">
        <v>2258</v>
      </c>
      <c r="M868" s="1">
        <v>103</v>
      </c>
      <c r="N868" s="1" t="s">
        <v>39</v>
      </c>
      <c r="O868" s="1">
        <v>40.923099999999998</v>
      </c>
      <c r="P868" s="1">
        <v>-73.341700000000003</v>
      </c>
      <c r="Q868" s="1" t="s">
        <v>2224</v>
      </c>
      <c r="R868" s="1" t="s">
        <v>120</v>
      </c>
      <c r="T868" s="1" t="s">
        <v>43</v>
      </c>
      <c r="U868" s="1" t="s">
        <v>44</v>
      </c>
      <c r="V868" s="1" t="s">
        <v>173</v>
      </c>
      <c r="X868" s="1" t="s">
        <v>2259</v>
      </c>
      <c r="Y868" s="1" t="s">
        <v>58</v>
      </c>
      <c r="AA868" s="3">
        <v>26299</v>
      </c>
      <c r="AB868" s="1" t="s">
        <v>46</v>
      </c>
      <c r="AC868" s="5">
        <v>3900</v>
      </c>
      <c r="AD868" s="1" t="s">
        <v>2262</v>
      </c>
      <c r="AE868" s="1" t="str">
        <f t="shared" si="66"/>
        <v>2516 3</v>
      </c>
      <c r="AF868" s="5" t="str">
        <f t="shared" si="67"/>
        <v>387</v>
      </c>
      <c r="AG868" s="1" t="str">
        <f t="shared" si="65"/>
        <v/>
      </c>
    </row>
    <row r="869" spans="1:33" x14ac:dyDescent="0.2">
      <c r="A869" s="1" t="s">
        <v>2089</v>
      </c>
      <c r="B869" s="1" t="s">
        <v>2256</v>
      </c>
      <c r="C869" s="1">
        <v>2516</v>
      </c>
      <c r="D869" s="1">
        <v>4</v>
      </c>
      <c r="F869" s="1">
        <v>2023</v>
      </c>
      <c r="G869" s="1" t="s">
        <v>682</v>
      </c>
      <c r="H869" s="1">
        <v>606257</v>
      </c>
      <c r="I869" s="1">
        <v>2</v>
      </c>
      <c r="K869" s="1" t="s">
        <v>2257</v>
      </c>
      <c r="L869" s="1" t="s">
        <v>2258</v>
      </c>
      <c r="M869" s="1">
        <v>103</v>
      </c>
      <c r="N869" s="1" t="s">
        <v>39</v>
      </c>
      <c r="O869" s="1">
        <v>40.923099999999998</v>
      </c>
      <c r="P869" s="1">
        <v>-73.341700000000003</v>
      </c>
      <c r="Q869" s="1" t="s">
        <v>2224</v>
      </c>
      <c r="R869" s="1" t="s">
        <v>41</v>
      </c>
      <c r="T869" s="1" t="s">
        <v>43</v>
      </c>
      <c r="U869" s="1" t="s">
        <v>44</v>
      </c>
      <c r="V869" s="1" t="s">
        <v>173</v>
      </c>
      <c r="X869" s="1" t="s">
        <v>2259</v>
      </c>
      <c r="Y869" s="1" t="s">
        <v>58</v>
      </c>
      <c r="AA869" s="3">
        <v>28126</v>
      </c>
      <c r="AB869" s="1" t="s">
        <v>46</v>
      </c>
      <c r="AC869" s="5">
        <v>4100</v>
      </c>
      <c r="AD869" s="1" t="s">
        <v>2263</v>
      </c>
      <c r="AE869" s="1" t="str">
        <f t="shared" si="66"/>
        <v>2516 4</v>
      </c>
      <c r="AF869" s="5" t="str">
        <f t="shared" si="67"/>
        <v>387</v>
      </c>
      <c r="AG869" s="1" t="str">
        <f t="shared" si="65"/>
        <v/>
      </c>
    </row>
    <row r="870" spans="1:33" x14ac:dyDescent="0.2">
      <c r="A870" s="1" t="s">
        <v>2089</v>
      </c>
      <c r="B870" s="1" t="s">
        <v>2256</v>
      </c>
      <c r="C870" s="1">
        <v>2516</v>
      </c>
      <c r="D870" s="1" t="s">
        <v>2264</v>
      </c>
      <c r="F870" s="1">
        <v>2023</v>
      </c>
      <c r="G870" s="1" t="s">
        <v>617</v>
      </c>
      <c r="H870" s="1">
        <v>606257</v>
      </c>
      <c r="I870" s="1">
        <v>2</v>
      </c>
      <c r="K870" s="1" t="s">
        <v>2257</v>
      </c>
      <c r="L870" s="1" t="s">
        <v>2258</v>
      </c>
      <c r="M870" s="1">
        <v>103</v>
      </c>
      <c r="N870" s="1" t="s">
        <v>39</v>
      </c>
      <c r="O870" s="1">
        <v>40.923099999999998</v>
      </c>
      <c r="P870" s="1">
        <v>-73.341700000000003</v>
      </c>
      <c r="Q870" s="1" t="s">
        <v>2224</v>
      </c>
      <c r="T870" s="1" t="s">
        <v>93</v>
      </c>
      <c r="U870" s="1" t="s">
        <v>94</v>
      </c>
      <c r="AA870" s="3">
        <v>24654</v>
      </c>
      <c r="AB870" s="1" t="s">
        <v>46</v>
      </c>
      <c r="AC870" s="5">
        <v>266</v>
      </c>
      <c r="AD870" s="1" t="s">
        <v>2265</v>
      </c>
      <c r="AE870" s="1" t="str">
        <f t="shared" si="66"/>
        <v>2516 UGT001</v>
      </c>
      <c r="AF870" s="5" t="str">
        <f t="shared" si="67"/>
        <v>16</v>
      </c>
      <c r="AG870" s="1" t="str">
        <f t="shared" si="65"/>
        <v/>
      </c>
    </row>
    <row r="871" spans="1:33" x14ac:dyDescent="0.2">
      <c r="A871" s="1" t="s">
        <v>2089</v>
      </c>
      <c r="B871" s="1" t="s">
        <v>2266</v>
      </c>
      <c r="C871" s="1">
        <v>2517</v>
      </c>
      <c r="D871" s="1">
        <v>3</v>
      </c>
      <c r="F871" s="1">
        <v>2023</v>
      </c>
      <c r="G871" s="1" t="s">
        <v>682</v>
      </c>
      <c r="H871" s="1">
        <v>606257</v>
      </c>
      <c r="I871" s="1">
        <v>2</v>
      </c>
      <c r="K871" s="1" t="s">
        <v>2257</v>
      </c>
      <c r="L871" s="1" t="s">
        <v>2258</v>
      </c>
      <c r="M871" s="1">
        <v>103</v>
      </c>
      <c r="N871" s="1" t="s">
        <v>39</v>
      </c>
      <c r="O871" s="1">
        <v>40.950299999999999</v>
      </c>
      <c r="P871" s="1">
        <v>-73.078599999999994</v>
      </c>
      <c r="Q871" s="1" t="s">
        <v>2224</v>
      </c>
      <c r="R871" s="1" t="s">
        <v>120</v>
      </c>
      <c r="T871" s="1" t="s">
        <v>43</v>
      </c>
      <c r="U871" s="1" t="s">
        <v>44</v>
      </c>
      <c r="V871" s="1" t="s">
        <v>173</v>
      </c>
      <c r="X871" s="1" t="s">
        <v>2259</v>
      </c>
      <c r="Y871" s="1" t="s">
        <v>58</v>
      </c>
      <c r="AA871" s="3">
        <v>21186</v>
      </c>
      <c r="AB871" s="1" t="s">
        <v>46</v>
      </c>
      <c r="AC871" s="5">
        <v>2075</v>
      </c>
      <c r="AD871" s="1" t="s">
        <v>2267</v>
      </c>
      <c r="AE871" s="1" t="str">
        <f t="shared" si="66"/>
        <v>2517 3</v>
      </c>
      <c r="AF871" s="5" t="str">
        <f t="shared" si="67"/>
        <v>188</v>
      </c>
      <c r="AG871" s="1" t="str">
        <f t="shared" si="65"/>
        <v/>
      </c>
    </row>
    <row r="872" spans="1:33" x14ac:dyDescent="0.2">
      <c r="A872" s="1" t="s">
        <v>2089</v>
      </c>
      <c r="B872" s="1" t="s">
        <v>2266</v>
      </c>
      <c r="C872" s="1">
        <v>2517</v>
      </c>
      <c r="D872" s="1">
        <v>4</v>
      </c>
      <c r="F872" s="1">
        <v>2023</v>
      </c>
      <c r="G872" s="1" t="s">
        <v>682</v>
      </c>
      <c r="H872" s="1">
        <v>606257</v>
      </c>
      <c r="I872" s="1">
        <v>2</v>
      </c>
      <c r="K872" s="1" t="s">
        <v>2257</v>
      </c>
      <c r="L872" s="1" t="s">
        <v>2258</v>
      </c>
      <c r="M872" s="1">
        <v>103</v>
      </c>
      <c r="N872" s="1" t="s">
        <v>39</v>
      </c>
      <c r="O872" s="1">
        <v>40.950299999999999</v>
      </c>
      <c r="P872" s="1">
        <v>-73.078599999999994</v>
      </c>
      <c r="Q872" s="1" t="s">
        <v>2224</v>
      </c>
      <c r="R872" s="1" t="s">
        <v>120</v>
      </c>
      <c r="T872" s="1" t="s">
        <v>43</v>
      </c>
      <c r="U872" s="1" t="s">
        <v>44</v>
      </c>
      <c r="V872" s="1" t="s">
        <v>173</v>
      </c>
      <c r="X872" s="1" t="s">
        <v>2259</v>
      </c>
      <c r="Y872" s="1" t="s">
        <v>58</v>
      </c>
      <c r="AA872" s="3">
        <v>21916</v>
      </c>
      <c r="AB872" s="1" t="s">
        <v>46</v>
      </c>
      <c r="AC872" s="5">
        <v>2100</v>
      </c>
      <c r="AD872" s="1" t="s">
        <v>2268</v>
      </c>
      <c r="AE872" s="1" t="str">
        <f t="shared" si="66"/>
        <v>2517 4</v>
      </c>
      <c r="AF872" s="5" t="str">
        <f t="shared" si="67"/>
        <v>188</v>
      </c>
      <c r="AG872" s="1" t="str">
        <f t="shared" si="65"/>
        <v/>
      </c>
    </row>
    <row r="873" spans="1:33" x14ac:dyDescent="0.2">
      <c r="A873" s="1" t="s">
        <v>2089</v>
      </c>
      <c r="B873" s="1" t="s">
        <v>2266</v>
      </c>
      <c r="C873" s="1">
        <v>2517</v>
      </c>
      <c r="D873" s="1" t="s">
        <v>2264</v>
      </c>
      <c r="F873" s="1">
        <v>2023</v>
      </c>
      <c r="G873" s="1" t="s">
        <v>617</v>
      </c>
      <c r="H873" s="1">
        <v>606257</v>
      </c>
      <c r="I873" s="1">
        <v>2</v>
      </c>
      <c r="K873" s="1" t="s">
        <v>2257</v>
      </c>
      <c r="L873" s="1" t="s">
        <v>2258</v>
      </c>
      <c r="M873" s="1">
        <v>103</v>
      </c>
      <c r="N873" s="1" t="s">
        <v>39</v>
      </c>
      <c r="O873" s="1">
        <v>40.950299999999999</v>
      </c>
      <c r="P873" s="1">
        <v>-73.078599999999994</v>
      </c>
      <c r="Q873" s="1" t="s">
        <v>2224</v>
      </c>
      <c r="T873" s="1" t="s">
        <v>93</v>
      </c>
      <c r="U873" s="1" t="s">
        <v>94</v>
      </c>
      <c r="AA873" s="3">
        <v>24289</v>
      </c>
      <c r="AB873" s="1" t="s">
        <v>46</v>
      </c>
      <c r="AC873" s="5">
        <v>266</v>
      </c>
      <c r="AD873" s="1" t="s">
        <v>2265</v>
      </c>
      <c r="AE873" s="1" t="str">
        <f t="shared" si="66"/>
        <v>2517 UGT001</v>
      </c>
      <c r="AF873" s="5" t="str">
        <f t="shared" si="67"/>
        <v>16</v>
      </c>
      <c r="AG873" s="1" t="str">
        <f t="shared" si="65"/>
        <v/>
      </c>
    </row>
    <row r="874" spans="1:33" x14ac:dyDescent="0.2">
      <c r="A874" s="1" t="s">
        <v>2089</v>
      </c>
      <c r="B874" s="1" t="s">
        <v>2266</v>
      </c>
      <c r="C874" s="1">
        <v>2517</v>
      </c>
      <c r="D874" s="1" t="s">
        <v>2269</v>
      </c>
      <c r="F874" s="1">
        <v>2023</v>
      </c>
      <c r="G874" s="1" t="s">
        <v>1515</v>
      </c>
      <c r="H874" s="1">
        <v>606257</v>
      </c>
      <c r="I874" s="1">
        <v>2</v>
      </c>
      <c r="K874" s="1" t="s">
        <v>2257</v>
      </c>
      <c r="L874" s="1" t="s">
        <v>2258</v>
      </c>
      <c r="M874" s="1">
        <v>103</v>
      </c>
      <c r="N874" s="1" t="s">
        <v>39</v>
      </c>
      <c r="O874" s="1">
        <v>40.950299999999999</v>
      </c>
      <c r="P874" s="1">
        <v>-73.078599999999994</v>
      </c>
      <c r="Q874" s="1" t="s">
        <v>2270</v>
      </c>
      <c r="R874" s="1" t="s">
        <v>41</v>
      </c>
      <c r="T874" s="1" t="s">
        <v>93</v>
      </c>
      <c r="U874" s="1" t="s">
        <v>44</v>
      </c>
      <c r="V874" s="1" t="s">
        <v>94</v>
      </c>
      <c r="X874" s="1" t="s">
        <v>176</v>
      </c>
      <c r="AA874" s="3">
        <v>37438</v>
      </c>
      <c r="AB874" s="1" t="s">
        <v>46</v>
      </c>
      <c r="AC874" s="5">
        <v>492</v>
      </c>
      <c r="AD874" s="1" t="s">
        <v>1584</v>
      </c>
      <c r="AE874" s="1" t="str">
        <f t="shared" si="66"/>
        <v>2517 UGT002</v>
      </c>
      <c r="AF874" s="5" t="str">
        <f t="shared" si="67"/>
        <v>45</v>
      </c>
      <c r="AG874" s="1" t="str">
        <f t="shared" si="65"/>
        <v>Y</v>
      </c>
    </row>
    <row r="875" spans="1:33" x14ac:dyDescent="0.2">
      <c r="A875" s="1" t="s">
        <v>2089</v>
      </c>
      <c r="B875" s="1" t="s">
        <v>2266</v>
      </c>
      <c r="C875" s="1">
        <v>2517</v>
      </c>
      <c r="D875" s="1" t="s">
        <v>2271</v>
      </c>
      <c r="F875" s="1">
        <v>2023</v>
      </c>
      <c r="G875" s="1" t="s">
        <v>1515</v>
      </c>
      <c r="H875" s="1">
        <v>606257</v>
      </c>
      <c r="I875" s="1">
        <v>2</v>
      </c>
      <c r="K875" s="1" t="s">
        <v>2257</v>
      </c>
      <c r="L875" s="1" t="s">
        <v>2258</v>
      </c>
      <c r="M875" s="1">
        <v>103</v>
      </c>
      <c r="N875" s="1" t="s">
        <v>39</v>
      </c>
      <c r="O875" s="1">
        <v>40.950299999999999</v>
      </c>
      <c r="P875" s="1">
        <v>-73.078599999999994</v>
      </c>
      <c r="Q875" s="1" t="s">
        <v>2270</v>
      </c>
      <c r="R875" s="1" t="s">
        <v>41</v>
      </c>
      <c r="T875" s="1" t="s">
        <v>93</v>
      </c>
      <c r="U875" s="1" t="s">
        <v>44</v>
      </c>
      <c r="V875" s="1" t="s">
        <v>94</v>
      </c>
      <c r="X875" s="1" t="s">
        <v>176</v>
      </c>
      <c r="AA875" s="3">
        <v>37438</v>
      </c>
      <c r="AB875" s="1" t="s">
        <v>46</v>
      </c>
      <c r="AC875" s="5">
        <v>478</v>
      </c>
      <c r="AD875" s="1" t="s">
        <v>1587</v>
      </c>
      <c r="AE875" s="1" t="str">
        <f t="shared" si="66"/>
        <v>2517 UGT003</v>
      </c>
      <c r="AF875" s="5" t="str">
        <f t="shared" si="67"/>
        <v>45</v>
      </c>
      <c r="AG875" s="1" t="str">
        <f t="shared" si="65"/>
        <v>Y</v>
      </c>
    </row>
    <row r="876" spans="1:33" x14ac:dyDescent="0.2">
      <c r="A876" s="1" t="s">
        <v>2089</v>
      </c>
      <c r="B876" s="1" t="s">
        <v>2272</v>
      </c>
      <c r="C876" s="1">
        <v>2521</v>
      </c>
      <c r="D876" s="1" t="s">
        <v>2264</v>
      </c>
      <c r="F876" s="1">
        <v>2023</v>
      </c>
      <c r="G876" s="1" t="s">
        <v>1528</v>
      </c>
      <c r="H876" s="1">
        <v>606257</v>
      </c>
      <c r="I876" s="1">
        <v>2</v>
      </c>
      <c r="K876" s="1" t="s">
        <v>2257</v>
      </c>
      <c r="L876" s="1" t="s">
        <v>2258</v>
      </c>
      <c r="M876" s="1">
        <v>103</v>
      </c>
      <c r="N876" s="1" t="s">
        <v>39</v>
      </c>
      <c r="O876" s="1">
        <v>40.695300000000003</v>
      </c>
      <c r="P876" s="1">
        <v>-73.349699999999999</v>
      </c>
      <c r="Q876" s="1" t="s">
        <v>2224</v>
      </c>
      <c r="T876" s="1" t="s">
        <v>93</v>
      </c>
      <c r="U876" s="1" t="s">
        <v>94</v>
      </c>
      <c r="AA876" s="3">
        <v>26085</v>
      </c>
      <c r="AB876" s="1" t="s">
        <v>46</v>
      </c>
      <c r="AC876" s="5">
        <v>686</v>
      </c>
      <c r="AD876" s="1" t="s">
        <v>2273</v>
      </c>
      <c r="AE876" s="1" t="str">
        <f t="shared" si="66"/>
        <v>2521 UGT001</v>
      </c>
      <c r="AF876" s="5" t="str">
        <f t="shared" si="67"/>
        <v>52.4</v>
      </c>
      <c r="AG876" s="1" t="str">
        <f t="shared" si="65"/>
        <v/>
      </c>
    </row>
    <row r="877" spans="1:33" x14ac:dyDescent="0.2">
      <c r="A877" s="1" t="s">
        <v>2089</v>
      </c>
      <c r="B877" s="1" t="s">
        <v>2274</v>
      </c>
      <c r="C877" s="1">
        <v>2527</v>
      </c>
      <c r="D877" s="1">
        <v>6</v>
      </c>
      <c r="F877" s="1">
        <v>2023</v>
      </c>
      <c r="G877" s="1" t="s">
        <v>1515</v>
      </c>
      <c r="H877" s="1">
        <v>605956</v>
      </c>
      <c r="I877" s="1">
        <v>2</v>
      </c>
      <c r="J877" s="1" t="s">
        <v>580</v>
      </c>
      <c r="K877" s="1" t="s">
        <v>2275</v>
      </c>
      <c r="L877" s="1" t="s">
        <v>2276</v>
      </c>
      <c r="M877" s="1">
        <v>123</v>
      </c>
      <c r="N877" s="1" t="s">
        <v>39</v>
      </c>
      <c r="O877" s="1">
        <v>42.678899999999999</v>
      </c>
      <c r="P877" s="1">
        <v>-76.948300000000003</v>
      </c>
      <c r="Q877" s="1" t="s">
        <v>2277</v>
      </c>
      <c r="R877" s="1" t="s">
        <v>120</v>
      </c>
      <c r="S877" s="1" t="s">
        <v>121</v>
      </c>
      <c r="T877" s="1" t="s">
        <v>43</v>
      </c>
      <c r="U877" s="1" t="s">
        <v>44</v>
      </c>
      <c r="V877" s="1" t="s">
        <v>657</v>
      </c>
      <c r="W877" s="1" t="s">
        <v>212</v>
      </c>
      <c r="X877" s="1" t="s">
        <v>2278</v>
      </c>
      <c r="Y877" s="1" t="s">
        <v>1182</v>
      </c>
      <c r="AA877" s="3">
        <v>19664</v>
      </c>
      <c r="AB877" s="1" t="s">
        <v>46</v>
      </c>
      <c r="AC877" s="5">
        <v>1280</v>
      </c>
      <c r="AD877" s="1" t="s">
        <v>2279</v>
      </c>
      <c r="AE877" s="1" t="str">
        <f t="shared" si="66"/>
        <v>2527 6</v>
      </c>
      <c r="AF877" s="5" t="str">
        <f t="shared" si="67"/>
        <v>105.9</v>
      </c>
      <c r="AG877" s="1" t="str">
        <f t="shared" si="65"/>
        <v>Y</v>
      </c>
    </row>
    <row r="878" spans="1:33" x14ac:dyDescent="0.2">
      <c r="A878" s="1" t="s">
        <v>2089</v>
      </c>
      <c r="B878" s="1" t="s">
        <v>2280</v>
      </c>
      <c r="C878" s="1">
        <v>2539</v>
      </c>
      <c r="D878" s="1">
        <v>10001</v>
      </c>
      <c r="F878" s="1">
        <v>2023</v>
      </c>
      <c r="G878" s="1" t="s">
        <v>1515</v>
      </c>
      <c r="H878" s="1">
        <v>601740</v>
      </c>
      <c r="I878" s="1">
        <v>2</v>
      </c>
      <c r="J878" s="1" t="s">
        <v>580</v>
      </c>
      <c r="K878" s="1" t="s">
        <v>2281</v>
      </c>
      <c r="L878" s="1" t="s">
        <v>2282</v>
      </c>
      <c r="M878" s="1">
        <v>1</v>
      </c>
      <c r="N878" s="1" t="s">
        <v>39</v>
      </c>
      <c r="O878" s="1">
        <v>42.590499999999999</v>
      </c>
      <c r="P878" s="1">
        <v>-73.763599999999997</v>
      </c>
      <c r="Q878" s="1" t="s">
        <v>2283</v>
      </c>
      <c r="R878" s="1" t="s">
        <v>41</v>
      </c>
      <c r="T878" s="1" t="s">
        <v>71</v>
      </c>
      <c r="U878" s="1" t="s">
        <v>44</v>
      </c>
      <c r="V878" s="1" t="s">
        <v>94</v>
      </c>
      <c r="X878" s="1" t="s">
        <v>643</v>
      </c>
      <c r="AA878" s="3">
        <v>38421</v>
      </c>
      <c r="AB878" s="1" t="s">
        <v>46</v>
      </c>
      <c r="AC878" s="5">
        <v>2450</v>
      </c>
      <c r="AD878" s="1" t="s">
        <v>2284</v>
      </c>
      <c r="AE878" s="1" t="str">
        <f t="shared" si="66"/>
        <v>2539 10001</v>
      </c>
      <c r="AF878" s="14">
        <f>MID(AD878,FIND("(",AD878)+1,FIND(")",AD878)-FIND("(",AD878)-1)+310/3</f>
        <v>297.33333333333331</v>
      </c>
      <c r="AG878" s="1" t="str">
        <f t="shared" si="65"/>
        <v>Y</v>
      </c>
    </row>
    <row r="879" spans="1:33" x14ac:dyDescent="0.2">
      <c r="A879" s="1" t="s">
        <v>2089</v>
      </c>
      <c r="B879" s="1" t="s">
        <v>2280</v>
      </c>
      <c r="C879" s="1">
        <v>2539</v>
      </c>
      <c r="D879" s="1">
        <v>10002</v>
      </c>
      <c r="F879" s="1">
        <v>2023</v>
      </c>
      <c r="G879" s="1" t="s">
        <v>1515</v>
      </c>
      <c r="H879" s="1">
        <v>601740</v>
      </c>
      <c r="I879" s="1">
        <v>2</v>
      </c>
      <c r="J879" s="1" t="s">
        <v>580</v>
      </c>
      <c r="K879" s="1" t="s">
        <v>2281</v>
      </c>
      <c r="L879" s="1" t="s">
        <v>2282</v>
      </c>
      <c r="M879" s="1">
        <v>1</v>
      </c>
      <c r="N879" s="1" t="s">
        <v>39</v>
      </c>
      <c r="O879" s="1">
        <v>42.590499999999999</v>
      </c>
      <c r="P879" s="1">
        <v>-73.763599999999997</v>
      </c>
      <c r="Q879" s="1" t="s">
        <v>2283</v>
      </c>
      <c r="R879" s="1" t="s">
        <v>41</v>
      </c>
      <c r="T879" s="1" t="s">
        <v>71</v>
      </c>
      <c r="U879" s="1" t="s">
        <v>44</v>
      </c>
      <c r="V879" s="1" t="s">
        <v>94</v>
      </c>
      <c r="X879" s="1" t="s">
        <v>643</v>
      </c>
      <c r="AA879" s="3">
        <v>38429</v>
      </c>
      <c r="AB879" s="1" t="s">
        <v>46</v>
      </c>
      <c r="AC879" s="5">
        <v>2450</v>
      </c>
      <c r="AD879" s="1" t="s">
        <v>2285</v>
      </c>
      <c r="AE879" s="1" t="str">
        <f t="shared" si="66"/>
        <v>2539 10002</v>
      </c>
      <c r="AF879" s="14">
        <f>AF878</f>
        <v>297.33333333333331</v>
      </c>
      <c r="AG879" s="1" t="str">
        <f t="shared" si="65"/>
        <v>Y</v>
      </c>
    </row>
    <row r="880" spans="1:33" x14ac:dyDescent="0.2">
      <c r="A880" s="1" t="s">
        <v>2089</v>
      </c>
      <c r="B880" s="1" t="s">
        <v>2280</v>
      </c>
      <c r="C880" s="1">
        <v>2539</v>
      </c>
      <c r="D880" s="1">
        <v>10003</v>
      </c>
      <c r="F880" s="1">
        <v>2023</v>
      </c>
      <c r="G880" s="1" t="s">
        <v>1515</v>
      </c>
      <c r="H880" s="1">
        <v>601740</v>
      </c>
      <c r="I880" s="1">
        <v>2</v>
      </c>
      <c r="J880" s="1" t="s">
        <v>580</v>
      </c>
      <c r="K880" s="1" t="s">
        <v>2281</v>
      </c>
      <c r="L880" s="1" t="s">
        <v>2282</v>
      </c>
      <c r="M880" s="1">
        <v>1</v>
      </c>
      <c r="N880" s="1" t="s">
        <v>39</v>
      </c>
      <c r="O880" s="1">
        <v>42.590499999999999</v>
      </c>
      <c r="P880" s="1">
        <v>-73.763599999999997</v>
      </c>
      <c r="Q880" s="1" t="s">
        <v>2283</v>
      </c>
      <c r="R880" s="1" t="s">
        <v>41</v>
      </c>
      <c r="T880" s="1" t="s">
        <v>71</v>
      </c>
      <c r="U880" s="1" t="s">
        <v>44</v>
      </c>
      <c r="V880" s="1" t="s">
        <v>94</v>
      </c>
      <c r="X880" s="1" t="s">
        <v>643</v>
      </c>
      <c r="AA880" s="3">
        <v>38423</v>
      </c>
      <c r="AB880" s="1" t="s">
        <v>46</v>
      </c>
      <c r="AC880" s="5">
        <v>2450</v>
      </c>
      <c r="AD880" s="1" t="s">
        <v>2286</v>
      </c>
      <c r="AE880" s="1" t="str">
        <f t="shared" si="66"/>
        <v>2539 10003</v>
      </c>
      <c r="AF880" s="14">
        <f>AF878</f>
        <v>297.33333333333331</v>
      </c>
      <c r="AG880" s="1" t="str">
        <f t="shared" si="65"/>
        <v>Y</v>
      </c>
    </row>
    <row r="881" spans="1:33" x14ac:dyDescent="0.2">
      <c r="A881" s="1" t="s">
        <v>2089</v>
      </c>
      <c r="B881" s="1" t="s">
        <v>2287</v>
      </c>
      <c r="C881" s="1">
        <v>2594</v>
      </c>
      <c r="D881" s="1">
        <v>5</v>
      </c>
      <c r="F881" s="1">
        <v>2023</v>
      </c>
      <c r="G881" s="1" t="s">
        <v>682</v>
      </c>
      <c r="H881" s="1">
        <v>601740</v>
      </c>
      <c r="I881" s="1">
        <v>2</v>
      </c>
      <c r="J881" s="1" t="s">
        <v>580</v>
      </c>
      <c r="K881" s="1" t="s">
        <v>2288</v>
      </c>
      <c r="L881" s="1" t="s">
        <v>2289</v>
      </c>
      <c r="M881" s="1">
        <v>75</v>
      </c>
      <c r="N881" s="1" t="s">
        <v>39</v>
      </c>
      <c r="O881" s="1">
        <v>43.46</v>
      </c>
      <c r="P881" s="1">
        <v>-76.53</v>
      </c>
      <c r="Q881" s="1" t="s">
        <v>2290</v>
      </c>
      <c r="R881" s="1" t="s">
        <v>41</v>
      </c>
      <c r="T881" s="1" t="s">
        <v>89</v>
      </c>
      <c r="U881" s="1" t="s">
        <v>173</v>
      </c>
      <c r="V881" s="1" t="s">
        <v>44</v>
      </c>
      <c r="X881" s="1" t="s">
        <v>220</v>
      </c>
      <c r="AA881" s="3">
        <v>28126</v>
      </c>
      <c r="AB881" s="1" t="s">
        <v>46</v>
      </c>
      <c r="AC881" s="5">
        <v>9422</v>
      </c>
      <c r="AD881" s="1" t="s">
        <v>2291</v>
      </c>
      <c r="AE881" s="1" t="str">
        <f t="shared" si="66"/>
        <v>2594 5</v>
      </c>
      <c r="AF881" s="5" t="str">
        <f t="shared" ref="AF881:AF888" si="68">MID(AD881,FIND("(",AD881)+1,FIND(")",AD881)-FIND("(",AD881)-1)</f>
        <v>902</v>
      </c>
      <c r="AG881" s="1" t="str">
        <f t="shared" si="65"/>
        <v/>
      </c>
    </row>
    <row r="882" spans="1:33" x14ac:dyDescent="0.2">
      <c r="A882" s="1" t="s">
        <v>2089</v>
      </c>
      <c r="B882" s="1" t="s">
        <v>2287</v>
      </c>
      <c r="C882" s="1">
        <v>2594</v>
      </c>
      <c r="D882" s="1">
        <v>6</v>
      </c>
      <c r="F882" s="1">
        <v>2023</v>
      </c>
      <c r="G882" s="1" t="s">
        <v>682</v>
      </c>
      <c r="H882" s="1">
        <v>601740</v>
      </c>
      <c r="I882" s="1">
        <v>2</v>
      </c>
      <c r="J882" s="1" t="s">
        <v>580</v>
      </c>
      <c r="K882" s="1" t="s">
        <v>2288</v>
      </c>
      <c r="L882" s="1" t="s">
        <v>2289</v>
      </c>
      <c r="M882" s="1">
        <v>75</v>
      </c>
      <c r="N882" s="1" t="s">
        <v>39</v>
      </c>
      <c r="O882" s="1">
        <v>43.46</v>
      </c>
      <c r="P882" s="1">
        <v>-76.53</v>
      </c>
      <c r="Q882" s="1" t="s">
        <v>2290</v>
      </c>
      <c r="R882" s="1" t="s">
        <v>41</v>
      </c>
      <c r="T882" s="1" t="s">
        <v>89</v>
      </c>
      <c r="U882" s="1" t="s">
        <v>173</v>
      </c>
      <c r="V882" s="1" t="s">
        <v>44</v>
      </c>
      <c r="AA882" s="3">
        <v>29221</v>
      </c>
      <c r="AB882" s="1" t="s">
        <v>46</v>
      </c>
      <c r="AC882" s="5">
        <v>9491</v>
      </c>
      <c r="AD882" s="1" t="s">
        <v>2292</v>
      </c>
      <c r="AE882" s="1" t="str">
        <f t="shared" si="66"/>
        <v>2594 6</v>
      </c>
      <c r="AF882" s="5" t="str">
        <f t="shared" si="68"/>
        <v>902</v>
      </c>
      <c r="AG882" s="1" t="str">
        <f t="shared" si="65"/>
        <v/>
      </c>
    </row>
    <row r="883" spans="1:33" x14ac:dyDescent="0.2">
      <c r="A883" s="1" t="s">
        <v>2089</v>
      </c>
      <c r="B883" s="1" t="s">
        <v>2293</v>
      </c>
      <c r="C883" s="1">
        <v>2625</v>
      </c>
      <c r="D883" s="1">
        <v>1</v>
      </c>
      <c r="F883" s="1">
        <v>2023</v>
      </c>
      <c r="G883" s="1" t="s">
        <v>682</v>
      </c>
      <c r="H883" s="1" t="s">
        <v>2294</v>
      </c>
      <c r="I883" s="1">
        <v>2</v>
      </c>
      <c r="K883" s="1" t="s">
        <v>2295</v>
      </c>
      <c r="L883" s="1" t="s">
        <v>2296</v>
      </c>
      <c r="M883" s="1">
        <v>87</v>
      </c>
      <c r="N883" s="1" t="s">
        <v>39</v>
      </c>
      <c r="O883" s="1">
        <v>41.2044</v>
      </c>
      <c r="P883" s="1">
        <v>-73.968900000000005</v>
      </c>
      <c r="Q883" s="1" t="s">
        <v>2297</v>
      </c>
      <c r="R883" s="1" t="s">
        <v>41</v>
      </c>
      <c r="T883" s="1" t="s">
        <v>43</v>
      </c>
      <c r="U883" s="1" t="s">
        <v>44</v>
      </c>
      <c r="V883" s="1" t="s">
        <v>173</v>
      </c>
      <c r="X883" s="1" t="s">
        <v>1233</v>
      </c>
      <c r="AA883" s="3">
        <v>26543</v>
      </c>
      <c r="AB883" s="1" t="s">
        <v>46</v>
      </c>
      <c r="AC883" s="5">
        <v>7000</v>
      </c>
      <c r="AD883" s="1" t="s">
        <v>2298</v>
      </c>
      <c r="AE883" s="1" t="str">
        <f t="shared" si="66"/>
        <v>2625 1</v>
      </c>
      <c r="AF883" s="5" t="str">
        <f t="shared" si="68"/>
        <v>640</v>
      </c>
      <c r="AG883" s="1" t="str">
        <f t="shared" si="65"/>
        <v/>
      </c>
    </row>
    <row r="884" spans="1:33" x14ac:dyDescent="0.2">
      <c r="A884" s="1" t="s">
        <v>2089</v>
      </c>
      <c r="B884" s="1" t="s">
        <v>2293</v>
      </c>
      <c r="C884" s="1">
        <v>2625</v>
      </c>
      <c r="D884" s="1">
        <v>2</v>
      </c>
      <c r="F884" s="1">
        <v>2023</v>
      </c>
      <c r="G884" s="1" t="s">
        <v>682</v>
      </c>
      <c r="H884" s="1" t="s">
        <v>2294</v>
      </c>
      <c r="I884" s="1">
        <v>2</v>
      </c>
      <c r="K884" s="1" t="s">
        <v>2295</v>
      </c>
      <c r="L884" s="1" t="s">
        <v>2296</v>
      </c>
      <c r="M884" s="1">
        <v>87</v>
      </c>
      <c r="N884" s="1" t="s">
        <v>39</v>
      </c>
      <c r="O884" s="1">
        <v>41.2044</v>
      </c>
      <c r="P884" s="1">
        <v>-73.968900000000005</v>
      </c>
      <c r="Q884" s="1" t="s">
        <v>2297</v>
      </c>
      <c r="R884" s="1" t="s">
        <v>41</v>
      </c>
      <c r="T884" s="1" t="s">
        <v>89</v>
      </c>
      <c r="U884" s="1" t="s">
        <v>44</v>
      </c>
      <c r="V884" s="1" t="s">
        <v>173</v>
      </c>
      <c r="X884" s="1" t="s">
        <v>220</v>
      </c>
      <c r="AA884" s="3">
        <v>27150</v>
      </c>
      <c r="AB884" s="1" t="s">
        <v>46</v>
      </c>
      <c r="AC884" s="5">
        <v>7600</v>
      </c>
      <c r="AD884" s="1" t="s">
        <v>2299</v>
      </c>
      <c r="AE884" s="1" t="str">
        <f t="shared" si="66"/>
        <v>2625 2</v>
      </c>
      <c r="AF884" s="5" t="str">
        <f t="shared" si="68"/>
        <v>640</v>
      </c>
      <c r="AG884" s="1" t="str">
        <f t="shared" si="65"/>
        <v/>
      </c>
    </row>
    <row r="885" spans="1:33" x14ac:dyDescent="0.2">
      <c r="A885" s="1" t="s">
        <v>2089</v>
      </c>
      <c r="B885" s="1" t="s">
        <v>2300</v>
      </c>
      <c r="C885" s="1">
        <v>2628</v>
      </c>
      <c r="D885" s="1">
        <v>1</v>
      </c>
      <c r="F885" s="1">
        <v>2023</v>
      </c>
      <c r="G885" s="1" t="s">
        <v>1528</v>
      </c>
      <c r="H885" s="1">
        <v>2129</v>
      </c>
      <c r="I885" s="1">
        <v>2</v>
      </c>
      <c r="J885" s="1" t="s">
        <v>580</v>
      </c>
      <c r="K885" s="1" t="s">
        <v>2295</v>
      </c>
      <c r="L885" s="1" t="s">
        <v>2296</v>
      </c>
      <c r="M885" s="1">
        <v>87</v>
      </c>
      <c r="N885" s="1" t="s">
        <v>39</v>
      </c>
      <c r="O885" s="1">
        <v>41.126899999999999</v>
      </c>
      <c r="P885" s="1">
        <v>-74.165300000000002</v>
      </c>
      <c r="Q885" s="1" t="s">
        <v>2301</v>
      </c>
      <c r="T885" s="1" t="s">
        <v>93</v>
      </c>
      <c r="U885" s="1" t="s">
        <v>44</v>
      </c>
      <c r="V885" s="1" t="s">
        <v>94</v>
      </c>
      <c r="AA885" s="3">
        <v>26024</v>
      </c>
      <c r="AB885" s="1" t="s">
        <v>46</v>
      </c>
      <c r="AC885" s="5">
        <v>650</v>
      </c>
      <c r="AD885" s="1" t="s">
        <v>2302</v>
      </c>
      <c r="AE885" s="1" t="str">
        <f t="shared" si="66"/>
        <v>2628 1</v>
      </c>
      <c r="AF885" s="5" t="str">
        <f t="shared" si="68"/>
        <v>46.5</v>
      </c>
      <c r="AG885" s="1" t="str">
        <f t="shared" si="65"/>
        <v/>
      </c>
    </row>
    <row r="886" spans="1:33" x14ac:dyDescent="0.2">
      <c r="A886" s="1" t="s">
        <v>2089</v>
      </c>
      <c r="B886" s="1" t="s">
        <v>2303</v>
      </c>
      <c r="C886" s="1">
        <v>2632</v>
      </c>
      <c r="D886" s="1">
        <v>1</v>
      </c>
      <c r="F886" s="1">
        <v>2023</v>
      </c>
      <c r="G886" s="1" t="s">
        <v>1528</v>
      </c>
      <c r="H886" s="1">
        <v>2129</v>
      </c>
      <c r="I886" s="1">
        <v>2</v>
      </c>
      <c r="J886" s="1" t="s">
        <v>580</v>
      </c>
      <c r="K886" s="1" t="s">
        <v>418</v>
      </c>
      <c r="L886" s="1" t="s">
        <v>2091</v>
      </c>
      <c r="M886" s="1">
        <v>71</v>
      </c>
      <c r="N886" s="1" t="s">
        <v>39</v>
      </c>
      <c r="O886" s="1">
        <v>41.427799999999998</v>
      </c>
      <c r="P886" s="1">
        <v>-74.418599999999998</v>
      </c>
      <c r="Q886" s="1" t="s">
        <v>2301</v>
      </c>
      <c r="T886" s="1" t="s">
        <v>93</v>
      </c>
      <c r="U886" s="1" t="s">
        <v>44</v>
      </c>
      <c r="V886" s="1" t="s">
        <v>94</v>
      </c>
      <c r="AA886" s="3">
        <v>26054</v>
      </c>
      <c r="AB886" s="1" t="s">
        <v>46</v>
      </c>
      <c r="AC886" s="5">
        <v>650</v>
      </c>
      <c r="AD886" s="1" t="s">
        <v>2304</v>
      </c>
      <c r="AE886" s="1" t="str">
        <f t="shared" si="66"/>
        <v>2632 1</v>
      </c>
      <c r="AF886" s="5" t="str">
        <f t="shared" si="68"/>
        <v>41.9</v>
      </c>
      <c r="AG886" s="1" t="str">
        <f t="shared" si="65"/>
        <v/>
      </c>
    </row>
    <row r="887" spans="1:33" x14ac:dyDescent="0.2">
      <c r="A887" s="1" t="s">
        <v>2089</v>
      </c>
      <c r="B887" s="1" t="s">
        <v>2305</v>
      </c>
      <c r="C887" s="1">
        <v>2679</v>
      </c>
      <c r="D887" s="1">
        <v>5</v>
      </c>
      <c r="F887" s="1">
        <v>2023</v>
      </c>
      <c r="G887" s="1" t="s">
        <v>1515</v>
      </c>
      <c r="H887" s="1" t="s">
        <v>2306</v>
      </c>
      <c r="I887" s="1">
        <v>2</v>
      </c>
      <c r="K887" s="1" t="s">
        <v>2222</v>
      </c>
      <c r="L887" s="1" t="s">
        <v>2223</v>
      </c>
      <c r="M887" s="1">
        <v>59</v>
      </c>
      <c r="N887" s="1" t="s">
        <v>39</v>
      </c>
      <c r="O887" s="1">
        <v>40.6447</v>
      </c>
      <c r="P887" s="1">
        <v>-73.568299999999994</v>
      </c>
      <c r="Q887" s="1" t="s">
        <v>2307</v>
      </c>
      <c r="R887" s="1" t="s">
        <v>41</v>
      </c>
      <c r="T887" s="1" t="s">
        <v>93</v>
      </c>
      <c r="U887" s="1" t="s">
        <v>44</v>
      </c>
      <c r="V887" s="1" t="s">
        <v>94</v>
      </c>
      <c r="X887" s="1" t="s">
        <v>176</v>
      </c>
      <c r="AA887" s="3">
        <v>38107</v>
      </c>
      <c r="AB887" s="1" t="s">
        <v>46</v>
      </c>
      <c r="AC887" s="5">
        <v>487</v>
      </c>
      <c r="AD887" s="1" t="s">
        <v>2308</v>
      </c>
      <c r="AE887" s="1" t="str">
        <f t="shared" si="66"/>
        <v>2679 5</v>
      </c>
      <c r="AF887" s="5" t="str">
        <f t="shared" si="68"/>
        <v>50</v>
      </c>
      <c r="AG887" s="1" t="str">
        <f t="shared" si="65"/>
        <v>Y</v>
      </c>
    </row>
    <row r="888" spans="1:33" x14ac:dyDescent="0.2">
      <c r="A888" s="1" t="s">
        <v>2089</v>
      </c>
      <c r="B888" s="1" t="s">
        <v>2305</v>
      </c>
      <c r="C888" s="1">
        <v>2679</v>
      </c>
      <c r="D888" s="1" t="s">
        <v>101</v>
      </c>
      <c r="F888" s="1">
        <v>2023</v>
      </c>
      <c r="G888" s="1" t="s">
        <v>2309</v>
      </c>
      <c r="H888" s="1" t="s">
        <v>2306</v>
      </c>
      <c r="I888" s="1">
        <v>2</v>
      </c>
      <c r="K888" s="1" t="s">
        <v>2222</v>
      </c>
      <c r="L888" s="1" t="s">
        <v>2223</v>
      </c>
      <c r="M888" s="1">
        <v>59</v>
      </c>
      <c r="N888" s="1" t="s">
        <v>39</v>
      </c>
      <c r="O888" s="1">
        <v>40.6447</v>
      </c>
      <c r="P888" s="1">
        <v>-73.568299999999994</v>
      </c>
      <c r="Q888" s="1" t="s">
        <v>2307</v>
      </c>
      <c r="T888" s="1" t="s">
        <v>93</v>
      </c>
      <c r="U888" s="1" t="s">
        <v>94</v>
      </c>
      <c r="AA888" s="3">
        <v>26299</v>
      </c>
      <c r="AB888" s="1" t="s">
        <v>46</v>
      </c>
      <c r="AC888" s="5">
        <v>280</v>
      </c>
      <c r="AD888" s="1" t="s">
        <v>2310</v>
      </c>
      <c r="AE888" s="1" t="str">
        <f t="shared" si="66"/>
        <v>2679 CT3</v>
      </c>
      <c r="AF888" s="5" t="str">
        <f t="shared" si="68"/>
        <v>18.2</v>
      </c>
      <c r="AG888" s="1" t="str">
        <f t="shared" si="65"/>
        <v/>
      </c>
    </row>
    <row r="889" spans="1:33" x14ac:dyDescent="0.2">
      <c r="A889" s="1" t="s">
        <v>2089</v>
      </c>
      <c r="B889" s="1" t="s">
        <v>2311</v>
      </c>
      <c r="C889" s="1">
        <v>2682</v>
      </c>
      <c r="D889" s="1">
        <v>9</v>
      </c>
      <c r="F889" s="1">
        <v>2023</v>
      </c>
      <c r="G889" s="1" t="s">
        <v>461</v>
      </c>
      <c r="H889" s="1">
        <v>603616</v>
      </c>
      <c r="I889" s="1">
        <v>2</v>
      </c>
      <c r="J889" s="1" t="s">
        <v>580</v>
      </c>
      <c r="K889" s="1" t="s">
        <v>2312</v>
      </c>
      <c r="L889" s="1" t="s">
        <v>2313</v>
      </c>
      <c r="M889" s="1">
        <v>13</v>
      </c>
      <c r="N889" s="1" t="s">
        <v>39</v>
      </c>
      <c r="O889" s="1">
        <v>42.091700000000003</v>
      </c>
      <c r="P889" s="1">
        <v>-79.241699999999994</v>
      </c>
      <c r="Q889" s="1" t="s">
        <v>2314</v>
      </c>
      <c r="R889" s="1" t="s">
        <v>41</v>
      </c>
      <c r="S889" s="1" t="s">
        <v>211</v>
      </c>
      <c r="T889" s="1" t="s">
        <v>89</v>
      </c>
      <c r="U889" s="1" t="s">
        <v>44</v>
      </c>
      <c r="V889" s="1" t="s">
        <v>94</v>
      </c>
      <c r="X889" s="1" t="s">
        <v>90</v>
      </c>
      <c r="AA889" s="3">
        <v>18598</v>
      </c>
      <c r="AB889" s="1" t="s">
        <v>46</v>
      </c>
      <c r="AC889" s="5">
        <v>198</v>
      </c>
      <c r="AD889" s="1" t="s">
        <v>2315</v>
      </c>
      <c r="AE889" s="1" t="str">
        <f t="shared" si="66"/>
        <v>2682 9</v>
      </c>
      <c r="AF889" s="14">
        <f>MID(AD889,FIND("(",AD889)+1,FIND(")",AD889)-FIND("(",AD889)-1)/3+27.2/3</f>
        <v>19.233333333333334</v>
      </c>
      <c r="AG889" s="1" t="str">
        <f t="shared" si="65"/>
        <v/>
      </c>
    </row>
    <row r="890" spans="1:33" x14ac:dyDescent="0.2">
      <c r="A890" s="1" t="s">
        <v>2089</v>
      </c>
      <c r="B890" s="1" t="s">
        <v>2311</v>
      </c>
      <c r="C890" s="1">
        <v>2682</v>
      </c>
      <c r="D890" s="1">
        <v>10</v>
      </c>
      <c r="F890" s="1">
        <v>2023</v>
      </c>
      <c r="G890" s="1" t="s">
        <v>461</v>
      </c>
      <c r="H890" s="1">
        <v>603616</v>
      </c>
      <c r="I890" s="1">
        <v>2</v>
      </c>
      <c r="J890" s="1" t="s">
        <v>580</v>
      </c>
      <c r="K890" s="1" t="s">
        <v>2312</v>
      </c>
      <c r="L890" s="1" t="s">
        <v>2313</v>
      </c>
      <c r="M890" s="1">
        <v>13</v>
      </c>
      <c r="N890" s="1" t="s">
        <v>39</v>
      </c>
      <c r="O890" s="1">
        <v>42.091700000000003</v>
      </c>
      <c r="P890" s="1">
        <v>-79.241699999999994</v>
      </c>
      <c r="Q890" s="1" t="s">
        <v>2314</v>
      </c>
      <c r="R890" s="1" t="s">
        <v>41</v>
      </c>
      <c r="S890" s="1" t="s">
        <v>211</v>
      </c>
      <c r="T890" s="1" t="s">
        <v>89</v>
      </c>
      <c r="U890" s="1" t="s">
        <v>44</v>
      </c>
      <c r="X890" s="1" t="s">
        <v>90</v>
      </c>
      <c r="AA890" s="3">
        <v>18598</v>
      </c>
      <c r="AB890" s="1" t="s">
        <v>46</v>
      </c>
      <c r="AC890" s="5">
        <v>198</v>
      </c>
      <c r="AD890" s="1" t="s">
        <v>2316</v>
      </c>
      <c r="AE890" s="1" t="str">
        <f t="shared" si="66"/>
        <v>2682 10</v>
      </c>
      <c r="AF890" s="14">
        <f>AF889</f>
        <v>19.233333333333334</v>
      </c>
      <c r="AG890" s="1" t="str">
        <f t="shared" si="65"/>
        <v/>
      </c>
    </row>
    <row r="891" spans="1:33" x14ac:dyDescent="0.2">
      <c r="A891" s="1" t="s">
        <v>2089</v>
      </c>
      <c r="B891" s="1" t="s">
        <v>2311</v>
      </c>
      <c r="C891" s="1">
        <v>2682</v>
      </c>
      <c r="D891" s="1">
        <v>20</v>
      </c>
      <c r="F891" s="1">
        <v>2023</v>
      </c>
      <c r="G891" s="1" t="s">
        <v>1515</v>
      </c>
      <c r="H891" s="1">
        <v>603616</v>
      </c>
      <c r="I891" s="1">
        <v>2</v>
      </c>
      <c r="J891" s="1" t="s">
        <v>580</v>
      </c>
      <c r="K891" s="1" t="s">
        <v>2312</v>
      </c>
      <c r="L891" s="1" t="s">
        <v>2313</v>
      </c>
      <c r="M891" s="1">
        <v>13</v>
      </c>
      <c r="N891" s="1" t="s">
        <v>39</v>
      </c>
      <c r="O891" s="1">
        <v>42.091700000000003</v>
      </c>
      <c r="P891" s="1">
        <v>-79.241699999999994</v>
      </c>
      <c r="Q891" s="1" t="s">
        <v>2314</v>
      </c>
      <c r="R891" s="1" t="s">
        <v>41</v>
      </c>
      <c r="T891" s="1" t="s">
        <v>71</v>
      </c>
      <c r="U891" s="1" t="s">
        <v>44</v>
      </c>
      <c r="X891" s="1" t="s">
        <v>95</v>
      </c>
      <c r="AA891" s="3">
        <v>37198</v>
      </c>
      <c r="AB891" s="1" t="s">
        <v>46</v>
      </c>
      <c r="AC891" s="5">
        <v>554</v>
      </c>
      <c r="AD891" s="1" t="s">
        <v>2317</v>
      </c>
      <c r="AE891" s="1" t="str">
        <f t="shared" si="66"/>
        <v>2682 20</v>
      </c>
      <c r="AF891" s="14">
        <f>MID(AD891,FIND("(",AD891)+1,FIND(")",AD891)-FIND("(",AD891)-1)+30.5/3+27.2/3</f>
        <v>66.533333333333331</v>
      </c>
      <c r="AG891" s="1" t="str">
        <f t="shared" si="65"/>
        <v/>
      </c>
    </row>
    <row r="892" spans="1:33" x14ac:dyDescent="0.2">
      <c r="A892" s="1" t="s">
        <v>1153</v>
      </c>
      <c r="B892" s="1" t="s">
        <v>2318</v>
      </c>
      <c r="C892" s="1">
        <v>2706</v>
      </c>
      <c r="D892" s="1">
        <v>3</v>
      </c>
      <c r="F892" s="1">
        <v>2023</v>
      </c>
      <c r="G892" s="1" t="s">
        <v>2319</v>
      </c>
      <c r="H892" s="1" t="s">
        <v>2320</v>
      </c>
      <c r="I892" s="1">
        <v>4</v>
      </c>
      <c r="J892" s="1" t="s">
        <v>36</v>
      </c>
      <c r="K892" s="1" t="s">
        <v>2321</v>
      </c>
      <c r="L892" s="1" t="s">
        <v>2322</v>
      </c>
      <c r="M892" s="1">
        <v>21</v>
      </c>
      <c r="N892" s="1" t="s">
        <v>39</v>
      </c>
      <c r="O892" s="1">
        <v>35.471400000000003</v>
      </c>
      <c r="P892" s="1">
        <v>-82.543099999999995</v>
      </c>
      <c r="Q892" s="1" t="s">
        <v>2323</v>
      </c>
      <c r="R892" s="1" t="s">
        <v>41</v>
      </c>
      <c r="T892" s="1" t="s">
        <v>93</v>
      </c>
      <c r="U892" s="1" t="s">
        <v>44</v>
      </c>
      <c r="V892" s="1" t="s">
        <v>94</v>
      </c>
      <c r="X892" s="1" t="s">
        <v>95</v>
      </c>
      <c r="AA892" s="3">
        <v>36298</v>
      </c>
      <c r="AB892" s="1" t="s">
        <v>46</v>
      </c>
      <c r="AC892" s="5">
        <v>2026</v>
      </c>
      <c r="AD892" s="1" t="s">
        <v>2324</v>
      </c>
      <c r="AE892" s="1" t="str">
        <f t="shared" si="66"/>
        <v>2706 3</v>
      </c>
      <c r="AF892" s="5" t="str">
        <f>MID(AD892,FIND("(",AD892)+1,FIND(")",AD892)-FIND("(",AD892)-1)</f>
        <v>211.7</v>
      </c>
      <c r="AG892" s="1" t="str">
        <f t="shared" si="65"/>
        <v/>
      </c>
    </row>
    <row r="893" spans="1:33" x14ac:dyDescent="0.2">
      <c r="A893" s="1" t="s">
        <v>1153</v>
      </c>
      <c r="B893" s="1" t="s">
        <v>2318</v>
      </c>
      <c r="C893" s="1">
        <v>2706</v>
      </c>
      <c r="D893" s="1">
        <v>4</v>
      </c>
      <c r="F893" s="1">
        <v>2023</v>
      </c>
      <c r="G893" s="1" t="s">
        <v>2319</v>
      </c>
      <c r="H893" s="1" t="s">
        <v>2320</v>
      </c>
      <c r="I893" s="1">
        <v>4</v>
      </c>
      <c r="J893" s="1" t="s">
        <v>36</v>
      </c>
      <c r="K893" s="1" t="s">
        <v>2321</v>
      </c>
      <c r="L893" s="1" t="s">
        <v>2322</v>
      </c>
      <c r="M893" s="1">
        <v>21</v>
      </c>
      <c r="N893" s="1" t="s">
        <v>39</v>
      </c>
      <c r="O893" s="1">
        <v>35.471400000000003</v>
      </c>
      <c r="P893" s="1">
        <v>-82.543099999999995</v>
      </c>
      <c r="Q893" s="1" t="s">
        <v>2323</v>
      </c>
      <c r="R893" s="1" t="s">
        <v>41</v>
      </c>
      <c r="T893" s="1" t="s">
        <v>93</v>
      </c>
      <c r="U893" s="1" t="s">
        <v>44</v>
      </c>
      <c r="V893" s="1" t="s">
        <v>94</v>
      </c>
      <c r="X893" s="1" t="s">
        <v>95</v>
      </c>
      <c r="AA893" s="3">
        <v>36559</v>
      </c>
      <c r="AB893" s="1" t="s">
        <v>46</v>
      </c>
      <c r="AC893" s="5">
        <v>2065</v>
      </c>
      <c r="AD893" s="1" t="s">
        <v>2325</v>
      </c>
      <c r="AE893" s="1" t="str">
        <f t="shared" si="66"/>
        <v>2706 4</v>
      </c>
      <c r="AF893" s="5" t="str">
        <f>MID(AD893,FIND("(",AD893)+1,FIND(")",AD893)-FIND("(",AD893)-1)</f>
        <v>211.8</v>
      </c>
      <c r="AG893" s="1" t="str">
        <f t="shared" si="65"/>
        <v/>
      </c>
    </row>
    <row r="894" spans="1:33" x14ac:dyDescent="0.2">
      <c r="A894" s="1" t="s">
        <v>1153</v>
      </c>
      <c r="B894" s="1" t="s">
        <v>2318</v>
      </c>
      <c r="C894" s="1">
        <v>2706</v>
      </c>
      <c r="D894" s="1" t="s">
        <v>105</v>
      </c>
      <c r="F894" s="1">
        <v>2023</v>
      </c>
      <c r="G894" s="1" t="s">
        <v>2326</v>
      </c>
      <c r="H894" s="1" t="s">
        <v>2320</v>
      </c>
      <c r="I894" s="1">
        <v>4</v>
      </c>
      <c r="J894" s="1" t="s">
        <v>36</v>
      </c>
      <c r="K894" s="1" t="s">
        <v>2321</v>
      </c>
      <c r="L894" s="1" t="s">
        <v>2322</v>
      </c>
      <c r="M894" s="1">
        <v>21</v>
      </c>
      <c r="N894" s="1" t="s">
        <v>39</v>
      </c>
      <c r="O894" s="1">
        <v>35.471400000000003</v>
      </c>
      <c r="P894" s="1">
        <v>-82.543099999999995</v>
      </c>
      <c r="Q894" s="1" t="s">
        <v>2323</v>
      </c>
      <c r="R894" s="1" t="s">
        <v>41</v>
      </c>
      <c r="T894" s="1" t="s">
        <v>71</v>
      </c>
      <c r="U894" s="1" t="s">
        <v>44</v>
      </c>
      <c r="V894" s="1" t="s">
        <v>94</v>
      </c>
      <c r="X894" s="1" t="s">
        <v>643</v>
      </c>
      <c r="AA894" s="3">
        <v>43685</v>
      </c>
      <c r="AB894" s="1" t="s">
        <v>46</v>
      </c>
      <c r="AC894" s="5">
        <v>2207</v>
      </c>
      <c r="AD894" s="1" t="s">
        <v>2327</v>
      </c>
      <c r="AE894" s="1" t="str">
        <f t="shared" si="66"/>
        <v>2706 CT5</v>
      </c>
      <c r="AF894" s="14">
        <f>MID(AD894,FIND("(",AD894)+1,FIND(")",AD894)-FIND("(",AD894)-1)+102</f>
        <v>293.2</v>
      </c>
      <c r="AG894" s="1" t="str">
        <f t="shared" si="65"/>
        <v>Y</v>
      </c>
    </row>
    <row r="895" spans="1:33" x14ac:dyDescent="0.2">
      <c r="A895" s="1" t="s">
        <v>1153</v>
      </c>
      <c r="B895" s="1" t="s">
        <v>2318</v>
      </c>
      <c r="C895" s="1">
        <v>2706</v>
      </c>
      <c r="D895" s="1" t="s">
        <v>109</v>
      </c>
      <c r="F895" s="1">
        <v>2023</v>
      </c>
      <c r="G895" s="1" t="s">
        <v>2326</v>
      </c>
      <c r="H895" s="1" t="s">
        <v>2320</v>
      </c>
      <c r="I895" s="1">
        <v>4</v>
      </c>
      <c r="J895" s="1" t="s">
        <v>36</v>
      </c>
      <c r="K895" s="1" t="s">
        <v>2321</v>
      </c>
      <c r="L895" s="1" t="s">
        <v>2322</v>
      </c>
      <c r="M895" s="1">
        <v>21</v>
      </c>
      <c r="N895" s="1" t="s">
        <v>39</v>
      </c>
      <c r="O895" s="1">
        <v>35.471400000000003</v>
      </c>
      <c r="P895" s="1">
        <v>-82.543099999999995</v>
      </c>
      <c r="Q895" s="1" t="s">
        <v>2323</v>
      </c>
      <c r="R895" s="1" t="s">
        <v>41</v>
      </c>
      <c r="T895" s="1" t="s">
        <v>71</v>
      </c>
      <c r="U895" s="1" t="s">
        <v>44</v>
      </c>
      <c r="V895" s="1" t="s">
        <v>94</v>
      </c>
      <c r="X895" s="1" t="s">
        <v>643</v>
      </c>
      <c r="AA895" s="3">
        <v>43714</v>
      </c>
      <c r="AB895" s="1" t="s">
        <v>46</v>
      </c>
      <c r="AC895" s="5">
        <v>2207</v>
      </c>
      <c r="AD895" s="1" t="s">
        <v>2328</v>
      </c>
      <c r="AE895" s="1" t="str">
        <f t="shared" si="66"/>
        <v>2706 CT7</v>
      </c>
      <c r="AF895" s="14">
        <f>MID(AD895,FIND("(",AD895)+1,FIND(")",AD895)-FIND("(",AD895)-1)+102</f>
        <v>293.2</v>
      </c>
      <c r="AG895" s="1" t="str">
        <f t="shared" si="65"/>
        <v>Y</v>
      </c>
    </row>
    <row r="896" spans="1:33" x14ac:dyDescent="0.2">
      <c r="A896" s="1" t="s">
        <v>1153</v>
      </c>
      <c r="B896" s="1" t="s">
        <v>2329</v>
      </c>
      <c r="C896" s="1">
        <v>2707</v>
      </c>
      <c r="D896" s="1">
        <v>1</v>
      </c>
      <c r="F896" s="1">
        <v>2023</v>
      </c>
      <c r="G896" s="1" t="s">
        <v>1157</v>
      </c>
      <c r="H896" s="1" t="s">
        <v>2320</v>
      </c>
      <c r="I896" s="1">
        <v>4</v>
      </c>
      <c r="K896" s="1" t="s">
        <v>2330</v>
      </c>
      <c r="L896" s="1" t="s">
        <v>2331</v>
      </c>
      <c r="M896" s="1">
        <v>7</v>
      </c>
      <c r="N896" s="1" t="s">
        <v>39</v>
      </c>
      <c r="O896" s="1">
        <v>34.981499999999997</v>
      </c>
      <c r="P896" s="1">
        <v>-79.877099999999999</v>
      </c>
      <c r="Q896" s="1" t="s">
        <v>2332</v>
      </c>
      <c r="T896" s="1" t="s">
        <v>93</v>
      </c>
      <c r="U896" s="1" t="s">
        <v>94</v>
      </c>
      <c r="AA896" s="3">
        <v>25934</v>
      </c>
      <c r="AB896" s="1" t="s">
        <v>46</v>
      </c>
      <c r="AC896" s="5">
        <v>277</v>
      </c>
      <c r="AD896" s="1" t="s">
        <v>2333</v>
      </c>
      <c r="AE896" s="1" t="str">
        <f t="shared" si="66"/>
        <v>2707 1</v>
      </c>
      <c r="AF896" s="5" t="str">
        <f t="shared" ref="AF896:AF904" si="69">MID(AD896,FIND("(",AD896)+1,FIND(")",AD896)-FIND("(",AD896)-1)</f>
        <v>17.5</v>
      </c>
      <c r="AG896" s="1" t="str">
        <f t="shared" si="65"/>
        <v/>
      </c>
    </row>
    <row r="897" spans="1:33" x14ac:dyDescent="0.2">
      <c r="A897" s="1" t="s">
        <v>1153</v>
      </c>
      <c r="B897" s="1" t="s">
        <v>2329</v>
      </c>
      <c r="C897" s="1">
        <v>2707</v>
      </c>
      <c r="D897" s="1">
        <v>2</v>
      </c>
      <c r="F897" s="1">
        <v>2023</v>
      </c>
      <c r="G897" s="1" t="s">
        <v>1157</v>
      </c>
      <c r="H897" s="1" t="s">
        <v>2320</v>
      </c>
      <c r="I897" s="1">
        <v>4</v>
      </c>
      <c r="K897" s="1" t="s">
        <v>2330</v>
      </c>
      <c r="L897" s="1" t="s">
        <v>2331</v>
      </c>
      <c r="M897" s="1">
        <v>7</v>
      </c>
      <c r="N897" s="1" t="s">
        <v>39</v>
      </c>
      <c r="O897" s="1">
        <v>34.981499999999997</v>
      </c>
      <c r="P897" s="1">
        <v>-79.877099999999999</v>
      </c>
      <c r="Q897" s="1" t="s">
        <v>2332</v>
      </c>
      <c r="T897" s="1" t="s">
        <v>93</v>
      </c>
      <c r="U897" s="1" t="s">
        <v>94</v>
      </c>
      <c r="AA897" s="3">
        <v>25934</v>
      </c>
      <c r="AB897" s="1" t="s">
        <v>46</v>
      </c>
      <c r="AC897" s="5">
        <v>277</v>
      </c>
      <c r="AD897" s="1" t="s">
        <v>2334</v>
      </c>
      <c r="AE897" s="1" t="str">
        <f t="shared" si="66"/>
        <v>2707 2</v>
      </c>
      <c r="AF897" s="5" t="str">
        <f t="shared" si="69"/>
        <v>17.5</v>
      </c>
      <c r="AG897" s="1" t="str">
        <f t="shared" si="65"/>
        <v/>
      </c>
    </row>
    <row r="898" spans="1:33" x14ac:dyDescent="0.2">
      <c r="A898" s="1" t="s">
        <v>1153</v>
      </c>
      <c r="B898" s="1" t="s">
        <v>2329</v>
      </c>
      <c r="C898" s="1">
        <v>2707</v>
      </c>
      <c r="D898" s="1">
        <v>3</v>
      </c>
      <c r="F898" s="1">
        <v>2023</v>
      </c>
      <c r="G898" s="1" t="s">
        <v>1157</v>
      </c>
      <c r="H898" s="1" t="s">
        <v>2320</v>
      </c>
      <c r="I898" s="1">
        <v>4</v>
      </c>
      <c r="K898" s="1" t="s">
        <v>2330</v>
      </c>
      <c r="L898" s="1" t="s">
        <v>2331</v>
      </c>
      <c r="M898" s="1">
        <v>7</v>
      </c>
      <c r="N898" s="1" t="s">
        <v>39</v>
      </c>
      <c r="O898" s="1">
        <v>34.981499999999997</v>
      </c>
      <c r="P898" s="1">
        <v>-79.877099999999999</v>
      </c>
      <c r="Q898" s="1" t="s">
        <v>2332</v>
      </c>
      <c r="T898" s="1" t="s">
        <v>93</v>
      </c>
      <c r="U898" s="1" t="s">
        <v>94</v>
      </c>
      <c r="AA898" s="3">
        <v>25934</v>
      </c>
      <c r="AB898" s="1" t="s">
        <v>46</v>
      </c>
      <c r="AC898" s="5">
        <v>277</v>
      </c>
      <c r="AD898" s="1" t="s">
        <v>2335</v>
      </c>
      <c r="AE898" s="1" t="str">
        <f t="shared" si="66"/>
        <v>2707 3</v>
      </c>
      <c r="AF898" s="5" t="str">
        <f t="shared" si="69"/>
        <v>17.5</v>
      </c>
      <c r="AG898" s="1" t="str">
        <f t="shared" ref="AG898:AG961" si="70">IF(ISNUMBER(SEARCH("selective", X898)), "Y", "")</f>
        <v/>
      </c>
    </row>
    <row r="899" spans="1:33" x14ac:dyDescent="0.2">
      <c r="A899" s="1" t="s">
        <v>1153</v>
      </c>
      <c r="B899" s="1" t="s">
        <v>2329</v>
      </c>
      <c r="C899" s="1">
        <v>2707</v>
      </c>
      <c r="D899" s="1">
        <v>4</v>
      </c>
      <c r="F899" s="1">
        <v>2023</v>
      </c>
      <c r="G899" s="1" t="s">
        <v>1157</v>
      </c>
      <c r="H899" s="1" t="s">
        <v>2320</v>
      </c>
      <c r="I899" s="1">
        <v>4</v>
      </c>
      <c r="K899" s="1" t="s">
        <v>2330</v>
      </c>
      <c r="L899" s="1" t="s">
        <v>2331</v>
      </c>
      <c r="M899" s="1">
        <v>7</v>
      </c>
      <c r="N899" s="1" t="s">
        <v>39</v>
      </c>
      <c r="O899" s="1">
        <v>34.981499999999997</v>
      </c>
      <c r="P899" s="1">
        <v>-79.877099999999999</v>
      </c>
      <c r="Q899" s="1" t="s">
        <v>2332</v>
      </c>
      <c r="T899" s="1" t="s">
        <v>93</v>
      </c>
      <c r="U899" s="1" t="s">
        <v>94</v>
      </c>
      <c r="AA899" s="3">
        <v>25934</v>
      </c>
      <c r="AB899" s="1" t="s">
        <v>46</v>
      </c>
      <c r="AC899" s="5">
        <v>277</v>
      </c>
      <c r="AD899" s="1" t="s">
        <v>2336</v>
      </c>
      <c r="AE899" s="1" t="str">
        <f t="shared" ref="AE899:AE962" si="71">C899&amp;" "&amp;D899</f>
        <v>2707 4</v>
      </c>
      <c r="AF899" s="5" t="str">
        <f t="shared" si="69"/>
        <v>17.5</v>
      </c>
      <c r="AG899" s="1" t="str">
        <f t="shared" si="70"/>
        <v/>
      </c>
    </row>
    <row r="900" spans="1:33" x14ac:dyDescent="0.2">
      <c r="A900" s="1" t="s">
        <v>1153</v>
      </c>
      <c r="B900" s="1" t="s">
        <v>2337</v>
      </c>
      <c r="C900" s="1">
        <v>2709</v>
      </c>
      <c r="D900" s="1">
        <v>10</v>
      </c>
      <c r="F900" s="1">
        <v>2023</v>
      </c>
      <c r="G900" s="1" t="s">
        <v>2319</v>
      </c>
      <c r="H900" s="1" t="s">
        <v>2320</v>
      </c>
      <c r="I900" s="1">
        <v>4</v>
      </c>
      <c r="J900" s="1" t="s">
        <v>36</v>
      </c>
      <c r="K900" s="1" t="s">
        <v>1178</v>
      </c>
      <c r="L900" s="1" t="s">
        <v>2338</v>
      </c>
      <c r="M900" s="1">
        <v>191</v>
      </c>
      <c r="N900" s="1" t="s">
        <v>39</v>
      </c>
      <c r="O900" s="1">
        <v>35.377499999999998</v>
      </c>
      <c r="P900" s="1">
        <v>-78.087500000000006</v>
      </c>
      <c r="Q900" s="1" t="s">
        <v>2323</v>
      </c>
      <c r="R900" s="1" t="s">
        <v>41</v>
      </c>
      <c r="T900" s="1" t="s">
        <v>93</v>
      </c>
      <c r="U900" s="1" t="s">
        <v>94</v>
      </c>
      <c r="V900" s="1" t="s">
        <v>284</v>
      </c>
      <c r="X900" s="1" t="s">
        <v>95</v>
      </c>
      <c r="AA900" s="3">
        <v>36663</v>
      </c>
      <c r="AB900" s="1" t="s">
        <v>46</v>
      </c>
      <c r="AC900" s="5">
        <v>2055</v>
      </c>
      <c r="AD900" s="1" t="s">
        <v>2339</v>
      </c>
      <c r="AE900" s="1" t="str">
        <f t="shared" si="71"/>
        <v>2709 10</v>
      </c>
      <c r="AF900" s="5" t="str">
        <f t="shared" si="69"/>
        <v>211.8</v>
      </c>
      <c r="AG900" s="1" t="str">
        <f t="shared" si="70"/>
        <v/>
      </c>
    </row>
    <row r="901" spans="1:33" x14ac:dyDescent="0.2">
      <c r="A901" s="1" t="s">
        <v>1153</v>
      </c>
      <c r="B901" s="1" t="s">
        <v>2337</v>
      </c>
      <c r="C901" s="1">
        <v>2709</v>
      </c>
      <c r="D901" s="1">
        <v>11</v>
      </c>
      <c r="F901" s="1">
        <v>2023</v>
      </c>
      <c r="G901" s="1" t="s">
        <v>2319</v>
      </c>
      <c r="H901" s="1" t="s">
        <v>2320</v>
      </c>
      <c r="I901" s="1">
        <v>4</v>
      </c>
      <c r="J901" s="1" t="s">
        <v>36</v>
      </c>
      <c r="K901" s="1" t="s">
        <v>1178</v>
      </c>
      <c r="L901" s="1" t="s">
        <v>2338</v>
      </c>
      <c r="M901" s="1">
        <v>191</v>
      </c>
      <c r="N901" s="1" t="s">
        <v>39</v>
      </c>
      <c r="O901" s="1">
        <v>35.377499999999998</v>
      </c>
      <c r="P901" s="1">
        <v>-78.087500000000006</v>
      </c>
      <c r="Q901" s="1" t="s">
        <v>2323</v>
      </c>
      <c r="R901" s="1" t="s">
        <v>41</v>
      </c>
      <c r="T901" s="1" t="s">
        <v>93</v>
      </c>
      <c r="U901" s="1" t="s">
        <v>94</v>
      </c>
      <c r="V901" s="1" t="s">
        <v>284</v>
      </c>
      <c r="X901" s="1" t="s">
        <v>95</v>
      </c>
      <c r="AA901" s="3">
        <v>36657</v>
      </c>
      <c r="AB901" s="1" t="s">
        <v>46</v>
      </c>
      <c r="AC901" s="5">
        <v>2100</v>
      </c>
      <c r="AD901" s="1" t="s">
        <v>2340</v>
      </c>
      <c r="AE901" s="1" t="str">
        <f t="shared" si="71"/>
        <v>2709 11</v>
      </c>
      <c r="AF901" s="5" t="str">
        <f t="shared" si="69"/>
        <v>211.8</v>
      </c>
      <c r="AG901" s="1" t="str">
        <f t="shared" si="70"/>
        <v/>
      </c>
    </row>
    <row r="902" spans="1:33" x14ac:dyDescent="0.2">
      <c r="A902" s="1" t="s">
        <v>1153</v>
      </c>
      <c r="B902" s="1" t="s">
        <v>2337</v>
      </c>
      <c r="C902" s="1">
        <v>2709</v>
      </c>
      <c r="D902" s="1">
        <v>12</v>
      </c>
      <c r="F902" s="1">
        <v>2023</v>
      </c>
      <c r="G902" s="1" t="s">
        <v>2319</v>
      </c>
      <c r="H902" s="1" t="s">
        <v>2320</v>
      </c>
      <c r="I902" s="1">
        <v>4</v>
      </c>
      <c r="J902" s="1" t="s">
        <v>36</v>
      </c>
      <c r="K902" s="1" t="s">
        <v>1178</v>
      </c>
      <c r="L902" s="1" t="s">
        <v>2338</v>
      </c>
      <c r="M902" s="1">
        <v>191</v>
      </c>
      <c r="N902" s="1" t="s">
        <v>39</v>
      </c>
      <c r="O902" s="1">
        <v>35.377499999999998</v>
      </c>
      <c r="P902" s="1">
        <v>-78.087500000000006</v>
      </c>
      <c r="Q902" s="1" t="s">
        <v>2323</v>
      </c>
      <c r="R902" s="1" t="s">
        <v>41</v>
      </c>
      <c r="T902" s="1" t="s">
        <v>93</v>
      </c>
      <c r="U902" s="1" t="s">
        <v>284</v>
      </c>
      <c r="V902" s="1" t="s">
        <v>94</v>
      </c>
      <c r="X902" s="1" t="s">
        <v>183</v>
      </c>
      <c r="AA902" s="3">
        <v>36646</v>
      </c>
      <c r="AB902" s="1" t="s">
        <v>46</v>
      </c>
      <c r="AC902" s="5">
        <v>2350</v>
      </c>
      <c r="AD902" s="1" t="s">
        <v>2341</v>
      </c>
      <c r="AE902" s="1" t="str">
        <f t="shared" si="71"/>
        <v>2709 12</v>
      </c>
      <c r="AF902" s="5" t="str">
        <f t="shared" si="69"/>
        <v>211.8</v>
      </c>
      <c r="AG902" s="1" t="str">
        <f t="shared" si="70"/>
        <v/>
      </c>
    </row>
    <row r="903" spans="1:33" x14ac:dyDescent="0.2">
      <c r="A903" s="1" t="s">
        <v>1153</v>
      </c>
      <c r="B903" s="1" t="s">
        <v>2337</v>
      </c>
      <c r="C903" s="1">
        <v>2709</v>
      </c>
      <c r="D903" s="1">
        <v>13</v>
      </c>
      <c r="F903" s="1">
        <v>2023</v>
      </c>
      <c r="G903" s="1" t="s">
        <v>2319</v>
      </c>
      <c r="H903" s="1" t="s">
        <v>2320</v>
      </c>
      <c r="I903" s="1">
        <v>4</v>
      </c>
      <c r="J903" s="1" t="s">
        <v>36</v>
      </c>
      <c r="K903" s="1" t="s">
        <v>1178</v>
      </c>
      <c r="L903" s="1" t="s">
        <v>2338</v>
      </c>
      <c r="M903" s="1">
        <v>191</v>
      </c>
      <c r="N903" s="1" t="s">
        <v>39</v>
      </c>
      <c r="O903" s="1">
        <v>35.377499999999998</v>
      </c>
      <c r="P903" s="1">
        <v>-78.087500000000006</v>
      </c>
      <c r="Q903" s="1" t="s">
        <v>2323</v>
      </c>
      <c r="R903" s="1" t="s">
        <v>41</v>
      </c>
      <c r="T903" s="1" t="s">
        <v>93</v>
      </c>
      <c r="U903" s="1" t="s">
        <v>284</v>
      </c>
      <c r="V903" s="1" t="s">
        <v>94</v>
      </c>
      <c r="X903" s="1" t="s">
        <v>183</v>
      </c>
      <c r="AA903" s="3">
        <v>36650</v>
      </c>
      <c r="AB903" s="1" t="s">
        <v>46</v>
      </c>
      <c r="AC903" s="5">
        <v>2000</v>
      </c>
      <c r="AD903" s="1" t="s">
        <v>2342</v>
      </c>
      <c r="AE903" s="1" t="str">
        <f t="shared" si="71"/>
        <v>2709 13</v>
      </c>
      <c r="AF903" s="5" t="str">
        <f t="shared" si="69"/>
        <v>211.8</v>
      </c>
      <c r="AG903" s="1" t="str">
        <f t="shared" si="70"/>
        <v/>
      </c>
    </row>
    <row r="904" spans="1:33" x14ac:dyDescent="0.2">
      <c r="A904" s="1" t="s">
        <v>1153</v>
      </c>
      <c r="B904" s="1" t="s">
        <v>2337</v>
      </c>
      <c r="C904" s="1">
        <v>2709</v>
      </c>
      <c r="D904" s="1">
        <v>14</v>
      </c>
      <c r="F904" s="1">
        <v>2023</v>
      </c>
      <c r="G904" s="1" t="s">
        <v>2319</v>
      </c>
      <c r="H904" s="1" t="s">
        <v>2320</v>
      </c>
      <c r="I904" s="1">
        <v>4</v>
      </c>
      <c r="J904" s="1" t="s">
        <v>36</v>
      </c>
      <c r="K904" s="1" t="s">
        <v>1178</v>
      </c>
      <c r="L904" s="1" t="s">
        <v>2338</v>
      </c>
      <c r="M904" s="1">
        <v>191</v>
      </c>
      <c r="N904" s="1" t="s">
        <v>39</v>
      </c>
      <c r="O904" s="1">
        <v>35.377499999999998</v>
      </c>
      <c r="P904" s="1">
        <v>-78.087500000000006</v>
      </c>
      <c r="Q904" s="1" t="s">
        <v>2323</v>
      </c>
      <c r="R904" s="1" t="s">
        <v>41</v>
      </c>
      <c r="T904" s="1" t="s">
        <v>93</v>
      </c>
      <c r="U904" s="1" t="s">
        <v>284</v>
      </c>
      <c r="V904" s="1" t="s">
        <v>94</v>
      </c>
      <c r="X904" s="1" t="s">
        <v>183</v>
      </c>
      <c r="AA904" s="3">
        <v>39914</v>
      </c>
      <c r="AB904" s="1" t="s">
        <v>46</v>
      </c>
      <c r="AC904" s="5">
        <v>2020</v>
      </c>
      <c r="AD904" s="1" t="s">
        <v>2343</v>
      </c>
      <c r="AE904" s="1" t="str">
        <f t="shared" si="71"/>
        <v>2709 14</v>
      </c>
      <c r="AF904" s="5" t="str">
        <f t="shared" si="69"/>
        <v>211.8</v>
      </c>
      <c r="AG904" s="1" t="str">
        <f t="shared" si="70"/>
        <v/>
      </c>
    </row>
    <row r="905" spans="1:33" x14ac:dyDescent="0.2">
      <c r="A905" s="1" t="s">
        <v>1153</v>
      </c>
      <c r="B905" s="1" t="s">
        <v>2337</v>
      </c>
      <c r="C905" s="1">
        <v>2709</v>
      </c>
      <c r="D905" s="1" t="s">
        <v>2344</v>
      </c>
      <c r="F905" s="1">
        <v>2023</v>
      </c>
      <c r="G905" s="1" t="s">
        <v>2319</v>
      </c>
      <c r="H905" s="1" t="s">
        <v>2320</v>
      </c>
      <c r="I905" s="1">
        <v>4</v>
      </c>
      <c r="J905" s="1" t="s">
        <v>36</v>
      </c>
      <c r="K905" s="1" t="s">
        <v>1178</v>
      </c>
      <c r="L905" s="1" t="s">
        <v>2338</v>
      </c>
      <c r="M905" s="1">
        <v>191</v>
      </c>
      <c r="N905" s="1" t="s">
        <v>39</v>
      </c>
      <c r="O905" s="1">
        <v>35.377499999999998</v>
      </c>
      <c r="P905" s="1">
        <v>-78.087500000000006</v>
      </c>
      <c r="Q905" s="1" t="s">
        <v>2323</v>
      </c>
      <c r="R905" s="1" t="s">
        <v>41</v>
      </c>
      <c r="T905" s="1" t="s">
        <v>71</v>
      </c>
      <c r="U905" s="1" t="s">
        <v>284</v>
      </c>
      <c r="V905" s="1" t="s">
        <v>94</v>
      </c>
      <c r="X905" s="1" t="s">
        <v>643</v>
      </c>
      <c r="AA905" s="3">
        <v>41143</v>
      </c>
      <c r="AB905" s="1" t="s">
        <v>46</v>
      </c>
      <c r="AC905" s="5">
        <v>2740</v>
      </c>
      <c r="AD905" s="1" t="s">
        <v>2345</v>
      </c>
      <c r="AE905" s="1" t="str">
        <f t="shared" si="71"/>
        <v>2709 01A</v>
      </c>
      <c r="AF905" s="14">
        <f>MID(AD905,FIND("(",AD905)+1,FIND(")",AD905)-FIND("(",AD905)-1)+380/3</f>
        <v>306.66666666666669</v>
      </c>
      <c r="AG905" s="1" t="str">
        <f t="shared" si="70"/>
        <v>Y</v>
      </c>
    </row>
    <row r="906" spans="1:33" x14ac:dyDescent="0.2">
      <c r="A906" s="1" t="s">
        <v>1153</v>
      </c>
      <c r="B906" s="1" t="s">
        <v>2337</v>
      </c>
      <c r="C906" s="1">
        <v>2709</v>
      </c>
      <c r="D906" s="1" t="s">
        <v>2346</v>
      </c>
      <c r="F906" s="1">
        <v>2023</v>
      </c>
      <c r="G906" s="1" t="s">
        <v>2319</v>
      </c>
      <c r="H906" s="1" t="s">
        <v>2320</v>
      </c>
      <c r="I906" s="1">
        <v>4</v>
      </c>
      <c r="J906" s="1" t="s">
        <v>36</v>
      </c>
      <c r="K906" s="1" t="s">
        <v>1178</v>
      </c>
      <c r="L906" s="1" t="s">
        <v>2338</v>
      </c>
      <c r="M906" s="1">
        <v>191</v>
      </c>
      <c r="N906" s="1" t="s">
        <v>39</v>
      </c>
      <c r="O906" s="1">
        <v>35.377499999999998</v>
      </c>
      <c r="P906" s="1">
        <v>-78.087500000000006</v>
      </c>
      <c r="Q906" s="1" t="s">
        <v>2323</v>
      </c>
      <c r="R906" s="1" t="s">
        <v>41</v>
      </c>
      <c r="T906" s="1" t="s">
        <v>71</v>
      </c>
      <c r="U906" s="1" t="s">
        <v>284</v>
      </c>
      <c r="V906" s="1" t="s">
        <v>94</v>
      </c>
      <c r="X906" s="1" t="s">
        <v>643</v>
      </c>
      <c r="AA906" s="3">
        <v>41151</v>
      </c>
      <c r="AB906" s="1" t="s">
        <v>46</v>
      </c>
      <c r="AC906" s="5">
        <v>2740</v>
      </c>
      <c r="AD906" s="1" t="s">
        <v>2347</v>
      </c>
      <c r="AE906" s="1" t="str">
        <f t="shared" si="71"/>
        <v>2709 01B</v>
      </c>
      <c r="AF906" s="14">
        <f>AF905</f>
        <v>306.66666666666669</v>
      </c>
      <c r="AG906" s="1" t="str">
        <f t="shared" si="70"/>
        <v>Y</v>
      </c>
    </row>
    <row r="907" spans="1:33" x14ac:dyDescent="0.2">
      <c r="A907" s="1" t="s">
        <v>1153</v>
      </c>
      <c r="B907" s="1" t="s">
        <v>2337</v>
      </c>
      <c r="C907" s="1">
        <v>2709</v>
      </c>
      <c r="D907" s="1" t="s">
        <v>2348</v>
      </c>
      <c r="F907" s="1">
        <v>2023</v>
      </c>
      <c r="G907" s="1" t="s">
        <v>2319</v>
      </c>
      <c r="H907" s="1" t="s">
        <v>2320</v>
      </c>
      <c r="I907" s="1">
        <v>4</v>
      </c>
      <c r="J907" s="1" t="s">
        <v>36</v>
      </c>
      <c r="K907" s="1" t="s">
        <v>1178</v>
      </c>
      <c r="L907" s="1" t="s">
        <v>2338</v>
      </c>
      <c r="M907" s="1">
        <v>191</v>
      </c>
      <c r="N907" s="1" t="s">
        <v>39</v>
      </c>
      <c r="O907" s="1">
        <v>35.377499999999998</v>
      </c>
      <c r="P907" s="1">
        <v>-78.087500000000006</v>
      </c>
      <c r="Q907" s="1" t="s">
        <v>2323</v>
      </c>
      <c r="R907" s="1" t="s">
        <v>41</v>
      </c>
      <c r="T907" s="1" t="s">
        <v>71</v>
      </c>
      <c r="U907" s="1" t="s">
        <v>284</v>
      </c>
      <c r="V907" s="1" t="s">
        <v>94</v>
      </c>
      <c r="X907" s="1" t="s">
        <v>643</v>
      </c>
      <c r="AA907" s="3">
        <v>41150</v>
      </c>
      <c r="AB907" s="1" t="s">
        <v>46</v>
      </c>
      <c r="AC907" s="5">
        <v>2740</v>
      </c>
      <c r="AD907" s="1" t="s">
        <v>2349</v>
      </c>
      <c r="AE907" s="1" t="str">
        <f t="shared" si="71"/>
        <v>2709 01C</v>
      </c>
      <c r="AF907" s="14">
        <f>AF905</f>
        <v>306.66666666666669</v>
      </c>
      <c r="AG907" s="1" t="str">
        <f t="shared" si="70"/>
        <v>Y</v>
      </c>
    </row>
    <row r="908" spans="1:33" x14ac:dyDescent="0.2">
      <c r="A908" s="1" t="s">
        <v>1153</v>
      </c>
      <c r="B908" s="1" t="s">
        <v>2350</v>
      </c>
      <c r="C908" s="1">
        <v>2712</v>
      </c>
      <c r="D908" s="1">
        <v>1</v>
      </c>
      <c r="F908" s="1">
        <v>2023</v>
      </c>
      <c r="G908" s="1" t="s">
        <v>2351</v>
      </c>
      <c r="H908" s="1">
        <v>608414</v>
      </c>
      <c r="I908" s="1">
        <v>4</v>
      </c>
      <c r="J908" s="1" t="s">
        <v>36</v>
      </c>
      <c r="K908" s="1" t="s">
        <v>2352</v>
      </c>
      <c r="L908" s="1" t="s">
        <v>2353</v>
      </c>
      <c r="M908" s="1">
        <v>145</v>
      </c>
      <c r="N908" s="1" t="s">
        <v>39</v>
      </c>
      <c r="O908" s="1">
        <v>36.4833</v>
      </c>
      <c r="P908" s="1">
        <v>-79.073099999999997</v>
      </c>
      <c r="Q908" s="1" t="s">
        <v>2323</v>
      </c>
      <c r="R908" s="1" t="s">
        <v>41</v>
      </c>
      <c r="S908" s="1" t="s">
        <v>42</v>
      </c>
      <c r="T908" s="1" t="s">
        <v>89</v>
      </c>
      <c r="U908" s="1" t="s">
        <v>55</v>
      </c>
      <c r="V908" s="1" t="s">
        <v>173</v>
      </c>
      <c r="W908" s="1" t="s">
        <v>241</v>
      </c>
      <c r="X908" s="1" t="s">
        <v>1841</v>
      </c>
      <c r="Y908" s="1" t="s">
        <v>331</v>
      </c>
      <c r="AA908" s="3">
        <v>24255</v>
      </c>
      <c r="AB908" s="1" t="s">
        <v>46</v>
      </c>
      <c r="AC908" s="5">
        <v>4722</v>
      </c>
      <c r="AD908" s="1" t="s">
        <v>2354</v>
      </c>
      <c r="AE908" s="1" t="str">
        <f t="shared" si="71"/>
        <v>2712 1</v>
      </c>
      <c r="AF908" s="5" t="str">
        <f t="shared" ref="AF908:AF915" si="72">MID(AD908,FIND("(",AD908)+1,FIND(")",AD908)-FIND("(",AD908)-1)</f>
        <v>410.9</v>
      </c>
      <c r="AG908" s="1" t="str">
        <f t="shared" si="70"/>
        <v>Y</v>
      </c>
    </row>
    <row r="909" spans="1:33" x14ac:dyDescent="0.2">
      <c r="A909" s="1" t="s">
        <v>1153</v>
      </c>
      <c r="B909" s="1" t="s">
        <v>2350</v>
      </c>
      <c r="C909" s="1">
        <v>2712</v>
      </c>
      <c r="D909" s="1">
        <v>2</v>
      </c>
      <c r="F909" s="1">
        <v>2023</v>
      </c>
      <c r="G909" s="1" t="s">
        <v>2351</v>
      </c>
      <c r="H909" s="1">
        <v>608414</v>
      </c>
      <c r="I909" s="1">
        <v>4</v>
      </c>
      <c r="J909" s="1" t="s">
        <v>36</v>
      </c>
      <c r="K909" s="1" t="s">
        <v>2352</v>
      </c>
      <c r="L909" s="1" t="s">
        <v>2353</v>
      </c>
      <c r="M909" s="1">
        <v>145</v>
      </c>
      <c r="N909" s="1" t="s">
        <v>39</v>
      </c>
      <c r="O909" s="1">
        <v>36.4833</v>
      </c>
      <c r="P909" s="1">
        <v>-79.073099999999997</v>
      </c>
      <c r="Q909" s="1" t="s">
        <v>2323</v>
      </c>
      <c r="R909" s="1" t="s">
        <v>41</v>
      </c>
      <c r="S909" s="1" t="s">
        <v>42</v>
      </c>
      <c r="T909" s="1" t="s">
        <v>43</v>
      </c>
      <c r="U909" s="1" t="s">
        <v>55</v>
      </c>
      <c r="V909" s="1" t="s">
        <v>173</v>
      </c>
      <c r="W909" s="1" t="s">
        <v>241</v>
      </c>
      <c r="X909" s="1" t="s">
        <v>2355</v>
      </c>
      <c r="Y909" s="1" t="s">
        <v>331</v>
      </c>
      <c r="AA909" s="3">
        <v>24968</v>
      </c>
      <c r="AB909" s="1" t="s">
        <v>46</v>
      </c>
      <c r="AC909" s="5">
        <v>7212</v>
      </c>
      <c r="AD909" s="1" t="s">
        <v>2356</v>
      </c>
      <c r="AE909" s="1" t="str">
        <f t="shared" si="71"/>
        <v>2712 2</v>
      </c>
      <c r="AF909" s="5" t="str">
        <f t="shared" si="72"/>
        <v>657</v>
      </c>
      <c r="AG909" s="1" t="str">
        <f t="shared" si="70"/>
        <v>Y</v>
      </c>
    </row>
    <row r="910" spans="1:33" x14ac:dyDescent="0.2">
      <c r="A910" s="1" t="s">
        <v>1153</v>
      </c>
      <c r="B910" s="1" t="s">
        <v>2350</v>
      </c>
      <c r="C910" s="1">
        <v>2712</v>
      </c>
      <c r="D910" s="1" t="s">
        <v>379</v>
      </c>
      <c r="E910" s="1" t="s">
        <v>2357</v>
      </c>
      <c r="F910" s="1">
        <v>2023</v>
      </c>
      <c r="G910" s="1" t="s">
        <v>2351</v>
      </c>
      <c r="H910" s="1">
        <v>608414</v>
      </c>
      <c r="I910" s="1">
        <v>4</v>
      </c>
      <c r="J910" s="1" t="s">
        <v>36</v>
      </c>
      <c r="K910" s="1" t="s">
        <v>2352</v>
      </c>
      <c r="L910" s="1" t="s">
        <v>2353</v>
      </c>
      <c r="M910" s="1">
        <v>145</v>
      </c>
      <c r="N910" s="1" t="s">
        <v>39</v>
      </c>
      <c r="O910" s="1">
        <v>36.4833</v>
      </c>
      <c r="P910" s="1">
        <v>-79.073099999999997</v>
      </c>
      <c r="Q910" s="1" t="s">
        <v>2323</v>
      </c>
      <c r="R910" s="1" t="s">
        <v>41</v>
      </c>
      <c r="S910" s="1" t="s">
        <v>42</v>
      </c>
      <c r="T910" s="1" t="s">
        <v>89</v>
      </c>
      <c r="U910" s="1" t="s">
        <v>55</v>
      </c>
      <c r="V910" s="1" t="s">
        <v>94</v>
      </c>
      <c r="W910" s="1" t="s">
        <v>56</v>
      </c>
      <c r="X910" s="1" t="s">
        <v>2358</v>
      </c>
      <c r="Y910" s="1" t="s">
        <v>800</v>
      </c>
      <c r="AA910" s="3">
        <v>26867</v>
      </c>
      <c r="AB910" s="1" t="s">
        <v>46</v>
      </c>
      <c r="AC910" s="5">
        <v>4261</v>
      </c>
      <c r="AD910" s="1" t="s">
        <v>2359</v>
      </c>
      <c r="AE910" s="1" t="str">
        <f t="shared" si="71"/>
        <v>2712 3A</v>
      </c>
      <c r="AF910" s="5" t="str">
        <f t="shared" si="72"/>
        <v>745.2</v>
      </c>
      <c r="AG910" s="1" t="str">
        <f t="shared" si="70"/>
        <v>Y</v>
      </c>
    </row>
    <row r="911" spans="1:33" x14ac:dyDescent="0.2">
      <c r="A911" s="1" t="s">
        <v>1153</v>
      </c>
      <c r="B911" s="1" t="s">
        <v>2350</v>
      </c>
      <c r="C911" s="1">
        <v>2712</v>
      </c>
      <c r="D911" s="1" t="s">
        <v>965</v>
      </c>
      <c r="E911" s="1" t="s">
        <v>2357</v>
      </c>
      <c r="F911" s="1">
        <v>2023</v>
      </c>
      <c r="G911" s="1" t="s">
        <v>2351</v>
      </c>
      <c r="H911" s="1">
        <v>608414</v>
      </c>
      <c r="I911" s="1">
        <v>4</v>
      </c>
      <c r="J911" s="1" t="s">
        <v>36</v>
      </c>
      <c r="K911" s="1" t="s">
        <v>2352</v>
      </c>
      <c r="L911" s="1" t="s">
        <v>2353</v>
      </c>
      <c r="M911" s="1">
        <v>145</v>
      </c>
      <c r="N911" s="1" t="s">
        <v>39</v>
      </c>
      <c r="O911" s="1">
        <v>36.4833</v>
      </c>
      <c r="P911" s="1">
        <v>-79.073099999999997</v>
      </c>
      <c r="Q911" s="1" t="s">
        <v>2323</v>
      </c>
      <c r="R911" s="1" t="s">
        <v>41</v>
      </c>
      <c r="S911" s="1" t="s">
        <v>42</v>
      </c>
      <c r="T911" s="1" t="s">
        <v>89</v>
      </c>
      <c r="U911" s="1" t="s">
        <v>55</v>
      </c>
      <c r="V911" s="1" t="s">
        <v>94</v>
      </c>
      <c r="W911" s="1" t="s">
        <v>56</v>
      </c>
      <c r="X911" s="1" t="s">
        <v>2358</v>
      </c>
      <c r="Y911" s="1" t="s">
        <v>800</v>
      </c>
      <c r="AA911" s="3">
        <v>26867</v>
      </c>
      <c r="AB911" s="1" t="s">
        <v>46</v>
      </c>
      <c r="AC911" s="5">
        <v>4261</v>
      </c>
      <c r="AD911" s="1" t="s">
        <v>2359</v>
      </c>
      <c r="AE911" s="1" t="str">
        <f t="shared" si="71"/>
        <v>2712 3B</v>
      </c>
      <c r="AF911" s="5" t="str">
        <f t="shared" si="72"/>
        <v>745.2</v>
      </c>
      <c r="AG911" s="1" t="str">
        <f t="shared" si="70"/>
        <v>Y</v>
      </c>
    </row>
    <row r="912" spans="1:33" x14ac:dyDescent="0.2">
      <c r="A912" s="1" t="s">
        <v>1153</v>
      </c>
      <c r="B912" s="1" t="s">
        <v>2350</v>
      </c>
      <c r="C912" s="1">
        <v>2712</v>
      </c>
      <c r="D912" s="1" t="s">
        <v>381</v>
      </c>
      <c r="E912" s="1" t="s">
        <v>2360</v>
      </c>
      <c r="F912" s="1">
        <v>2023</v>
      </c>
      <c r="G912" s="1" t="s">
        <v>2351</v>
      </c>
      <c r="H912" s="1">
        <v>608414</v>
      </c>
      <c r="I912" s="1">
        <v>4</v>
      </c>
      <c r="J912" s="1" t="s">
        <v>36</v>
      </c>
      <c r="K912" s="1" t="s">
        <v>2352</v>
      </c>
      <c r="L912" s="1" t="s">
        <v>2353</v>
      </c>
      <c r="M912" s="1">
        <v>145</v>
      </c>
      <c r="N912" s="1" t="s">
        <v>39</v>
      </c>
      <c r="O912" s="1">
        <v>36.4833</v>
      </c>
      <c r="P912" s="1">
        <v>-79.073099999999997</v>
      </c>
      <c r="Q912" s="1" t="s">
        <v>2361</v>
      </c>
      <c r="R912" s="1" t="s">
        <v>41</v>
      </c>
      <c r="S912" s="1" t="s">
        <v>42</v>
      </c>
      <c r="T912" s="1" t="s">
        <v>89</v>
      </c>
      <c r="U912" s="1" t="s">
        <v>55</v>
      </c>
      <c r="V912" s="1" t="s">
        <v>94</v>
      </c>
      <c r="W912" s="1" t="s">
        <v>56</v>
      </c>
      <c r="X912" s="1" t="s">
        <v>2358</v>
      </c>
      <c r="Y912" s="1" t="s">
        <v>800</v>
      </c>
      <c r="AA912" s="3">
        <v>29479</v>
      </c>
      <c r="AB912" s="1" t="s">
        <v>46</v>
      </c>
      <c r="AC912" s="5">
        <v>4500</v>
      </c>
      <c r="AD912" s="1" t="s">
        <v>2362</v>
      </c>
      <c r="AE912" s="1" t="str">
        <f t="shared" si="71"/>
        <v>2712 4A</v>
      </c>
      <c r="AF912" s="5" t="str">
        <f t="shared" si="72"/>
        <v>745.2</v>
      </c>
      <c r="AG912" s="1" t="str">
        <f t="shared" si="70"/>
        <v>Y</v>
      </c>
    </row>
    <row r="913" spans="1:33" x14ac:dyDescent="0.2">
      <c r="A913" s="1" t="s">
        <v>1153</v>
      </c>
      <c r="B913" s="1" t="s">
        <v>2350</v>
      </c>
      <c r="C913" s="1">
        <v>2712</v>
      </c>
      <c r="D913" s="1" t="s">
        <v>815</v>
      </c>
      <c r="E913" s="1" t="s">
        <v>2360</v>
      </c>
      <c r="F913" s="1">
        <v>2023</v>
      </c>
      <c r="G913" s="1" t="s">
        <v>2351</v>
      </c>
      <c r="H913" s="1">
        <v>608414</v>
      </c>
      <c r="I913" s="1">
        <v>4</v>
      </c>
      <c r="J913" s="1" t="s">
        <v>36</v>
      </c>
      <c r="K913" s="1" t="s">
        <v>2352</v>
      </c>
      <c r="L913" s="1" t="s">
        <v>2353</v>
      </c>
      <c r="M913" s="1">
        <v>145</v>
      </c>
      <c r="N913" s="1" t="s">
        <v>39</v>
      </c>
      <c r="O913" s="1">
        <v>36.4833</v>
      </c>
      <c r="P913" s="1">
        <v>-79.073099999999997</v>
      </c>
      <c r="Q913" s="1" t="s">
        <v>2361</v>
      </c>
      <c r="R913" s="1" t="s">
        <v>41</v>
      </c>
      <c r="S913" s="1" t="s">
        <v>42</v>
      </c>
      <c r="T913" s="1" t="s">
        <v>89</v>
      </c>
      <c r="U913" s="1" t="s">
        <v>55</v>
      </c>
      <c r="V913" s="1" t="s">
        <v>94</v>
      </c>
      <c r="W913" s="1" t="s">
        <v>56</v>
      </c>
      <c r="X913" s="1" t="s">
        <v>2358</v>
      </c>
      <c r="Y913" s="1" t="s">
        <v>800</v>
      </c>
      <c r="AA913" s="3">
        <v>29479</v>
      </c>
      <c r="AB913" s="1" t="s">
        <v>46</v>
      </c>
      <c r="AC913" s="5">
        <v>4500</v>
      </c>
      <c r="AD913" s="1" t="s">
        <v>2362</v>
      </c>
      <c r="AE913" s="1" t="str">
        <f t="shared" si="71"/>
        <v>2712 4B</v>
      </c>
      <c r="AF913" s="5" t="str">
        <f t="shared" si="72"/>
        <v>745.2</v>
      </c>
      <c r="AG913" s="1" t="str">
        <f t="shared" si="70"/>
        <v>Y</v>
      </c>
    </row>
    <row r="914" spans="1:33" x14ac:dyDescent="0.2">
      <c r="A914" s="1" t="s">
        <v>1153</v>
      </c>
      <c r="B914" s="1" t="s">
        <v>2363</v>
      </c>
      <c r="C914" s="1">
        <v>2713</v>
      </c>
      <c r="D914" s="1">
        <v>4</v>
      </c>
      <c r="F914" s="1">
        <v>2023</v>
      </c>
      <c r="G914" s="1" t="s">
        <v>2319</v>
      </c>
      <c r="H914" s="1" t="s">
        <v>2320</v>
      </c>
      <c r="I914" s="1">
        <v>4</v>
      </c>
      <c r="J914" s="1" t="s">
        <v>36</v>
      </c>
      <c r="K914" s="1" t="s">
        <v>2364</v>
      </c>
      <c r="L914" s="1" t="s">
        <v>2365</v>
      </c>
      <c r="M914" s="1">
        <v>129</v>
      </c>
      <c r="N914" s="1" t="s">
        <v>39</v>
      </c>
      <c r="O914" s="1">
        <v>34.282400000000003</v>
      </c>
      <c r="P914" s="1">
        <v>-77.986400000000003</v>
      </c>
      <c r="Q914" s="1" t="s">
        <v>2323</v>
      </c>
      <c r="R914" s="1" t="s">
        <v>41</v>
      </c>
      <c r="T914" s="1" t="s">
        <v>93</v>
      </c>
      <c r="U914" s="1" t="s">
        <v>284</v>
      </c>
      <c r="V914" s="1" t="s">
        <v>94</v>
      </c>
      <c r="X914" s="1" t="s">
        <v>95</v>
      </c>
      <c r="AA914" s="3">
        <v>42907</v>
      </c>
      <c r="AB914" s="1" t="s">
        <v>46</v>
      </c>
      <c r="AC914" s="5">
        <v>670</v>
      </c>
      <c r="AD914" s="1" t="s">
        <v>2366</v>
      </c>
      <c r="AE914" s="1" t="str">
        <f t="shared" si="71"/>
        <v>2713 4</v>
      </c>
      <c r="AF914" s="5" t="str">
        <f t="shared" si="72"/>
        <v>45</v>
      </c>
      <c r="AG914" s="1" t="str">
        <f t="shared" si="70"/>
        <v/>
      </c>
    </row>
    <row r="915" spans="1:33" x14ac:dyDescent="0.2">
      <c r="A915" s="1" t="s">
        <v>1153</v>
      </c>
      <c r="B915" s="1" t="s">
        <v>2363</v>
      </c>
      <c r="C915" s="1">
        <v>2713</v>
      </c>
      <c r="D915" s="1">
        <v>5</v>
      </c>
      <c r="F915" s="1">
        <v>2023</v>
      </c>
      <c r="G915" s="1" t="s">
        <v>2319</v>
      </c>
      <c r="H915" s="1" t="s">
        <v>2320</v>
      </c>
      <c r="I915" s="1">
        <v>4</v>
      </c>
      <c r="J915" s="1" t="s">
        <v>36</v>
      </c>
      <c r="K915" s="1" t="s">
        <v>2364</v>
      </c>
      <c r="L915" s="1" t="s">
        <v>2365</v>
      </c>
      <c r="M915" s="1">
        <v>129</v>
      </c>
      <c r="N915" s="1" t="s">
        <v>39</v>
      </c>
      <c r="O915" s="1">
        <v>34.282400000000003</v>
      </c>
      <c r="P915" s="1">
        <v>-77.986400000000003</v>
      </c>
      <c r="Q915" s="1" t="s">
        <v>2323</v>
      </c>
      <c r="R915" s="1" t="s">
        <v>41</v>
      </c>
      <c r="T915" s="1" t="s">
        <v>93</v>
      </c>
      <c r="U915" s="1" t="s">
        <v>284</v>
      </c>
      <c r="V915" s="1" t="s">
        <v>94</v>
      </c>
      <c r="X915" s="1" t="s">
        <v>95</v>
      </c>
      <c r="AA915" s="3">
        <v>42903</v>
      </c>
      <c r="AB915" s="1" t="s">
        <v>46</v>
      </c>
      <c r="AC915" s="5">
        <v>670</v>
      </c>
      <c r="AD915" s="1" t="s">
        <v>2367</v>
      </c>
      <c r="AE915" s="1" t="str">
        <f t="shared" si="71"/>
        <v>2713 5</v>
      </c>
      <c r="AF915" s="5" t="str">
        <f t="shared" si="72"/>
        <v>45</v>
      </c>
      <c r="AG915" s="1" t="str">
        <f t="shared" si="70"/>
        <v/>
      </c>
    </row>
    <row r="916" spans="1:33" x14ac:dyDescent="0.2">
      <c r="A916" s="1" t="s">
        <v>1153</v>
      </c>
      <c r="B916" s="1" t="s">
        <v>2363</v>
      </c>
      <c r="C916" s="1">
        <v>2713</v>
      </c>
      <c r="D916" s="1" t="s">
        <v>2344</v>
      </c>
      <c r="F916" s="1">
        <v>2023</v>
      </c>
      <c r="G916" s="1" t="s">
        <v>2319</v>
      </c>
      <c r="H916" s="1" t="s">
        <v>2320</v>
      </c>
      <c r="I916" s="1">
        <v>4</v>
      </c>
      <c r="J916" s="1" t="s">
        <v>36</v>
      </c>
      <c r="K916" s="1" t="s">
        <v>2364</v>
      </c>
      <c r="L916" s="1" t="s">
        <v>2365</v>
      </c>
      <c r="M916" s="1">
        <v>129</v>
      </c>
      <c r="N916" s="1" t="s">
        <v>39</v>
      </c>
      <c r="O916" s="1">
        <v>34.282400000000003</v>
      </c>
      <c r="P916" s="1">
        <v>-77.986400000000003</v>
      </c>
      <c r="Q916" s="1" t="s">
        <v>2323</v>
      </c>
      <c r="R916" s="1" t="s">
        <v>41</v>
      </c>
      <c r="T916" s="1" t="s">
        <v>71</v>
      </c>
      <c r="U916" s="1" t="s">
        <v>284</v>
      </c>
      <c r="V916" s="1" t="s">
        <v>94</v>
      </c>
      <c r="X916" s="1" t="s">
        <v>643</v>
      </c>
      <c r="AA916" s="3">
        <v>41483</v>
      </c>
      <c r="AB916" s="1" t="s">
        <v>46</v>
      </c>
      <c r="AC916" s="5">
        <v>2717</v>
      </c>
      <c r="AD916" s="1" t="s">
        <v>2368</v>
      </c>
      <c r="AE916" s="1" t="str">
        <f t="shared" si="71"/>
        <v>2713 01A</v>
      </c>
      <c r="AF916" s="14">
        <f>AF917</f>
        <v>325</v>
      </c>
      <c r="AG916" s="1" t="str">
        <f t="shared" si="70"/>
        <v>Y</v>
      </c>
    </row>
    <row r="917" spans="1:33" x14ac:dyDescent="0.2">
      <c r="A917" s="1" t="s">
        <v>1153</v>
      </c>
      <c r="B917" s="1" t="s">
        <v>2363</v>
      </c>
      <c r="C917" s="1">
        <v>2713</v>
      </c>
      <c r="D917" s="1" t="s">
        <v>2346</v>
      </c>
      <c r="F917" s="1">
        <v>2023</v>
      </c>
      <c r="G917" s="1" t="s">
        <v>2319</v>
      </c>
      <c r="H917" s="1" t="s">
        <v>2320</v>
      </c>
      <c r="I917" s="1">
        <v>4</v>
      </c>
      <c r="J917" s="1" t="s">
        <v>36</v>
      </c>
      <c r="K917" s="1" t="s">
        <v>2364</v>
      </c>
      <c r="L917" s="1" t="s">
        <v>2365</v>
      </c>
      <c r="M917" s="1">
        <v>129</v>
      </c>
      <c r="N917" s="1" t="s">
        <v>39</v>
      </c>
      <c r="O917" s="1">
        <v>34.282400000000003</v>
      </c>
      <c r="P917" s="1">
        <v>-77.986400000000003</v>
      </c>
      <c r="Q917" s="1" t="s">
        <v>2323</v>
      </c>
      <c r="R917" s="1" t="s">
        <v>41</v>
      </c>
      <c r="T917" s="1" t="s">
        <v>71</v>
      </c>
      <c r="U917" s="1" t="s">
        <v>284</v>
      </c>
      <c r="V917" s="1" t="s">
        <v>94</v>
      </c>
      <c r="X917" s="1" t="s">
        <v>643</v>
      </c>
      <c r="AA917" s="3">
        <v>41482</v>
      </c>
      <c r="AB917" s="1" t="s">
        <v>46</v>
      </c>
      <c r="AC917" s="5">
        <v>2717</v>
      </c>
      <c r="AD917" s="1" t="s">
        <v>2369</v>
      </c>
      <c r="AE917" s="1" t="str">
        <f t="shared" si="71"/>
        <v>2713 01B</v>
      </c>
      <c r="AF917" s="14">
        <f>MID(AD917,FIND("(",AD917)+1,FIND(")",AD917)-FIND("(",AD917)-1)+288/2</f>
        <v>325</v>
      </c>
      <c r="AG917" s="1" t="str">
        <f t="shared" si="70"/>
        <v>Y</v>
      </c>
    </row>
    <row r="918" spans="1:33" x14ac:dyDescent="0.2">
      <c r="A918" s="1" t="s">
        <v>1153</v>
      </c>
      <c r="B918" s="1" t="s">
        <v>2370</v>
      </c>
      <c r="C918" s="1">
        <v>2716</v>
      </c>
      <c r="D918" s="1">
        <v>4</v>
      </c>
      <c r="F918" s="1">
        <v>2023</v>
      </c>
      <c r="G918" s="1" t="s">
        <v>1157</v>
      </c>
      <c r="H918" s="1" t="s">
        <v>2371</v>
      </c>
      <c r="I918" s="1">
        <v>4</v>
      </c>
      <c r="J918" s="1" t="s">
        <v>36</v>
      </c>
      <c r="K918" s="1" t="s">
        <v>2372</v>
      </c>
      <c r="L918" s="1" t="s">
        <v>2373</v>
      </c>
      <c r="M918" s="1">
        <v>155</v>
      </c>
      <c r="N918" s="1" t="s">
        <v>39</v>
      </c>
      <c r="O918" s="1">
        <v>34.588900000000002</v>
      </c>
      <c r="P918" s="1">
        <v>-78.974999999999994</v>
      </c>
      <c r="Q918" s="1" t="s">
        <v>2323</v>
      </c>
      <c r="T918" s="1" t="s">
        <v>93</v>
      </c>
      <c r="U918" s="1" t="s">
        <v>94</v>
      </c>
      <c r="AA918" s="3">
        <v>25689</v>
      </c>
      <c r="AB918" s="1" t="s">
        <v>46</v>
      </c>
      <c r="AC918" s="5">
        <v>573</v>
      </c>
      <c r="AD918" s="1" t="s">
        <v>2374</v>
      </c>
      <c r="AE918" s="1" t="str">
        <f t="shared" si="71"/>
        <v>2716 4</v>
      </c>
      <c r="AF918" s="5" t="str">
        <f t="shared" ref="AF918:AF923" si="73">MID(AD918,FIND("(",AD918)+1,FIND(")",AD918)-FIND("(",AD918)-1)</f>
        <v>39.7</v>
      </c>
      <c r="AG918" s="1" t="str">
        <f t="shared" si="70"/>
        <v/>
      </c>
    </row>
    <row r="919" spans="1:33" x14ac:dyDescent="0.2">
      <c r="A919" s="1" t="s">
        <v>1153</v>
      </c>
      <c r="B919" s="1" t="s">
        <v>2370</v>
      </c>
      <c r="C919" s="1">
        <v>2716</v>
      </c>
      <c r="D919" s="1">
        <v>5</v>
      </c>
      <c r="F919" s="1">
        <v>2023</v>
      </c>
      <c r="G919" s="1" t="s">
        <v>1157</v>
      </c>
      <c r="H919" s="1" t="s">
        <v>2371</v>
      </c>
      <c r="I919" s="1">
        <v>4</v>
      </c>
      <c r="J919" s="1" t="s">
        <v>36</v>
      </c>
      <c r="K919" s="1" t="s">
        <v>2372</v>
      </c>
      <c r="L919" s="1" t="s">
        <v>2373</v>
      </c>
      <c r="M919" s="1">
        <v>155</v>
      </c>
      <c r="N919" s="1" t="s">
        <v>39</v>
      </c>
      <c r="O919" s="1">
        <v>34.588900000000002</v>
      </c>
      <c r="P919" s="1">
        <v>-78.974999999999994</v>
      </c>
      <c r="Q919" s="1" t="s">
        <v>2323</v>
      </c>
      <c r="T919" s="1" t="s">
        <v>93</v>
      </c>
      <c r="U919" s="1" t="s">
        <v>94</v>
      </c>
      <c r="AA919" s="3">
        <v>25689</v>
      </c>
      <c r="AB919" s="1" t="s">
        <v>46</v>
      </c>
      <c r="AC919" s="5">
        <v>573</v>
      </c>
      <c r="AD919" s="1" t="s">
        <v>2375</v>
      </c>
      <c r="AE919" s="1" t="str">
        <f t="shared" si="71"/>
        <v>2716 5</v>
      </c>
      <c r="AF919" s="5" t="str">
        <f t="shared" si="73"/>
        <v>39.7</v>
      </c>
      <c r="AG919" s="1" t="str">
        <f t="shared" si="70"/>
        <v/>
      </c>
    </row>
    <row r="920" spans="1:33" x14ac:dyDescent="0.2">
      <c r="A920" s="1" t="s">
        <v>1153</v>
      </c>
      <c r="B920" s="1" t="s">
        <v>2370</v>
      </c>
      <c r="C920" s="1">
        <v>2716</v>
      </c>
      <c r="D920" s="1">
        <v>6</v>
      </c>
      <c r="F920" s="1">
        <v>2023</v>
      </c>
      <c r="G920" s="1" t="s">
        <v>1157</v>
      </c>
      <c r="H920" s="1" t="s">
        <v>2371</v>
      </c>
      <c r="I920" s="1">
        <v>4</v>
      </c>
      <c r="J920" s="1" t="s">
        <v>36</v>
      </c>
      <c r="K920" s="1" t="s">
        <v>2372</v>
      </c>
      <c r="L920" s="1" t="s">
        <v>2373</v>
      </c>
      <c r="M920" s="1">
        <v>155</v>
      </c>
      <c r="N920" s="1" t="s">
        <v>39</v>
      </c>
      <c r="O920" s="1">
        <v>34.588900000000002</v>
      </c>
      <c r="P920" s="1">
        <v>-78.974999999999994</v>
      </c>
      <c r="Q920" s="1" t="s">
        <v>2323</v>
      </c>
      <c r="T920" s="1" t="s">
        <v>93</v>
      </c>
      <c r="U920" s="1" t="s">
        <v>94</v>
      </c>
      <c r="AA920" s="3">
        <v>26024</v>
      </c>
      <c r="AB920" s="1" t="s">
        <v>46</v>
      </c>
      <c r="AC920" s="5">
        <v>573</v>
      </c>
      <c r="AD920" s="1" t="s">
        <v>2376</v>
      </c>
      <c r="AE920" s="1" t="str">
        <f t="shared" si="71"/>
        <v>2716 6</v>
      </c>
      <c r="AF920" s="5" t="str">
        <f t="shared" si="73"/>
        <v>48.6</v>
      </c>
      <c r="AG920" s="1" t="str">
        <f t="shared" si="70"/>
        <v/>
      </c>
    </row>
    <row r="921" spans="1:33" x14ac:dyDescent="0.2">
      <c r="A921" s="1" t="s">
        <v>1153</v>
      </c>
      <c r="B921" s="1" t="s">
        <v>2370</v>
      </c>
      <c r="C921" s="1">
        <v>2716</v>
      </c>
      <c r="D921" s="1">
        <v>7</v>
      </c>
      <c r="F921" s="1">
        <v>2023</v>
      </c>
      <c r="G921" s="1" t="s">
        <v>1157</v>
      </c>
      <c r="H921" s="1" t="s">
        <v>2371</v>
      </c>
      <c r="I921" s="1">
        <v>4</v>
      </c>
      <c r="J921" s="1" t="s">
        <v>36</v>
      </c>
      <c r="K921" s="1" t="s">
        <v>2372</v>
      </c>
      <c r="L921" s="1" t="s">
        <v>2373</v>
      </c>
      <c r="M921" s="1">
        <v>155</v>
      </c>
      <c r="N921" s="1" t="s">
        <v>39</v>
      </c>
      <c r="O921" s="1">
        <v>34.588900000000002</v>
      </c>
      <c r="P921" s="1">
        <v>-78.974999999999994</v>
      </c>
      <c r="Q921" s="1" t="s">
        <v>2323</v>
      </c>
      <c r="T921" s="1" t="s">
        <v>93</v>
      </c>
      <c r="U921" s="1" t="s">
        <v>94</v>
      </c>
      <c r="AA921" s="3">
        <v>26024</v>
      </c>
      <c r="AB921" s="1" t="s">
        <v>46</v>
      </c>
      <c r="AC921" s="5">
        <v>573</v>
      </c>
      <c r="AD921" s="1" t="s">
        <v>2377</v>
      </c>
      <c r="AE921" s="1" t="str">
        <f t="shared" si="71"/>
        <v>2716 7</v>
      </c>
      <c r="AF921" s="5" t="str">
        <f t="shared" si="73"/>
        <v>48.6</v>
      </c>
      <c r="AG921" s="1" t="str">
        <f t="shared" si="70"/>
        <v/>
      </c>
    </row>
    <row r="922" spans="1:33" x14ac:dyDescent="0.2">
      <c r="A922" s="1" t="s">
        <v>1153</v>
      </c>
      <c r="B922" s="1" t="s">
        <v>2378</v>
      </c>
      <c r="C922" s="1">
        <v>2718</v>
      </c>
      <c r="D922" s="1">
        <v>1</v>
      </c>
      <c r="E922" s="1" t="s">
        <v>2379</v>
      </c>
      <c r="F922" s="1">
        <v>2023</v>
      </c>
      <c r="G922" s="1" t="s">
        <v>2351</v>
      </c>
      <c r="H922" s="1">
        <v>608414</v>
      </c>
      <c r="I922" s="1">
        <v>4</v>
      </c>
      <c r="J922" s="1" t="s">
        <v>36</v>
      </c>
      <c r="K922" s="1" t="s">
        <v>2380</v>
      </c>
      <c r="L922" s="1" t="s">
        <v>2381</v>
      </c>
      <c r="M922" s="1">
        <v>71</v>
      </c>
      <c r="N922" s="1" t="s">
        <v>39</v>
      </c>
      <c r="O922" s="1">
        <v>35.189700000000002</v>
      </c>
      <c r="P922" s="1">
        <v>-81.012200000000007</v>
      </c>
      <c r="Q922" s="1" t="s">
        <v>2382</v>
      </c>
      <c r="R922" s="1" t="s">
        <v>41</v>
      </c>
      <c r="S922" s="1" t="s">
        <v>211</v>
      </c>
      <c r="T922" s="1" t="s">
        <v>43</v>
      </c>
      <c r="U922" s="1" t="s">
        <v>55</v>
      </c>
      <c r="V922" s="1" t="s">
        <v>94</v>
      </c>
      <c r="W922" s="1" t="s">
        <v>56</v>
      </c>
      <c r="X922" s="1" t="s">
        <v>2383</v>
      </c>
      <c r="Y922" s="1" t="s">
        <v>331</v>
      </c>
      <c r="AA922" s="3">
        <v>20982</v>
      </c>
      <c r="AB922" s="1" t="s">
        <v>46</v>
      </c>
      <c r="AC922" s="5">
        <v>2141</v>
      </c>
      <c r="AD922" s="1" t="s">
        <v>2384</v>
      </c>
      <c r="AE922" s="1" t="str">
        <f t="shared" si="71"/>
        <v>2718 1</v>
      </c>
      <c r="AF922" s="5" t="str">
        <f t="shared" si="73"/>
        <v>165</v>
      </c>
      <c r="AG922" s="1" t="str">
        <f t="shared" si="70"/>
        <v>Y</v>
      </c>
    </row>
    <row r="923" spans="1:33" x14ac:dyDescent="0.2">
      <c r="A923" s="1" t="s">
        <v>1153</v>
      </c>
      <c r="B923" s="1" t="s">
        <v>2378</v>
      </c>
      <c r="C923" s="1">
        <v>2718</v>
      </c>
      <c r="D923" s="1">
        <v>5</v>
      </c>
      <c r="E923" s="1" t="s">
        <v>2379</v>
      </c>
      <c r="F923" s="1">
        <v>2023</v>
      </c>
      <c r="G923" s="1" t="s">
        <v>2351</v>
      </c>
      <c r="H923" s="1">
        <v>608414</v>
      </c>
      <c r="I923" s="1">
        <v>4</v>
      </c>
      <c r="J923" s="1" t="s">
        <v>36</v>
      </c>
      <c r="K923" s="1" t="s">
        <v>2380</v>
      </c>
      <c r="L923" s="1" t="s">
        <v>2381</v>
      </c>
      <c r="M923" s="1">
        <v>71</v>
      </c>
      <c r="N923" s="1" t="s">
        <v>39</v>
      </c>
      <c r="O923" s="1">
        <v>35.189700000000002</v>
      </c>
      <c r="P923" s="1">
        <v>-81.012200000000007</v>
      </c>
      <c r="Q923" s="1" t="s">
        <v>2382</v>
      </c>
      <c r="R923" s="1" t="s">
        <v>41</v>
      </c>
      <c r="S923" s="1" t="s">
        <v>211</v>
      </c>
      <c r="T923" s="1" t="s">
        <v>43</v>
      </c>
      <c r="U923" s="1" t="s">
        <v>55</v>
      </c>
      <c r="V923" s="1" t="s">
        <v>94</v>
      </c>
      <c r="W923" s="1" t="s">
        <v>56</v>
      </c>
      <c r="X923" s="1" t="s">
        <v>2383</v>
      </c>
      <c r="Y923" s="1" t="s">
        <v>331</v>
      </c>
      <c r="AA923" s="3">
        <v>22465</v>
      </c>
      <c r="AB923" s="1" t="s">
        <v>46</v>
      </c>
      <c r="AC923" s="5">
        <v>3997</v>
      </c>
      <c r="AD923" s="1" t="s">
        <v>2385</v>
      </c>
      <c r="AE923" s="1" t="str">
        <f t="shared" si="71"/>
        <v>2718 5</v>
      </c>
      <c r="AF923" s="5" t="str">
        <f t="shared" si="73"/>
        <v>275</v>
      </c>
      <c r="AG923" s="1" t="str">
        <f t="shared" si="70"/>
        <v>Y</v>
      </c>
    </row>
    <row r="924" spans="1:33" x14ac:dyDescent="0.2">
      <c r="A924" s="1" t="s">
        <v>1153</v>
      </c>
      <c r="B924" s="1" t="s">
        <v>2386</v>
      </c>
      <c r="C924" s="1">
        <v>2720</v>
      </c>
      <c r="D924" s="1" t="s">
        <v>2387</v>
      </c>
      <c r="F924" s="1">
        <v>2023</v>
      </c>
      <c r="G924" s="1" t="s">
        <v>2319</v>
      </c>
      <c r="H924" s="1" t="s">
        <v>2320</v>
      </c>
      <c r="I924" s="1">
        <v>4</v>
      </c>
      <c r="J924" s="1" t="s">
        <v>36</v>
      </c>
      <c r="K924" s="1" t="s">
        <v>2388</v>
      </c>
      <c r="L924" s="1" t="s">
        <v>2389</v>
      </c>
      <c r="M924" s="1">
        <v>159</v>
      </c>
      <c r="N924" s="1" t="s">
        <v>39</v>
      </c>
      <c r="O924" s="1">
        <v>35.713299999999997</v>
      </c>
      <c r="P924" s="1">
        <v>-80.3767</v>
      </c>
      <c r="Q924" s="1" t="s">
        <v>2382</v>
      </c>
      <c r="R924" s="1" t="s">
        <v>41</v>
      </c>
      <c r="T924" s="1" t="s">
        <v>71</v>
      </c>
      <c r="U924" s="1" t="s">
        <v>44</v>
      </c>
      <c r="X924" s="1" t="s">
        <v>64</v>
      </c>
      <c r="AA924" s="3">
        <v>40813</v>
      </c>
      <c r="AB924" s="1" t="s">
        <v>46</v>
      </c>
      <c r="AC924" s="5">
        <v>2604.1</v>
      </c>
      <c r="AD924" s="1" t="s">
        <v>2390</v>
      </c>
      <c r="AE924" s="1" t="str">
        <f t="shared" si="71"/>
        <v>2720 11C</v>
      </c>
      <c r="AF924" s="14">
        <f>AF925</f>
        <v>331.75</v>
      </c>
      <c r="AG924" s="1" t="str">
        <f t="shared" si="70"/>
        <v>Y</v>
      </c>
    </row>
    <row r="925" spans="1:33" x14ac:dyDescent="0.2">
      <c r="A925" s="1" t="s">
        <v>1153</v>
      </c>
      <c r="B925" s="1" t="s">
        <v>2386</v>
      </c>
      <c r="C925" s="1">
        <v>2720</v>
      </c>
      <c r="D925" s="1" t="s">
        <v>2391</v>
      </c>
      <c r="F925" s="1">
        <v>2023</v>
      </c>
      <c r="G925" s="1" t="s">
        <v>2319</v>
      </c>
      <c r="H925" s="1" t="s">
        <v>2320</v>
      </c>
      <c r="I925" s="1">
        <v>4</v>
      </c>
      <c r="J925" s="1" t="s">
        <v>36</v>
      </c>
      <c r="K925" s="1" t="s">
        <v>2388</v>
      </c>
      <c r="L925" s="1" t="s">
        <v>2389</v>
      </c>
      <c r="M925" s="1">
        <v>159</v>
      </c>
      <c r="N925" s="1" t="s">
        <v>39</v>
      </c>
      <c r="O925" s="1">
        <v>35.713299999999997</v>
      </c>
      <c r="P925" s="1">
        <v>-80.3767</v>
      </c>
      <c r="Q925" s="1" t="s">
        <v>2382</v>
      </c>
      <c r="R925" s="1" t="s">
        <v>41</v>
      </c>
      <c r="T925" s="1" t="s">
        <v>71</v>
      </c>
      <c r="U925" s="1" t="s">
        <v>44</v>
      </c>
      <c r="X925" s="1" t="s">
        <v>64</v>
      </c>
      <c r="AA925" s="3">
        <v>40822</v>
      </c>
      <c r="AB925" s="1" t="s">
        <v>46</v>
      </c>
      <c r="AC925" s="5">
        <v>2604.1</v>
      </c>
      <c r="AD925" s="1" t="s">
        <v>2392</v>
      </c>
      <c r="AE925" s="1" t="str">
        <f t="shared" si="71"/>
        <v>2720 12C</v>
      </c>
      <c r="AF925" s="14">
        <f>MID(AD925,FIND("(",AD925)+1,FIND(")",AD925)-FIND("(",AD925)-1)+320.5/2</f>
        <v>331.75</v>
      </c>
      <c r="AG925" s="1" t="str">
        <f t="shared" si="70"/>
        <v>Y</v>
      </c>
    </row>
    <row r="926" spans="1:33" x14ac:dyDescent="0.2">
      <c r="A926" s="1" t="s">
        <v>1153</v>
      </c>
      <c r="B926" s="1" t="s">
        <v>2393</v>
      </c>
      <c r="C926" s="1">
        <v>2721</v>
      </c>
      <c r="D926" s="1">
        <v>5</v>
      </c>
      <c r="F926" s="1">
        <v>2023</v>
      </c>
      <c r="G926" s="1" t="s">
        <v>2351</v>
      </c>
      <c r="H926" s="1">
        <v>608414</v>
      </c>
      <c r="I926" s="1">
        <v>4</v>
      </c>
      <c r="J926" s="1" t="s">
        <v>36</v>
      </c>
      <c r="K926" s="1" t="s">
        <v>2394</v>
      </c>
      <c r="L926" s="1" t="s">
        <v>2395</v>
      </c>
      <c r="M926" s="1">
        <v>45</v>
      </c>
      <c r="N926" s="1" t="s">
        <v>39</v>
      </c>
      <c r="O926" s="1">
        <v>35.22</v>
      </c>
      <c r="P926" s="1">
        <v>-81.759399999999999</v>
      </c>
      <c r="Q926" s="1" t="s">
        <v>2382</v>
      </c>
      <c r="R926" s="1" t="s">
        <v>41</v>
      </c>
      <c r="S926" s="1" t="s">
        <v>211</v>
      </c>
      <c r="T926" s="1" t="s">
        <v>43</v>
      </c>
      <c r="U926" s="1" t="s">
        <v>55</v>
      </c>
      <c r="V926" s="1" t="s">
        <v>341</v>
      </c>
      <c r="W926" s="1" t="s">
        <v>241</v>
      </c>
      <c r="X926" s="1" t="s">
        <v>301</v>
      </c>
      <c r="Y926" s="1" t="s">
        <v>331</v>
      </c>
      <c r="AA926" s="3">
        <v>26470</v>
      </c>
      <c r="AB926" s="1" t="s">
        <v>46</v>
      </c>
      <c r="AC926" s="5">
        <v>6080</v>
      </c>
      <c r="AD926" s="1" t="s">
        <v>2396</v>
      </c>
      <c r="AE926" s="1" t="str">
        <f t="shared" si="71"/>
        <v>2721 5</v>
      </c>
      <c r="AF926" s="5" t="str">
        <f>MID(AD926,FIND("(",AD926)+1,FIND(")",AD926)-FIND("(",AD926)-1)</f>
        <v>570.9</v>
      </c>
      <c r="AG926" s="1" t="str">
        <f t="shared" si="70"/>
        <v>Y</v>
      </c>
    </row>
    <row r="927" spans="1:33" x14ac:dyDescent="0.2">
      <c r="A927" s="1" t="s">
        <v>1153</v>
      </c>
      <c r="B927" s="1" t="s">
        <v>2393</v>
      </c>
      <c r="C927" s="1">
        <v>2721</v>
      </c>
      <c r="D927" s="1">
        <v>6</v>
      </c>
      <c r="F927" s="1">
        <v>2023</v>
      </c>
      <c r="G927" s="1" t="s">
        <v>2351</v>
      </c>
      <c r="H927" s="1">
        <v>608414</v>
      </c>
      <c r="I927" s="1">
        <v>4</v>
      </c>
      <c r="J927" s="1" t="s">
        <v>36</v>
      </c>
      <c r="K927" s="1" t="s">
        <v>2394</v>
      </c>
      <c r="L927" s="1" t="s">
        <v>2395</v>
      </c>
      <c r="M927" s="1">
        <v>45</v>
      </c>
      <c r="N927" s="1" t="s">
        <v>39</v>
      </c>
      <c r="O927" s="1">
        <v>35.22</v>
      </c>
      <c r="P927" s="1">
        <v>-81.759399999999999</v>
      </c>
      <c r="Q927" s="1" t="s">
        <v>2382</v>
      </c>
      <c r="R927" s="1" t="s">
        <v>41</v>
      </c>
      <c r="T927" s="1" t="s">
        <v>89</v>
      </c>
      <c r="U927" s="1" t="s">
        <v>55</v>
      </c>
      <c r="V927" s="1" t="s">
        <v>341</v>
      </c>
      <c r="W927" s="1" t="s">
        <v>241</v>
      </c>
      <c r="X927" s="1" t="s">
        <v>563</v>
      </c>
      <c r="Y927" s="1" t="s">
        <v>1310</v>
      </c>
      <c r="AA927" s="3">
        <v>41070</v>
      </c>
      <c r="AB927" s="1" t="s">
        <v>46</v>
      </c>
      <c r="AC927" s="5">
        <v>8000</v>
      </c>
      <c r="AD927" s="1" t="s">
        <v>2397</v>
      </c>
      <c r="AE927" s="1" t="str">
        <f t="shared" si="71"/>
        <v>2721 6</v>
      </c>
      <c r="AF927" s="5" t="str">
        <f>MID(AD927,FIND("(",AD927)+1,FIND(")",AD927)-FIND("(",AD927)-1)</f>
        <v>905</v>
      </c>
      <c r="AG927" s="1" t="str">
        <f t="shared" si="70"/>
        <v>Y</v>
      </c>
    </row>
    <row r="928" spans="1:33" x14ac:dyDescent="0.2">
      <c r="A928" s="1" t="s">
        <v>1153</v>
      </c>
      <c r="B928" s="1" t="s">
        <v>2398</v>
      </c>
      <c r="C928" s="1">
        <v>2723</v>
      </c>
      <c r="D928" s="1" t="s">
        <v>834</v>
      </c>
      <c r="F928" s="1">
        <v>2023</v>
      </c>
      <c r="G928" s="1" t="s">
        <v>2319</v>
      </c>
      <c r="H928" s="1" t="s">
        <v>2320</v>
      </c>
      <c r="I928" s="1">
        <v>4</v>
      </c>
      <c r="J928" s="1" t="s">
        <v>36</v>
      </c>
      <c r="K928" s="1" t="s">
        <v>1970</v>
      </c>
      <c r="L928" s="1" t="s">
        <v>2399</v>
      </c>
      <c r="M928" s="1">
        <v>157</v>
      </c>
      <c r="N928" s="1" t="s">
        <v>39</v>
      </c>
      <c r="O928" s="1">
        <v>36.486199999999997</v>
      </c>
      <c r="P928" s="1">
        <v>-79.720799999999997</v>
      </c>
      <c r="Q928" s="1" t="s">
        <v>2382</v>
      </c>
      <c r="R928" s="1" t="s">
        <v>41</v>
      </c>
      <c r="T928" s="1" t="s">
        <v>71</v>
      </c>
      <c r="U928" s="1" t="s">
        <v>284</v>
      </c>
      <c r="X928" s="1" t="s">
        <v>64</v>
      </c>
      <c r="AA928" s="3">
        <v>41114</v>
      </c>
      <c r="AB928" s="1" t="s">
        <v>46</v>
      </c>
      <c r="AC928" s="5">
        <v>2625</v>
      </c>
      <c r="AD928" s="1" t="s">
        <v>2400</v>
      </c>
      <c r="AE928" s="1" t="str">
        <f t="shared" si="71"/>
        <v>2723 8C</v>
      </c>
      <c r="AF928" s="14">
        <f>MID(AD928,FIND("(",AD928)+1,FIND(")",AD928)-FIND("(",AD928)-1)+320.5/2</f>
        <v>331.75</v>
      </c>
      <c r="AG928" s="1" t="str">
        <f t="shared" si="70"/>
        <v>Y</v>
      </c>
    </row>
    <row r="929" spans="1:33" x14ac:dyDescent="0.2">
      <c r="A929" s="1" t="s">
        <v>1153</v>
      </c>
      <c r="B929" s="1" t="s">
        <v>2398</v>
      </c>
      <c r="C929" s="1">
        <v>2723</v>
      </c>
      <c r="D929" s="1" t="s">
        <v>2401</v>
      </c>
      <c r="F929" s="1">
        <v>2023</v>
      </c>
      <c r="G929" s="1" t="s">
        <v>2319</v>
      </c>
      <c r="H929" s="1" t="s">
        <v>2320</v>
      </c>
      <c r="I929" s="1">
        <v>4</v>
      </c>
      <c r="J929" s="1" t="s">
        <v>36</v>
      </c>
      <c r="K929" s="1" t="s">
        <v>1970</v>
      </c>
      <c r="L929" s="1" t="s">
        <v>2399</v>
      </c>
      <c r="M929" s="1">
        <v>157</v>
      </c>
      <c r="N929" s="1" t="s">
        <v>39</v>
      </c>
      <c r="O929" s="1">
        <v>36.486199999999997</v>
      </c>
      <c r="P929" s="1">
        <v>-79.720799999999997</v>
      </c>
      <c r="Q929" s="1" t="s">
        <v>2382</v>
      </c>
      <c r="R929" s="1" t="s">
        <v>41</v>
      </c>
      <c r="T929" s="1" t="s">
        <v>71</v>
      </c>
      <c r="U929" s="1" t="s">
        <v>284</v>
      </c>
      <c r="X929" s="1" t="s">
        <v>64</v>
      </c>
      <c r="AA929" s="3">
        <v>41130</v>
      </c>
      <c r="AB929" s="1" t="s">
        <v>46</v>
      </c>
      <c r="AC929" s="5">
        <v>2625</v>
      </c>
      <c r="AD929" s="1" t="s">
        <v>2402</v>
      </c>
      <c r="AE929" s="1" t="str">
        <f t="shared" si="71"/>
        <v>2723 9C</v>
      </c>
      <c r="AF929" s="14">
        <f>AF928</f>
        <v>331.75</v>
      </c>
      <c r="AG929" s="1" t="str">
        <f t="shared" si="70"/>
        <v>Y</v>
      </c>
    </row>
    <row r="930" spans="1:33" x14ac:dyDescent="0.2">
      <c r="A930" s="1" t="s">
        <v>1153</v>
      </c>
      <c r="B930" s="1" t="s">
        <v>2403</v>
      </c>
      <c r="C930" s="1">
        <v>2727</v>
      </c>
      <c r="D930" s="1">
        <v>1</v>
      </c>
      <c r="E930" s="1" t="s">
        <v>1963</v>
      </c>
      <c r="F930" s="1">
        <v>2023</v>
      </c>
      <c r="G930" s="1" t="s">
        <v>2351</v>
      </c>
      <c r="H930" s="1">
        <v>608414</v>
      </c>
      <c r="I930" s="1">
        <v>4</v>
      </c>
      <c r="J930" s="1" t="s">
        <v>36</v>
      </c>
      <c r="K930" s="1" t="s">
        <v>2404</v>
      </c>
      <c r="L930" s="1" t="s">
        <v>2405</v>
      </c>
      <c r="M930" s="1">
        <v>35</v>
      </c>
      <c r="N930" s="1" t="s">
        <v>39</v>
      </c>
      <c r="O930" s="1">
        <v>35.597499999999997</v>
      </c>
      <c r="P930" s="1">
        <v>-80.965800000000002</v>
      </c>
      <c r="Q930" s="1" t="s">
        <v>2382</v>
      </c>
      <c r="R930" s="1" t="s">
        <v>41</v>
      </c>
      <c r="S930" s="1" t="s">
        <v>211</v>
      </c>
      <c r="T930" s="1" t="s">
        <v>43</v>
      </c>
      <c r="U930" s="1" t="s">
        <v>55</v>
      </c>
      <c r="V930" s="1" t="s">
        <v>341</v>
      </c>
      <c r="W930" s="1" t="s">
        <v>241</v>
      </c>
      <c r="X930" s="1" t="s">
        <v>2383</v>
      </c>
      <c r="Y930" s="1" t="s">
        <v>331</v>
      </c>
      <c r="AA930" s="3">
        <v>23822</v>
      </c>
      <c r="AB930" s="1" t="s">
        <v>46</v>
      </c>
      <c r="AC930" s="5">
        <v>4756</v>
      </c>
      <c r="AD930" s="1" t="s">
        <v>2406</v>
      </c>
      <c r="AE930" s="1" t="str">
        <f t="shared" si="71"/>
        <v>2727 1</v>
      </c>
      <c r="AF930" s="5" t="str">
        <f t="shared" ref="AF930:AF970" si="74">MID(AD930,FIND("(",AD930)+1,FIND(")",AD930)-FIND("(",AD930)-1)</f>
        <v>350</v>
      </c>
      <c r="AG930" s="1" t="str">
        <f t="shared" si="70"/>
        <v>Y</v>
      </c>
    </row>
    <row r="931" spans="1:33" x14ac:dyDescent="0.2">
      <c r="A931" s="1" t="s">
        <v>1153</v>
      </c>
      <c r="B931" s="1" t="s">
        <v>2403</v>
      </c>
      <c r="C931" s="1">
        <v>2727</v>
      </c>
      <c r="D931" s="1">
        <v>2</v>
      </c>
      <c r="E931" s="1" t="s">
        <v>1963</v>
      </c>
      <c r="F931" s="1">
        <v>2023</v>
      </c>
      <c r="G931" s="1" t="s">
        <v>2351</v>
      </c>
      <c r="H931" s="1">
        <v>608414</v>
      </c>
      <c r="I931" s="1">
        <v>4</v>
      </c>
      <c r="J931" s="1" t="s">
        <v>36</v>
      </c>
      <c r="K931" s="1" t="s">
        <v>2404</v>
      </c>
      <c r="L931" s="1" t="s">
        <v>2405</v>
      </c>
      <c r="M931" s="1">
        <v>35</v>
      </c>
      <c r="N931" s="1" t="s">
        <v>39</v>
      </c>
      <c r="O931" s="1">
        <v>35.597499999999997</v>
      </c>
      <c r="P931" s="1">
        <v>-80.965800000000002</v>
      </c>
      <c r="Q931" s="1" t="s">
        <v>2382</v>
      </c>
      <c r="R931" s="1" t="s">
        <v>41</v>
      </c>
      <c r="S931" s="1" t="s">
        <v>211</v>
      </c>
      <c r="T931" s="1" t="s">
        <v>43</v>
      </c>
      <c r="U931" s="1" t="s">
        <v>55</v>
      </c>
      <c r="V931" s="1" t="s">
        <v>341</v>
      </c>
      <c r="W931" s="1" t="s">
        <v>241</v>
      </c>
      <c r="X931" s="1" t="s">
        <v>2383</v>
      </c>
      <c r="Y931" s="1" t="s">
        <v>331</v>
      </c>
      <c r="AA931" s="3">
        <v>24214</v>
      </c>
      <c r="AB931" s="1" t="s">
        <v>46</v>
      </c>
      <c r="AC931" s="5">
        <v>4542</v>
      </c>
      <c r="AD931" s="1" t="s">
        <v>2407</v>
      </c>
      <c r="AE931" s="1" t="str">
        <f t="shared" si="71"/>
        <v>2727 2</v>
      </c>
      <c r="AF931" s="5" t="str">
        <f t="shared" si="74"/>
        <v>350</v>
      </c>
      <c r="AG931" s="1" t="str">
        <f t="shared" si="70"/>
        <v>Y</v>
      </c>
    </row>
    <row r="932" spans="1:33" x14ac:dyDescent="0.2">
      <c r="A932" s="1" t="s">
        <v>1153</v>
      </c>
      <c r="B932" s="1" t="s">
        <v>2403</v>
      </c>
      <c r="C932" s="1">
        <v>2727</v>
      </c>
      <c r="D932" s="1">
        <v>3</v>
      </c>
      <c r="F932" s="1">
        <v>2023</v>
      </c>
      <c r="G932" s="1" t="s">
        <v>2351</v>
      </c>
      <c r="H932" s="1">
        <v>608414</v>
      </c>
      <c r="I932" s="1">
        <v>4</v>
      </c>
      <c r="J932" s="1" t="s">
        <v>36</v>
      </c>
      <c r="K932" s="1" t="s">
        <v>2404</v>
      </c>
      <c r="L932" s="1" t="s">
        <v>2405</v>
      </c>
      <c r="M932" s="1">
        <v>35</v>
      </c>
      <c r="N932" s="1" t="s">
        <v>39</v>
      </c>
      <c r="O932" s="1">
        <v>35.597499999999997</v>
      </c>
      <c r="P932" s="1">
        <v>-80.965800000000002</v>
      </c>
      <c r="Q932" s="1" t="s">
        <v>2382</v>
      </c>
      <c r="R932" s="1" t="s">
        <v>41</v>
      </c>
      <c r="S932" s="1" t="s">
        <v>211</v>
      </c>
      <c r="T932" s="1" t="s">
        <v>43</v>
      </c>
      <c r="U932" s="1" t="s">
        <v>55</v>
      </c>
      <c r="V932" s="1" t="s">
        <v>2408</v>
      </c>
      <c r="W932" s="1" t="s">
        <v>241</v>
      </c>
      <c r="X932" s="1" t="s">
        <v>301</v>
      </c>
      <c r="Y932" s="1" t="s">
        <v>331</v>
      </c>
      <c r="AA932" s="3">
        <v>25338</v>
      </c>
      <c r="AB932" s="1" t="s">
        <v>46</v>
      </c>
      <c r="AC932" s="5">
        <v>7506</v>
      </c>
      <c r="AD932" s="1" t="s">
        <v>2409</v>
      </c>
      <c r="AE932" s="1" t="str">
        <f t="shared" si="71"/>
        <v>2727 3</v>
      </c>
      <c r="AF932" s="5" t="str">
        <f t="shared" si="74"/>
        <v>648</v>
      </c>
      <c r="AG932" s="1" t="str">
        <f t="shared" si="70"/>
        <v>Y</v>
      </c>
    </row>
    <row r="933" spans="1:33" x14ac:dyDescent="0.2">
      <c r="A933" s="1" t="s">
        <v>1153</v>
      </c>
      <c r="B933" s="1" t="s">
        <v>2403</v>
      </c>
      <c r="C933" s="1">
        <v>2727</v>
      </c>
      <c r="D933" s="1">
        <v>4</v>
      </c>
      <c r="F933" s="1">
        <v>2023</v>
      </c>
      <c r="G933" s="1" t="s">
        <v>2351</v>
      </c>
      <c r="H933" s="1">
        <v>608414</v>
      </c>
      <c r="I933" s="1">
        <v>4</v>
      </c>
      <c r="J933" s="1" t="s">
        <v>36</v>
      </c>
      <c r="K933" s="1" t="s">
        <v>2404</v>
      </c>
      <c r="L933" s="1" t="s">
        <v>2405</v>
      </c>
      <c r="M933" s="1">
        <v>35</v>
      </c>
      <c r="N933" s="1" t="s">
        <v>39</v>
      </c>
      <c r="O933" s="1">
        <v>35.597499999999997</v>
      </c>
      <c r="P933" s="1">
        <v>-80.965800000000002</v>
      </c>
      <c r="Q933" s="1" t="s">
        <v>2382</v>
      </c>
      <c r="R933" s="1" t="s">
        <v>41</v>
      </c>
      <c r="S933" s="1" t="s">
        <v>211</v>
      </c>
      <c r="T933" s="1" t="s">
        <v>43</v>
      </c>
      <c r="U933" s="1" t="s">
        <v>55</v>
      </c>
      <c r="V933" s="1" t="s">
        <v>341</v>
      </c>
      <c r="W933" s="1" t="s">
        <v>241</v>
      </c>
      <c r="X933" s="1" t="s">
        <v>2383</v>
      </c>
      <c r="Y933" s="1" t="s">
        <v>331</v>
      </c>
      <c r="AA933" s="3">
        <v>25689</v>
      </c>
      <c r="AB933" s="1" t="s">
        <v>46</v>
      </c>
      <c r="AC933" s="5">
        <v>7486</v>
      </c>
      <c r="AD933" s="1" t="s">
        <v>2410</v>
      </c>
      <c r="AE933" s="1" t="str">
        <f t="shared" si="71"/>
        <v>2727 4</v>
      </c>
      <c r="AF933" s="5" t="str">
        <f t="shared" si="74"/>
        <v>648</v>
      </c>
      <c r="AG933" s="1" t="str">
        <f t="shared" si="70"/>
        <v>Y</v>
      </c>
    </row>
    <row r="934" spans="1:33" x14ac:dyDescent="0.2">
      <c r="A934" s="1" t="s">
        <v>2411</v>
      </c>
      <c r="B934" s="1" t="s">
        <v>2412</v>
      </c>
      <c r="C934" s="1">
        <v>2790</v>
      </c>
      <c r="D934" s="1" t="s">
        <v>107</v>
      </c>
      <c r="F934" s="1">
        <v>2023</v>
      </c>
      <c r="G934" s="1" t="s">
        <v>247</v>
      </c>
      <c r="H934" s="1">
        <v>607438</v>
      </c>
      <c r="I934" s="1">
        <v>8</v>
      </c>
      <c r="J934" s="1" t="s">
        <v>207</v>
      </c>
      <c r="K934" s="1" t="s">
        <v>2413</v>
      </c>
      <c r="L934" s="1" t="s">
        <v>2414</v>
      </c>
      <c r="M934" s="1">
        <v>59</v>
      </c>
      <c r="N934" s="1" t="s">
        <v>39</v>
      </c>
      <c r="O934" s="1">
        <v>46.866900000000001</v>
      </c>
      <c r="P934" s="1">
        <v>-100.8839</v>
      </c>
      <c r="Q934" s="1" t="s">
        <v>1847</v>
      </c>
      <c r="R934" s="1" t="s">
        <v>41</v>
      </c>
      <c r="T934" s="1" t="s">
        <v>93</v>
      </c>
      <c r="U934" s="1" t="s">
        <v>44</v>
      </c>
      <c r="X934" s="1" t="s">
        <v>140</v>
      </c>
      <c r="AA934" s="3">
        <v>41806</v>
      </c>
      <c r="AB934" s="1" t="s">
        <v>46</v>
      </c>
      <c r="AC934" s="5">
        <v>1200</v>
      </c>
      <c r="AD934" s="1" t="s">
        <v>2415</v>
      </c>
      <c r="AE934" s="1" t="str">
        <f t="shared" si="71"/>
        <v>2790 CT6</v>
      </c>
      <c r="AF934" s="5" t="str">
        <f t="shared" si="74"/>
        <v>88</v>
      </c>
      <c r="AG934" s="1" t="str">
        <f t="shared" si="70"/>
        <v/>
      </c>
    </row>
    <row r="935" spans="1:33" x14ac:dyDescent="0.2">
      <c r="A935" s="1" t="s">
        <v>2411</v>
      </c>
      <c r="B935" s="1" t="s">
        <v>2416</v>
      </c>
      <c r="C935" s="1">
        <v>2817</v>
      </c>
      <c r="D935" s="1">
        <v>1</v>
      </c>
      <c r="F935" s="1">
        <v>2023</v>
      </c>
      <c r="G935" s="1" t="s">
        <v>236</v>
      </c>
      <c r="H935" s="1">
        <v>609771</v>
      </c>
      <c r="I935" s="1">
        <v>8</v>
      </c>
      <c r="J935" s="1" t="s">
        <v>207</v>
      </c>
      <c r="K935" s="1" t="s">
        <v>1354</v>
      </c>
      <c r="L935" s="1" t="s">
        <v>2417</v>
      </c>
      <c r="M935" s="1">
        <v>57</v>
      </c>
      <c r="N935" s="1" t="s">
        <v>39</v>
      </c>
      <c r="O935" s="1">
        <v>47.2819</v>
      </c>
      <c r="P935" s="1">
        <v>-101.3194</v>
      </c>
      <c r="Q935" s="1" t="s">
        <v>2418</v>
      </c>
      <c r="R935" s="1" t="s">
        <v>41</v>
      </c>
      <c r="S935" s="1" t="s">
        <v>211</v>
      </c>
      <c r="T935" s="1" t="s">
        <v>89</v>
      </c>
      <c r="U935" s="1" t="s">
        <v>55</v>
      </c>
      <c r="W935" s="1" t="s">
        <v>241</v>
      </c>
      <c r="X935" s="1" t="s">
        <v>2419</v>
      </c>
      <c r="Y935" s="1" t="s">
        <v>58</v>
      </c>
      <c r="Z935" s="1" t="s">
        <v>1109</v>
      </c>
      <c r="AA935" s="3">
        <v>24137</v>
      </c>
      <c r="AB935" s="1" t="s">
        <v>46</v>
      </c>
      <c r="AC935" s="5">
        <v>3084</v>
      </c>
      <c r="AD935" s="1" t="s">
        <v>2420</v>
      </c>
      <c r="AE935" s="1" t="str">
        <f t="shared" si="71"/>
        <v>2817 1</v>
      </c>
      <c r="AF935" s="5" t="str">
        <f t="shared" si="74"/>
        <v>216</v>
      </c>
      <c r="AG935" s="1" t="str">
        <f t="shared" si="70"/>
        <v>Y</v>
      </c>
    </row>
    <row r="936" spans="1:33" x14ac:dyDescent="0.2">
      <c r="A936" s="1" t="s">
        <v>2411</v>
      </c>
      <c r="B936" s="1" t="s">
        <v>2416</v>
      </c>
      <c r="C936" s="1">
        <v>2817</v>
      </c>
      <c r="D936" s="1">
        <v>2</v>
      </c>
      <c r="F936" s="1">
        <v>2023</v>
      </c>
      <c r="G936" s="1" t="s">
        <v>236</v>
      </c>
      <c r="H936" s="1">
        <v>609771</v>
      </c>
      <c r="I936" s="1">
        <v>8</v>
      </c>
      <c r="J936" s="1" t="s">
        <v>207</v>
      </c>
      <c r="K936" s="1" t="s">
        <v>1354</v>
      </c>
      <c r="L936" s="1" t="s">
        <v>2417</v>
      </c>
      <c r="M936" s="1">
        <v>57</v>
      </c>
      <c r="N936" s="1" t="s">
        <v>39</v>
      </c>
      <c r="O936" s="1">
        <v>47.2819</v>
      </c>
      <c r="P936" s="1">
        <v>-101.3194</v>
      </c>
      <c r="Q936" s="1" t="s">
        <v>2418</v>
      </c>
      <c r="R936" s="1" t="s">
        <v>41</v>
      </c>
      <c r="S936" s="1" t="s">
        <v>85</v>
      </c>
      <c r="T936" s="1" t="s">
        <v>606</v>
      </c>
      <c r="U936" s="1" t="s">
        <v>55</v>
      </c>
      <c r="W936" s="1" t="s">
        <v>241</v>
      </c>
      <c r="X936" s="1" t="s">
        <v>604</v>
      </c>
      <c r="Y936" s="1" t="s">
        <v>58</v>
      </c>
      <c r="Z936" s="1" t="s">
        <v>1109</v>
      </c>
      <c r="AA936" s="3">
        <v>27743</v>
      </c>
      <c r="AB936" s="1" t="s">
        <v>46</v>
      </c>
      <c r="AC936" s="5">
        <v>5531</v>
      </c>
      <c r="AD936" s="1" t="s">
        <v>2421</v>
      </c>
      <c r="AE936" s="1" t="str">
        <f t="shared" si="71"/>
        <v>2817 2</v>
      </c>
      <c r="AF936" s="5" t="str">
        <f t="shared" si="74"/>
        <v>440</v>
      </c>
      <c r="AG936" s="1" t="str">
        <f t="shared" si="70"/>
        <v>Y</v>
      </c>
    </row>
    <row r="937" spans="1:33" x14ac:dyDescent="0.2">
      <c r="A937" s="1" t="s">
        <v>2411</v>
      </c>
      <c r="B937" s="1" t="s">
        <v>2422</v>
      </c>
      <c r="C937" s="1">
        <v>2823</v>
      </c>
      <c r="D937" s="1" t="s">
        <v>866</v>
      </c>
      <c r="F937" s="1">
        <v>2023</v>
      </c>
      <c r="G937" s="1" t="s">
        <v>236</v>
      </c>
      <c r="H937" s="1">
        <v>608566</v>
      </c>
      <c r="I937" s="1">
        <v>8</v>
      </c>
      <c r="J937" s="1" t="s">
        <v>207</v>
      </c>
      <c r="K937" s="1" t="s">
        <v>2423</v>
      </c>
      <c r="L937" s="1" t="s">
        <v>2424</v>
      </c>
      <c r="M937" s="1">
        <v>65</v>
      </c>
      <c r="N937" s="1" t="s">
        <v>39</v>
      </c>
      <c r="O937" s="1">
        <v>47.066400000000002</v>
      </c>
      <c r="P937" s="1">
        <v>-101.2139</v>
      </c>
      <c r="Q937" s="1" t="s">
        <v>2425</v>
      </c>
      <c r="R937" s="1" t="s">
        <v>41</v>
      </c>
      <c r="S937" s="1" t="s">
        <v>85</v>
      </c>
      <c r="T937" s="1" t="s">
        <v>606</v>
      </c>
      <c r="U937" s="1" t="s">
        <v>55</v>
      </c>
      <c r="W937" s="1" t="s">
        <v>1077</v>
      </c>
      <c r="X937" s="1" t="s">
        <v>604</v>
      </c>
      <c r="Y937" s="1" t="s">
        <v>58</v>
      </c>
      <c r="AA937" s="3">
        <v>25890</v>
      </c>
      <c r="AB937" s="1" t="s">
        <v>46</v>
      </c>
      <c r="AC937" s="5">
        <v>3339</v>
      </c>
      <c r="AD937" s="1" t="s">
        <v>2426</v>
      </c>
      <c r="AE937" s="1" t="str">
        <f t="shared" si="71"/>
        <v>2823 B1</v>
      </c>
      <c r="AF937" s="5" t="str">
        <f t="shared" si="74"/>
        <v>270</v>
      </c>
      <c r="AG937" s="1" t="str">
        <f t="shared" si="70"/>
        <v>Y</v>
      </c>
    </row>
    <row r="938" spans="1:33" x14ac:dyDescent="0.2">
      <c r="A938" s="1" t="s">
        <v>2411</v>
      </c>
      <c r="B938" s="1" t="s">
        <v>2422</v>
      </c>
      <c r="C938" s="1">
        <v>2823</v>
      </c>
      <c r="D938" s="1" t="s">
        <v>871</v>
      </c>
      <c r="F938" s="1">
        <v>2023</v>
      </c>
      <c r="G938" s="1" t="s">
        <v>236</v>
      </c>
      <c r="H938" s="1">
        <v>608566</v>
      </c>
      <c r="I938" s="1">
        <v>8</v>
      </c>
      <c r="J938" s="1" t="s">
        <v>207</v>
      </c>
      <c r="K938" s="1" t="s">
        <v>2423</v>
      </c>
      <c r="L938" s="1" t="s">
        <v>2424</v>
      </c>
      <c r="M938" s="1">
        <v>65</v>
      </c>
      <c r="N938" s="1" t="s">
        <v>39</v>
      </c>
      <c r="O938" s="1">
        <v>47.066400000000002</v>
      </c>
      <c r="P938" s="1">
        <v>-101.2139</v>
      </c>
      <c r="Q938" s="1" t="s">
        <v>2427</v>
      </c>
      <c r="R938" s="1" t="s">
        <v>41</v>
      </c>
      <c r="S938" s="1" t="s">
        <v>85</v>
      </c>
      <c r="T938" s="1" t="s">
        <v>606</v>
      </c>
      <c r="U938" s="1" t="s">
        <v>55</v>
      </c>
      <c r="W938" s="1" t="s">
        <v>2428</v>
      </c>
      <c r="X938" s="1" t="s">
        <v>604</v>
      </c>
      <c r="Y938" s="1" t="s">
        <v>58</v>
      </c>
      <c r="AA938" s="3">
        <v>28256</v>
      </c>
      <c r="AB938" s="1" t="s">
        <v>46</v>
      </c>
      <c r="AC938" s="5">
        <v>6584</v>
      </c>
      <c r="AD938" s="1" t="s">
        <v>2429</v>
      </c>
      <c r="AE938" s="1" t="str">
        <f t="shared" si="71"/>
        <v>2823 B2</v>
      </c>
      <c r="AF938" s="5" t="str">
        <f t="shared" si="74"/>
        <v>518</v>
      </c>
      <c r="AG938" s="1" t="str">
        <f t="shared" si="70"/>
        <v>Y</v>
      </c>
    </row>
    <row r="939" spans="1:33" x14ac:dyDescent="0.2">
      <c r="A939" s="1" t="s">
        <v>2430</v>
      </c>
      <c r="B939" s="1" t="s">
        <v>2431</v>
      </c>
      <c r="C939" s="1">
        <v>2828</v>
      </c>
      <c r="D939" s="1">
        <v>1</v>
      </c>
      <c r="F939" s="1">
        <v>2023</v>
      </c>
      <c r="G939" s="1" t="s">
        <v>1005</v>
      </c>
      <c r="H939" s="1">
        <v>609050</v>
      </c>
      <c r="I939" s="1">
        <v>5</v>
      </c>
      <c r="J939" s="1" t="s">
        <v>169</v>
      </c>
      <c r="K939" s="1" t="s">
        <v>1074</v>
      </c>
      <c r="L939" s="1" t="s">
        <v>2432</v>
      </c>
      <c r="M939" s="1">
        <v>81</v>
      </c>
      <c r="N939" s="1" t="s">
        <v>39</v>
      </c>
      <c r="O939" s="1">
        <v>40.252200000000002</v>
      </c>
      <c r="P939" s="1">
        <v>-80.648600000000002</v>
      </c>
      <c r="Q939" s="1" t="s">
        <v>2433</v>
      </c>
      <c r="R939" s="1" t="s">
        <v>120</v>
      </c>
      <c r="S939" s="1" t="s">
        <v>85</v>
      </c>
      <c r="T939" s="1" t="s">
        <v>86</v>
      </c>
      <c r="U939" s="1" t="s">
        <v>55</v>
      </c>
      <c r="W939" s="1" t="s">
        <v>56</v>
      </c>
      <c r="X939" s="1" t="s">
        <v>1633</v>
      </c>
      <c r="Y939" s="1" t="s">
        <v>58</v>
      </c>
      <c r="AA939" s="3">
        <v>24504</v>
      </c>
      <c r="AB939" s="1" t="s">
        <v>46</v>
      </c>
      <c r="AC939" s="5">
        <v>6625</v>
      </c>
      <c r="AD939" s="1" t="s">
        <v>2434</v>
      </c>
      <c r="AE939" s="1" t="str">
        <f t="shared" si="71"/>
        <v>2828 1</v>
      </c>
      <c r="AF939" s="5" t="str">
        <f t="shared" si="74"/>
        <v>615.2</v>
      </c>
      <c r="AG939" s="1" t="str">
        <f t="shared" si="70"/>
        <v>Y</v>
      </c>
    </row>
    <row r="940" spans="1:33" x14ac:dyDescent="0.2">
      <c r="A940" s="1" t="s">
        <v>2430</v>
      </c>
      <c r="B940" s="1" t="s">
        <v>2431</v>
      </c>
      <c r="C940" s="1">
        <v>2828</v>
      </c>
      <c r="D940" s="1">
        <v>2</v>
      </c>
      <c r="F940" s="1">
        <v>2023</v>
      </c>
      <c r="G940" s="1" t="s">
        <v>1005</v>
      </c>
      <c r="H940" s="1">
        <v>609050</v>
      </c>
      <c r="I940" s="1">
        <v>5</v>
      </c>
      <c r="J940" s="1" t="s">
        <v>169</v>
      </c>
      <c r="K940" s="1" t="s">
        <v>1074</v>
      </c>
      <c r="L940" s="1" t="s">
        <v>2432</v>
      </c>
      <c r="M940" s="1">
        <v>81</v>
      </c>
      <c r="N940" s="1" t="s">
        <v>39</v>
      </c>
      <c r="O940" s="1">
        <v>40.252200000000002</v>
      </c>
      <c r="P940" s="1">
        <v>-80.648600000000002</v>
      </c>
      <c r="Q940" s="1" t="s">
        <v>2435</v>
      </c>
      <c r="R940" s="1" t="s">
        <v>120</v>
      </c>
      <c r="S940" s="1" t="s">
        <v>85</v>
      </c>
      <c r="T940" s="1" t="s">
        <v>86</v>
      </c>
      <c r="U940" s="1" t="s">
        <v>55</v>
      </c>
      <c r="W940" s="1" t="s">
        <v>56</v>
      </c>
      <c r="X940" s="1" t="s">
        <v>1633</v>
      </c>
      <c r="Y940" s="1" t="s">
        <v>58</v>
      </c>
      <c r="AA940" s="3">
        <v>24654</v>
      </c>
      <c r="AB940" s="1" t="s">
        <v>46</v>
      </c>
      <c r="AC940" s="5">
        <v>6500</v>
      </c>
      <c r="AD940" s="1" t="s">
        <v>2436</v>
      </c>
      <c r="AE940" s="1" t="str">
        <f t="shared" si="71"/>
        <v>2828 2</v>
      </c>
      <c r="AF940" s="5" t="str">
        <f t="shared" si="74"/>
        <v>615.2</v>
      </c>
      <c r="AG940" s="1" t="str">
        <f t="shared" si="70"/>
        <v>Y</v>
      </c>
    </row>
    <row r="941" spans="1:33" x14ac:dyDescent="0.2">
      <c r="A941" s="1" t="s">
        <v>2430</v>
      </c>
      <c r="B941" s="1" t="s">
        <v>2431</v>
      </c>
      <c r="C941" s="1">
        <v>2828</v>
      </c>
      <c r="D941" s="1">
        <v>3</v>
      </c>
      <c r="F941" s="1">
        <v>2023</v>
      </c>
      <c r="G941" s="1" t="s">
        <v>1005</v>
      </c>
      <c r="H941" s="1">
        <v>609050</v>
      </c>
      <c r="I941" s="1">
        <v>5</v>
      </c>
      <c r="J941" s="1" t="s">
        <v>169</v>
      </c>
      <c r="K941" s="1" t="s">
        <v>1074</v>
      </c>
      <c r="L941" s="1" t="s">
        <v>2432</v>
      </c>
      <c r="M941" s="1">
        <v>81</v>
      </c>
      <c r="N941" s="1" t="s">
        <v>39</v>
      </c>
      <c r="O941" s="1">
        <v>40.252200000000002</v>
      </c>
      <c r="P941" s="1">
        <v>-80.648600000000002</v>
      </c>
      <c r="Q941" s="1" t="s">
        <v>2435</v>
      </c>
      <c r="R941" s="1" t="s">
        <v>41</v>
      </c>
      <c r="S941" s="1" t="s">
        <v>42</v>
      </c>
      <c r="T941" s="1" t="s">
        <v>89</v>
      </c>
      <c r="U941" s="1" t="s">
        <v>55</v>
      </c>
      <c r="W941" s="1" t="s">
        <v>56</v>
      </c>
      <c r="X941" s="1" t="s">
        <v>639</v>
      </c>
      <c r="Y941" s="1" t="s">
        <v>331</v>
      </c>
      <c r="AA941" s="3">
        <v>28388</v>
      </c>
      <c r="AB941" s="1" t="s">
        <v>46</v>
      </c>
      <c r="AC941" s="5">
        <v>6550</v>
      </c>
      <c r="AD941" s="1" t="s">
        <v>2437</v>
      </c>
      <c r="AE941" s="1" t="str">
        <f t="shared" si="71"/>
        <v>2828 3</v>
      </c>
      <c r="AF941" s="5" t="str">
        <f t="shared" si="74"/>
        <v>650</v>
      </c>
      <c r="AG941" s="1" t="str">
        <f t="shared" si="70"/>
        <v>Y</v>
      </c>
    </row>
    <row r="942" spans="1:33" x14ac:dyDescent="0.2">
      <c r="A942" s="1" t="s">
        <v>2430</v>
      </c>
      <c r="B942" s="1" t="s">
        <v>2438</v>
      </c>
      <c r="C942" s="1">
        <v>2831</v>
      </c>
      <c r="D942" s="1">
        <v>1</v>
      </c>
      <c r="F942" s="1">
        <v>2023</v>
      </c>
      <c r="G942" s="1" t="s">
        <v>1020</v>
      </c>
      <c r="H942" s="1">
        <v>603383</v>
      </c>
      <c r="I942" s="1">
        <v>5</v>
      </c>
      <c r="K942" s="1" t="s">
        <v>2439</v>
      </c>
      <c r="L942" s="1" t="s">
        <v>2440</v>
      </c>
      <c r="M942" s="1">
        <v>17</v>
      </c>
      <c r="N942" s="1" t="s">
        <v>39</v>
      </c>
      <c r="O942" s="1">
        <v>39.465000000000003</v>
      </c>
      <c r="P942" s="1">
        <v>-84.377499999999998</v>
      </c>
      <c r="Q942" s="1" t="s">
        <v>2441</v>
      </c>
      <c r="T942" s="1" t="s">
        <v>93</v>
      </c>
      <c r="U942" s="1" t="s">
        <v>44</v>
      </c>
      <c r="AA942" s="3">
        <v>24015</v>
      </c>
      <c r="AB942" s="1" t="s">
        <v>46</v>
      </c>
      <c r="AC942" s="5">
        <v>1980</v>
      </c>
      <c r="AD942" s="1" t="s">
        <v>1424</v>
      </c>
      <c r="AE942" s="1" t="str">
        <f t="shared" si="71"/>
        <v>2831 1</v>
      </c>
      <c r="AF942" s="5" t="str">
        <f t="shared" si="74"/>
        <v>100</v>
      </c>
      <c r="AG942" s="1" t="str">
        <f t="shared" si="70"/>
        <v/>
      </c>
    </row>
    <row r="943" spans="1:33" x14ac:dyDescent="0.2">
      <c r="A943" s="1" t="s">
        <v>2430</v>
      </c>
      <c r="B943" s="1" t="s">
        <v>2442</v>
      </c>
      <c r="C943" s="1">
        <v>2832</v>
      </c>
      <c r="D943" s="1">
        <v>6</v>
      </c>
      <c r="F943" s="1">
        <v>2023</v>
      </c>
      <c r="G943" s="1" t="s">
        <v>1005</v>
      </c>
      <c r="H943" s="1">
        <v>603383</v>
      </c>
      <c r="I943" s="1">
        <v>5</v>
      </c>
      <c r="K943" s="1" t="s">
        <v>1138</v>
      </c>
      <c r="L943" s="1" t="s">
        <v>2443</v>
      </c>
      <c r="M943" s="1">
        <v>61</v>
      </c>
      <c r="N943" s="1" t="s">
        <v>39</v>
      </c>
      <c r="O943" s="1">
        <v>39.113100000000003</v>
      </c>
      <c r="P943" s="1">
        <v>-84.803100000000001</v>
      </c>
      <c r="Q943" s="1" t="s">
        <v>2444</v>
      </c>
      <c r="R943" s="1" t="s">
        <v>120</v>
      </c>
      <c r="S943" s="1" t="s">
        <v>121</v>
      </c>
      <c r="T943" s="1" t="s">
        <v>43</v>
      </c>
      <c r="U943" s="1" t="s">
        <v>55</v>
      </c>
      <c r="Y943" s="1" t="s">
        <v>58</v>
      </c>
      <c r="AA943" s="3">
        <v>22250</v>
      </c>
      <c r="AB943" s="1" t="s">
        <v>46</v>
      </c>
      <c r="AC943" s="5">
        <v>1635</v>
      </c>
      <c r="AD943" s="1" t="s">
        <v>2445</v>
      </c>
      <c r="AE943" s="1" t="str">
        <f t="shared" si="71"/>
        <v>2832 6</v>
      </c>
      <c r="AF943" s="5" t="str">
        <f t="shared" si="74"/>
        <v>168</v>
      </c>
      <c r="AG943" s="1" t="str">
        <f t="shared" si="70"/>
        <v/>
      </c>
    </row>
    <row r="944" spans="1:33" x14ac:dyDescent="0.2">
      <c r="A944" s="1" t="s">
        <v>2430</v>
      </c>
      <c r="B944" s="1" t="s">
        <v>2442</v>
      </c>
      <c r="C944" s="1">
        <v>2832</v>
      </c>
      <c r="D944" s="1">
        <v>7</v>
      </c>
      <c r="F944" s="1">
        <v>2023</v>
      </c>
      <c r="G944" s="1" t="s">
        <v>1005</v>
      </c>
      <c r="H944" s="1">
        <v>603383</v>
      </c>
      <c r="I944" s="1">
        <v>5</v>
      </c>
      <c r="K944" s="1" t="s">
        <v>1138</v>
      </c>
      <c r="L944" s="1" t="s">
        <v>2443</v>
      </c>
      <c r="M944" s="1">
        <v>61</v>
      </c>
      <c r="N944" s="1" t="s">
        <v>39</v>
      </c>
      <c r="O944" s="1">
        <v>39.113100000000003</v>
      </c>
      <c r="P944" s="1">
        <v>-84.803100000000001</v>
      </c>
      <c r="Q944" s="1" t="s">
        <v>2444</v>
      </c>
      <c r="R944" s="1" t="s">
        <v>120</v>
      </c>
      <c r="S944" s="1" t="s">
        <v>85</v>
      </c>
      <c r="T944" s="1" t="s">
        <v>86</v>
      </c>
      <c r="U944" s="1" t="s">
        <v>55</v>
      </c>
      <c r="W944" s="1" t="s">
        <v>56</v>
      </c>
      <c r="X944" s="1" t="s">
        <v>1633</v>
      </c>
      <c r="Y944" s="1" t="s">
        <v>800</v>
      </c>
      <c r="AA944" s="3">
        <v>27515</v>
      </c>
      <c r="AB944" s="1" t="s">
        <v>46</v>
      </c>
      <c r="AC944" s="5">
        <v>5575</v>
      </c>
      <c r="AD944" s="1" t="s">
        <v>2446</v>
      </c>
      <c r="AE944" s="1" t="str">
        <f t="shared" si="71"/>
        <v>2832 7</v>
      </c>
      <c r="AF944" s="5" t="str">
        <f t="shared" si="74"/>
        <v>512</v>
      </c>
      <c r="AG944" s="1" t="str">
        <f t="shared" si="70"/>
        <v>Y</v>
      </c>
    </row>
    <row r="945" spans="1:33" x14ac:dyDescent="0.2">
      <c r="A945" s="1" t="s">
        <v>2430</v>
      </c>
      <c r="B945" s="1" t="s">
        <v>2442</v>
      </c>
      <c r="C945" s="1">
        <v>2832</v>
      </c>
      <c r="D945" s="1">
        <v>8</v>
      </c>
      <c r="F945" s="1">
        <v>2023</v>
      </c>
      <c r="G945" s="1" t="s">
        <v>1005</v>
      </c>
      <c r="H945" s="1">
        <v>603383</v>
      </c>
      <c r="I945" s="1">
        <v>5</v>
      </c>
      <c r="K945" s="1" t="s">
        <v>1138</v>
      </c>
      <c r="L945" s="1" t="s">
        <v>2443</v>
      </c>
      <c r="M945" s="1">
        <v>61</v>
      </c>
      <c r="N945" s="1" t="s">
        <v>39</v>
      </c>
      <c r="O945" s="1">
        <v>39.113100000000003</v>
      </c>
      <c r="P945" s="1">
        <v>-84.803100000000001</v>
      </c>
      <c r="Q945" s="1" t="s">
        <v>2444</v>
      </c>
      <c r="R945" s="1" t="s">
        <v>41</v>
      </c>
      <c r="S945" s="1" t="s">
        <v>42</v>
      </c>
      <c r="T945" s="1" t="s">
        <v>89</v>
      </c>
      <c r="U945" s="1" t="s">
        <v>55</v>
      </c>
      <c r="W945" s="1" t="s">
        <v>56</v>
      </c>
      <c r="X945" s="1" t="s">
        <v>2447</v>
      </c>
      <c r="Y945" s="1" t="s">
        <v>800</v>
      </c>
      <c r="AA945" s="3">
        <v>28543</v>
      </c>
      <c r="AB945" s="1" t="s">
        <v>46</v>
      </c>
      <c r="AC945" s="5">
        <v>5025</v>
      </c>
      <c r="AD945" s="1" t="s">
        <v>2448</v>
      </c>
      <c r="AE945" s="1" t="str">
        <f t="shared" si="71"/>
        <v>2832 8</v>
      </c>
      <c r="AF945" s="5" t="str">
        <f t="shared" si="74"/>
        <v>512</v>
      </c>
      <c r="AG945" s="1" t="str">
        <f t="shared" si="70"/>
        <v>Y</v>
      </c>
    </row>
    <row r="946" spans="1:33" x14ac:dyDescent="0.2">
      <c r="A946" s="1" t="s">
        <v>2430</v>
      </c>
      <c r="B946" s="1" t="s">
        <v>2449</v>
      </c>
      <c r="C946" s="1">
        <v>2847</v>
      </c>
      <c r="D946" s="1">
        <v>1</v>
      </c>
      <c r="F946" s="1">
        <v>2023</v>
      </c>
      <c r="G946" s="1" t="s">
        <v>461</v>
      </c>
      <c r="H946" s="1">
        <v>609371</v>
      </c>
      <c r="I946" s="1">
        <v>5</v>
      </c>
      <c r="K946" s="1" t="s">
        <v>1319</v>
      </c>
      <c r="L946" s="1" t="s">
        <v>2450</v>
      </c>
      <c r="M946" s="1">
        <v>113</v>
      </c>
      <c r="N946" s="1" t="s">
        <v>39</v>
      </c>
      <c r="O946" s="1">
        <v>39.728099999999998</v>
      </c>
      <c r="P946" s="1">
        <v>-84.210300000000004</v>
      </c>
      <c r="Q946" s="1" t="s">
        <v>2451</v>
      </c>
      <c r="R946" s="1" t="s">
        <v>41</v>
      </c>
      <c r="T946" s="1" t="s">
        <v>93</v>
      </c>
      <c r="U946" s="1" t="s">
        <v>44</v>
      </c>
      <c r="V946" s="1" t="s">
        <v>94</v>
      </c>
      <c r="X946" s="1" t="s">
        <v>95</v>
      </c>
      <c r="AA946" s="3">
        <v>34851</v>
      </c>
      <c r="AB946" s="1" t="s">
        <v>46</v>
      </c>
      <c r="AC946" s="5">
        <v>1500</v>
      </c>
      <c r="AD946" s="1" t="s">
        <v>2452</v>
      </c>
      <c r="AE946" s="1" t="str">
        <f t="shared" si="71"/>
        <v>2847 1</v>
      </c>
      <c r="AF946" s="5" t="str">
        <f t="shared" si="74"/>
        <v>103.5</v>
      </c>
      <c r="AG946" s="1" t="str">
        <f t="shared" si="70"/>
        <v/>
      </c>
    </row>
    <row r="947" spans="1:33" x14ac:dyDescent="0.2">
      <c r="A947" s="1" t="s">
        <v>2430</v>
      </c>
      <c r="B947" s="1" t="s">
        <v>2449</v>
      </c>
      <c r="C947" s="1">
        <v>2847</v>
      </c>
      <c r="D947" s="1">
        <v>2</v>
      </c>
      <c r="F947" s="1">
        <v>2023</v>
      </c>
      <c r="G947" s="1" t="s">
        <v>461</v>
      </c>
      <c r="H947" s="1">
        <v>609371</v>
      </c>
      <c r="I947" s="1">
        <v>5</v>
      </c>
      <c r="K947" s="1" t="s">
        <v>1319</v>
      </c>
      <c r="L947" s="1" t="s">
        <v>2450</v>
      </c>
      <c r="M947" s="1">
        <v>113</v>
      </c>
      <c r="N947" s="1" t="s">
        <v>39</v>
      </c>
      <c r="O947" s="1">
        <v>39.728099999999998</v>
      </c>
      <c r="P947" s="1">
        <v>-84.210300000000004</v>
      </c>
      <c r="Q947" s="1" t="s">
        <v>2451</v>
      </c>
      <c r="R947" s="1" t="s">
        <v>41</v>
      </c>
      <c r="T947" s="1" t="s">
        <v>93</v>
      </c>
      <c r="U947" s="1" t="s">
        <v>44</v>
      </c>
      <c r="V947" s="1" t="s">
        <v>94</v>
      </c>
      <c r="X947" s="1" t="s">
        <v>95</v>
      </c>
      <c r="AA947" s="3">
        <v>35433</v>
      </c>
      <c r="AB947" s="1" t="s">
        <v>46</v>
      </c>
      <c r="AC947" s="5">
        <v>1500</v>
      </c>
      <c r="AD947" s="1" t="s">
        <v>2453</v>
      </c>
      <c r="AE947" s="1" t="str">
        <f t="shared" si="71"/>
        <v>2847 2</v>
      </c>
      <c r="AF947" s="5" t="str">
        <f t="shared" si="74"/>
        <v>106.1</v>
      </c>
      <c r="AG947" s="1" t="str">
        <f t="shared" si="70"/>
        <v/>
      </c>
    </row>
    <row r="948" spans="1:33" x14ac:dyDescent="0.2">
      <c r="A948" s="1" t="s">
        <v>2430</v>
      </c>
      <c r="B948" s="1" t="s">
        <v>2449</v>
      </c>
      <c r="C948" s="1">
        <v>2847</v>
      </c>
      <c r="D948" s="1">
        <v>3</v>
      </c>
      <c r="F948" s="1">
        <v>2023</v>
      </c>
      <c r="G948" s="1" t="s">
        <v>461</v>
      </c>
      <c r="H948" s="1">
        <v>609371</v>
      </c>
      <c r="I948" s="1">
        <v>5</v>
      </c>
      <c r="K948" s="1" t="s">
        <v>1319</v>
      </c>
      <c r="L948" s="1" t="s">
        <v>2450</v>
      </c>
      <c r="M948" s="1">
        <v>113</v>
      </c>
      <c r="N948" s="1" t="s">
        <v>39</v>
      </c>
      <c r="O948" s="1">
        <v>39.728099999999998</v>
      </c>
      <c r="P948" s="1">
        <v>-84.210300000000004</v>
      </c>
      <c r="Q948" s="1" t="s">
        <v>2451</v>
      </c>
      <c r="R948" s="1" t="s">
        <v>41</v>
      </c>
      <c r="T948" s="1" t="s">
        <v>93</v>
      </c>
      <c r="U948" s="1" t="s">
        <v>44</v>
      </c>
      <c r="V948" s="1" t="s">
        <v>94</v>
      </c>
      <c r="X948" s="1" t="s">
        <v>183</v>
      </c>
      <c r="AA948" s="3">
        <v>36192</v>
      </c>
      <c r="AB948" s="1" t="s">
        <v>46</v>
      </c>
      <c r="AC948" s="5">
        <v>1500</v>
      </c>
      <c r="AD948" s="1" t="s">
        <v>1544</v>
      </c>
      <c r="AE948" s="1" t="str">
        <f t="shared" si="71"/>
        <v>2847 3</v>
      </c>
      <c r="AF948" s="5" t="str">
        <f t="shared" si="74"/>
        <v>99</v>
      </c>
      <c r="AG948" s="1" t="str">
        <f t="shared" si="70"/>
        <v/>
      </c>
    </row>
    <row r="949" spans="1:33" x14ac:dyDescent="0.2">
      <c r="A949" s="1" t="s">
        <v>2430</v>
      </c>
      <c r="B949" s="1" t="s">
        <v>2454</v>
      </c>
      <c r="C949" s="1">
        <v>2848</v>
      </c>
      <c r="D949" s="1" t="s">
        <v>2455</v>
      </c>
      <c r="F949" s="1">
        <v>2023</v>
      </c>
      <c r="G949" s="1" t="s">
        <v>1020</v>
      </c>
      <c r="H949" s="1">
        <v>609371</v>
      </c>
      <c r="I949" s="1">
        <v>5</v>
      </c>
      <c r="J949" s="1" t="s">
        <v>169</v>
      </c>
      <c r="K949" s="1" t="s">
        <v>1319</v>
      </c>
      <c r="L949" s="1" t="s">
        <v>2450</v>
      </c>
      <c r="M949" s="1">
        <v>113</v>
      </c>
      <c r="N949" s="1" t="s">
        <v>39</v>
      </c>
      <c r="O949" s="1">
        <v>39.609400000000001</v>
      </c>
      <c r="P949" s="1">
        <v>-84.293099999999995</v>
      </c>
      <c r="Q949" s="1" t="s">
        <v>2456</v>
      </c>
      <c r="T949" s="1" t="s">
        <v>93</v>
      </c>
      <c r="U949" s="1" t="s">
        <v>44</v>
      </c>
      <c r="V949" s="1" t="s">
        <v>94</v>
      </c>
      <c r="AA949" s="3">
        <v>25157</v>
      </c>
      <c r="AB949" s="1" t="s">
        <v>46</v>
      </c>
      <c r="AC949" s="5">
        <v>558</v>
      </c>
      <c r="AD949" s="1" t="s">
        <v>2457</v>
      </c>
      <c r="AE949" s="1" t="str">
        <f t="shared" si="71"/>
        <v>2848 H-7</v>
      </c>
      <c r="AF949" s="5" t="str">
        <f t="shared" si="74"/>
        <v>32.6</v>
      </c>
      <c r="AG949" s="1" t="str">
        <f t="shared" si="70"/>
        <v/>
      </c>
    </row>
    <row r="950" spans="1:33" x14ac:dyDescent="0.2">
      <c r="A950" s="1" t="s">
        <v>2430</v>
      </c>
      <c r="B950" s="1" t="s">
        <v>2458</v>
      </c>
      <c r="C950" s="1">
        <v>2861</v>
      </c>
      <c r="D950" s="1" t="s">
        <v>2459</v>
      </c>
      <c r="F950" s="1">
        <v>2023</v>
      </c>
      <c r="G950" s="1" t="s">
        <v>1020</v>
      </c>
      <c r="H950" s="1">
        <v>1427</v>
      </c>
      <c r="I950" s="1">
        <v>5</v>
      </c>
      <c r="J950" s="1" t="s">
        <v>169</v>
      </c>
      <c r="K950" s="1" t="s">
        <v>2460</v>
      </c>
      <c r="L950" s="1" t="s">
        <v>2461</v>
      </c>
      <c r="M950" s="1">
        <v>155</v>
      </c>
      <c r="N950" s="1" t="s">
        <v>39</v>
      </c>
      <c r="O950" s="1">
        <v>41.166699999999999</v>
      </c>
      <c r="P950" s="1">
        <v>-80.75</v>
      </c>
      <c r="Q950" s="1" t="s">
        <v>2462</v>
      </c>
      <c r="T950" s="1" t="s">
        <v>93</v>
      </c>
      <c r="U950" s="1" t="s">
        <v>94</v>
      </c>
      <c r="AA950" s="3">
        <v>26490</v>
      </c>
      <c r="AB950" s="1" t="s">
        <v>46</v>
      </c>
      <c r="AC950" s="5">
        <v>469</v>
      </c>
      <c r="AD950" s="1" t="s">
        <v>1252</v>
      </c>
      <c r="AE950" s="1" t="str">
        <f t="shared" si="71"/>
        <v>2861 CTA</v>
      </c>
      <c r="AF950" s="5" t="str">
        <f t="shared" si="74"/>
        <v>27</v>
      </c>
      <c r="AG950" s="1" t="str">
        <f t="shared" si="70"/>
        <v/>
      </c>
    </row>
    <row r="951" spans="1:33" x14ac:dyDescent="0.2">
      <c r="A951" s="1" t="s">
        <v>2430</v>
      </c>
      <c r="B951" s="1" t="s">
        <v>2463</v>
      </c>
      <c r="C951" s="1">
        <v>2866</v>
      </c>
      <c r="D951" s="1">
        <v>5</v>
      </c>
      <c r="E951" s="1" t="s">
        <v>2464</v>
      </c>
      <c r="F951" s="1">
        <v>2023</v>
      </c>
      <c r="G951" s="1" t="s">
        <v>1005</v>
      </c>
      <c r="H951" s="1" t="s">
        <v>2465</v>
      </c>
      <c r="I951" s="1">
        <v>5</v>
      </c>
      <c r="J951" s="1" t="s">
        <v>169</v>
      </c>
      <c r="K951" s="1" t="s">
        <v>1074</v>
      </c>
      <c r="L951" s="1" t="s">
        <v>2432</v>
      </c>
      <c r="M951" s="1">
        <v>81</v>
      </c>
      <c r="N951" s="1" t="s">
        <v>39</v>
      </c>
      <c r="O951" s="1">
        <v>40.530799999999999</v>
      </c>
      <c r="P951" s="1">
        <v>-80.631100000000004</v>
      </c>
      <c r="Q951" s="1" t="s">
        <v>2466</v>
      </c>
      <c r="R951" s="1" t="s">
        <v>120</v>
      </c>
      <c r="S951" s="1" t="s">
        <v>121</v>
      </c>
      <c r="T951" s="1" t="s">
        <v>89</v>
      </c>
      <c r="U951" s="1" t="s">
        <v>55</v>
      </c>
      <c r="W951" s="1" t="s">
        <v>241</v>
      </c>
      <c r="X951" s="1" t="s">
        <v>1516</v>
      </c>
      <c r="Y951" s="1" t="s">
        <v>58</v>
      </c>
      <c r="AA951" s="3">
        <v>24746</v>
      </c>
      <c r="AB951" s="1" t="s">
        <v>2467</v>
      </c>
      <c r="AC951" s="5">
        <v>3810</v>
      </c>
      <c r="AD951" s="1" t="s">
        <v>2468</v>
      </c>
      <c r="AE951" s="1" t="str">
        <f t="shared" si="71"/>
        <v>2866 5</v>
      </c>
      <c r="AF951" s="5" t="str">
        <f t="shared" si="74"/>
        <v>334.1</v>
      </c>
      <c r="AG951" s="1" t="str">
        <f t="shared" si="70"/>
        <v>Y</v>
      </c>
    </row>
    <row r="952" spans="1:33" x14ac:dyDescent="0.2">
      <c r="A952" s="1" t="s">
        <v>2430</v>
      </c>
      <c r="B952" s="1" t="s">
        <v>2463</v>
      </c>
      <c r="C952" s="1">
        <v>2866</v>
      </c>
      <c r="D952" s="1">
        <v>6</v>
      </c>
      <c r="E952" s="1" t="s">
        <v>2464</v>
      </c>
      <c r="F952" s="1">
        <v>2023</v>
      </c>
      <c r="G952" s="1" t="s">
        <v>1005</v>
      </c>
      <c r="H952" s="1" t="s">
        <v>2465</v>
      </c>
      <c r="I952" s="1">
        <v>5</v>
      </c>
      <c r="J952" s="1" t="s">
        <v>169</v>
      </c>
      <c r="K952" s="1" t="s">
        <v>1074</v>
      </c>
      <c r="L952" s="1" t="s">
        <v>2432</v>
      </c>
      <c r="M952" s="1">
        <v>81</v>
      </c>
      <c r="N952" s="1" t="s">
        <v>39</v>
      </c>
      <c r="O952" s="1">
        <v>40.530799999999999</v>
      </c>
      <c r="P952" s="1">
        <v>-80.631100000000004</v>
      </c>
      <c r="Q952" s="1" t="s">
        <v>2466</v>
      </c>
      <c r="R952" s="1" t="s">
        <v>120</v>
      </c>
      <c r="S952" s="1" t="s">
        <v>121</v>
      </c>
      <c r="T952" s="1" t="s">
        <v>89</v>
      </c>
      <c r="U952" s="1" t="s">
        <v>55</v>
      </c>
      <c r="W952" s="1" t="s">
        <v>241</v>
      </c>
      <c r="X952" s="1" t="s">
        <v>563</v>
      </c>
      <c r="Y952" s="1" t="s">
        <v>58</v>
      </c>
      <c r="AA952" s="3">
        <v>25204</v>
      </c>
      <c r="AB952" s="1" t="s">
        <v>2467</v>
      </c>
      <c r="AC952" s="5">
        <v>7300</v>
      </c>
      <c r="AD952" s="1" t="s">
        <v>2469</v>
      </c>
      <c r="AE952" s="1" t="str">
        <f t="shared" si="71"/>
        <v>2866 6</v>
      </c>
      <c r="AF952" s="5" t="str">
        <f t="shared" si="74"/>
        <v>680</v>
      </c>
      <c r="AG952" s="1" t="str">
        <f t="shared" si="70"/>
        <v>Y</v>
      </c>
    </row>
    <row r="953" spans="1:33" x14ac:dyDescent="0.2">
      <c r="A953" s="1" t="s">
        <v>2430</v>
      </c>
      <c r="B953" s="1" t="s">
        <v>2463</v>
      </c>
      <c r="C953" s="1">
        <v>2866</v>
      </c>
      <c r="D953" s="1">
        <v>7</v>
      </c>
      <c r="E953" s="1" t="s">
        <v>2464</v>
      </c>
      <c r="F953" s="1">
        <v>2023</v>
      </c>
      <c r="G953" s="1" t="s">
        <v>1005</v>
      </c>
      <c r="H953" s="1" t="s">
        <v>2465</v>
      </c>
      <c r="I953" s="1">
        <v>5</v>
      </c>
      <c r="J953" s="1" t="s">
        <v>169</v>
      </c>
      <c r="K953" s="1" t="s">
        <v>1074</v>
      </c>
      <c r="L953" s="1" t="s">
        <v>2432</v>
      </c>
      <c r="M953" s="1">
        <v>81</v>
      </c>
      <c r="N953" s="1" t="s">
        <v>39</v>
      </c>
      <c r="O953" s="1">
        <v>40.530799999999999</v>
      </c>
      <c r="P953" s="1">
        <v>-80.631100000000004</v>
      </c>
      <c r="Q953" s="1" t="s">
        <v>2466</v>
      </c>
      <c r="R953" s="1" t="s">
        <v>120</v>
      </c>
      <c r="S953" s="1" t="s">
        <v>85</v>
      </c>
      <c r="T953" s="1" t="s">
        <v>86</v>
      </c>
      <c r="U953" s="1" t="s">
        <v>55</v>
      </c>
      <c r="W953" s="1" t="s">
        <v>241</v>
      </c>
      <c r="X953" s="1" t="s">
        <v>1633</v>
      </c>
      <c r="Y953" s="1" t="s">
        <v>58</v>
      </c>
      <c r="AA953" s="3">
        <v>26115</v>
      </c>
      <c r="AB953" s="1" t="s">
        <v>2467</v>
      </c>
      <c r="AC953" s="5">
        <v>7400</v>
      </c>
      <c r="AD953" s="1" t="s">
        <v>2470</v>
      </c>
      <c r="AE953" s="1" t="str">
        <f t="shared" si="71"/>
        <v>2866 7</v>
      </c>
      <c r="AF953" s="5" t="str">
        <f t="shared" si="74"/>
        <v>680</v>
      </c>
      <c r="AG953" s="1" t="str">
        <f t="shared" si="70"/>
        <v>Y</v>
      </c>
    </row>
    <row r="954" spans="1:33" x14ac:dyDescent="0.2">
      <c r="A954" s="1" t="s">
        <v>2430</v>
      </c>
      <c r="B954" s="1" t="s">
        <v>2471</v>
      </c>
      <c r="C954" s="1">
        <v>2869</v>
      </c>
      <c r="D954" s="1">
        <v>2</v>
      </c>
      <c r="F954" s="1">
        <v>2023</v>
      </c>
      <c r="G954" s="1" t="s">
        <v>461</v>
      </c>
      <c r="H954" s="1" t="s">
        <v>2472</v>
      </c>
      <c r="I954" s="1">
        <v>5</v>
      </c>
      <c r="K954" s="1" t="s">
        <v>2473</v>
      </c>
      <c r="L954" s="1" t="s">
        <v>2474</v>
      </c>
      <c r="M954" s="1">
        <v>93</v>
      </c>
      <c r="N954" s="1" t="s">
        <v>39</v>
      </c>
      <c r="O954" s="1">
        <v>41.429699999999997</v>
      </c>
      <c r="P954" s="1">
        <v>-82.263300000000001</v>
      </c>
      <c r="Q954" s="1" t="s">
        <v>2475</v>
      </c>
      <c r="R954" s="1" t="s">
        <v>41</v>
      </c>
      <c r="T954" s="1" t="s">
        <v>93</v>
      </c>
      <c r="U954" s="1" t="s">
        <v>94</v>
      </c>
      <c r="V954" s="1" t="s">
        <v>44</v>
      </c>
      <c r="X954" s="1" t="s">
        <v>183</v>
      </c>
      <c r="AA954" s="3">
        <v>36942</v>
      </c>
      <c r="AB954" s="1" t="s">
        <v>46</v>
      </c>
      <c r="AC954" s="5">
        <v>1130</v>
      </c>
      <c r="AD954" s="1" t="s">
        <v>2476</v>
      </c>
      <c r="AE954" s="1" t="str">
        <f t="shared" si="71"/>
        <v>2869 2</v>
      </c>
      <c r="AF954" s="5" t="str">
        <f t="shared" si="74"/>
        <v>85</v>
      </c>
      <c r="AG954" s="1" t="str">
        <f t="shared" si="70"/>
        <v/>
      </c>
    </row>
    <row r="955" spans="1:33" x14ac:dyDescent="0.2">
      <c r="A955" s="1" t="s">
        <v>2430</v>
      </c>
      <c r="B955" s="1" t="s">
        <v>2471</v>
      </c>
      <c r="C955" s="1">
        <v>2869</v>
      </c>
      <c r="D955" s="1">
        <v>3</v>
      </c>
      <c r="F955" s="1">
        <v>2023</v>
      </c>
      <c r="G955" s="1" t="s">
        <v>461</v>
      </c>
      <c r="H955" s="1" t="s">
        <v>2472</v>
      </c>
      <c r="I955" s="1">
        <v>5</v>
      </c>
      <c r="K955" s="1" t="s">
        <v>2473</v>
      </c>
      <c r="L955" s="1" t="s">
        <v>2474</v>
      </c>
      <c r="M955" s="1">
        <v>93</v>
      </c>
      <c r="N955" s="1" t="s">
        <v>39</v>
      </c>
      <c r="O955" s="1">
        <v>41.429699999999997</v>
      </c>
      <c r="P955" s="1">
        <v>-82.263300000000001</v>
      </c>
      <c r="Q955" s="1" t="s">
        <v>2475</v>
      </c>
      <c r="R955" s="1" t="s">
        <v>41</v>
      </c>
      <c r="T955" s="1" t="s">
        <v>93</v>
      </c>
      <c r="U955" s="1" t="s">
        <v>94</v>
      </c>
      <c r="V955" s="1" t="s">
        <v>44</v>
      </c>
      <c r="X955" s="1" t="s">
        <v>183</v>
      </c>
      <c r="AA955" s="3">
        <v>36942</v>
      </c>
      <c r="AB955" s="1" t="s">
        <v>46</v>
      </c>
      <c r="AC955" s="5">
        <v>1140</v>
      </c>
      <c r="AD955" s="1" t="s">
        <v>2477</v>
      </c>
      <c r="AE955" s="1" t="str">
        <f t="shared" si="71"/>
        <v>2869 3</v>
      </c>
      <c r="AF955" s="5" t="str">
        <f t="shared" si="74"/>
        <v>85</v>
      </c>
      <c r="AG955" s="1" t="str">
        <f t="shared" si="70"/>
        <v/>
      </c>
    </row>
    <row r="956" spans="1:33" x14ac:dyDescent="0.2">
      <c r="A956" s="1" t="s">
        <v>2430</v>
      </c>
      <c r="B956" s="1" t="s">
        <v>2471</v>
      </c>
      <c r="C956" s="1">
        <v>2869</v>
      </c>
      <c r="D956" s="1">
        <v>4</v>
      </c>
      <c r="F956" s="1">
        <v>2023</v>
      </c>
      <c r="G956" s="1" t="s">
        <v>461</v>
      </c>
      <c r="H956" s="1" t="s">
        <v>2472</v>
      </c>
      <c r="I956" s="1">
        <v>5</v>
      </c>
      <c r="K956" s="1" t="s">
        <v>2473</v>
      </c>
      <c r="L956" s="1" t="s">
        <v>2474</v>
      </c>
      <c r="M956" s="1">
        <v>93</v>
      </c>
      <c r="N956" s="1" t="s">
        <v>39</v>
      </c>
      <c r="O956" s="1">
        <v>41.429699999999997</v>
      </c>
      <c r="P956" s="1">
        <v>-82.263300000000001</v>
      </c>
      <c r="Q956" s="1" t="s">
        <v>2475</v>
      </c>
      <c r="R956" s="1" t="s">
        <v>41</v>
      </c>
      <c r="T956" s="1" t="s">
        <v>93</v>
      </c>
      <c r="U956" s="1" t="s">
        <v>94</v>
      </c>
      <c r="V956" s="1" t="s">
        <v>44</v>
      </c>
      <c r="X956" s="1" t="s">
        <v>183</v>
      </c>
      <c r="AA956" s="3">
        <v>36942</v>
      </c>
      <c r="AB956" s="1" t="s">
        <v>46</v>
      </c>
      <c r="AC956" s="5">
        <v>1325</v>
      </c>
      <c r="AD956" s="1" t="s">
        <v>2478</v>
      </c>
      <c r="AE956" s="1" t="str">
        <f t="shared" si="71"/>
        <v>2869 4</v>
      </c>
      <c r="AF956" s="5" t="str">
        <f t="shared" si="74"/>
        <v>85</v>
      </c>
      <c r="AG956" s="1" t="str">
        <f t="shared" si="70"/>
        <v/>
      </c>
    </row>
    <row r="957" spans="1:33" x14ac:dyDescent="0.2">
      <c r="A957" s="1" t="s">
        <v>2430</v>
      </c>
      <c r="B957" s="1" t="s">
        <v>2471</v>
      </c>
      <c r="C957" s="1">
        <v>2869</v>
      </c>
      <c r="D957" s="1">
        <v>5</v>
      </c>
      <c r="F957" s="1">
        <v>2023</v>
      </c>
      <c r="G957" s="1" t="s">
        <v>461</v>
      </c>
      <c r="H957" s="1" t="s">
        <v>2472</v>
      </c>
      <c r="I957" s="1">
        <v>5</v>
      </c>
      <c r="K957" s="1" t="s">
        <v>2473</v>
      </c>
      <c r="L957" s="1" t="s">
        <v>2474</v>
      </c>
      <c r="M957" s="1">
        <v>93</v>
      </c>
      <c r="N957" s="1" t="s">
        <v>39</v>
      </c>
      <c r="O957" s="1">
        <v>41.429699999999997</v>
      </c>
      <c r="P957" s="1">
        <v>-82.263300000000001</v>
      </c>
      <c r="Q957" s="1" t="s">
        <v>2475</v>
      </c>
      <c r="R957" s="1" t="s">
        <v>41</v>
      </c>
      <c r="T957" s="1" t="s">
        <v>93</v>
      </c>
      <c r="U957" s="1" t="s">
        <v>94</v>
      </c>
      <c r="V957" s="1" t="s">
        <v>44</v>
      </c>
      <c r="X957" s="1" t="s">
        <v>183</v>
      </c>
      <c r="AA957" s="3">
        <v>36942</v>
      </c>
      <c r="AB957" s="1" t="s">
        <v>46</v>
      </c>
      <c r="AC957" s="5">
        <v>1100</v>
      </c>
      <c r="AD957" s="1" t="s">
        <v>1783</v>
      </c>
      <c r="AE957" s="1" t="str">
        <f t="shared" si="71"/>
        <v>2869 5</v>
      </c>
      <c r="AF957" s="5" t="str">
        <f t="shared" si="74"/>
        <v>85</v>
      </c>
      <c r="AG957" s="1" t="str">
        <f t="shared" si="70"/>
        <v/>
      </c>
    </row>
    <row r="958" spans="1:33" x14ac:dyDescent="0.2">
      <c r="A958" s="1" t="s">
        <v>2430</v>
      </c>
      <c r="B958" s="1" t="s">
        <v>2471</v>
      </c>
      <c r="C958" s="1">
        <v>2869</v>
      </c>
      <c r="D958" s="1">
        <v>6</v>
      </c>
      <c r="F958" s="1">
        <v>2023</v>
      </c>
      <c r="G958" s="1" t="s">
        <v>461</v>
      </c>
      <c r="H958" s="1" t="s">
        <v>2472</v>
      </c>
      <c r="I958" s="1">
        <v>5</v>
      </c>
      <c r="K958" s="1" t="s">
        <v>2473</v>
      </c>
      <c r="L958" s="1" t="s">
        <v>2474</v>
      </c>
      <c r="M958" s="1">
        <v>93</v>
      </c>
      <c r="N958" s="1" t="s">
        <v>39</v>
      </c>
      <c r="O958" s="1">
        <v>41.429699999999997</v>
      </c>
      <c r="P958" s="1">
        <v>-82.263300000000001</v>
      </c>
      <c r="Q958" s="1" t="s">
        <v>2475</v>
      </c>
      <c r="R958" s="1" t="s">
        <v>41</v>
      </c>
      <c r="T958" s="1" t="s">
        <v>93</v>
      </c>
      <c r="U958" s="1" t="s">
        <v>94</v>
      </c>
      <c r="V958" s="1" t="s">
        <v>44</v>
      </c>
      <c r="X958" s="1" t="s">
        <v>183</v>
      </c>
      <c r="AA958" s="3">
        <v>36942</v>
      </c>
      <c r="AB958" s="1" t="s">
        <v>46</v>
      </c>
      <c r="AC958" s="5">
        <v>1110</v>
      </c>
      <c r="AD958" s="1" t="s">
        <v>2479</v>
      </c>
      <c r="AE958" s="1" t="str">
        <f t="shared" si="71"/>
        <v>2869 6</v>
      </c>
      <c r="AF958" s="5" t="str">
        <f t="shared" si="74"/>
        <v>85</v>
      </c>
      <c r="AG958" s="1" t="str">
        <f t="shared" si="70"/>
        <v/>
      </c>
    </row>
    <row r="959" spans="1:33" x14ac:dyDescent="0.2">
      <c r="A959" s="1" t="s">
        <v>2430</v>
      </c>
      <c r="B959" s="1" t="s">
        <v>2471</v>
      </c>
      <c r="C959" s="1">
        <v>2869</v>
      </c>
      <c r="D959" s="1" t="s">
        <v>372</v>
      </c>
      <c r="F959" s="1">
        <v>2023</v>
      </c>
      <c r="G959" s="1" t="s">
        <v>1020</v>
      </c>
      <c r="H959" s="1" t="s">
        <v>2472</v>
      </c>
      <c r="I959" s="1">
        <v>5</v>
      </c>
      <c r="K959" s="1" t="s">
        <v>2473</v>
      </c>
      <c r="L959" s="1" t="s">
        <v>2474</v>
      </c>
      <c r="M959" s="1">
        <v>93</v>
      </c>
      <c r="N959" s="1" t="s">
        <v>39</v>
      </c>
      <c r="O959" s="1">
        <v>41.429699999999997</v>
      </c>
      <c r="P959" s="1">
        <v>-82.263300000000001</v>
      </c>
      <c r="Q959" s="1" t="s">
        <v>2475</v>
      </c>
      <c r="T959" s="1" t="s">
        <v>93</v>
      </c>
      <c r="U959" s="1" t="s">
        <v>94</v>
      </c>
      <c r="AA959" s="3">
        <v>26785</v>
      </c>
      <c r="AB959" s="1" t="s">
        <v>46</v>
      </c>
      <c r="AC959" s="5">
        <v>1050</v>
      </c>
      <c r="AD959" s="1" t="s">
        <v>2480</v>
      </c>
      <c r="AE959" s="1" t="str">
        <f t="shared" si="71"/>
        <v>2869 1A</v>
      </c>
      <c r="AF959" s="5" t="str">
        <f t="shared" si="74"/>
        <v>65.3</v>
      </c>
      <c r="AG959" s="1" t="str">
        <f t="shared" si="70"/>
        <v/>
      </c>
    </row>
    <row r="960" spans="1:33" x14ac:dyDescent="0.2">
      <c r="A960" s="1" t="s">
        <v>2430</v>
      </c>
      <c r="B960" s="1" t="s">
        <v>2471</v>
      </c>
      <c r="C960" s="1">
        <v>2869</v>
      </c>
      <c r="D960" s="1" t="s">
        <v>1199</v>
      </c>
      <c r="F960" s="1">
        <v>2023</v>
      </c>
      <c r="G960" s="1" t="s">
        <v>1020</v>
      </c>
      <c r="H960" s="1" t="s">
        <v>2472</v>
      </c>
      <c r="I960" s="1">
        <v>5</v>
      </c>
      <c r="K960" s="1" t="s">
        <v>2473</v>
      </c>
      <c r="L960" s="1" t="s">
        <v>2474</v>
      </c>
      <c r="M960" s="1">
        <v>93</v>
      </c>
      <c r="N960" s="1" t="s">
        <v>39</v>
      </c>
      <c r="O960" s="1">
        <v>41.429699999999997</v>
      </c>
      <c r="P960" s="1">
        <v>-82.263300000000001</v>
      </c>
      <c r="Q960" s="1" t="s">
        <v>2475</v>
      </c>
      <c r="T960" s="1" t="s">
        <v>93</v>
      </c>
      <c r="U960" s="1" t="s">
        <v>94</v>
      </c>
      <c r="AA960" s="3">
        <v>26785</v>
      </c>
      <c r="AB960" s="1" t="s">
        <v>46</v>
      </c>
      <c r="AC960" s="5">
        <v>1050</v>
      </c>
      <c r="AD960" s="1" t="s">
        <v>2481</v>
      </c>
      <c r="AE960" s="1" t="str">
        <f t="shared" si="71"/>
        <v>2869 1B</v>
      </c>
      <c r="AF960" s="5" t="str">
        <f t="shared" si="74"/>
        <v>65.3</v>
      </c>
      <c r="AG960" s="1" t="str">
        <f t="shared" si="70"/>
        <v/>
      </c>
    </row>
    <row r="961" spans="1:33" x14ac:dyDescent="0.2">
      <c r="A961" s="1" t="s">
        <v>2430</v>
      </c>
      <c r="B961" s="1" t="s">
        <v>2482</v>
      </c>
      <c r="C961" s="1">
        <v>2876</v>
      </c>
      <c r="D961" s="1">
        <v>1</v>
      </c>
      <c r="E961" s="1" t="s">
        <v>1177</v>
      </c>
      <c r="F961" s="1">
        <v>2023</v>
      </c>
      <c r="G961" s="1" t="s">
        <v>1005</v>
      </c>
      <c r="H961" s="1">
        <v>606502</v>
      </c>
      <c r="I961" s="1">
        <v>5</v>
      </c>
      <c r="J961" s="1" t="s">
        <v>169</v>
      </c>
      <c r="K961" s="1" t="s">
        <v>2483</v>
      </c>
      <c r="L961" s="1" t="s">
        <v>2484</v>
      </c>
      <c r="M961" s="1">
        <v>53</v>
      </c>
      <c r="N961" s="1" t="s">
        <v>39</v>
      </c>
      <c r="O961" s="1">
        <v>38.9161</v>
      </c>
      <c r="P961" s="1">
        <v>-82.128100000000003</v>
      </c>
      <c r="Q961" s="1" t="s">
        <v>2485</v>
      </c>
      <c r="R961" s="1" t="s">
        <v>120</v>
      </c>
      <c r="S961" s="1" t="s">
        <v>85</v>
      </c>
      <c r="T961" s="1" t="s">
        <v>1059</v>
      </c>
      <c r="U961" s="1" t="s">
        <v>55</v>
      </c>
      <c r="W961" s="1" t="s">
        <v>1077</v>
      </c>
      <c r="X961" s="1" t="s">
        <v>1010</v>
      </c>
      <c r="Y961" s="1" t="s">
        <v>331</v>
      </c>
      <c r="AA961" s="3">
        <v>20135</v>
      </c>
      <c r="AB961" s="1" t="s">
        <v>46</v>
      </c>
      <c r="AC961" s="5">
        <v>2629.6</v>
      </c>
      <c r="AD961" s="1" t="s">
        <v>1078</v>
      </c>
      <c r="AE961" s="1" t="str">
        <f t="shared" si="71"/>
        <v>2876 1</v>
      </c>
      <c r="AF961" s="5" t="str">
        <f t="shared" si="74"/>
        <v>217.3</v>
      </c>
      <c r="AG961" s="1" t="str">
        <f t="shared" si="70"/>
        <v>Y</v>
      </c>
    </row>
    <row r="962" spans="1:33" x14ac:dyDescent="0.2">
      <c r="A962" s="1" t="s">
        <v>2430</v>
      </c>
      <c r="B962" s="1" t="s">
        <v>2482</v>
      </c>
      <c r="C962" s="1">
        <v>2876</v>
      </c>
      <c r="D962" s="1">
        <v>2</v>
      </c>
      <c r="E962" s="1" t="s">
        <v>1177</v>
      </c>
      <c r="F962" s="1">
        <v>2023</v>
      </c>
      <c r="G962" s="1" t="s">
        <v>1005</v>
      </c>
      <c r="H962" s="1">
        <v>606502</v>
      </c>
      <c r="I962" s="1">
        <v>5</v>
      </c>
      <c r="J962" s="1" t="s">
        <v>169</v>
      </c>
      <c r="K962" s="1" t="s">
        <v>2483</v>
      </c>
      <c r="L962" s="1" t="s">
        <v>2484</v>
      </c>
      <c r="M962" s="1">
        <v>53</v>
      </c>
      <c r="N962" s="1" t="s">
        <v>39</v>
      </c>
      <c r="O962" s="1">
        <v>38.9161</v>
      </c>
      <c r="P962" s="1">
        <v>-82.128100000000003</v>
      </c>
      <c r="Q962" s="1" t="s">
        <v>2485</v>
      </c>
      <c r="R962" s="1" t="s">
        <v>120</v>
      </c>
      <c r="S962" s="1" t="s">
        <v>85</v>
      </c>
      <c r="T962" s="1" t="s">
        <v>1059</v>
      </c>
      <c r="U962" s="1" t="s">
        <v>55</v>
      </c>
      <c r="W962" s="1" t="s">
        <v>1077</v>
      </c>
      <c r="X962" s="1" t="s">
        <v>1010</v>
      </c>
      <c r="Y962" s="1" t="s">
        <v>331</v>
      </c>
      <c r="AA962" s="3">
        <v>20264</v>
      </c>
      <c r="AB962" s="1" t="s">
        <v>46</v>
      </c>
      <c r="AC962" s="5">
        <v>2629.6</v>
      </c>
      <c r="AD962" s="1" t="s">
        <v>1079</v>
      </c>
      <c r="AE962" s="1" t="str">
        <f t="shared" si="71"/>
        <v>2876 2</v>
      </c>
      <c r="AF962" s="5" t="str">
        <f t="shared" si="74"/>
        <v>217.3</v>
      </c>
      <c r="AG962" s="1" t="str">
        <f t="shared" ref="AG962:AG1025" si="75">IF(ISNUMBER(SEARCH("selective", X962)), "Y", "")</f>
        <v>Y</v>
      </c>
    </row>
    <row r="963" spans="1:33" x14ac:dyDescent="0.2">
      <c r="A963" s="1" t="s">
        <v>2430</v>
      </c>
      <c r="B963" s="1" t="s">
        <v>2482</v>
      </c>
      <c r="C963" s="1">
        <v>2876</v>
      </c>
      <c r="D963" s="1">
        <v>3</v>
      </c>
      <c r="E963" s="1" t="s">
        <v>2486</v>
      </c>
      <c r="F963" s="1">
        <v>2023</v>
      </c>
      <c r="G963" s="1" t="s">
        <v>1005</v>
      </c>
      <c r="H963" s="1">
        <v>606502</v>
      </c>
      <c r="I963" s="1">
        <v>5</v>
      </c>
      <c r="J963" s="1" t="s">
        <v>169</v>
      </c>
      <c r="K963" s="1" t="s">
        <v>2483</v>
      </c>
      <c r="L963" s="1" t="s">
        <v>2484</v>
      </c>
      <c r="M963" s="1">
        <v>53</v>
      </c>
      <c r="N963" s="1" t="s">
        <v>39</v>
      </c>
      <c r="O963" s="1">
        <v>38.9161</v>
      </c>
      <c r="P963" s="1">
        <v>-82.128100000000003</v>
      </c>
      <c r="Q963" s="1" t="s">
        <v>2485</v>
      </c>
      <c r="R963" s="1" t="s">
        <v>120</v>
      </c>
      <c r="S963" s="1" t="s">
        <v>85</v>
      </c>
      <c r="T963" s="1" t="s">
        <v>1059</v>
      </c>
      <c r="U963" s="1" t="s">
        <v>55</v>
      </c>
      <c r="W963" s="1" t="s">
        <v>1077</v>
      </c>
      <c r="X963" s="1" t="s">
        <v>1010</v>
      </c>
      <c r="Y963" s="1" t="s">
        <v>331</v>
      </c>
      <c r="AA963" s="3">
        <v>20333</v>
      </c>
      <c r="AB963" s="1" t="s">
        <v>46</v>
      </c>
      <c r="AC963" s="5">
        <v>2629.6</v>
      </c>
      <c r="AD963" s="1" t="s">
        <v>1080</v>
      </c>
      <c r="AE963" s="1" t="str">
        <f t="shared" ref="AE963:AE1026" si="76">C963&amp;" "&amp;D963</f>
        <v>2876 3</v>
      </c>
      <c r="AF963" s="5" t="str">
        <f t="shared" si="74"/>
        <v>217.3</v>
      </c>
      <c r="AG963" s="1" t="str">
        <f t="shared" si="75"/>
        <v>Y</v>
      </c>
    </row>
    <row r="964" spans="1:33" x14ac:dyDescent="0.2">
      <c r="A964" s="1" t="s">
        <v>2430</v>
      </c>
      <c r="B964" s="1" t="s">
        <v>2482</v>
      </c>
      <c r="C964" s="1">
        <v>2876</v>
      </c>
      <c r="D964" s="1">
        <v>4</v>
      </c>
      <c r="E964" s="1" t="s">
        <v>2486</v>
      </c>
      <c r="F964" s="1">
        <v>2023</v>
      </c>
      <c r="G964" s="1" t="s">
        <v>1005</v>
      </c>
      <c r="H964" s="1">
        <v>606502</v>
      </c>
      <c r="I964" s="1">
        <v>5</v>
      </c>
      <c r="J964" s="1" t="s">
        <v>169</v>
      </c>
      <c r="K964" s="1" t="s">
        <v>2483</v>
      </c>
      <c r="L964" s="1" t="s">
        <v>2484</v>
      </c>
      <c r="M964" s="1">
        <v>53</v>
      </c>
      <c r="N964" s="1" t="s">
        <v>39</v>
      </c>
      <c r="O964" s="1">
        <v>38.9161</v>
      </c>
      <c r="P964" s="1">
        <v>-82.128100000000003</v>
      </c>
      <c r="Q964" s="1" t="s">
        <v>2485</v>
      </c>
      <c r="R964" s="1" t="s">
        <v>120</v>
      </c>
      <c r="S964" s="1" t="s">
        <v>85</v>
      </c>
      <c r="T964" s="1" t="s">
        <v>1059</v>
      </c>
      <c r="U964" s="1" t="s">
        <v>55</v>
      </c>
      <c r="W964" s="1" t="s">
        <v>1077</v>
      </c>
      <c r="X964" s="1" t="s">
        <v>1010</v>
      </c>
      <c r="Y964" s="1" t="s">
        <v>331</v>
      </c>
      <c r="AA964" s="3">
        <v>20408</v>
      </c>
      <c r="AB964" s="1" t="s">
        <v>46</v>
      </c>
      <c r="AC964" s="5">
        <v>2629.6</v>
      </c>
      <c r="AD964" s="1" t="s">
        <v>1082</v>
      </c>
      <c r="AE964" s="1" t="str">
        <f t="shared" si="76"/>
        <v>2876 4</v>
      </c>
      <c r="AF964" s="5" t="str">
        <f t="shared" si="74"/>
        <v>217.3</v>
      </c>
      <c r="AG964" s="1" t="str">
        <f t="shared" si="75"/>
        <v>Y</v>
      </c>
    </row>
    <row r="965" spans="1:33" x14ac:dyDescent="0.2">
      <c r="A965" s="1" t="s">
        <v>2430</v>
      </c>
      <c r="B965" s="1" t="s">
        <v>2482</v>
      </c>
      <c r="C965" s="1">
        <v>2876</v>
      </c>
      <c r="D965" s="1">
        <v>5</v>
      </c>
      <c r="E965" s="1" t="s">
        <v>2486</v>
      </c>
      <c r="F965" s="1">
        <v>2023</v>
      </c>
      <c r="G965" s="1" t="s">
        <v>1005</v>
      </c>
      <c r="H965" s="1">
        <v>606502</v>
      </c>
      <c r="I965" s="1">
        <v>5</v>
      </c>
      <c r="J965" s="1" t="s">
        <v>169</v>
      </c>
      <c r="K965" s="1" t="s">
        <v>2483</v>
      </c>
      <c r="L965" s="1" t="s">
        <v>2484</v>
      </c>
      <c r="M965" s="1">
        <v>53</v>
      </c>
      <c r="N965" s="1" t="s">
        <v>39</v>
      </c>
      <c r="O965" s="1">
        <v>38.9161</v>
      </c>
      <c r="P965" s="1">
        <v>-82.128100000000003</v>
      </c>
      <c r="Q965" s="1" t="s">
        <v>2485</v>
      </c>
      <c r="R965" s="1" t="s">
        <v>120</v>
      </c>
      <c r="S965" s="1" t="s">
        <v>85</v>
      </c>
      <c r="T965" s="1" t="s">
        <v>1059</v>
      </c>
      <c r="U965" s="1" t="s">
        <v>55</v>
      </c>
      <c r="W965" s="1" t="s">
        <v>1077</v>
      </c>
      <c r="X965" s="1" t="s">
        <v>1010</v>
      </c>
      <c r="Y965" s="1" t="s">
        <v>331</v>
      </c>
      <c r="AA965" s="3">
        <v>20445</v>
      </c>
      <c r="AB965" s="1" t="s">
        <v>46</v>
      </c>
      <c r="AC965" s="5">
        <v>2629.6</v>
      </c>
      <c r="AD965" s="1" t="s">
        <v>1083</v>
      </c>
      <c r="AE965" s="1" t="str">
        <f t="shared" si="76"/>
        <v>2876 5</v>
      </c>
      <c r="AF965" s="5" t="str">
        <f t="shared" si="74"/>
        <v>217.3</v>
      </c>
      <c r="AG965" s="1" t="str">
        <f t="shared" si="75"/>
        <v>Y</v>
      </c>
    </row>
    <row r="966" spans="1:33" x14ac:dyDescent="0.2">
      <c r="A966" s="1" t="s">
        <v>2430</v>
      </c>
      <c r="B966" s="1" t="s">
        <v>2487</v>
      </c>
      <c r="C966" s="1">
        <v>2878</v>
      </c>
      <c r="D966" s="1">
        <v>1</v>
      </c>
      <c r="F966" s="1">
        <v>2023</v>
      </c>
      <c r="G966" s="1" t="s">
        <v>1005</v>
      </c>
      <c r="H966" s="1" t="s">
        <v>2488</v>
      </c>
      <c r="I966" s="1">
        <v>5</v>
      </c>
      <c r="K966" s="1" t="s">
        <v>2489</v>
      </c>
      <c r="L966" s="1" t="s">
        <v>2490</v>
      </c>
      <c r="M966" s="1">
        <v>95</v>
      </c>
      <c r="N966" s="1" t="s">
        <v>39</v>
      </c>
      <c r="O966" s="1">
        <v>41.692500000000003</v>
      </c>
      <c r="P966" s="1">
        <v>-83.4375</v>
      </c>
      <c r="Q966" s="1" t="s">
        <v>2491</v>
      </c>
      <c r="R966" s="1" t="s">
        <v>41</v>
      </c>
      <c r="S966" s="1" t="s">
        <v>42</v>
      </c>
      <c r="T966" s="1" t="s">
        <v>885</v>
      </c>
      <c r="U966" s="1" t="s">
        <v>2492</v>
      </c>
      <c r="V966" s="1" t="s">
        <v>55</v>
      </c>
      <c r="W966" s="1" t="s">
        <v>212</v>
      </c>
      <c r="X966" s="1" t="s">
        <v>220</v>
      </c>
      <c r="Y966" s="1" t="s">
        <v>232</v>
      </c>
      <c r="Z966" s="1" t="s">
        <v>214</v>
      </c>
      <c r="AA966" s="3">
        <v>20302</v>
      </c>
      <c r="AB966" s="1" t="s">
        <v>46</v>
      </c>
      <c r="AC966" s="5">
        <v>2259.5</v>
      </c>
      <c r="AD966" s="1" t="s">
        <v>2493</v>
      </c>
      <c r="AE966" s="1" t="str">
        <f t="shared" si="76"/>
        <v>2878 1</v>
      </c>
      <c r="AF966" s="5" t="str">
        <f t="shared" si="74"/>
        <v>140.6</v>
      </c>
      <c r="AG966" s="1" t="str">
        <f t="shared" si="75"/>
        <v/>
      </c>
    </row>
    <row r="967" spans="1:33" x14ac:dyDescent="0.2">
      <c r="A967" s="1" t="s">
        <v>2430</v>
      </c>
      <c r="B967" s="1" t="s">
        <v>2494</v>
      </c>
      <c r="C967" s="1">
        <v>2880</v>
      </c>
      <c r="D967" s="1" t="s">
        <v>2495</v>
      </c>
      <c r="F967" s="1">
        <v>2023</v>
      </c>
      <c r="G967" s="1" t="s">
        <v>461</v>
      </c>
      <c r="H967" s="1">
        <v>603383</v>
      </c>
      <c r="I967" s="1">
        <v>5</v>
      </c>
      <c r="K967" s="1" t="s">
        <v>2496</v>
      </c>
      <c r="L967" s="1" t="s">
        <v>2497</v>
      </c>
      <c r="M967" s="1">
        <v>39</v>
      </c>
      <c r="N967" s="1" t="s">
        <v>39</v>
      </c>
      <c r="O967" s="1">
        <v>41.3033</v>
      </c>
      <c r="P967" s="1">
        <v>-84.3386</v>
      </c>
      <c r="Q967" s="1" t="s">
        <v>2498</v>
      </c>
      <c r="R967" s="1" t="s">
        <v>41</v>
      </c>
      <c r="T967" s="1" t="s">
        <v>93</v>
      </c>
      <c r="U967" s="1" t="s">
        <v>44</v>
      </c>
      <c r="X967" s="1" t="s">
        <v>95</v>
      </c>
      <c r="AA967" s="3">
        <v>36595</v>
      </c>
      <c r="AB967" s="1" t="s">
        <v>46</v>
      </c>
      <c r="AC967" s="5">
        <v>1673</v>
      </c>
      <c r="AD967" s="1" t="s">
        <v>2499</v>
      </c>
      <c r="AE967" s="1" t="str">
        <f t="shared" si="76"/>
        <v>2880 CTG4</v>
      </c>
      <c r="AF967" s="5" t="str">
        <f t="shared" si="74"/>
        <v>130</v>
      </c>
      <c r="AG967" s="1" t="str">
        <f t="shared" si="75"/>
        <v/>
      </c>
    </row>
    <row r="968" spans="1:33" x14ac:dyDescent="0.2">
      <c r="A968" s="1" t="s">
        <v>2430</v>
      </c>
      <c r="B968" s="1" t="s">
        <v>2494</v>
      </c>
      <c r="C968" s="1">
        <v>2880</v>
      </c>
      <c r="D968" s="1" t="s">
        <v>2500</v>
      </c>
      <c r="F968" s="1">
        <v>2023</v>
      </c>
      <c r="G968" s="1" t="s">
        <v>461</v>
      </c>
      <c r="H968" s="1">
        <v>603383</v>
      </c>
      <c r="I968" s="1">
        <v>5</v>
      </c>
      <c r="K968" s="1" t="s">
        <v>2496</v>
      </c>
      <c r="L968" s="1" t="s">
        <v>2497</v>
      </c>
      <c r="M968" s="1">
        <v>39</v>
      </c>
      <c r="N968" s="1" t="s">
        <v>39</v>
      </c>
      <c r="O968" s="1">
        <v>41.3033</v>
      </c>
      <c r="P968" s="1">
        <v>-84.3386</v>
      </c>
      <c r="Q968" s="1" t="s">
        <v>2498</v>
      </c>
      <c r="R968" s="1" t="s">
        <v>41</v>
      </c>
      <c r="T968" s="1" t="s">
        <v>93</v>
      </c>
      <c r="U968" s="1" t="s">
        <v>44</v>
      </c>
      <c r="X968" s="1" t="s">
        <v>95</v>
      </c>
      <c r="AA968" s="3">
        <v>36653</v>
      </c>
      <c r="AB968" s="1" t="s">
        <v>46</v>
      </c>
      <c r="AC968" s="5">
        <v>1673</v>
      </c>
      <c r="AD968" s="1" t="s">
        <v>2501</v>
      </c>
      <c r="AE968" s="1" t="str">
        <f t="shared" si="76"/>
        <v>2880 CTG5</v>
      </c>
      <c r="AF968" s="5" t="str">
        <f t="shared" si="74"/>
        <v>130</v>
      </c>
      <c r="AG968" s="1" t="str">
        <f t="shared" si="75"/>
        <v/>
      </c>
    </row>
    <row r="969" spans="1:33" x14ac:dyDescent="0.2">
      <c r="A969" s="1" t="s">
        <v>2430</v>
      </c>
      <c r="B969" s="1" t="s">
        <v>2494</v>
      </c>
      <c r="C969" s="1">
        <v>2880</v>
      </c>
      <c r="D969" s="1" t="s">
        <v>2502</v>
      </c>
      <c r="F969" s="1">
        <v>2023</v>
      </c>
      <c r="G969" s="1" t="s">
        <v>461</v>
      </c>
      <c r="H969" s="1">
        <v>603383</v>
      </c>
      <c r="I969" s="1">
        <v>5</v>
      </c>
      <c r="K969" s="1" t="s">
        <v>2496</v>
      </c>
      <c r="L969" s="1" t="s">
        <v>2497</v>
      </c>
      <c r="M969" s="1">
        <v>39</v>
      </c>
      <c r="N969" s="1" t="s">
        <v>39</v>
      </c>
      <c r="O969" s="1">
        <v>41.3033</v>
      </c>
      <c r="P969" s="1">
        <v>-84.3386</v>
      </c>
      <c r="Q969" s="1" t="s">
        <v>2498</v>
      </c>
      <c r="R969" s="1" t="s">
        <v>41</v>
      </c>
      <c r="T969" s="1" t="s">
        <v>93</v>
      </c>
      <c r="U969" s="1" t="s">
        <v>44</v>
      </c>
      <c r="X969" s="1" t="s">
        <v>95</v>
      </c>
      <c r="AA969" s="3">
        <v>36595</v>
      </c>
      <c r="AB969" s="1" t="s">
        <v>46</v>
      </c>
      <c r="AC969" s="5">
        <v>1673</v>
      </c>
      <c r="AD969" s="1" t="s">
        <v>2503</v>
      </c>
      <c r="AE969" s="1" t="str">
        <f t="shared" si="76"/>
        <v>2880 CTG6</v>
      </c>
      <c r="AF969" s="5" t="str">
        <f t="shared" si="74"/>
        <v>130</v>
      </c>
      <c r="AG969" s="1" t="str">
        <f t="shared" si="75"/>
        <v/>
      </c>
    </row>
    <row r="970" spans="1:33" x14ac:dyDescent="0.2">
      <c r="A970" s="1" t="s">
        <v>335</v>
      </c>
      <c r="B970" s="1" t="s">
        <v>2504</v>
      </c>
      <c r="C970" s="1">
        <v>2951</v>
      </c>
      <c r="D970" s="1">
        <v>6</v>
      </c>
      <c r="F970" s="1">
        <v>2023</v>
      </c>
      <c r="G970" s="1" t="s">
        <v>346</v>
      </c>
      <c r="H970" s="1">
        <v>603925</v>
      </c>
      <c r="I970" s="1">
        <v>6</v>
      </c>
      <c r="J970" s="1" t="s">
        <v>228</v>
      </c>
      <c r="K970" s="1" t="s">
        <v>2505</v>
      </c>
      <c r="L970" s="1" t="s">
        <v>2506</v>
      </c>
      <c r="M970" s="1">
        <v>109</v>
      </c>
      <c r="N970" s="1" t="s">
        <v>39</v>
      </c>
      <c r="O970" s="1">
        <v>35.508899999999997</v>
      </c>
      <c r="P970" s="1">
        <v>-97.178899999999999</v>
      </c>
      <c r="Q970" s="1" t="s">
        <v>2507</v>
      </c>
      <c r="R970" s="1" t="s">
        <v>41</v>
      </c>
      <c r="T970" s="1" t="s">
        <v>89</v>
      </c>
      <c r="U970" s="1" t="s">
        <v>44</v>
      </c>
      <c r="V970" s="1" t="s">
        <v>173</v>
      </c>
      <c r="AA970" s="3">
        <v>21297</v>
      </c>
      <c r="AB970" s="1" t="s">
        <v>46</v>
      </c>
      <c r="AC970" s="5">
        <v>2212</v>
      </c>
      <c r="AD970" s="1" t="s">
        <v>2508</v>
      </c>
      <c r="AE970" s="1" t="str">
        <f t="shared" si="76"/>
        <v>2951 6</v>
      </c>
      <c r="AF970" s="5" t="str">
        <f t="shared" si="74"/>
        <v>163</v>
      </c>
      <c r="AG970" s="1" t="str">
        <f t="shared" si="75"/>
        <v/>
      </c>
    </row>
    <row r="971" spans="1:33" x14ac:dyDescent="0.2">
      <c r="A971" s="1" t="s">
        <v>335</v>
      </c>
      <c r="B971" s="1" t="s">
        <v>2504</v>
      </c>
      <c r="C971" s="1">
        <v>2951</v>
      </c>
      <c r="D971" s="1">
        <v>7</v>
      </c>
      <c r="F971" s="1">
        <v>2023</v>
      </c>
      <c r="G971" s="1" t="s">
        <v>346</v>
      </c>
      <c r="H971" s="1">
        <v>603925</v>
      </c>
      <c r="I971" s="1">
        <v>6</v>
      </c>
      <c r="J971" s="1" t="s">
        <v>228</v>
      </c>
      <c r="K971" s="1" t="s">
        <v>2505</v>
      </c>
      <c r="L971" s="1" t="s">
        <v>2506</v>
      </c>
      <c r="M971" s="1">
        <v>109</v>
      </c>
      <c r="N971" s="1" t="s">
        <v>39</v>
      </c>
      <c r="O971" s="1">
        <v>35.508899999999997</v>
      </c>
      <c r="P971" s="1">
        <v>-97.178899999999999</v>
      </c>
      <c r="Q971" s="1" t="s">
        <v>2507</v>
      </c>
      <c r="R971" s="1" t="s">
        <v>41</v>
      </c>
      <c r="T971" s="1" t="s">
        <v>71</v>
      </c>
      <c r="U971" s="1" t="s">
        <v>44</v>
      </c>
      <c r="V971" s="1" t="s">
        <v>173</v>
      </c>
      <c r="AA971" s="3">
        <v>23174</v>
      </c>
      <c r="AB971" s="1" t="s">
        <v>46</v>
      </c>
      <c r="AC971" s="5">
        <v>3360</v>
      </c>
      <c r="AD971" s="1" t="s">
        <v>2509</v>
      </c>
      <c r="AE971" s="1" t="str">
        <f t="shared" si="76"/>
        <v>2951 7</v>
      </c>
      <c r="AF971" s="14">
        <f>MID(AD971,FIND("(",AD971)+1,FIND(")",AD971)-FIND("(",AD971)-1)+219</f>
        <v>246</v>
      </c>
      <c r="AG971" s="1" t="str">
        <f t="shared" si="75"/>
        <v/>
      </c>
    </row>
    <row r="972" spans="1:33" x14ac:dyDescent="0.2">
      <c r="A972" s="1" t="s">
        <v>335</v>
      </c>
      <c r="B972" s="1" t="s">
        <v>2504</v>
      </c>
      <c r="C972" s="1">
        <v>2951</v>
      </c>
      <c r="D972" s="1">
        <v>8</v>
      </c>
      <c r="F972" s="1">
        <v>2023</v>
      </c>
      <c r="G972" s="1" t="s">
        <v>346</v>
      </c>
      <c r="H972" s="1">
        <v>603925</v>
      </c>
      <c r="I972" s="1">
        <v>6</v>
      </c>
      <c r="J972" s="1" t="s">
        <v>228</v>
      </c>
      <c r="K972" s="1" t="s">
        <v>2505</v>
      </c>
      <c r="L972" s="1" t="s">
        <v>2506</v>
      </c>
      <c r="M972" s="1">
        <v>109</v>
      </c>
      <c r="N972" s="1" t="s">
        <v>39</v>
      </c>
      <c r="O972" s="1">
        <v>35.508899999999997</v>
      </c>
      <c r="P972" s="1">
        <v>-97.178899999999999</v>
      </c>
      <c r="Q972" s="1" t="s">
        <v>2507</v>
      </c>
      <c r="R972" s="1" t="s">
        <v>41</v>
      </c>
      <c r="T972" s="1" t="s">
        <v>43</v>
      </c>
      <c r="U972" s="1" t="s">
        <v>44</v>
      </c>
      <c r="AA972" s="3">
        <v>25366</v>
      </c>
      <c r="AB972" s="1" t="s">
        <v>46</v>
      </c>
      <c r="AC972" s="5">
        <v>5201</v>
      </c>
      <c r="AD972" s="1" t="s">
        <v>2510</v>
      </c>
      <c r="AE972" s="1" t="str">
        <f t="shared" si="76"/>
        <v>2951 8</v>
      </c>
      <c r="AF972" s="5" t="str">
        <f t="shared" ref="AF972:AF989" si="77">MID(AD972,FIND("(",AD972)+1,FIND(")",AD972)-FIND("(",AD972)-1)</f>
        <v>442</v>
      </c>
      <c r="AG972" s="1" t="str">
        <f t="shared" si="75"/>
        <v/>
      </c>
    </row>
    <row r="973" spans="1:33" x14ac:dyDescent="0.2">
      <c r="A973" s="1" t="s">
        <v>335</v>
      </c>
      <c r="B973" s="1" t="s">
        <v>2504</v>
      </c>
      <c r="C973" s="1">
        <v>2951</v>
      </c>
      <c r="D973" s="1">
        <v>9</v>
      </c>
      <c r="F973" s="1">
        <v>2023</v>
      </c>
      <c r="G973" s="1" t="s">
        <v>346</v>
      </c>
      <c r="H973" s="1">
        <v>603925</v>
      </c>
      <c r="I973" s="1">
        <v>6</v>
      </c>
      <c r="J973" s="1" t="s">
        <v>228</v>
      </c>
      <c r="K973" s="1" t="s">
        <v>2505</v>
      </c>
      <c r="L973" s="1" t="s">
        <v>2506</v>
      </c>
      <c r="M973" s="1">
        <v>109</v>
      </c>
      <c r="N973" s="1" t="s">
        <v>39</v>
      </c>
      <c r="O973" s="1">
        <v>35.508899999999997</v>
      </c>
      <c r="P973" s="1">
        <v>-97.178899999999999</v>
      </c>
      <c r="Q973" s="1" t="s">
        <v>2507</v>
      </c>
      <c r="R973" s="1" t="s">
        <v>41</v>
      </c>
      <c r="T973" s="1" t="s">
        <v>93</v>
      </c>
      <c r="U973" s="1" t="s">
        <v>44</v>
      </c>
      <c r="X973" s="1" t="s">
        <v>95</v>
      </c>
      <c r="AA973" s="3">
        <v>36692</v>
      </c>
      <c r="AB973" s="1" t="s">
        <v>46</v>
      </c>
      <c r="AC973" s="5">
        <v>550</v>
      </c>
      <c r="AD973" s="1" t="s">
        <v>2511</v>
      </c>
      <c r="AE973" s="1" t="str">
        <f t="shared" si="76"/>
        <v>2951 9</v>
      </c>
      <c r="AF973" s="5" t="str">
        <f t="shared" si="77"/>
        <v>60.5</v>
      </c>
      <c r="AG973" s="1" t="str">
        <f t="shared" si="75"/>
        <v/>
      </c>
    </row>
    <row r="974" spans="1:33" x14ac:dyDescent="0.2">
      <c r="A974" s="1" t="s">
        <v>335</v>
      </c>
      <c r="B974" s="1" t="s">
        <v>2504</v>
      </c>
      <c r="C974" s="1">
        <v>2951</v>
      </c>
      <c r="D974" s="1">
        <v>10</v>
      </c>
      <c r="F974" s="1">
        <v>2023</v>
      </c>
      <c r="G974" s="1" t="s">
        <v>346</v>
      </c>
      <c r="H974" s="1">
        <v>603925</v>
      </c>
      <c r="I974" s="1">
        <v>6</v>
      </c>
      <c r="J974" s="1" t="s">
        <v>228</v>
      </c>
      <c r="K974" s="1" t="s">
        <v>2505</v>
      </c>
      <c r="L974" s="1" t="s">
        <v>2506</v>
      </c>
      <c r="M974" s="1">
        <v>109</v>
      </c>
      <c r="N974" s="1" t="s">
        <v>39</v>
      </c>
      <c r="O974" s="1">
        <v>35.508899999999997</v>
      </c>
      <c r="P974" s="1">
        <v>-97.178899999999999</v>
      </c>
      <c r="Q974" s="1" t="s">
        <v>2507</v>
      </c>
      <c r="R974" s="1" t="s">
        <v>41</v>
      </c>
      <c r="T974" s="1" t="s">
        <v>93</v>
      </c>
      <c r="U974" s="1" t="s">
        <v>44</v>
      </c>
      <c r="X974" s="1" t="s">
        <v>95</v>
      </c>
      <c r="AA974" s="3">
        <v>36691</v>
      </c>
      <c r="AB974" s="1" t="s">
        <v>46</v>
      </c>
      <c r="AC974" s="5">
        <v>550</v>
      </c>
      <c r="AD974" s="1" t="s">
        <v>2512</v>
      </c>
      <c r="AE974" s="1" t="str">
        <f t="shared" si="76"/>
        <v>2951 10</v>
      </c>
      <c r="AF974" s="5" t="str">
        <f t="shared" si="77"/>
        <v>60.5</v>
      </c>
      <c r="AG974" s="1" t="str">
        <f t="shared" si="75"/>
        <v/>
      </c>
    </row>
    <row r="975" spans="1:33" x14ac:dyDescent="0.2">
      <c r="A975" s="1" t="s">
        <v>335</v>
      </c>
      <c r="B975" s="1" t="s">
        <v>2513</v>
      </c>
      <c r="C975" s="1">
        <v>2952</v>
      </c>
      <c r="D975" s="1">
        <v>4</v>
      </c>
      <c r="F975" s="1">
        <v>2023</v>
      </c>
      <c r="G975" s="1" t="s">
        <v>346</v>
      </c>
      <c r="H975" s="1">
        <v>603925</v>
      </c>
      <c r="I975" s="1">
        <v>6</v>
      </c>
      <c r="J975" s="1" t="s">
        <v>228</v>
      </c>
      <c r="K975" s="1" t="s">
        <v>2514</v>
      </c>
      <c r="L975" s="1" t="s">
        <v>2515</v>
      </c>
      <c r="M975" s="1">
        <v>101</v>
      </c>
      <c r="N975" s="1" t="s">
        <v>39</v>
      </c>
      <c r="O975" s="1">
        <v>35.761699999999998</v>
      </c>
      <c r="P975" s="1">
        <v>-95.284700000000001</v>
      </c>
      <c r="Q975" s="1" t="s">
        <v>2507</v>
      </c>
      <c r="R975" s="1" t="s">
        <v>41</v>
      </c>
      <c r="S975" s="1" t="s">
        <v>211</v>
      </c>
      <c r="T975" s="1" t="s">
        <v>43</v>
      </c>
      <c r="U975" s="1" t="s">
        <v>44</v>
      </c>
      <c r="X975" s="1" t="s">
        <v>1226</v>
      </c>
      <c r="Y975" s="1" t="s">
        <v>58</v>
      </c>
      <c r="AA975" s="3">
        <v>28490</v>
      </c>
      <c r="AB975" s="1" t="s">
        <v>46</v>
      </c>
      <c r="AC975" s="5">
        <v>6000</v>
      </c>
      <c r="AD975" s="1" t="s">
        <v>2516</v>
      </c>
      <c r="AE975" s="1" t="str">
        <f t="shared" si="76"/>
        <v>2952 4</v>
      </c>
      <c r="AF975" s="5" t="str">
        <f t="shared" si="77"/>
        <v>572</v>
      </c>
      <c r="AG975" s="1" t="str">
        <f t="shared" si="75"/>
        <v/>
      </c>
    </row>
    <row r="976" spans="1:33" x14ac:dyDescent="0.2">
      <c r="A976" s="1" t="s">
        <v>335</v>
      </c>
      <c r="B976" s="1" t="s">
        <v>2513</v>
      </c>
      <c r="C976" s="1">
        <v>2952</v>
      </c>
      <c r="D976" s="1">
        <v>5</v>
      </c>
      <c r="F976" s="1">
        <v>2023</v>
      </c>
      <c r="G976" s="1" t="s">
        <v>346</v>
      </c>
      <c r="H976" s="1">
        <v>603925</v>
      </c>
      <c r="I976" s="1">
        <v>6</v>
      </c>
      <c r="J976" s="1" t="s">
        <v>228</v>
      </c>
      <c r="K976" s="1" t="s">
        <v>2514</v>
      </c>
      <c r="L976" s="1" t="s">
        <v>2515</v>
      </c>
      <c r="M976" s="1">
        <v>101</v>
      </c>
      <c r="N976" s="1" t="s">
        <v>39</v>
      </c>
      <c r="O976" s="1">
        <v>35.761699999999998</v>
      </c>
      <c r="P976" s="1">
        <v>-95.284700000000001</v>
      </c>
      <c r="Q976" s="1" t="s">
        <v>2507</v>
      </c>
      <c r="R976" s="1" t="s">
        <v>41</v>
      </c>
      <c r="S976" s="1" t="s">
        <v>211</v>
      </c>
      <c r="T976" s="1" t="s">
        <v>43</v>
      </c>
      <c r="U976" s="1" t="s">
        <v>44</v>
      </c>
      <c r="X976" s="1" t="s">
        <v>1226</v>
      </c>
      <c r="Y976" s="1" t="s">
        <v>58</v>
      </c>
      <c r="AA976" s="3">
        <v>28781</v>
      </c>
      <c r="AB976" s="1" t="s">
        <v>46</v>
      </c>
      <c r="AC976" s="5">
        <v>6005</v>
      </c>
      <c r="AD976" s="1" t="s">
        <v>2517</v>
      </c>
      <c r="AE976" s="1" t="str">
        <f t="shared" si="76"/>
        <v>2952 5</v>
      </c>
      <c r="AF976" s="5" t="str">
        <f t="shared" si="77"/>
        <v>572</v>
      </c>
      <c r="AG976" s="1" t="str">
        <f t="shared" si="75"/>
        <v/>
      </c>
    </row>
    <row r="977" spans="1:33" x14ac:dyDescent="0.2">
      <c r="A977" s="1" t="s">
        <v>335</v>
      </c>
      <c r="B977" s="1" t="s">
        <v>2513</v>
      </c>
      <c r="C977" s="1">
        <v>2952</v>
      </c>
      <c r="D977" s="1">
        <v>6</v>
      </c>
      <c r="F977" s="1">
        <v>2023</v>
      </c>
      <c r="G977" s="1" t="s">
        <v>337</v>
      </c>
      <c r="H977" s="1">
        <v>603925</v>
      </c>
      <c r="I977" s="1">
        <v>6</v>
      </c>
      <c r="J977" s="1" t="s">
        <v>228</v>
      </c>
      <c r="K977" s="1" t="s">
        <v>2514</v>
      </c>
      <c r="L977" s="1" t="s">
        <v>2515</v>
      </c>
      <c r="M977" s="1">
        <v>101</v>
      </c>
      <c r="N977" s="1" t="s">
        <v>39</v>
      </c>
      <c r="O977" s="1">
        <v>35.761699999999998</v>
      </c>
      <c r="P977" s="1">
        <v>-95.284700000000001</v>
      </c>
      <c r="Q977" s="1" t="s">
        <v>2507</v>
      </c>
      <c r="R977" s="1" t="s">
        <v>41</v>
      </c>
      <c r="S977" s="1" t="s">
        <v>211</v>
      </c>
      <c r="T977" s="1" t="s">
        <v>43</v>
      </c>
      <c r="U977" s="1" t="s">
        <v>55</v>
      </c>
      <c r="V977" s="1" t="s">
        <v>44</v>
      </c>
      <c r="X977" s="1" t="s">
        <v>220</v>
      </c>
      <c r="Y977" s="1" t="s">
        <v>58</v>
      </c>
      <c r="Z977" s="1" t="s">
        <v>214</v>
      </c>
      <c r="AA977" s="3">
        <v>30851</v>
      </c>
      <c r="AB977" s="1" t="s">
        <v>46</v>
      </c>
      <c r="AC977" s="5">
        <v>6163</v>
      </c>
      <c r="AD977" s="1" t="s">
        <v>2518</v>
      </c>
      <c r="AE977" s="1" t="str">
        <f t="shared" si="76"/>
        <v>2952 6</v>
      </c>
      <c r="AF977" s="5" t="str">
        <f t="shared" si="77"/>
        <v>572</v>
      </c>
      <c r="AG977" s="1" t="str">
        <f t="shared" si="75"/>
        <v/>
      </c>
    </row>
    <row r="978" spans="1:33" x14ac:dyDescent="0.2">
      <c r="A978" s="1" t="s">
        <v>335</v>
      </c>
      <c r="B978" s="1" t="s">
        <v>2519</v>
      </c>
      <c r="C978" s="1">
        <v>2953</v>
      </c>
      <c r="D978" s="1" t="s">
        <v>2520</v>
      </c>
      <c r="F978" s="1">
        <v>2023</v>
      </c>
      <c r="G978" s="1" t="s">
        <v>346</v>
      </c>
      <c r="H978" s="1">
        <v>603925</v>
      </c>
      <c r="I978" s="1">
        <v>6</v>
      </c>
      <c r="J978" s="1" t="s">
        <v>228</v>
      </c>
      <c r="K978" s="1" t="s">
        <v>2521</v>
      </c>
      <c r="L978" s="1" t="s">
        <v>2522</v>
      </c>
      <c r="M978" s="1">
        <v>17</v>
      </c>
      <c r="N978" s="1" t="s">
        <v>39</v>
      </c>
      <c r="O978" s="1">
        <v>35.4711</v>
      </c>
      <c r="P978" s="1">
        <v>-97.673299999999998</v>
      </c>
      <c r="Q978" s="1" t="s">
        <v>2507</v>
      </c>
      <c r="R978" s="1" t="s">
        <v>41</v>
      </c>
      <c r="T978" s="1" t="s">
        <v>93</v>
      </c>
      <c r="U978" s="1" t="s">
        <v>44</v>
      </c>
      <c r="X978" s="1" t="s">
        <v>95</v>
      </c>
      <c r="AA978" s="3">
        <v>43069</v>
      </c>
      <c r="AB978" s="1" t="s">
        <v>46</v>
      </c>
      <c r="AC978" s="5">
        <v>610</v>
      </c>
      <c r="AD978" s="1" t="s">
        <v>2523</v>
      </c>
      <c r="AE978" s="1" t="str">
        <f t="shared" si="76"/>
        <v>2953 T10</v>
      </c>
      <c r="AF978" s="5" t="str">
        <f t="shared" si="77"/>
        <v>60</v>
      </c>
      <c r="AG978" s="1" t="str">
        <f t="shared" si="75"/>
        <v/>
      </c>
    </row>
    <row r="979" spans="1:33" x14ac:dyDescent="0.2">
      <c r="A979" s="1" t="s">
        <v>335</v>
      </c>
      <c r="B979" s="1" t="s">
        <v>2519</v>
      </c>
      <c r="C979" s="1">
        <v>2953</v>
      </c>
      <c r="D979" s="1" t="s">
        <v>2524</v>
      </c>
      <c r="F979" s="1">
        <v>2023</v>
      </c>
      <c r="G979" s="1" t="s">
        <v>346</v>
      </c>
      <c r="H979" s="1">
        <v>603925</v>
      </c>
      <c r="I979" s="1">
        <v>6</v>
      </c>
      <c r="J979" s="1" t="s">
        <v>228</v>
      </c>
      <c r="K979" s="1" t="s">
        <v>2521</v>
      </c>
      <c r="L979" s="1" t="s">
        <v>2522</v>
      </c>
      <c r="M979" s="1">
        <v>17</v>
      </c>
      <c r="N979" s="1" t="s">
        <v>39</v>
      </c>
      <c r="O979" s="1">
        <v>35.4711</v>
      </c>
      <c r="P979" s="1">
        <v>-97.673299999999998</v>
      </c>
      <c r="Q979" s="1" t="s">
        <v>2507</v>
      </c>
      <c r="R979" s="1" t="s">
        <v>41</v>
      </c>
      <c r="T979" s="1" t="s">
        <v>93</v>
      </c>
      <c r="U979" s="1" t="s">
        <v>44</v>
      </c>
      <c r="X979" s="1" t="s">
        <v>95</v>
      </c>
      <c r="AA979" s="3">
        <v>43084</v>
      </c>
      <c r="AB979" s="1" t="s">
        <v>46</v>
      </c>
      <c r="AC979" s="5">
        <v>610</v>
      </c>
      <c r="AD979" s="1" t="s">
        <v>2525</v>
      </c>
      <c r="AE979" s="1" t="str">
        <f t="shared" si="76"/>
        <v>2953 T11</v>
      </c>
      <c r="AF979" s="5" t="str">
        <f t="shared" si="77"/>
        <v>60</v>
      </c>
      <c r="AG979" s="1" t="str">
        <f t="shared" si="75"/>
        <v/>
      </c>
    </row>
    <row r="980" spans="1:33" x14ac:dyDescent="0.2">
      <c r="A980" s="1" t="s">
        <v>335</v>
      </c>
      <c r="B980" s="1" t="s">
        <v>2519</v>
      </c>
      <c r="C980" s="1">
        <v>2953</v>
      </c>
      <c r="D980" s="1" t="s">
        <v>2526</v>
      </c>
      <c r="F980" s="1">
        <v>2023</v>
      </c>
      <c r="G980" s="1" t="s">
        <v>346</v>
      </c>
      <c r="H980" s="1">
        <v>603925</v>
      </c>
      <c r="I980" s="1">
        <v>6</v>
      </c>
      <c r="J980" s="1" t="s">
        <v>228</v>
      </c>
      <c r="K980" s="1" t="s">
        <v>2521</v>
      </c>
      <c r="L980" s="1" t="s">
        <v>2522</v>
      </c>
      <c r="M980" s="1">
        <v>17</v>
      </c>
      <c r="N980" s="1" t="s">
        <v>39</v>
      </c>
      <c r="O980" s="1">
        <v>35.4711</v>
      </c>
      <c r="P980" s="1">
        <v>-97.673299999999998</v>
      </c>
      <c r="Q980" s="1" t="s">
        <v>2507</v>
      </c>
      <c r="R980" s="1" t="s">
        <v>41</v>
      </c>
      <c r="T980" s="1" t="s">
        <v>93</v>
      </c>
      <c r="U980" s="1" t="s">
        <v>44</v>
      </c>
      <c r="X980" s="1" t="s">
        <v>95</v>
      </c>
      <c r="AA980" s="3">
        <v>43089</v>
      </c>
      <c r="AB980" s="1" t="s">
        <v>46</v>
      </c>
      <c r="AC980" s="5">
        <v>610</v>
      </c>
      <c r="AD980" s="1" t="s">
        <v>2527</v>
      </c>
      <c r="AE980" s="1" t="str">
        <f t="shared" si="76"/>
        <v>2953 T12</v>
      </c>
      <c r="AF980" s="5" t="str">
        <f t="shared" si="77"/>
        <v>60</v>
      </c>
      <c r="AG980" s="1" t="str">
        <f t="shared" si="75"/>
        <v/>
      </c>
    </row>
    <row r="981" spans="1:33" x14ac:dyDescent="0.2">
      <c r="A981" s="1" t="s">
        <v>335</v>
      </c>
      <c r="B981" s="1" t="s">
        <v>2519</v>
      </c>
      <c r="C981" s="1">
        <v>2953</v>
      </c>
      <c r="D981" s="1" t="s">
        <v>2528</v>
      </c>
      <c r="F981" s="1">
        <v>2023</v>
      </c>
      <c r="G981" s="1" t="s">
        <v>346</v>
      </c>
      <c r="H981" s="1">
        <v>603925</v>
      </c>
      <c r="I981" s="1">
        <v>6</v>
      </c>
      <c r="J981" s="1" t="s">
        <v>228</v>
      </c>
      <c r="K981" s="1" t="s">
        <v>2521</v>
      </c>
      <c r="L981" s="1" t="s">
        <v>2522</v>
      </c>
      <c r="M981" s="1">
        <v>17</v>
      </c>
      <c r="N981" s="1" t="s">
        <v>39</v>
      </c>
      <c r="O981" s="1">
        <v>35.4711</v>
      </c>
      <c r="P981" s="1">
        <v>-97.673299999999998</v>
      </c>
      <c r="Q981" s="1" t="s">
        <v>2507</v>
      </c>
      <c r="R981" s="1" t="s">
        <v>41</v>
      </c>
      <c r="T981" s="1" t="s">
        <v>93</v>
      </c>
      <c r="U981" s="1" t="s">
        <v>44</v>
      </c>
      <c r="X981" s="1" t="s">
        <v>95</v>
      </c>
      <c r="AA981" s="3">
        <v>43002</v>
      </c>
      <c r="AB981" s="1" t="s">
        <v>46</v>
      </c>
      <c r="AC981" s="5">
        <v>610</v>
      </c>
      <c r="AD981" s="1" t="s">
        <v>2529</v>
      </c>
      <c r="AE981" s="1" t="str">
        <f t="shared" si="76"/>
        <v>2953 T6</v>
      </c>
      <c r="AF981" s="5" t="str">
        <f t="shared" si="77"/>
        <v>60</v>
      </c>
      <c r="AG981" s="1" t="str">
        <f t="shared" si="75"/>
        <v/>
      </c>
    </row>
    <row r="982" spans="1:33" x14ac:dyDescent="0.2">
      <c r="A982" s="1" t="s">
        <v>335</v>
      </c>
      <c r="B982" s="1" t="s">
        <v>2519</v>
      </c>
      <c r="C982" s="1">
        <v>2953</v>
      </c>
      <c r="D982" s="1" t="s">
        <v>2530</v>
      </c>
      <c r="F982" s="1">
        <v>2023</v>
      </c>
      <c r="G982" s="1" t="s">
        <v>346</v>
      </c>
      <c r="H982" s="1">
        <v>603925</v>
      </c>
      <c r="I982" s="1">
        <v>6</v>
      </c>
      <c r="J982" s="1" t="s">
        <v>228</v>
      </c>
      <c r="K982" s="1" t="s">
        <v>2521</v>
      </c>
      <c r="L982" s="1" t="s">
        <v>2522</v>
      </c>
      <c r="M982" s="1">
        <v>17</v>
      </c>
      <c r="N982" s="1" t="s">
        <v>39</v>
      </c>
      <c r="O982" s="1">
        <v>35.4711</v>
      </c>
      <c r="P982" s="1">
        <v>-97.673299999999998</v>
      </c>
      <c r="Q982" s="1" t="s">
        <v>2507</v>
      </c>
      <c r="R982" s="1" t="s">
        <v>41</v>
      </c>
      <c r="T982" s="1" t="s">
        <v>93</v>
      </c>
      <c r="U982" s="1" t="s">
        <v>44</v>
      </c>
      <c r="X982" s="1" t="s">
        <v>95</v>
      </c>
      <c r="AA982" s="3">
        <v>43023</v>
      </c>
      <c r="AB982" s="1" t="s">
        <v>46</v>
      </c>
      <c r="AC982" s="5">
        <v>610</v>
      </c>
      <c r="AD982" s="1" t="s">
        <v>2531</v>
      </c>
      <c r="AE982" s="1" t="str">
        <f t="shared" si="76"/>
        <v>2953 T7</v>
      </c>
      <c r="AF982" s="5" t="str">
        <f t="shared" si="77"/>
        <v>60</v>
      </c>
      <c r="AG982" s="1" t="str">
        <f t="shared" si="75"/>
        <v/>
      </c>
    </row>
    <row r="983" spans="1:33" x14ac:dyDescent="0.2">
      <c r="A983" s="1" t="s">
        <v>335</v>
      </c>
      <c r="B983" s="1" t="s">
        <v>2519</v>
      </c>
      <c r="C983" s="1">
        <v>2953</v>
      </c>
      <c r="D983" s="1" t="s">
        <v>2532</v>
      </c>
      <c r="F983" s="1">
        <v>2023</v>
      </c>
      <c r="G983" s="1" t="s">
        <v>346</v>
      </c>
      <c r="H983" s="1">
        <v>603925</v>
      </c>
      <c r="I983" s="1">
        <v>6</v>
      </c>
      <c r="J983" s="1" t="s">
        <v>228</v>
      </c>
      <c r="K983" s="1" t="s">
        <v>2521</v>
      </c>
      <c r="L983" s="1" t="s">
        <v>2522</v>
      </c>
      <c r="M983" s="1">
        <v>17</v>
      </c>
      <c r="N983" s="1" t="s">
        <v>39</v>
      </c>
      <c r="O983" s="1">
        <v>35.4711</v>
      </c>
      <c r="P983" s="1">
        <v>-97.673299999999998</v>
      </c>
      <c r="Q983" s="1" t="s">
        <v>2507</v>
      </c>
      <c r="R983" s="1" t="s">
        <v>41</v>
      </c>
      <c r="T983" s="1" t="s">
        <v>93</v>
      </c>
      <c r="U983" s="1" t="s">
        <v>44</v>
      </c>
      <c r="X983" s="1" t="s">
        <v>95</v>
      </c>
      <c r="AA983" s="3">
        <v>43042</v>
      </c>
      <c r="AB983" s="1" t="s">
        <v>46</v>
      </c>
      <c r="AC983" s="5">
        <v>610</v>
      </c>
      <c r="AD983" s="1" t="s">
        <v>2533</v>
      </c>
      <c r="AE983" s="1" t="str">
        <f t="shared" si="76"/>
        <v>2953 T8</v>
      </c>
      <c r="AF983" s="5" t="str">
        <f t="shared" si="77"/>
        <v>60</v>
      </c>
      <c r="AG983" s="1" t="str">
        <f t="shared" si="75"/>
        <v/>
      </c>
    </row>
    <row r="984" spans="1:33" x14ac:dyDescent="0.2">
      <c r="A984" s="1" t="s">
        <v>335</v>
      </c>
      <c r="B984" s="1" t="s">
        <v>2519</v>
      </c>
      <c r="C984" s="1">
        <v>2953</v>
      </c>
      <c r="D984" s="1" t="s">
        <v>2534</v>
      </c>
      <c r="F984" s="1">
        <v>2023</v>
      </c>
      <c r="G984" s="1" t="s">
        <v>346</v>
      </c>
      <c r="H984" s="1">
        <v>603925</v>
      </c>
      <c r="I984" s="1">
        <v>6</v>
      </c>
      <c r="J984" s="1" t="s">
        <v>228</v>
      </c>
      <c r="K984" s="1" t="s">
        <v>2521</v>
      </c>
      <c r="L984" s="1" t="s">
        <v>2522</v>
      </c>
      <c r="M984" s="1">
        <v>17</v>
      </c>
      <c r="N984" s="1" t="s">
        <v>39</v>
      </c>
      <c r="O984" s="1">
        <v>35.4711</v>
      </c>
      <c r="P984" s="1">
        <v>-97.673299999999998</v>
      </c>
      <c r="Q984" s="1" t="s">
        <v>2507</v>
      </c>
      <c r="R984" s="1" t="s">
        <v>41</v>
      </c>
      <c r="T984" s="1" t="s">
        <v>93</v>
      </c>
      <c r="U984" s="1" t="s">
        <v>44</v>
      </c>
      <c r="X984" s="1" t="s">
        <v>95</v>
      </c>
      <c r="AA984" s="3">
        <v>43058</v>
      </c>
      <c r="AB984" s="1" t="s">
        <v>46</v>
      </c>
      <c r="AC984" s="5">
        <v>610</v>
      </c>
      <c r="AD984" s="1" t="s">
        <v>2535</v>
      </c>
      <c r="AE984" s="1" t="str">
        <f t="shared" si="76"/>
        <v>2953 T9</v>
      </c>
      <c r="AF984" s="5" t="str">
        <f t="shared" si="77"/>
        <v>60</v>
      </c>
      <c r="AG984" s="1" t="str">
        <f t="shared" si="75"/>
        <v/>
      </c>
    </row>
    <row r="985" spans="1:33" x14ac:dyDescent="0.2">
      <c r="A985" s="1" t="s">
        <v>335</v>
      </c>
      <c r="B985" s="1" t="s">
        <v>2536</v>
      </c>
      <c r="C985" s="1">
        <v>2956</v>
      </c>
      <c r="D985" s="1">
        <v>1</v>
      </c>
      <c r="F985" s="1">
        <v>2023</v>
      </c>
      <c r="G985" s="1" t="s">
        <v>346</v>
      </c>
      <c r="H985" s="1">
        <v>603925</v>
      </c>
      <c r="I985" s="1">
        <v>6</v>
      </c>
      <c r="J985" s="1" t="s">
        <v>228</v>
      </c>
      <c r="K985" s="1" t="s">
        <v>2537</v>
      </c>
      <c r="L985" s="1" t="s">
        <v>2538</v>
      </c>
      <c r="M985" s="1">
        <v>133</v>
      </c>
      <c r="N985" s="1" t="s">
        <v>39</v>
      </c>
      <c r="O985" s="1">
        <v>34.967799999999997</v>
      </c>
      <c r="P985" s="1">
        <v>-96.724199999999996</v>
      </c>
      <c r="Q985" s="1" t="s">
        <v>2507</v>
      </c>
      <c r="R985" s="1" t="s">
        <v>41</v>
      </c>
      <c r="T985" s="1" t="s">
        <v>89</v>
      </c>
      <c r="U985" s="1" t="s">
        <v>44</v>
      </c>
      <c r="X985" s="1" t="s">
        <v>90</v>
      </c>
      <c r="AA985" s="3">
        <v>26021</v>
      </c>
      <c r="AB985" s="1" t="s">
        <v>46</v>
      </c>
      <c r="AC985" s="5">
        <v>5480</v>
      </c>
      <c r="AD985" s="1" t="s">
        <v>2539</v>
      </c>
      <c r="AE985" s="1" t="str">
        <f t="shared" si="76"/>
        <v>2956 1</v>
      </c>
      <c r="AF985" s="5" t="str">
        <f t="shared" si="77"/>
        <v>567</v>
      </c>
      <c r="AG985" s="1" t="str">
        <f t="shared" si="75"/>
        <v/>
      </c>
    </row>
    <row r="986" spans="1:33" x14ac:dyDescent="0.2">
      <c r="A986" s="1" t="s">
        <v>335</v>
      </c>
      <c r="B986" s="1" t="s">
        <v>2536</v>
      </c>
      <c r="C986" s="1">
        <v>2956</v>
      </c>
      <c r="D986" s="1">
        <v>2</v>
      </c>
      <c r="F986" s="1">
        <v>2023</v>
      </c>
      <c r="G986" s="1" t="s">
        <v>346</v>
      </c>
      <c r="H986" s="1">
        <v>603925</v>
      </c>
      <c r="I986" s="1">
        <v>6</v>
      </c>
      <c r="J986" s="1" t="s">
        <v>228</v>
      </c>
      <c r="K986" s="1" t="s">
        <v>2537</v>
      </c>
      <c r="L986" s="1" t="s">
        <v>2538</v>
      </c>
      <c r="M986" s="1">
        <v>133</v>
      </c>
      <c r="N986" s="1" t="s">
        <v>39</v>
      </c>
      <c r="O986" s="1">
        <v>34.967799999999997</v>
      </c>
      <c r="P986" s="1">
        <v>-96.724199999999996</v>
      </c>
      <c r="Q986" s="1" t="s">
        <v>2507</v>
      </c>
      <c r="R986" s="1" t="s">
        <v>41</v>
      </c>
      <c r="T986" s="1" t="s">
        <v>89</v>
      </c>
      <c r="U986" s="1" t="s">
        <v>44</v>
      </c>
      <c r="X986" s="1" t="s">
        <v>90</v>
      </c>
      <c r="AA986" s="3">
        <v>26698</v>
      </c>
      <c r="AB986" s="1" t="s">
        <v>46</v>
      </c>
      <c r="AC986" s="5">
        <v>5480</v>
      </c>
      <c r="AD986" s="1" t="s">
        <v>2540</v>
      </c>
      <c r="AE986" s="1" t="str">
        <f t="shared" si="76"/>
        <v>2956 2</v>
      </c>
      <c r="AF986" s="5" t="str">
        <f t="shared" si="77"/>
        <v>567</v>
      </c>
      <c r="AG986" s="1" t="str">
        <f t="shared" si="75"/>
        <v/>
      </c>
    </row>
    <row r="987" spans="1:33" x14ac:dyDescent="0.2">
      <c r="A987" s="1" t="s">
        <v>335</v>
      </c>
      <c r="B987" s="1" t="s">
        <v>2536</v>
      </c>
      <c r="C987" s="1">
        <v>2956</v>
      </c>
      <c r="D987" s="1">
        <v>3</v>
      </c>
      <c r="F987" s="1">
        <v>2023</v>
      </c>
      <c r="G987" s="1" t="s">
        <v>346</v>
      </c>
      <c r="H987" s="1">
        <v>603925</v>
      </c>
      <c r="I987" s="1">
        <v>6</v>
      </c>
      <c r="J987" s="1" t="s">
        <v>228</v>
      </c>
      <c r="K987" s="1" t="s">
        <v>2537</v>
      </c>
      <c r="L987" s="1" t="s">
        <v>2538</v>
      </c>
      <c r="M987" s="1">
        <v>133</v>
      </c>
      <c r="N987" s="1" t="s">
        <v>39</v>
      </c>
      <c r="O987" s="1">
        <v>34.967799999999997</v>
      </c>
      <c r="P987" s="1">
        <v>-96.724199999999996</v>
      </c>
      <c r="Q987" s="1" t="s">
        <v>2507</v>
      </c>
      <c r="R987" s="1" t="s">
        <v>41</v>
      </c>
      <c r="T987" s="1" t="s">
        <v>89</v>
      </c>
      <c r="U987" s="1" t="s">
        <v>44</v>
      </c>
      <c r="X987" s="1" t="s">
        <v>90</v>
      </c>
      <c r="Y987" s="1" t="s">
        <v>672</v>
      </c>
      <c r="AA987" s="3">
        <v>27561</v>
      </c>
      <c r="AB987" s="1" t="s">
        <v>46</v>
      </c>
      <c r="AC987" s="5">
        <v>5350</v>
      </c>
      <c r="AD987" s="1" t="s">
        <v>2541</v>
      </c>
      <c r="AE987" s="1" t="str">
        <f t="shared" si="76"/>
        <v>2956 3</v>
      </c>
      <c r="AF987" s="5" t="str">
        <f t="shared" si="77"/>
        <v>567</v>
      </c>
      <c r="AG987" s="1" t="str">
        <f t="shared" si="75"/>
        <v/>
      </c>
    </row>
    <row r="988" spans="1:33" x14ac:dyDescent="0.2">
      <c r="A988" s="1" t="s">
        <v>335</v>
      </c>
      <c r="B988" s="1" t="s">
        <v>2542</v>
      </c>
      <c r="C988" s="1">
        <v>2963</v>
      </c>
      <c r="D988" s="1">
        <v>3302</v>
      </c>
      <c r="F988" s="1">
        <v>2023</v>
      </c>
      <c r="G988" s="1" t="s">
        <v>346</v>
      </c>
      <c r="H988" s="1" t="s">
        <v>1346</v>
      </c>
      <c r="I988" s="1">
        <v>6</v>
      </c>
      <c r="J988" s="1" t="s">
        <v>228</v>
      </c>
      <c r="K988" s="1" t="s">
        <v>2543</v>
      </c>
      <c r="L988" s="1" t="s">
        <v>2544</v>
      </c>
      <c r="M988" s="1">
        <v>131</v>
      </c>
      <c r="N988" s="1" t="s">
        <v>39</v>
      </c>
      <c r="O988" s="1">
        <v>36.431699999999999</v>
      </c>
      <c r="P988" s="1">
        <v>-95.700800000000001</v>
      </c>
      <c r="Q988" s="1" t="s">
        <v>2545</v>
      </c>
      <c r="R988" s="1" t="s">
        <v>41</v>
      </c>
      <c r="T988" s="1" t="s">
        <v>86</v>
      </c>
      <c r="U988" s="1" t="s">
        <v>44</v>
      </c>
      <c r="X988" s="1" t="s">
        <v>87</v>
      </c>
      <c r="AA988" s="3">
        <v>25749</v>
      </c>
      <c r="AB988" s="1" t="s">
        <v>46</v>
      </c>
      <c r="AC988" s="5">
        <v>4754</v>
      </c>
      <c r="AD988" s="1" t="s">
        <v>2546</v>
      </c>
      <c r="AE988" s="1" t="str">
        <f t="shared" si="76"/>
        <v>2963 3302</v>
      </c>
      <c r="AF988" s="5" t="str">
        <f t="shared" si="77"/>
        <v>441.8</v>
      </c>
      <c r="AG988" s="1" t="str">
        <f t="shared" si="75"/>
        <v/>
      </c>
    </row>
    <row r="989" spans="1:33" x14ac:dyDescent="0.2">
      <c r="A989" s="1" t="s">
        <v>335</v>
      </c>
      <c r="B989" s="1" t="s">
        <v>2542</v>
      </c>
      <c r="C989" s="1">
        <v>2963</v>
      </c>
      <c r="D989" s="1">
        <v>3313</v>
      </c>
      <c r="F989" s="1">
        <v>2023</v>
      </c>
      <c r="G989" s="1" t="s">
        <v>337</v>
      </c>
      <c r="H989" s="1" t="s">
        <v>1346</v>
      </c>
      <c r="I989" s="1">
        <v>6</v>
      </c>
      <c r="J989" s="1" t="s">
        <v>228</v>
      </c>
      <c r="K989" s="1" t="s">
        <v>2543</v>
      </c>
      <c r="L989" s="1" t="s">
        <v>2544</v>
      </c>
      <c r="M989" s="1">
        <v>131</v>
      </c>
      <c r="N989" s="1" t="s">
        <v>39</v>
      </c>
      <c r="O989" s="1">
        <v>36.431699999999999</v>
      </c>
      <c r="P989" s="1">
        <v>-95.700800000000001</v>
      </c>
      <c r="Q989" s="1" t="s">
        <v>2545</v>
      </c>
      <c r="R989" s="1" t="s">
        <v>41</v>
      </c>
      <c r="S989" s="1" t="s">
        <v>211</v>
      </c>
      <c r="T989" s="1" t="s">
        <v>43</v>
      </c>
      <c r="U989" s="1" t="s">
        <v>55</v>
      </c>
      <c r="W989" s="1" t="s">
        <v>1009</v>
      </c>
      <c r="X989" s="1" t="s">
        <v>2547</v>
      </c>
      <c r="Y989" s="1" t="s">
        <v>123</v>
      </c>
      <c r="Z989" s="1" t="s">
        <v>214</v>
      </c>
      <c r="AA989" s="3">
        <v>29036</v>
      </c>
      <c r="AB989" s="1" t="s">
        <v>46</v>
      </c>
      <c r="AC989" s="5">
        <v>5800</v>
      </c>
      <c r="AD989" s="1" t="s">
        <v>2548</v>
      </c>
      <c r="AE989" s="1" t="str">
        <f t="shared" si="76"/>
        <v>2963 3313</v>
      </c>
      <c r="AF989" s="5" t="str">
        <f t="shared" si="77"/>
        <v>441.2</v>
      </c>
      <c r="AG989" s="1" t="str">
        <f t="shared" si="75"/>
        <v/>
      </c>
    </row>
    <row r="990" spans="1:33" x14ac:dyDescent="0.2">
      <c r="A990" s="1" t="s">
        <v>335</v>
      </c>
      <c r="B990" s="1" t="s">
        <v>2542</v>
      </c>
      <c r="C990" s="1">
        <v>2963</v>
      </c>
      <c r="D990" s="1" t="s">
        <v>2549</v>
      </c>
      <c r="F990" s="1">
        <v>2023</v>
      </c>
      <c r="G990" s="1" t="s">
        <v>346</v>
      </c>
      <c r="H990" s="1" t="s">
        <v>1346</v>
      </c>
      <c r="I990" s="1">
        <v>6</v>
      </c>
      <c r="J990" s="1" t="s">
        <v>228</v>
      </c>
      <c r="K990" s="1" t="s">
        <v>2543</v>
      </c>
      <c r="L990" s="1" t="s">
        <v>2544</v>
      </c>
      <c r="M990" s="1">
        <v>131</v>
      </c>
      <c r="N990" s="1" t="s">
        <v>39</v>
      </c>
      <c r="O990" s="1">
        <v>36.431699999999999</v>
      </c>
      <c r="P990" s="1">
        <v>-95.700800000000001</v>
      </c>
      <c r="Q990" s="1" t="s">
        <v>2545</v>
      </c>
      <c r="R990" s="1" t="s">
        <v>41</v>
      </c>
      <c r="T990" s="1" t="s">
        <v>71</v>
      </c>
      <c r="U990" s="1" t="s">
        <v>44</v>
      </c>
      <c r="X990" s="1" t="s">
        <v>140</v>
      </c>
      <c r="AA990" s="3">
        <v>37043</v>
      </c>
      <c r="AB990" s="1" t="s">
        <v>46</v>
      </c>
      <c r="AC990" s="5">
        <v>1783</v>
      </c>
      <c r="AD990" s="1" t="s">
        <v>2550</v>
      </c>
      <c r="AE990" s="1" t="str">
        <f t="shared" si="76"/>
        <v>2963 3301A</v>
      </c>
      <c r="AF990" s="14">
        <f>MID(AD990,FIND("(",AD990)+1,FIND(")",AD990)-FIND("(",AD990)-1)+170/2</f>
        <v>263.5</v>
      </c>
      <c r="AG990" s="1" t="str">
        <f t="shared" si="75"/>
        <v/>
      </c>
    </row>
    <row r="991" spans="1:33" x14ac:dyDescent="0.2">
      <c r="A991" s="1" t="s">
        <v>335</v>
      </c>
      <c r="B991" s="1" t="s">
        <v>2542</v>
      </c>
      <c r="C991" s="1">
        <v>2963</v>
      </c>
      <c r="D991" s="1" t="s">
        <v>2551</v>
      </c>
      <c r="F991" s="1">
        <v>2023</v>
      </c>
      <c r="G991" s="1" t="s">
        <v>346</v>
      </c>
      <c r="H991" s="1" t="s">
        <v>1346</v>
      </c>
      <c r="I991" s="1">
        <v>6</v>
      </c>
      <c r="J991" s="1" t="s">
        <v>228</v>
      </c>
      <c r="K991" s="1" t="s">
        <v>2543</v>
      </c>
      <c r="L991" s="1" t="s">
        <v>2544</v>
      </c>
      <c r="M991" s="1">
        <v>131</v>
      </c>
      <c r="N991" s="1" t="s">
        <v>39</v>
      </c>
      <c r="O991" s="1">
        <v>36.431699999999999</v>
      </c>
      <c r="P991" s="1">
        <v>-95.700800000000001</v>
      </c>
      <c r="Q991" s="1" t="s">
        <v>2545</v>
      </c>
      <c r="R991" s="1" t="s">
        <v>41</v>
      </c>
      <c r="T991" s="1" t="s">
        <v>71</v>
      </c>
      <c r="U991" s="1" t="s">
        <v>44</v>
      </c>
      <c r="X991" s="1" t="s">
        <v>140</v>
      </c>
      <c r="AA991" s="3">
        <v>37043</v>
      </c>
      <c r="AB991" s="1" t="s">
        <v>46</v>
      </c>
      <c r="AC991" s="5">
        <v>1783</v>
      </c>
      <c r="AD991" s="1" t="s">
        <v>2552</v>
      </c>
      <c r="AE991" s="1" t="str">
        <f t="shared" si="76"/>
        <v>2963 3301B</v>
      </c>
      <c r="AF991" s="14">
        <f>AF990</f>
        <v>263.5</v>
      </c>
      <c r="AG991" s="1" t="str">
        <f t="shared" si="75"/>
        <v/>
      </c>
    </row>
    <row r="992" spans="1:33" x14ac:dyDescent="0.2">
      <c r="A992" s="1" t="s">
        <v>335</v>
      </c>
      <c r="B992" s="1" t="s">
        <v>2553</v>
      </c>
      <c r="C992" s="1">
        <v>2964</v>
      </c>
      <c r="D992" s="1">
        <v>8002</v>
      </c>
      <c r="E992" s="1" t="s">
        <v>1330</v>
      </c>
      <c r="F992" s="1">
        <v>2023</v>
      </c>
      <c r="G992" s="1" t="s">
        <v>346</v>
      </c>
      <c r="H992" s="1" t="s">
        <v>1346</v>
      </c>
      <c r="I992" s="1">
        <v>6</v>
      </c>
      <c r="J992" s="1" t="s">
        <v>228</v>
      </c>
      <c r="K992" s="1" t="s">
        <v>2554</v>
      </c>
      <c r="L992" s="1" t="s">
        <v>2555</v>
      </c>
      <c r="M992" s="1">
        <v>15</v>
      </c>
      <c r="N992" s="1" t="s">
        <v>39</v>
      </c>
      <c r="O992" s="1">
        <v>35.100900000000003</v>
      </c>
      <c r="P992" s="1">
        <v>-98.352400000000003</v>
      </c>
      <c r="Q992" s="1" t="s">
        <v>2545</v>
      </c>
      <c r="R992" s="1" t="s">
        <v>41</v>
      </c>
      <c r="T992" s="1" t="s">
        <v>89</v>
      </c>
      <c r="U992" s="1" t="s">
        <v>44</v>
      </c>
      <c r="AA992" s="3">
        <v>19756</v>
      </c>
      <c r="AB992" s="1" t="s">
        <v>46</v>
      </c>
      <c r="AC992" s="5">
        <v>940</v>
      </c>
      <c r="AD992" s="1" t="s">
        <v>2556</v>
      </c>
      <c r="AE992" s="1" t="str">
        <f t="shared" si="76"/>
        <v>2964 8002</v>
      </c>
      <c r="AF992" s="5" t="str">
        <f t="shared" ref="AF992:AF1008" si="78">MID(AD992,FIND("(",AD992)+1,FIND(")",AD992)-FIND("(",AD992)-1)</f>
        <v>80.3</v>
      </c>
      <c r="AG992" s="1" t="str">
        <f t="shared" si="75"/>
        <v/>
      </c>
    </row>
    <row r="993" spans="1:33" x14ac:dyDescent="0.2">
      <c r="A993" s="1" t="s">
        <v>335</v>
      </c>
      <c r="B993" s="1" t="s">
        <v>2553</v>
      </c>
      <c r="C993" s="1">
        <v>2964</v>
      </c>
      <c r="D993" s="1">
        <v>8003</v>
      </c>
      <c r="E993" s="1" t="s">
        <v>1330</v>
      </c>
      <c r="F993" s="1">
        <v>2023</v>
      </c>
      <c r="G993" s="1" t="s">
        <v>346</v>
      </c>
      <c r="H993" s="1" t="s">
        <v>1346</v>
      </c>
      <c r="I993" s="1">
        <v>6</v>
      </c>
      <c r="J993" s="1" t="s">
        <v>228</v>
      </c>
      <c r="K993" s="1" t="s">
        <v>2554</v>
      </c>
      <c r="L993" s="1" t="s">
        <v>2555</v>
      </c>
      <c r="M993" s="1">
        <v>15</v>
      </c>
      <c r="N993" s="1" t="s">
        <v>39</v>
      </c>
      <c r="O993" s="1">
        <v>35.100900000000003</v>
      </c>
      <c r="P993" s="1">
        <v>-98.352400000000003</v>
      </c>
      <c r="Q993" s="1" t="s">
        <v>2545</v>
      </c>
      <c r="R993" s="1" t="s">
        <v>41</v>
      </c>
      <c r="T993" s="1" t="s">
        <v>86</v>
      </c>
      <c r="U993" s="1" t="s">
        <v>44</v>
      </c>
      <c r="X993" s="1" t="s">
        <v>2557</v>
      </c>
      <c r="AA993" s="3">
        <v>24593</v>
      </c>
      <c r="AB993" s="1" t="s">
        <v>46</v>
      </c>
      <c r="AC993" s="5">
        <v>3450</v>
      </c>
      <c r="AD993" s="1" t="s">
        <v>2558</v>
      </c>
      <c r="AE993" s="1" t="str">
        <f t="shared" si="76"/>
        <v>2964 8003</v>
      </c>
      <c r="AF993" s="5" t="str">
        <f t="shared" si="78"/>
        <v>332</v>
      </c>
      <c r="AG993" s="1" t="str">
        <f t="shared" si="75"/>
        <v/>
      </c>
    </row>
    <row r="994" spans="1:33" x14ac:dyDescent="0.2">
      <c r="A994" s="1" t="s">
        <v>335</v>
      </c>
      <c r="B994" s="1" t="s">
        <v>2553</v>
      </c>
      <c r="C994" s="1">
        <v>2964</v>
      </c>
      <c r="D994" s="1">
        <v>8004</v>
      </c>
      <c r="F994" s="1">
        <v>2023</v>
      </c>
      <c r="G994" s="1" t="s">
        <v>346</v>
      </c>
      <c r="H994" s="1" t="s">
        <v>1346</v>
      </c>
      <c r="I994" s="1">
        <v>6</v>
      </c>
      <c r="J994" s="1" t="s">
        <v>228</v>
      </c>
      <c r="K994" s="1" t="s">
        <v>2554</v>
      </c>
      <c r="L994" s="1" t="s">
        <v>2555</v>
      </c>
      <c r="M994" s="1">
        <v>15</v>
      </c>
      <c r="N994" s="1" t="s">
        <v>39</v>
      </c>
      <c r="O994" s="1">
        <v>35.100900000000003</v>
      </c>
      <c r="P994" s="1">
        <v>-98.352400000000003</v>
      </c>
      <c r="Q994" s="1" t="s">
        <v>2545</v>
      </c>
      <c r="R994" s="1" t="s">
        <v>41</v>
      </c>
      <c r="T994" s="1" t="s">
        <v>93</v>
      </c>
      <c r="U994" s="1" t="s">
        <v>44</v>
      </c>
      <c r="X994" s="1" t="s">
        <v>1460</v>
      </c>
      <c r="AA994" s="3">
        <v>39499</v>
      </c>
      <c r="AB994" s="1" t="s">
        <v>46</v>
      </c>
      <c r="AC994" s="5">
        <v>1150</v>
      </c>
      <c r="AD994" s="1" t="s">
        <v>2559</v>
      </c>
      <c r="AE994" s="1" t="str">
        <f t="shared" si="76"/>
        <v>2964 8004</v>
      </c>
      <c r="AF994" s="5" t="str">
        <f t="shared" si="78"/>
        <v>89</v>
      </c>
      <c r="AG994" s="1" t="str">
        <f t="shared" si="75"/>
        <v/>
      </c>
    </row>
    <row r="995" spans="1:33" x14ac:dyDescent="0.2">
      <c r="A995" s="1" t="s">
        <v>335</v>
      </c>
      <c r="B995" s="1" t="s">
        <v>2553</v>
      </c>
      <c r="C995" s="1">
        <v>2964</v>
      </c>
      <c r="D995" s="1">
        <v>8005</v>
      </c>
      <c r="F995" s="1">
        <v>2023</v>
      </c>
      <c r="G995" s="1" t="s">
        <v>346</v>
      </c>
      <c r="H995" s="1" t="s">
        <v>1346</v>
      </c>
      <c r="I995" s="1">
        <v>6</v>
      </c>
      <c r="J995" s="1" t="s">
        <v>228</v>
      </c>
      <c r="K995" s="1" t="s">
        <v>2554</v>
      </c>
      <c r="L995" s="1" t="s">
        <v>2555</v>
      </c>
      <c r="M995" s="1">
        <v>15</v>
      </c>
      <c r="N995" s="1" t="s">
        <v>39</v>
      </c>
      <c r="O995" s="1">
        <v>35.100900000000003</v>
      </c>
      <c r="P995" s="1">
        <v>-98.352400000000003</v>
      </c>
      <c r="Q995" s="1" t="s">
        <v>2545</v>
      </c>
      <c r="R995" s="1" t="s">
        <v>41</v>
      </c>
      <c r="T995" s="1" t="s">
        <v>93</v>
      </c>
      <c r="U995" s="1" t="s">
        <v>44</v>
      </c>
      <c r="X995" s="1" t="s">
        <v>1460</v>
      </c>
      <c r="AA995" s="3">
        <v>39492</v>
      </c>
      <c r="AB995" s="1" t="s">
        <v>46</v>
      </c>
      <c r="AC995" s="5">
        <v>1150</v>
      </c>
      <c r="AD995" s="1" t="s">
        <v>2560</v>
      </c>
      <c r="AE995" s="1" t="str">
        <f t="shared" si="76"/>
        <v>2964 8005</v>
      </c>
      <c r="AF995" s="5" t="str">
        <f t="shared" si="78"/>
        <v>89</v>
      </c>
      <c r="AG995" s="1" t="str">
        <f t="shared" si="75"/>
        <v/>
      </c>
    </row>
    <row r="996" spans="1:33" x14ac:dyDescent="0.2">
      <c r="A996" s="1" t="s">
        <v>335</v>
      </c>
      <c r="B996" s="1" t="s">
        <v>2553</v>
      </c>
      <c r="C996" s="1">
        <v>2964</v>
      </c>
      <c r="D996" s="1" t="s">
        <v>2561</v>
      </c>
      <c r="E996" s="1" t="s">
        <v>1330</v>
      </c>
      <c r="F996" s="1">
        <v>2023</v>
      </c>
      <c r="G996" s="1" t="s">
        <v>346</v>
      </c>
      <c r="H996" s="1" t="s">
        <v>1346</v>
      </c>
      <c r="I996" s="1">
        <v>6</v>
      </c>
      <c r="J996" s="1" t="s">
        <v>228</v>
      </c>
      <c r="K996" s="1" t="s">
        <v>2554</v>
      </c>
      <c r="L996" s="1" t="s">
        <v>2555</v>
      </c>
      <c r="M996" s="1">
        <v>15</v>
      </c>
      <c r="N996" s="1" t="s">
        <v>39</v>
      </c>
      <c r="O996" s="1">
        <v>35.100900000000003</v>
      </c>
      <c r="P996" s="1">
        <v>-98.352400000000003</v>
      </c>
      <c r="Q996" s="1" t="s">
        <v>2545</v>
      </c>
      <c r="R996" s="1" t="s">
        <v>41</v>
      </c>
      <c r="T996" s="1" t="s">
        <v>89</v>
      </c>
      <c r="U996" s="1" t="s">
        <v>44</v>
      </c>
      <c r="AA996" s="3">
        <v>19176</v>
      </c>
      <c r="AB996" s="1" t="s">
        <v>46</v>
      </c>
      <c r="AC996" s="5">
        <v>482</v>
      </c>
      <c r="AD996" s="1" t="s">
        <v>2562</v>
      </c>
      <c r="AE996" s="1" t="str">
        <f t="shared" si="76"/>
        <v>2964 801N</v>
      </c>
      <c r="AF996" s="5" t="str">
        <f t="shared" si="78"/>
        <v>84</v>
      </c>
      <c r="AG996" s="1" t="str">
        <f t="shared" si="75"/>
        <v/>
      </c>
    </row>
    <row r="997" spans="1:33" x14ac:dyDescent="0.2">
      <c r="A997" s="1" t="s">
        <v>335</v>
      </c>
      <c r="B997" s="1" t="s">
        <v>2553</v>
      </c>
      <c r="C997" s="1">
        <v>2964</v>
      </c>
      <c r="D997" s="1" t="s">
        <v>2563</v>
      </c>
      <c r="E997" s="1" t="s">
        <v>1330</v>
      </c>
      <c r="F997" s="1">
        <v>2023</v>
      </c>
      <c r="G997" s="1" t="s">
        <v>346</v>
      </c>
      <c r="H997" s="1" t="s">
        <v>1346</v>
      </c>
      <c r="I997" s="1">
        <v>6</v>
      </c>
      <c r="J997" s="1" t="s">
        <v>228</v>
      </c>
      <c r="K997" s="1" t="s">
        <v>2554</v>
      </c>
      <c r="L997" s="1" t="s">
        <v>2555</v>
      </c>
      <c r="M997" s="1">
        <v>15</v>
      </c>
      <c r="N997" s="1" t="s">
        <v>39</v>
      </c>
      <c r="O997" s="1">
        <v>35.100900000000003</v>
      </c>
      <c r="P997" s="1">
        <v>-98.352400000000003</v>
      </c>
      <c r="Q997" s="1" t="s">
        <v>2545</v>
      </c>
      <c r="R997" s="1" t="s">
        <v>41</v>
      </c>
      <c r="T997" s="1" t="s">
        <v>89</v>
      </c>
      <c r="U997" s="1" t="s">
        <v>44</v>
      </c>
      <c r="AA997" s="3">
        <v>19176</v>
      </c>
      <c r="AB997" s="1" t="s">
        <v>46</v>
      </c>
      <c r="AC997" s="5">
        <v>482</v>
      </c>
      <c r="AD997" s="1" t="s">
        <v>2562</v>
      </c>
      <c r="AE997" s="1" t="str">
        <f t="shared" si="76"/>
        <v>2964 801S</v>
      </c>
      <c r="AF997" s="5" t="str">
        <f t="shared" si="78"/>
        <v>84</v>
      </c>
      <c r="AG997" s="1" t="str">
        <f t="shared" si="75"/>
        <v/>
      </c>
    </row>
    <row r="998" spans="1:33" x14ac:dyDescent="0.2">
      <c r="A998" s="1" t="s">
        <v>335</v>
      </c>
      <c r="B998" s="1" t="s">
        <v>2564</v>
      </c>
      <c r="C998" s="1">
        <v>2965</v>
      </c>
      <c r="D998" s="1">
        <v>1402</v>
      </c>
      <c r="E998" s="1" t="s">
        <v>1330</v>
      </c>
      <c r="F998" s="1">
        <v>2023</v>
      </c>
      <c r="G998" s="1" t="s">
        <v>346</v>
      </c>
      <c r="H998" s="1" t="s">
        <v>1346</v>
      </c>
      <c r="I998" s="1">
        <v>6</v>
      </c>
      <c r="J998" s="1" t="s">
        <v>228</v>
      </c>
      <c r="K998" s="1" t="s">
        <v>2565</v>
      </c>
      <c r="L998" s="1" t="s">
        <v>2566</v>
      </c>
      <c r="M998" s="1">
        <v>143</v>
      </c>
      <c r="N998" s="1" t="s">
        <v>39</v>
      </c>
      <c r="O998" s="1">
        <v>36.112499999999997</v>
      </c>
      <c r="P998" s="1">
        <v>-95.991699999999994</v>
      </c>
      <c r="Q998" s="1" t="s">
        <v>2545</v>
      </c>
      <c r="R998" s="1" t="s">
        <v>41</v>
      </c>
      <c r="T998" s="1" t="s">
        <v>89</v>
      </c>
      <c r="U998" s="1" t="s">
        <v>44</v>
      </c>
      <c r="AA998" s="3">
        <v>20729</v>
      </c>
      <c r="AB998" s="1" t="s">
        <v>46</v>
      </c>
      <c r="AC998" s="5">
        <v>1818</v>
      </c>
      <c r="AD998" s="1" t="s">
        <v>2567</v>
      </c>
      <c r="AE998" s="1" t="str">
        <f t="shared" si="76"/>
        <v>2965 1402</v>
      </c>
      <c r="AF998" s="5" t="str">
        <f t="shared" si="78"/>
        <v>170</v>
      </c>
      <c r="AG998" s="1" t="str">
        <f t="shared" si="75"/>
        <v/>
      </c>
    </row>
    <row r="999" spans="1:33" x14ac:dyDescent="0.2">
      <c r="A999" s="1" t="s">
        <v>335</v>
      </c>
      <c r="B999" s="1" t="s">
        <v>2564</v>
      </c>
      <c r="C999" s="1">
        <v>2965</v>
      </c>
      <c r="D999" s="1">
        <v>1404</v>
      </c>
      <c r="E999" s="1" t="s">
        <v>1330</v>
      </c>
      <c r="F999" s="1">
        <v>2023</v>
      </c>
      <c r="G999" s="1" t="s">
        <v>346</v>
      </c>
      <c r="H999" s="1" t="s">
        <v>1346</v>
      </c>
      <c r="I999" s="1">
        <v>6</v>
      </c>
      <c r="J999" s="1" t="s">
        <v>228</v>
      </c>
      <c r="K999" s="1" t="s">
        <v>2565</v>
      </c>
      <c r="L999" s="1" t="s">
        <v>2566</v>
      </c>
      <c r="M999" s="1">
        <v>143</v>
      </c>
      <c r="N999" s="1" t="s">
        <v>39</v>
      </c>
      <c r="O999" s="1">
        <v>36.112499999999997</v>
      </c>
      <c r="P999" s="1">
        <v>-95.991699999999994</v>
      </c>
      <c r="Q999" s="1" t="s">
        <v>2545</v>
      </c>
      <c r="R999" s="1" t="s">
        <v>41</v>
      </c>
      <c r="T999" s="1" t="s">
        <v>89</v>
      </c>
      <c r="U999" s="1" t="s">
        <v>44</v>
      </c>
      <c r="AA999" s="3">
        <v>21245</v>
      </c>
      <c r="AB999" s="1" t="s">
        <v>46</v>
      </c>
      <c r="AC999" s="5">
        <v>1268</v>
      </c>
      <c r="AD999" s="1" t="s">
        <v>2568</v>
      </c>
      <c r="AE999" s="1" t="str">
        <f t="shared" si="76"/>
        <v>2965 1404</v>
      </c>
      <c r="AF999" s="5" t="str">
        <f t="shared" si="78"/>
        <v>170</v>
      </c>
      <c r="AG999" s="1" t="str">
        <f t="shared" si="75"/>
        <v/>
      </c>
    </row>
    <row r="1000" spans="1:33" x14ac:dyDescent="0.2">
      <c r="A1000" s="1" t="s">
        <v>335</v>
      </c>
      <c r="B1000" s="1" t="s">
        <v>2569</v>
      </c>
      <c r="C1000" s="1">
        <v>3006</v>
      </c>
      <c r="D1000" s="1">
        <v>3</v>
      </c>
      <c r="F1000" s="1">
        <v>2023</v>
      </c>
      <c r="G1000" s="1" t="s">
        <v>346</v>
      </c>
      <c r="H1000" s="1">
        <v>607703</v>
      </c>
      <c r="I1000" s="1">
        <v>6</v>
      </c>
      <c r="K1000" s="1" t="s">
        <v>2554</v>
      </c>
      <c r="L1000" s="1" t="s">
        <v>2555</v>
      </c>
      <c r="M1000" s="1">
        <v>15</v>
      </c>
      <c r="N1000" s="1" t="s">
        <v>39</v>
      </c>
      <c r="O1000" s="1">
        <v>35.084699999999998</v>
      </c>
      <c r="P1000" s="1">
        <v>-98.23</v>
      </c>
      <c r="Q1000" s="1" t="s">
        <v>2570</v>
      </c>
      <c r="R1000" s="1" t="s">
        <v>41</v>
      </c>
      <c r="T1000" s="1" t="s">
        <v>89</v>
      </c>
      <c r="U1000" s="1" t="s">
        <v>44</v>
      </c>
      <c r="AA1000" s="3">
        <v>21462</v>
      </c>
      <c r="AB1000" s="1" t="s">
        <v>46</v>
      </c>
      <c r="AC1000" s="5">
        <v>800</v>
      </c>
      <c r="AD1000" s="1" t="s">
        <v>2571</v>
      </c>
      <c r="AE1000" s="1" t="str">
        <f t="shared" si="76"/>
        <v>3006 3</v>
      </c>
      <c r="AF1000" s="5" t="str">
        <f t="shared" si="78"/>
        <v>44</v>
      </c>
      <c r="AG1000" s="1" t="str">
        <f t="shared" si="75"/>
        <v/>
      </c>
    </row>
    <row r="1001" spans="1:33" x14ac:dyDescent="0.2">
      <c r="A1001" s="1" t="s">
        <v>335</v>
      </c>
      <c r="B1001" s="1" t="s">
        <v>2569</v>
      </c>
      <c r="C1001" s="1">
        <v>3006</v>
      </c>
      <c r="D1001" s="1">
        <v>7</v>
      </c>
      <c r="F1001" s="1">
        <v>2023</v>
      </c>
      <c r="G1001" s="1" t="s">
        <v>346</v>
      </c>
      <c r="H1001" s="1">
        <v>607703</v>
      </c>
      <c r="I1001" s="1">
        <v>6</v>
      </c>
      <c r="K1001" s="1" t="s">
        <v>2554</v>
      </c>
      <c r="L1001" s="1" t="s">
        <v>2555</v>
      </c>
      <c r="M1001" s="1">
        <v>15</v>
      </c>
      <c r="N1001" s="1" t="s">
        <v>39</v>
      </c>
      <c r="O1001" s="1">
        <v>35.084699999999998</v>
      </c>
      <c r="P1001" s="1">
        <v>-98.23</v>
      </c>
      <c r="Q1001" s="1" t="s">
        <v>2570</v>
      </c>
      <c r="R1001" s="1" t="s">
        <v>41</v>
      </c>
      <c r="T1001" s="1" t="s">
        <v>93</v>
      </c>
      <c r="U1001" s="1" t="s">
        <v>44</v>
      </c>
      <c r="X1001" s="1" t="s">
        <v>95</v>
      </c>
      <c r="AA1001" s="3">
        <v>36993</v>
      </c>
      <c r="AB1001" s="1" t="s">
        <v>46</v>
      </c>
      <c r="AC1001" s="5">
        <v>471.3</v>
      </c>
      <c r="AD1001" s="1" t="s">
        <v>2572</v>
      </c>
      <c r="AE1001" s="1" t="str">
        <f t="shared" si="76"/>
        <v>3006 7</v>
      </c>
      <c r="AF1001" s="5" t="str">
        <f t="shared" si="78"/>
        <v>45</v>
      </c>
      <c r="AG1001" s="1" t="str">
        <f t="shared" si="75"/>
        <v/>
      </c>
    </row>
    <row r="1002" spans="1:33" x14ac:dyDescent="0.2">
      <c r="A1002" s="1" t="s">
        <v>335</v>
      </c>
      <c r="B1002" s="1" t="s">
        <v>2569</v>
      </c>
      <c r="C1002" s="1">
        <v>3006</v>
      </c>
      <c r="D1002" s="1">
        <v>8</v>
      </c>
      <c r="F1002" s="1">
        <v>2023</v>
      </c>
      <c r="G1002" s="1" t="s">
        <v>346</v>
      </c>
      <c r="H1002" s="1">
        <v>607703</v>
      </c>
      <c r="I1002" s="1">
        <v>6</v>
      </c>
      <c r="K1002" s="1" t="s">
        <v>2554</v>
      </c>
      <c r="L1002" s="1" t="s">
        <v>2555</v>
      </c>
      <c r="M1002" s="1">
        <v>15</v>
      </c>
      <c r="N1002" s="1" t="s">
        <v>39</v>
      </c>
      <c r="O1002" s="1">
        <v>35.084699999999998</v>
      </c>
      <c r="P1002" s="1">
        <v>-98.23</v>
      </c>
      <c r="Q1002" s="1" t="s">
        <v>2570</v>
      </c>
      <c r="R1002" s="1" t="s">
        <v>41</v>
      </c>
      <c r="T1002" s="1" t="s">
        <v>93</v>
      </c>
      <c r="U1002" s="1" t="s">
        <v>44</v>
      </c>
      <c r="X1002" s="1" t="s">
        <v>95</v>
      </c>
      <c r="AA1002" s="3">
        <v>36993</v>
      </c>
      <c r="AB1002" s="1" t="s">
        <v>46</v>
      </c>
      <c r="AC1002" s="5">
        <v>475.6</v>
      </c>
      <c r="AD1002" s="1" t="s">
        <v>2573</v>
      </c>
      <c r="AE1002" s="1" t="str">
        <f t="shared" si="76"/>
        <v>3006 8</v>
      </c>
      <c r="AF1002" s="5" t="str">
        <f t="shared" si="78"/>
        <v>45</v>
      </c>
      <c r="AG1002" s="1" t="str">
        <f t="shared" si="75"/>
        <v/>
      </c>
    </row>
    <row r="1003" spans="1:33" x14ac:dyDescent="0.2">
      <c r="A1003" s="1" t="s">
        <v>335</v>
      </c>
      <c r="B1003" s="1" t="s">
        <v>2569</v>
      </c>
      <c r="C1003" s="1">
        <v>3006</v>
      </c>
      <c r="D1003" s="1">
        <v>9</v>
      </c>
      <c r="F1003" s="1">
        <v>2023</v>
      </c>
      <c r="G1003" s="1" t="s">
        <v>346</v>
      </c>
      <c r="H1003" s="1">
        <v>607703</v>
      </c>
      <c r="I1003" s="1">
        <v>6</v>
      </c>
      <c r="K1003" s="1" t="s">
        <v>2554</v>
      </c>
      <c r="L1003" s="1" t="s">
        <v>2555</v>
      </c>
      <c r="M1003" s="1">
        <v>15</v>
      </c>
      <c r="N1003" s="1" t="s">
        <v>39</v>
      </c>
      <c r="O1003" s="1">
        <v>35.084699999999998</v>
      </c>
      <c r="P1003" s="1">
        <v>-98.23</v>
      </c>
      <c r="Q1003" s="1" t="s">
        <v>2570</v>
      </c>
      <c r="R1003" s="1" t="s">
        <v>41</v>
      </c>
      <c r="T1003" s="1" t="s">
        <v>93</v>
      </c>
      <c r="U1003" s="1" t="s">
        <v>44</v>
      </c>
      <c r="X1003" s="1" t="s">
        <v>95</v>
      </c>
      <c r="AA1003" s="3">
        <v>39950</v>
      </c>
      <c r="AB1003" s="1" t="s">
        <v>46</v>
      </c>
      <c r="AC1003" s="5">
        <v>505</v>
      </c>
      <c r="AD1003" s="1" t="s">
        <v>2574</v>
      </c>
      <c r="AE1003" s="1" t="str">
        <f t="shared" si="76"/>
        <v>3006 9</v>
      </c>
      <c r="AF1003" s="5" t="str">
        <f t="shared" si="78"/>
        <v>45</v>
      </c>
      <c r="AG1003" s="1" t="str">
        <f t="shared" si="75"/>
        <v/>
      </c>
    </row>
    <row r="1004" spans="1:33" x14ac:dyDescent="0.2">
      <c r="A1004" s="1" t="s">
        <v>335</v>
      </c>
      <c r="B1004" s="1" t="s">
        <v>2569</v>
      </c>
      <c r="C1004" s="1">
        <v>3006</v>
      </c>
      <c r="D1004" s="1">
        <v>10</v>
      </c>
      <c r="F1004" s="1">
        <v>2023</v>
      </c>
      <c r="G1004" s="1" t="s">
        <v>346</v>
      </c>
      <c r="H1004" s="1">
        <v>607703</v>
      </c>
      <c r="I1004" s="1">
        <v>6</v>
      </c>
      <c r="K1004" s="1" t="s">
        <v>2554</v>
      </c>
      <c r="L1004" s="1" t="s">
        <v>2555</v>
      </c>
      <c r="M1004" s="1">
        <v>15</v>
      </c>
      <c r="N1004" s="1" t="s">
        <v>39</v>
      </c>
      <c r="O1004" s="1">
        <v>35.084699999999998</v>
      </c>
      <c r="P1004" s="1">
        <v>-98.23</v>
      </c>
      <c r="Q1004" s="1" t="s">
        <v>2570</v>
      </c>
      <c r="R1004" s="1" t="s">
        <v>41</v>
      </c>
      <c r="T1004" s="1" t="s">
        <v>93</v>
      </c>
      <c r="U1004" s="1" t="s">
        <v>44</v>
      </c>
      <c r="X1004" s="1" t="s">
        <v>95</v>
      </c>
      <c r="AA1004" s="3">
        <v>39946</v>
      </c>
      <c r="AB1004" s="1" t="s">
        <v>46</v>
      </c>
      <c r="AC1004" s="5">
        <v>490</v>
      </c>
      <c r="AD1004" s="1" t="s">
        <v>2575</v>
      </c>
      <c r="AE1004" s="1" t="str">
        <f t="shared" si="76"/>
        <v>3006 10</v>
      </c>
      <c r="AF1004" s="5" t="str">
        <f t="shared" si="78"/>
        <v>45</v>
      </c>
      <c r="AG1004" s="1" t="str">
        <f t="shared" si="75"/>
        <v/>
      </c>
    </row>
    <row r="1005" spans="1:33" x14ac:dyDescent="0.2">
      <c r="A1005" s="1" t="s">
        <v>335</v>
      </c>
      <c r="B1005" s="1" t="s">
        <v>2569</v>
      </c>
      <c r="C1005" s="1">
        <v>3006</v>
      </c>
      <c r="D1005" s="1">
        <v>11</v>
      </c>
      <c r="F1005" s="1">
        <v>2023</v>
      </c>
      <c r="G1005" s="1" t="s">
        <v>346</v>
      </c>
      <c r="H1005" s="1">
        <v>607703</v>
      </c>
      <c r="I1005" s="1">
        <v>6</v>
      </c>
      <c r="K1005" s="1" t="s">
        <v>2554</v>
      </c>
      <c r="L1005" s="1" t="s">
        <v>2555</v>
      </c>
      <c r="M1005" s="1">
        <v>15</v>
      </c>
      <c r="N1005" s="1" t="s">
        <v>39</v>
      </c>
      <c r="O1005" s="1">
        <v>35.084699999999998</v>
      </c>
      <c r="P1005" s="1">
        <v>-98.23</v>
      </c>
      <c r="Q1005" s="1" t="s">
        <v>2570</v>
      </c>
      <c r="R1005" s="1" t="s">
        <v>41</v>
      </c>
      <c r="T1005" s="1" t="s">
        <v>93</v>
      </c>
      <c r="U1005" s="1" t="s">
        <v>44</v>
      </c>
      <c r="X1005" s="1" t="s">
        <v>95</v>
      </c>
      <c r="AA1005" s="3">
        <v>39975</v>
      </c>
      <c r="AB1005" s="1" t="s">
        <v>46</v>
      </c>
      <c r="AC1005" s="5">
        <v>505</v>
      </c>
      <c r="AD1005" s="1" t="s">
        <v>2576</v>
      </c>
      <c r="AE1005" s="1" t="str">
        <f t="shared" si="76"/>
        <v>3006 11</v>
      </c>
      <c r="AF1005" s="5" t="str">
        <f t="shared" si="78"/>
        <v>45</v>
      </c>
      <c r="AG1005" s="1" t="str">
        <f t="shared" si="75"/>
        <v/>
      </c>
    </row>
    <row r="1006" spans="1:33" x14ac:dyDescent="0.2">
      <c r="A1006" s="1" t="s">
        <v>335</v>
      </c>
      <c r="B1006" s="1" t="s">
        <v>2577</v>
      </c>
      <c r="C1006" s="1">
        <v>3008</v>
      </c>
      <c r="D1006" s="1">
        <v>1</v>
      </c>
      <c r="F1006" s="1">
        <v>2023</v>
      </c>
      <c r="G1006" s="1" t="s">
        <v>346</v>
      </c>
      <c r="H1006" s="1">
        <v>607703</v>
      </c>
      <c r="I1006" s="1">
        <v>6</v>
      </c>
      <c r="J1006" s="1" t="s">
        <v>228</v>
      </c>
      <c r="K1006" s="1" t="s">
        <v>2578</v>
      </c>
      <c r="L1006" s="1" t="s">
        <v>2579</v>
      </c>
      <c r="M1006" s="1">
        <v>153</v>
      </c>
      <c r="N1006" s="1" t="s">
        <v>39</v>
      </c>
      <c r="O1006" s="1">
        <v>36.4375</v>
      </c>
      <c r="P1006" s="1">
        <v>-99.220799999999997</v>
      </c>
      <c r="Q1006" s="1" t="s">
        <v>2570</v>
      </c>
      <c r="R1006" s="1" t="s">
        <v>41</v>
      </c>
      <c r="T1006" s="1" t="s">
        <v>89</v>
      </c>
      <c r="U1006" s="1" t="s">
        <v>44</v>
      </c>
      <c r="AA1006" s="3">
        <v>23463</v>
      </c>
      <c r="AB1006" s="1" t="s">
        <v>46</v>
      </c>
      <c r="AC1006" s="5">
        <v>756</v>
      </c>
      <c r="AD1006" s="1" t="s">
        <v>2580</v>
      </c>
      <c r="AE1006" s="1" t="str">
        <f t="shared" si="76"/>
        <v>3008 1</v>
      </c>
      <c r="AF1006" s="5" t="str">
        <f t="shared" si="78"/>
        <v>44</v>
      </c>
      <c r="AG1006" s="1" t="str">
        <f t="shared" si="75"/>
        <v/>
      </c>
    </row>
    <row r="1007" spans="1:33" x14ac:dyDescent="0.2">
      <c r="A1007" s="1" t="s">
        <v>335</v>
      </c>
      <c r="B1007" s="1" t="s">
        <v>2577</v>
      </c>
      <c r="C1007" s="1">
        <v>3008</v>
      </c>
      <c r="D1007" s="1">
        <v>2</v>
      </c>
      <c r="F1007" s="1">
        <v>2023</v>
      </c>
      <c r="G1007" s="1" t="s">
        <v>346</v>
      </c>
      <c r="H1007" s="1">
        <v>607703</v>
      </c>
      <c r="I1007" s="1">
        <v>6</v>
      </c>
      <c r="J1007" s="1" t="s">
        <v>228</v>
      </c>
      <c r="K1007" s="1" t="s">
        <v>2578</v>
      </c>
      <c r="L1007" s="1" t="s">
        <v>2579</v>
      </c>
      <c r="M1007" s="1">
        <v>153</v>
      </c>
      <c r="N1007" s="1" t="s">
        <v>39</v>
      </c>
      <c r="O1007" s="1">
        <v>36.4375</v>
      </c>
      <c r="P1007" s="1">
        <v>-99.220799999999997</v>
      </c>
      <c r="Q1007" s="1" t="s">
        <v>2570</v>
      </c>
      <c r="R1007" s="1" t="s">
        <v>41</v>
      </c>
      <c r="T1007" s="1" t="s">
        <v>89</v>
      </c>
      <c r="U1007" s="1" t="s">
        <v>44</v>
      </c>
      <c r="AA1007" s="3">
        <v>24971</v>
      </c>
      <c r="AB1007" s="1" t="s">
        <v>46</v>
      </c>
      <c r="AC1007" s="5">
        <v>1624</v>
      </c>
      <c r="AD1007" s="1" t="s">
        <v>2581</v>
      </c>
      <c r="AE1007" s="1" t="str">
        <f t="shared" si="76"/>
        <v>3008 2</v>
      </c>
      <c r="AF1007" s="5" t="str">
        <f t="shared" si="78"/>
        <v>125</v>
      </c>
      <c r="AG1007" s="1" t="str">
        <f t="shared" si="75"/>
        <v/>
      </c>
    </row>
    <row r="1008" spans="1:33" x14ac:dyDescent="0.2">
      <c r="A1008" s="1" t="s">
        <v>335</v>
      </c>
      <c r="B1008" s="1" t="s">
        <v>2577</v>
      </c>
      <c r="C1008" s="1">
        <v>3008</v>
      </c>
      <c r="D1008" s="1">
        <v>3</v>
      </c>
      <c r="F1008" s="1">
        <v>2023</v>
      </c>
      <c r="G1008" s="1" t="s">
        <v>346</v>
      </c>
      <c r="H1008" s="1">
        <v>607703</v>
      </c>
      <c r="I1008" s="1">
        <v>6</v>
      </c>
      <c r="J1008" s="1" t="s">
        <v>228</v>
      </c>
      <c r="K1008" s="1" t="s">
        <v>2578</v>
      </c>
      <c r="L1008" s="1" t="s">
        <v>2579</v>
      </c>
      <c r="M1008" s="1">
        <v>153</v>
      </c>
      <c r="N1008" s="1" t="s">
        <v>39</v>
      </c>
      <c r="O1008" s="1">
        <v>36.4375</v>
      </c>
      <c r="P1008" s="1">
        <v>-99.220799999999997</v>
      </c>
      <c r="Q1008" s="1" t="s">
        <v>2570</v>
      </c>
      <c r="R1008" s="1" t="s">
        <v>41</v>
      </c>
      <c r="T1008" s="1" t="s">
        <v>89</v>
      </c>
      <c r="U1008" s="1" t="s">
        <v>44</v>
      </c>
      <c r="X1008" s="1" t="s">
        <v>2582</v>
      </c>
      <c r="AA1008" s="3">
        <v>27513</v>
      </c>
      <c r="AB1008" s="1" t="s">
        <v>46</v>
      </c>
      <c r="AC1008" s="5">
        <v>1755</v>
      </c>
      <c r="AD1008" s="1" t="s">
        <v>2583</v>
      </c>
      <c r="AE1008" s="1" t="str">
        <f t="shared" si="76"/>
        <v>3008 3</v>
      </c>
      <c r="AF1008" s="5" t="str">
        <f t="shared" si="78"/>
        <v>135</v>
      </c>
      <c r="AG1008" s="1" t="str">
        <f t="shared" si="75"/>
        <v/>
      </c>
    </row>
    <row r="1009" spans="1:33" x14ac:dyDescent="0.2">
      <c r="A1009" s="1" t="s">
        <v>2584</v>
      </c>
      <c r="B1009" s="1" t="s">
        <v>2585</v>
      </c>
      <c r="C1009" s="1">
        <v>3096</v>
      </c>
      <c r="D1009" s="1">
        <v>3</v>
      </c>
      <c r="F1009" s="1">
        <v>2023</v>
      </c>
      <c r="G1009" s="1" t="s">
        <v>1515</v>
      </c>
      <c r="H1009" s="1">
        <v>1427</v>
      </c>
      <c r="I1009" s="1">
        <v>3</v>
      </c>
      <c r="K1009" s="1" t="s">
        <v>2586</v>
      </c>
      <c r="L1009" s="1" t="s">
        <v>2587</v>
      </c>
      <c r="M1009" s="1">
        <v>3</v>
      </c>
      <c r="N1009" s="1" t="s">
        <v>39</v>
      </c>
      <c r="O1009" s="1">
        <v>40.463799999999999</v>
      </c>
      <c r="P1009" s="1">
        <v>-80.043999999999997</v>
      </c>
      <c r="Q1009" s="1" t="s">
        <v>2588</v>
      </c>
      <c r="R1009" s="1" t="s">
        <v>41</v>
      </c>
      <c r="T1009" s="1" t="s">
        <v>71</v>
      </c>
      <c r="U1009" s="1" t="s">
        <v>44</v>
      </c>
      <c r="X1009" s="1" t="s">
        <v>611</v>
      </c>
      <c r="AA1009" s="3">
        <v>26816</v>
      </c>
      <c r="AB1009" s="1" t="s">
        <v>46</v>
      </c>
      <c r="AC1009" s="5">
        <v>918</v>
      </c>
      <c r="AD1009" s="1" t="s">
        <v>2589</v>
      </c>
      <c r="AE1009" s="1" t="str">
        <f t="shared" si="76"/>
        <v>3096 3</v>
      </c>
      <c r="AF1009" s="14">
        <f>MID(AD1009,FIND("(",AD1009)+1,FIND(")",AD1009)-FIND("(",AD1009)-1)+136.9/3</f>
        <v>110.93333333333334</v>
      </c>
      <c r="AG1009" s="1" t="str">
        <f t="shared" si="75"/>
        <v>Y</v>
      </c>
    </row>
    <row r="1010" spans="1:33" x14ac:dyDescent="0.2">
      <c r="A1010" s="1" t="s">
        <v>2584</v>
      </c>
      <c r="B1010" s="1" t="s">
        <v>2585</v>
      </c>
      <c r="C1010" s="1">
        <v>3096</v>
      </c>
      <c r="D1010" s="1" t="s">
        <v>372</v>
      </c>
      <c r="F1010" s="1">
        <v>2023</v>
      </c>
      <c r="G1010" s="1" t="s">
        <v>2309</v>
      </c>
      <c r="H1010" s="1">
        <v>1427</v>
      </c>
      <c r="I1010" s="1">
        <v>3</v>
      </c>
      <c r="K1010" s="1" t="s">
        <v>2586</v>
      </c>
      <c r="L1010" s="1" t="s">
        <v>2587</v>
      </c>
      <c r="M1010" s="1">
        <v>3</v>
      </c>
      <c r="N1010" s="1" t="s">
        <v>39</v>
      </c>
      <c r="O1010" s="1">
        <v>40.463799999999999</v>
      </c>
      <c r="P1010" s="1">
        <v>-80.043999999999997</v>
      </c>
      <c r="Q1010" s="1" t="s">
        <v>2588</v>
      </c>
      <c r="T1010" s="1" t="s">
        <v>93</v>
      </c>
      <c r="U1010" s="1" t="s">
        <v>94</v>
      </c>
      <c r="AA1010" s="3">
        <v>26382</v>
      </c>
      <c r="AB1010" s="1" t="s">
        <v>46</v>
      </c>
      <c r="AC1010" s="5">
        <v>300</v>
      </c>
      <c r="AD1010" s="1" t="s">
        <v>2590</v>
      </c>
      <c r="AE1010" s="1" t="str">
        <f t="shared" si="76"/>
        <v>3096 1A</v>
      </c>
      <c r="AF1010" s="5" t="str">
        <f>MID(AD1010,FIND("(",AD1010)+1,FIND(")",AD1010)-FIND("(",AD1010)-1)</f>
        <v>24.3</v>
      </c>
      <c r="AG1010" s="1" t="str">
        <f t="shared" si="75"/>
        <v/>
      </c>
    </row>
    <row r="1011" spans="1:33" x14ac:dyDescent="0.2">
      <c r="A1011" s="1" t="s">
        <v>2584</v>
      </c>
      <c r="B1011" s="1" t="s">
        <v>2585</v>
      </c>
      <c r="C1011" s="1">
        <v>3096</v>
      </c>
      <c r="D1011" s="1" t="s">
        <v>377</v>
      </c>
      <c r="F1011" s="1">
        <v>2023</v>
      </c>
      <c r="G1011" s="1" t="s">
        <v>1515</v>
      </c>
      <c r="H1011" s="1">
        <v>1427</v>
      </c>
      <c r="I1011" s="1">
        <v>3</v>
      </c>
      <c r="K1011" s="1" t="s">
        <v>2586</v>
      </c>
      <c r="L1011" s="1" t="s">
        <v>2587</v>
      </c>
      <c r="M1011" s="1">
        <v>3</v>
      </c>
      <c r="N1011" s="1" t="s">
        <v>39</v>
      </c>
      <c r="O1011" s="1">
        <v>40.463799999999999</v>
      </c>
      <c r="P1011" s="1">
        <v>-80.043999999999997</v>
      </c>
      <c r="Q1011" s="1" t="s">
        <v>2588</v>
      </c>
      <c r="R1011" s="1" t="s">
        <v>41</v>
      </c>
      <c r="T1011" s="1" t="s">
        <v>71</v>
      </c>
      <c r="U1011" s="1" t="s">
        <v>44</v>
      </c>
      <c r="X1011" s="1" t="s">
        <v>611</v>
      </c>
      <c r="AA1011" s="3">
        <v>26816</v>
      </c>
      <c r="AB1011" s="1" t="s">
        <v>46</v>
      </c>
      <c r="AC1011" s="5">
        <v>918</v>
      </c>
      <c r="AD1011" s="1" t="s">
        <v>2591</v>
      </c>
      <c r="AE1011" s="1" t="str">
        <f t="shared" si="76"/>
        <v>3096 2A</v>
      </c>
      <c r="AF1011" s="14">
        <f>AF1009</f>
        <v>110.93333333333334</v>
      </c>
      <c r="AG1011" s="1" t="str">
        <f t="shared" si="75"/>
        <v>Y</v>
      </c>
    </row>
    <row r="1012" spans="1:33" x14ac:dyDescent="0.2">
      <c r="A1012" s="1" t="s">
        <v>2584</v>
      </c>
      <c r="B1012" s="1" t="s">
        <v>2585</v>
      </c>
      <c r="C1012" s="1">
        <v>3096</v>
      </c>
      <c r="D1012" s="1" t="s">
        <v>1201</v>
      </c>
      <c r="F1012" s="1">
        <v>2023</v>
      </c>
      <c r="G1012" s="1" t="s">
        <v>1515</v>
      </c>
      <c r="H1012" s="1">
        <v>1427</v>
      </c>
      <c r="I1012" s="1">
        <v>3</v>
      </c>
      <c r="K1012" s="1" t="s">
        <v>2586</v>
      </c>
      <c r="L1012" s="1" t="s">
        <v>2587</v>
      </c>
      <c r="M1012" s="1">
        <v>3</v>
      </c>
      <c r="N1012" s="1" t="s">
        <v>39</v>
      </c>
      <c r="O1012" s="1">
        <v>40.463799999999999</v>
      </c>
      <c r="P1012" s="1">
        <v>-80.043999999999997</v>
      </c>
      <c r="Q1012" s="1" t="s">
        <v>2588</v>
      </c>
      <c r="R1012" s="1" t="s">
        <v>41</v>
      </c>
      <c r="T1012" s="1" t="s">
        <v>71</v>
      </c>
      <c r="U1012" s="1" t="s">
        <v>44</v>
      </c>
      <c r="X1012" s="1" t="s">
        <v>611</v>
      </c>
      <c r="AA1012" s="3">
        <v>26816</v>
      </c>
      <c r="AB1012" s="1" t="s">
        <v>46</v>
      </c>
      <c r="AC1012" s="5">
        <v>960</v>
      </c>
      <c r="AD1012" s="1" t="s">
        <v>2592</v>
      </c>
      <c r="AE1012" s="1" t="str">
        <f t="shared" si="76"/>
        <v>3096 2B</v>
      </c>
      <c r="AF1012" s="14">
        <f>AF1009</f>
        <v>110.93333333333334</v>
      </c>
      <c r="AG1012" s="1" t="str">
        <f t="shared" si="75"/>
        <v>Y</v>
      </c>
    </row>
    <row r="1013" spans="1:33" x14ac:dyDescent="0.2">
      <c r="A1013" s="1" t="s">
        <v>2584</v>
      </c>
      <c r="B1013" s="1" t="s">
        <v>2593</v>
      </c>
      <c r="C1013" s="1">
        <v>3111</v>
      </c>
      <c r="D1013" s="1">
        <v>31</v>
      </c>
      <c r="F1013" s="1">
        <v>2023</v>
      </c>
      <c r="G1013" s="1" t="s">
        <v>1528</v>
      </c>
      <c r="H1013" s="1">
        <v>748</v>
      </c>
      <c r="I1013" s="1">
        <v>3</v>
      </c>
      <c r="K1013" s="1" t="s">
        <v>1158</v>
      </c>
      <c r="L1013" s="1" t="s">
        <v>2594</v>
      </c>
      <c r="M1013" s="1">
        <v>41</v>
      </c>
      <c r="N1013" s="1" t="s">
        <v>39</v>
      </c>
      <c r="O1013" s="1">
        <v>40.121899999999997</v>
      </c>
      <c r="P1013" s="1">
        <v>-77.176100000000005</v>
      </c>
      <c r="Q1013" s="1" t="s">
        <v>2595</v>
      </c>
      <c r="T1013" s="1" t="s">
        <v>93</v>
      </c>
      <c r="U1013" s="1" t="s">
        <v>94</v>
      </c>
      <c r="V1013" s="1" t="s">
        <v>44</v>
      </c>
      <c r="AA1013" s="3">
        <v>26085</v>
      </c>
      <c r="AB1013" s="1" t="s">
        <v>46</v>
      </c>
      <c r="AC1013" s="5">
        <v>326</v>
      </c>
      <c r="AD1013" s="1" t="s">
        <v>2596</v>
      </c>
      <c r="AE1013" s="1" t="str">
        <f t="shared" si="76"/>
        <v>3111 31</v>
      </c>
      <c r="AF1013" s="5" t="str">
        <f t="shared" ref="AF1013:AF1045" si="79">MID(AD1013,FIND("(",AD1013)+1,FIND(")",AD1013)-FIND("(",AD1013)-1)</f>
        <v>26.6</v>
      </c>
      <c r="AG1013" s="1" t="str">
        <f t="shared" si="75"/>
        <v/>
      </c>
    </row>
    <row r="1014" spans="1:33" x14ac:dyDescent="0.2">
      <c r="A1014" s="1" t="s">
        <v>2584</v>
      </c>
      <c r="B1014" s="1" t="s">
        <v>2593</v>
      </c>
      <c r="C1014" s="1">
        <v>3111</v>
      </c>
      <c r="D1014" s="1">
        <v>32</v>
      </c>
      <c r="F1014" s="1">
        <v>2023</v>
      </c>
      <c r="G1014" s="1" t="s">
        <v>1528</v>
      </c>
      <c r="H1014" s="1">
        <v>748</v>
      </c>
      <c r="I1014" s="1">
        <v>3</v>
      </c>
      <c r="K1014" s="1" t="s">
        <v>1158</v>
      </c>
      <c r="L1014" s="1" t="s">
        <v>2594</v>
      </c>
      <c r="M1014" s="1">
        <v>41</v>
      </c>
      <c r="N1014" s="1" t="s">
        <v>39</v>
      </c>
      <c r="O1014" s="1">
        <v>40.121899999999997</v>
      </c>
      <c r="P1014" s="1">
        <v>-77.176100000000005</v>
      </c>
      <c r="Q1014" s="1" t="s">
        <v>2595</v>
      </c>
      <c r="T1014" s="1" t="s">
        <v>93</v>
      </c>
      <c r="U1014" s="1" t="s">
        <v>94</v>
      </c>
      <c r="V1014" s="1" t="s">
        <v>44</v>
      </c>
      <c r="AA1014" s="3">
        <v>26085</v>
      </c>
      <c r="AB1014" s="1" t="s">
        <v>46</v>
      </c>
      <c r="AC1014" s="5">
        <v>326</v>
      </c>
      <c r="AD1014" s="1" t="s">
        <v>2597</v>
      </c>
      <c r="AE1014" s="1" t="str">
        <f t="shared" si="76"/>
        <v>3111 32</v>
      </c>
      <c r="AF1014" s="5" t="str">
        <f t="shared" si="79"/>
        <v>26.6</v>
      </c>
      <c r="AG1014" s="1" t="str">
        <f t="shared" si="75"/>
        <v/>
      </c>
    </row>
    <row r="1015" spans="1:33" x14ac:dyDescent="0.2">
      <c r="A1015" s="1" t="s">
        <v>2584</v>
      </c>
      <c r="B1015" s="1" t="s">
        <v>2598</v>
      </c>
      <c r="C1015" s="1">
        <v>3113</v>
      </c>
      <c r="D1015" s="1">
        <v>5</v>
      </c>
      <c r="F1015" s="1">
        <v>2023</v>
      </c>
      <c r="G1015" s="1" t="s">
        <v>1515</v>
      </c>
      <c r="H1015" s="1">
        <v>1427</v>
      </c>
      <c r="I1015" s="1">
        <v>3</v>
      </c>
      <c r="J1015" s="1" t="s">
        <v>668</v>
      </c>
      <c r="K1015" s="1" t="s">
        <v>2599</v>
      </c>
      <c r="L1015" s="1" t="s">
        <v>2600</v>
      </c>
      <c r="M1015" s="1">
        <v>95</v>
      </c>
      <c r="N1015" s="1" t="s">
        <v>39</v>
      </c>
      <c r="O1015" s="1">
        <v>40.909999999999997</v>
      </c>
      <c r="P1015" s="1">
        <v>-75.078900000000004</v>
      </c>
      <c r="Q1015" s="1" t="s">
        <v>2601</v>
      </c>
      <c r="R1015" s="1" t="s">
        <v>41</v>
      </c>
      <c r="T1015" s="1" t="s">
        <v>93</v>
      </c>
      <c r="U1015" s="1" t="s">
        <v>44</v>
      </c>
      <c r="V1015" s="1" t="s">
        <v>94</v>
      </c>
      <c r="X1015" s="1" t="s">
        <v>183</v>
      </c>
      <c r="AA1015" s="3">
        <v>34881</v>
      </c>
      <c r="AB1015" s="1" t="s">
        <v>46</v>
      </c>
      <c r="AC1015" s="5">
        <v>1950</v>
      </c>
      <c r="AD1015" s="1" t="s">
        <v>2602</v>
      </c>
      <c r="AE1015" s="1" t="str">
        <f t="shared" si="76"/>
        <v>3113 5</v>
      </c>
      <c r="AF1015" s="5" t="str">
        <f t="shared" si="79"/>
        <v>156</v>
      </c>
      <c r="AG1015" s="1" t="str">
        <f t="shared" si="75"/>
        <v/>
      </c>
    </row>
    <row r="1016" spans="1:33" x14ac:dyDescent="0.2">
      <c r="A1016" s="1" t="s">
        <v>2584</v>
      </c>
      <c r="B1016" s="1" t="s">
        <v>2603</v>
      </c>
      <c r="C1016" s="1">
        <v>3116</v>
      </c>
      <c r="D1016" s="1">
        <v>31</v>
      </c>
      <c r="F1016" s="1">
        <v>2023</v>
      </c>
      <c r="G1016" s="1" t="s">
        <v>1528</v>
      </c>
      <c r="H1016" s="1">
        <v>748</v>
      </c>
      <c r="I1016" s="1">
        <v>3</v>
      </c>
      <c r="K1016" s="1" t="s">
        <v>2604</v>
      </c>
      <c r="L1016" s="1" t="s">
        <v>2605</v>
      </c>
      <c r="M1016" s="1">
        <v>133</v>
      </c>
      <c r="N1016" s="1" t="s">
        <v>39</v>
      </c>
      <c r="O1016" s="1">
        <v>39.763599999999997</v>
      </c>
      <c r="P1016" s="1">
        <v>-76.634500000000003</v>
      </c>
      <c r="Q1016" s="1" t="s">
        <v>2606</v>
      </c>
      <c r="T1016" s="1" t="s">
        <v>93</v>
      </c>
      <c r="U1016" s="1" t="s">
        <v>94</v>
      </c>
      <c r="AA1016" s="3">
        <v>26085</v>
      </c>
      <c r="AB1016" s="1" t="s">
        <v>46</v>
      </c>
      <c r="AC1016" s="5">
        <v>305</v>
      </c>
      <c r="AD1016" s="1" t="s">
        <v>2596</v>
      </c>
      <c r="AE1016" s="1" t="str">
        <f t="shared" si="76"/>
        <v>3116 31</v>
      </c>
      <c r="AF1016" s="5" t="str">
        <f t="shared" si="79"/>
        <v>26.6</v>
      </c>
      <c r="AG1016" s="1" t="str">
        <f t="shared" si="75"/>
        <v/>
      </c>
    </row>
    <row r="1017" spans="1:33" x14ac:dyDescent="0.2">
      <c r="A1017" s="1" t="s">
        <v>2584</v>
      </c>
      <c r="B1017" s="1" t="s">
        <v>2603</v>
      </c>
      <c r="C1017" s="1">
        <v>3116</v>
      </c>
      <c r="D1017" s="1">
        <v>32</v>
      </c>
      <c r="F1017" s="1">
        <v>2023</v>
      </c>
      <c r="G1017" s="1" t="s">
        <v>1528</v>
      </c>
      <c r="H1017" s="1">
        <v>748</v>
      </c>
      <c r="I1017" s="1">
        <v>3</v>
      </c>
      <c r="K1017" s="1" t="s">
        <v>2604</v>
      </c>
      <c r="L1017" s="1" t="s">
        <v>2605</v>
      </c>
      <c r="M1017" s="1">
        <v>133</v>
      </c>
      <c r="N1017" s="1" t="s">
        <v>39</v>
      </c>
      <c r="O1017" s="1">
        <v>39.763599999999997</v>
      </c>
      <c r="P1017" s="1">
        <v>-76.634500000000003</v>
      </c>
      <c r="Q1017" s="1" t="s">
        <v>2606</v>
      </c>
      <c r="T1017" s="1" t="s">
        <v>93</v>
      </c>
      <c r="U1017" s="1" t="s">
        <v>94</v>
      </c>
      <c r="AA1017" s="3">
        <v>26085</v>
      </c>
      <c r="AB1017" s="1" t="s">
        <v>46</v>
      </c>
      <c r="AC1017" s="5">
        <v>305</v>
      </c>
      <c r="AD1017" s="1" t="s">
        <v>2597</v>
      </c>
      <c r="AE1017" s="1" t="str">
        <f t="shared" si="76"/>
        <v>3116 32</v>
      </c>
      <c r="AF1017" s="5" t="str">
        <f t="shared" si="79"/>
        <v>26.6</v>
      </c>
      <c r="AG1017" s="1" t="str">
        <f t="shared" si="75"/>
        <v/>
      </c>
    </row>
    <row r="1018" spans="1:33" x14ac:dyDescent="0.2">
      <c r="A1018" s="1" t="s">
        <v>2584</v>
      </c>
      <c r="B1018" s="1" t="s">
        <v>2607</v>
      </c>
      <c r="C1018" s="1">
        <v>3118</v>
      </c>
      <c r="D1018" s="1">
        <v>1</v>
      </c>
      <c r="F1018" s="1">
        <v>2023</v>
      </c>
      <c r="G1018" s="1" t="s">
        <v>682</v>
      </c>
      <c r="H1018" s="1">
        <v>609731</v>
      </c>
      <c r="I1018" s="1">
        <v>3</v>
      </c>
      <c r="J1018" s="1" t="s">
        <v>668</v>
      </c>
      <c r="K1018" s="1" t="s">
        <v>2608</v>
      </c>
      <c r="L1018" s="1" t="s">
        <v>2609</v>
      </c>
      <c r="M1018" s="1">
        <v>63</v>
      </c>
      <c r="N1018" s="1" t="s">
        <v>39</v>
      </c>
      <c r="O1018" s="1">
        <v>40.3842</v>
      </c>
      <c r="P1018" s="1">
        <v>-79.061099999999996</v>
      </c>
      <c r="Q1018" s="1" t="s">
        <v>2610</v>
      </c>
      <c r="R1018" s="1" t="s">
        <v>120</v>
      </c>
      <c r="S1018" s="1" t="s">
        <v>121</v>
      </c>
      <c r="T1018" s="1" t="s">
        <v>43</v>
      </c>
      <c r="U1018" s="1" t="s">
        <v>55</v>
      </c>
      <c r="V1018" s="1" t="s">
        <v>44</v>
      </c>
      <c r="W1018" s="1" t="s">
        <v>56</v>
      </c>
      <c r="X1018" s="1" t="s">
        <v>301</v>
      </c>
      <c r="Y1018" s="1" t="s">
        <v>58</v>
      </c>
      <c r="AA1018" s="3">
        <v>25689</v>
      </c>
      <c r="AB1018" s="1" t="s">
        <v>46</v>
      </c>
      <c r="AC1018" s="5">
        <v>9650</v>
      </c>
      <c r="AD1018" s="1" t="s">
        <v>2611</v>
      </c>
      <c r="AE1018" s="1" t="str">
        <f t="shared" si="76"/>
        <v>3118 1</v>
      </c>
      <c r="AF1018" s="5" t="str">
        <f t="shared" si="79"/>
        <v>936</v>
      </c>
      <c r="AG1018" s="1" t="str">
        <f t="shared" si="75"/>
        <v>Y</v>
      </c>
    </row>
    <row r="1019" spans="1:33" x14ac:dyDescent="0.2">
      <c r="A1019" s="1" t="s">
        <v>2584</v>
      </c>
      <c r="B1019" s="1" t="s">
        <v>2607</v>
      </c>
      <c r="C1019" s="1">
        <v>3118</v>
      </c>
      <c r="D1019" s="1">
        <v>2</v>
      </c>
      <c r="F1019" s="1">
        <v>2023</v>
      </c>
      <c r="G1019" s="1" t="s">
        <v>682</v>
      </c>
      <c r="H1019" s="1">
        <v>609731</v>
      </c>
      <c r="I1019" s="1">
        <v>3</v>
      </c>
      <c r="J1019" s="1" t="s">
        <v>668</v>
      </c>
      <c r="K1019" s="1" t="s">
        <v>2608</v>
      </c>
      <c r="L1019" s="1" t="s">
        <v>2609</v>
      </c>
      <c r="M1019" s="1">
        <v>63</v>
      </c>
      <c r="N1019" s="1" t="s">
        <v>39</v>
      </c>
      <c r="O1019" s="1">
        <v>40.3842</v>
      </c>
      <c r="P1019" s="1">
        <v>-79.061099999999996</v>
      </c>
      <c r="Q1019" s="1" t="s">
        <v>2610</v>
      </c>
      <c r="R1019" s="1" t="s">
        <v>120</v>
      </c>
      <c r="S1019" s="1" t="s">
        <v>121</v>
      </c>
      <c r="T1019" s="1" t="s">
        <v>43</v>
      </c>
      <c r="U1019" s="1" t="s">
        <v>55</v>
      </c>
      <c r="V1019" s="1" t="s">
        <v>44</v>
      </c>
      <c r="W1019" s="1" t="s">
        <v>56</v>
      </c>
      <c r="X1019" s="1" t="s">
        <v>301</v>
      </c>
      <c r="Y1019" s="1" t="s">
        <v>58</v>
      </c>
      <c r="AA1019" s="3">
        <v>26054</v>
      </c>
      <c r="AB1019" s="1" t="s">
        <v>46</v>
      </c>
      <c r="AC1019" s="5">
        <v>9615</v>
      </c>
      <c r="AD1019" s="1" t="s">
        <v>2612</v>
      </c>
      <c r="AE1019" s="1" t="str">
        <f t="shared" si="76"/>
        <v>3118 2</v>
      </c>
      <c r="AF1019" s="5" t="str">
        <f t="shared" si="79"/>
        <v>936</v>
      </c>
      <c r="AG1019" s="1" t="str">
        <f t="shared" si="75"/>
        <v>Y</v>
      </c>
    </row>
    <row r="1020" spans="1:33" x14ac:dyDescent="0.2">
      <c r="A1020" s="1" t="s">
        <v>2584</v>
      </c>
      <c r="B1020" s="1" t="s">
        <v>2613</v>
      </c>
      <c r="C1020" s="1">
        <v>3122</v>
      </c>
      <c r="D1020" s="1">
        <v>1</v>
      </c>
      <c r="F1020" s="1">
        <v>2023</v>
      </c>
      <c r="G1020" s="1" t="s">
        <v>682</v>
      </c>
      <c r="H1020" s="1" t="s">
        <v>2614</v>
      </c>
      <c r="I1020" s="1">
        <v>3</v>
      </c>
      <c r="J1020" s="1" t="s">
        <v>668</v>
      </c>
      <c r="K1020" s="1" t="s">
        <v>2608</v>
      </c>
      <c r="L1020" s="1" t="s">
        <v>2609</v>
      </c>
      <c r="M1020" s="1">
        <v>63</v>
      </c>
      <c r="N1020" s="1" t="s">
        <v>39</v>
      </c>
      <c r="O1020" s="1">
        <v>40.511000000000003</v>
      </c>
      <c r="P1020" s="1">
        <v>-79.196799999999996</v>
      </c>
      <c r="Q1020" s="1" t="s">
        <v>2615</v>
      </c>
      <c r="R1020" s="1" t="s">
        <v>41</v>
      </c>
      <c r="S1020" s="1" t="s">
        <v>211</v>
      </c>
      <c r="T1020" s="1" t="s">
        <v>89</v>
      </c>
      <c r="U1020" s="1" t="s">
        <v>55</v>
      </c>
      <c r="W1020" s="1" t="s">
        <v>212</v>
      </c>
      <c r="X1020" s="1" t="s">
        <v>563</v>
      </c>
      <c r="Y1020" s="1" t="s">
        <v>1182</v>
      </c>
      <c r="Z1020" s="1" t="s">
        <v>344</v>
      </c>
      <c r="AA1020" s="3">
        <v>25355</v>
      </c>
      <c r="AB1020" s="1" t="s">
        <v>2616</v>
      </c>
      <c r="AC1020" s="5">
        <v>6792</v>
      </c>
      <c r="AD1020" s="1" t="s">
        <v>2617</v>
      </c>
      <c r="AE1020" s="1" t="str">
        <f t="shared" si="76"/>
        <v>3122 1</v>
      </c>
      <c r="AF1020" s="5" t="str">
        <f t="shared" si="79"/>
        <v>660</v>
      </c>
      <c r="AG1020" s="1" t="str">
        <f t="shared" si="75"/>
        <v>Y</v>
      </c>
    </row>
    <row r="1021" spans="1:33" x14ac:dyDescent="0.2">
      <c r="A1021" s="1" t="s">
        <v>2584</v>
      </c>
      <c r="B1021" s="1" t="s">
        <v>2613</v>
      </c>
      <c r="C1021" s="1">
        <v>3122</v>
      </c>
      <c r="D1021" s="1">
        <v>2</v>
      </c>
      <c r="F1021" s="1">
        <v>2023</v>
      </c>
      <c r="G1021" s="1" t="s">
        <v>682</v>
      </c>
      <c r="H1021" s="1" t="s">
        <v>2614</v>
      </c>
      <c r="I1021" s="1">
        <v>3</v>
      </c>
      <c r="J1021" s="1" t="s">
        <v>668</v>
      </c>
      <c r="K1021" s="1" t="s">
        <v>2608</v>
      </c>
      <c r="L1021" s="1" t="s">
        <v>2609</v>
      </c>
      <c r="M1021" s="1">
        <v>63</v>
      </c>
      <c r="N1021" s="1" t="s">
        <v>39</v>
      </c>
      <c r="O1021" s="1">
        <v>40.511000000000003</v>
      </c>
      <c r="P1021" s="1">
        <v>-79.196799999999996</v>
      </c>
      <c r="Q1021" s="1" t="s">
        <v>2615</v>
      </c>
      <c r="R1021" s="1" t="s">
        <v>41</v>
      </c>
      <c r="S1021" s="1" t="s">
        <v>211</v>
      </c>
      <c r="T1021" s="1" t="s">
        <v>89</v>
      </c>
      <c r="U1021" s="1" t="s">
        <v>55</v>
      </c>
      <c r="W1021" s="1" t="s">
        <v>212</v>
      </c>
      <c r="X1021" s="1" t="s">
        <v>563</v>
      </c>
      <c r="Y1021" s="1" t="s">
        <v>1182</v>
      </c>
      <c r="Z1021" s="1" t="s">
        <v>344</v>
      </c>
      <c r="AA1021" s="3">
        <v>25508</v>
      </c>
      <c r="AB1021" s="1" t="s">
        <v>2616</v>
      </c>
      <c r="AC1021" s="5">
        <v>6792</v>
      </c>
      <c r="AD1021" s="1" t="s">
        <v>2618</v>
      </c>
      <c r="AE1021" s="1" t="str">
        <f t="shared" si="76"/>
        <v>3122 2</v>
      </c>
      <c r="AF1021" s="5" t="str">
        <f t="shared" si="79"/>
        <v>660</v>
      </c>
      <c r="AG1021" s="1" t="str">
        <f t="shared" si="75"/>
        <v>Y</v>
      </c>
    </row>
    <row r="1022" spans="1:33" x14ac:dyDescent="0.2">
      <c r="A1022" s="1" t="s">
        <v>2584</v>
      </c>
      <c r="B1022" s="1" t="s">
        <v>2613</v>
      </c>
      <c r="C1022" s="1">
        <v>3122</v>
      </c>
      <c r="D1022" s="1">
        <v>3</v>
      </c>
      <c r="F1022" s="1">
        <v>2023</v>
      </c>
      <c r="G1022" s="1" t="s">
        <v>682</v>
      </c>
      <c r="H1022" s="1" t="s">
        <v>2614</v>
      </c>
      <c r="I1022" s="1">
        <v>3</v>
      </c>
      <c r="J1022" s="1" t="s">
        <v>668</v>
      </c>
      <c r="K1022" s="1" t="s">
        <v>2608</v>
      </c>
      <c r="L1022" s="1" t="s">
        <v>2609</v>
      </c>
      <c r="M1022" s="1">
        <v>63</v>
      </c>
      <c r="N1022" s="1" t="s">
        <v>39</v>
      </c>
      <c r="O1022" s="1">
        <v>40.511000000000003</v>
      </c>
      <c r="P1022" s="1">
        <v>-79.196799999999996</v>
      </c>
      <c r="Q1022" s="1" t="s">
        <v>2615</v>
      </c>
      <c r="R1022" s="1" t="s">
        <v>41</v>
      </c>
      <c r="S1022" s="1" t="s">
        <v>211</v>
      </c>
      <c r="T1022" s="1" t="s">
        <v>89</v>
      </c>
      <c r="U1022" s="1" t="s">
        <v>55</v>
      </c>
      <c r="W1022" s="1" t="s">
        <v>56</v>
      </c>
      <c r="X1022" s="1" t="s">
        <v>563</v>
      </c>
      <c r="Y1022" s="1" t="s">
        <v>58</v>
      </c>
      <c r="AA1022" s="3">
        <v>28460</v>
      </c>
      <c r="AB1022" s="1" t="s">
        <v>2616</v>
      </c>
      <c r="AC1022" s="5">
        <v>7260</v>
      </c>
      <c r="AD1022" s="1" t="s">
        <v>2619</v>
      </c>
      <c r="AE1022" s="1" t="str">
        <f t="shared" si="76"/>
        <v>3122 3</v>
      </c>
      <c r="AF1022" s="5" t="str">
        <f t="shared" si="79"/>
        <v>692</v>
      </c>
      <c r="AG1022" s="1" t="str">
        <f t="shared" si="75"/>
        <v>Y</v>
      </c>
    </row>
    <row r="1023" spans="1:33" x14ac:dyDescent="0.2">
      <c r="A1023" s="1" t="s">
        <v>2584</v>
      </c>
      <c r="B1023" s="1" t="s">
        <v>2620</v>
      </c>
      <c r="C1023" s="1">
        <v>3130</v>
      </c>
      <c r="D1023" s="1">
        <v>1</v>
      </c>
      <c r="E1023" s="1" t="s">
        <v>1421</v>
      </c>
      <c r="F1023" s="1">
        <v>2023</v>
      </c>
      <c r="G1023" s="1" t="s">
        <v>682</v>
      </c>
      <c r="H1023" s="1">
        <v>603739</v>
      </c>
      <c r="I1023" s="1">
        <v>3</v>
      </c>
      <c r="J1023" s="1" t="s">
        <v>668</v>
      </c>
      <c r="K1023" s="1" t="s">
        <v>2608</v>
      </c>
      <c r="L1023" s="1" t="s">
        <v>2609</v>
      </c>
      <c r="M1023" s="1">
        <v>63</v>
      </c>
      <c r="N1023" s="1" t="s">
        <v>39</v>
      </c>
      <c r="O1023" s="1">
        <v>40.408099999999997</v>
      </c>
      <c r="P1023" s="1">
        <v>-79.033900000000003</v>
      </c>
      <c r="Q1023" s="1" t="s">
        <v>2621</v>
      </c>
      <c r="R1023" s="1" t="s">
        <v>41</v>
      </c>
      <c r="T1023" s="1" t="s">
        <v>885</v>
      </c>
      <c r="U1023" s="1" t="s">
        <v>2622</v>
      </c>
      <c r="W1023" s="1" t="s">
        <v>1069</v>
      </c>
      <c r="X1023" s="1" t="s">
        <v>669</v>
      </c>
      <c r="Y1023" s="1" t="s">
        <v>232</v>
      </c>
      <c r="AA1023" s="3">
        <v>38056</v>
      </c>
      <c r="AB1023" s="1" t="s">
        <v>46</v>
      </c>
      <c r="AC1023" s="5">
        <v>3180</v>
      </c>
      <c r="AD1023" s="1" t="s">
        <v>2623</v>
      </c>
      <c r="AE1023" s="1" t="str">
        <f t="shared" si="76"/>
        <v>3130 1</v>
      </c>
      <c r="AF1023" s="5" t="str">
        <f t="shared" si="79"/>
        <v>585</v>
      </c>
      <c r="AG1023" s="1" t="str">
        <f t="shared" si="75"/>
        <v>Y</v>
      </c>
    </row>
    <row r="1024" spans="1:33" x14ac:dyDescent="0.2">
      <c r="A1024" s="1" t="s">
        <v>2584</v>
      </c>
      <c r="B1024" s="1" t="s">
        <v>2620</v>
      </c>
      <c r="C1024" s="1">
        <v>3130</v>
      </c>
      <c r="D1024" s="1">
        <v>2</v>
      </c>
      <c r="E1024" s="1" t="s">
        <v>1421</v>
      </c>
      <c r="F1024" s="1">
        <v>2023</v>
      </c>
      <c r="G1024" s="1" t="s">
        <v>682</v>
      </c>
      <c r="H1024" s="1">
        <v>603739</v>
      </c>
      <c r="I1024" s="1">
        <v>3</v>
      </c>
      <c r="J1024" s="1" t="s">
        <v>668</v>
      </c>
      <c r="K1024" s="1" t="s">
        <v>2608</v>
      </c>
      <c r="L1024" s="1" t="s">
        <v>2609</v>
      </c>
      <c r="M1024" s="1">
        <v>63</v>
      </c>
      <c r="N1024" s="1" t="s">
        <v>39</v>
      </c>
      <c r="O1024" s="1">
        <v>40.408099999999997</v>
      </c>
      <c r="P1024" s="1">
        <v>-79.033900000000003</v>
      </c>
      <c r="Q1024" s="1" t="s">
        <v>2621</v>
      </c>
      <c r="R1024" s="1" t="s">
        <v>41</v>
      </c>
      <c r="T1024" s="1" t="s">
        <v>885</v>
      </c>
      <c r="U1024" s="1" t="s">
        <v>2622</v>
      </c>
      <c r="W1024" s="1" t="s">
        <v>1069</v>
      </c>
      <c r="X1024" s="1" t="s">
        <v>669</v>
      </c>
      <c r="Y1024" s="1" t="s">
        <v>232</v>
      </c>
      <c r="AA1024" s="3">
        <v>38056</v>
      </c>
      <c r="AB1024" s="1" t="s">
        <v>46</v>
      </c>
      <c r="AC1024" s="5">
        <v>3180</v>
      </c>
      <c r="AD1024" s="1" t="s">
        <v>2623</v>
      </c>
      <c r="AE1024" s="1" t="str">
        <f t="shared" si="76"/>
        <v>3130 2</v>
      </c>
      <c r="AF1024" s="5" t="str">
        <f t="shared" si="79"/>
        <v>585</v>
      </c>
      <c r="AG1024" s="1" t="str">
        <f t="shared" si="75"/>
        <v>Y</v>
      </c>
    </row>
    <row r="1025" spans="1:33" x14ac:dyDescent="0.2">
      <c r="A1025" s="1" t="s">
        <v>2584</v>
      </c>
      <c r="B1025" s="1" t="s">
        <v>2624</v>
      </c>
      <c r="C1025" s="1">
        <v>3131</v>
      </c>
      <c r="D1025" s="1">
        <v>1</v>
      </c>
      <c r="F1025" s="1">
        <v>2023</v>
      </c>
      <c r="G1025" s="1" t="s">
        <v>1515</v>
      </c>
      <c r="H1025" s="1">
        <v>1427</v>
      </c>
      <c r="I1025" s="1">
        <v>3</v>
      </c>
      <c r="J1025" s="1" t="s">
        <v>668</v>
      </c>
      <c r="K1025" s="1" t="s">
        <v>2625</v>
      </c>
      <c r="L1025" s="1" t="s">
        <v>2626</v>
      </c>
      <c r="M1025" s="1">
        <v>33</v>
      </c>
      <c r="N1025" s="1" t="s">
        <v>39</v>
      </c>
      <c r="O1025" s="1">
        <v>41.067</v>
      </c>
      <c r="P1025" s="1">
        <v>-78.365600000000001</v>
      </c>
      <c r="Q1025" s="1" t="s">
        <v>2627</v>
      </c>
      <c r="R1025" s="1" t="s">
        <v>120</v>
      </c>
      <c r="S1025" s="1" t="s">
        <v>121</v>
      </c>
      <c r="T1025" s="1" t="s">
        <v>89</v>
      </c>
      <c r="U1025" s="1" t="s">
        <v>44</v>
      </c>
      <c r="X1025" s="1" t="s">
        <v>1516</v>
      </c>
      <c r="Y1025" s="1" t="s">
        <v>58</v>
      </c>
      <c r="AA1025" s="3">
        <v>19876</v>
      </c>
      <c r="AB1025" s="1" t="s">
        <v>46</v>
      </c>
      <c r="AC1025" s="5">
        <v>1460</v>
      </c>
      <c r="AD1025" s="1" t="s">
        <v>2628</v>
      </c>
      <c r="AE1025" s="1" t="str">
        <f t="shared" si="76"/>
        <v>3131 1</v>
      </c>
      <c r="AF1025" s="5" t="str">
        <f t="shared" si="79"/>
        <v>125</v>
      </c>
      <c r="AG1025" s="1" t="str">
        <f t="shared" si="75"/>
        <v>Y</v>
      </c>
    </row>
    <row r="1026" spans="1:33" x14ac:dyDescent="0.2">
      <c r="A1026" s="1" t="s">
        <v>2584</v>
      </c>
      <c r="B1026" s="1" t="s">
        <v>2624</v>
      </c>
      <c r="C1026" s="1">
        <v>3131</v>
      </c>
      <c r="D1026" s="1">
        <v>2</v>
      </c>
      <c r="F1026" s="1">
        <v>2023</v>
      </c>
      <c r="G1026" s="1" t="s">
        <v>1515</v>
      </c>
      <c r="H1026" s="1">
        <v>1427</v>
      </c>
      <c r="I1026" s="1">
        <v>3</v>
      </c>
      <c r="J1026" s="1" t="s">
        <v>668</v>
      </c>
      <c r="K1026" s="1" t="s">
        <v>2625</v>
      </c>
      <c r="L1026" s="1" t="s">
        <v>2626</v>
      </c>
      <c r="M1026" s="1">
        <v>33</v>
      </c>
      <c r="N1026" s="1" t="s">
        <v>39</v>
      </c>
      <c r="O1026" s="1">
        <v>41.067</v>
      </c>
      <c r="P1026" s="1">
        <v>-78.365600000000001</v>
      </c>
      <c r="Q1026" s="1" t="s">
        <v>2627</v>
      </c>
      <c r="R1026" s="1" t="s">
        <v>120</v>
      </c>
      <c r="S1026" s="1" t="s">
        <v>121</v>
      </c>
      <c r="T1026" s="1" t="s">
        <v>89</v>
      </c>
      <c r="U1026" s="1" t="s">
        <v>44</v>
      </c>
      <c r="X1026" s="1" t="s">
        <v>1516</v>
      </c>
      <c r="Y1026" s="1" t="s">
        <v>58</v>
      </c>
      <c r="AA1026" s="3">
        <v>19876</v>
      </c>
      <c r="AB1026" s="1" t="s">
        <v>46</v>
      </c>
      <c r="AC1026" s="5">
        <v>1603</v>
      </c>
      <c r="AD1026" s="1" t="s">
        <v>2581</v>
      </c>
      <c r="AE1026" s="1" t="str">
        <f t="shared" si="76"/>
        <v>3131 2</v>
      </c>
      <c r="AF1026" s="5" t="str">
        <f t="shared" si="79"/>
        <v>125</v>
      </c>
      <c r="AG1026" s="1" t="str">
        <f t="shared" ref="AG1026:AG1089" si="80">IF(ISNUMBER(SEARCH("selective", X1026)), "Y", "")</f>
        <v>Y</v>
      </c>
    </row>
    <row r="1027" spans="1:33" x14ac:dyDescent="0.2">
      <c r="A1027" s="1" t="s">
        <v>2584</v>
      </c>
      <c r="B1027" s="1" t="s">
        <v>2624</v>
      </c>
      <c r="C1027" s="1">
        <v>3131</v>
      </c>
      <c r="D1027" s="1">
        <v>3</v>
      </c>
      <c r="E1027" s="1" t="s">
        <v>1421</v>
      </c>
      <c r="F1027" s="1">
        <v>2023</v>
      </c>
      <c r="G1027" s="1" t="s">
        <v>1515</v>
      </c>
      <c r="H1027" s="1">
        <v>1427</v>
      </c>
      <c r="I1027" s="1">
        <v>3</v>
      </c>
      <c r="J1027" s="1" t="s">
        <v>668</v>
      </c>
      <c r="K1027" s="1" t="s">
        <v>2625</v>
      </c>
      <c r="L1027" s="1" t="s">
        <v>2626</v>
      </c>
      <c r="M1027" s="1">
        <v>33</v>
      </c>
      <c r="N1027" s="1" t="s">
        <v>39</v>
      </c>
      <c r="O1027" s="1">
        <v>41.067</v>
      </c>
      <c r="P1027" s="1">
        <v>-78.365600000000001</v>
      </c>
      <c r="Q1027" s="1" t="s">
        <v>2627</v>
      </c>
      <c r="R1027" s="1" t="s">
        <v>120</v>
      </c>
      <c r="S1027" s="1" t="s">
        <v>121</v>
      </c>
      <c r="T1027" s="1" t="s">
        <v>43</v>
      </c>
      <c r="U1027" s="1" t="s">
        <v>44</v>
      </c>
      <c r="X1027" s="1" t="s">
        <v>2383</v>
      </c>
      <c r="Y1027" s="1" t="s">
        <v>58</v>
      </c>
      <c r="AA1027" s="3">
        <v>21702</v>
      </c>
      <c r="AB1027" s="1" t="s">
        <v>46</v>
      </c>
      <c r="AC1027" s="5">
        <v>1890</v>
      </c>
      <c r="AD1027" s="1" t="s">
        <v>2629</v>
      </c>
      <c r="AE1027" s="1" t="str">
        <f t="shared" ref="AE1027:AE1090" si="81">C1027&amp;" "&amp;D1027</f>
        <v>3131 3</v>
      </c>
      <c r="AF1027" s="5" t="str">
        <f t="shared" si="79"/>
        <v>187.5</v>
      </c>
      <c r="AG1027" s="1" t="str">
        <f t="shared" si="80"/>
        <v>Y</v>
      </c>
    </row>
    <row r="1028" spans="1:33" x14ac:dyDescent="0.2">
      <c r="A1028" s="1" t="s">
        <v>2584</v>
      </c>
      <c r="B1028" s="1" t="s">
        <v>2624</v>
      </c>
      <c r="C1028" s="1">
        <v>3131</v>
      </c>
      <c r="D1028" s="1">
        <v>4</v>
      </c>
      <c r="E1028" s="1" t="s">
        <v>1421</v>
      </c>
      <c r="F1028" s="1">
        <v>2023</v>
      </c>
      <c r="G1028" s="1" t="s">
        <v>1515</v>
      </c>
      <c r="H1028" s="1">
        <v>1427</v>
      </c>
      <c r="I1028" s="1">
        <v>3</v>
      </c>
      <c r="J1028" s="1" t="s">
        <v>668</v>
      </c>
      <c r="K1028" s="1" t="s">
        <v>2625</v>
      </c>
      <c r="L1028" s="1" t="s">
        <v>2626</v>
      </c>
      <c r="M1028" s="1">
        <v>33</v>
      </c>
      <c r="N1028" s="1" t="s">
        <v>39</v>
      </c>
      <c r="O1028" s="1">
        <v>41.067</v>
      </c>
      <c r="P1028" s="1">
        <v>-78.365600000000001</v>
      </c>
      <c r="Q1028" s="1" t="s">
        <v>2627</v>
      </c>
      <c r="R1028" s="1" t="s">
        <v>120</v>
      </c>
      <c r="S1028" s="1" t="s">
        <v>121</v>
      </c>
      <c r="T1028" s="1" t="s">
        <v>43</v>
      </c>
      <c r="U1028" s="1" t="s">
        <v>44</v>
      </c>
      <c r="X1028" s="1" t="s">
        <v>2383</v>
      </c>
      <c r="Y1028" s="1" t="s">
        <v>58</v>
      </c>
      <c r="AA1028" s="3">
        <v>22068</v>
      </c>
      <c r="AB1028" s="1" t="s">
        <v>46</v>
      </c>
      <c r="AC1028" s="5">
        <v>1860</v>
      </c>
      <c r="AD1028" s="1" t="s">
        <v>2630</v>
      </c>
      <c r="AE1028" s="1" t="str">
        <f t="shared" si="81"/>
        <v>3131 4</v>
      </c>
      <c r="AF1028" s="5" t="str">
        <f t="shared" si="79"/>
        <v>187.5</v>
      </c>
      <c r="AG1028" s="1" t="str">
        <f t="shared" si="80"/>
        <v>Y</v>
      </c>
    </row>
    <row r="1029" spans="1:33" x14ac:dyDescent="0.2">
      <c r="A1029" s="1" t="s">
        <v>2584</v>
      </c>
      <c r="B1029" s="1" t="s">
        <v>2631</v>
      </c>
      <c r="C1029" s="1">
        <v>3132</v>
      </c>
      <c r="D1029" s="1">
        <v>5</v>
      </c>
      <c r="F1029" s="1">
        <v>2023</v>
      </c>
      <c r="G1029" s="1" t="s">
        <v>1528</v>
      </c>
      <c r="H1029" s="1">
        <v>1427</v>
      </c>
      <c r="I1029" s="1">
        <v>3</v>
      </c>
      <c r="K1029" s="1" t="s">
        <v>1743</v>
      </c>
      <c r="L1029" s="1" t="s">
        <v>2632</v>
      </c>
      <c r="M1029" s="1">
        <v>123</v>
      </c>
      <c r="N1029" s="1" t="s">
        <v>39</v>
      </c>
      <c r="O1029" s="1">
        <v>41.835799999999999</v>
      </c>
      <c r="P1029" s="1">
        <v>-79.19</v>
      </c>
      <c r="Q1029" s="1" t="s">
        <v>2633</v>
      </c>
      <c r="T1029" s="1" t="s">
        <v>93</v>
      </c>
      <c r="U1029" s="1" t="s">
        <v>44</v>
      </c>
      <c r="V1029" s="1" t="s">
        <v>94</v>
      </c>
      <c r="AA1029" s="3">
        <v>26543</v>
      </c>
      <c r="AB1029" s="1" t="s">
        <v>46</v>
      </c>
      <c r="AC1029" s="5">
        <v>1248</v>
      </c>
      <c r="AD1029" s="1" t="s">
        <v>2634</v>
      </c>
      <c r="AE1029" s="1" t="str">
        <f t="shared" si="81"/>
        <v>3132 5</v>
      </c>
      <c r="AF1029" s="5" t="str">
        <f t="shared" si="79"/>
        <v>53</v>
      </c>
      <c r="AG1029" s="1" t="str">
        <f t="shared" si="80"/>
        <v/>
      </c>
    </row>
    <row r="1030" spans="1:33" x14ac:dyDescent="0.2">
      <c r="A1030" s="1" t="s">
        <v>2584</v>
      </c>
      <c r="B1030" s="1" t="s">
        <v>2635</v>
      </c>
      <c r="C1030" s="1">
        <v>3136</v>
      </c>
      <c r="D1030" s="1">
        <v>1</v>
      </c>
      <c r="F1030" s="1">
        <v>2023</v>
      </c>
      <c r="G1030" s="1" t="s">
        <v>682</v>
      </c>
      <c r="H1030" s="1">
        <v>610399</v>
      </c>
      <c r="I1030" s="1">
        <v>3</v>
      </c>
      <c r="J1030" s="1" t="s">
        <v>668</v>
      </c>
      <c r="K1030" s="1" t="s">
        <v>2636</v>
      </c>
      <c r="L1030" s="1" t="s">
        <v>2637</v>
      </c>
      <c r="M1030" s="1">
        <v>5</v>
      </c>
      <c r="N1030" s="1" t="s">
        <v>39</v>
      </c>
      <c r="O1030" s="1">
        <v>40.660400000000003</v>
      </c>
      <c r="P1030" s="1">
        <v>-79.341099999999997</v>
      </c>
      <c r="Q1030" s="1" t="s">
        <v>2638</v>
      </c>
      <c r="R1030" s="1" t="s">
        <v>41</v>
      </c>
      <c r="S1030" s="1" t="s">
        <v>211</v>
      </c>
      <c r="T1030" s="1" t="s">
        <v>43</v>
      </c>
      <c r="U1030" s="1" t="s">
        <v>55</v>
      </c>
      <c r="V1030" s="1" t="s">
        <v>44</v>
      </c>
      <c r="W1030" s="1" t="s">
        <v>241</v>
      </c>
      <c r="X1030" s="1" t="s">
        <v>301</v>
      </c>
      <c r="Y1030" s="1" t="s">
        <v>58</v>
      </c>
      <c r="AA1030" s="3">
        <v>24624</v>
      </c>
      <c r="AB1030" s="1" t="s">
        <v>46</v>
      </c>
      <c r="AC1030" s="5">
        <v>9250</v>
      </c>
      <c r="AD1030" s="1" t="s">
        <v>2611</v>
      </c>
      <c r="AE1030" s="1" t="str">
        <f t="shared" si="81"/>
        <v>3136 1</v>
      </c>
      <c r="AF1030" s="5" t="str">
        <f t="shared" si="79"/>
        <v>936</v>
      </c>
      <c r="AG1030" s="1" t="str">
        <f t="shared" si="80"/>
        <v>Y</v>
      </c>
    </row>
    <row r="1031" spans="1:33" x14ac:dyDescent="0.2">
      <c r="A1031" s="1" t="s">
        <v>2584</v>
      </c>
      <c r="B1031" s="1" t="s">
        <v>2635</v>
      </c>
      <c r="C1031" s="1">
        <v>3136</v>
      </c>
      <c r="D1031" s="1">
        <v>2</v>
      </c>
      <c r="F1031" s="1">
        <v>2023</v>
      </c>
      <c r="G1031" s="1" t="s">
        <v>682</v>
      </c>
      <c r="H1031" s="1">
        <v>610399</v>
      </c>
      <c r="I1031" s="1">
        <v>3</v>
      </c>
      <c r="J1031" s="1" t="s">
        <v>668</v>
      </c>
      <c r="K1031" s="1" t="s">
        <v>2636</v>
      </c>
      <c r="L1031" s="1" t="s">
        <v>2637</v>
      </c>
      <c r="M1031" s="1">
        <v>5</v>
      </c>
      <c r="N1031" s="1" t="s">
        <v>39</v>
      </c>
      <c r="O1031" s="1">
        <v>40.660400000000003</v>
      </c>
      <c r="P1031" s="1">
        <v>-79.341099999999997</v>
      </c>
      <c r="Q1031" s="1" t="s">
        <v>2638</v>
      </c>
      <c r="R1031" s="1" t="s">
        <v>41</v>
      </c>
      <c r="S1031" s="1" t="s">
        <v>211</v>
      </c>
      <c r="T1031" s="1" t="s">
        <v>43</v>
      </c>
      <c r="U1031" s="1" t="s">
        <v>55</v>
      </c>
      <c r="V1031" s="1" t="s">
        <v>44</v>
      </c>
      <c r="W1031" s="1" t="s">
        <v>241</v>
      </c>
      <c r="X1031" s="1" t="s">
        <v>301</v>
      </c>
      <c r="Y1031" s="1" t="s">
        <v>58</v>
      </c>
      <c r="AA1031" s="3">
        <v>24990</v>
      </c>
      <c r="AB1031" s="1" t="s">
        <v>46</v>
      </c>
      <c r="AC1031" s="5">
        <v>8960</v>
      </c>
      <c r="AD1031" s="1" t="s">
        <v>2612</v>
      </c>
      <c r="AE1031" s="1" t="str">
        <f t="shared" si="81"/>
        <v>3136 2</v>
      </c>
      <c r="AF1031" s="5" t="str">
        <f t="shared" si="79"/>
        <v>936</v>
      </c>
      <c r="AG1031" s="1" t="str">
        <f t="shared" si="80"/>
        <v>Y</v>
      </c>
    </row>
    <row r="1032" spans="1:33" x14ac:dyDescent="0.2">
      <c r="A1032" s="1" t="s">
        <v>2584</v>
      </c>
      <c r="B1032" s="1" t="s">
        <v>2639</v>
      </c>
      <c r="C1032" s="1">
        <v>3138</v>
      </c>
      <c r="D1032" s="1">
        <v>3</v>
      </c>
      <c r="F1032" s="1">
        <v>2023</v>
      </c>
      <c r="G1032" s="1" t="s">
        <v>1515</v>
      </c>
      <c r="H1032" s="1">
        <v>1427</v>
      </c>
      <c r="I1032" s="1">
        <v>3</v>
      </c>
      <c r="J1032" s="1" t="s">
        <v>169</v>
      </c>
      <c r="K1032" s="1" t="s">
        <v>1347</v>
      </c>
      <c r="L1032" s="1" t="s">
        <v>2640</v>
      </c>
      <c r="M1032" s="1">
        <v>73</v>
      </c>
      <c r="N1032" s="1" t="s">
        <v>39</v>
      </c>
      <c r="O1032" s="1">
        <v>40.937800000000003</v>
      </c>
      <c r="P1032" s="1">
        <v>-80.368099999999998</v>
      </c>
      <c r="Q1032" s="1" t="s">
        <v>2641</v>
      </c>
      <c r="R1032" s="1" t="s">
        <v>41</v>
      </c>
      <c r="S1032" s="1" t="s">
        <v>211</v>
      </c>
      <c r="T1032" s="1" t="s">
        <v>89</v>
      </c>
      <c r="U1032" s="1" t="s">
        <v>44</v>
      </c>
      <c r="X1032" s="1" t="s">
        <v>1221</v>
      </c>
      <c r="Y1032" s="1" t="s">
        <v>58</v>
      </c>
      <c r="AA1032" s="3">
        <v>19146</v>
      </c>
      <c r="AB1032" s="1" t="s">
        <v>46</v>
      </c>
      <c r="AC1032" s="5">
        <v>1075</v>
      </c>
      <c r="AD1032" s="1" t="s">
        <v>2642</v>
      </c>
      <c r="AE1032" s="1" t="str">
        <f t="shared" si="81"/>
        <v>3138 3</v>
      </c>
      <c r="AF1032" s="5" t="str">
        <f t="shared" si="79"/>
        <v>97.8</v>
      </c>
      <c r="AG1032" s="1" t="str">
        <f t="shared" si="80"/>
        <v>Y</v>
      </c>
    </row>
    <row r="1033" spans="1:33" x14ac:dyDescent="0.2">
      <c r="A1033" s="1" t="s">
        <v>2584</v>
      </c>
      <c r="B1033" s="1" t="s">
        <v>2639</v>
      </c>
      <c r="C1033" s="1">
        <v>3138</v>
      </c>
      <c r="D1033" s="1">
        <v>4</v>
      </c>
      <c r="F1033" s="1">
        <v>2023</v>
      </c>
      <c r="G1033" s="1" t="s">
        <v>1515</v>
      </c>
      <c r="H1033" s="1">
        <v>1427</v>
      </c>
      <c r="I1033" s="1">
        <v>3</v>
      </c>
      <c r="J1033" s="1" t="s">
        <v>169</v>
      </c>
      <c r="K1033" s="1" t="s">
        <v>1347</v>
      </c>
      <c r="L1033" s="1" t="s">
        <v>2640</v>
      </c>
      <c r="M1033" s="1">
        <v>73</v>
      </c>
      <c r="N1033" s="1" t="s">
        <v>39</v>
      </c>
      <c r="O1033" s="1">
        <v>40.937800000000003</v>
      </c>
      <c r="P1033" s="1">
        <v>-80.368099999999998</v>
      </c>
      <c r="Q1033" s="1" t="s">
        <v>2641</v>
      </c>
      <c r="R1033" s="1" t="s">
        <v>41</v>
      </c>
      <c r="S1033" s="1" t="s">
        <v>211</v>
      </c>
      <c r="T1033" s="1" t="s">
        <v>89</v>
      </c>
      <c r="U1033" s="1" t="s">
        <v>44</v>
      </c>
      <c r="X1033" s="1" t="s">
        <v>1221</v>
      </c>
      <c r="Y1033" s="1" t="s">
        <v>58</v>
      </c>
      <c r="AA1033" s="3">
        <v>21337</v>
      </c>
      <c r="AB1033" s="1" t="s">
        <v>46</v>
      </c>
      <c r="AC1033" s="5">
        <v>1232</v>
      </c>
      <c r="AD1033" s="1" t="s">
        <v>2643</v>
      </c>
      <c r="AE1033" s="1" t="str">
        <f t="shared" si="81"/>
        <v>3138 4</v>
      </c>
      <c r="AF1033" s="5" t="str">
        <f t="shared" si="79"/>
        <v>113.6</v>
      </c>
      <c r="AG1033" s="1" t="str">
        <f t="shared" si="80"/>
        <v>Y</v>
      </c>
    </row>
    <row r="1034" spans="1:33" x14ac:dyDescent="0.2">
      <c r="A1034" s="1" t="s">
        <v>2584</v>
      </c>
      <c r="B1034" s="1" t="s">
        <v>2639</v>
      </c>
      <c r="C1034" s="1">
        <v>3138</v>
      </c>
      <c r="D1034" s="1">
        <v>5</v>
      </c>
      <c r="F1034" s="1">
        <v>2023</v>
      </c>
      <c r="G1034" s="1" t="s">
        <v>1515</v>
      </c>
      <c r="H1034" s="1">
        <v>1427</v>
      </c>
      <c r="I1034" s="1">
        <v>3</v>
      </c>
      <c r="J1034" s="1" t="s">
        <v>169</v>
      </c>
      <c r="K1034" s="1" t="s">
        <v>1347</v>
      </c>
      <c r="L1034" s="1" t="s">
        <v>2640</v>
      </c>
      <c r="M1034" s="1">
        <v>73</v>
      </c>
      <c r="N1034" s="1" t="s">
        <v>39</v>
      </c>
      <c r="O1034" s="1">
        <v>40.937800000000003</v>
      </c>
      <c r="P1034" s="1">
        <v>-80.368099999999998</v>
      </c>
      <c r="Q1034" s="1" t="s">
        <v>2641</v>
      </c>
      <c r="R1034" s="1" t="s">
        <v>41</v>
      </c>
      <c r="S1034" s="1" t="s">
        <v>211</v>
      </c>
      <c r="T1034" s="1" t="s">
        <v>89</v>
      </c>
      <c r="U1034" s="1" t="s">
        <v>44</v>
      </c>
      <c r="X1034" s="1" t="s">
        <v>1221</v>
      </c>
      <c r="Y1034" s="1" t="s">
        <v>58</v>
      </c>
      <c r="AA1034" s="3">
        <v>23529</v>
      </c>
      <c r="AB1034" s="1" t="s">
        <v>46</v>
      </c>
      <c r="AC1034" s="5">
        <v>1610</v>
      </c>
      <c r="AD1034" s="1" t="s">
        <v>2644</v>
      </c>
      <c r="AE1034" s="1" t="str">
        <f t="shared" si="81"/>
        <v>3138 5</v>
      </c>
      <c r="AF1034" s="5" t="str">
        <f t="shared" si="79"/>
        <v>136</v>
      </c>
      <c r="AG1034" s="1" t="str">
        <f t="shared" si="80"/>
        <v>Y</v>
      </c>
    </row>
    <row r="1035" spans="1:33" x14ac:dyDescent="0.2">
      <c r="A1035" s="1" t="s">
        <v>2584</v>
      </c>
      <c r="B1035" s="1" t="s">
        <v>2645</v>
      </c>
      <c r="C1035" s="1">
        <v>3140</v>
      </c>
      <c r="D1035" s="1">
        <v>1</v>
      </c>
      <c r="E1035" s="1" t="s">
        <v>2646</v>
      </c>
      <c r="F1035" s="1">
        <v>2023</v>
      </c>
      <c r="G1035" s="1" t="s">
        <v>682</v>
      </c>
      <c r="H1035" s="1">
        <v>601710</v>
      </c>
      <c r="I1035" s="1">
        <v>3</v>
      </c>
      <c r="J1035" s="1" t="s">
        <v>668</v>
      </c>
      <c r="K1035" s="1" t="s">
        <v>2604</v>
      </c>
      <c r="L1035" s="1" t="s">
        <v>2605</v>
      </c>
      <c r="M1035" s="1">
        <v>133</v>
      </c>
      <c r="N1035" s="1" t="s">
        <v>39</v>
      </c>
      <c r="O1035" s="1">
        <v>40.097000000000001</v>
      </c>
      <c r="P1035" s="1">
        <v>-76.696200000000005</v>
      </c>
      <c r="Q1035" s="1" t="s">
        <v>2647</v>
      </c>
      <c r="R1035" s="1" t="s">
        <v>120</v>
      </c>
      <c r="S1035" s="1" t="s">
        <v>121</v>
      </c>
      <c r="T1035" s="1" t="s">
        <v>43</v>
      </c>
      <c r="U1035" s="1" t="s">
        <v>55</v>
      </c>
      <c r="V1035" s="1" t="s">
        <v>2648</v>
      </c>
      <c r="W1035" s="1" t="s">
        <v>241</v>
      </c>
      <c r="X1035" s="1" t="s">
        <v>213</v>
      </c>
      <c r="Y1035" s="1" t="s">
        <v>232</v>
      </c>
      <c r="AA1035" s="3">
        <v>22454</v>
      </c>
      <c r="AB1035" s="1" t="s">
        <v>46</v>
      </c>
      <c r="AC1035" s="5">
        <v>3715</v>
      </c>
      <c r="AD1035" s="1" t="s">
        <v>2649</v>
      </c>
      <c r="AE1035" s="1" t="str">
        <f t="shared" si="81"/>
        <v>3140 1</v>
      </c>
      <c r="AF1035" s="5" t="str">
        <f t="shared" si="79"/>
        <v>363.3</v>
      </c>
      <c r="AG1035" s="1" t="str">
        <f t="shared" si="80"/>
        <v/>
      </c>
    </row>
    <row r="1036" spans="1:33" x14ac:dyDescent="0.2">
      <c r="A1036" s="1" t="s">
        <v>2584</v>
      </c>
      <c r="B1036" s="1" t="s">
        <v>2645</v>
      </c>
      <c r="C1036" s="1">
        <v>3140</v>
      </c>
      <c r="D1036" s="1">
        <v>2</v>
      </c>
      <c r="E1036" s="1" t="s">
        <v>2646</v>
      </c>
      <c r="F1036" s="1">
        <v>2023</v>
      </c>
      <c r="G1036" s="1" t="s">
        <v>682</v>
      </c>
      <c r="H1036" s="1">
        <v>601710</v>
      </c>
      <c r="I1036" s="1">
        <v>3</v>
      </c>
      <c r="J1036" s="1" t="s">
        <v>668</v>
      </c>
      <c r="K1036" s="1" t="s">
        <v>2604</v>
      </c>
      <c r="L1036" s="1" t="s">
        <v>2605</v>
      </c>
      <c r="M1036" s="1">
        <v>133</v>
      </c>
      <c r="N1036" s="1" t="s">
        <v>39</v>
      </c>
      <c r="O1036" s="1">
        <v>40.097000000000001</v>
      </c>
      <c r="P1036" s="1">
        <v>-76.696200000000005</v>
      </c>
      <c r="Q1036" s="1" t="s">
        <v>2647</v>
      </c>
      <c r="R1036" s="1" t="s">
        <v>120</v>
      </c>
      <c r="S1036" s="1" t="s">
        <v>121</v>
      </c>
      <c r="T1036" s="1" t="s">
        <v>43</v>
      </c>
      <c r="U1036" s="1" t="s">
        <v>55</v>
      </c>
      <c r="V1036" s="1" t="s">
        <v>2648</v>
      </c>
      <c r="W1036" s="1" t="s">
        <v>241</v>
      </c>
      <c r="X1036" s="1" t="s">
        <v>213</v>
      </c>
      <c r="Y1036" s="1" t="s">
        <v>58</v>
      </c>
      <c r="AA1036" s="3">
        <v>24033</v>
      </c>
      <c r="AB1036" s="1" t="s">
        <v>46</v>
      </c>
      <c r="AC1036" s="5">
        <v>4090</v>
      </c>
      <c r="AD1036" s="1" t="s">
        <v>2650</v>
      </c>
      <c r="AE1036" s="1" t="str">
        <f t="shared" si="81"/>
        <v>3140 2</v>
      </c>
      <c r="AF1036" s="5" t="str">
        <f t="shared" si="79"/>
        <v>405</v>
      </c>
      <c r="AG1036" s="1" t="str">
        <f t="shared" si="80"/>
        <v/>
      </c>
    </row>
    <row r="1037" spans="1:33" x14ac:dyDescent="0.2">
      <c r="A1037" s="1" t="s">
        <v>2584</v>
      </c>
      <c r="B1037" s="1" t="s">
        <v>2645</v>
      </c>
      <c r="C1037" s="1">
        <v>3140</v>
      </c>
      <c r="D1037" s="1">
        <v>3</v>
      </c>
      <c r="F1037" s="1">
        <v>2023</v>
      </c>
      <c r="G1037" s="1" t="s">
        <v>682</v>
      </c>
      <c r="H1037" s="1">
        <v>601710</v>
      </c>
      <c r="I1037" s="1">
        <v>3</v>
      </c>
      <c r="J1037" s="1" t="s">
        <v>668</v>
      </c>
      <c r="K1037" s="1" t="s">
        <v>2604</v>
      </c>
      <c r="L1037" s="1" t="s">
        <v>2605</v>
      </c>
      <c r="M1037" s="1">
        <v>133</v>
      </c>
      <c r="N1037" s="1" t="s">
        <v>39</v>
      </c>
      <c r="O1037" s="1">
        <v>40.097000000000001</v>
      </c>
      <c r="P1037" s="1">
        <v>-76.696200000000005</v>
      </c>
      <c r="Q1037" s="1" t="s">
        <v>2647</v>
      </c>
      <c r="R1037" s="1" t="s">
        <v>120</v>
      </c>
      <c r="S1037" s="1" t="s">
        <v>121</v>
      </c>
      <c r="T1037" s="1" t="s">
        <v>43</v>
      </c>
      <c r="U1037" s="1" t="s">
        <v>55</v>
      </c>
      <c r="V1037" s="1" t="s">
        <v>2648</v>
      </c>
      <c r="W1037" s="1" t="s">
        <v>241</v>
      </c>
      <c r="X1037" s="1" t="s">
        <v>213</v>
      </c>
      <c r="Y1037" s="1" t="s">
        <v>58</v>
      </c>
      <c r="AA1037" s="3">
        <v>25367</v>
      </c>
      <c r="AB1037" s="1" t="s">
        <v>46</v>
      </c>
      <c r="AC1037" s="5">
        <v>7770</v>
      </c>
      <c r="AD1037" s="1" t="s">
        <v>2651</v>
      </c>
      <c r="AE1037" s="1" t="str">
        <f t="shared" si="81"/>
        <v>3140 3</v>
      </c>
      <c r="AF1037" s="5" t="str">
        <f t="shared" si="79"/>
        <v>790.4</v>
      </c>
      <c r="AG1037" s="1" t="str">
        <f t="shared" si="80"/>
        <v/>
      </c>
    </row>
    <row r="1038" spans="1:33" x14ac:dyDescent="0.2">
      <c r="A1038" s="1" t="s">
        <v>2584</v>
      </c>
      <c r="B1038" s="1" t="s">
        <v>2652</v>
      </c>
      <c r="C1038" s="1">
        <v>3148</v>
      </c>
      <c r="D1038" s="1">
        <v>3</v>
      </c>
      <c r="F1038" s="1">
        <v>2023</v>
      </c>
      <c r="G1038" s="1" t="s">
        <v>682</v>
      </c>
      <c r="H1038" s="1">
        <v>601710</v>
      </c>
      <c r="I1038" s="1">
        <v>3</v>
      </c>
      <c r="J1038" s="1" t="s">
        <v>668</v>
      </c>
      <c r="K1038" s="1" t="s">
        <v>2599</v>
      </c>
      <c r="L1038" s="1" t="s">
        <v>2600</v>
      </c>
      <c r="M1038" s="1">
        <v>95</v>
      </c>
      <c r="N1038" s="1" t="s">
        <v>39</v>
      </c>
      <c r="O1038" s="1">
        <v>40.795999999999999</v>
      </c>
      <c r="P1038" s="1">
        <v>-75.106999999999999</v>
      </c>
      <c r="Q1038" s="1" t="s">
        <v>2653</v>
      </c>
      <c r="R1038" s="1" t="s">
        <v>41</v>
      </c>
      <c r="T1038" s="1" t="s">
        <v>43</v>
      </c>
      <c r="U1038" s="1" t="s">
        <v>173</v>
      </c>
      <c r="V1038" s="1" t="s">
        <v>44</v>
      </c>
      <c r="AA1038" s="3">
        <v>27668</v>
      </c>
      <c r="AB1038" s="1" t="s">
        <v>46</v>
      </c>
      <c r="AC1038" s="5">
        <v>9469</v>
      </c>
      <c r="AD1038" s="1" t="s">
        <v>2654</v>
      </c>
      <c r="AE1038" s="1" t="str">
        <f t="shared" si="81"/>
        <v>3148 3</v>
      </c>
      <c r="AF1038" s="5" t="str">
        <f t="shared" si="79"/>
        <v>850.5</v>
      </c>
      <c r="AG1038" s="1" t="str">
        <f t="shared" si="80"/>
        <v/>
      </c>
    </row>
    <row r="1039" spans="1:33" x14ac:dyDescent="0.2">
      <c r="A1039" s="1" t="s">
        <v>2584</v>
      </c>
      <c r="B1039" s="1" t="s">
        <v>2652</v>
      </c>
      <c r="C1039" s="1">
        <v>3148</v>
      </c>
      <c r="D1039" s="1">
        <v>4</v>
      </c>
      <c r="F1039" s="1">
        <v>2023</v>
      </c>
      <c r="G1039" s="1" t="s">
        <v>682</v>
      </c>
      <c r="H1039" s="1">
        <v>601710</v>
      </c>
      <c r="I1039" s="1">
        <v>3</v>
      </c>
      <c r="J1039" s="1" t="s">
        <v>668</v>
      </c>
      <c r="K1039" s="1" t="s">
        <v>2599</v>
      </c>
      <c r="L1039" s="1" t="s">
        <v>2600</v>
      </c>
      <c r="M1039" s="1">
        <v>95</v>
      </c>
      <c r="N1039" s="1" t="s">
        <v>39</v>
      </c>
      <c r="O1039" s="1">
        <v>40.795999999999999</v>
      </c>
      <c r="P1039" s="1">
        <v>-75.106999999999999</v>
      </c>
      <c r="Q1039" s="1" t="s">
        <v>2653</v>
      </c>
      <c r="R1039" s="1" t="s">
        <v>41</v>
      </c>
      <c r="T1039" s="1" t="s">
        <v>43</v>
      </c>
      <c r="U1039" s="1" t="s">
        <v>173</v>
      </c>
      <c r="V1039" s="1" t="s">
        <v>44</v>
      </c>
      <c r="AA1039" s="3">
        <v>28199</v>
      </c>
      <c r="AB1039" s="1" t="s">
        <v>46</v>
      </c>
      <c r="AC1039" s="5">
        <v>9303</v>
      </c>
      <c r="AD1039" s="1" t="s">
        <v>2655</v>
      </c>
      <c r="AE1039" s="1" t="str">
        <f t="shared" si="81"/>
        <v>3148 4</v>
      </c>
      <c r="AF1039" s="5" t="str">
        <f t="shared" si="79"/>
        <v>850.5</v>
      </c>
      <c r="AG1039" s="1" t="str">
        <f t="shared" si="80"/>
        <v/>
      </c>
    </row>
    <row r="1040" spans="1:33" x14ac:dyDescent="0.2">
      <c r="A1040" s="1" t="s">
        <v>2584</v>
      </c>
      <c r="B1040" s="1" t="s">
        <v>2656</v>
      </c>
      <c r="C1040" s="1">
        <v>3149</v>
      </c>
      <c r="D1040" s="1">
        <v>1</v>
      </c>
      <c r="F1040" s="1">
        <v>2023</v>
      </c>
      <c r="G1040" s="1" t="s">
        <v>682</v>
      </c>
      <c r="H1040" s="1">
        <v>601710</v>
      </c>
      <c r="I1040" s="1">
        <v>3</v>
      </c>
      <c r="J1040" s="1" t="s">
        <v>668</v>
      </c>
      <c r="K1040" s="1" t="s">
        <v>2657</v>
      </c>
      <c r="L1040" s="1" t="s">
        <v>2658</v>
      </c>
      <c r="M1040" s="1">
        <v>93</v>
      </c>
      <c r="N1040" s="1" t="s">
        <v>39</v>
      </c>
      <c r="O1040" s="1">
        <v>41.071399999999997</v>
      </c>
      <c r="P1040" s="1">
        <v>-76.667199999999994</v>
      </c>
      <c r="Q1040" s="1" t="s">
        <v>2659</v>
      </c>
      <c r="R1040" s="1" t="s">
        <v>41</v>
      </c>
      <c r="S1040" s="1" t="s">
        <v>211</v>
      </c>
      <c r="T1040" s="1" t="s">
        <v>43</v>
      </c>
      <c r="U1040" s="1" t="s">
        <v>55</v>
      </c>
      <c r="V1040" s="1" t="s">
        <v>2660</v>
      </c>
      <c r="W1040" s="1" t="s">
        <v>241</v>
      </c>
      <c r="X1040" s="1" t="s">
        <v>301</v>
      </c>
      <c r="Y1040" s="1" t="s">
        <v>58</v>
      </c>
      <c r="AA1040" s="3">
        <v>26238</v>
      </c>
      <c r="AB1040" s="1" t="s">
        <v>46</v>
      </c>
      <c r="AC1040" s="5">
        <v>7384</v>
      </c>
      <c r="AD1040" s="1" t="s">
        <v>2661</v>
      </c>
      <c r="AE1040" s="1" t="str">
        <f t="shared" si="81"/>
        <v>3149 1</v>
      </c>
      <c r="AF1040" s="5" t="str">
        <f t="shared" si="79"/>
        <v>805.5</v>
      </c>
      <c r="AG1040" s="1" t="str">
        <f t="shared" si="80"/>
        <v>Y</v>
      </c>
    </row>
    <row r="1041" spans="1:33" x14ac:dyDescent="0.2">
      <c r="A1041" s="1" t="s">
        <v>2584</v>
      </c>
      <c r="B1041" s="1" t="s">
        <v>2656</v>
      </c>
      <c r="C1041" s="1">
        <v>3149</v>
      </c>
      <c r="D1041" s="1">
        <v>2</v>
      </c>
      <c r="F1041" s="1">
        <v>2023</v>
      </c>
      <c r="G1041" s="1" t="s">
        <v>682</v>
      </c>
      <c r="H1041" s="1">
        <v>601710</v>
      </c>
      <c r="I1041" s="1">
        <v>3</v>
      </c>
      <c r="J1041" s="1" t="s">
        <v>668</v>
      </c>
      <c r="K1041" s="1" t="s">
        <v>2657</v>
      </c>
      <c r="L1041" s="1" t="s">
        <v>2658</v>
      </c>
      <c r="M1041" s="1">
        <v>93</v>
      </c>
      <c r="N1041" s="1" t="s">
        <v>39</v>
      </c>
      <c r="O1041" s="1">
        <v>41.071399999999997</v>
      </c>
      <c r="P1041" s="1">
        <v>-76.667199999999994</v>
      </c>
      <c r="Q1041" s="1" t="s">
        <v>2659</v>
      </c>
      <c r="R1041" s="1" t="s">
        <v>41</v>
      </c>
      <c r="S1041" s="1" t="s">
        <v>211</v>
      </c>
      <c r="T1041" s="1" t="s">
        <v>43</v>
      </c>
      <c r="U1041" s="1" t="s">
        <v>55</v>
      </c>
      <c r="V1041" s="1" t="s">
        <v>2660</v>
      </c>
      <c r="W1041" s="1" t="s">
        <v>241</v>
      </c>
      <c r="X1041" s="1" t="s">
        <v>301</v>
      </c>
      <c r="Y1041" s="1" t="s">
        <v>58</v>
      </c>
      <c r="AA1041" s="3">
        <v>26697</v>
      </c>
      <c r="AB1041" s="1" t="s">
        <v>46</v>
      </c>
      <c r="AC1041" s="5">
        <v>7384</v>
      </c>
      <c r="AD1041" s="1" t="s">
        <v>2662</v>
      </c>
      <c r="AE1041" s="1" t="str">
        <f t="shared" si="81"/>
        <v>3149 2</v>
      </c>
      <c r="AF1041" s="5" t="str">
        <f t="shared" si="79"/>
        <v>819</v>
      </c>
      <c r="AG1041" s="1" t="str">
        <f t="shared" si="80"/>
        <v>Y</v>
      </c>
    </row>
    <row r="1042" spans="1:33" x14ac:dyDescent="0.2">
      <c r="A1042" s="1" t="s">
        <v>2584</v>
      </c>
      <c r="B1042" s="1" t="s">
        <v>2663</v>
      </c>
      <c r="C1042" s="1">
        <v>3161</v>
      </c>
      <c r="D1042" s="1">
        <v>3</v>
      </c>
      <c r="E1042" s="1" t="s">
        <v>2664</v>
      </c>
      <c r="F1042" s="1">
        <v>2023</v>
      </c>
      <c r="G1042" s="1" t="s">
        <v>682</v>
      </c>
      <c r="H1042" s="1">
        <v>609041</v>
      </c>
      <c r="I1042" s="1">
        <v>3</v>
      </c>
      <c r="K1042" s="1" t="s">
        <v>2665</v>
      </c>
      <c r="L1042" s="1" t="s">
        <v>2666</v>
      </c>
      <c r="M1042" s="1">
        <v>45</v>
      </c>
      <c r="N1042" s="1" t="s">
        <v>39</v>
      </c>
      <c r="O1042" s="1">
        <v>39.857999999999997</v>
      </c>
      <c r="P1042" s="1">
        <v>-75.322999999999993</v>
      </c>
      <c r="Q1042" s="1" t="s">
        <v>1571</v>
      </c>
      <c r="R1042" s="1" t="s">
        <v>41</v>
      </c>
      <c r="T1042" s="1" t="s">
        <v>43</v>
      </c>
      <c r="U1042" s="1" t="s">
        <v>44</v>
      </c>
      <c r="V1042" s="1" t="s">
        <v>94</v>
      </c>
      <c r="X1042" s="1" t="s">
        <v>454</v>
      </c>
      <c r="AA1042" s="3">
        <v>27030</v>
      </c>
      <c r="AB1042" s="1" t="s">
        <v>46</v>
      </c>
      <c r="AC1042" s="5">
        <v>5863.1</v>
      </c>
      <c r="AD1042" s="1" t="s">
        <v>2667</v>
      </c>
      <c r="AE1042" s="1" t="str">
        <f t="shared" si="81"/>
        <v>3161 3</v>
      </c>
      <c r="AF1042" s="5" t="str">
        <f t="shared" si="79"/>
        <v>395</v>
      </c>
      <c r="AG1042" s="1" t="str">
        <f t="shared" si="80"/>
        <v/>
      </c>
    </row>
    <row r="1043" spans="1:33" x14ac:dyDescent="0.2">
      <c r="A1043" s="1" t="s">
        <v>2584</v>
      </c>
      <c r="B1043" s="1" t="s">
        <v>2663</v>
      </c>
      <c r="C1043" s="1">
        <v>3161</v>
      </c>
      <c r="D1043" s="1">
        <v>4</v>
      </c>
      <c r="E1043" s="1" t="s">
        <v>2664</v>
      </c>
      <c r="F1043" s="1">
        <v>2023</v>
      </c>
      <c r="G1043" s="1" t="s">
        <v>682</v>
      </c>
      <c r="H1043" s="1">
        <v>609041</v>
      </c>
      <c r="I1043" s="1">
        <v>3</v>
      </c>
      <c r="K1043" s="1" t="s">
        <v>2665</v>
      </c>
      <c r="L1043" s="1" t="s">
        <v>2666</v>
      </c>
      <c r="M1043" s="1">
        <v>45</v>
      </c>
      <c r="N1043" s="1" t="s">
        <v>39</v>
      </c>
      <c r="O1043" s="1">
        <v>39.857999999999997</v>
      </c>
      <c r="P1043" s="1">
        <v>-75.322999999999993</v>
      </c>
      <c r="Q1043" s="1" t="s">
        <v>1571</v>
      </c>
      <c r="R1043" s="1" t="s">
        <v>41</v>
      </c>
      <c r="T1043" s="1" t="s">
        <v>43</v>
      </c>
      <c r="U1043" s="1" t="s">
        <v>44</v>
      </c>
      <c r="V1043" s="1" t="s">
        <v>94</v>
      </c>
      <c r="X1043" s="1" t="s">
        <v>454</v>
      </c>
      <c r="AA1043" s="3">
        <v>27760</v>
      </c>
      <c r="AB1043" s="1" t="s">
        <v>46</v>
      </c>
      <c r="AC1043" s="5">
        <v>5345.3</v>
      </c>
      <c r="AD1043" s="1" t="s">
        <v>2668</v>
      </c>
      <c r="AE1043" s="1" t="str">
        <f t="shared" si="81"/>
        <v>3161 4</v>
      </c>
      <c r="AF1043" s="5" t="str">
        <f t="shared" si="79"/>
        <v>395</v>
      </c>
      <c r="AG1043" s="1" t="str">
        <f t="shared" si="80"/>
        <v/>
      </c>
    </row>
    <row r="1044" spans="1:33" x14ac:dyDescent="0.2">
      <c r="A1044" s="1" t="s">
        <v>2584</v>
      </c>
      <c r="B1044" s="1" t="s">
        <v>2669</v>
      </c>
      <c r="C1044" s="1">
        <v>3168</v>
      </c>
      <c r="D1044" s="1">
        <v>91</v>
      </c>
      <c r="F1044" s="1">
        <v>2023</v>
      </c>
      <c r="G1044" s="1" t="s">
        <v>1528</v>
      </c>
      <c r="H1044" s="1">
        <v>609041</v>
      </c>
      <c r="I1044" s="1">
        <v>3</v>
      </c>
      <c r="J1044" s="1" t="s">
        <v>668</v>
      </c>
      <c r="K1044" s="1" t="s">
        <v>2670</v>
      </c>
      <c r="L1044" s="1" t="s">
        <v>2671</v>
      </c>
      <c r="M1044" s="1">
        <v>101</v>
      </c>
      <c r="N1044" s="1" t="s">
        <v>39</v>
      </c>
      <c r="O1044" s="1">
        <v>39.985300000000002</v>
      </c>
      <c r="P1044" s="1">
        <v>-75.073300000000003</v>
      </c>
      <c r="Q1044" s="1" t="s">
        <v>1571</v>
      </c>
      <c r="T1044" s="1" t="s">
        <v>93</v>
      </c>
      <c r="U1044" s="1" t="s">
        <v>94</v>
      </c>
      <c r="AA1044" s="3">
        <v>26822</v>
      </c>
      <c r="AB1044" s="1" t="s">
        <v>46</v>
      </c>
      <c r="AC1044" s="5">
        <v>838</v>
      </c>
      <c r="AD1044" s="1" t="s">
        <v>2672</v>
      </c>
      <c r="AE1044" s="1" t="str">
        <f t="shared" si="81"/>
        <v>3168 91</v>
      </c>
      <c r="AF1044" s="5" t="str">
        <f t="shared" si="79"/>
        <v>50</v>
      </c>
      <c r="AG1044" s="1" t="str">
        <f t="shared" si="80"/>
        <v/>
      </c>
    </row>
    <row r="1045" spans="1:33" x14ac:dyDescent="0.2">
      <c r="A1045" s="1" t="s">
        <v>2584</v>
      </c>
      <c r="B1045" s="1" t="s">
        <v>2669</v>
      </c>
      <c r="C1045" s="1">
        <v>3168</v>
      </c>
      <c r="D1045" s="1">
        <v>92</v>
      </c>
      <c r="F1045" s="1">
        <v>2023</v>
      </c>
      <c r="G1045" s="1" t="s">
        <v>1528</v>
      </c>
      <c r="H1045" s="1">
        <v>609041</v>
      </c>
      <c r="I1045" s="1">
        <v>3</v>
      </c>
      <c r="J1045" s="1" t="s">
        <v>668</v>
      </c>
      <c r="K1045" s="1" t="s">
        <v>2670</v>
      </c>
      <c r="L1045" s="1" t="s">
        <v>2671</v>
      </c>
      <c r="M1045" s="1">
        <v>101</v>
      </c>
      <c r="N1045" s="1" t="s">
        <v>39</v>
      </c>
      <c r="O1045" s="1">
        <v>39.985300000000002</v>
      </c>
      <c r="P1045" s="1">
        <v>-75.073300000000003</v>
      </c>
      <c r="Q1045" s="1" t="s">
        <v>1571</v>
      </c>
      <c r="T1045" s="1" t="s">
        <v>93</v>
      </c>
      <c r="U1045" s="1" t="s">
        <v>94</v>
      </c>
      <c r="AA1045" s="3">
        <v>26822</v>
      </c>
      <c r="AB1045" s="1" t="s">
        <v>46</v>
      </c>
      <c r="AC1045" s="5">
        <v>838</v>
      </c>
      <c r="AD1045" s="1" t="s">
        <v>2673</v>
      </c>
      <c r="AE1045" s="1" t="str">
        <f t="shared" si="81"/>
        <v>3168 92</v>
      </c>
      <c r="AF1045" s="5" t="str">
        <f t="shared" si="79"/>
        <v>50</v>
      </c>
      <c r="AG1045" s="1" t="str">
        <f t="shared" si="80"/>
        <v/>
      </c>
    </row>
    <row r="1046" spans="1:33" x14ac:dyDescent="0.2">
      <c r="A1046" s="1" t="s">
        <v>2584</v>
      </c>
      <c r="B1046" s="1" t="s">
        <v>2674</v>
      </c>
      <c r="C1046" s="1">
        <v>3176</v>
      </c>
      <c r="D1046" s="1" t="s">
        <v>105</v>
      </c>
      <c r="F1046" s="1">
        <v>2023</v>
      </c>
      <c r="G1046" s="1" t="s">
        <v>1515</v>
      </c>
      <c r="H1046" s="1">
        <v>609032</v>
      </c>
      <c r="I1046" s="1">
        <v>3</v>
      </c>
      <c r="K1046" s="1" t="s">
        <v>2675</v>
      </c>
      <c r="L1046" s="1" t="s">
        <v>2676</v>
      </c>
      <c r="M1046" s="1">
        <v>79</v>
      </c>
      <c r="N1046" s="1" t="s">
        <v>39</v>
      </c>
      <c r="O1046" s="1">
        <v>41.203299999999999</v>
      </c>
      <c r="P1046" s="1">
        <v>-76.068299999999994</v>
      </c>
      <c r="Q1046" s="1" t="s">
        <v>2677</v>
      </c>
      <c r="R1046" s="1" t="s">
        <v>41</v>
      </c>
      <c r="T1046" s="1" t="s">
        <v>71</v>
      </c>
      <c r="U1046" s="1" t="s">
        <v>44</v>
      </c>
      <c r="V1046" s="1" t="s">
        <v>94</v>
      </c>
      <c r="X1046" s="1" t="s">
        <v>176</v>
      </c>
      <c r="AA1046" s="3">
        <v>40696</v>
      </c>
      <c r="AB1046" s="1" t="s">
        <v>46</v>
      </c>
      <c r="AC1046" s="5">
        <v>540</v>
      </c>
      <c r="AD1046" s="1" t="s">
        <v>2678</v>
      </c>
      <c r="AE1046" s="1" t="str">
        <f t="shared" si="81"/>
        <v>3176 CT5</v>
      </c>
      <c r="AF1046" s="14">
        <f>MID(AD1046,FIND("(",AD1046)+1,FIND(")",AD1046)-FIND("(",AD1046)-1)+50/2</f>
        <v>75</v>
      </c>
      <c r="AG1046" s="1" t="str">
        <f t="shared" si="80"/>
        <v>Y</v>
      </c>
    </row>
    <row r="1047" spans="1:33" x14ac:dyDescent="0.2">
      <c r="A1047" s="1" t="s">
        <v>2584</v>
      </c>
      <c r="B1047" s="1" t="s">
        <v>2674</v>
      </c>
      <c r="C1047" s="1">
        <v>3176</v>
      </c>
      <c r="D1047" s="1" t="s">
        <v>107</v>
      </c>
      <c r="F1047" s="1">
        <v>2023</v>
      </c>
      <c r="G1047" s="1" t="s">
        <v>1515</v>
      </c>
      <c r="H1047" s="1">
        <v>609032</v>
      </c>
      <c r="I1047" s="1">
        <v>3</v>
      </c>
      <c r="K1047" s="1" t="s">
        <v>2675</v>
      </c>
      <c r="L1047" s="1" t="s">
        <v>2676</v>
      </c>
      <c r="M1047" s="1">
        <v>79</v>
      </c>
      <c r="N1047" s="1" t="s">
        <v>39</v>
      </c>
      <c r="O1047" s="1">
        <v>41.203299999999999</v>
      </c>
      <c r="P1047" s="1">
        <v>-76.068299999999994</v>
      </c>
      <c r="Q1047" s="1" t="s">
        <v>2677</v>
      </c>
      <c r="R1047" s="1" t="s">
        <v>41</v>
      </c>
      <c r="T1047" s="1" t="s">
        <v>71</v>
      </c>
      <c r="U1047" s="1" t="s">
        <v>44</v>
      </c>
      <c r="V1047" s="1" t="s">
        <v>94</v>
      </c>
      <c r="X1047" s="1" t="s">
        <v>176</v>
      </c>
      <c r="AA1047" s="3">
        <v>40691</v>
      </c>
      <c r="AB1047" s="1" t="s">
        <v>46</v>
      </c>
      <c r="AC1047" s="5">
        <v>540</v>
      </c>
      <c r="AD1047" s="1" t="s">
        <v>2679</v>
      </c>
      <c r="AE1047" s="1" t="str">
        <f t="shared" si="81"/>
        <v>3176 CT6</v>
      </c>
      <c r="AF1047" s="14">
        <f>AF1046</f>
        <v>75</v>
      </c>
      <c r="AG1047" s="1" t="str">
        <f t="shared" si="80"/>
        <v>Y</v>
      </c>
    </row>
    <row r="1048" spans="1:33" x14ac:dyDescent="0.2">
      <c r="A1048" s="1" t="s">
        <v>2680</v>
      </c>
      <c r="B1048" s="1" t="s">
        <v>2681</v>
      </c>
      <c r="C1048" s="1">
        <v>3236</v>
      </c>
      <c r="D1048" s="1">
        <v>9</v>
      </c>
      <c r="F1048" s="1">
        <v>2023</v>
      </c>
      <c r="G1048" s="1" t="s">
        <v>579</v>
      </c>
      <c r="H1048" s="1">
        <v>609297</v>
      </c>
      <c r="I1048" s="1">
        <v>1</v>
      </c>
      <c r="J1048" s="1" t="s">
        <v>580</v>
      </c>
      <c r="K1048" s="1" t="s">
        <v>2682</v>
      </c>
      <c r="L1048" s="1" t="s">
        <v>2683</v>
      </c>
      <c r="M1048" s="1">
        <v>7</v>
      </c>
      <c r="N1048" s="1" t="s">
        <v>39</v>
      </c>
      <c r="O1048" s="1">
        <v>41.816699999999997</v>
      </c>
      <c r="P1048" s="1">
        <v>-71.404200000000003</v>
      </c>
      <c r="Q1048" s="1" t="s">
        <v>2684</v>
      </c>
      <c r="R1048" s="1" t="s">
        <v>41</v>
      </c>
      <c r="T1048" s="1" t="s">
        <v>71</v>
      </c>
      <c r="U1048" s="1" t="s">
        <v>44</v>
      </c>
      <c r="V1048" s="1" t="s">
        <v>94</v>
      </c>
      <c r="X1048" s="1" t="s">
        <v>2685</v>
      </c>
      <c r="AA1048" s="3">
        <v>34941</v>
      </c>
      <c r="AB1048" s="1" t="s">
        <v>46</v>
      </c>
      <c r="AC1048" s="5">
        <v>1450</v>
      </c>
      <c r="AD1048" s="1" t="s">
        <v>2686</v>
      </c>
      <c r="AE1048" s="1" t="str">
        <f t="shared" si="81"/>
        <v>3236 9</v>
      </c>
      <c r="AF1048" s="14">
        <f>MID(AD1048,FIND("(",AD1048)+1,FIND(")",AD1048)-FIND("(",AD1048)-1)+46</f>
        <v>171</v>
      </c>
      <c r="AG1048" s="1" t="str">
        <f t="shared" si="80"/>
        <v>Y</v>
      </c>
    </row>
    <row r="1049" spans="1:33" x14ac:dyDescent="0.2">
      <c r="A1049" s="1" t="s">
        <v>2680</v>
      </c>
      <c r="B1049" s="1" t="s">
        <v>2681</v>
      </c>
      <c r="C1049" s="1">
        <v>3236</v>
      </c>
      <c r="D1049" s="1">
        <v>10</v>
      </c>
      <c r="F1049" s="1">
        <v>2023</v>
      </c>
      <c r="G1049" s="1" t="s">
        <v>579</v>
      </c>
      <c r="H1049" s="1">
        <v>609297</v>
      </c>
      <c r="I1049" s="1">
        <v>1</v>
      </c>
      <c r="J1049" s="1" t="s">
        <v>580</v>
      </c>
      <c r="K1049" s="1" t="s">
        <v>2682</v>
      </c>
      <c r="L1049" s="1" t="s">
        <v>2683</v>
      </c>
      <c r="M1049" s="1">
        <v>7</v>
      </c>
      <c r="N1049" s="1" t="s">
        <v>39</v>
      </c>
      <c r="O1049" s="1">
        <v>41.816699999999997</v>
      </c>
      <c r="P1049" s="1">
        <v>-71.404200000000003</v>
      </c>
      <c r="Q1049" s="1" t="s">
        <v>2684</v>
      </c>
      <c r="R1049" s="1" t="s">
        <v>41</v>
      </c>
      <c r="T1049" s="1" t="s">
        <v>71</v>
      </c>
      <c r="U1049" s="1" t="s">
        <v>44</v>
      </c>
      <c r="V1049" s="1" t="s">
        <v>94</v>
      </c>
      <c r="X1049" s="1" t="s">
        <v>2685</v>
      </c>
      <c r="AA1049" s="3">
        <v>34904</v>
      </c>
      <c r="AB1049" s="1" t="s">
        <v>46</v>
      </c>
      <c r="AC1049" s="5">
        <v>1450</v>
      </c>
      <c r="AD1049" s="1" t="s">
        <v>2687</v>
      </c>
      <c r="AE1049" s="1" t="str">
        <f t="shared" si="81"/>
        <v>3236 10</v>
      </c>
      <c r="AF1049" s="14">
        <f>MID(AD1049,FIND("(",AD1049)+1,FIND(")",AD1049)-FIND("(",AD1049)-1)+48</f>
        <v>173</v>
      </c>
      <c r="AG1049" s="1" t="str">
        <f t="shared" si="80"/>
        <v>Y</v>
      </c>
    </row>
    <row r="1050" spans="1:33" x14ac:dyDescent="0.2">
      <c r="A1050" s="1" t="s">
        <v>2680</v>
      </c>
      <c r="B1050" s="1" t="s">
        <v>2681</v>
      </c>
      <c r="C1050" s="1">
        <v>3236</v>
      </c>
      <c r="D1050" s="1">
        <v>11</v>
      </c>
      <c r="F1050" s="1">
        <v>2023</v>
      </c>
      <c r="G1050" s="1" t="s">
        <v>579</v>
      </c>
      <c r="H1050" s="1">
        <v>609297</v>
      </c>
      <c r="I1050" s="1">
        <v>1</v>
      </c>
      <c r="J1050" s="1" t="s">
        <v>580</v>
      </c>
      <c r="K1050" s="1" t="s">
        <v>2682</v>
      </c>
      <c r="L1050" s="1" t="s">
        <v>2683</v>
      </c>
      <c r="M1050" s="1">
        <v>7</v>
      </c>
      <c r="N1050" s="1" t="s">
        <v>39</v>
      </c>
      <c r="O1050" s="1">
        <v>41.816699999999997</v>
      </c>
      <c r="P1050" s="1">
        <v>-71.404200000000003</v>
      </c>
      <c r="Q1050" s="1" t="s">
        <v>2684</v>
      </c>
      <c r="R1050" s="1" t="s">
        <v>41</v>
      </c>
      <c r="T1050" s="1" t="s">
        <v>71</v>
      </c>
      <c r="U1050" s="1" t="s">
        <v>44</v>
      </c>
      <c r="V1050" s="1" t="s">
        <v>94</v>
      </c>
      <c r="X1050" s="1" t="s">
        <v>2685</v>
      </c>
      <c r="AA1050" s="3">
        <v>34880</v>
      </c>
      <c r="AB1050" s="1" t="s">
        <v>46</v>
      </c>
      <c r="AC1050" s="5">
        <v>1450</v>
      </c>
      <c r="AD1050" s="1" t="s">
        <v>2688</v>
      </c>
      <c r="AE1050" s="1" t="str">
        <f t="shared" si="81"/>
        <v>3236 11</v>
      </c>
      <c r="AF1050" s="14">
        <f>MID(AD1050,FIND("(",AD1050)+1,FIND(")",AD1050)-FIND("(",AD1050)-1)+46</f>
        <v>171</v>
      </c>
      <c r="AG1050" s="1" t="str">
        <f t="shared" si="80"/>
        <v>Y</v>
      </c>
    </row>
    <row r="1051" spans="1:33" x14ac:dyDescent="0.2">
      <c r="A1051" s="1" t="s">
        <v>291</v>
      </c>
      <c r="B1051" s="1" t="s">
        <v>2689</v>
      </c>
      <c r="C1051" s="1">
        <v>3250</v>
      </c>
      <c r="D1051" s="1">
        <v>12</v>
      </c>
      <c r="F1051" s="1">
        <v>2023</v>
      </c>
      <c r="G1051" s="1" t="s">
        <v>2690</v>
      </c>
      <c r="H1051" s="1" t="s">
        <v>2320</v>
      </c>
      <c r="I1051" s="1">
        <v>4</v>
      </c>
      <c r="J1051" s="1" t="s">
        <v>36</v>
      </c>
      <c r="K1051" s="1" t="s">
        <v>2689</v>
      </c>
      <c r="L1051" s="1" t="s">
        <v>2691</v>
      </c>
      <c r="M1051" s="1">
        <v>31</v>
      </c>
      <c r="N1051" s="1" t="s">
        <v>39</v>
      </c>
      <c r="O1051" s="1">
        <v>34.418500000000002</v>
      </c>
      <c r="P1051" s="1">
        <v>-80.165700000000001</v>
      </c>
      <c r="Q1051" s="1" t="s">
        <v>2332</v>
      </c>
      <c r="R1051" s="1" t="s">
        <v>41</v>
      </c>
      <c r="T1051" s="1" t="s">
        <v>93</v>
      </c>
      <c r="U1051" s="1" t="s">
        <v>44</v>
      </c>
      <c r="V1051" s="1" t="s">
        <v>94</v>
      </c>
      <c r="X1051" s="1" t="s">
        <v>95</v>
      </c>
      <c r="AA1051" s="3">
        <v>35582</v>
      </c>
      <c r="AB1051" s="1" t="s">
        <v>46</v>
      </c>
      <c r="AC1051" s="5">
        <v>1965</v>
      </c>
      <c r="AD1051" s="1" t="s">
        <v>2692</v>
      </c>
      <c r="AE1051" s="1" t="str">
        <f t="shared" si="81"/>
        <v>3250 12</v>
      </c>
      <c r="AF1051" s="5" t="str">
        <f>MID(AD1051,FIND("(",AD1051)+1,FIND(")",AD1051)-FIND("(",AD1051)-1)</f>
        <v>158</v>
      </c>
      <c r="AG1051" s="1" t="str">
        <f t="shared" si="80"/>
        <v/>
      </c>
    </row>
    <row r="1052" spans="1:33" x14ac:dyDescent="0.2">
      <c r="A1052" s="1" t="s">
        <v>291</v>
      </c>
      <c r="B1052" s="1" t="s">
        <v>2689</v>
      </c>
      <c r="C1052" s="1">
        <v>3250</v>
      </c>
      <c r="D1052" s="1">
        <v>13</v>
      </c>
      <c r="F1052" s="1">
        <v>2023</v>
      </c>
      <c r="G1052" s="1" t="s">
        <v>2690</v>
      </c>
      <c r="H1052" s="1" t="s">
        <v>2320</v>
      </c>
      <c r="I1052" s="1">
        <v>4</v>
      </c>
      <c r="J1052" s="1" t="s">
        <v>36</v>
      </c>
      <c r="K1052" s="1" t="s">
        <v>2689</v>
      </c>
      <c r="L1052" s="1" t="s">
        <v>2691</v>
      </c>
      <c r="M1052" s="1">
        <v>31</v>
      </c>
      <c r="N1052" s="1" t="s">
        <v>39</v>
      </c>
      <c r="O1052" s="1">
        <v>34.418500000000002</v>
      </c>
      <c r="P1052" s="1">
        <v>-80.165700000000001</v>
      </c>
      <c r="Q1052" s="1" t="s">
        <v>2332</v>
      </c>
      <c r="R1052" s="1" t="s">
        <v>41</v>
      </c>
      <c r="T1052" s="1" t="s">
        <v>93</v>
      </c>
      <c r="U1052" s="1" t="s">
        <v>44</v>
      </c>
      <c r="V1052" s="1" t="s">
        <v>94</v>
      </c>
      <c r="X1052" s="1" t="s">
        <v>95</v>
      </c>
      <c r="AA1052" s="3">
        <v>35582</v>
      </c>
      <c r="AB1052" s="1" t="s">
        <v>46</v>
      </c>
      <c r="AC1052" s="5">
        <v>1850</v>
      </c>
      <c r="AD1052" s="1" t="s">
        <v>2693</v>
      </c>
      <c r="AE1052" s="1" t="str">
        <f t="shared" si="81"/>
        <v>3250 13</v>
      </c>
      <c r="AF1052" s="5" t="str">
        <f>MID(AD1052,FIND("(",AD1052)+1,FIND(")",AD1052)-FIND("(",AD1052)-1)</f>
        <v>158</v>
      </c>
      <c r="AG1052" s="1" t="str">
        <f t="shared" si="80"/>
        <v/>
      </c>
    </row>
    <row r="1053" spans="1:33" x14ac:dyDescent="0.2">
      <c r="A1053" s="1" t="s">
        <v>291</v>
      </c>
      <c r="B1053" s="1" t="s">
        <v>2694</v>
      </c>
      <c r="C1053" s="1">
        <v>3264</v>
      </c>
      <c r="D1053" s="1">
        <v>11</v>
      </c>
      <c r="F1053" s="1">
        <v>2023</v>
      </c>
      <c r="G1053" s="1" t="s">
        <v>2690</v>
      </c>
      <c r="H1053" s="1" t="s">
        <v>2320</v>
      </c>
      <c r="I1053" s="1">
        <v>4</v>
      </c>
      <c r="J1053" s="1" t="s">
        <v>36</v>
      </c>
      <c r="K1053" s="1" t="s">
        <v>2695</v>
      </c>
      <c r="L1053" s="1" t="s">
        <v>2696</v>
      </c>
      <c r="M1053" s="1">
        <v>7</v>
      </c>
      <c r="N1053" s="1" t="s">
        <v>39</v>
      </c>
      <c r="O1053" s="1">
        <v>34.602200000000003</v>
      </c>
      <c r="P1053" s="1">
        <v>-82.435000000000002</v>
      </c>
      <c r="Q1053" s="1" t="s">
        <v>2697</v>
      </c>
      <c r="R1053" s="1" t="s">
        <v>41</v>
      </c>
      <c r="T1053" s="1" t="s">
        <v>71</v>
      </c>
      <c r="U1053" s="1" t="s">
        <v>44</v>
      </c>
      <c r="X1053" s="1" t="s">
        <v>64</v>
      </c>
      <c r="AA1053" s="3">
        <v>43058</v>
      </c>
      <c r="AB1053" s="1" t="s">
        <v>46</v>
      </c>
      <c r="AC1053" s="5">
        <v>3001</v>
      </c>
      <c r="AD1053" s="1" t="s">
        <v>2698</v>
      </c>
      <c r="AE1053" s="1" t="str">
        <f t="shared" si="81"/>
        <v>3264 11</v>
      </c>
      <c r="AF1053" s="14">
        <f>MID(AD1053,FIND("(",AD1053)+1,FIND(")",AD1053)-FIND("(",AD1053)-1)+362/2</f>
        <v>424</v>
      </c>
      <c r="AG1053" s="1" t="str">
        <f t="shared" si="80"/>
        <v>Y</v>
      </c>
    </row>
    <row r="1054" spans="1:33" x14ac:dyDescent="0.2">
      <c r="A1054" s="1" t="s">
        <v>291</v>
      </c>
      <c r="B1054" s="1" t="s">
        <v>2694</v>
      </c>
      <c r="C1054" s="1">
        <v>3264</v>
      </c>
      <c r="D1054" s="1">
        <v>12</v>
      </c>
      <c r="F1054" s="1">
        <v>2023</v>
      </c>
      <c r="G1054" s="1" t="s">
        <v>2690</v>
      </c>
      <c r="H1054" s="1" t="s">
        <v>2320</v>
      </c>
      <c r="I1054" s="1">
        <v>4</v>
      </c>
      <c r="J1054" s="1" t="s">
        <v>36</v>
      </c>
      <c r="K1054" s="1" t="s">
        <v>2695</v>
      </c>
      <c r="L1054" s="1" t="s">
        <v>2696</v>
      </c>
      <c r="M1054" s="1">
        <v>7</v>
      </c>
      <c r="N1054" s="1" t="s">
        <v>39</v>
      </c>
      <c r="O1054" s="1">
        <v>34.602200000000003</v>
      </c>
      <c r="P1054" s="1">
        <v>-82.435000000000002</v>
      </c>
      <c r="Q1054" s="1" t="s">
        <v>2697</v>
      </c>
      <c r="R1054" s="1" t="s">
        <v>41</v>
      </c>
      <c r="T1054" s="1" t="s">
        <v>71</v>
      </c>
      <c r="U1054" s="1" t="s">
        <v>44</v>
      </c>
      <c r="X1054" s="1" t="s">
        <v>64</v>
      </c>
      <c r="AA1054" s="3">
        <v>43057</v>
      </c>
      <c r="AB1054" s="1" t="s">
        <v>46</v>
      </c>
      <c r="AC1054" s="5">
        <v>3001</v>
      </c>
      <c r="AD1054" s="1" t="s">
        <v>2699</v>
      </c>
      <c r="AE1054" s="1" t="str">
        <f t="shared" si="81"/>
        <v>3264 12</v>
      </c>
      <c r="AF1054" s="14">
        <f>AF1053</f>
        <v>424</v>
      </c>
      <c r="AG1054" s="1" t="str">
        <f t="shared" si="80"/>
        <v>Y</v>
      </c>
    </row>
    <row r="1055" spans="1:33" x14ac:dyDescent="0.2">
      <c r="A1055" s="1" t="s">
        <v>291</v>
      </c>
      <c r="B1055" s="1" t="s">
        <v>2694</v>
      </c>
      <c r="C1055" s="1">
        <v>3264</v>
      </c>
      <c r="D1055" s="1" t="s">
        <v>2700</v>
      </c>
      <c r="F1055" s="1">
        <v>2023</v>
      </c>
      <c r="G1055" s="1" t="s">
        <v>2690</v>
      </c>
      <c r="H1055" s="1" t="s">
        <v>2320</v>
      </c>
      <c r="I1055" s="1">
        <v>4</v>
      </c>
      <c r="J1055" s="1" t="s">
        <v>36</v>
      </c>
      <c r="K1055" s="1" t="s">
        <v>2695</v>
      </c>
      <c r="L1055" s="1" t="s">
        <v>2696</v>
      </c>
      <c r="M1055" s="1">
        <v>7</v>
      </c>
      <c r="N1055" s="1" t="s">
        <v>39</v>
      </c>
      <c r="O1055" s="1">
        <v>34.602200000000003</v>
      </c>
      <c r="P1055" s="1">
        <v>-82.435000000000002</v>
      </c>
      <c r="Q1055" s="1" t="s">
        <v>2382</v>
      </c>
      <c r="R1055" s="1" t="s">
        <v>41</v>
      </c>
      <c r="T1055" s="1" t="s">
        <v>93</v>
      </c>
      <c r="U1055" s="1" t="s">
        <v>44</v>
      </c>
      <c r="V1055" s="1" t="s">
        <v>94</v>
      </c>
      <c r="X1055" s="1" t="s">
        <v>95</v>
      </c>
      <c r="AA1055" s="3">
        <v>38936</v>
      </c>
      <c r="AB1055" s="1" t="s">
        <v>46</v>
      </c>
      <c r="AC1055" s="5">
        <v>480</v>
      </c>
      <c r="AD1055" s="1" t="s">
        <v>2701</v>
      </c>
      <c r="AE1055" s="1" t="str">
        <f t="shared" si="81"/>
        <v>3264 7C</v>
      </c>
      <c r="AF1055" s="5" t="str">
        <f t="shared" ref="AF1055:AF1061" si="82">MID(AD1055,FIND("(",AD1055)+1,FIND(")",AD1055)-FIND("(",AD1055)-1)</f>
        <v>41</v>
      </c>
      <c r="AG1055" s="1" t="str">
        <f t="shared" si="80"/>
        <v/>
      </c>
    </row>
    <row r="1056" spans="1:33" x14ac:dyDescent="0.2">
      <c r="A1056" s="1" t="s">
        <v>291</v>
      </c>
      <c r="B1056" s="1" t="s">
        <v>2694</v>
      </c>
      <c r="C1056" s="1">
        <v>3264</v>
      </c>
      <c r="D1056" s="1" t="s">
        <v>834</v>
      </c>
      <c r="F1056" s="1">
        <v>2023</v>
      </c>
      <c r="G1056" s="1" t="s">
        <v>2690</v>
      </c>
      <c r="H1056" s="1" t="s">
        <v>2320</v>
      </c>
      <c r="I1056" s="1">
        <v>4</v>
      </c>
      <c r="J1056" s="1" t="s">
        <v>36</v>
      </c>
      <c r="K1056" s="1" t="s">
        <v>2695</v>
      </c>
      <c r="L1056" s="1" t="s">
        <v>2696</v>
      </c>
      <c r="M1056" s="1">
        <v>7</v>
      </c>
      <c r="N1056" s="1" t="s">
        <v>39</v>
      </c>
      <c r="O1056" s="1">
        <v>34.602200000000003</v>
      </c>
      <c r="P1056" s="1">
        <v>-82.435000000000002</v>
      </c>
      <c r="Q1056" s="1" t="s">
        <v>2382</v>
      </c>
      <c r="R1056" s="1" t="s">
        <v>41</v>
      </c>
      <c r="T1056" s="1" t="s">
        <v>93</v>
      </c>
      <c r="U1056" s="1" t="s">
        <v>44</v>
      </c>
      <c r="V1056" s="1" t="s">
        <v>94</v>
      </c>
      <c r="X1056" s="1" t="s">
        <v>95</v>
      </c>
      <c r="AA1056" s="3">
        <v>38934</v>
      </c>
      <c r="AB1056" s="1" t="s">
        <v>46</v>
      </c>
      <c r="AC1056" s="5">
        <v>480</v>
      </c>
      <c r="AD1056" s="1" t="s">
        <v>2702</v>
      </c>
      <c r="AE1056" s="1" t="str">
        <f t="shared" si="81"/>
        <v>3264 8C</v>
      </c>
      <c r="AF1056" s="5" t="str">
        <f t="shared" si="82"/>
        <v>41</v>
      </c>
      <c r="AG1056" s="1" t="str">
        <f t="shared" si="80"/>
        <v/>
      </c>
    </row>
    <row r="1057" spans="1:33" x14ac:dyDescent="0.2">
      <c r="A1057" s="1" t="s">
        <v>291</v>
      </c>
      <c r="B1057" s="1" t="s">
        <v>2703</v>
      </c>
      <c r="C1057" s="1">
        <v>3285</v>
      </c>
      <c r="D1057" s="1" t="s">
        <v>2704</v>
      </c>
      <c r="F1057" s="1">
        <v>2023</v>
      </c>
      <c r="G1057" s="1" t="s">
        <v>2690</v>
      </c>
      <c r="H1057" s="1">
        <v>609991</v>
      </c>
      <c r="I1057" s="1">
        <v>4</v>
      </c>
      <c r="J1057" s="1" t="s">
        <v>36</v>
      </c>
      <c r="K1057" s="1" t="s">
        <v>2705</v>
      </c>
      <c r="L1057" s="1" t="s">
        <v>2706</v>
      </c>
      <c r="M1057" s="1">
        <v>19</v>
      </c>
      <c r="N1057" s="1" t="s">
        <v>39</v>
      </c>
      <c r="O1057" s="1">
        <v>32.826500000000003</v>
      </c>
      <c r="P1057" s="1">
        <v>-79.963399999999993</v>
      </c>
      <c r="Q1057" s="1" t="s">
        <v>2707</v>
      </c>
      <c r="R1057" s="1" t="s">
        <v>41</v>
      </c>
      <c r="T1057" s="1" t="s">
        <v>93</v>
      </c>
      <c r="U1057" s="1" t="s">
        <v>44</v>
      </c>
      <c r="V1057" s="1" t="s">
        <v>94</v>
      </c>
      <c r="X1057" s="1" t="s">
        <v>95</v>
      </c>
      <c r="AA1057" s="3">
        <v>33239</v>
      </c>
      <c r="AB1057" s="1" t="s">
        <v>46</v>
      </c>
      <c r="AC1057" s="5">
        <v>1296.7</v>
      </c>
      <c r="AD1057" s="1" t="s">
        <v>2708</v>
      </c>
      <c r="AE1057" s="1" t="str">
        <f t="shared" si="81"/>
        <v>3285 HAG4</v>
      </c>
      <c r="AF1057" s="5" t="str">
        <f t="shared" si="82"/>
        <v>122</v>
      </c>
      <c r="AG1057" s="1" t="str">
        <f t="shared" si="80"/>
        <v/>
      </c>
    </row>
    <row r="1058" spans="1:33" x14ac:dyDescent="0.2">
      <c r="A1058" s="1" t="s">
        <v>291</v>
      </c>
      <c r="B1058" s="1" t="s">
        <v>2709</v>
      </c>
      <c r="C1058" s="1">
        <v>3287</v>
      </c>
      <c r="D1058" s="1" t="s">
        <v>2710</v>
      </c>
      <c r="F1058" s="1">
        <v>2023</v>
      </c>
      <c r="G1058" s="1" t="s">
        <v>2690</v>
      </c>
      <c r="H1058" s="1">
        <v>609991</v>
      </c>
      <c r="I1058" s="1">
        <v>4</v>
      </c>
      <c r="J1058" s="1" t="s">
        <v>36</v>
      </c>
      <c r="K1058" s="1" t="s">
        <v>2711</v>
      </c>
      <c r="L1058" s="1" t="s">
        <v>2712</v>
      </c>
      <c r="M1058" s="1">
        <v>63</v>
      </c>
      <c r="N1058" s="1" t="s">
        <v>39</v>
      </c>
      <c r="O1058" s="1">
        <v>34.0533</v>
      </c>
      <c r="P1058" s="1">
        <v>-81.217799999999997</v>
      </c>
      <c r="Q1058" s="1" t="s">
        <v>2707</v>
      </c>
      <c r="R1058" s="1" t="s">
        <v>41</v>
      </c>
      <c r="S1058" s="1" t="s">
        <v>42</v>
      </c>
      <c r="T1058" s="1" t="s">
        <v>43</v>
      </c>
      <c r="U1058" s="1" t="s">
        <v>44</v>
      </c>
      <c r="X1058" s="1" t="s">
        <v>242</v>
      </c>
      <c r="Y1058" s="1" t="s">
        <v>232</v>
      </c>
      <c r="AA1058" s="3">
        <v>21186</v>
      </c>
      <c r="AB1058" s="1" t="s">
        <v>46</v>
      </c>
      <c r="AC1058" s="5">
        <v>1352</v>
      </c>
      <c r="AD1058" s="1" t="s">
        <v>2713</v>
      </c>
      <c r="AE1058" s="1" t="str">
        <f t="shared" si="81"/>
        <v>3287 MCM1</v>
      </c>
      <c r="AF1058" s="5" t="str">
        <f t="shared" si="82"/>
        <v>130.6</v>
      </c>
      <c r="AG1058" s="1" t="str">
        <f t="shared" si="80"/>
        <v/>
      </c>
    </row>
    <row r="1059" spans="1:33" x14ac:dyDescent="0.2">
      <c r="A1059" s="1" t="s">
        <v>291</v>
      </c>
      <c r="B1059" s="1" t="s">
        <v>2709</v>
      </c>
      <c r="C1059" s="1">
        <v>3287</v>
      </c>
      <c r="D1059" s="1" t="s">
        <v>2714</v>
      </c>
      <c r="F1059" s="1">
        <v>2023</v>
      </c>
      <c r="G1059" s="1" t="s">
        <v>2690</v>
      </c>
      <c r="H1059" s="1">
        <v>609991</v>
      </c>
      <c r="I1059" s="1">
        <v>4</v>
      </c>
      <c r="J1059" s="1" t="s">
        <v>36</v>
      </c>
      <c r="K1059" s="1" t="s">
        <v>2711</v>
      </c>
      <c r="L1059" s="1" t="s">
        <v>2712</v>
      </c>
      <c r="M1059" s="1">
        <v>63</v>
      </c>
      <c r="N1059" s="1" t="s">
        <v>39</v>
      </c>
      <c r="O1059" s="1">
        <v>34.0533</v>
      </c>
      <c r="P1059" s="1">
        <v>-81.217799999999997</v>
      </c>
      <c r="Q1059" s="1" t="s">
        <v>2707</v>
      </c>
      <c r="R1059" s="1" t="s">
        <v>41</v>
      </c>
      <c r="S1059" s="1" t="s">
        <v>42</v>
      </c>
      <c r="T1059" s="1" t="s">
        <v>43</v>
      </c>
      <c r="U1059" s="1" t="s">
        <v>44</v>
      </c>
      <c r="X1059" s="1" t="s">
        <v>242</v>
      </c>
      <c r="Y1059" s="1" t="s">
        <v>232</v>
      </c>
      <c r="AA1059" s="3">
        <v>21186</v>
      </c>
      <c r="AB1059" s="1" t="s">
        <v>46</v>
      </c>
      <c r="AC1059" s="5">
        <v>1434</v>
      </c>
      <c r="AD1059" s="1" t="s">
        <v>2715</v>
      </c>
      <c r="AE1059" s="1" t="str">
        <f t="shared" si="81"/>
        <v>3287 MCM2</v>
      </c>
      <c r="AF1059" s="5" t="str">
        <f t="shared" si="82"/>
        <v>130.6</v>
      </c>
      <c r="AG1059" s="1" t="str">
        <f t="shared" si="80"/>
        <v/>
      </c>
    </row>
    <row r="1060" spans="1:33" x14ac:dyDescent="0.2">
      <c r="A1060" s="1" t="s">
        <v>291</v>
      </c>
      <c r="B1060" s="1" t="s">
        <v>2716</v>
      </c>
      <c r="C1060" s="1">
        <v>3295</v>
      </c>
      <c r="D1060" s="1" t="s">
        <v>2717</v>
      </c>
      <c r="F1060" s="1">
        <v>2023</v>
      </c>
      <c r="G1060" s="1" t="s">
        <v>2690</v>
      </c>
      <c r="H1060" s="1">
        <v>609991</v>
      </c>
      <c r="I1060" s="1">
        <v>4</v>
      </c>
      <c r="K1060" s="1" t="s">
        <v>2718</v>
      </c>
      <c r="L1060" s="1" t="s">
        <v>2719</v>
      </c>
      <c r="M1060" s="1">
        <v>3</v>
      </c>
      <c r="N1060" s="1" t="s">
        <v>39</v>
      </c>
      <c r="O1060" s="1">
        <v>33.435000000000002</v>
      </c>
      <c r="P1060" s="1">
        <v>-81.911100000000005</v>
      </c>
      <c r="Q1060" s="1" t="s">
        <v>2707</v>
      </c>
      <c r="R1060" s="1" t="s">
        <v>41</v>
      </c>
      <c r="S1060" s="1" t="s">
        <v>42</v>
      </c>
      <c r="T1060" s="1" t="s">
        <v>43</v>
      </c>
      <c r="U1060" s="1" t="s">
        <v>44</v>
      </c>
      <c r="X1060" s="1" t="s">
        <v>242</v>
      </c>
      <c r="AA1060" s="3">
        <v>20090</v>
      </c>
      <c r="AB1060" s="1" t="s">
        <v>46</v>
      </c>
      <c r="AC1060" s="5">
        <v>1201</v>
      </c>
      <c r="AD1060" s="1" t="s">
        <v>1485</v>
      </c>
      <c r="AE1060" s="1" t="str">
        <f t="shared" si="81"/>
        <v>3295 URQ3</v>
      </c>
      <c r="AF1060" s="5" t="str">
        <f t="shared" si="82"/>
        <v>100</v>
      </c>
      <c r="AG1060" s="1" t="str">
        <f t="shared" si="80"/>
        <v/>
      </c>
    </row>
    <row r="1061" spans="1:33" x14ac:dyDescent="0.2">
      <c r="A1061" s="1" t="s">
        <v>291</v>
      </c>
      <c r="B1061" s="1" t="s">
        <v>2716</v>
      </c>
      <c r="C1061" s="1">
        <v>3295</v>
      </c>
      <c r="D1061" s="1" t="s">
        <v>2720</v>
      </c>
      <c r="F1061" s="1">
        <v>2023</v>
      </c>
      <c r="G1061" s="1" t="s">
        <v>2690</v>
      </c>
      <c r="H1061" s="1">
        <v>609991</v>
      </c>
      <c r="I1061" s="1">
        <v>4</v>
      </c>
      <c r="K1061" s="1" t="s">
        <v>2718</v>
      </c>
      <c r="L1061" s="1" t="s">
        <v>2719</v>
      </c>
      <c r="M1061" s="1">
        <v>3</v>
      </c>
      <c r="N1061" s="1" t="s">
        <v>39</v>
      </c>
      <c r="O1061" s="1">
        <v>33.435000000000002</v>
      </c>
      <c r="P1061" s="1">
        <v>-81.911100000000005</v>
      </c>
      <c r="Q1061" s="1" t="s">
        <v>2707</v>
      </c>
      <c r="R1061" s="1" t="s">
        <v>41</v>
      </c>
      <c r="T1061" s="1" t="s">
        <v>93</v>
      </c>
      <c r="U1061" s="1" t="s">
        <v>44</v>
      </c>
      <c r="V1061" s="1" t="s">
        <v>94</v>
      </c>
      <c r="X1061" s="1" t="s">
        <v>95</v>
      </c>
      <c r="AA1061" s="3">
        <v>36312</v>
      </c>
      <c r="AB1061" s="1" t="s">
        <v>46</v>
      </c>
      <c r="AC1061" s="5">
        <v>570</v>
      </c>
      <c r="AD1061" s="1" t="s">
        <v>2721</v>
      </c>
      <c r="AE1061" s="1" t="str">
        <f t="shared" si="81"/>
        <v>3295 URQ4</v>
      </c>
      <c r="AF1061" s="5" t="str">
        <f t="shared" si="82"/>
        <v>58.9</v>
      </c>
      <c r="AG1061" s="1" t="str">
        <f t="shared" si="80"/>
        <v/>
      </c>
    </row>
    <row r="1062" spans="1:33" x14ac:dyDescent="0.2">
      <c r="A1062" s="1" t="s">
        <v>291</v>
      </c>
      <c r="B1062" s="1" t="s">
        <v>2716</v>
      </c>
      <c r="C1062" s="1">
        <v>3295</v>
      </c>
      <c r="D1062" s="1" t="s">
        <v>2722</v>
      </c>
      <c r="F1062" s="1">
        <v>2023</v>
      </c>
      <c r="G1062" s="1" t="s">
        <v>2690</v>
      </c>
      <c r="H1062" s="1">
        <v>609991</v>
      </c>
      <c r="I1062" s="1">
        <v>4</v>
      </c>
      <c r="K1062" s="1" t="s">
        <v>2718</v>
      </c>
      <c r="L1062" s="1" t="s">
        <v>2719</v>
      </c>
      <c r="M1062" s="1">
        <v>3</v>
      </c>
      <c r="N1062" s="1" t="s">
        <v>39</v>
      </c>
      <c r="O1062" s="1">
        <v>33.435000000000002</v>
      </c>
      <c r="P1062" s="1">
        <v>-81.911100000000005</v>
      </c>
      <c r="Q1062" s="1" t="s">
        <v>2707</v>
      </c>
      <c r="R1062" s="1" t="s">
        <v>41</v>
      </c>
      <c r="T1062" s="1" t="s">
        <v>71</v>
      </c>
      <c r="U1062" s="1" t="s">
        <v>44</v>
      </c>
      <c r="V1062" s="1" t="s">
        <v>94</v>
      </c>
      <c r="X1062" s="1" t="s">
        <v>183</v>
      </c>
      <c r="AA1062" s="3">
        <v>37288</v>
      </c>
      <c r="AB1062" s="1" t="s">
        <v>46</v>
      </c>
      <c r="AC1062" s="5">
        <v>1850</v>
      </c>
      <c r="AD1062" s="1" t="s">
        <v>2723</v>
      </c>
      <c r="AE1062" s="1" t="str">
        <f t="shared" si="81"/>
        <v>3295 URQ5</v>
      </c>
      <c r="AF1062" s="14">
        <f>MID(AD1062,FIND("(",AD1062)+1,FIND(")",AD1062)-FIND("(",AD1062)-1)+75/2+75/2</f>
        <v>273.89999999999998</v>
      </c>
      <c r="AG1062" s="1" t="str">
        <f t="shared" si="80"/>
        <v/>
      </c>
    </row>
    <row r="1063" spans="1:33" x14ac:dyDescent="0.2">
      <c r="A1063" s="1" t="s">
        <v>291</v>
      </c>
      <c r="B1063" s="1" t="s">
        <v>2716</v>
      </c>
      <c r="C1063" s="1">
        <v>3295</v>
      </c>
      <c r="D1063" s="1" t="s">
        <v>2724</v>
      </c>
      <c r="F1063" s="1">
        <v>2023</v>
      </c>
      <c r="G1063" s="1" t="s">
        <v>2690</v>
      </c>
      <c r="H1063" s="1">
        <v>609991</v>
      </c>
      <c r="I1063" s="1">
        <v>4</v>
      </c>
      <c r="K1063" s="1" t="s">
        <v>2718</v>
      </c>
      <c r="L1063" s="1" t="s">
        <v>2719</v>
      </c>
      <c r="M1063" s="1">
        <v>3</v>
      </c>
      <c r="N1063" s="1" t="s">
        <v>39</v>
      </c>
      <c r="O1063" s="1">
        <v>33.435000000000002</v>
      </c>
      <c r="P1063" s="1">
        <v>-81.911100000000005</v>
      </c>
      <c r="Q1063" s="1" t="s">
        <v>2707</v>
      </c>
      <c r="R1063" s="1" t="s">
        <v>41</v>
      </c>
      <c r="T1063" s="1" t="s">
        <v>71</v>
      </c>
      <c r="U1063" s="1" t="s">
        <v>44</v>
      </c>
      <c r="V1063" s="1" t="s">
        <v>94</v>
      </c>
      <c r="X1063" s="1" t="s">
        <v>183</v>
      </c>
      <c r="AA1063" s="3">
        <v>37288</v>
      </c>
      <c r="AB1063" s="1" t="s">
        <v>46</v>
      </c>
      <c r="AC1063" s="5">
        <v>1884</v>
      </c>
      <c r="AD1063" s="1" t="s">
        <v>2725</v>
      </c>
      <c r="AE1063" s="1" t="str">
        <f t="shared" si="81"/>
        <v>3295 URQ6</v>
      </c>
      <c r="AF1063" s="14">
        <f>AF1062</f>
        <v>273.89999999999998</v>
      </c>
      <c r="AG1063" s="1" t="str">
        <f t="shared" si="80"/>
        <v/>
      </c>
    </row>
    <row r="1064" spans="1:33" x14ac:dyDescent="0.2">
      <c r="A1064" s="1" t="s">
        <v>291</v>
      </c>
      <c r="B1064" s="1" t="s">
        <v>2726</v>
      </c>
      <c r="C1064" s="1">
        <v>3297</v>
      </c>
      <c r="D1064" s="1" t="s">
        <v>2727</v>
      </c>
      <c r="E1064" s="1" t="s">
        <v>2728</v>
      </c>
      <c r="F1064" s="1">
        <v>2023</v>
      </c>
      <c r="G1064" s="1" t="s">
        <v>293</v>
      </c>
      <c r="H1064" s="1">
        <v>609991</v>
      </c>
      <c r="I1064" s="1">
        <v>4</v>
      </c>
      <c r="J1064" s="1" t="s">
        <v>36</v>
      </c>
      <c r="K1064" s="1" t="s">
        <v>2729</v>
      </c>
      <c r="L1064" s="1" t="s">
        <v>2730</v>
      </c>
      <c r="M1064" s="1">
        <v>79</v>
      </c>
      <c r="N1064" s="1" t="s">
        <v>39</v>
      </c>
      <c r="O1064" s="1">
        <v>33.8264</v>
      </c>
      <c r="P1064" s="1">
        <v>-80.621799999999993</v>
      </c>
      <c r="Q1064" s="1" t="s">
        <v>2707</v>
      </c>
      <c r="R1064" s="1" t="s">
        <v>41</v>
      </c>
      <c r="S1064" s="1" t="s">
        <v>42</v>
      </c>
      <c r="T1064" s="1" t="s">
        <v>89</v>
      </c>
      <c r="U1064" s="1" t="s">
        <v>55</v>
      </c>
      <c r="V1064" s="1" t="s">
        <v>173</v>
      </c>
      <c r="W1064" s="1" t="s">
        <v>56</v>
      </c>
      <c r="X1064" s="1" t="s">
        <v>639</v>
      </c>
      <c r="Y1064" s="1" t="s">
        <v>123</v>
      </c>
      <c r="AA1064" s="3">
        <v>25569</v>
      </c>
      <c r="AB1064" s="1" t="s">
        <v>46</v>
      </c>
      <c r="AC1064" s="5">
        <v>4300</v>
      </c>
      <c r="AD1064" s="1" t="s">
        <v>2731</v>
      </c>
      <c r="AE1064" s="1" t="str">
        <f t="shared" si="81"/>
        <v>3297 WAT1</v>
      </c>
      <c r="AF1064" s="5" t="str">
        <f t="shared" ref="AF1064:AF1076" si="83">MID(AD1064,FIND("(",AD1064)+1,FIND(")",AD1064)-FIND("(",AD1064)-1)</f>
        <v>385.9</v>
      </c>
      <c r="AG1064" s="1" t="str">
        <f t="shared" si="80"/>
        <v>Y</v>
      </c>
    </row>
    <row r="1065" spans="1:33" x14ac:dyDescent="0.2">
      <c r="A1065" s="1" t="s">
        <v>291</v>
      </c>
      <c r="B1065" s="1" t="s">
        <v>2726</v>
      </c>
      <c r="C1065" s="1">
        <v>3297</v>
      </c>
      <c r="D1065" s="1" t="s">
        <v>2732</v>
      </c>
      <c r="E1065" s="1" t="s">
        <v>2733</v>
      </c>
      <c r="F1065" s="1">
        <v>2023</v>
      </c>
      <c r="G1065" s="1" t="s">
        <v>293</v>
      </c>
      <c r="H1065" s="1">
        <v>609991</v>
      </c>
      <c r="I1065" s="1">
        <v>4</v>
      </c>
      <c r="J1065" s="1" t="s">
        <v>36</v>
      </c>
      <c r="K1065" s="1" t="s">
        <v>2729</v>
      </c>
      <c r="L1065" s="1" t="s">
        <v>2730</v>
      </c>
      <c r="M1065" s="1">
        <v>79</v>
      </c>
      <c r="N1065" s="1" t="s">
        <v>39</v>
      </c>
      <c r="O1065" s="1">
        <v>33.8264</v>
      </c>
      <c r="P1065" s="1">
        <v>-80.621799999999993</v>
      </c>
      <c r="Q1065" s="1" t="s">
        <v>2707</v>
      </c>
      <c r="R1065" s="1" t="s">
        <v>41</v>
      </c>
      <c r="S1065" s="1" t="s">
        <v>42</v>
      </c>
      <c r="T1065" s="1" t="s">
        <v>89</v>
      </c>
      <c r="U1065" s="1" t="s">
        <v>55</v>
      </c>
      <c r="V1065" s="1" t="s">
        <v>173</v>
      </c>
      <c r="W1065" s="1" t="s">
        <v>56</v>
      </c>
      <c r="X1065" s="1" t="s">
        <v>639</v>
      </c>
      <c r="Y1065" s="1" t="s">
        <v>232</v>
      </c>
      <c r="AA1065" s="3">
        <v>25934</v>
      </c>
      <c r="AB1065" s="1" t="s">
        <v>46</v>
      </c>
      <c r="AC1065" s="5">
        <v>4456</v>
      </c>
      <c r="AD1065" s="1" t="s">
        <v>2734</v>
      </c>
      <c r="AE1065" s="1" t="str">
        <f t="shared" si="81"/>
        <v>3297 WAT2</v>
      </c>
      <c r="AF1065" s="5" t="str">
        <f t="shared" si="83"/>
        <v>385.9</v>
      </c>
      <c r="AG1065" s="1" t="str">
        <f t="shared" si="80"/>
        <v>Y</v>
      </c>
    </row>
    <row r="1066" spans="1:33" x14ac:dyDescent="0.2">
      <c r="A1066" s="1" t="s">
        <v>291</v>
      </c>
      <c r="B1066" s="1" t="s">
        <v>2735</v>
      </c>
      <c r="C1066" s="1">
        <v>3298</v>
      </c>
      <c r="D1066" s="1" t="s">
        <v>2736</v>
      </c>
      <c r="F1066" s="1">
        <v>2023</v>
      </c>
      <c r="G1066" s="1" t="s">
        <v>293</v>
      </c>
      <c r="H1066" s="1">
        <v>609991</v>
      </c>
      <c r="I1066" s="1">
        <v>4</v>
      </c>
      <c r="J1066" s="1" t="s">
        <v>36</v>
      </c>
      <c r="K1066" s="1" t="s">
        <v>294</v>
      </c>
      <c r="L1066" s="1" t="s">
        <v>295</v>
      </c>
      <c r="M1066" s="1">
        <v>15</v>
      </c>
      <c r="N1066" s="1" t="s">
        <v>39</v>
      </c>
      <c r="O1066" s="1">
        <v>33.016300000000001</v>
      </c>
      <c r="P1066" s="1">
        <v>-79.9285</v>
      </c>
      <c r="Q1066" s="1" t="s">
        <v>2737</v>
      </c>
      <c r="R1066" s="1" t="s">
        <v>41</v>
      </c>
      <c r="S1066" s="1" t="s">
        <v>42</v>
      </c>
      <c r="T1066" s="1" t="s">
        <v>43</v>
      </c>
      <c r="U1066" s="1" t="s">
        <v>55</v>
      </c>
      <c r="V1066" s="1" t="s">
        <v>173</v>
      </c>
      <c r="W1066" s="1" t="s">
        <v>56</v>
      </c>
      <c r="X1066" s="1" t="s">
        <v>2278</v>
      </c>
      <c r="Y1066" s="1" t="s">
        <v>58</v>
      </c>
      <c r="AA1066" s="3">
        <v>26665</v>
      </c>
      <c r="AB1066" s="1" t="s">
        <v>46</v>
      </c>
      <c r="AC1066" s="5">
        <v>7077</v>
      </c>
      <c r="AD1066" s="1" t="s">
        <v>2738</v>
      </c>
      <c r="AE1066" s="1" t="str">
        <f t="shared" si="81"/>
        <v>3298 WIL1</v>
      </c>
      <c r="AF1066" s="5" t="str">
        <f t="shared" si="83"/>
        <v>632.7</v>
      </c>
      <c r="AG1066" s="1" t="str">
        <f t="shared" si="80"/>
        <v>Y</v>
      </c>
    </row>
    <row r="1067" spans="1:33" x14ac:dyDescent="0.2">
      <c r="A1067" s="1" t="s">
        <v>291</v>
      </c>
      <c r="B1067" s="1" t="s">
        <v>2739</v>
      </c>
      <c r="C1067" s="1">
        <v>3318</v>
      </c>
      <c r="D1067" s="1" t="s">
        <v>311</v>
      </c>
      <c r="E1067" s="1" t="s">
        <v>1156</v>
      </c>
      <c r="F1067" s="1">
        <v>2023</v>
      </c>
      <c r="G1067" s="1" t="s">
        <v>2740</v>
      </c>
      <c r="H1067" s="1">
        <v>610491</v>
      </c>
      <c r="I1067" s="1">
        <v>4</v>
      </c>
      <c r="K1067" s="1" t="s">
        <v>2741</v>
      </c>
      <c r="L1067" s="1" t="s">
        <v>2742</v>
      </c>
      <c r="M1067" s="1">
        <v>13</v>
      </c>
      <c r="N1067" s="1" t="s">
        <v>39</v>
      </c>
      <c r="O1067" s="1">
        <v>32.2089</v>
      </c>
      <c r="P1067" s="1">
        <v>-80.699399999999997</v>
      </c>
      <c r="Q1067" s="1" t="s">
        <v>296</v>
      </c>
      <c r="T1067" s="1" t="s">
        <v>93</v>
      </c>
      <c r="U1067" s="1" t="s">
        <v>94</v>
      </c>
      <c r="AA1067" s="3">
        <v>26877</v>
      </c>
      <c r="AB1067" s="1" t="s">
        <v>46</v>
      </c>
      <c r="AC1067" s="5">
        <v>594</v>
      </c>
      <c r="AD1067" s="1" t="s">
        <v>2596</v>
      </c>
      <c r="AE1067" s="1" t="str">
        <f t="shared" si="81"/>
        <v>3318 CT1</v>
      </c>
      <c r="AF1067" s="5" t="str">
        <f t="shared" si="83"/>
        <v>26.6</v>
      </c>
      <c r="AG1067" s="1" t="str">
        <f t="shared" si="80"/>
        <v/>
      </c>
    </row>
    <row r="1068" spans="1:33" x14ac:dyDescent="0.2">
      <c r="A1068" s="1" t="s">
        <v>291</v>
      </c>
      <c r="B1068" s="1" t="s">
        <v>2739</v>
      </c>
      <c r="C1068" s="1">
        <v>3318</v>
      </c>
      <c r="D1068" s="1" t="s">
        <v>98</v>
      </c>
      <c r="E1068" s="1" t="s">
        <v>1156</v>
      </c>
      <c r="F1068" s="1">
        <v>2023</v>
      </c>
      <c r="G1068" s="1" t="s">
        <v>2740</v>
      </c>
      <c r="H1068" s="1">
        <v>610491</v>
      </c>
      <c r="I1068" s="1">
        <v>4</v>
      </c>
      <c r="K1068" s="1" t="s">
        <v>2741</v>
      </c>
      <c r="L1068" s="1" t="s">
        <v>2742</v>
      </c>
      <c r="M1068" s="1">
        <v>13</v>
      </c>
      <c r="N1068" s="1" t="s">
        <v>39</v>
      </c>
      <c r="O1068" s="1">
        <v>32.2089</v>
      </c>
      <c r="P1068" s="1">
        <v>-80.699399999999997</v>
      </c>
      <c r="Q1068" s="1" t="s">
        <v>296</v>
      </c>
      <c r="T1068" s="1" t="s">
        <v>93</v>
      </c>
      <c r="U1068" s="1" t="s">
        <v>94</v>
      </c>
      <c r="AA1068" s="3">
        <v>27242</v>
      </c>
      <c r="AB1068" s="1" t="s">
        <v>46</v>
      </c>
      <c r="AC1068" s="5">
        <v>594</v>
      </c>
      <c r="AD1068" s="1" t="s">
        <v>2597</v>
      </c>
      <c r="AE1068" s="1" t="str">
        <f t="shared" si="81"/>
        <v>3318 CT2</v>
      </c>
      <c r="AF1068" s="5" t="str">
        <f t="shared" si="83"/>
        <v>26.6</v>
      </c>
      <c r="AG1068" s="1" t="str">
        <f t="shared" si="80"/>
        <v/>
      </c>
    </row>
    <row r="1069" spans="1:33" x14ac:dyDescent="0.2">
      <c r="A1069" s="1" t="s">
        <v>291</v>
      </c>
      <c r="B1069" s="1" t="s">
        <v>2739</v>
      </c>
      <c r="C1069" s="1">
        <v>3318</v>
      </c>
      <c r="D1069" s="1" t="s">
        <v>101</v>
      </c>
      <c r="E1069" s="1" t="s">
        <v>1156</v>
      </c>
      <c r="F1069" s="1">
        <v>2023</v>
      </c>
      <c r="G1069" s="1" t="s">
        <v>2740</v>
      </c>
      <c r="H1069" s="1">
        <v>610491</v>
      </c>
      <c r="I1069" s="1">
        <v>4</v>
      </c>
      <c r="K1069" s="1" t="s">
        <v>2741</v>
      </c>
      <c r="L1069" s="1" t="s">
        <v>2742</v>
      </c>
      <c r="M1069" s="1">
        <v>13</v>
      </c>
      <c r="N1069" s="1" t="s">
        <v>39</v>
      </c>
      <c r="O1069" s="1">
        <v>32.2089</v>
      </c>
      <c r="P1069" s="1">
        <v>-80.699399999999997</v>
      </c>
      <c r="Q1069" s="1" t="s">
        <v>296</v>
      </c>
      <c r="T1069" s="1" t="s">
        <v>93</v>
      </c>
      <c r="U1069" s="1" t="s">
        <v>94</v>
      </c>
      <c r="X1069" s="1" t="s">
        <v>95</v>
      </c>
      <c r="AA1069" s="3">
        <v>28946</v>
      </c>
      <c r="AB1069" s="1" t="s">
        <v>46</v>
      </c>
      <c r="AC1069" s="5">
        <v>700</v>
      </c>
      <c r="AD1069" s="1" t="s">
        <v>2743</v>
      </c>
      <c r="AE1069" s="1" t="str">
        <f t="shared" si="81"/>
        <v>3318 CT3</v>
      </c>
      <c r="AF1069" s="5" t="str">
        <f t="shared" si="83"/>
        <v>64.7</v>
      </c>
      <c r="AG1069" s="1" t="str">
        <f t="shared" si="80"/>
        <v/>
      </c>
    </row>
    <row r="1070" spans="1:33" x14ac:dyDescent="0.2">
      <c r="A1070" s="1" t="s">
        <v>291</v>
      </c>
      <c r="B1070" s="1" t="s">
        <v>2744</v>
      </c>
      <c r="C1070" s="1">
        <v>3320</v>
      </c>
      <c r="D1070" s="1" t="s">
        <v>101</v>
      </c>
      <c r="E1070" s="1" t="s">
        <v>1156</v>
      </c>
      <c r="F1070" s="1">
        <v>2023</v>
      </c>
      <c r="G1070" s="1" t="s">
        <v>2740</v>
      </c>
      <c r="H1070" s="1">
        <v>610491</v>
      </c>
      <c r="I1070" s="1">
        <v>4</v>
      </c>
      <c r="K1070" s="1" t="s">
        <v>2745</v>
      </c>
      <c r="L1070" s="1" t="s">
        <v>2746</v>
      </c>
      <c r="M1070" s="1">
        <v>51</v>
      </c>
      <c r="N1070" s="1" t="s">
        <v>39</v>
      </c>
      <c r="O1070" s="1">
        <v>33.7089</v>
      </c>
      <c r="P1070" s="1">
        <v>-78.923299999999998</v>
      </c>
      <c r="Q1070" s="1" t="s">
        <v>296</v>
      </c>
      <c r="T1070" s="1" t="s">
        <v>93</v>
      </c>
      <c r="U1070" s="1" t="s">
        <v>94</v>
      </c>
      <c r="AA1070" s="3">
        <v>26512</v>
      </c>
      <c r="AB1070" s="1" t="s">
        <v>46</v>
      </c>
      <c r="AC1070" s="5">
        <v>270.3</v>
      </c>
      <c r="AD1070" s="1" t="s">
        <v>2747</v>
      </c>
      <c r="AE1070" s="1" t="str">
        <f t="shared" si="81"/>
        <v>3320 CT3</v>
      </c>
      <c r="AF1070" s="5" t="str">
        <f t="shared" si="83"/>
        <v>26.6</v>
      </c>
      <c r="AG1070" s="1" t="str">
        <f t="shared" si="80"/>
        <v/>
      </c>
    </row>
    <row r="1071" spans="1:33" x14ac:dyDescent="0.2">
      <c r="A1071" s="1" t="s">
        <v>291</v>
      </c>
      <c r="B1071" s="1" t="s">
        <v>2744</v>
      </c>
      <c r="C1071" s="1">
        <v>3320</v>
      </c>
      <c r="D1071" s="1" t="s">
        <v>103</v>
      </c>
      <c r="E1071" s="1" t="s">
        <v>1156</v>
      </c>
      <c r="F1071" s="1">
        <v>2023</v>
      </c>
      <c r="G1071" s="1" t="s">
        <v>2740</v>
      </c>
      <c r="H1071" s="1">
        <v>610491</v>
      </c>
      <c r="I1071" s="1">
        <v>4</v>
      </c>
      <c r="K1071" s="1" t="s">
        <v>2745</v>
      </c>
      <c r="L1071" s="1" t="s">
        <v>2746</v>
      </c>
      <c r="M1071" s="1">
        <v>51</v>
      </c>
      <c r="N1071" s="1" t="s">
        <v>39</v>
      </c>
      <c r="O1071" s="1">
        <v>33.7089</v>
      </c>
      <c r="P1071" s="1">
        <v>-78.923299999999998</v>
      </c>
      <c r="Q1071" s="1" t="s">
        <v>296</v>
      </c>
      <c r="T1071" s="1" t="s">
        <v>93</v>
      </c>
      <c r="U1071" s="1" t="s">
        <v>94</v>
      </c>
      <c r="AA1071" s="3">
        <v>26512</v>
      </c>
      <c r="AB1071" s="1" t="s">
        <v>46</v>
      </c>
      <c r="AC1071" s="5">
        <v>270.3</v>
      </c>
      <c r="AD1071" s="1" t="s">
        <v>2748</v>
      </c>
      <c r="AE1071" s="1" t="str">
        <f t="shared" si="81"/>
        <v>3320 CT4</v>
      </c>
      <c r="AF1071" s="5" t="str">
        <f t="shared" si="83"/>
        <v>26.6</v>
      </c>
      <c r="AG1071" s="1" t="str">
        <f t="shared" si="80"/>
        <v/>
      </c>
    </row>
    <row r="1072" spans="1:33" x14ac:dyDescent="0.2">
      <c r="A1072" s="1" t="s">
        <v>291</v>
      </c>
      <c r="B1072" s="1" t="s">
        <v>2744</v>
      </c>
      <c r="C1072" s="1">
        <v>3320</v>
      </c>
      <c r="D1072" s="1" t="s">
        <v>105</v>
      </c>
      <c r="E1072" s="1" t="s">
        <v>1156</v>
      </c>
      <c r="F1072" s="1">
        <v>2023</v>
      </c>
      <c r="G1072" s="1" t="s">
        <v>2740</v>
      </c>
      <c r="H1072" s="1">
        <v>610491</v>
      </c>
      <c r="I1072" s="1">
        <v>4</v>
      </c>
      <c r="K1072" s="1" t="s">
        <v>2745</v>
      </c>
      <c r="L1072" s="1" t="s">
        <v>2746</v>
      </c>
      <c r="M1072" s="1">
        <v>51</v>
      </c>
      <c r="N1072" s="1" t="s">
        <v>39</v>
      </c>
      <c r="O1072" s="1">
        <v>33.7089</v>
      </c>
      <c r="P1072" s="1">
        <v>-78.923299999999998</v>
      </c>
      <c r="Q1072" s="1" t="s">
        <v>296</v>
      </c>
      <c r="T1072" s="1" t="s">
        <v>93</v>
      </c>
      <c r="U1072" s="1" t="s">
        <v>94</v>
      </c>
      <c r="AA1072" s="3">
        <v>27912</v>
      </c>
      <c r="AB1072" s="1" t="s">
        <v>46</v>
      </c>
      <c r="AC1072" s="5">
        <v>352</v>
      </c>
      <c r="AD1072" s="1" t="s">
        <v>2749</v>
      </c>
      <c r="AE1072" s="1" t="str">
        <f t="shared" si="81"/>
        <v>3320 CT5</v>
      </c>
      <c r="AF1072" s="5" t="str">
        <f t="shared" si="83"/>
        <v>35.3</v>
      </c>
      <c r="AG1072" s="1" t="str">
        <f t="shared" si="80"/>
        <v/>
      </c>
    </row>
    <row r="1073" spans="1:33" x14ac:dyDescent="0.2">
      <c r="A1073" s="1" t="s">
        <v>2750</v>
      </c>
      <c r="B1073" s="1" t="s">
        <v>2751</v>
      </c>
      <c r="C1073" s="1">
        <v>3338</v>
      </c>
      <c r="D1073" s="1" t="s">
        <v>377</v>
      </c>
      <c r="F1073" s="1">
        <v>2023</v>
      </c>
      <c r="G1073" s="1" t="s">
        <v>247</v>
      </c>
      <c r="H1073" s="1">
        <v>610064</v>
      </c>
      <c r="I1073" s="1">
        <v>8</v>
      </c>
      <c r="K1073" s="1" t="s">
        <v>1713</v>
      </c>
      <c r="L1073" s="1" t="s">
        <v>2752</v>
      </c>
      <c r="M1073" s="1">
        <v>13</v>
      </c>
      <c r="N1073" s="1" t="s">
        <v>39</v>
      </c>
      <c r="O1073" s="1">
        <v>45.428699999999999</v>
      </c>
      <c r="P1073" s="1">
        <v>-98.493200000000002</v>
      </c>
      <c r="Q1073" s="1" t="s">
        <v>2753</v>
      </c>
      <c r="R1073" s="1" t="s">
        <v>41</v>
      </c>
      <c r="T1073" s="1" t="s">
        <v>93</v>
      </c>
      <c r="U1073" s="1" t="s">
        <v>44</v>
      </c>
      <c r="V1073" s="1" t="s">
        <v>94</v>
      </c>
      <c r="X1073" s="1" t="s">
        <v>95</v>
      </c>
      <c r="AA1073" s="3">
        <v>41256</v>
      </c>
      <c r="AB1073" s="1" t="s">
        <v>46</v>
      </c>
      <c r="AC1073" s="5">
        <v>323</v>
      </c>
      <c r="AD1073" s="1" t="s">
        <v>2754</v>
      </c>
      <c r="AE1073" s="1" t="str">
        <f t="shared" si="81"/>
        <v>3338 2A</v>
      </c>
      <c r="AF1073" s="5" t="str">
        <f t="shared" si="83"/>
        <v>60</v>
      </c>
      <c r="AG1073" s="1" t="str">
        <f t="shared" si="80"/>
        <v/>
      </c>
    </row>
    <row r="1074" spans="1:33" x14ac:dyDescent="0.2">
      <c r="A1074" s="1" t="s">
        <v>2750</v>
      </c>
      <c r="B1074" s="1" t="s">
        <v>2751</v>
      </c>
      <c r="C1074" s="1">
        <v>3338</v>
      </c>
      <c r="D1074" s="1" t="s">
        <v>1201</v>
      </c>
      <c r="F1074" s="1">
        <v>2023</v>
      </c>
      <c r="G1074" s="1" t="s">
        <v>247</v>
      </c>
      <c r="H1074" s="1">
        <v>610064</v>
      </c>
      <c r="I1074" s="1">
        <v>8</v>
      </c>
      <c r="K1074" s="1" t="s">
        <v>1713</v>
      </c>
      <c r="L1074" s="1" t="s">
        <v>2752</v>
      </c>
      <c r="M1074" s="1">
        <v>13</v>
      </c>
      <c r="N1074" s="1" t="s">
        <v>39</v>
      </c>
      <c r="O1074" s="1">
        <v>45.428699999999999</v>
      </c>
      <c r="P1074" s="1">
        <v>-98.493200000000002</v>
      </c>
      <c r="Q1074" s="1" t="s">
        <v>2753</v>
      </c>
      <c r="R1074" s="1" t="s">
        <v>41</v>
      </c>
      <c r="T1074" s="1" t="s">
        <v>93</v>
      </c>
      <c r="U1074" s="1" t="s">
        <v>44</v>
      </c>
      <c r="V1074" s="1" t="s">
        <v>94</v>
      </c>
      <c r="X1074" s="1" t="s">
        <v>95</v>
      </c>
      <c r="AA1074" s="3">
        <v>41256</v>
      </c>
      <c r="AB1074" s="1" t="s">
        <v>46</v>
      </c>
      <c r="AC1074" s="5">
        <v>323</v>
      </c>
      <c r="AD1074" s="1" t="s">
        <v>2754</v>
      </c>
      <c r="AE1074" s="1" t="str">
        <f t="shared" si="81"/>
        <v>3338 2B</v>
      </c>
      <c r="AF1074" s="5" t="str">
        <f t="shared" si="83"/>
        <v>60</v>
      </c>
      <c r="AG1074" s="1" t="str">
        <f t="shared" si="80"/>
        <v/>
      </c>
    </row>
    <row r="1075" spans="1:33" x14ac:dyDescent="0.2">
      <c r="A1075" s="1" t="s">
        <v>2750</v>
      </c>
      <c r="B1075" s="1" t="s">
        <v>2755</v>
      </c>
      <c r="C1075" s="1">
        <v>3344</v>
      </c>
      <c r="D1075" s="1" t="s">
        <v>2756</v>
      </c>
      <c r="F1075" s="1">
        <v>2023</v>
      </c>
      <c r="G1075" s="1" t="s">
        <v>247</v>
      </c>
      <c r="H1075" s="1">
        <v>610064</v>
      </c>
      <c r="I1075" s="1">
        <v>8</v>
      </c>
      <c r="J1075" s="1" t="s">
        <v>207</v>
      </c>
      <c r="K1075" s="1" t="s">
        <v>2757</v>
      </c>
      <c r="L1075" s="1" t="s">
        <v>2758</v>
      </c>
      <c r="M1075" s="1">
        <v>5</v>
      </c>
      <c r="N1075" s="1" t="s">
        <v>39</v>
      </c>
      <c r="O1075" s="1">
        <v>44.369599999999998</v>
      </c>
      <c r="P1075" s="1">
        <v>-98.17</v>
      </c>
      <c r="Q1075" s="1" t="s">
        <v>2759</v>
      </c>
      <c r="R1075" s="1" t="s">
        <v>41</v>
      </c>
      <c r="T1075" s="1" t="s">
        <v>93</v>
      </c>
      <c r="U1075" s="1" t="s">
        <v>44</v>
      </c>
      <c r="V1075" s="1" t="s">
        <v>94</v>
      </c>
      <c r="X1075" s="1" t="s">
        <v>95</v>
      </c>
      <c r="AA1075" s="3">
        <v>34090</v>
      </c>
      <c r="AB1075" s="1" t="s">
        <v>46</v>
      </c>
      <c r="AC1075" s="5">
        <v>361</v>
      </c>
      <c r="AD1075" s="1" t="s">
        <v>2760</v>
      </c>
      <c r="AE1075" s="1" t="str">
        <f t="shared" si="81"/>
        <v>3344 **2A</v>
      </c>
      <c r="AF1075" s="5" t="str">
        <f t="shared" si="83"/>
        <v>42.9</v>
      </c>
      <c r="AG1075" s="1" t="str">
        <f t="shared" si="80"/>
        <v/>
      </c>
    </row>
    <row r="1076" spans="1:33" x14ac:dyDescent="0.2">
      <c r="A1076" s="1" t="s">
        <v>2750</v>
      </c>
      <c r="B1076" s="1" t="s">
        <v>2755</v>
      </c>
      <c r="C1076" s="1">
        <v>3344</v>
      </c>
      <c r="D1076" s="1" t="s">
        <v>2761</v>
      </c>
      <c r="F1076" s="1">
        <v>2023</v>
      </c>
      <c r="G1076" s="1" t="s">
        <v>247</v>
      </c>
      <c r="H1076" s="1">
        <v>610064</v>
      </c>
      <c r="I1076" s="1">
        <v>8</v>
      </c>
      <c r="J1076" s="1" t="s">
        <v>207</v>
      </c>
      <c r="K1076" s="1" t="s">
        <v>2757</v>
      </c>
      <c r="L1076" s="1" t="s">
        <v>2758</v>
      </c>
      <c r="M1076" s="1">
        <v>5</v>
      </c>
      <c r="N1076" s="1" t="s">
        <v>39</v>
      </c>
      <c r="O1076" s="1">
        <v>44.369599999999998</v>
      </c>
      <c r="P1076" s="1">
        <v>-98.17</v>
      </c>
      <c r="Q1076" s="1" t="s">
        <v>2759</v>
      </c>
      <c r="R1076" s="1" t="s">
        <v>41</v>
      </c>
      <c r="T1076" s="1" t="s">
        <v>93</v>
      </c>
      <c r="U1076" s="1" t="s">
        <v>44</v>
      </c>
      <c r="V1076" s="1" t="s">
        <v>94</v>
      </c>
      <c r="X1076" s="1" t="s">
        <v>95</v>
      </c>
      <c r="AA1076" s="3">
        <v>34090</v>
      </c>
      <c r="AB1076" s="1" t="s">
        <v>46</v>
      </c>
      <c r="AC1076" s="5">
        <v>442</v>
      </c>
      <c r="AD1076" s="1" t="s">
        <v>2760</v>
      </c>
      <c r="AE1076" s="1" t="str">
        <f t="shared" si="81"/>
        <v>3344 **2B</v>
      </c>
      <c r="AF1076" s="5" t="str">
        <f t="shared" si="83"/>
        <v>42.9</v>
      </c>
      <c r="AG1076" s="1" t="str">
        <f t="shared" si="80"/>
        <v/>
      </c>
    </row>
    <row r="1077" spans="1:33" x14ac:dyDescent="0.2">
      <c r="A1077" s="1" t="s">
        <v>2762</v>
      </c>
      <c r="B1077" s="1" t="s">
        <v>2763</v>
      </c>
      <c r="C1077" s="1">
        <v>3393</v>
      </c>
      <c r="D1077" s="1" t="s">
        <v>2764</v>
      </c>
      <c r="F1077" s="1">
        <v>2023</v>
      </c>
      <c r="G1077" s="1" t="s">
        <v>2765</v>
      </c>
      <c r="H1077" s="1">
        <v>609315</v>
      </c>
      <c r="I1077" s="1">
        <v>4</v>
      </c>
      <c r="K1077" s="1" t="s">
        <v>117</v>
      </c>
      <c r="L1077" s="1" t="s">
        <v>2766</v>
      </c>
      <c r="M1077" s="1">
        <v>157</v>
      </c>
      <c r="N1077" s="1" t="s">
        <v>39</v>
      </c>
      <c r="O1077" s="1">
        <v>35.074199999999998</v>
      </c>
      <c r="P1077" s="1">
        <v>-90.143900000000002</v>
      </c>
      <c r="Q1077" s="1" t="s">
        <v>136</v>
      </c>
      <c r="R1077" s="1" t="s">
        <v>41</v>
      </c>
      <c r="T1077" s="1" t="s">
        <v>71</v>
      </c>
      <c r="U1077" s="1" t="s">
        <v>44</v>
      </c>
      <c r="X1077" s="1" t="s">
        <v>64</v>
      </c>
      <c r="AA1077" s="3">
        <v>42987</v>
      </c>
      <c r="AB1077" s="1" t="s">
        <v>46</v>
      </c>
      <c r="AC1077" s="5">
        <v>3797</v>
      </c>
      <c r="AD1077" s="1" t="s">
        <v>2767</v>
      </c>
      <c r="AE1077" s="1" t="str">
        <f t="shared" si="81"/>
        <v>3393 ACC1</v>
      </c>
      <c r="AF1077" s="14">
        <f>AF1078</f>
        <v>565</v>
      </c>
      <c r="AG1077" s="1" t="str">
        <f t="shared" si="80"/>
        <v>Y</v>
      </c>
    </row>
    <row r="1078" spans="1:33" x14ac:dyDescent="0.2">
      <c r="A1078" s="1" t="s">
        <v>2762</v>
      </c>
      <c r="B1078" s="1" t="s">
        <v>2763</v>
      </c>
      <c r="C1078" s="1">
        <v>3393</v>
      </c>
      <c r="D1078" s="1" t="s">
        <v>2768</v>
      </c>
      <c r="F1078" s="1">
        <v>2023</v>
      </c>
      <c r="G1078" s="1" t="s">
        <v>2765</v>
      </c>
      <c r="H1078" s="1">
        <v>609315</v>
      </c>
      <c r="I1078" s="1">
        <v>4</v>
      </c>
      <c r="K1078" s="1" t="s">
        <v>117</v>
      </c>
      <c r="L1078" s="1" t="s">
        <v>2766</v>
      </c>
      <c r="M1078" s="1">
        <v>157</v>
      </c>
      <c r="N1078" s="1" t="s">
        <v>39</v>
      </c>
      <c r="O1078" s="1">
        <v>35.074199999999998</v>
      </c>
      <c r="P1078" s="1">
        <v>-90.143900000000002</v>
      </c>
      <c r="Q1078" s="1" t="s">
        <v>136</v>
      </c>
      <c r="R1078" s="1" t="s">
        <v>41</v>
      </c>
      <c r="T1078" s="1" t="s">
        <v>71</v>
      </c>
      <c r="U1078" s="1" t="s">
        <v>44</v>
      </c>
      <c r="X1078" s="1" t="s">
        <v>64</v>
      </c>
      <c r="AA1078" s="3">
        <v>42998</v>
      </c>
      <c r="AB1078" s="1" t="s">
        <v>46</v>
      </c>
      <c r="AC1078" s="5">
        <v>3797</v>
      </c>
      <c r="AD1078" s="1" t="s">
        <v>2769</v>
      </c>
      <c r="AE1078" s="1" t="str">
        <f t="shared" si="81"/>
        <v>3393 ACC2</v>
      </c>
      <c r="AF1078" s="14">
        <f>MID(AD1078,FIND("(",AD1078)+1,FIND(")",AD1078)-FIND("(",AD1078)-1)+470/2</f>
        <v>565</v>
      </c>
      <c r="AG1078" s="1" t="str">
        <f t="shared" si="80"/>
        <v>Y</v>
      </c>
    </row>
    <row r="1079" spans="1:33" x14ac:dyDescent="0.2">
      <c r="A1079" s="1" t="s">
        <v>2762</v>
      </c>
      <c r="B1079" s="1" t="s">
        <v>2763</v>
      </c>
      <c r="C1079" s="1">
        <v>3393</v>
      </c>
      <c r="D1079" s="1" t="s">
        <v>2770</v>
      </c>
      <c r="F1079" s="1">
        <v>2023</v>
      </c>
      <c r="G1079" s="1" t="s">
        <v>1195</v>
      </c>
      <c r="H1079" s="1">
        <v>609315</v>
      </c>
      <c r="I1079" s="1">
        <v>4</v>
      </c>
      <c r="K1079" s="1" t="s">
        <v>117</v>
      </c>
      <c r="L1079" s="1" t="s">
        <v>2766</v>
      </c>
      <c r="M1079" s="1">
        <v>157</v>
      </c>
      <c r="N1079" s="1" t="s">
        <v>39</v>
      </c>
      <c r="O1079" s="1">
        <v>35.074199999999998</v>
      </c>
      <c r="P1079" s="1">
        <v>-90.143900000000002</v>
      </c>
      <c r="Q1079" s="1" t="s">
        <v>136</v>
      </c>
      <c r="T1079" s="1" t="s">
        <v>93</v>
      </c>
      <c r="U1079" s="1" t="s">
        <v>44</v>
      </c>
      <c r="V1079" s="1" t="s">
        <v>94</v>
      </c>
      <c r="AA1079" s="3">
        <v>26543</v>
      </c>
      <c r="AB1079" s="1" t="s">
        <v>46</v>
      </c>
      <c r="AC1079" s="5">
        <v>760</v>
      </c>
      <c r="AD1079" s="1" t="s">
        <v>2771</v>
      </c>
      <c r="AE1079" s="1" t="str">
        <f t="shared" si="81"/>
        <v>3393 ACT17</v>
      </c>
      <c r="AF1079" s="5" t="str">
        <f t="shared" ref="AF1079:AF1097" si="84">MID(AD1079,FIND("(",AD1079)+1,FIND(")",AD1079)-FIND("(",AD1079)-1)</f>
        <v>59.6</v>
      </c>
      <c r="AG1079" s="1" t="str">
        <f t="shared" si="80"/>
        <v/>
      </c>
    </row>
    <row r="1080" spans="1:33" x14ac:dyDescent="0.2">
      <c r="A1080" s="1" t="s">
        <v>2762</v>
      </c>
      <c r="B1080" s="1" t="s">
        <v>2763</v>
      </c>
      <c r="C1080" s="1">
        <v>3393</v>
      </c>
      <c r="D1080" s="1" t="s">
        <v>2772</v>
      </c>
      <c r="F1080" s="1">
        <v>2023</v>
      </c>
      <c r="G1080" s="1" t="s">
        <v>1195</v>
      </c>
      <c r="H1080" s="1">
        <v>609315</v>
      </c>
      <c r="I1080" s="1">
        <v>4</v>
      </c>
      <c r="K1080" s="1" t="s">
        <v>117</v>
      </c>
      <c r="L1080" s="1" t="s">
        <v>2766</v>
      </c>
      <c r="M1080" s="1">
        <v>157</v>
      </c>
      <c r="N1080" s="1" t="s">
        <v>39</v>
      </c>
      <c r="O1080" s="1">
        <v>35.074199999999998</v>
      </c>
      <c r="P1080" s="1">
        <v>-90.143900000000002</v>
      </c>
      <c r="Q1080" s="1" t="s">
        <v>136</v>
      </c>
      <c r="T1080" s="1" t="s">
        <v>93</v>
      </c>
      <c r="U1080" s="1" t="s">
        <v>44</v>
      </c>
      <c r="V1080" s="1" t="s">
        <v>94</v>
      </c>
      <c r="AA1080" s="3">
        <v>26543</v>
      </c>
      <c r="AB1080" s="1" t="s">
        <v>46</v>
      </c>
      <c r="AC1080" s="5">
        <v>760</v>
      </c>
      <c r="AD1080" s="1" t="s">
        <v>2773</v>
      </c>
      <c r="AE1080" s="1" t="str">
        <f t="shared" si="81"/>
        <v>3393 ACT18</v>
      </c>
      <c r="AF1080" s="5" t="str">
        <f t="shared" si="84"/>
        <v>59.6</v>
      </c>
      <c r="AG1080" s="1" t="str">
        <f t="shared" si="80"/>
        <v/>
      </c>
    </row>
    <row r="1081" spans="1:33" x14ac:dyDescent="0.2">
      <c r="A1081" s="1" t="s">
        <v>2762</v>
      </c>
      <c r="B1081" s="1" t="s">
        <v>2763</v>
      </c>
      <c r="C1081" s="1">
        <v>3393</v>
      </c>
      <c r="D1081" s="1" t="s">
        <v>2774</v>
      </c>
      <c r="F1081" s="1">
        <v>2023</v>
      </c>
      <c r="G1081" s="1" t="s">
        <v>1195</v>
      </c>
      <c r="H1081" s="1">
        <v>609315</v>
      </c>
      <c r="I1081" s="1">
        <v>4</v>
      </c>
      <c r="K1081" s="1" t="s">
        <v>117</v>
      </c>
      <c r="L1081" s="1" t="s">
        <v>2766</v>
      </c>
      <c r="M1081" s="1">
        <v>157</v>
      </c>
      <c r="N1081" s="1" t="s">
        <v>39</v>
      </c>
      <c r="O1081" s="1">
        <v>35.074199999999998</v>
      </c>
      <c r="P1081" s="1">
        <v>-90.143900000000002</v>
      </c>
      <c r="Q1081" s="1" t="s">
        <v>136</v>
      </c>
      <c r="T1081" s="1" t="s">
        <v>93</v>
      </c>
      <c r="U1081" s="1" t="s">
        <v>44</v>
      </c>
      <c r="V1081" s="1" t="s">
        <v>94</v>
      </c>
      <c r="AA1081" s="3">
        <v>26543</v>
      </c>
      <c r="AB1081" s="1" t="s">
        <v>46</v>
      </c>
      <c r="AC1081" s="5">
        <v>760</v>
      </c>
      <c r="AD1081" s="1" t="s">
        <v>2775</v>
      </c>
      <c r="AE1081" s="1" t="str">
        <f t="shared" si="81"/>
        <v>3393 ACT19</v>
      </c>
      <c r="AF1081" s="5" t="str">
        <f t="shared" si="84"/>
        <v>59.6</v>
      </c>
      <c r="AG1081" s="1" t="str">
        <f t="shared" si="80"/>
        <v/>
      </c>
    </row>
    <row r="1082" spans="1:33" x14ac:dyDescent="0.2">
      <c r="A1082" s="1" t="s">
        <v>2762</v>
      </c>
      <c r="B1082" s="1" t="s">
        <v>2763</v>
      </c>
      <c r="C1082" s="1">
        <v>3393</v>
      </c>
      <c r="D1082" s="1" t="s">
        <v>2776</v>
      </c>
      <c r="F1082" s="1">
        <v>2023</v>
      </c>
      <c r="G1082" s="1" t="s">
        <v>1195</v>
      </c>
      <c r="H1082" s="1">
        <v>609315</v>
      </c>
      <c r="I1082" s="1">
        <v>4</v>
      </c>
      <c r="K1082" s="1" t="s">
        <v>117</v>
      </c>
      <c r="L1082" s="1" t="s">
        <v>2766</v>
      </c>
      <c r="M1082" s="1">
        <v>157</v>
      </c>
      <c r="N1082" s="1" t="s">
        <v>39</v>
      </c>
      <c r="O1082" s="1">
        <v>35.074199999999998</v>
      </c>
      <c r="P1082" s="1">
        <v>-90.143900000000002</v>
      </c>
      <c r="Q1082" s="1" t="s">
        <v>136</v>
      </c>
      <c r="T1082" s="1" t="s">
        <v>93</v>
      </c>
      <c r="U1082" s="1" t="s">
        <v>44</v>
      </c>
      <c r="V1082" s="1" t="s">
        <v>94</v>
      </c>
      <c r="AA1082" s="3">
        <v>26543</v>
      </c>
      <c r="AB1082" s="1" t="s">
        <v>46</v>
      </c>
      <c r="AC1082" s="5">
        <v>760</v>
      </c>
      <c r="AD1082" s="1" t="s">
        <v>2777</v>
      </c>
      <c r="AE1082" s="1" t="str">
        <f t="shared" si="81"/>
        <v>3393 ACT20</v>
      </c>
      <c r="AF1082" s="5" t="str">
        <f t="shared" si="84"/>
        <v>59.6</v>
      </c>
      <c r="AG1082" s="1" t="str">
        <f t="shared" si="80"/>
        <v/>
      </c>
    </row>
    <row r="1083" spans="1:33" x14ac:dyDescent="0.2">
      <c r="A1083" s="1" t="s">
        <v>2762</v>
      </c>
      <c r="B1083" s="1" t="s">
        <v>2778</v>
      </c>
      <c r="C1083" s="1">
        <v>3396</v>
      </c>
      <c r="D1083" s="1">
        <v>1</v>
      </c>
      <c r="F1083" s="1">
        <v>2023</v>
      </c>
      <c r="G1083" s="1" t="s">
        <v>1188</v>
      </c>
      <c r="H1083" s="1">
        <v>609315</v>
      </c>
      <c r="I1083" s="1">
        <v>4</v>
      </c>
      <c r="J1083" s="1" t="s">
        <v>36</v>
      </c>
      <c r="K1083" s="1" t="s">
        <v>2695</v>
      </c>
      <c r="L1083" s="1" t="s">
        <v>2779</v>
      </c>
      <c r="M1083" s="1">
        <v>1</v>
      </c>
      <c r="N1083" s="1" t="s">
        <v>39</v>
      </c>
      <c r="O1083" s="1">
        <v>36.021099999999997</v>
      </c>
      <c r="P1083" s="1">
        <v>-84.156700000000001</v>
      </c>
      <c r="Q1083" s="1" t="s">
        <v>136</v>
      </c>
      <c r="R1083" s="1" t="s">
        <v>41</v>
      </c>
      <c r="S1083" s="1" t="s">
        <v>42</v>
      </c>
      <c r="T1083" s="1" t="s">
        <v>43</v>
      </c>
      <c r="U1083" s="1" t="s">
        <v>55</v>
      </c>
      <c r="W1083" s="1" t="s">
        <v>56</v>
      </c>
      <c r="X1083" s="1" t="s">
        <v>223</v>
      </c>
      <c r="Y1083" s="1" t="s">
        <v>58</v>
      </c>
      <c r="AA1083" s="3">
        <v>24563</v>
      </c>
      <c r="AB1083" s="1" t="s">
        <v>46</v>
      </c>
      <c r="AC1083" s="5">
        <v>12604</v>
      </c>
      <c r="AD1083" s="1" t="s">
        <v>2780</v>
      </c>
      <c r="AE1083" s="1" t="str">
        <f t="shared" si="81"/>
        <v>3396 1</v>
      </c>
      <c r="AF1083" s="5" t="str">
        <f t="shared" si="84"/>
        <v>950</v>
      </c>
      <c r="AG1083" s="1" t="str">
        <f t="shared" si="80"/>
        <v>Y</v>
      </c>
    </row>
    <row r="1084" spans="1:33" x14ac:dyDescent="0.2">
      <c r="A1084" s="1" t="s">
        <v>2762</v>
      </c>
      <c r="B1084" s="1" t="s">
        <v>2781</v>
      </c>
      <c r="C1084" s="1">
        <v>3399</v>
      </c>
      <c r="D1084" s="1">
        <v>1</v>
      </c>
      <c r="F1084" s="1">
        <v>2023</v>
      </c>
      <c r="G1084" s="1" t="s">
        <v>1188</v>
      </c>
      <c r="H1084" s="1">
        <v>609315</v>
      </c>
      <c r="I1084" s="1">
        <v>4</v>
      </c>
      <c r="J1084" s="1" t="s">
        <v>36</v>
      </c>
      <c r="K1084" s="1" t="s">
        <v>2782</v>
      </c>
      <c r="L1084" s="1" t="s">
        <v>2783</v>
      </c>
      <c r="M1084" s="1">
        <v>161</v>
      </c>
      <c r="N1084" s="1" t="s">
        <v>39</v>
      </c>
      <c r="O1084" s="1">
        <v>36.390300000000003</v>
      </c>
      <c r="P1084" s="1">
        <v>-87.653899999999993</v>
      </c>
      <c r="Q1084" s="1" t="s">
        <v>136</v>
      </c>
      <c r="R1084" s="1" t="s">
        <v>120</v>
      </c>
      <c r="S1084" s="1" t="s">
        <v>85</v>
      </c>
      <c r="T1084" s="1" t="s">
        <v>86</v>
      </c>
      <c r="U1084" s="1" t="s">
        <v>55</v>
      </c>
      <c r="W1084" s="1" t="s">
        <v>56</v>
      </c>
      <c r="X1084" s="1" t="s">
        <v>1633</v>
      </c>
      <c r="Y1084" s="1" t="s">
        <v>58</v>
      </c>
      <c r="AA1084" s="3">
        <v>26411</v>
      </c>
      <c r="AB1084" s="1" t="s">
        <v>46</v>
      </c>
      <c r="AC1084" s="5">
        <v>15208</v>
      </c>
      <c r="AD1084" s="1" t="s">
        <v>2784</v>
      </c>
      <c r="AE1084" s="1" t="str">
        <f t="shared" si="81"/>
        <v>3399 1</v>
      </c>
      <c r="AF1084" s="5" t="str">
        <f t="shared" si="84"/>
        <v>1300</v>
      </c>
      <c r="AG1084" s="1" t="str">
        <f t="shared" si="80"/>
        <v>Y</v>
      </c>
    </row>
    <row r="1085" spans="1:33" x14ac:dyDescent="0.2">
      <c r="A1085" s="1" t="s">
        <v>2762</v>
      </c>
      <c r="B1085" s="1" t="s">
        <v>2781</v>
      </c>
      <c r="C1085" s="1">
        <v>3399</v>
      </c>
      <c r="D1085" s="1">
        <v>2</v>
      </c>
      <c r="F1085" s="1">
        <v>2023</v>
      </c>
      <c r="G1085" s="1" t="s">
        <v>1188</v>
      </c>
      <c r="H1085" s="1">
        <v>609315</v>
      </c>
      <c r="I1085" s="1">
        <v>4</v>
      </c>
      <c r="J1085" s="1" t="s">
        <v>36</v>
      </c>
      <c r="K1085" s="1" t="s">
        <v>2782</v>
      </c>
      <c r="L1085" s="1" t="s">
        <v>2783</v>
      </c>
      <c r="M1085" s="1">
        <v>161</v>
      </c>
      <c r="N1085" s="1" t="s">
        <v>39</v>
      </c>
      <c r="O1085" s="1">
        <v>36.390300000000003</v>
      </c>
      <c r="P1085" s="1">
        <v>-87.653899999999993</v>
      </c>
      <c r="Q1085" s="1" t="s">
        <v>136</v>
      </c>
      <c r="R1085" s="1" t="s">
        <v>120</v>
      </c>
      <c r="S1085" s="1" t="s">
        <v>85</v>
      </c>
      <c r="T1085" s="1" t="s">
        <v>86</v>
      </c>
      <c r="U1085" s="1" t="s">
        <v>55</v>
      </c>
      <c r="W1085" s="1" t="s">
        <v>56</v>
      </c>
      <c r="X1085" s="1" t="s">
        <v>1633</v>
      </c>
      <c r="Y1085" s="1" t="s">
        <v>58</v>
      </c>
      <c r="AA1085" s="3">
        <v>26696</v>
      </c>
      <c r="AB1085" s="1" t="s">
        <v>46</v>
      </c>
      <c r="AC1085" s="5">
        <v>16100</v>
      </c>
      <c r="AD1085" s="1" t="s">
        <v>2785</v>
      </c>
      <c r="AE1085" s="1" t="str">
        <f t="shared" si="81"/>
        <v>3399 2</v>
      </c>
      <c r="AF1085" s="5" t="str">
        <f t="shared" si="84"/>
        <v>1300</v>
      </c>
      <c r="AG1085" s="1" t="str">
        <f t="shared" si="80"/>
        <v>Y</v>
      </c>
    </row>
    <row r="1086" spans="1:33" x14ac:dyDescent="0.2">
      <c r="A1086" s="1" t="s">
        <v>2762</v>
      </c>
      <c r="B1086" s="1" t="s">
        <v>2786</v>
      </c>
      <c r="C1086" s="1">
        <v>3403</v>
      </c>
      <c r="D1086" s="1">
        <v>1</v>
      </c>
      <c r="F1086" s="1">
        <v>2023</v>
      </c>
      <c r="G1086" s="1" t="s">
        <v>1188</v>
      </c>
      <c r="H1086" s="1">
        <v>609315</v>
      </c>
      <c r="I1086" s="1">
        <v>4</v>
      </c>
      <c r="K1086" s="1" t="s">
        <v>2787</v>
      </c>
      <c r="L1086" s="1" t="s">
        <v>2788</v>
      </c>
      <c r="M1086" s="1">
        <v>165</v>
      </c>
      <c r="N1086" s="1" t="s">
        <v>39</v>
      </c>
      <c r="O1086" s="1">
        <v>36.315600000000003</v>
      </c>
      <c r="P1086" s="1">
        <v>-86.400599999999997</v>
      </c>
      <c r="Q1086" s="1" t="s">
        <v>136</v>
      </c>
      <c r="R1086" s="1" t="s">
        <v>120</v>
      </c>
      <c r="S1086" s="1" t="s">
        <v>121</v>
      </c>
      <c r="T1086" s="1" t="s">
        <v>43</v>
      </c>
      <c r="U1086" s="1" t="s">
        <v>55</v>
      </c>
      <c r="W1086" s="1" t="s">
        <v>212</v>
      </c>
      <c r="X1086" s="1" t="s">
        <v>57</v>
      </c>
      <c r="Y1086" s="1" t="s">
        <v>232</v>
      </c>
      <c r="AA1086" s="3">
        <v>20739</v>
      </c>
      <c r="AB1086" s="1" t="s">
        <v>46</v>
      </c>
      <c r="AC1086" s="5">
        <v>4456</v>
      </c>
      <c r="AD1086" s="1" t="s">
        <v>2789</v>
      </c>
      <c r="AE1086" s="1" t="str">
        <f t="shared" si="81"/>
        <v>3403 1</v>
      </c>
      <c r="AF1086" s="5" t="str">
        <f t="shared" si="84"/>
        <v>300</v>
      </c>
      <c r="AG1086" s="1" t="str">
        <f t="shared" si="80"/>
        <v>Y</v>
      </c>
    </row>
    <row r="1087" spans="1:33" x14ac:dyDescent="0.2">
      <c r="A1087" s="1" t="s">
        <v>2762</v>
      </c>
      <c r="B1087" s="1" t="s">
        <v>2786</v>
      </c>
      <c r="C1087" s="1">
        <v>3403</v>
      </c>
      <c r="D1087" s="1">
        <v>2</v>
      </c>
      <c r="F1087" s="1">
        <v>2023</v>
      </c>
      <c r="G1087" s="1" t="s">
        <v>1188</v>
      </c>
      <c r="H1087" s="1">
        <v>609315</v>
      </c>
      <c r="I1087" s="1">
        <v>4</v>
      </c>
      <c r="K1087" s="1" t="s">
        <v>2787</v>
      </c>
      <c r="L1087" s="1" t="s">
        <v>2788</v>
      </c>
      <c r="M1087" s="1">
        <v>165</v>
      </c>
      <c r="N1087" s="1" t="s">
        <v>39</v>
      </c>
      <c r="O1087" s="1">
        <v>36.315600000000003</v>
      </c>
      <c r="P1087" s="1">
        <v>-86.400599999999997</v>
      </c>
      <c r="Q1087" s="1" t="s">
        <v>136</v>
      </c>
      <c r="R1087" s="1" t="s">
        <v>120</v>
      </c>
      <c r="S1087" s="1" t="s">
        <v>121</v>
      </c>
      <c r="T1087" s="1" t="s">
        <v>43</v>
      </c>
      <c r="U1087" s="1" t="s">
        <v>55</v>
      </c>
      <c r="W1087" s="1" t="s">
        <v>212</v>
      </c>
      <c r="X1087" s="1" t="s">
        <v>57</v>
      </c>
      <c r="Y1087" s="1" t="s">
        <v>232</v>
      </c>
      <c r="AA1087" s="3">
        <v>20941</v>
      </c>
      <c r="AB1087" s="1" t="s">
        <v>46</v>
      </c>
      <c r="AC1087" s="5">
        <v>3717</v>
      </c>
      <c r="AD1087" s="1" t="s">
        <v>2790</v>
      </c>
      <c r="AE1087" s="1" t="str">
        <f t="shared" si="81"/>
        <v>3403 2</v>
      </c>
      <c r="AF1087" s="5" t="str">
        <f t="shared" si="84"/>
        <v>300</v>
      </c>
      <c r="AG1087" s="1" t="str">
        <f t="shared" si="80"/>
        <v>Y</v>
      </c>
    </row>
    <row r="1088" spans="1:33" x14ac:dyDescent="0.2">
      <c r="A1088" s="1" t="s">
        <v>2762</v>
      </c>
      <c r="B1088" s="1" t="s">
        <v>2786</v>
      </c>
      <c r="C1088" s="1">
        <v>3403</v>
      </c>
      <c r="D1088" s="1">
        <v>3</v>
      </c>
      <c r="F1088" s="1">
        <v>2023</v>
      </c>
      <c r="G1088" s="1" t="s">
        <v>1188</v>
      </c>
      <c r="H1088" s="1">
        <v>609315</v>
      </c>
      <c r="I1088" s="1">
        <v>4</v>
      </c>
      <c r="K1088" s="1" t="s">
        <v>2787</v>
      </c>
      <c r="L1088" s="1" t="s">
        <v>2788</v>
      </c>
      <c r="M1088" s="1">
        <v>165</v>
      </c>
      <c r="N1088" s="1" t="s">
        <v>39</v>
      </c>
      <c r="O1088" s="1">
        <v>36.315600000000003</v>
      </c>
      <c r="P1088" s="1">
        <v>-86.400599999999997</v>
      </c>
      <c r="Q1088" s="1" t="s">
        <v>136</v>
      </c>
      <c r="R1088" s="1" t="s">
        <v>120</v>
      </c>
      <c r="S1088" s="1" t="s">
        <v>121</v>
      </c>
      <c r="T1088" s="1" t="s">
        <v>43</v>
      </c>
      <c r="U1088" s="1" t="s">
        <v>55</v>
      </c>
      <c r="W1088" s="1" t="s">
        <v>212</v>
      </c>
      <c r="X1088" s="1" t="s">
        <v>57</v>
      </c>
      <c r="Y1088" s="1" t="s">
        <v>232</v>
      </c>
      <c r="AA1088" s="3">
        <v>21664</v>
      </c>
      <c r="AB1088" s="1" t="s">
        <v>46</v>
      </c>
      <c r="AC1088" s="5">
        <v>4712</v>
      </c>
      <c r="AD1088" s="1" t="s">
        <v>2791</v>
      </c>
      <c r="AE1088" s="1" t="str">
        <f t="shared" si="81"/>
        <v>3403 3</v>
      </c>
      <c r="AF1088" s="5" t="str">
        <f t="shared" si="84"/>
        <v>327.6</v>
      </c>
      <c r="AG1088" s="1" t="str">
        <f t="shared" si="80"/>
        <v>Y</v>
      </c>
    </row>
    <row r="1089" spans="1:33" x14ac:dyDescent="0.2">
      <c r="A1089" s="1" t="s">
        <v>2762</v>
      </c>
      <c r="B1089" s="1" t="s">
        <v>2786</v>
      </c>
      <c r="C1089" s="1">
        <v>3403</v>
      </c>
      <c r="D1089" s="1">
        <v>4</v>
      </c>
      <c r="F1089" s="1">
        <v>2023</v>
      </c>
      <c r="G1089" s="1" t="s">
        <v>1188</v>
      </c>
      <c r="H1089" s="1">
        <v>609315</v>
      </c>
      <c r="I1089" s="1">
        <v>4</v>
      </c>
      <c r="K1089" s="1" t="s">
        <v>2787</v>
      </c>
      <c r="L1089" s="1" t="s">
        <v>2788</v>
      </c>
      <c r="M1089" s="1">
        <v>165</v>
      </c>
      <c r="N1089" s="1" t="s">
        <v>39</v>
      </c>
      <c r="O1089" s="1">
        <v>36.315600000000003</v>
      </c>
      <c r="P1089" s="1">
        <v>-86.400599999999997</v>
      </c>
      <c r="Q1089" s="1" t="s">
        <v>136</v>
      </c>
      <c r="R1089" s="1" t="s">
        <v>120</v>
      </c>
      <c r="S1089" s="1" t="s">
        <v>121</v>
      </c>
      <c r="T1089" s="1" t="s">
        <v>43</v>
      </c>
      <c r="U1089" s="1" t="s">
        <v>55</v>
      </c>
      <c r="W1089" s="1" t="s">
        <v>212</v>
      </c>
      <c r="X1089" s="1" t="s">
        <v>57</v>
      </c>
      <c r="Y1089" s="1" t="s">
        <v>232</v>
      </c>
      <c r="AA1089" s="3">
        <v>21732</v>
      </c>
      <c r="AB1089" s="1" t="s">
        <v>46</v>
      </c>
      <c r="AC1089" s="5">
        <v>4433</v>
      </c>
      <c r="AD1089" s="1" t="s">
        <v>2792</v>
      </c>
      <c r="AE1089" s="1" t="str">
        <f t="shared" si="81"/>
        <v>3403 4</v>
      </c>
      <c r="AF1089" s="5" t="str">
        <f t="shared" si="84"/>
        <v>327.6</v>
      </c>
      <c r="AG1089" s="1" t="str">
        <f t="shared" si="80"/>
        <v>Y</v>
      </c>
    </row>
    <row r="1090" spans="1:33" x14ac:dyDescent="0.2">
      <c r="A1090" s="1" t="s">
        <v>2762</v>
      </c>
      <c r="B1090" s="1" t="s">
        <v>2786</v>
      </c>
      <c r="C1090" s="1">
        <v>3403</v>
      </c>
      <c r="D1090" s="1" t="s">
        <v>2793</v>
      </c>
      <c r="F1090" s="1">
        <v>2023</v>
      </c>
      <c r="G1090" s="1" t="s">
        <v>1195</v>
      </c>
      <c r="H1090" s="1">
        <v>609315</v>
      </c>
      <c r="I1090" s="1">
        <v>4</v>
      </c>
      <c r="K1090" s="1" t="s">
        <v>2787</v>
      </c>
      <c r="L1090" s="1" t="s">
        <v>2788</v>
      </c>
      <c r="M1090" s="1">
        <v>165</v>
      </c>
      <c r="N1090" s="1" t="s">
        <v>39</v>
      </c>
      <c r="O1090" s="1">
        <v>36.315600000000003</v>
      </c>
      <c r="P1090" s="1">
        <v>-86.400599999999997</v>
      </c>
      <c r="Q1090" s="1" t="s">
        <v>136</v>
      </c>
      <c r="T1090" s="1" t="s">
        <v>93</v>
      </c>
      <c r="U1090" s="1" t="s">
        <v>44</v>
      </c>
      <c r="V1090" s="1" t="s">
        <v>94</v>
      </c>
      <c r="AA1090" s="3">
        <v>27395</v>
      </c>
      <c r="AB1090" s="1" t="s">
        <v>46</v>
      </c>
      <c r="AC1090" s="5">
        <v>1137</v>
      </c>
      <c r="AD1090" s="1" t="s">
        <v>2794</v>
      </c>
      <c r="AE1090" s="1" t="str">
        <f t="shared" si="81"/>
        <v>3403 GCT1</v>
      </c>
      <c r="AF1090" s="5" t="str">
        <f t="shared" si="84"/>
        <v>81.3</v>
      </c>
      <c r="AG1090" s="1" t="str">
        <f t="shared" ref="AG1090:AG1153" si="85">IF(ISNUMBER(SEARCH("selective", X1090)), "Y", "")</f>
        <v/>
      </c>
    </row>
    <row r="1091" spans="1:33" x14ac:dyDescent="0.2">
      <c r="A1091" s="1" t="s">
        <v>2762</v>
      </c>
      <c r="B1091" s="1" t="s">
        <v>2786</v>
      </c>
      <c r="C1091" s="1">
        <v>3403</v>
      </c>
      <c r="D1091" s="1" t="s">
        <v>2795</v>
      </c>
      <c r="F1091" s="1">
        <v>2023</v>
      </c>
      <c r="G1091" s="1" t="s">
        <v>1195</v>
      </c>
      <c r="H1091" s="1">
        <v>609315</v>
      </c>
      <c r="I1091" s="1">
        <v>4</v>
      </c>
      <c r="K1091" s="1" t="s">
        <v>2787</v>
      </c>
      <c r="L1091" s="1" t="s">
        <v>2788</v>
      </c>
      <c r="M1091" s="1">
        <v>165</v>
      </c>
      <c r="N1091" s="1" t="s">
        <v>39</v>
      </c>
      <c r="O1091" s="1">
        <v>36.315600000000003</v>
      </c>
      <c r="P1091" s="1">
        <v>-86.400599999999997</v>
      </c>
      <c r="Q1091" s="1" t="s">
        <v>136</v>
      </c>
      <c r="T1091" s="1" t="s">
        <v>93</v>
      </c>
      <c r="U1091" s="1" t="s">
        <v>44</v>
      </c>
      <c r="V1091" s="1" t="s">
        <v>94</v>
      </c>
      <c r="AA1091" s="3">
        <v>27395</v>
      </c>
      <c r="AB1091" s="1" t="s">
        <v>46</v>
      </c>
      <c r="AC1091" s="5">
        <v>1137</v>
      </c>
      <c r="AD1091" s="1" t="s">
        <v>2796</v>
      </c>
      <c r="AE1091" s="1" t="str">
        <f t="shared" ref="AE1091:AE1154" si="86">C1091&amp;" "&amp;D1091</f>
        <v>3403 GCT2</v>
      </c>
      <c r="AF1091" s="5" t="str">
        <f t="shared" si="84"/>
        <v>81.3</v>
      </c>
      <c r="AG1091" s="1" t="str">
        <f t="shared" si="85"/>
        <v/>
      </c>
    </row>
    <row r="1092" spans="1:33" x14ac:dyDescent="0.2">
      <c r="A1092" s="1" t="s">
        <v>2762</v>
      </c>
      <c r="B1092" s="1" t="s">
        <v>2786</v>
      </c>
      <c r="C1092" s="1">
        <v>3403</v>
      </c>
      <c r="D1092" s="1" t="s">
        <v>2797</v>
      </c>
      <c r="F1092" s="1">
        <v>2023</v>
      </c>
      <c r="G1092" s="1" t="s">
        <v>1195</v>
      </c>
      <c r="H1092" s="1">
        <v>609315</v>
      </c>
      <c r="I1092" s="1">
        <v>4</v>
      </c>
      <c r="K1092" s="1" t="s">
        <v>2787</v>
      </c>
      <c r="L1092" s="1" t="s">
        <v>2788</v>
      </c>
      <c r="M1092" s="1">
        <v>165</v>
      </c>
      <c r="N1092" s="1" t="s">
        <v>39</v>
      </c>
      <c r="O1092" s="1">
        <v>36.315600000000003</v>
      </c>
      <c r="P1092" s="1">
        <v>-86.400599999999997</v>
      </c>
      <c r="Q1092" s="1" t="s">
        <v>136</v>
      </c>
      <c r="T1092" s="1" t="s">
        <v>93</v>
      </c>
      <c r="U1092" s="1" t="s">
        <v>44</v>
      </c>
      <c r="V1092" s="1" t="s">
        <v>94</v>
      </c>
      <c r="AA1092" s="3">
        <v>27395</v>
      </c>
      <c r="AB1092" s="1" t="s">
        <v>46</v>
      </c>
      <c r="AC1092" s="5">
        <v>1137</v>
      </c>
      <c r="AD1092" s="1" t="s">
        <v>2798</v>
      </c>
      <c r="AE1092" s="1" t="str">
        <f t="shared" si="86"/>
        <v>3403 GCT3</v>
      </c>
      <c r="AF1092" s="5" t="str">
        <f t="shared" si="84"/>
        <v>81.3</v>
      </c>
      <c r="AG1092" s="1" t="str">
        <f t="shared" si="85"/>
        <v/>
      </c>
    </row>
    <row r="1093" spans="1:33" x14ac:dyDescent="0.2">
      <c r="A1093" s="1" t="s">
        <v>2762</v>
      </c>
      <c r="B1093" s="1" t="s">
        <v>2786</v>
      </c>
      <c r="C1093" s="1">
        <v>3403</v>
      </c>
      <c r="D1093" s="1" t="s">
        <v>2799</v>
      </c>
      <c r="F1093" s="1">
        <v>2023</v>
      </c>
      <c r="G1093" s="1" t="s">
        <v>1195</v>
      </c>
      <c r="H1093" s="1">
        <v>609315</v>
      </c>
      <c r="I1093" s="1">
        <v>4</v>
      </c>
      <c r="K1093" s="1" t="s">
        <v>2787</v>
      </c>
      <c r="L1093" s="1" t="s">
        <v>2788</v>
      </c>
      <c r="M1093" s="1">
        <v>165</v>
      </c>
      <c r="N1093" s="1" t="s">
        <v>39</v>
      </c>
      <c r="O1093" s="1">
        <v>36.315600000000003</v>
      </c>
      <c r="P1093" s="1">
        <v>-86.400599999999997</v>
      </c>
      <c r="Q1093" s="1" t="s">
        <v>136</v>
      </c>
      <c r="T1093" s="1" t="s">
        <v>93</v>
      </c>
      <c r="U1093" s="1" t="s">
        <v>44</v>
      </c>
      <c r="V1093" s="1" t="s">
        <v>94</v>
      </c>
      <c r="AA1093" s="3">
        <v>27395</v>
      </c>
      <c r="AB1093" s="1" t="s">
        <v>46</v>
      </c>
      <c r="AC1093" s="5">
        <v>1137</v>
      </c>
      <c r="AD1093" s="1" t="s">
        <v>2800</v>
      </c>
      <c r="AE1093" s="1" t="str">
        <f t="shared" si="86"/>
        <v>3403 GCT4</v>
      </c>
      <c r="AF1093" s="5" t="str">
        <f t="shared" si="84"/>
        <v>81.3</v>
      </c>
      <c r="AG1093" s="1" t="str">
        <f t="shared" si="85"/>
        <v/>
      </c>
    </row>
    <row r="1094" spans="1:33" x14ac:dyDescent="0.2">
      <c r="A1094" s="1" t="s">
        <v>2762</v>
      </c>
      <c r="B1094" s="1" t="s">
        <v>2786</v>
      </c>
      <c r="C1094" s="1">
        <v>3403</v>
      </c>
      <c r="D1094" s="1" t="s">
        <v>2801</v>
      </c>
      <c r="F1094" s="1">
        <v>2023</v>
      </c>
      <c r="G1094" s="1" t="s">
        <v>1207</v>
      </c>
      <c r="H1094" s="1">
        <v>609315</v>
      </c>
      <c r="I1094" s="1">
        <v>4</v>
      </c>
      <c r="K1094" s="1" t="s">
        <v>2787</v>
      </c>
      <c r="L1094" s="1" t="s">
        <v>2788</v>
      </c>
      <c r="M1094" s="1">
        <v>165</v>
      </c>
      <c r="N1094" s="1" t="s">
        <v>39</v>
      </c>
      <c r="O1094" s="1">
        <v>36.315600000000003</v>
      </c>
      <c r="P1094" s="1">
        <v>-86.400599999999997</v>
      </c>
      <c r="Q1094" s="1" t="s">
        <v>136</v>
      </c>
      <c r="R1094" s="1" t="s">
        <v>41</v>
      </c>
      <c r="T1094" s="1" t="s">
        <v>93</v>
      </c>
      <c r="U1094" s="1" t="s">
        <v>44</v>
      </c>
      <c r="V1094" s="1" t="s">
        <v>94</v>
      </c>
      <c r="X1094" s="1" t="s">
        <v>183</v>
      </c>
      <c r="AA1094" s="3">
        <v>36637</v>
      </c>
      <c r="AB1094" s="1" t="s">
        <v>46</v>
      </c>
      <c r="AC1094" s="5">
        <v>1160</v>
      </c>
      <c r="AD1094" s="1" t="s">
        <v>2802</v>
      </c>
      <c r="AE1094" s="1" t="str">
        <f t="shared" si="86"/>
        <v>3403 GCT5</v>
      </c>
      <c r="AF1094" s="5" t="str">
        <f t="shared" si="84"/>
        <v>84.5</v>
      </c>
      <c r="AG1094" s="1" t="str">
        <f t="shared" si="85"/>
        <v/>
      </c>
    </row>
    <row r="1095" spans="1:33" x14ac:dyDescent="0.2">
      <c r="A1095" s="1" t="s">
        <v>2762</v>
      </c>
      <c r="B1095" s="1" t="s">
        <v>2786</v>
      </c>
      <c r="C1095" s="1">
        <v>3403</v>
      </c>
      <c r="D1095" s="1" t="s">
        <v>2803</v>
      </c>
      <c r="F1095" s="1">
        <v>2023</v>
      </c>
      <c r="G1095" s="1" t="s">
        <v>1207</v>
      </c>
      <c r="H1095" s="1">
        <v>609315</v>
      </c>
      <c r="I1095" s="1">
        <v>4</v>
      </c>
      <c r="K1095" s="1" t="s">
        <v>2787</v>
      </c>
      <c r="L1095" s="1" t="s">
        <v>2788</v>
      </c>
      <c r="M1095" s="1">
        <v>165</v>
      </c>
      <c r="N1095" s="1" t="s">
        <v>39</v>
      </c>
      <c r="O1095" s="1">
        <v>36.315600000000003</v>
      </c>
      <c r="P1095" s="1">
        <v>-86.400599999999997</v>
      </c>
      <c r="Q1095" s="1" t="s">
        <v>136</v>
      </c>
      <c r="R1095" s="1" t="s">
        <v>41</v>
      </c>
      <c r="T1095" s="1" t="s">
        <v>93</v>
      </c>
      <c r="U1095" s="1" t="s">
        <v>44</v>
      </c>
      <c r="V1095" s="1" t="s">
        <v>94</v>
      </c>
      <c r="X1095" s="1" t="s">
        <v>183</v>
      </c>
      <c r="AA1095" s="3">
        <v>36654</v>
      </c>
      <c r="AB1095" s="1" t="s">
        <v>46</v>
      </c>
      <c r="AC1095" s="5">
        <v>1115</v>
      </c>
      <c r="AD1095" s="1" t="s">
        <v>2804</v>
      </c>
      <c r="AE1095" s="1" t="str">
        <f t="shared" si="86"/>
        <v>3403 GCT6</v>
      </c>
      <c r="AF1095" s="5" t="str">
        <f t="shared" si="84"/>
        <v>84.5</v>
      </c>
      <c r="AG1095" s="1" t="str">
        <f t="shared" si="85"/>
        <v/>
      </c>
    </row>
    <row r="1096" spans="1:33" x14ac:dyDescent="0.2">
      <c r="A1096" s="1" t="s">
        <v>2762</v>
      </c>
      <c r="B1096" s="1" t="s">
        <v>2786</v>
      </c>
      <c r="C1096" s="1">
        <v>3403</v>
      </c>
      <c r="D1096" s="1" t="s">
        <v>2805</v>
      </c>
      <c r="F1096" s="1">
        <v>2023</v>
      </c>
      <c r="G1096" s="1" t="s">
        <v>1207</v>
      </c>
      <c r="H1096" s="1">
        <v>609315</v>
      </c>
      <c r="I1096" s="1">
        <v>4</v>
      </c>
      <c r="K1096" s="1" t="s">
        <v>2787</v>
      </c>
      <c r="L1096" s="1" t="s">
        <v>2788</v>
      </c>
      <c r="M1096" s="1">
        <v>165</v>
      </c>
      <c r="N1096" s="1" t="s">
        <v>39</v>
      </c>
      <c r="O1096" s="1">
        <v>36.315600000000003</v>
      </c>
      <c r="P1096" s="1">
        <v>-86.400599999999997</v>
      </c>
      <c r="Q1096" s="1" t="s">
        <v>136</v>
      </c>
      <c r="R1096" s="1" t="s">
        <v>41</v>
      </c>
      <c r="T1096" s="1" t="s">
        <v>93</v>
      </c>
      <c r="U1096" s="1" t="s">
        <v>44</v>
      </c>
      <c r="V1096" s="1" t="s">
        <v>94</v>
      </c>
      <c r="X1096" s="1" t="s">
        <v>183</v>
      </c>
      <c r="AA1096" s="3">
        <v>36677</v>
      </c>
      <c r="AB1096" s="1" t="s">
        <v>46</v>
      </c>
      <c r="AC1096" s="5">
        <v>1225</v>
      </c>
      <c r="AD1096" s="1" t="s">
        <v>2806</v>
      </c>
      <c r="AE1096" s="1" t="str">
        <f t="shared" si="86"/>
        <v>3403 GCT7</v>
      </c>
      <c r="AF1096" s="5" t="str">
        <f t="shared" si="84"/>
        <v>84.5</v>
      </c>
      <c r="AG1096" s="1" t="str">
        <f t="shared" si="85"/>
        <v/>
      </c>
    </row>
    <row r="1097" spans="1:33" x14ac:dyDescent="0.2">
      <c r="A1097" s="1" t="s">
        <v>2762</v>
      </c>
      <c r="B1097" s="1" t="s">
        <v>2786</v>
      </c>
      <c r="C1097" s="1">
        <v>3403</v>
      </c>
      <c r="D1097" s="1" t="s">
        <v>2807</v>
      </c>
      <c r="F1097" s="1">
        <v>2023</v>
      </c>
      <c r="G1097" s="1" t="s">
        <v>1207</v>
      </c>
      <c r="H1097" s="1">
        <v>609315</v>
      </c>
      <c r="I1097" s="1">
        <v>4</v>
      </c>
      <c r="K1097" s="1" t="s">
        <v>2787</v>
      </c>
      <c r="L1097" s="1" t="s">
        <v>2788</v>
      </c>
      <c r="M1097" s="1">
        <v>165</v>
      </c>
      <c r="N1097" s="1" t="s">
        <v>39</v>
      </c>
      <c r="O1097" s="1">
        <v>36.315600000000003</v>
      </c>
      <c r="P1097" s="1">
        <v>-86.400599999999997</v>
      </c>
      <c r="Q1097" s="1" t="s">
        <v>136</v>
      </c>
      <c r="R1097" s="1" t="s">
        <v>41</v>
      </c>
      <c r="T1097" s="1" t="s">
        <v>93</v>
      </c>
      <c r="U1097" s="1" t="s">
        <v>44</v>
      </c>
      <c r="V1097" s="1" t="s">
        <v>94</v>
      </c>
      <c r="X1097" s="1" t="s">
        <v>183</v>
      </c>
      <c r="AA1097" s="3">
        <v>36700</v>
      </c>
      <c r="AB1097" s="1" t="s">
        <v>46</v>
      </c>
      <c r="AC1097" s="5">
        <v>1218</v>
      </c>
      <c r="AD1097" s="1" t="s">
        <v>2808</v>
      </c>
      <c r="AE1097" s="1" t="str">
        <f t="shared" si="86"/>
        <v>3403 GCT8</v>
      </c>
      <c r="AF1097" s="5" t="str">
        <f t="shared" si="84"/>
        <v>84.5</v>
      </c>
      <c r="AG1097" s="1" t="str">
        <f t="shared" si="85"/>
        <v/>
      </c>
    </row>
    <row r="1098" spans="1:33" x14ac:dyDescent="0.2">
      <c r="A1098" s="1" t="s">
        <v>2762</v>
      </c>
      <c r="B1098" s="1" t="s">
        <v>2809</v>
      </c>
      <c r="C1098" s="1">
        <v>3405</v>
      </c>
      <c r="D1098" s="1" t="s">
        <v>2810</v>
      </c>
      <c r="F1098" s="1">
        <v>2023</v>
      </c>
      <c r="G1098" s="1" t="s">
        <v>1207</v>
      </c>
      <c r="H1098" s="1">
        <v>609315</v>
      </c>
      <c r="I1098" s="1">
        <v>4</v>
      </c>
      <c r="J1098" s="1" t="s">
        <v>36</v>
      </c>
      <c r="K1098" s="1" t="s">
        <v>2811</v>
      </c>
      <c r="L1098" s="1" t="s">
        <v>2812</v>
      </c>
      <c r="M1098" s="1">
        <v>73</v>
      </c>
      <c r="N1098" s="1" t="s">
        <v>39</v>
      </c>
      <c r="O1098" s="1">
        <v>36.3767</v>
      </c>
      <c r="P1098" s="1">
        <v>-82.963899999999995</v>
      </c>
      <c r="Q1098" s="1" t="s">
        <v>136</v>
      </c>
      <c r="R1098" s="1" t="s">
        <v>41</v>
      </c>
      <c r="T1098" s="1" t="s">
        <v>71</v>
      </c>
      <c r="U1098" s="1" t="s">
        <v>44</v>
      </c>
      <c r="V1098" s="1" t="s">
        <v>94</v>
      </c>
      <c r="X1098" s="1" t="s">
        <v>643</v>
      </c>
      <c r="AA1098" s="3">
        <v>40894</v>
      </c>
      <c r="AB1098" s="1" t="s">
        <v>46</v>
      </c>
      <c r="AC1098" s="5">
        <v>2275.9</v>
      </c>
      <c r="AD1098" s="1" t="s">
        <v>2813</v>
      </c>
      <c r="AE1098" s="1" t="str">
        <f t="shared" si="86"/>
        <v>3405 JCC1</v>
      </c>
      <c r="AF1098" s="14">
        <f>AF1100</f>
        <v>317.39999999999998</v>
      </c>
      <c r="AG1098" s="1" t="str">
        <f t="shared" si="85"/>
        <v>Y</v>
      </c>
    </row>
    <row r="1099" spans="1:33" x14ac:dyDescent="0.2">
      <c r="A1099" s="1" t="s">
        <v>2762</v>
      </c>
      <c r="B1099" s="1" t="s">
        <v>2809</v>
      </c>
      <c r="C1099" s="1">
        <v>3405</v>
      </c>
      <c r="D1099" s="1" t="s">
        <v>2814</v>
      </c>
      <c r="F1099" s="1">
        <v>2023</v>
      </c>
      <c r="G1099" s="1" t="s">
        <v>1207</v>
      </c>
      <c r="H1099" s="1">
        <v>609315</v>
      </c>
      <c r="I1099" s="1">
        <v>4</v>
      </c>
      <c r="J1099" s="1" t="s">
        <v>36</v>
      </c>
      <c r="K1099" s="1" t="s">
        <v>2811</v>
      </c>
      <c r="L1099" s="1" t="s">
        <v>2812</v>
      </c>
      <c r="M1099" s="1">
        <v>73</v>
      </c>
      <c r="N1099" s="1" t="s">
        <v>39</v>
      </c>
      <c r="O1099" s="1">
        <v>36.3767</v>
      </c>
      <c r="P1099" s="1">
        <v>-82.963899999999995</v>
      </c>
      <c r="Q1099" s="1" t="s">
        <v>136</v>
      </c>
      <c r="R1099" s="1" t="s">
        <v>41</v>
      </c>
      <c r="T1099" s="1" t="s">
        <v>71</v>
      </c>
      <c r="U1099" s="1" t="s">
        <v>44</v>
      </c>
      <c r="V1099" s="1" t="s">
        <v>94</v>
      </c>
      <c r="X1099" s="1" t="s">
        <v>643</v>
      </c>
      <c r="AA1099" s="3">
        <v>40924</v>
      </c>
      <c r="AB1099" s="1" t="s">
        <v>46</v>
      </c>
      <c r="AC1099" s="5">
        <v>2247.6999999999998</v>
      </c>
      <c r="AD1099" s="1" t="s">
        <v>2815</v>
      </c>
      <c r="AE1099" s="1" t="str">
        <f t="shared" si="86"/>
        <v>3405 JCC2</v>
      </c>
      <c r="AF1099" s="14">
        <f>AF1100</f>
        <v>317.39999999999998</v>
      </c>
      <c r="AG1099" s="1" t="str">
        <f t="shared" si="85"/>
        <v>Y</v>
      </c>
    </row>
    <row r="1100" spans="1:33" x14ac:dyDescent="0.2">
      <c r="A1100" s="1" t="s">
        <v>2762</v>
      </c>
      <c r="B1100" s="1" t="s">
        <v>2809</v>
      </c>
      <c r="C1100" s="1">
        <v>3405</v>
      </c>
      <c r="D1100" s="1" t="s">
        <v>2816</v>
      </c>
      <c r="F1100" s="1">
        <v>2023</v>
      </c>
      <c r="G1100" s="1" t="s">
        <v>1207</v>
      </c>
      <c r="H1100" s="1">
        <v>609315</v>
      </c>
      <c r="I1100" s="1">
        <v>4</v>
      </c>
      <c r="J1100" s="1" t="s">
        <v>36</v>
      </c>
      <c r="K1100" s="1" t="s">
        <v>2811</v>
      </c>
      <c r="L1100" s="1" t="s">
        <v>2812</v>
      </c>
      <c r="M1100" s="1">
        <v>73</v>
      </c>
      <c r="N1100" s="1" t="s">
        <v>39</v>
      </c>
      <c r="O1100" s="1">
        <v>36.3767</v>
      </c>
      <c r="P1100" s="1">
        <v>-82.963899999999995</v>
      </c>
      <c r="Q1100" s="1" t="s">
        <v>136</v>
      </c>
      <c r="R1100" s="1" t="s">
        <v>41</v>
      </c>
      <c r="T1100" s="1" t="s">
        <v>71</v>
      </c>
      <c r="U1100" s="1" t="s">
        <v>44</v>
      </c>
      <c r="V1100" s="1" t="s">
        <v>94</v>
      </c>
      <c r="X1100" s="1" t="s">
        <v>643</v>
      </c>
      <c r="AA1100" s="3">
        <v>40936</v>
      </c>
      <c r="AB1100" s="1" t="s">
        <v>46</v>
      </c>
      <c r="AC1100" s="5">
        <v>2287</v>
      </c>
      <c r="AD1100" s="1" t="s">
        <v>2817</v>
      </c>
      <c r="AE1100" s="1" t="str">
        <f t="shared" si="86"/>
        <v>3405 JCC3</v>
      </c>
      <c r="AF1100" s="14">
        <f>MID(AD1100,FIND("(",AD1100)+1,FIND(")",AD1100)-FIND("(",AD1100)-1)+414/3</f>
        <v>317.39999999999998</v>
      </c>
      <c r="AG1100" s="1" t="str">
        <f t="shared" si="85"/>
        <v>Y</v>
      </c>
    </row>
    <row r="1101" spans="1:33" x14ac:dyDescent="0.2">
      <c r="A1101" s="1" t="s">
        <v>2762</v>
      </c>
      <c r="B1101" s="1" t="s">
        <v>2818</v>
      </c>
      <c r="C1101" s="1">
        <v>3406</v>
      </c>
      <c r="D1101" s="1" t="s">
        <v>2819</v>
      </c>
      <c r="F1101" s="1">
        <v>2023</v>
      </c>
      <c r="G1101" s="1" t="s">
        <v>1195</v>
      </c>
      <c r="H1101" s="1">
        <v>609315</v>
      </c>
      <c r="I1101" s="1">
        <v>4</v>
      </c>
      <c r="K1101" s="1" t="s">
        <v>2820</v>
      </c>
      <c r="L1101" s="1" t="s">
        <v>2821</v>
      </c>
      <c r="M1101" s="1">
        <v>85</v>
      </c>
      <c r="N1101" s="1" t="s">
        <v>39</v>
      </c>
      <c r="O1101" s="1">
        <v>36.027799999999999</v>
      </c>
      <c r="P1101" s="1">
        <v>-87.986099999999993</v>
      </c>
      <c r="Q1101" s="1" t="s">
        <v>136</v>
      </c>
      <c r="T1101" s="1" t="s">
        <v>93</v>
      </c>
      <c r="U1101" s="1" t="s">
        <v>44</v>
      </c>
      <c r="V1101" s="1" t="s">
        <v>94</v>
      </c>
      <c r="AA1101" s="3">
        <v>27303</v>
      </c>
      <c r="AB1101" s="1" t="s">
        <v>46</v>
      </c>
      <c r="AC1101" s="5">
        <v>790</v>
      </c>
      <c r="AD1101" s="1" t="s">
        <v>2822</v>
      </c>
      <c r="AE1101" s="1" t="str">
        <f t="shared" si="86"/>
        <v>3406 JCT1</v>
      </c>
      <c r="AF1101" s="5" t="str">
        <f t="shared" ref="AF1101:AF1131" si="87">MID(AD1101,FIND("(",AD1101)+1,FIND(")",AD1101)-FIND("(",AD1101)-1)</f>
        <v>68</v>
      </c>
      <c r="AG1101" s="1" t="str">
        <f t="shared" si="85"/>
        <v/>
      </c>
    </row>
    <row r="1102" spans="1:33" x14ac:dyDescent="0.2">
      <c r="A1102" s="1" t="s">
        <v>2762</v>
      </c>
      <c r="B1102" s="1" t="s">
        <v>2818</v>
      </c>
      <c r="C1102" s="1">
        <v>3406</v>
      </c>
      <c r="D1102" s="1" t="s">
        <v>2823</v>
      </c>
      <c r="F1102" s="1">
        <v>2023</v>
      </c>
      <c r="G1102" s="1" t="s">
        <v>1195</v>
      </c>
      <c r="H1102" s="1">
        <v>609315</v>
      </c>
      <c r="I1102" s="1">
        <v>4</v>
      </c>
      <c r="K1102" s="1" t="s">
        <v>2820</v>
      </c>
      <c r="L1102" s="1" t="s">
        <v>2821</v>
      </c>
      <c r="M1102" s="1">
        <v>85</v>
      </c>
      <c r="N1102" s="1" t="s">
        <v>39</v>
      </c>
      <c r="O1102" s="1">
        <v>36.027799999999999</v>
      </c>
      <c r="P1102" s="1">
        <v>-87.986099999999993</v>
      </c>
      <c r="Q1102" s="1" t="s">
        <v>136</v>
      </c>
      <c r="T1102" s="1" t="s">
        <v>93</v>
      </c>
      <c r="U1102" s="1" t="s">
        <v>44</v>
      </c>
      <c r="V1102" s="1" t="s">
        <v>94</v>
      </c>
      <c r="AA1102" s="3">
        <v>27273</v>
      </c>
      <c r="AB1102" s="1" t="s">
        <v>46</v>
      </c>
      <c r="AC1102" s="5">
        <v>790</v>
      </c>
      <c r="AD1102" s="1" t="s">
        <v>2824</v>
      </c>
      <c r="AE1102" s="1" t="str">
        <f t="shared" si="86"/>
        <v>3406 JCT10</v>
      </c>
      <c r="AF1102" s="5" t="str">
        <f t="shared" si="87"/>
        <v>68</v>
      </c>
      <c r="AG1102" s="1" t="str">
        <f t="shared" si="85"/>
        <v/>
      </c>
    </row>
    <row r="1103" spans="1:33" x14ac:dyDescent="0.2">
      <c r="A1103" s="1" t="s">
        <v>2762</v>
      </c>
      <c r="B1103" s="1" t="s">
        <v>2818</v>
      </c>
      <c r="C1103" s="1">
        <v>3406</v>
      </c>
      <c r="D1103" s="1" t="s">
        <v>2825</v>
      </c>
      <c r="F1103" s="1">
        <v>2023</v>
      </c>
      <c r="G1103" s="1" t="s">
        <v>1195</v>
      </c>
      <c r="H1103" s="1">
        <v>609315</v>
      </c>
      <c r="I1103" s="1">
        <v>4</v>
      </c>
      <c r="K1103" s="1" t="s">
        <v>2820</v>
      </c>
      <c r="L1103" s="1" t="s">
        <v>2821</v>
      </c>
      <c r="M1103" s="1">
        <v>85</v>
      </c>
      <c r="N1103" s="1" t="s">
        <v>39</v>
      </c>
      <c r="O1103" s="1">
        <v>36.027799999999999</v>
      </c>
      <c r="P1103" s="1">
        <v>-87.986099999999993</v>
      </c>
      <c r="Q1103" s="1" t="s">
        <v>136</v>
      </c>
      <c r="T1103" s="1" t="s">
        <v>93</v>
      </c>
      <c r="U1103" s="1" t="s">
        <v>44</v>
      </c>
      <c r="V1103" s="1" t="s">
        <v>94</v>
      </c>
      <c r="AA1103" s="3">
        <v>27364</v>
      </c>
      <c r="AB1103" s="1" t="s">
        <v>46</v>
      </c>
      <c r="AC1103" s="5">
        <v>790</v>
      </c>
      <c r="AD1103" s="1" t="s">
        <v>2826</v>
      </c>
      <c r="AE1103" s="1" t="str">
        <f t="shared" si="86"/>
        <v>3406 JCT11</v>
      </c>
      <c r="AF1103" s="5" t="str">
        <f t="shared" si="87"/>
        <v>68</v>
      </c>
      <c r="AG1103" s="1" t="str">
        <f t="shared" si="85"/>
        <v/>
      </c>
    </row>
    <row r="1104" spans="1:33" x14ac:dyDescent="0.2">
      <c r="A1104" s="1" t="s">
        <v>2762</v>
      </c>
      <c r="B1104" s="1" t="s">
        <v>2818</v>
      </c>
      <c r="C1104" s="1">
        <v>3406</v>
      </c>
      <c r="D1104" s="1" t="s">
        <v>2827</v>
      </c>
      <c r="F1104" s="1">
        <v>2023</v>
      </c>
      <c r="G1104" s="1" t="s">
        <v>1195</v>
      </c>
      <c r="H1104" s="1">
        <v>609315</v>
      </c>
      <c r="I1104" s="1">
        <v>4</v>
      </c>
      <c r="K1104" s="1" t="s">
        <v>2820</v>
      </c>
      <c r="L1104" s="1" t="s">
        <v>2821</v>
      </c>
      <c r="M1104" s="1">
        <v>85</v>
      </c>
      <c r="N1104" s="1" t="s">
        <v>39</v>
      </c>
      <c r="O1104" s="1">
        <v>36.027799999999999</v>
      </c>
      <c r="P1104" s="1">
        <v>-87.986099999999993</v>
      </c>
      <c r="Q1104" s="1" t="s">
        <v>136</v>
      </c>
      <c r="T1104" s="1" t="s">
        <v>93</v>
      </c>
      <c r="U1104" s="1" t="s">
        <v>44</v>
      </c>
      <c r="V1104" s="1" t="s">
        <v>94</v>
      </c>
      <c r="AA1104" s="3">
        <v>27364</v>
      </c>
      <c r="AB1104" s="1" t="s">
        <v>46</v>
      </c>
      <c r="AC1104" s="5">
        <v>790</v>
      </c>
      <c r="AD1104" s="1" t="s">
        <v>2828</v>
      </c>
      <c r="AE1104" s="1" t="str">
        <f t="shared" si="86"/>
        <v>3406 JCT12</v>
      </c>
      <c r="AF1104" s="5" t="str">
        <f t="shared" si="87"/>
        <v>68</v>
      </c>
      <c r="AG1104" s="1" t="str">
        <f t="shared" si="85"/>
        <v/>
      </c>
    </row>
    <row r="1105" spans="1:33" x14ac:dyDescent="0.2">
      <c r="A1105" s="1" t="s">
        <v>2762</v>
      </c>
      <c r="B1105" s="1" t="s">
        <v>2818</v>
      </c>
      <c r="C1105" s="1">
        <v>3406</v>
      </c>
      <c r="D1105" s="1" t="s">
        <v>2829</v>
      </c>
      <c r="F1105" s="1">
        <v>2023</v>
      </c>
      <c r="G1105" s="1" t="s">
        <v>1195</v>
      </c>
      <c r="H1105" s="1">
        <v>609315</v>
      </c>
      <c r="I1105" s="1">
        <v>4</v>
      </c>
      <c r="K1105" s="1" t="s">
        <v>2820</v>
      </c>
      <c r="L1105" s="1" t="s">
        <v>2821</v>
      </c>
      <c r="M1105" s="1">
        <v>85</v>
      </c>
      <c r="N1105" s="1" t="s">
        <v>39</v>
      </c>
      <c r="O1105" s="1">
        <v>36.027799999999999</v>
      </c>
      <c r="P1105" s="1">
        <v>-87.986099999999993</v>
      </c>
      <c r="Q1105" s="1" t="s">
        <v>136</v>
      </c>
      <c r="T1105" s="1" t="s">
        <v>93</v>
      </c>
      <c r="U1105" s="1" t="s">
        <v>44</v>
      </c>
      <c r="V1105" s="1" t="s">
        <v>94</v>
      </c>
      <c r="AA1105" s="3">
        <v>27364</v>
      </c>
      <c r="AB1105" s="1" t="s">
        <v>46</v>
      </c>
      <c r="AC1105" s="5">
        <v>790</v>
      </c>
      <c r="AD1105" s="1" t="s">
        <v>2830</v>
      </c>
      <c r="AE1105" s="1" t="str">
        <f t="shared" si="86"/>
        <v>3406 JCT13</v>
      </c>
      <c r="AF1105" s="5" t="str">
        <f t="shared" si="87"/>
        <v>68</v>
      </c>
      <c r="AG1105" s="1" t="str">
        <f t="shared" si="85"/>
        <v/>
      </c>
    </row>
    <row r="1106" spans="1:33" x14ac:dyDescent="0.2">
      <c r="A1106" s="1" t="s">
        <v>2762</v>
      </c>
      <c r="B1106" s="1" t="s">
        <v>2818</v>
      </c>
      <c r="C1106" s="1">
        <v>3406</v>
      </c>
      <c r="D1106" s="1" t="s">
        <v>2831</v>
      </c>
      <c r="F1106" s="1">
        <v>2023</v>
      </c>
      <c r="G1106" s="1" t="s">
        <v>1195</v>
      </c>
      <c r="H1106" s="1">
        <v>609315</v>
      </c>
      <c r="I1106" s="1">
        <v>4</v>
      </c>
      <c r="K1106" s="1" t="s">
        <v>2820</v>
      </c>
      <c r="L1106" s="1" t="s">
        <v>2821</v>
      </c>
      <c r="M1106" s="1">
        <v>85</v>
      </c>
      <c r="N1106" s="1" t="s">
        <v>39</v>
      </c>
      <c r="O1106" s="1">
        <v>36.027799999999999</v>
      </c>
      <c r="P1106" s="1">
        <v>-87.986099999999993</v>
      </c>
      <c r="Q1106" s="1" t="s">
        <v>136</v>
      </c>
      <c r="T1106" s="1" t="s">
        <v>93</v>
      </c>
      <c r="U1106" s="1" t="s">
        <v>44</v>
      </c>
      <c r="V1106" s="1" t="s">
        <v>94</v>
      </c>
      <c r="AA1106" s="3">
        <v>27364</v>
      </c>
      <c r="AB1106" s="1" t="s">
        <v>46</v>
      </c>
      <c r="AC1106" s="5">
        <v>790</v>
      </c>
      <c r="AD1106" s="1" t="s">
        <v>2832</v>
      </c>
      <c r="AE1106" s="1" t="str">
        <f t="shared" si="86"/>
        <v>3406 JCT14</v>
      </c>
      <c r="AF1106" s="5" t="str">
        <f t="shared" si="87"/>
        <v>68</v>
      </c>
      <c r="AG1106" s="1" t="str">
        <f t="shared" si="85"/>
        <v/>
      </c>
    </row>
    <row r="1107" spans="1:33" x14ac:dyDescent="0.2">
      <c r="A1107" s="1" t="s">
        <v>2762</v>
      </c>
      <c r="B1107" s="1" t="s">
        <v>2818</v>
      </c>
      <c r="C1107" s="1">
        <v>3406</v>
      </c>
      <c r="D1107" s="1" t="s">
        <v>2833</v>
      </c>
      <c r="F1107" s="1">
        <v>2023</v>
      </c>
      <c r="G1107" s="1" t="s">
        <v>1195</v>
      </c>
      <c r="H1107" s="1">
        <v>609315</v>
      </c>
      <c r="I1107" s="1">
        <v>4</v>
      </c>
      <c r="K1107" s="1" t="s">
        <v>2820</v>
      </c>
      <c r="L1107" s="1" t="s">
        <v>2821</v>
      </c>
      <c r="M1107" s="1">
        <v>85</v>
      </c>
      <c r="N1107" s="1" t="s">
        <v>39</v>
      </c>
      <c r="O1107" s="1">
        <v>36.027799999999999</v>
      </c>
      <c r="P1107" s="1">
        <v>-87.986099999999993</v>
      </c>
      <c r="Q1107" s="1" t="s">
        <v>136</v>
      </c>
      <c r="T1107" s="1" t="s">
        <v>93</v>
      </c>
      <c r="U1107" s="1" t="s">
        <v>44</v>
      </c>
      <c r="V1107" s="1" t="s">
        <v>94</v>
      </c>
      <c r="AA1107" s="3">
        <v>27364</v>
      </c>
      <c r="AB1107" s="1" t="s">
        <v>46</v>
      </c>
      <c r="AC1107" s="5">
        <v>790</v>
      </c>
      <c r="AD1107" s="1" t="s">
        <v>2834</v>
      </c>
      <c r="AE1107" s="1" t="str">
        <f t="shared" si="86"/>
        <v>3406 JCT15</v>
      </c>
      <c r="AF1107" s="5" t="str">
        <f t="shared" si="87"/>
        <v>68</v>
      </c>
      <c r="AG1107" s="1" t="str">
        <f t="shared" si="85"/>
        <v/>
      </c>
    </row>
    <row r="1108" spans="1:33" x14ac:dyDescent="0.2">
      <c r="A1108" s="1" t="s">
        <v>2762</v>
      </c>
      <c r="B1108" s="1" t="s">
        <v>2818</v>
      </c>
      <c r="C1108" s="1">
        <v>3406</v>
      </c>
      <c r="D1108" s="1" t="s">
        <v>2835</v>
      </c>
      <c r="F1108" s="1">
        <v>2023</v>
      </c>
      <c r="G1108" s="1" t="s">
        <v>1195</v>
      </c>
      <c r="H1108" s="1">
        <v>609315</v>
      </c>
      <c r="I1108" s="1">
        <v>4</v>
      </c>
      <c r="K1108" s="1" t="s">
        <v>2820</v>
      </c>
      <c r="L1108" s="1" t="s">
        <v>2821</v>
      </c>
      <c r="M1108" s="1">
        <v>85</v>
      </c>
      <c r="N1108" s="1" t="s">
        <v>39</v>
      </c>
      <c r="O1108" s="1">
        <v>36.027799999999999</v>
      </c>
      <c r="P1108" s="1">
        <v>-87.986099999999993</v>
      </c>
      <c r="Q1108" s="1" t="s">
        <v>136</v>
      </c>
      <c r="T1108" s="1" t="s">
        <v>93</v>
      </c>
      <c r="U1108" s="1" t="s">
        <v>44</v>
      </c>
      <c r="V1108" s="1" t="s">
        <v>94</v>
      </c>
      <c r="AA1108" s="3">
        <v>27364</v>
      </c>
      <c r="AB1108" s="1" t="s">
        <v>46</v>
      </c>
      <c r="AC1108" s="5">
        <v>790</v>
      </c>
      <c r="AD1108" s="1" t="s">
        <v>2836</v>
      </c>
      <c r="AE1108" s="1" t="str">
        <f t="shared" si="86"/>
        <v>3406 JCT16</v>
      </c>
      <c r="AF1108" s="5" t="str">
        <f t="shared" si="87"/>
        <v>68</v>
      </c>
      <c r="AG1108" s="1" t="str">
        <f t="shared" si="85"/>
        <v/>
      </c>
    </row>
    <row r="1109" spans="1:33" x14ac:dyDescent="0.2">
      <c r="A1109" s="1" t="s">
        <v>2762</v>
      </c>
      <c r="B1109" s="1" t="s">
        <v>2818</v>
      </c>
      <c r="C1109" s="1">
        <v>3406</v>
      </c>
      <c r="D1109" s="1" t="s">
        <v>2837</v>
      </c>
      <c r="F1109" s="1">
        <v>2023</v>
      </c>
      <c r="G1109" s="1" t="s">
        <v>1207</v>
      </c>
      <c r="H1109" s="1">
        <v>609315</v>
      </c>
      <c r="I1109" s="1">
        <v>4</v>
      </c>
      <c r="K1109" s="1" t="s">
        <v>2820</v>
      </c>
      <c r="L1109" s="1" t="s">
        <v>2821</v>
      </c>
      <c r="M1109" s="1">
        <v>85</v>
      </c>
      <c r="N1109" s="1" t="s">
        <v>39</v>
      </c>
      <c r="O1109" s="1">
        <v>36.027799999999999</v>
      </c>
      <c r="P1109" s="1">
        <v>-87.986099999999993</v>
      </c>
      <c r="Q1109" s="1" t="s">
        <v>136</v>
      </c>
      <c r="R1109" s="1" t="s">
        <v>41</v>
      </c>
      <c r="T1109" s="1" t="s">
        <v>93</v>
      </c>
      <c r="U1109" s="1" t="s">
        <v>44</v>
      </c>
      <c r="V1109" s="1" t="s">
        <v>94</v>
      </c>
      <c r="X1109" s="1" t="s">
        <v>183</v>
      </c>
      <c r="AA1109" s="3">
        <v>36669</v>
      </c>
      <c r="AB1109" s="1" t="s">
        <v>46</v>
      </c>
      <c r="AC1109" s="5">
        <v>1209</v>
      </c>
      <c r="AD1109" s="1" t="s">
        <v>2838</v>
      </c>
      <c r="AE1109" s="1" t="str">
        <f t="shared" si="86"/>
        <v>3406 JCT17</v>
      </c>
      <c r="AF1109" s="5" t="str">
        <f t="shared" si="87"/>
        <v>84.5</v>
      </c>
      <c r="AG1109" s="1" t="str">
        <f t="shared" si="85"/>
        <v/>
      </c>
    </row>
    <row r="1110" spans="1:33" x14ac:dyDescent="0.2">
      <c r="A1110" s="1" t="s">
        <v>2762</v>
      </c>
      <c r="B1110" s="1" t="s">
        <v>2818</v>
      </c>
      <c r="C1110" s="1">
        <v>3406</v>
      </c>
      <c r="D1110" s="1" t="s">
        <v>2839</v>
      </c>
      <c r="F1110" s="1">
        <v>2023</v>
      </c>
      <c r="G1110" s="1" t="s">
        <v>1207</v>
      </c>
      <c r="H1110" s="1">
        <v>609315</v>
      </c>
      <c r="I1110" s="1">
        <v>4</v>
      </c>
      <c r="K1110" s="1" t="s">
        <v>2820</v>
      </c>
      <c r="L1110" s="1" t="s">
        <v>2821</v>
      </c>
      <c r="M1110" s="1">
        <v>85</v>
      </c>
      <c r="N1110" s="1" t="s">
        <v>39</v>
      </c>
      <c r="O1110" s="1">
        <v>36.027799999999999</v>
      </c>
      <c r="P1110" s="1">
        <v>-87.986099999999993</v>
      </c>
      <c r="Q1110" s="1" t="s">
        <v>136</v>
      </c>
      <c r="R1110" s="1" t="s">
        <v>41</v>
      </c>
      <c r="T1110" s="1" t="s">
        <v>93</v>
      </c>
      <c r="U1110" s="1" t="s">
        <v>44</v>
      </c>
      <c r="V1110" s="1" t="s">
        <v>94</v>
      </c>
      <c r="X1110" s="1" t="s">
        <v>183</v>
      </c>
      <c r="AA1110" s="3">
        <v>36658</v>
      </c>
      <c r="AB1110" s="1" t="s">
        <v>46</v>
      </c>
      <c r="AC1110" s="5">
        <v>1209</v>
      </c>
      <c r="AD1110" s="1" t="s">
        <v>2840</v>
      </c>
      <c r="AE1110" s="1" t="str">
        <f t="shared" si="86"/>
        <v>3406 JCT18</v>
      </c>
      <c r="AF1110" s="5" t="str">
        <f t="shared" si="87"/>
        <v>84.5</v>
      </c>
      <c r="AG1110" s="1" t="str">
        <f t="shared" si="85"/>
        <v/>
      </c>
    </row>
    <row r="1111" spans="1:33" x14ac:dyDescent="0.2">
      <c r="A1111" s="1" t="s">
        <v>2762</v>
      </c>
      <c r="B1111" s="1" t="s">
        <v>2818</v>
      </c>
      <c r="C1111" s="1">
        <v>3406</v>
      </c>
      <c r="D1111" s="1" t="s">
        <v>2841</v>
      </c>
      <c r="F1111" s="1">
        <v>2023</v>
      </c>
      <c r="G1111" s="1" t="s">
        <v>1207</v>
      </c>
      <c r="H1111" s="1">
        <v>609315</v>
      </c>
      <c r="I1111" s="1">
        <v>4</v>
      </c>
      <c r="K1111" s="1" t="s">
        <v>2820</v>
      </c>
      <c r="L1111" s="1" t="s">
        <v>2821</v>
      </c>
      <c r="M1111" s="1">
        <v>85</v>
      </c>
      <c r="N1111" s="1" t="s">
        <v>39</v>
      </c>
      <c r="O1111" s="1">
        <v>36.027799999999999</v>
      </c>
      <c r="P1111" s="1">
        <v>-87.986099999999993</v>
      </c>
      <c r="Q1111" s="1" t="s">
        <v>136</v>
      </c>
      <c r="R1111" s="1" t="s">
        <v>41</v>
      </c>
      <c r="T1111" s="1" t="s">
        <v>93</v>
      </c>
      <c r="U1111" s="1" t="s">
        <v>44</v>
      </c>
      <c r="V1111" s="1" t="s">
        <v>94</v>
      </c>
      <c r="X1111" s="1" t="s">
        <v>183</v>
      </c>
      <c r="AA1111" s="3">
        <v>36675</v>
      </c>
      <c r="AB1111" s="1" t="s">
        <v>46</v>
      </c>
      <c r="AC1111" s="5">
        <v>1209</v>
      </c>
      <c r="AD1111" s="1" t="s">
        <v>2842</v>
      </c>
      <c r="AE1111" s="1" t="str">
        <f t="shared" si="86"/>
        <v>3406 JCT19</v>
      </c>
      <c r="AF1111" s="5" t="str">
        <f t="shared" si="87"/>
        <v>84.5</v>
      </c>
      <c r="AG1111" s="1" t="str">
        <f t="shared" si="85"/>
        <v/>
      </c>
    </row>
    <row r="1112" spans="1:33" x14ac:dyDescent="0.2">
      <c r="A1112" s="1" t="s">
        <v>2762</v>
      </c>
      <c r="B1112" s="1" t="s">
        <v>2818</v>
      </c>
      <c r="C1112" s="1">
        <v>3406</v>
      </c>
      <c r="D1112" s="1" t="s">
        <v>2843</v>
      </c>
      <c r="F1112" s="1">
        <v>2023</v>
      </c>
      <c r="G1112" s="1" t="s">
        <v>1195</v>
      </c>
      <c r="H1112" s="1">
        <v>609315</v>
      </c>
      <c r="I1112" s="1">
        <v>4</v>
      </c>
      <c r="K1112" s="1" t="s">
        <v>2820</v>
      </c>
      <c r="L1112" s="1" t="s">
        <v>2821</v>
      </c>
      <c r="M1112" s="1">
        <v>85</v>
      </c>
      <c r="N1112" s="1" t="s">
        <v>39</v>
      </c>
      <c r="O1112" s="1">
        <v>36.027799999999999</v>
      </c>
      <c r="P1112" s="1">
        <v>-87.986099999999993</v>
      </c>
      <c r="Q1112" s="1" t="s">
        <v>136</v>
      </c>
      <c r="T1112" s="1" t="s">
        <v>93</v>
      </c>
      <c r="U1112" s="1" t="s">
        <v>44</v>
      </c>
      <c r="V1112" s="1" t="s">
        <v>94</v>
      </c>
      <c r="AA1112" s="3">
        <v>27303</v>
      </c>
      <c r="AB1112" s="1" t="s">
        <v>46</v>
      </c>
      <c r="AC1112" s="5">
        <v>790</v>
      </c>
      <c r="AD1112" s="1" t="s">
        <v>2844</v>
      </c>
      <c r="AE1112" s="1" t="str">
        <f t="shared" si="86"/>
        <v>3406 JCT2</v>
      </c>
      <c r="AF1112" s="5" t="str">
        <f t="shared" si="87"/>
        <v>68</v>
      </c>
      <c r="AG1112" s="1" t="str">
        <f t="shared" si="85"/>
        <v/>
      </c>
    </row>
    <row r="1113" spans="1:33" x14ac:dyDescent="0.2">
      <c r="A1113" s="1" t="s">
        <v>2762</v>
      </c>
      <c r="B1113" s="1" t="s">
        <v>2818</v>
      </c>
      <c r="C1113" s="1">
        <v>3406</v>
      </c>
      <c r="D1113" s="1" t="s">
        <v>2845</v>
      </c>
      <c r="F1113" s="1">
        <v>2023</v>
      </c>
      <c r="G1113" s="1" t="s">
        <v>1207</v>
      </c>
      <c r="H1113" s="1">
        <v>609315</v>
      </c>
      <c r="I1113" s="1">
        <v>4</v>
      </c>
      <c r="K1113" s="1" t="s">
        <v>2820</v>
      </c>
      <c r="L1113" s="1" t="s">
        <v>2821</v>
      </c>
      <c r="M1113" s="1">
        <v>85</v>
      </c>
      <c r="N1113" s="1" t="s">
        <v>39</v>
      </c>
      <c r="O1113" s="1">
        <v>36.027799999999999</v>
      </c>
      <c r="P1113" s="1">
        <v>-87.986099999999993</v>
      </c>
      <c r="Q1113" s="1" t="s">
        <v>136</v>
      </c>
      <c r="R1113" s="1" t="s">
        <v>41</v>
      </c>
      <c r="T1113" s="1" t="s">
        <v>93</v>
      </c>
      <c r="U1113" s="1" t="s">
        <v>44</v>
      </c>
      <c r="V1113" s="1" t="s">
        <v>94</v>
      </c>
      <c r="X1113" s="1" t="s">
        <v>223</v>
      </c>
      <c r="AA1113" s="3">
        <v>36676</v>
      </c>
      <c r="AB1113" s="1" t="s">
        <v>46</v>
      </c>
      <c r="AC1113" s="5">
        <v>1611</v>
      </c>
      <c r="AD1113" s="1" t="s">
        <v>2846</v>
      </c>
      <c r="AE1113" s="1" t="str">
        <f t="shared" si="86"/>
        <v>3406 JCT20</v>
      </c>
      <c r="AF1113" s="5" t="str">
        <f t="shared" si="87"/>
        <v>84.5</v>
      </c>
      <c r="AG1113" s="1" t="str">
        <f t="shared" si="85"/>
        <v>Y</v>
      </c>
    </row>
    <row r="1114" spans="1:33" x14ac:dyDescent="0.2">
      <c r="A1114" s="1" t="s">
        <v>2762</v>
      </c>
      <c r="B1114" s="1" t="s">
        <v>2818</v>
      </c>
      <c r="C1114" s="1">
        <v>3406</v>
      </c>
      <c r="D1114" s="1" t="s">
        <v>2847</v>
      </c>
      <c r="F1114" s="1">
        <v>2023</v>
      </c>
      <c r="G1114" s="1" t="s">
        <v>1195</v>
      </c>
      <c r="H1114" s="1">
        <v>609315</v>
      </c>
      <c r="I1114" s="1">
        <v>4</v>
      </c>
      <c r="K1114" s="1" t="s">
        <v>2820</v>
      </c>
      <c r="L1114" s="1" t="s">
        <v>2821</v>
      </c>
      <c r="M1114" s="1">
        <v>85</v>
      </c>
      <c r="N1114" s="1" t="s">
        <v>39</v>
      </c>
      <c r="O1114" s="1">
        <v>36.027799999999999</v>
      </c>
      <c r="P1114" s="1">
        <v>-87.986099999999993</v>
      </c>
      <c r="Q1114" s="1" t="s">
        <v>136</v>
      </c>
      <c r="T1114" s="1" t="s">
        <v>93</v>
      </c>
      <c r="U1114" s="1" t="s">
        <v>44</v>
      </c>
      <c r="V1114" s="1" t="s">
        <v>94</v>
      </c>
      <c r="AA1114" s="3">
        <v>27303</v>
      </c>
      <c r="AB1114" s="1" t="s">
        <v>46</v>
      </c>
      <c r="AC1114" s="5">
        <v>790</v>
      </c>
      <c r="AD1114" s="1" t="s">
        <v>2848</v>
      </c>
      <c r="AE1114" s="1" t="str">
        <f t="shared" si="86"/>
        <v>3406 JCT3</v>
      </c>
      <c r="AF1114" s="5" t="str">
        <f t="shared" si="87"/>
        <v>68</v>
      </c>
      <c r="AG1114" s="1" t="str">
        <f t="shared" si="85"/>
        <v/>
      </c>
    </row>
    <row r="1115" spans="1:33" x14ac:dyDescent="0.2">
      <c r="A1115" s="1" t="s">
        <v>2762</v>
      </c>
      <c r="B1115" s="1" t="s">
        <v>2818</v>
      </c>
      <c r="C1115" s="1">
        <v>3406</v>
      </c>
      <c r="D1115" s="1" t="s">
        <v>2849</v>
      </c>
      <c r="F1115" s="1">
        <v>2023</v>
      </c>
      <c r="G1115" s="1" t="s">
        <v>1195</v>
      </c>
      <c r="H1115" s="1">
        <v>609315</v>
      </c>
      <c r="I1115" s="1">
        <v>4</v>
      </c>
      <c r="K1115" s="1" t="s">
        <v>2820</v>
      </c>
      <c r="L1115" s="1" t="s">
        <v>2821</v>
      </c>
      <c r="M1115" s="1">
        <v>85</v>
      </c>
      <c r="N1115" s="1" t="s">
        <v>39</v>
      </c>
      <c r="O1115" s="1">
        <v>36.027799999999999</v>
      </c>
      <c r="P1115" s="1">
        <v>-87.986099999999993</v>
      </c>
      <c r="Q1115" s="1" t="s">
        <v>136</v>
      </c>
      <c r="T1115" s="1" t="s">
        <v>93</v>
      </c>
      <c r="U1115" s="1" t="s">
        <v>44</v>
      </c>
      <c r="V1115" s="1" t="s">
        <v>94</v>
      </c>
      <c r="AA1115" s="3">
        <v>27242</v>
      </c>
      <c r="AB1115" s="1" t="s">
        <v>46</v>
      </c>
      <c r="AC1115" s="5">
        <v>790</v>
      </c>
      <c r="AD1115" s="1" t="s">
        <v>2850</v>
      </c>
      <c r="AE1115" s="1" t="str">
        <f t="shared" si="86"/>
        <v>3406 JCT4</v>
      </c>
      <c r="AF1115" s="5" t="str">
        <f t="shared" si="87"/>
        <v>68</v>
      </c>
      <c r="AG1115" s="1" t="str">
        <f t="shared" si="85"/>
        <v/>
      </c>
    </row>
    <row r="1116" spans="1:33" x14ac:dyDescent="0.2">
      <c r="A1116" s="1" t="s">
        <v>2762</v>
      </c>
      <c r="B1116" s="1" t="s">
        <v>2818</v>
      </c>
      <c r="C1116" s="1">
        <v>3406</v>
      </c>
      <c r="D1116" s="1" t="s">
        <v>2851</v>
      </c>
      <c r="F1116" s="1">
        <v>2023</v>
      </c>
      <c r="G1116" s="1" t="s">
        <v>1195</v>
      </c>
      <c r="H1116" s="1">
        <v>609315</v>
      </c>
      <c r="I1116" s="1">
        <v>4</v>
      </c>
      <c r="K1116" s="1" t="s">
        <v>2820</v>
      </c>
      <c r="L1116" s="1" t="s">
        <v>2821</v>
      </c>
      <c r="M1116" s="1">
        <v>85</v>
      </c>
      <c r="N1116" s="1" t="s">
        <v>39</v>
      </c>
      <c r="O1116" s="1">
        <v>36.027799999999999</v>
      </c>
      <c r="P1116" s="1">
        <v>-87.986099999999993</v>
      </c>
      <c r="Q1116" s="1" t="s">
        <v>136</v>
      </c>
      <c r="T1116" s="1" t="s">
        <v>93</v>
      </c>
      <c r="U1116" s="1" t="s">
        <v>44</v>
      </c>
      <c r="V1116" s="1" t="s">
        <v>94</v>
      </c>
      <c r="AA1116" s="3">
        <v>27303</v>
      </c>
      <c r="AB1116" s="1" t="s">
        <v>46</v>
      </c>
      <c r="AC1116" s="5">
        <v>790</v>
      </c>
      <c r="AD1116" s="1" t="s">
        <v>2852</v>
      </c>
      <c r="AE1116" s="1" t="str">
        <f t="shared" si="86"/>
        <v>3406 JCT5</v>
      </c>
      <c r="AF1116" s="5" t="str">
        <f t="shared" si="87"/>
        <v>68</v>
      </c>
      <c r="AG1116" s="1" t="str">
        <f t="shared" si="85"/>
        <v/>
      </c>
    </row>
    <row r="1117" spans="1:33" x14ac:dyDescent="0.2">
      <c r="A1117" s="1" t="s">
        <v>2762</v>
      </c>
      <c r="B1117" s="1" t="s">
        <v>2818</v>
      </c>
      <c r="C1117" s="1">
        <v>3406</v>
      </c>
      <c r="D1117" s="1" t="s">
        <v>2853</v>
      </c>
      <c r="F1117" s="1">
        <v>2023</v>
      </c>
      <c r="G1117" s="1" t="s">
        <v>1195</v>
      </c>
      <c r="H1117" s="1">
        <v>609315</v>
      </c>
      <c r="I1117" s="1">
        <v>4</v>
      </c>
      <c r="K1117" s="1" t="s">
        <v>2820</v>
      </c>
      <c r="L1117" s="1" t="s">
        <v>2821</v>
      </c>
      <c r="M1117" s="1">
        <v>85</v>
      </c>
      <c r="N1117" s="1" t="s">
        <v>39</v>
      </c>
      <c r="O1117" s="1">
        <v>36.027799999999999</v>
      </c>
      <c r="P1117" s="1">
        <v>-87.986099999999993</v>
      </c>
      <c r="Q1117" s="1" t="s">
        <v>136</v>
      </c>
      <c r="T1117" s="1" t="s">
        <v>93</v>
      </c>
      <c r="U1117" s="1" t="s">
        <v>44</v>
      </c>
      <c r="V1117" s="1" t="s">
        <v>94</v>
      </c>
      <c r="AA1117" s="3">
        <v>27273</v>
      </c>
      <c r="AB1117" s="1" t="s">
        <v>46</v>
      </c>
      <c r="AC1117" s="5">
        <v>790</v>
      </c>
      <c r="AD1117" s="1" t="s">
        <v>2854</v>
      </c>
      <c r="AE1117" s="1" t="str">
        <f t="shared" si="86"/>
        <v>3406 JCT6</v>
      </c>
      <c r="AF1117" s="5" t="str">
        <f t="shared" si="87"/>
        <v>68</v>
      </c>
      <c r="AG1117" s="1" t="str">
        <f t="shared" si="85"/>
        <v/>
      </c>
    </row>
    <row r="1118" spans="1:33" x14ac:dyDescent="0.2">
      <c r="A1118" s="1" t="s">
        <v>2762</v>
      </c>
      <c r="B1118" s="1" t="s">
        <v>2818</v>
      </c>
      <c r="C1118" s="1">
        <v>3406</v>
      </c>
      <c r="D1118" s="1" t="s">
        <v>2855</v>
      </c>
      <c r="F1118" s="1">
        <v>2023</v>
      </c>
      <c r="G1118" s="1" t="s">
        <v>1195</v>
      </c>
      <c r="H1118" s="1">
        <v>609315</v>
      </c>
      <c r="I1118" s="1">
        <v>4</v>
      </c>
      <c r="K1118" s="1" t="s">
        <v>2820</v>
      </c>
      <c r="L1118" s="1" t="s">
        <v>2821</v>
      </c>
      <c r="M1118" s="1">
        <v>85</v>
      </c>
      <c r="N1118" s="1" t="s">
        <v>39</v>
      </c>
      <c r="O1118" s="1">
        <v>36.027799999999999</v>
      </c>
      <c r="P1118" s="1">
        <v>-87.986099999999993</v>
      </c>
      <c r="Q1118" s="1" t="s">
        <v>136</v>
      </c>
      <c r="T1118" s="1" t="s">
        <v>93</v>
      </c>
      <c r="U1118" s="1" t="s">
        <v>44</v>
      </c>
      <c r="V1118" s="1" t="s">
        <v>94</v>
      </c>
      <c r="AA1118" s="3">
        <v>27273</v>
      </c>
      <c r="AB1118" s="1" t="s">
        <v>46</v>
      </c>
      <c r="AC1118" s="5">
        <v>790</v>
      </c>
      <c r="AD1118" s="1" t="s">
        <v>2856</v>
      </c>
      <c r="AE1118" s="1" t="str">
        <f t="shared" si="86"/>
        <v>3406 JCT7</v>
      </c>
      <c r="AF1118" s="5" t="str">
        <f t="shared" si="87"/>
        <v>68</v>
      </c>
      <c r="AG1118" s="1" t="str">
        <f t="shared" si="85"/>
        <v/>
      </c>
    </row>
    <row r="1119" spans="1:33" x14ac:dyDescent="0.2">
      <c r="A1119" s="1" t="s">
        <v>2762</v>
      </c>
      <c r="B1119" s="1" t="s">
        <v>2818</v>
      </c>
      <c r="C1119" s="1">
        <v>3406</v>
      </c>
      <c r="D1119" s="1" t="s">
        <v>2857</v>
      </c>
      <c r="F1119" s="1">
        <v>2023</v>
      </c>
      <c r="G1119" s="1" t="s">
        <v>1195</v>
      </c>
      <c r="H1119" s="1">
        <v>609315</v>
      </c>
      <c r="I1119" s="1">
        <v>4</v>
      </c>
      <c r="K1119" s="1" t="s">
        <v>2820</v>
      </c>
      <c r="L1119" s="1" t="s">
        <v>2821</v>
      </c>
      <c r="M1119" s="1">
        <v>85</v>
      </c>
      <c r="N1119" s="1" t="s">
        <v>39</v>
      </c>
      <c r="O1119" s="1">
        <v>36.027799999999999</v>
      </c>
      <c r="P1119" s="1">
        <v>-87.986099999999993</v>
      </c>
      <c r="Q1119" s="1" t="s">
        <v>136</v>
      </c>
      <c r="T1119" s="1" t="s">
        <v>93</v>
      </c>
      <c r="U1119" s="1" t="s">
        <v>44</v>
      </c>
      <c r="V1119" s="1" t="s">
        <v>94</v>
      </c>
      <c r="AA1119" s="3">
        <v>27242</v>
      </c>
      <c r="AB1119" s="1" t="s">
        <v>46</v>
      </c>
      <c r="AC1119" s="5">
        <v>790</v>
      </c>
      <c r="AD1119" s="1" t="s">
        <v>2858</v>
      </c>
      <c r="AE1119" s="1" t="str">
        <f t="shared" si="86"/>
        <v>3406 JCT8</v>
      </c>
      <c r="AF1119" s="5" t="str">
        <f t="shared" si="87"/>
        <v>68</v>
      </c>
      <c r="AG1119" s="1" t="str">
        <f t="shared" si="85"/>
        <v/>
      </c>
    </row>
    <row r="1120" spans="1:33" x14ac:dyDescent="0.2">
      <c r="A1120" s="1" t="s">
        <v>2762</v>
      </c>
      <c r="B1120" s="1" t="s">
        <v>2818</v>
      </c>
      <c r="C1120" s="1">
        <v>3406</v>
      </c>
      <c r="D1120" s="1" t="s">
        <v>2859</v>
      </c>
      <c r="F1120" s="1">
        <v>2023</v>
      </c>
      <c r="G1120" s="1" t="s">
        <v>1195</v>
      </c>
      <c r="H1120" s="1">
        <v>609315</v>
      </c>
      <c r="I1120" s="1">
        <v>4</v>
      </c>
      <c r="K1120" s="1" t="s">
        <v>2820</v>
      </c>
      <c r="L1120" s="1" t="s">
        <v>2821</v>
      </c>
      <c r="M1120" s="1">
        <v>85</v>
      </c>
      <c r="N1120" s="1" t="s">
        <v>39</v>
      </c>
      <c r="O1120" s="1">
        <v>36.027799999999999</v>
      </c>
      <c r="P1120" s="1">
        <v>-87.986099999999993</v>
      </c>
      <c r="Q1120" s="1" t="s">
        <v>136</v>
      </c>
      <c r="T1120" s="1" t="s">
        <v>93</v>
      </c>
      <c r="U1120" s="1" t="s">
        <v>44</v>
      </c>
      <c r="V1120" s="1" t="s">
        <v>94</v>
      </c>
      <c r="AA1120" s="3">
        <v>27273</v>
      </c>
      <c r="AB1120" s="1" t="s">
        <v>46</v>
      </c>
      <c r="AC1120" s="5">
        <v>790</v>
      </c>
      <c r="AD1120" s="1" t="s">
        <v>2860</v>
      </c>
      <c r="AE1120" s="1" t="str">
        <f t="shared" si="86"/>
        <v>3406 JCT9</v>
      </c>
      <c r="AF1120" s="5" t="str">
        <f t="shared" si="87"/>
        <v>68</v>
      </c>
      <c r="AG1120" s="1" t="str">
        <f t="shared" si="85"/>
        <v/>
      </c>
    </row>
    <row r="1121" spans="1:33" x14ac:dyDescent="0.2">
      <c r="A1121" s="1" t="s">
        <v>2762</v>
      </c>
      <c r="B1121" s="1" t="s">
        <v>2861</v>
      </c>
      <c r="C1121" s="1">
        <v>3407</v>
      </c>
      <c r="D1121" s="1">
        <v>1</v>
      </c>
      <c r="E1121" s="1" t="s">
        <v>2862</v>
      </c>
      <c r="F1121" s="1">
        <v>2023</v>
      </c>
      <c r="G1121" s="1" t="s">
        <v>1188</v>
      </c>
      <c r="H1121" s="1">
        <v>609315</v>
      </c>
      <c r="I1121" s="1">
        <v>4</v>
      </c>
      <c r="J1121" s="1" t="s">
        <v>36</v>
      </c>
      <c r="K1121" s="1" t="s">
        <v>2863</v>
      </c>
      <c r="L1121" s="1" t="s">
        <v>2864</v>
      </c>
      <c r="M1121" s="1">
        <v>145</v>
      </c>
      <c r="N1121" s="1" t="s">
        <v>39</v>
      </c>
      <c r="O1121" s="1">
        <v>35.8992</v>
      </c>
      <c r="P1121" s="1">
        <v>-84.519400000000005</v>
      </c>
      <c r="Q1121" s="1" t="s">
        <v>136</v>
      </c>
      <c r="R1121" s="1" t="s">
        <v>41</v>
      </c>
      <c r="S1121" s="1" t="s">
        <v>42</v>
      </c>
      <c r="T1121" s="1" t="s">
        <v>43</v>
      </c>
      <c r="U1121" s="1" t="s">
        <v>55</v>
      </c>
      <c r="W1121" s="1" t="s">
        <v>241</v>
      </c>
      <c r="X1121" s="1" t="s">
        <v>223</v>
      </c>
      <c r="Y1121" s="1" t="s">
        <v>58</v>
      </c>
      <c r="AA1121" s="3">
        <v>19754</v>
      </c>
      <c r="AB1121" s="1" t="s">
        <v>46</v>
      </c>
      <c r="AC1121" s="5">
        <v>2139</v>
      </c>
      <c r="AD1121" s="1" t="s">
        <v>1406</v>
      </c>
      <c r="AE1121" s="1" t="str">
        <f t="shared" si="86"/>
        <v>3407 1</v>
      </c>
      <c r="AF1121" s="5" t="str">
        <f t="shared" si="87"/>
        <v>175</v>
      </c>
      <c r="AG1121" s="1" t="str">
        <f t="shared" si="85"/>
        <v>Y</v>
      </c>
    </row>
    <row r="1122" spans="1:33" x14ac:dyDescent="0.2">
      <c r="A1122" s="1" t="s">
        <v>2762</v>
      </c>
      <c r="B1122" s="1" t="s">
        <v>2861</v>
      </c>
      <c r="C1122" s="1">
        <v>3407</v>
      </c>
      <c r="D1122" s="1">
        <v>2</v>
      </c>
      <c r="E1122" s="1" t="s">
        <v>2862</v>
      </c>
      <c r="F1122" s="1">
        <v>2023</v>
      </c>
      <c r="G1122" s="1" t="s">
        <v>1188</v>
      </c>
      <c r="H1122" s="1">
        <v>609315</v>
      </c>
      <c r="I1122" s="1">
        <v>4</v>
      </c>
      <c r="J1122" s="1" t="s">
        <v>36</v>
      </c>
      <c r="K1122" s="1" t="s">
        <v>2863</v>
      </c>
      <c r="L1122" s="1" t="s">
        <v>2864</v>
      </c>
      <c r="M1122" s="1">
        <v>145</v>
      </c>
      <c r="N1122" s="1" t="s">
        <v>39</v>
      </c>
      <c r="O1122" s="1">
        <v>35.8992</v>
      </c>
      <c r="P1122" s="1">
        <v>-84.519400000000005</v>
      </c>
      <c r="Q1122" s="1" t="s">
        <v>136</v>
      </c>
      <c r="R1122" s="1" t="s">
        <v>41</v>
      </c>
      <c r="S1122" s="1" t="s">
        <v>42</v>
      </c>
      <c r="T1122" s="1" t="s">
        <v>43</v>
      </c>
      <c r="U1122" s="1" t="s">
        <v>55</v>
      </c>
      <c r="W1122" s="1" t="s">
        <v>241</v>
      </c>
      <c r="X1122" s="1" t="s">
        <v>223</v>
      </c>
      <c r="Y1122" s="1" t="s">
        <v>58</v>
      </c>
      <c r="AA1122" s="3">
        <v>19839</v>
      </c>
      <c r="AB1122" s="1" t="s">
        <v>46</v>
      </c>
      <c r="AC1122" s="5">
        <v>2185</v>
      </c>
      <c r="AD1122" s="1" t="s">
        <v>1407</v>
      </c>
      <c r="AE1122" s="1" t="str">
        <f t="shared" si="86"/>
        <v>3407 2</v>
      </c>
      <c r="AF1122" s="5" t="str">
        <f t="shared" si="87"/>
        <v>175</v>
      </c>
      <c r="AG1122" s="1" t="str">
        <f t="shared" si="85"/>
        <v>Y</v>
      </c>
    </row>
    <row r="1123" spans="1:33" x14ac:dyDescent="0.2">
      <c r="A1123" s="1" t="s">
        <v>2762</v>
      </c>
      <c r="B1123" s="1" t="s">
        <v>2861</v>
      </c>
      <c r="C1123" s="1">
        <v>3407</v>
      </c>
      <c r="D1123" s="1">
        <v>3</v>
      </c>
      <c r="E1123" s="1" t="s">
        <v>2862</v>
      </c>
      <c r="F1123" s="1">
        <v>2023</v>
      </c>
      <c r="G1123" s="1" t="s">
        <v>1188</v>
      </c>
      <c r="H1123" s="1">
        <v>609315</v>
      </c>
      <c r="I1123" s="1">
        <v>4</v>
      </c>
      <c r="J1123" s="1" t="s">
        <v>36</v>
      </c>
      <c r="K1123" s="1" t="s">
        <v>2863</v>
      </c>
      <c r="L1123" s="1" t="s">
        <v>2864</v>
      </c>
      <c r="M1123" s="1">
        <v>145</v>
      </c>
      <c r="N1123" s="1" t="s">
        <v>39</v>
      </c>
      <c r="O1123" s="1">
        <v>35.8992</v>
      </c>
      <c r="P1123" s="1">
        <v>-84.519400000000005</v>
      </c>
      <c r="Q1123" s="1" t="s">
        <v>136</v>
      </c>
      <c r="R1123" s="1" t="s">
        <v>41</v>
      </c>
      <c r="S1123" s="1" t="s">
        <v>42</v>
      </c>
      <c r="T1123" s="1" t="s">
        <v>43</v>
      </c>
      <c r="U1123" s="1" t="s">
        <v>55</v>
      </c>
      <c r="W1123" s="1" t="s">
        <v>241</v>
      </c>
      <c r="X1123" s="1" t="s">
        <v>223</v>
      </c>
      <c r="Y1123" s="1" t="s">
        <v>58</v>
      </c>
      <c r="AA1123" s="3">
        <v>19880</v>
      </c>
      <c r="AB1123" s="1" t="s">
        <v>46</v>
      </c>
      <c r="AC1123" s="5">
        <v>2180</v>
      </c>
      <c r="AD1123" s="1" t="s">
        <v>1408</v>
      </c>
      <c r="AE1123" s="1" t="str">
        <f t="shared" si="86"/>
        <v>3407 3</v>
      </c>
      <c r="AF1123" s="5" t="str">
        <f t="shared" si="87"/>
        <v>175</v>
      </c>
      <c r="AG1123" s="1" t="str">
        <f t="shared" si="85"/>
        <v>Y</v>
      </c>
    </row>
    <row r="1124" spans="1:33" x14ac:dyDescent="0.2">
      <c r="A1124" s="1" t="s">
        <v>2762</v>
      </c>
      <c r="B1124" s="1" t="s">
        <v>2861</v>
      </c>
      <c r="C1124" s="1">
        <v>3407</v>
      </c>
      <c r="D1124" s="1">
        <v>4</v>
      </c>
      <c r="E1124" s="1" t="s">
        <v>2862</v>
      </c>
      <c r="F1124" s="1">
        <v>2023</v>
      </c>
      <c r="G1124" s="1" t="s">
        <v>1188</v>
      </c>
      <c r="H1124" s="1">
        <v>609315</v>
      </c>
      <c r="I1124" s="1">
        <v>4</v>
      </c>
      <c r="J1124" s="1" t="s">
        <v>36</v>
      </c>
      <c r="K1124" s="1" t="s">
        <v>2863</v>
      </c>
      <c r="L1124" s="1" t="s">
        <v>2864</v>
      </c>
      <c r="M1124" s="1">
        <v>145</v>
      </c>
      <c r="N1124" s="1" t="s">
        <v>39</v>
      </c>
      <c r="O1124" s="1">
        <v>35.8992</v>
      </c>
      <c r="P1124" s="1">
        <v>-84.519400000000005</v>
      </c>
      <c r="Q1124" s="1" t="s">
        <v>136</v>
      </c>
      <c r="R1124" s="1" t="s">
        <v>41</v>
      </c>
      <c r="S1124" s="1" t="s">
        <v>42</v>
      </c>
      <c r="T1124" s="1" t="s">
        <v>43</v>
      </c>
      <c r="U1124" s="1" t="s">
        <v>55</v>
      </c>
      <c r="W1124" s="1" t="s">
        <v>241</v>
      </c>
      <c r="X1124" s="1" t="s">
        <v>223</v>
      </c>
      <c r="Y1124" s="1" t="s">
        <v>58</v>
      </c>
      <c r="AA1124" s="3">
        <v>19928</v>
      </c>
      <c r="AB1124" s="1" t="s">
        <v>46</v>
      </c>
      <c r="AC1124" s="5">
        <v>2176</v>
      </c>
      <c r="AD1124" s="1" t="s">
        <v>1409</v>
      </c>
      <c r="AE1124" s="1" t="str">
        <f t="shared" si="86"/>
        <v>3407 4</v>
      </c>
      <c r="AF1124" s="5" t="str">
        <f t="shared" si="87"/>
        <v>175</v>
      </c>
      <c r="AG1124" s="1" t="str">
        <f t="shared" si="85"/>
        <v>Y</v>
      </c>
    </row>
    <row r="1125" spans="1:33" x14ac:dyDescent="0.2">
      <c r="A1125" s="1" t="s">
        <v>2762</v>
      </c>
      <c r="B1125" s="1" t="s">
        <v>2861</v>
      </c>
      <c r="C1125" s="1">
        <v>3407</v>
      </c>
      <c r="D1125" s="1">
        <v>5</v>
      </c>
      <c r="E1125" s="1" t="s">
        <v>2862</v>
      </c>
      <c r="F1125" s="1">
        <v>2023</v>
      </c>
      <c r="G1125" s="1" t="s">
        <v>1188</v>
      </c>
      <c r="H1125" s="1">
        <v>609315</v>
      </c>
      <c r="I1125" s="1">
        <v>4</v>
      </c>
      <c r="J1125" s="1" t="s">
        <v>36</v>
      </c>
      <c r="K1125" s="1" t="s">
        <v>2863</v>
      </c>
      <c r="L1125" s="1" t="s">
        <v>2864</v>
      </c>
      <c r="M1125" s="1">
        <v>145</v>
      </c>
      <c r="N1125" s="1" t="s">
        <v>39</v>
      </c>
      <c r="O1125" s="1">
        <v>35.8992</v>
      </c>
      <c r="P1125" s="1">
        <v>-84.519400000000005</v>
      </c>
      <c r="Q1125" s="1" t="s">
        <v>136</v>
      </c>
      <c r="R1125" s="1" t="s">
        <v>41</v>
      </c>
      <c r="S1125" s="1" t="s">
        <v>42</v>
      </c>
      <c r="T1125" s="1" t="s">
        <v>43</v>
      </c>
      <c r="U1125" s="1" t="s">
        <v>55</v>
      </c>
      <c r="W1125" s="1" t="s">
        <v>241</v>
      </c>
      <c r="X1125" s="1" t="s">
        <v>57</v>
      </c>
      <c r="Y1125" s="1" t="s">
        <v>58</v>
      </c>
      <c r="AA1125" s="3">
        <v>20054</v>
      </c>
      <c r="AB1125" s="1" t="s">
        <v>46</v>
      </c>
      <c r="AC1125" s="5">
        <v>2932</v>
      </c>
      <c r="AD1125" s="1" t="s">
        <v>2865</v>
      </c>
      <c r="AE1125" s="1" t="str">
        <f t="shared" si="86"/>
        <v>3407 5</v>
      </c>
      <c r="AF1125" s="5" t="str">
        <f t="shared" si="87"/>
        <v>200</v>
      </c>
      <c r="AG1125" s="1" t="str">
        <f t="shared" si="85"/>
        <v>Y</v>
      </c>
    </row>
    <row r="1126" spans="1:33" x14ac:dyDescent="0.2">
      <c r="A1126" s="1" t="s">
        <v>2762</v>
      </c>
      <c r="B1126" s="1" t="s">
        <v>2861</v>
      </c>
      <c r="C1126" s="1">
        <v>3407</v>
      </c>
      <c r="D1126" s="1">
        <v>6</v>
      </c>
      <c r="E1126" s="1" t="s">
        <v>2862</v>
      </c>
      <c r="F1126" s="1">
        <v>2023</v>
      </c>
      <c r="G1126" s="1" t="s">
        <v>1188</v>
      </c>
      <c r="H1126" s="1">
        <v>609315</v>
      </c>
      <c r="I1126" s="1">
        <v>4</v>
      </c>
      <c r="J1126" s="1" t="s">
        <v>36</v>
      </c>
      <c r="K1126" s="1" t="s">
        <v>2863</v>
      </c>
      <c r="L1126" s="1" t="s">
        <v>2864</v>
      </c>
      <c r="M1126" s="1">
        <v>145</v>
      </c>
      <c r="N1126" s="1" t="s">
        <v>39</v>
      </c>
      <c r="O1126" s="1">
        <v>35.8992</v>
      </c>
      <c r="P1126" s="1">
        <v>-84.519400000000005</v>
      </c>
      <c r="Q1126" s="1" t="s">
        <v>136</v>
      </c>
      <c r="R1126" s="1" t="s">
        <v>41</v>
      </c>
      <c r="S1126" s="1" t="s">
        <v>42</v>
      </c>
      <c r="T1126" s="1" t="s">
        <v>43</v>
      </c>
      <c r="U1126" s="1" t="s">
        <v>55</v>
      </c>
      <c r="W1126" s="1" t="s">
        <v>241</v>
      </c>
      <c r="X1126" s="1" t="s">
        <v>57</v>
      </c>
      <c r="Y1126" s="1" t="s">
        <v>58</v>
      </c>
      <c r="AA1126" s="3">
        <v>20123</v>
      </c>
      <c r="AB1126" s="1" t="s">
        <v>46</v>
      </c>
      <c r="AC1126" s="5">
        <v>2932</v>
      </c>
      <c r="AD1126" s="1" t="s">
        <v>2866</v>
      </c>
      <c r="AE1126" s="1" t="str">
        <f t="shared" si="86"/>
        <v>3407 6</v>
      </c>
      <c r="AF1126" s="5" t="str">
        <f t="shared" si="87"/>
        <v>200</v>
      </c>
      <c r="AG1126" s="1" t="str">
        <f t="shared" si="85"/>
        <v>Y</v>
      </c>
    </row>
    <row r="1127" spans="1:33" x14ac:dyDescent="0.2">
      <c r="A1127" s="1" t="s">
        <v>2762</v>
      </c>
      <c r="B1127" s="1" t="s">
        <v>2861</v>
      </c>
      <c r="C1127" s="1">
        <v>3407</v>
      </c>
      <c r="D1127" s="1">
        <v>7</v>
      </c>
      <c r="E1127" s="1" t="s">
        <v>2862</v>
      </c>
      <c r="F1127" s="1">
        <v>2023</v>
      </c>
      <c r="G1127" s="1" t="s">
        <v>1188</v>
      </c>
      <c r="H1127" s="1">
        <v>609315</v>
      </c>
      <c r="I1127" s="1">
        <v>4</v>
      </c>
      <c r="J1127" s="1" t="s">
        <v>36</v>
      </c>
      <c r="K1127" s="1" t="s">
        <v>2863</v>
      </c>
      <c r="L1127" s="1" t="s">
        <v>2864</v>
      </c>
      <c r="M1127" s="1">
        <v>145</v>
      </c>
      <c r="N1127" s="1" t="s">
        <v>39</v>
      </c>
      <c r="O1127" s="1">
        <v>35.8992</v>
      </c>
      <c r="P1127" s="1">
        <v>-84.519400000000005</v>
      </c>
      <c r="Q1127" s="1" t="s">
        <v>136</v>
      </c>
      <c r="R1127" s="1" t="s">
        <v>41</v>
      </c>
      <c r="S1127" s="1" t="s">
        <v>42</v>
      </c>
      <c r="T1127" s="1" t="s">
        <v>43</v>
      </c>
      <c r="U1127" s="1" t="s">
        <v>55</v>
      </c>
      <c r="W1127" s="1" t="s">
        <v>241</v>
      </c>
      <c r="X1127" s="1" t="s">
        <v>57</v>
      </c>
      <c r="Y1127" s="1" t="s">
        <v>58</v>
      </c>
      <c r="AA1127" s="3">
        <v>20198</v>
      </c>
      <c r="AB1127" s="1" t="s">
        <v>46</v>
      </c>
      <c r="AC1127" s="5">
        <v>3576</v>
      </c>
      <c r="AD1127" s="1" t="s">
        <v>2114</v>
      </c>
      <c r="AE1127" s="1" t="str">
        <f t="shared" si="86"/>
        <v>3407 7</v>
      </c>
      <c r="AF1127" s="5" t="str">
        <f t="shared" si="87"/>
        <v>200</v>
      </c>
      <c r="AG1127" s="1" t="str">
        <f t="shared" si="85"/>
        <v>Y</v>
      </c>
    </row>
    <row r="1128" spans="1:33" x14ac:dyDescent="0.2">
      <c r="A1128" s="1" t="s">
        <v>2762</v>
      </c>
      <c r="B1128" s="1" t="s">
        <v>2861</v>
      </c>
      <c r="C1128" s="1">
        <v>3407</v>
      </c>
      <c r="D1128" s="1">
        <v>8</v>
      </c>
      <c r="E1128" s="1" t="s">
        <v>2862</v>
      </c>
      <c r="F1128" s="1">
        <v>2023</v>
      </c>
      <c r="G1128" s="1" t="s">
        <v>1188</v>
      </c>
      <c r="H1128" s="1">
        <v>609315</v>
      </c>
      <c r="I1128" s="1">
        <v>4</v>
      </c>
      <c r="J1128" s="1" t="s">
        <v>36</v>
      </c>
      <c r="K1128" s="1" t="s">
        <v>2863</v>
      </c>
      <c r="L1128" s="1" t="s">
        <v>2864</v>
      </c>
      <c r="M1128" s="1">
        <v>145</v>
      </c>
      <c r="N1128" s="1" t="s">
        <v>39</v>
      </c>
      <c r="O1128" s="1">
        <v>35.8992</v>
      </c>
      <c r="P1128" s="1">
        <v>-84.519400000000005</v>
      </c>
      <c r="Q1128" s="1" t="s">
        <v>136</v>
      </c>
      <c r="R1128" s="1" t="s">
        <v>41</v>
      </c>
      <c r="S1128" s="1" t="s">
        <v>42</v>
      </c>
      <c r="T1128" s="1" t="s">
        <v>43</v>
      </c>
      <c r="U1128" s="1" t="s">
        <v>55</v>
      </c>
      <c r="W1128" s="1" t="s">
        <v>241</v>
      </c>
      <c r="X1128" s="1" t="s">
        <v>57</v>
      </c>
      <c r="Y1128" s="1" t="s">
        <v>58</v>
      </c>
      <c r="AA1128" s="3">
        <v>20279</v>
      </c>
      <c r="AB1128" s="1" t="s">
        <v>46</v>
      </c>
      <c r="AC1128" s="5">
        <v>3005</v>
      </c>
      <c r="AD1128" s="1" t="s">
        <v>2867</v>
      </c>
      <c r="AE1128" s="1" t="str">
        <f t="shared" si="86"/>
        <v>3407 8</v>
      </c>
      <c r="AF1128" s="5" t="str">
        <f t="shared" si="87"/>
        <v>200</v>
      </c>
      <c r="AG1128" s="1" t="str">
        <f t="shared" si="85"/>
        <v>Y</v>
      </c>
    </row>
    <row r="1129" spans="1:33" x14ac:dyDescent="0.2">
      <c r="A1129" s="1" t="s">
        <v>2762</v>
      </c>
      <c r="B1129" s="1" t="s">
        <v>2861</v>
      </c>
      <c r="C1129" s="1">
        <v>3407</v>
      </c>
      <c r="D1129" s="1">
        <v>9</v>
      </c>
      <c r="E1129" s="1" t="s">
        <v>2862</v>
      </c>
      <c r="F1129" s="1">
        <v>2023</v>
      </c>
      <c r="G1129" s="1" t="s">
        <v>1188</v>
      </c>
      <c r="H1129" s="1">
        <v>609315</v>
      </c>
      <c r="I1129" s="1">
        <v>4</v>
      </c>
      <c r="J1129" s="1" t="s">
        <v>36</v>
      </c>
      <c r="K1129" s="1" t="s">
        <v>2863</v>
      </c>
      <c r="L1129" s="1" t="s">
        <v>2864</v>
      </c>
      <c r="M1129" s="1">
        <v>145</v>
      </c>
      <c r="N1129" s="1" t="s">
        <v>39</v>
      </c>
      <c r="O1129" s="1">
        <v>35.8992</v>
      </c>
      <c r="P1129" s="1">
        <v>-84.519400000000005</v>
      </c>
      <c r="Q1129" s="1" t="s">
        <v>136</v>
      </c>
      <c r="R1129" s="1" t="s">
        <v>41</v>
      </c>
      <c r="S1129" s="1" t="s">
        <v>42</v>
      </c>
      <c r="T1129" s="1" t="s">
        <v>43</v>
      </c>
      <c r="U1129" s="1" t="s">
        <v>55</v>
      </c>
      <c r="W1129" s="1" t="s">
        <v>241</v>
      </c>
      <c r="X1129" s="1" t="s">
        <v>223</v>
      </c>
      <c r="Y1129" s="1" t="s">
        <v>58</v>
      </c>
      <c r="AA1129" s="3">
        <v>20418</v>
      </c>
      <c r="AB1129" s="1" t="s">
        <v>46</v>
      </c>
      <c r="AC1129" s="5">
        <v>2959</v>
      </c>
      <c r="AD1129" s="1" t="s">
        <v>2868</v>
      </c>
      <c r="AE1129" s="1" t="str">
        <f t="shared" si="86"/>
        <v>3407 9</v>
      </c>
      <c r="AF1129" s="5" t="str">
        <f t="shared" si="87"/>
        <v>200</v>
      </c>
      <c r="AG1129" s="1" t="str">
        <f t="shared" si="85"/>
        <v>Y</v>
      </c>
    </row>
    <row r="1130" spans="1:33" x14ac:dyDescent="0.2">
      <c r="A1130" s="1" t="s">
        <v>383</v>
      </c>
      <c r="B1130" s="1" t="s">
        <v>2869</v>
      </c>
      <c r="C1130" s="1">
        <v>3439</v>
      </c>
      <c r="D1130" s="1">
        <v>4</v>
      </c>
      <c r="F1130" s="1">
        <v>2023</v>
      </c>
      <c r="G1130" s="1" t="s">
        <v>346</v>
      </c>
      <c r="H1130" s="1">
        <v>606332</v>
      </c>
      <c r="I1130" s="1">
        <v>6</v>
      </c>
      <c r="J1130" s="1" t="s">
        <v>387</v>
      </c>
      <c r="K1130" s="1" t="s">
        <v>2870</v>
      </c>
      <c r="L1130" s="1" t="s">
        <v>2871</v>
      </c>
      <c r="M1130" s="1">
        <v>479</v>
      </c>
      <c r="N1130" s="1" t="s">
        <v>39</v>
      </c>
      <c r="O1130" s="1">
        <v>27.566700000000001</v>
      </c>
      <c r="P1130" s="1">
        <v>-99.508300000000006</v>
      </c>
      <c r="Q1130" s="1" t="s">
        <v>2872</v>
      </c>
      <c r="R1130" s="1" t="s">
        <v>41</v>
      </c>
      <c r="T1130" s="1" t="s">
        <v>93</v>
      </c>
      <c r="U1130" s="1" t="s">
        <v>44</v>
      </c>
      <c r="X1130" s="1" t="s">
        <v>176</v>
      </c>
      <c r="AA1130" s="3">
        <v>39625</v>
      </c>
      <c r="AB1130" s="1" t="s">
        <v>46</v>
      </c>
      <c r="AC1130" s="5">
        <v>1058.0999999999999</v>
      </c>
      <c r="AD1130" s="1" t="s">
        <v>1486</v>
      </c>
      <c r="AE1130" s="1" t="str">
        <f t="shared" si="86"/>
        <v>3439 4</v>
      </c>
      <c r="AF1130" s="5" t="str">
        <f t="shared" si="87"/>
        <v>100</v>
      </c>
      <c r="AG1130" s="1" t="str">
        <f t="shared" si="85"/>
        <v>Y</v>
      </c>
    </row>
    <row r="1131" spans="1:33" x14ac:dyDescent="0.2">
      <c r="A1131" s="1" t="s">
        <v>383</v>
      </c>
      <c r="B1131" s="1" t="s">
        <v>2869</v>
      </c>
      <c r="C1131" s="1">
        <v>3439</v>
      </c>
      <c r="D1131" s="1">
        <v>5</v>
      </c>
      <c r="F1131" s="1">
        <v>2023</v>
      </c>
      <c r="G1131" s="1" t="s">
        <v>346</v>
      </c>
      <c r="H1131" s="1">
        <v>606332</v>
      </c>
      <c r="I1131" s="1">
        <v>6</v>
      </c>
      <c r="J1131" s="1" t="s">
        <v>387</v>
      </c>
      <c r="K1131" s="1" t="s">
        <v>2870</v>
      </c>
      <c r="L1131" s="1" t="s">
        <v>2871</v>
      </c>
      <c r="M1131" s="1">
        <v>479</v>
      </c>
      <c r="N1131" s="1" t="s">
        <v>39</v>
      </c>
      <c r="O1131" s="1">
        <v>27.566700000000001</v>
      </c>
      <c r="P1131" s="1">
        <v>-99.508300000000006</v>
      </c>
      <c r="Q1131" s="1" t="s">
        <v>2872</v>
      </c>
      <c r="R1131" s="1" t="s">
        <v>41</v>
      </c>
      <c r="T1131" s="1" t="s">
        <v>93</v>
      </c>
      <c r="U1131" s="1" t="s">
        <v>44</v>
      </c>
      <c r="X1131" s="1" t="s">
        <v>176</v>
      </c>
      <c r="AA1131" s="3">
        <v>39654</v>
      </c>
      <c r="AB1131" s="1" t="s">
        <v>46</v>
      </c>
      <c r="AC1131" s="5">
        <v>949.1</v>
      </c>
      <c r="AD1131" s="1" t="s">
        <v>1479</v>
      </c>
      <c r="AE1131" s="1" t="str">
        <f t="shared" si="86"/>
        <v>3439 5</v>
      </c>
      <c r="AF1131" s="5" t="str">
        <f t="shared" si="87"/>
        <v>100</v>
      </c>
      <c r="AG1131" s="1" t="str">
        <f t="shared" si="85"/>
        <v>Y</v>
      </c>
    </row>
    <row r="1132" spans="1:33" x14ac:dyDescent="0.2">
      <c r="A1132" s="1" t="s">
        <v>383</v>
      </c>
      <c r="B1132" s="1" t="s">
        <v>2873</v>
      </c>
      <c r="C1132" s="1">
        <v>3441</v>
      </c>
      <c r="D1132" s="1">
        <v>8</v>
      </c>
      <c r="F1132" s="1">
        <v>2023</v>
      </c>
      <c r="G1132" s="1" t="s">
        <v>346</v>
      </c>
      <c r="H1132" s="1">
        <v>606332</v>
      </c>
      <c r="I1132" s="1">
        <v>6</v>
      </c>
      <c r="J1132" s="1" t="s">
        <v>387</v>
      </c>
      <c r="K1132" s="1" t="s">
        <v>2874</v>
      </c>
      <c r="L1132" s="1" t="s">
        <v>2875</v>
      </c>
      <c r="M1132" s="1">
        <v>355</v>
      </c>
      <c r="N1132" s="1" t="s">
        <v>39</v>
      </c>
      <c r="O1132" s="1">
        <v>27.818200000000001</v>
      </c>
      <c r="P1132" s="1">
        <v>-97.418899999999994</v>
      </c>
      <c r="Q1132" s="1" t="s">
        <v>2876</v>
      </c>
      <c r="R1132" s="1" t="s">
        <v>41</v>
      </c>
      <c r="T1132" s="1" t="s">
        <v>71</v>
      </c>
      <c r="U1132" s="1" t="s">
        <v>44</v>
      </c>
      <c r="X1132" s="1" t="s">
        <v>223</v>
      </c>
      <c r="AA1132" s="3">
        <v>40135</v>
      </c>
      <c r="AB1132" s="1" t="s">
        <v>46</v>
      </c>
      <c r="AC1132" s="5">
        <v>2610.4</v>
      </c>
      <c r="AD1132" s="1" t="s">
        <v>2877</v>
      </c>
      <c r="AE1132" s="1" t="str">
        <f t="shared" si="86"/>
        <v>3441 8</v>
      </c>
      <c r="AF1132" s="14">
        <f>MID(AD1132,FIND("(",AD1132)+1,FIND(")",AD1132)-FIND("(",AD1132)-1)+351/2</f>
        <v>347.5</v>
      </c>
      <c r="AG1132" s="1" t="str">
        <f t="shared" si="85"/>
        <v>Y</v>
      </c>
    </row>
    <row r="1133" spans="1:33" x14ac:dyDescent="0.2">
      <c r="A1133" s="1" t="s">
        <v>383</v>
      </c>
      <c r="B1133" s="1" t="s">
        <v>2873</v>
      </c>
      <c r="C1133" s="1">
        <v>3441</v>
      </c>
      <c r="D1133" s="1">
        <v>9</v>
      </c>
      <c r="F1133" s="1">
        <v>2023</v>
      </c>
      <c r="G1133" s="1" t="s">
        <v>346</v>
      </c>
      <c r="H1133" s="1">
        <v>606332</v>
      </c>
      <c r="I1133" s="1">
        <v>6</v>
      </c>
      <c r="J1133" s="1" t="s">
        <v>387</v>
      </c>
      <c r="K1133" s="1" t="s">
        <v>2874</v>
      </c>
      <c r="L1133" s="1" t="s">
        <v>2875</v>
      </c>
      <c r="M1133" s="1">
        <v>355</v>
      </c>
      <c r="N1133" s="1" t="s">
        <v>39</v>
      </c>
      <c r="O1133" s="1">
        <v>27.818200000000001</v>
      </c>
      <c r="P1133" s="1">
        <v>-97.418899999999994</v>
      </c>
      <c r="Q1133" s="1" t="s">
        <v>2876</v>
      </c>
      <c r="R1133" s="1" t="s">
        <v>41</v>
      </c>
      <c r="T1133" s="1" t="s">
        <v>71</v>
      </c>
      <c r="U1133" s="1" t="s">
        <v>44</v>
      </c>
      <c r="X1133" s="1" t="s">
        <v>223</v>
      </c>
      <c r="AA1133" s="3">
        <v>40138</v>
      </c>
      <c r="AB1133" s="1" t="s">
        <v>46</v>
      </c>
      <c r="AC1133" s="5">
        <v>2638.9</v>
      </c>
      <c r="AD1133" s="1" t="s">
        <v>2878</v>
      </c>
      <c r="AE1133" s="1" t="str">
        <f t="shared" si="86"/>
        <v>3441 9</v>
      </c>
      <c r="AF1133" s="14">
        <f>AF1132</f>
        <v>347.5</v>
      </c>
      <c r="AG1133" s="1" t="str">
        <f t="shared" si="85"/>
        <v>Y</v>
      </c>
    </row>
    <row r="1134" spans="1:33" x14ac:dyDescent="0.2">
      <c r="A1134" s="1" t="s">
        <v>383</v>
      </c>
      <c r="B1134" s="1" t="s">
        <v>2879</v>
      </c>
      <c r="C1134" s="1">
        <v>3443</v>
      </c>
      <c r="D1134" s="1">
        <v>9</v>
      </c>
      <c r="F1134" s="1">
        <v>2023</v>
      </c>
      <c r="G1134" s="1" t="s">
        <v>346</v>
      </c>
      <c r="H1134" s="1">
        <v>610048</v>
      </c>
      <c r="I1134" s="1">
        <v>6</v>
      </c>
      <c r="J1134" s="1" t="s">
        <v>387</v>
      </c>
      <c r="K1134" s="1" t="s">
        <v>2880</v>
      </c>
      <c r="L1134" s="1" t="s">
        <v>2881</v>
      </c>
      <c r="M1134" s="1">
        <v>469</v>
      </c>
      <c r="N1134" s="1" t="s">
        <v>39</v>
      </c>
      <c r="O1134" s="1">
        <v>28.7883</v>
      </c>
      <c r="P1134" s="1">
        <v>-97.01</v>
      </c>
      <c r="Q1134" s="1" t="s">
        <v>2882</v>
      </c>
      <c r="R1134" s="1" t="s">
        <v>41</v>
      </c>
      <c r="T1134" s="1" t="s">
        <v>71</v>
      </c>
      <c r="U1134" s="1" t="s">
        <v>44</v>
      </c>
      <c r="X1134" s="1" t="s">
        <v>64</v>
      </c>
      <c r="AA1134" s="3">
        <v>39772</v>
      </c>
      <c r="AB1134" s="1" t="s">
        <v>46</v>
      </c>
      <c r="AC1134" s="5">
        <v>2444</v>
      </c>
      <c r="AD1134" s="1" t="s">
        <v>2883</v>
      </c>
      <c r="AE1134" s="1" t="str">
        <f t="shared" si="86"/>
        <v>3443 9</v>
      </c>
      <c r="AF1134" s="14">
        <f>MID(AD1134,FIND("(",AD1134)+1,FIND(")",AD1134)-FIND("(",AD1134)-1)+160</f>
        <v>356.9</v>
      </c>
      <c r="AG1134" s="1" t="str">
        <f t="shared" si="85"/>
        <v>Y</v>
      </c>
    </row>
    <row r="1135" spans="1:33" x14ac:dyDescent="0.2">
      <c r="A1135" s="1" t="s">
        <v>383</v>
      </c>
      <c r="B1135" s="1" t="s">
        <v>2884</v>
      </c>
      <c r="C1135" s="1">
        <v>3452</v>
      </c>
      <c r="D1135" s="1">
        <v>1</v>
      </c>
      <c r="F1135" s="1">
        <v>2023</v>
      </c>
      <c r="G1135" s="1" t="s">
        <v>346</v>
      </c>
      <c r="H1135" s="1">
        <v>603383</v>
      </c>
      <c r="I1135" s="1">
        <v>6</v>
      </c>
      <c r="J1135" s="1" t="s">
        <v>387</v>
      </c>
      <c r="K1135" s="1" t="s">
        <v>2885</v>
      </c>
      <c r="L1135" s="1" t="s">
        <v>2886</v>
      </c>
      <c r="M1135" s="1">
        <v>113</v>
      </c>
      <c r="N1135" s="1" t="s">
        <v>39</v>
      </c>
      <c r="O1135" s="1">
        <v>32.836399999999998</v>
      </c>
      <c r="P1135" s="1">
        <v>-96.546400000000006</v>
      </c>
      <c r="Q1135" s="1" t="s">
        <v>2887</v>
      </c>
      <c r="R1135" s="1" t="s">
        <v>41</v>
      </c>
      <c r="T1135" s="1" t="s">
        <v>89</v>
      </c>
      <c r="U1135" s="1" t="s">
        <v>44</v>
      </c>
      <c r="V1135" s="1" t="s">
        <v>94</v>
      </c>
      <c r="X1135" s="1" t="s">
        <v>1460</v>
      </c>
      <c r="AA1135" s="3">
        <v>25737</v>
      </c>
      <c r="AB1135" s="1" t="s">
        <v>46</v>
      </c>
      <c r="AC1135" s="5">
        <v>4620</v>
      </c>
      <c r="AD1135" s="1" t="s">
        <v>2888</v>
      </c>
      <c r="AE1135" s="1" t="str">
        <f t="shared" si="86"/>
        <v>3452 1</v>
      </c>
      <c r="AF1135" s="5" t="str">
        <f t="shared" ref="AF1135:AF1142" si="88">MID(AD1135,FIND("(",AD1135)+1,FIND(")",AD1135)-FIND("(",AD1135)-1)</f>
        <v>396.5</v>
      </c>
      <c r="AG1135" s="1" t="str">
        <f t="shared" si="85"/>
        <v/>
      </c>
    </row>
    <row r="1136" spans="1:33" x14ac:dyDescent="0.2">
      <c r="A1136" s="1" t="s">
        <v>383</v>
      </c>
      <c r="B1136" s="1" t="s">
        <v>2884</v>
      </c>
      <c r="C1136" s="1">
        <v>3452</v>
      </c>
      <c r="D1136" s="1">
        <v>2</v>
      </c>
      <c r="F1136" s="1">
        <v>2023</v>
      </c>
      <c r="G1136" s="1" t="s">
        <v>346</v>
      </c>
      <c r="H1136" s="1">
        <v>603383</v>
      </c>
      <c r="I1136" s="1">
        <v>6</v>
      </c>
      <c r="J1136" s="1" t="s">
        <v>387</v>
      </c>
      <c r="K1136" s="1" t="s">
        <v>2885</v>
      </c>
      <c r="L1136" s="1" t="s">
        <v>2886</v>
      </c>
      <c r="M1136" s="1">
        <v>113</v>
      </c>
      <c r="N1136" s="1" t="s">
        <v>39</v>
      </c>
      <c r="O1136" s="1">
        <v>32.836399999999998</v>
      </c>
      <c r="P1136" s="1">
        <v>-96.546400000000006</v>
      </c>
      <c r="Q1136" s="1" t="s">
        <v>2887</v>
      </c>
      <c r="R1136" s="1" t="s">
        <v>41</v>
      </c>
      <c r="T1136" s="1" t="s">
        <v>89</v>
      </c>
      <c r="U1136" s="1" t="s">
        <v>44</v>
      </c>
      <c r="V1136" s="1" t="s">
        <v>94</v>
      </c>
      <c r="X1136" s="1" t="s">
        <v>297</v>
      </c>
      <c r="AA1136" s="3">
        <v>26988</v>
      </c>
      <c r="AB1136" s="1" t="s">
        <v>46</v>
      </c>
      <c r="AC1136" s="5">
        <v>5598</v>
      </c>
      <c r="AD1136" s="1" t="s">
        <v>1126</v>
      </c>
      <c r="AE1136" s="1" t="str">
        <f t="shared" si="86"/>
        <v>3452 2</v>
      </c>
      <c r="AF1136" s="5" t="str">
        <f t="shared" si="88"/>
        <v>531</v>
      </c>
      <c r="AG1136" s="1" t="str">
        <f t="shared" si="85"/>
        <v>Y</v>
      </c>
    </row>
    <row r="1137" spans="1:33" x14ac:dyDescent="0.2">
      <c r="A1137" s="1" t="s">
        <v>383</v>
      </c>
      <c r="B1137" s="1" t="s">
        <v>2889</v>
      </c>
      <c r="C1137" s="1">
        <v>3453</v>
      </c>
      <c r="D1137" s="1">
        <v>6</v>
      </c>
      <c r="F1137" s="1">
        <v>2023</v>
      </c>
      <c r="G1137" s="1" t="s">
        <v>346</v>
      </c>
      <c r="H1137" s="1" t="s">
        <v>2890</v>
      </c>
      <c r="I1137" s="1">
        <v>6</v>
      </c>
      <c r="J1137" s="1" t="s">
        <v>387</v>
      </c>
      <c r="K1137" s="1" t="s">
        <v>2885</v>
      </c>
      <c r="L1137" s="1" t="s">
        <v>2886</v>
      </c>
      <c r="M1137" s="1">
        <v>113</v>
      </c>
      <c r="N1137" s="1" t="s">
        <v>39</v>
      </c>
      <c r="O1137" s="1">
        <v>32.725299999999997</v>
      </c>
      <c r="P1137" s="1">
        <v>-96.936099999999996</v>
      </c>
      <c r="Q1137" s="1" t="s">
        <v>2891</v>
      </c>
      <c r="R1137" s="1" t="s">
        <v>41</v>
      </c>
      <c r="T1137" s="1" t="s">
        <v>89</v>
      </c>
      <c r="U1137" s="1" t="s">
        <v>44</v>
      </c>
      <c r="X1137" s="1" t="s">
        <v>2892</v>
      </c>
      <c r="AA1137" s="3">
        <v>20507</v>
      </c>
      <c r="AB1137" s="1" t="s">
        <v>46</v>
      </c>
      <c r="AC1137" s="5">
        <v>1674</v>
      </c>
      <c r="AD1137" s="1" t="s">
        <v>2893</v>
      </c>
      <c r="AE1137" s="1" t="str">
        <f t="shared" si="86"/>
        <v>3453 6</v>
      </c>
      <c r="AF1137" s="5" t="str">
        <f t="shared" si="88"/>
        <v>136</v>
      </c>
      <c r="AG1137" s="1" t="str">
        <f t="shared" si="85"/>
        <v/>
      </c>
    </row>
    <row r="1138" spans="1:33" x14ac:dyDescent="0.2">
      <c r="A1138" s="1" t="s">
        <v>383</v>
      </c>
      <c r="B1138" s="1" t="s">
        <v>2889</v>
      </c>
      <c r="C1138" s="1">
        <v>3453</v>
      </c>
      <c r="D1138" s="1">
        <v>7</v>
      </c>
      <c r="F1138" s="1">
        <v>2023</v>
      </c>
      <c r="G1138" s="1" t="s">
        <v>346</v>
      </c>
      <c r="H1138" s="1" t="s">
        <v>2890</v>
      </c>
      <c r="I1138" s="1">
        <v>6</v>
      </c>
      <c r="J1138" s="1" t="s">
        <v>387</v>
      </c>
      <c r="K1138" s="1" t="s">
        <v>2885</v>
      </c>
      <c r="L1138" s="1" t="s">
        <v>2886</v>
      </c>
      <c r="M1138" s="1">
        <v>113</v>
      </c>
      <c r="N1138" s="1" t="s">
        <v>39</v>
      </c>
      <c r="O1138" s="1">
        <v>32.725299999999997</v>
      </c>
      <c r="P1138" s="1">
        <v>-96.936099999999996</v>
      </c>
      <c r="Q1138" s="1" t="s">
        <v>2891</v>
      </c>
      <c r="R1138" s="1" t="s">
        <v>41</v>
      </c>
      <c r="T1138" s="1" t="s">
        <v>89</v>
      </c>
      <c r="U1138" s="1" t="s">
        <v>44</v>
      </c>
      <c r="X1138" s="1" t="s">
        <v>2892</v>
      </c>
      <c r="AA1138" s="3">
        <v>21251</v>
      </c>
      <c r="AB1138" s="1" t="s">
        <v>46</v>
      </c>
      <c r="AC1138" s="5">
        <v>1674</v>
      </c>
      <c r="AD1138" s="1" t="s">
        <v>2894</v>
      </c>
      <c r="AE1138" s="1" t="str">
        <f t="shared" si="86"/>
        <v>3453 7</v>
      </c>
      <c r="AF1138" s="5" t="str">
        <f t="shared" si="88"/>
        <v>136</v>
      </c>
      <c r="AG1138" s="1" t="str">
        <f t="shared" si="85"/>
        <v/>
      </c>
    </row>
    <row r="1139" spans="1:33" x14ac:dyDescent="0.2">
      <c r="A1139" s="1" t="s">
        <v>383</v>
      </c>
      <c r="B1139" s="1" t="s">
        <v>2889</v>
      </c>
      <c r="C1139" s="1">
        <v>3453</v>
      </c>
      <c r="D1139" s="1">
        <v>8</v>
      </c>
      <c r="F1139" s="1">
        <v>2023</v>
      </c>
      <c r="G1139" s="1" t="s">
        <v>346</v>
      </c>
      <c r="H1139" s="1" t="s">
        <v>2890</v>
      </c>
      <c r="I1139" s="1">
        <v>6</v>
      </c>
      <c r="J1139" s="1" t="s">
        <v>387</v>
      </c>
      <c r="K1139" s="1" t="s">
        <v>2885</v>
      </c>
      <c r="L1139" s="1" t="s">
        <v>2886</v>
      </c>
      <c r="M1139" s="1">
        <v>113</v>
      </c>
      <c r="N1139" s="1" t="s">
        <v>39</v>
      </c>
      <c r="O1139" s="1">
        <v>32.725299999999997</v>
      </c>
      <c r="P1139" s="1">
        <v>-96.936099999999996</v>
      </c>
      <c r="Q1139" s="1" t="s">
        <v>2891</v>
      </c>
      <c r="R1139" s="1" t="s">
        <v>41</v>
      </c>
      <c r="T1139" s="1" t="s">
        <v>43</v>
      </c>
      <c r="U1139" s="1" t="s">
        <v>44</v>
      </c>
      <c r="X1139" s="1" t="s">
        <v>223</v>
      </c>
      <c r="AA1139" s="3">
        <v>24664</v>
      </c>
      <c r="AB1139" s="1" t="s">
        <v>46</v>
      </c>
      <c r="AC1139" s="5">
        <v>6204</v>
      </c>
      <c r="AD1139" s="1" t="s">
        <v>2895</v>
      </c>
      <c r="AE1139" s="1" t="str">
        <f t="shared" si="86"/>
        <v>3453 8</v>
      </c>
      <c r="AF1139" s="5" t="str">
        <f t="shared" si="88"/>
        <v>581</v>
      </c>
      <c r="AG1139" s="1" t="str">
        <f t="shared" si="85"/>
        <v>Y</v>
      </c>
    </row>
    <row r="1140" spans="1:33" x14ac:dyDescent="0.2">
      <c r="A1140" s="1" t="s">
        <v>383</v>
      </c>
      <c r="B1140" s="1" t="s">
        <v>2896</v>
      </c>
      <c r="C1140" s="1">
        <v>3456</v>
      </c>
      <c r="D1140" s="1">
        <v>1</v>
      </c>
      <c r="F1140" s="1">
        <v>2023</v>
      </c>
      <c r="G1140" s="1" t="s">
        <v>346</v>
      </c>
      <c r="H1140" s="1">
        <v>610284</v>
      </c>
      <c r="I1140" s="1">
        <v>6</v>
      </c>
      <c r="J1140" s="1" t="s">
        <v>237</v>
      </c>
      <c r="K1140" s="1" t="s">
        <v>531</v>
      </c>
      <c r="L1140" s="1" t="s">
        <v>2897</v>
      </c>
      <c r="M1140" s="1">
        <v>141</v>
      </c>
      <c r="N1140" s="1" t="s">
        <v>39</v>
      </c>
      <c r="O1140" s="1">
        <v>31.985800000000001</v>
      </c>
      <c r="P1140" s="1">
        <v>-106.43219999999999</v>
      </c>
      <c r="Q1140" s="1" t="s">
        <v>2065</v>
      </c>
      <c r="R1140" s="1" t="s">
        <v>41</v>
      </c>
      <c r="T1140" s="1" t="s">
        <v>89</v>
      </c>
      <c r="U1140" s="1" t="s">
        <v>44</v>
      </c>
      <c r="V1140" s="1" t="s">
        <v>94</v>
      </c>
      <c r="AA1140" s="3">
        <v>22007</v>
      </c>
      <c r="AB1140" s="1" t="s">
        <v>46</v>
      </c>
      <c r="AC1140" s="5">
        <v>858</v>
      </c>
      <c r="AD1140" s="1" t="s">
        <v>2898</v>
      </c>
      <c r="AE1140" s="1" t="str">
        <f t="shared" si="86"/>
        <v>3456 1</v>
      </c>
      <c r="AF1140" s="5" t="str">
        <f t="shared" si="88"/>
        <v>81.6</v>
      </c>
      <c r="AG1140" s="1" t="str">
        <f t="shared" si="85"/>
        <v/>
      </c>
    </row>
    <row r="1141" spans="1:33" x14ac:dyDescent="0.2">
      <c r="A1141" s="1" t="s">
        <v>383</v>
      </c>
      <c r="B1141" s="1" t="s">
        <v>2896</v>
      </c>
      <c r="C1141" s="1">
        <v>3456</v>
      </c>
      <c r="D1141" s="1">
        <v>2</v>
      </c>
      <c r="F1141" s="1">
        <v>2023</v>
      </c>
      <c r="G1141" s="1" t="s">
        <v>2899</v>
      </c>
      <c r="H1141" s="1">
        <v>610284</v>
      </c>
      <c r="I1141" s="1">
        <v>6</v>
      </c>
      <c r="J1141" s="1" t="s">
        <v>237</v>
      </c>
      <c r="K1141" s="1" t="s">
        <v>531</v>
      </c>
      <c r="L1141" s="1" t="s">
        <v>2897</v>
      </c>
      <c r="M1141" s="1">
        <v>141</v>
      </c>
      <c r="N1141" s="1" t="s">
        <v>39</v>
      </c>
      <c r="O1141" s="1">
        <v>31.985800000000001</v>
      </c>
      <c r="P1141" s="1">
        <v>-106.43219999999999</v>
      </c>
      <c r="Q1141" s="1" t="s">
        <v>2065</v>
      </c>
      <c r="R1141" s="1" t="s">
        <v>41</v>
      </c>
      <c r="T1141" s="1" t="s">
        <v>89</v>
      </c>
      <c r="U1141" s="1" t="s">
        <v>44</v>
      </c>
      <c r="V1141" s="1" t="s">
        <v>94</v>
      </c>
      <c r="AA1141" s="3">
        <v>23102</v>
      </c>
      <c r="AB1141" s="1" t="s">
        <v>46</v>
      </c>
      <c r="AC1141" s="5">
        <v>858</v>
      </c>
      <c r="AD1141" s="1" t="s">
        <v>2900</v>
      </c>
      <c r="AE1141" s="1" t="str">
        <f t="shared" si="86"/>
        <v>3456 2</v>
      </c>
      <c r="AF1141" s="5" t="str">
        <f t="shared" si="88"/>
        <v>81.6</v>
      </c>
      <c r="AG1141" s="1" t="str">
        <f t="shared" si="85"/>
        <v/>
      </c>
    </row>
    <row r="1142" spans="1:33" x14ac:dyDescent="0.2">
      <c r="A1142" s="1" t="s">
        <v>383</v>
      </c>
      <c r="B1142" s="1" t="s">
        <v>2896</v>
      </c>
      <c r="C1142" s="1">
        <v>3456</v>
      </c>
      <c r="D1142" s="1">
        <v>3</v>
      </c>
      <c r="F1142" s="1">
        <v>2023</v>
      </c>
      <c r="G1142" s="1" t="s">
        <v>2899</v>
      </c>
      <c r="H1142" s="1">
        <v>610284</v>
      </c>
      <c r="I1142" s="1">
        <v>6</v>
      </c>
      <c r="J1142" s="1" t="s">
        <v>237</v>
      </c>
      <c r="K1142" s="1" t="s">
        <v>531</v>
      </c>
      <c r="L1142" s="1" t="s">
        <v>2897</v>
      </c>
      <c r="M1142" s="1">
        <v>141</v>
      </c>
      <c r="N1142" s="1" t="s">
        <v>39</v>
      </c>
      <c r="O1142" s="1">
        <v>31.985800000000001</v>
      </c>
      <c r="P1142" s="1">
        <v>-106.43219999999999</v>
      </c>
      <c r="Q1142" s="1" t="s">
        <v>2065</v>
      </c>
      <c r="R1142" s="1" t="s">
        <v>41</v>
      </c>
      <c r="T1142" s="1" t="s">
        <v>89</v>
      </c>
      <c r="U1142" s="1" t="s">
        <v>44</v>
      </c>
      <c r="V1142" s="1" t="s">
        <v>94</v>
      </c>
      <c r="AA1142" s="3">
        <v>24108</v>
      </c>
      <c r="AB1142" s="1" t="s">
        <v>46</v>
      </c>
      <c r="AC1142" s="5">
        <v>1030</v>
      </c>
      <c r="AD1142" s="1" t="s">
        <v>2901</v>
      </c>
      <c r="AE1142" s="1" t="str">
        <f t="shared" si="86"/>
        <v>3456 3</v>
      </c>
      <c r="AF1142" s="5" t="str">
        <f t="shared" si="88"/>
        <v>115.2</v>
      </c>
      <c r="AG1142" s="1" t="str">
        <f t="shared" si="85"/>
        <v/>
      </c>
    </row>
    <row r="1143" spans="1:33" x14ac:dyDescent="0.2">
      <c r="A1143" s="1" t="s">
        <v>383</v>
      </c>
      <c r="B1143" s="1" t="s">
        <v>2896</v>
      </c>
      <c r="C1143" s="1">
        <v>3456</v>
      </c>
      <c r="D1143" s="1" t="s">
        <v>569</v>
      </c>
      <c r="F1143" s="1">
        <v>2023</v>
      </c>
      <c r="G1143" s="1" t="s">
        <v>2899</v>
      </c>
      <c r="H1143" s="1">
        <v>610284</v>
      </c>
      <c r="I1143" s="1">
        <v>6</v>
      </c>
      <c r="J1143" s="1" t="s">
        <v>237</v>
      </c>
      <c r="K1143" s="1" t="s">
        <v>531</v>
      </c>
      <c r="L1143" s="1" t="s">
        <v>2897</v>
      </c>
      <c r="M1143" s="1">
        <v>141</v>
      </c>
      <c r="N1143" s="1" t="s">
        <v>39</v>
      </c>
      <c r="O1143" s="1">
        <v>31.985800000000001</v>
      </c>
      <c r="P1143" s="1">
        <v>-106.43219999999999</v>
      </c>
      <c r="Q1143" s="1" t="s">
        <v>2065</v>
      </c>
      <c r="R1143" s="1" t="s">
        <v>41</v>
      </c>
      <c r="T1143" s="1" t="s">
        <v>71</v>
      </c>
      <c r="U1143" s="1" t="s">
        <v>44</v>
      </c>
      <c r="X1143" s="1" t="s">
        <v>95</v>
      </c>
      <c r="AA1143" s="3">
        <v>27395</v>
      </c>
      <c r="AB1143" s="1" t="s">
        <v>46</v>
      </c>
      <c r="AC1143" s="5">
        <v>1022</v>
      </c>
      <c r="AD1143" s="1" t="s">
        <v>2902</v>
      </c>
      <c r="AE1143" s="1" t="str">
        <f t="shared" si="86"/>
        <v>3456 **4</v>
      </c>
      <c r="AF1143" s="14">
        <f>MID(AD1143,FIND("(",AD1143)+1,FIND(")",AD1143)-FIND("(",AD1143)-1)+120/2</f>
        <v>145</v>
      </c>
      <c r="AG1143" s="1" t="str">
        <f t="shared" si="85"/>
        <v/>
      </c>
    </row>
    <row r="1144" spans="1:33" x14ac:dyDescent="0.2">
      <c r="A1144" s="1" t="s">
        <v>383</v>
      </c>
      <c r="B1144" s="1" t="s">
        <v>2896</v>
      </c>
      <c r="C1144" s="1">
        <v>3456</v>
      </c>
      <c r="D1144" s="1" t="s">
        <v>2903</v>
      </c>
      <c r="F1144" s="1">
        <v>2023</v>
      </c>
      <c r="G1144" s="1" t="s">
        <v>2899</v>
      </c>
      <c r="H1144" s="1">
        <v>610284</v>
      </c>
      <c r="I1144" s="1">
        <v>6</v>
      </c>
      <c r="J1144" s="1" t="s">
        <v>237</v>
      </c>
      <c r="K1144" s="1" t="s">
        <v>531</v>
      </c>
      <c r="L1144" s="1" t="s">
        <v>2897</v>
      </c>
      <c r="M1144" s="1">
        <v>141</v>
      </c>
      <c r="N1144" s="1" t="s">
        <v>39</v>
      </c>
      <c r="O1144" s="1">
        <v>31.985800000000001</v>
      </c>
      <c r="P1144" s="1">
        <v>-106.43219999999999</v>
      </c>
      <c r="Q1144" s="1" t="s">
        <v>2065</v>
      </c>
      <c r="R1144" s="1" t="s">
        <v>41</v>
      </c>
      <c r="T1144" s="1" t="s">
        <v>71</v>
      </c>
      <c r="U1144" s="1" t="s">
        <v>44</v>
      </c>
      <c r="X1144" s="1" t="s">
        <v>95</v>
      </c>
      <c r="AA1144" s="3">
        <v>27395</v>
      </c>
      <c r="AB1144" s="1" t="s">
        <v>46</v>
      </c>
      <c r="AC1144" s="5">
        <v>1022</v>
      </c>
      <c r="AD1144" s="1" t="s">
        <v>2904</v>
      </c>
      <c r="AE1144" s="1" t="str">
        <f t="shared" si="86"/>
        <v>3456 **5</v>
      </c>
      <c r="AF1144" s="14">
        <f>AF1143</f>
        <v>145</v>
      </c>
      <c r="AG1144" s="1" t="str">
        <f t="shared" si="85"/>
        <v/>
      </c>
    </row>
    <row r="1145" spans="1:33" x14ac:dyDescent="0.2">
      <c r="A1145" s="1" t="s">
        <v>383</v>
      </c>
      <c r="B1145" s="1" t="s">
        <v>2896</v>
      </c>
      <c r="C1145" s="1">
        <v>3456</v>
      </c>
      <c r="D1145" s="1" t="s">
        <v>2905</v>
      </c>
      <c r="F1145" s="1">
        <v>2023</v>
      </c>
      <c r="G1145" s="1" t="s">
        <v>346</v>
      </c>
      <c r="H1145" s="1">
        <v>610284</v>
      </c>
      <c r="I1145" s="1">
        <v>6</v>
      </c>
      <c r="J1145" s="1" t="s">
        <v>237</v>
      </c>
      <c r="K1145" s="1" t="s">
        <v>531</v>
      </c>
      <c r="L1145" s="1" t="s">
        <v>2897</v>
      </c>
      <c r="M1145" s="1">
        <v>141</v>
      </c>
      <c r="N1145" s="1" t="s">
        <v>39</v>
      </c>
      <c r="O1145" s="1">
        <v>31.985800000000001</v>
      </c>
      <c r="P1145" s="1">
        <v>-106.43219999999999</v>
      </c>
      <c r="Q1145" s="1" t="s">
        <v>2065</v>
      </c>
      <c r="R1145" s="1" t="s">
        <v>41</v>
      </c>
      <c r="T1145" s="1" t="s">
        <v>71</v>
      </c>
      <c r="U1145" s="1" t="s">
        <v>44</v>
      </c>
      <c r="X1145" s="1" t="s">
        <v>140</v>
      </c>
      <c r="AA1145" s="3">
        <v>39940</v>
      </c>
      <c r="AB1145" s="1" t="s">
        <v>46</v>
      </c>
      <c r="AC1145" s="5">
        <v>1120</v>
      </c>
      <c r="AD1145" s="1" t="s">
        <v>2906</v>
      </c>
      <c r="AE1145" s="1" t="str">
        <f t="shared" si="86"/>
        <v>3456 GT-6A</v>
      </c>
      <c r="AF1145" s="14">
        <f>MID(AD1145,FIND("(",AD1145)+1,FIND(")",AD1145)-FIND("(",AD1145)-1)+165/2</f>
        <v>169</v>
      </c>
      <c r="AG1145" s="1" t="str">
        <f t="shared" si="85"/>
        <v/>
      </c>
    </row>
    <row r="1146" spans="1:33" x14ac:dyDescent="0.2">
      <c r="A1146" s="1" t="s">
        <v>383</v>
      </c>
      <c r="B1146" s="1" t="s">
        <v>2896</v>
      </c>
      <c r="C1146" s="1">
        <v>3456</v>
      </c>
      <c r="D1146" s="1" t="s">
        <v>2907</v>
      </c>
      <c r="F1146" s="1">
        <v>2023</v>
      </c>
      <c r="G1146" s="1" t="s">
        <v>346</v>
      </c>
      <c r="H1146" s="1">
        <v>610284</v>
      </c>
      <c r="I1146" s="1">
        <v>6</v>
      </c>
      <c r="J1146" s="1" t="s">
        <v>237</v>
      </c>
      <c r="K1146" s="1" t="s">
        <v>531</v>
      </c>
      <c r="L1146" s="1" t="s">
        <v>2897</v>
      </c>
      <c r="M1146" s="1">
        <v>141</v>
      </c>
      <c r="N1146" s="1" t="s">
        <v>39</v>
      </c>
      <c r="O1146" s="1">
        <v>31.985800000000001</v>
      </c>
      <c r="P1146" s="1">
        <v>-106.43219999999999</v>
      </c>
      <c r="Q1146" s="1" t="s">
        <v>2065</v>
      </c>
      <c r="R1146" s="1" t="s">
        <v>41</v>
      </c>
      <c r="T1146" s="1" t="s">
        <v>71</v>
      </c>
      <c r="U1146" s="1" t="s">
        <v>44</v>
      </c>
      <c r="X1146" s="1" t="s">
        <v>140</v>
      </c>
      <c r="AA1146" s="3">
        <v>39949</v>
      </c>
      <c r="AB1146" s="1" t="s">
        <v>46</v>
      </c>
      <c r="AC1146" s="5">
        <v>1120</v>
      </c>
      <c r="AD1146" s="1" t="s">
        <v>2908</v>
      </c>
      <c r="AE1146" s="1" t="str">
        <f t="shared" si="86"/>
        <v>3456 GT-6B</v>
      </c>
      <c r="AF1146" s="14">
        <f>AF1145</f>
        <v>169</v>
      </c>
      <c r="AG1146" s="1" t="str">
        <f t="shared" si="85"/>
        <v/>
      </c>
    </row>
    <row r="1147" spans="1:33" x14ac:dyDescent="0.2">
      <c r="A1147" s="1" t="s">
        <v>383</v>
      </c>
      <c r="B1147" s="1" t="s">
        <v>2909</v>
      </c>
      <c r="C1147" s="1">
        <v>3457</v>
      </c>
      <c r="D1147" s="1">
        <v>1</v>
      </c>
      <c r="F1147" s="1">
        <v>2023</v>
      </c>
      <c r="G1147" s="1" t="s">
        <v>346</v>
      </c>
      <c r="H1147" s="1" t="s">
        <v>350</v>
      </c>
      <c r="I1147" s="1">
        <v>6</v>
      </c>
      <c r="J1147" s="1" t="s">
        <v>228</v>
      </c>
      <c r="K1147" s="1" t="s">
        <v>1319</v>
      </c>
      <c r="L1147" s="1" t="s">
        <v>2910</v>
      </c>
      <c r="M1147" s="1">
        <v>339</v>
      </c>
      <c r="N1147" s="1" t="s">
        <v>39</v>
      </c>
      <c r="O1147" s="1">
        <v>30.436399999999999</v>
      </c>
      <c r="P1147" s="1">
        <v>-95.521500000000003</v>
      </c>
      <c r="Q1147" s="1" t="s">
        <v>353</v>
      </c>
      <c r="R1147" s="1" t="s">
        <v>41</v>
      </c>
      <c r="T1147" s="1" t="s">
        <v>89</v>
      </c>
      <c r="U1147" s="1" t="s">
        <v>44</v>
      </c>
      <c r="X1147" s="1" t="s">
        <v>223</v>
      </c>
      <c r="AA1147" s="3">
        <v>25916</v>
      </c>
      <c r="AB1147" s="1" t="s">
        <v>46</v>
      </c>
      <c r="AC1147" s="5">
        <v>2730</v>
      </c>
      <c r="AD1147" s="1" t="s">
        <v>2911</v>
      </c>
      <c r="AE1147" s="1" t="str">
        <f t="shared" si="86"/>
        <v>3457 1</v>
      </c>
      <c r="AF1147" s="5" t="str">
        <f t="shared" ref="AF1147:AF1184" si="89">MID(AD1147,FIND("(",AD1147)+1,FIND(")",AD1147)-FIND("(",AD1147)-1)</f>
        <v>271.4</v>
      </c>
      <c r="AG1147" s="1" t="str">
        <f t="shared" si="85"/>
        <v>Y</v>
      </c>
    </row>
    <row r="1148" spans="1:33" x14ac:dyDescent="0.2">
      <c r="A1148" s="1" t="s">
        <v>383</v>
      </c>
      <c r="B1148" s="1" t="s">
        <v>2909</v>
      </c>
      <c r="C1148" s="1">
        <v>3457</v>
      </c>
      <c r="D1148" s="1">
        <v>2</v>
      </c>
      <c r="F1148" s="1">
        <v>2023</v>
      </c>
      <c r="G1148" s="1" t="s">
        <v>346</v>
      </c>
      <c r="H1148" s="1" t="s">
        <v>350</v>
      </c>
      <c r="I1148" s="1">
        <v>6</v>
      </c>
      <c r="J1148" s="1" t="s">
        <v>228</v>
      </c>
      <c r="K1148" s="1" t="s">
        <v>1319</v>
      </c>
      <c r="L1148" s="1" t="s">
        <v>2910</v>
      </c>
      <c r="M1148" s="1">
        <v>339</v>
      </c>
      <c r="N1148" s="1" t="s">
        <v>39</v>
      </c>
      <c r="O1148" s="1">
        <v>30.436399999999999</v>
      </c>
      <c r="P1148" s="1">
        <v>-95.521500000000003</v>
      </c>
      <c r="Q1148" s="1" t="s">
        <v>353</v>
      </c>
      <c r="R1148" s="1" t="s">
        <v>41</v>
      </c>
      <c r="T1148" s="1" t="s">
        <v>89</v>
      </c>
      <c r="U1148" s="1" t="s">
        <v>44</v>
      </c>
      <c r="X1148" s="1" t="s">
        <v>223</v>
      </c>
      <c r="AA1148" s="3">
        <v>26064</v>
      </c>
      <c r="AB1148" s="1" t="s">
        <v>46</v>
      </c>
      <c r="AC1148" s="5">
        <v>3050</v>
      </c>
      <c r="AD1148" s="1" t="s">
        <v>2912</v>
      </c>
      <c r="AE1148" s="1" t="str">
        <f t="shared" si="86"/>
        <v>3457 2</v>
      </c>
      <c r="AF1148" s="5" t="str">
        <f t="shared" si="89"/>
        <v>271.4</v>
      </c>
      <c r="AG1148" s="1" t="str">
        <f t="shared" si="85"/>
        <v>Y</v>
      </c>
    </row>
    <row r="1149" spans="1:33" x14ac:dyDescent="0.2">
      <c r="A1149" s="1" t="s">
        <v>383</v>
      </c>
      <c r="B1149" s="1" t="s">
        <v>2913</v>
      </c>
      <c r="C1149" s="1">
        <v>3459</v>
      </c>
      <c r="D1149" s="1">
        <v>1</v>
      </c>
      <c r="F1149" s="1">
        <v>2023</v>
      </c>
      <c r="G1149" s="1" t="s">
        <v>346</v>
      </c>
      <c r="H1149" s="1" t="s">
        <v>350</v>
      </c>
      <c r="I1149" s="1">
        <v>6</v>
      </c>
      <c r="K1149" s="1" t="s">
        <v>418</v>
      </c>
      <c r="L1149" s="1" t="s">
        <v>2914</v>
      </c>
      <c r="M1149" s="1">
        <v>361</v>
      </c>
      <c r="N1149" s="1" t="s">
        <v>39</v>
      </c>
      <c r="O1149" s="1">
        <v>30.0242</v>
      </c>
      <c r="P1149" s="1">
        <v>-93.875</v>
      </c>
      <c r="Q1149" s="1" t="s">
        <v>353</v>
      </c>
      <c r="R1149" s="1" t="s">
        <v>41</v>
      </c>
      <c r="T1149" s="1" t="s">
        <v>43</v>
      </c>
      <c r="U1149" s="1" t="s">
        <v>44</v>
      </c>
      <c r="AA1149" s="3">
        <v>22647</v>
      </c>
      <c r="AB1149" s="1" t="s">
        <v>46</v>
      </c>
      <c r="AC1149" s="5">
        <v>2300</v>
      </c>
      <c r="AD1149" s="1" t="s">
        <v>2915</v>
      </c>
      <c r="AE1149" s="1" t="str">
        <f t="shared" si="86"/>
        <v>3459 1</v>
      </c>
      <c r="AF1149" s="5" t="str">
        <f t="shared" si="89"/>
        <v>239.4</v>
      </c>
      <c r="AG1149" s="1" t="str">
        <f t="shared" si="85"/>
        <v/>
      </c>
    </row>
    <row r="1150" spans="1:33" x14ac:dyDescent="0.2">
      <c r="A1150" s="1" t="s">
        <v>383</v>
      </c>
      <c r="B1150" s="1" t="s">
        <v>2913</v>
      </c>
      <c r="C1150" s="1">
        <v>3459</v>
      </c>
      <c r="D1150" s="1">
        <v>3</v>
      </c>
      <c r="F1150" s="1">
        <v>2023</v>
      </c>
      <c r="G1150" s="1" t="s">
        <v>346</v>
      </c>
      <c r="H1150" s="1" t="s">
        <v>350</v>
      </c>
      <c r="I1150" s="1">
        <v>6</v>
      </c>
      <c r="K1150" s="1" t="s">
        <v>418</v>
      </c>
      <c r="L1150" s="1" t="s">
        <v>2914</v>
      </c>
      <c r="M1150" s="1">
        <v>361</v>
      </c>
      <c r="N1150" s="1" t="s">
        <v>39</v>
      </c>
      <c r="O1150" s="1">
        <v>30.0242</v>
      </c>
      <c r="P1150" s="1">
        <v>-93.875</v>
      </c>
      <c r="Q1150" s="1" t="s">
        <v>353</v>
      </c>
      <c r="R1150" s="1" t="s">
        <v>41</v>
      </c>
      <c r="T1150" s="1" t="s">
        <v>43</v>
      </c>
      <c r="U1150" s="1" t="s">
        <v>44</v>
      </c>
      <c r="X1150" s="1" t="s">
        <v>242</v>
      </c>
      <c r="AA1150" s="3">
        <v>24442</v>
      </c>
      <c r="AB1150" s="1" t="s">
        <v>46</v>
      </c>
      <c r="AC1150" s="5">
        <v>4750</v>
      </c>
      <c r="AD1150" s="1" t="s">
        <v>2916</v>
      </c>
      <c r="AE1150" s="1" t="str">
        <f t="shared" si="86"/>
        <v>3459 3</v>
      </c>
      <c r="AF1150" s="5" t="str">
        <f t="shared" si="89"/>
        <v>473.4</v>
      </c>
      <c r="AG1150" s="1" t="str">
        <f t="shared" si="85"/>
        <v/>
      </c>
    </row>
    <row r="1151" spans="1:33" x14ac:dyDescent="0.2">
      <c r="A1151" s="1" t="s">
        <v>383</v>
      </c>
      <c r="B1151" s="1" t="s">
        <v>2913</v>
      </c>
      <c r="C1151" s="1">
        <v>3459</v>
      </c>
      <c r="D1151" s="1">
        <v>4</v>
      </c>
      <c r="F1151" s="1">
        <v>2023</v>
      </c>
      <c r="G1151" s="1" t="s">
        <v>346</v>
      </c>
      <c r="H1151" s="1" t="s">
        <v>350</v>
      </c>
      <c r="I1151" s="1">
        <v>6</v>
      </c>
      <c r="K1151" s="1" t="s">
        <v>418</v>
      </c>
      <c r="L1151" s="1" t="s">
        <v>2914</v>
      </c>
      <c r="M1151" s="1">
        <v>361</v>
      </c>
      <c r="N1151" s="1" t="s">
        <v>39</v>
      </c>
      <c r="O1151" s="1">
        <v>30.0242</v>
      </c>
      <c r="P1151" s="1">
        <v>-93.875</v>
      </c>
      <c r="Q1151" s="1" t="s">
        <v>353</v>
      </c>
      <c r="R1151" s="1" t="s">
        <v>41</v>
      </c>
      <c r="T1151" s="1" t="s">
        <v>89</v>
      </c>
      <c r="U1151" s="1" t="s">
        <v>44</v>
      </c>
      <c r="X1151" s="1" t="s">
        <v>1460</v>
      </c>
      <c r="AA1151" s="3">
        <v>27242</v>
      </c>
      <c r="AB1151" s="1" t="s">
        <v>46</v>
      </c>
      <c r="AC1151" s="5">
        <v>6500</v>
      </c>
      <c r="AD1151" s="1" t="s">
        <v>2917</v>
      </c>
      <c r="AE1151" s="1" t="str">
        <f t="shared" si="86"/>
        <v>3459 4</v>
      </c>
      <c r="AF1151" s="5" t="str">
        <f t="shared" si="89"/>
        <v>591.6</v>
      </c>
      <c r="AG1151" s="1" t="str">
        <f t="shared" si="85"/>
        <v/>
      </c>
    </row>
    <row r="1152" spans="1:33" x14ac:dyDescent="0.2">
      <c r="A1152" s="1" t="s">
        <v>383</v>
      </c>
      <c r="B1152" s="1" t="s">
        <v>2913</v>
      </c>
      <c r="C1152" s="1">
        <v>3459</v>
      </c>
      <c r="D1152" s="1">
        <v>5</v>
      </c>
      <c r="F1152" s="1">
        <v>2023</v>
      </c>
      <c r="G1152" s="1" t="s">
        <v>346</v>
      </c>
      <c r="H1152" s="1" t="s">
        <v>350</v>
      </c>
      <c r="I1152" s="1">
        <v>6</v>
      </c>
      <c r="K1152" s="1" t="s">
        <v>418</v>
      </c>
      <c r="L1152" s="1" t="s">
        <v>2914</v>
      </c>
      <c r="M1152" s="1">
        <v>361</v>
      </c>
      <c r="N1152" s="1" t="s">
        <v>39</v>
      </c>
      <c r="O1152" s="1">
        <v>30.0242</v>
      </c>
      <c r="P1152" s="1">
        <v>-93.875</v>
      </c>
      <c r="Q1152" s="1" t="s">
        <v>353</v>
      </c>
      <c r="R1152" s="1" t="s">
        <v>41</v>
      </c>
      <c r="T1152" s="1" t="s">
        <v>43</v>
      </c>
      <c r="U1152" s="1" t="s">
        <v>44</v>
      </c>
      <c r="X1152" s="1" t="s">
        <v>1233</v>
      </c>
      <c r="AA1152" s="3">
        <v>29210</v>
      </c>
      <c r="AB1152" s="1" t="s">
        <v>46</v>
      </c>
      <c r="AC1152" s="5">
        <v>5400</v>
      </c>
      <c r="AD1152" s="1" t="s">
        <v>2918</v>
      </c>
      <c r="AE1152" s="1" t="str">
        <f t="shared" si="86"/>
        <v>3459 5</v>
      </c>
      <c r="AF1152" s="5" t="str">
        <f t="shared" si="89"/>
        <v>507.4</v>
      </c>
      <c r="AG1152" s="1" t="str">
        <f t="shared" si="85"/>
        <v/>
      </c>
    </row>
    <row r="1153" spans="1:33" x14ac:dyDescent="0.2">
      <c r="A1153" s="1" t="s">
        <v>383</v>
      </c>
      <c r="B1153" s="1" t="s">
        <v>2919</v>
      </c>
      <c r="C1153" s="1">
        <v>3460</v>
      </c>
      <c r="D1153" s="1" t="s">
        <v>2920</v>
      </c>
      <c r="F1153" s="1">
        <v>2023</v>
      </c>
      <c r="G1153" s="1" t="s">
        <v>346</v>
      </c>
      <c r="H1153" s="1">
        <v>602998</v>
      </c>
      <c r="I1153" s="1">
        <v>6</v>
      </c>
      <c r="J1153" s="1" t="s">
        <v>387</v>
      </c>
      <c r="K1153" s="1" t="s">
        <v>2921</v>
      </c>
      <c r="L1153" s="1" t="s">
        <v>2922</v>
      </c>
      <c r="M1153" s="1">
        <v>71</v>
      </c>
      <c r="N1153" s="1" t="s">
        <v>39</v>
      </c>
      <c r="O1153" s="1">
        <v>29.7483</v>
      </c>
      <c r="P1153" s="1">
        <v>-94.927199999999999</v>
      </c>
      <c r="Q1153" s="1" t="s">
        <v>390</v>
      </c>
      <c r="R1153" s="1" t="s">
        <v>41</v>
      </c>
      <c r="T1153" s="1" t="s">
        <v>89</v>
      </c>
      <c r="U1153" s="1" t="s">
        <v>44</v>
      </c>
      <c r="X1153" s="1" t="s">
        <v>223</v>
      </c>
      <c r="AA1153" s="3">
        <v>25913</v>
      </c>
      <c r="AB1153" s="1" t="s">
        <v>46</v>
      </c>
      <c r="AC1153" s="5">
        <v>8187</v>
      </c>
      <c r="AD1153" s="1" t="s">
        <v>2923</v>
      </c>
      <c r="AE1153" s="1" t="str">
        <f t="shared" si="86"/>
        <v>3460 CBY1</v>
      </c>
      <c r="AF1153" s="5" t="str">
        <f t="shared" si="89"/>
        <v>765</v>
      </c>
      <c r="AG1153" s="1" t="str">
        <f t="shared" si="85"/>
        <v>Y</v>
      </c>
    </row>
    <row r="1154" spans="1:33" x14ac:dyDescent="0.2">
      <c r="A1154" s="1" t="s">
        <v>383</v>
      </c>
      <c r="B1154" s="1" t="s">
        <v>2919</v>
      </c>
      <c r="C1154" s="1">
        <v>3460</v>
      </c>
      <c r="D1154" s="1" t="s">
        <v>2924</v>
      </c>
      <c r="F1154" s="1">
        <v>2023</v>
      </c>
      <c r="G1154" s="1" t="s">
        <v>346</v>
      </c>
      <c r="H1154" s="1">
        <v>602998</v>
      </c>
      <c r="I1154" s="1">
        <v>6</v>
      </c>
      <c r="J1154" s="1" t="s">
        <v>387</v>
      </c>
      <c r="K1154" s="1" t="s">
        <v>2921</v>
      </c>
      <c r="L1154" s="1" t="s">
        <v>2922</v>
      </c>
      <c r="M1154" s="1">
        <v>71</v>
      </c>
      <c r="N1154" s="1" t="s">
        <v>39</v>
      </c>
      <c r="O1154" s="1">
        <v>29.7483</v>
      </c>
      <c r="P1154" s="1">
        <v>-94.927199999999999</v>
      </c>
      <c r="Q1154" s="1" t="s">
        <v>390</v>
      </c>
      <c r="R1154" s="1" t="s">
        <v>41</v>
      </c>
      <c r="T1154" s="1" t="s">
        <v>89</v>
      </c>
      <c r="U1154" s="1" t="s">
        <v>44</v>
      </c>
      <c r="X1154" s="1" t="s">
        <v>223</v>
      </c>
      <c r="AA1154" s="3">
        <v>26373</v>
      </c>
      <c r="AB1154" s="1" t="s">
        <v>46</v>
      </c>
      <c r="AC1154" s="5">
        <v>8179</v>
      </c>
      <c r="AD1154" s="1" t="s">
        <v>2925</v>
      </c>
      <c r="AE1154" s="1" t="str">
        <f t="shared" si="86"/>
        <v>3460 CBY2</v>
      </c>
      <c r="AF1154" s="5" t="str">
        <f t="shared" si="89"/>
        <v>765</v>
      </c>
      <c r="AG1154" s="1" t="str">
        <f t="shared" ref="AG1154:AG1217" si="90">IF(ISNUMBER(SEARCH("selective", X1154)), "Y", "")</f>
        <v>Y</v>
      </c>
    </row>
    <row r="1155" spans="1:33" x14ac:dyDescent="0.2">
      <c r="A1155" s="1" t="s">
        <v>383</v>
      </c>
      <c r="B1155" s="1" t="s">
        <v>2926</v>
      </c>
      <c r="C1155" s="1">
        <v>3470</v>
      </c>
      <c r="D1155" s="1" t="s">
        <v>2927</v>
      </c>
      <c r="F1155" s="1">
        <v>2023</v>
      </c>
      <c r="G1155" s="1" t="s">
        <v>346</v>
      </c>
      <c r="H1155" s="1">
        <v>602998</v>
      </c>
      <c r="I1155" s="1">
        <v>6</v>
      </c>
      <c r="J1155" s="1" t="s">
        <v>387</v>
      </c>
      <c r="K1155" s="1" t="s">
        <v>2928</v>
      </c>
      <c r="L1155" s="1" t="s">
        <v>2929</v>
      </c>
      <c r="M1155" s="1">
        <v>157</v>
      </c>
      <c r="N1155" s="1" t="s">
        <v>39</v>
      </c>
      <c r="O1155" s="1">
        <v>29.478300000000001</v>
      </c>
      <c r="P1155" s="1">
        <v>-95.635800000000003</v>
      </c>
      <c r="Q1155" s="1" t="s">
        <v>390</v>
      </c>
      <c r="R1155" s="1" t="s">
        <v>41</v>
      </c>
      <c r="T1155" s="1" t="s">
        <v>89</v>
      </c>
      <c r="U1155" s="1" t="s">
        <v>44</v>
      </c>
      <c r="X1155" s="1" t="s">
        <v>220</v>
      </c>
      <c r="AA1155" s="3">
        <v>21337</v>
      </c>
      <c r="AB1155" s="1" t="s">
        <v>46</v>
      </c>
      <c r="AC1155" s="5">
        <v>2047</v>
      </c>
      <c r="AD1155" s="1" t="s">
        <v>2930</v>
      </c>
      <c r="AE1155" s="1" t="str">
        <f t="shared" ref="AE1155:AE1218" si="91">C1155&amp;" "&amp;D1155</f>
        <v>3470 WAP1</v>
      </c>
      <c r="AF1155" s="5" t="str">
        <f t="shared" si="89"/>
        <v>187.9</v>
      </c>
      <c r="AG1155" s="1" t="str">
        <f t="shared" si="90"/>
        <v/>
      </c>
    </row>
    <row r="1156" spans="1:33" x14ac:dyDescent="0.2">
      <c r="A1156" s="1" t="s">
        <v>383</v>
      </c>
      <c r="B1156" s="1" t="s">
        <v>2926</v>
      </c>
      <c r="C1156" s="1">
        <v>3470</v>
      </c>
      <c r="D1156" s="1" t="s">
        <v>2931</v>
      </c>
      <c r="F1156" s="1">
        <v>2023</v>
      </c>
      <c r="G1156" s="1" t="s">
        <v>346</v>
      </c>
      <c r="H1156" s="1">
        <v>602998</v>
      </c>
      <c r="I1156" s="1">
        <v>6</v>
      </c>
      <c r="J1156" s="1" t="s">
        <v>387</v>
      </c>
      <c r="K1156" s="1" t="s">
        <v>2928</v>
      </c>
      <c r="L1156" s="1" t="s">
        <v>2929</v>
      </c>
      <c r="M1156" s="1">
        <v>157</v>
      </c>
      <c r="N1156" s="1" t="s">
        <v>39</v>
      </c>
      <c r="O1156" s="1">
        <v>29.478300000000001</v>
      </c>
      <c r="P1156" s="1">
        <v>-95.635800000000003</v>
      </c>
      <c r="Q1156" s="1" t="s">
        <v>390</v>
      </c>
      <c r="R1156" s="1" t="s">
        <v>41</v>
      </c>
      <c r="T1156" s="1" t="s">
        <v>89</v>
      </c>
      <c r="U1156" s="1" t="s">
        <v>44</v>
      </c>
      <c r="X1156" s="1" t="s">
        <v>220</v>
      </c>
      <c r="AA1156" s="3">
        <v>21539</v>
      </c>
      <c r="AB1156" s="1" t="s">
        <v>46</v>
      </c>
      <c r="AC1156" s="5">
        <v>1968</v>
      </c>
      <c r="AD1156" s="1" t="s">
        <v>2932</v>
      </c>
      <c r="AE1156" s="1" t="str">
        <f t="shared" si="91"/>
        <v>3470 WAP2</v>
      </c>
      <c r="AF1156" s="5" t="str">
        <f t="shared" si="89"/>
        <v>187.9</v>
      </c>
      <c r="AG1156" s="1" t="str">
        <f t="shared" si="90"/>
        <v/>
      </c>
    </row>
    <row r="1157" spans="1:33" x14ac:dyDescent="0.2">
      <c r="A1157" s="1" t="s">
        <v>383</v>
      </c>
      <c r="B1157" s="1" t="s">
        <v>2926</v>
      </c>
      <c r="C1157" s="1">
        <v>3470</v>
      </c>
      <c r="D1157" s="1" t="s">
        <v>2933</v>
      </c>
      <c r="F1157" s="1">
        <v>2023</v>
      </c>
      <c r="G1157" s="1" t="s">
        <v>346</v>
      </c>
      <c r="H1157" s="1">
        <v>602998</v>
      </c>
      <c r="I1157" s="1">
        <v>6</v>
      </c>
      <c r="J1157" s="1" t="s">
        <v>387</v>
      </c>
      <c r="K1157" s="1" t="s">
        <v>2928</v>
      </c>
      <c r="L1157" s="1" t="s">
        <v>2929</v>
      </c>
      <c r="M1157" s="1">
        <v>157</v>
      </c>
      <c r="N1157" s="1" t="s">
        <v>39</v>
      </c>
      <c r="O1157" s="1">
        <v>29.478300000000001</v>
      </c>
      <c r="P1157" s="1">
        <v>-95.635800000000003</v>
      </c>
      <c r="Q1157" s="1" t="s">
        <v>390</v>
      </c>
      <c r="R1157" s="1" t="s">
        <v>41</v>
      </c>
      <c r="T1157" s="1" t="s">
        <v>89</v>
      </c>
      <c r="U1157" s="1" t="s">
        <v>44</v>
      </c>
      <c r="X1157" s="1" t="s">
        <v>220</v>
      </c>
      <c r="AA1157" s="3">
        <v>22355</v>
      </c>
      <c r="AB1157" s="1" t="s">
        <v>46</v>
      </c>
      <c r="AC1157" s="5">
        <v>3003</v>
      </c>
      <c r="AD1157" s="1" t="s">
        <v>2934</v>
      </c>
      <c r="AE1157" s="1" t="str">
        <f t="shared" si="91"/>
        <v>3470 WAP3</v>
      </c>
      <c r="AF1157" s="5" t="str">
        <f t="shared" si="89"/>
        <v>299.2</v>
      </c>
      <c r="AG1157" s="1" t="str">
        <f t="shared" si="90"/>
        <v/>
      </c>
    </row>
    <row r="1158" spans="1:33" x14ac:dyDescent="0.2">
      <c r="A1158" s="1" t="s">
        <v>383</v>
      </c>
      <c r="B1158" s="1" t="s">
        <v>2926</v>
      </c>
      <c r="C1158" s="1">
        <v>3470</v>
      </c>
      <c r="D1158" s="1" t="s">
        <v>2935</v>
      </c>
      <c r="F1158" s="1">
        <v>2023</v>
      </c>
      <c r="G1158" s="1" t="s">
        <v>2899</v>
      </c>
      <c r="H1158" s="1">
        <v>602998</v>
      </c>
      <c r="I1158" s="1">
        <v>6</v>
      </c>
      <c r="J1158" s="1" t="s">
        <v>387</v>
      </c>
      <c r="K1158" s="1" t="s">
        <v>2928</v>
      </c>
      <c r="L1158" s="1" t="s">
        <v>2929</v>
      </c>
      <c r="M1158" s="1">
        <v>157</v>
      </c>
      <c r="N1158" s="1" t="s">
        <v>39</v>
      </c>
      <c r="O1158" s="1">
        <v>29.478300000000001</v>
      </c>
      <c r="P1158" s="1">
        <v>-95.635800000000003</v>
      </c>
      <c r="Q1158" s="1" t="s">
        <v>390</v>
      </c>
      <c r="R1158" s="1" t="s">
        <v>41</v>
      </c>
      <c r="T1158" s="1" t="s">
        <v>43</v>
      </c>
      <c r="U1158" s="1" t="s">
        <v>44</v>
      </c>
      <c r="X1158" s="1" t="s">
        <v>220</v>
      </c>
      <c r="AA1158" s="3">
        <v>24990</v>
      </c>
      <c r="AB1158" s="1" t="s">
        <v>46</v>
      </c>
      <c r="AC1158" s="5">
        <v>5950</v>
      </c>
      <c r="AD1158" s="1" t="s">
        <v>2936</v>
      </c>
      <c r="AE1158" s="1" t="str">
        <f t="shared" si="91"/>
        <v>3470 WAP4</v>
      </c>
      <c r="AF1158" s="5" t="str">
        <f t="shared" si="89"/>
        <v>580.5</v>
      </c>
      <c r="AG1158" s="1" t="str">
        <f t="shared" si="90"/>
        <v/>
      </c>
    </row>
    <row r="1159" spans="1:33" x14ac:dyDescent="0.2">
      <c r="A1159" s="1" t="s">
        <v>383</v>
      </c>
      <c r="B1159" s="1" t="s">
        <v>2926</v>
      </c>
      <c r="C1159" s="1">
        <v>3470</v>
      </c>
      <c r="D1159" s="1" t="s">
        <v>2937</v>
      </c>
      <c r="F1159" s="1">
        <v>2023</v>
      </c>
      <c r="G1159" s="1" t="s">
        <v>386</v>
      </c>
      <c r="H1159" s="1">
        <v>602998</v>
      </c>
      <c r="I1159" s="1">
        <v>6</v>
      </c>
      <c r="J1159" s="1" t="s">
        <v>387</v>
      </c>
      <c r="K1159" s="1" t="s">
        <v>2928</v>
      </c>
      <c r="L1159" s="1" t="s">
        <v>2929</v>
      </c>
      <c r="M1159" s="1">
        <v>157</v>
      </c>
      <c r="N1159" s="1" t="s">
        <v>39</v>
      </c>
      <c r="O1159" s="1">
        <v>29.478300000000001</v>
      </c>
      <c r="P1159" s="1">
        <v>-95.635800000000003</v>
      </c>
      <c r="Q1159" s="1" t="s">
        <v>390</v>
      </c>
      <c r="R1159" s="1" t="s">
        <v>41</v>
      </c>
      <c r="S1159" s="1" t="s">
        <v>211</v>
      </c>
      <c r="T1159" s="1" t="s">
        <v>89</v>
      </c>
      <c r="U1159" s="1" t="s">
        <v>55</v>
      </c>
      <c r="V1159" s="1" t="s">
        <v>44</v>
      </c>
      <c r="X1159" s="1" t="s">
        <v>223</v>
      </c>
      <c r="Y1159" s="1" t="s">
        <v>232</v>
      </c>
      <c r="Z1159" s="1" t="s">
        <v>214</v>
      </c>
      <c r="AA1159" s="3">
        <v>28486</v>
      </c>
      <c r="AB1159" s="1" t="s">
        <v>46</v>
      </c>
      <c r="AC1159" s="5">
        <v>8545</v>
      </c>
      <c r="AD1159" s="1" t="s">
        <v>2938</v>
      </c>
      <c r="AE1159" s="1" t="str">
        <f t="shared" si="91"/>
        <v>3470 WAP5</v>
      </c>
      <c r="AF1159" s="5" t="str">
        <f t="shared" si="89"/>
        <v>734.1</v>
      </c>
      <c r="AG1159" s="1" t="str">
        <f t="shared" si="90"/>
        <v>Y</v>
      </c>
    </row>
    <row r="1160" spans="1:33" x14ac:dyDescent="0.2">
      <c r="A1160" s="1" t="s">
        <v>383</v>
      </c>
      <c r="B1160" s="1" t="s">
        <v>2926</v>
      </c>
      <c r="C1160" s="1">
        <v>3470</v>
      </c>
      <c r="D1160" s="1" t="s">
        <v>2939</v>
      </c>
      <c r="F1160" s="1">
        <v>2023</v>
      </c>
      <c r="G1160" s="1" t="s">
        <v>386</v>
      </c>
      <c r="H1160" s="1">
        <v>602998</v>
      </c>
      <c r="I1160" s="1">
        <v>6</v>
      </c>
      <c r="J1160" s="1" t="s">
        <v>387</v>
      </c>
      <c r="K1160" s="1" t="s">
        <v>2928</v>
      </c>
      <c r="L1160" s="1" t="s">
        <v>2929</v>
      </c>
      <c r="M1160" s="1">
        <v>157</v>
      </c>
      <c r="N1160" s="1" t="s">
        <v>39</v>
      </c>
      <c r="O1160" s="1">
        <v>29.478300000000001</v>
      </c>
      <c r="P1160" s="1">
        <v>-95.635800000000003</v>
      </c>
      <c r="Q1160" s="1" t="s">
        <v>390</v>
      </c>
      <c r="R1160" s="1" t="s">
        <v>41</v>
      </c>
      <c r="S1160" s="1" t="s">
        <v>211</v>
      </c>
      <c r="T1160" s="1" t="s">
        <v>89</v>
      </c>
      <c r="U1160" s="1" t="s">
        <v>55</v>
      </c>
      <c r="V1160" s="1" t="s">
        <v>44</v>
      </c>
      <c r="X1160" s="1" t="s">
        <v>223</v>
      </c>
      <c r="Y1160" s="1" t="s">
        <v>232</v>
      </c>
      <c r="Z1160" s="1" t="s">
        <v>214</v>
      </c>
      <c r="AA1160" s="3">
        <v>28851</v>
      </c>
      <c r="AB1160" s="1" t="s">
        <v>46</v>
      </c>
      <c r="AC1160" s="5">
        <v>10860</v>
      </c>
      <c r="AD1160" s="1" t="s">
        <v>2940</v>
      </c>
      <c r="AE1160" s="1" t="str">
        <f t="shared" si="91"/>
        <v>3470 WAP6</v>
      </c>
      <c r="AF1160" s="5" t="str">
        <f t="shared" si="89"/>
        <v>734.1</v>
      </c>
      <c r="AG1160" s="1" t="str">
        <f t="shared" si="90"/>
        <v>Y</v>
      </c>
    </row>
    <row r="1161" spans="1:33" x14ac:dyDescent="0.2">
      <c r="A1161" s="1" t="s">
        <v>383</v>
      </c>
      <c r="B1161" s="1" t="s">
        <v>2926</v>
      </c>
      <c r="C1161" s="1">
        <v>3470</v>
      </c>
      <c r="D1161" s="1" t="s">
        <v>2941</v>
      </c>
      <c r="F1161" s="1">
        <v>2023</v>
      </c>
      <c r="G1161" s="1" t="s">
        <v>386</v>
      </c>
      <c r="H1161" s="1">
        <v>602998</v>
      </c>
      <c r="I1161" s="1">
        <v>6</v>
      </c>
      <c r="J1161" s="1" t="s">
        <v>387</v>
      </c>
      <c r="K1161" s="1" t="s">
        <v>2928</v>
      </c>
      <c r="L1161" s="1" t="s">
        <v>2929</v>
      </c>
      <c r="M1161" s="1">
        <v>157</v>
      </c>
      <c r="N1161" s="1" t="s">
        <v>39</v>
      </c>
      <c r="O1161" s="1">
        <v>29.478300000000001</v>
      </c>
      <c r="P1161" s="1">
        <v>-95.635800000000003</v>
      </c>
      <c r="Q1161" s="1" t="s">
        <v>390</v>
      </c>
      <c r="R1161" s="1" t="s">
        <v>41</v>
      </c>
      <c r="S1161" s="1" t="s">
        <v>211</v>
      </c>
      <c r="T1161" s="1" t="s">
        <v>43</v>
      </c>
      <c r="U1161" s="1" t="s">
        <v>55</v>
      </c>
      <c r="V1161" s="1" t="s">
        <v>44</v>
      </c>
      <c r="X1161" s="1" t="s">
        <v>223</v>
      </c>
      <c r="Y1161" s="1" t="s">
        <v>232</v>
      </c>
      <c r="Z1161" s="1" t="s">
        <v>214</v>
      </c>
      <c r="AA1161" s="3">
        <v>29374</v>
      </c>
      <c r="AB1161" s="1" t="s">
        <v>46</v>
      </c>
      <c r="AC1161" s="5">
        <v>8351</v>
      </c>
      <c r="AD1161" s="1" t="s">
        <v>2942</v>
      </c>
      <c r="AE1161" s="1" t="str">
        <f t="shared" si="91"/>
        <v>3470 WAP7</v>
      </c>
      <c r="AF1161" s="5" t="str">
        <f t="shared" si="89"/>
        <v>614.6</v>
      </c>
      <c r="AG1161" s="1" t="str">
        <f t="shared" si="90"/>
        <v>Y</v>
      </c>
    </row>
    <row r="1162" spans="1:33" x14ac:dyDescent="0.2">
      <c r="A1162" s="1" t="s">
        <v>383</v>
      </c>
      <c r="B1162" s="1" t="s">
        <v>2926</v>
      </c>
      <c r="C1162" s="1">
        <v>3470</v>
      </c>
      <c r="D1162" s="1" t="s">
        <v>2943</v>
      </c>
      <c r="E1162" s="1" t="s">
        <v>2944</v>
      </c>
      <c r="F1162" s="1">
        <v>2023</v>
      </c>
      <c r="G1162" s="1" t="s">
        <v>337</v>
      </c>
      <c r="H1162" s="1">
        <v>602998</v>
      </c>
      <c r="I1162" s="1">
        <v>6</v>
      </c>
      <c r="J1162" s="1" t="s">
        <v>387</v>
      </c>
      <c r="K1162" s="1" t="s">
        <v>2928</v>
      </c>
      <c r="L1162" s="1" t="s">
        <v>2929</v>
      </c>
      <c r="M1162" s="1">
        <v>157</v>
      </c>
      <c r="N1162" s="1" t="s">
        <v>39</v>
      </c>
      <c r="O1162" s="1">
        <v>29.478300000000001</v>
      </c>
      <c r="P1162" s="1">
        <v>-95.635800000000003</v>
      </c>
      <c r="Q1162" s="1" t="s">
        <v>390</v>
      </c>
      <c r="R1162" s="1" t="s">
        <v>41</v>
      </c>
      <c r="S1162" s="1" t="s">
        <v>211</v>
      </c>
      <c r="T1162" s="1" t="s">
        <v>43</v>
      </c>
      <c r="U1162" s="1" t="s">
        <v>55</v>
      </c>
      <c r="V1162" s="1" t="s">
        <v>44</v>
      </c>
      <c r="W1162" s="1" t="s">
        <v>2945</v>
      </c>
      <c r="X1162" s="1" t="s">
        <v>2946</v>
      </c>
      <c r="Y1162" s="1" t="s">
        <v>232</v>
      </c>
      <c r="Z1162" s="1" t="s">
        <v>214</v>
      </c>
      <c r="AA1162" s="3">
        <v>30286</v>
      </c>
      <c r="AB1162" s="1" t="s">
        <v>46</v>
      </c>
      <c r="AC1162" s="5">
        <v>9650</v>
      </c>
      <c r="AD1162" s="1" t="s">
        <v>2947</v>
      </c>
      <c r="AE1162" s="1" t="str">
        <f t="shared" si="91"/>
        <v>3470 WAP8</v>
      </c>
      <c r="AF1162" s="5" t="str">
        <f t="shared" si="89"/>
        <v>614.6</v>
      </c>
      <c r="AG1162" s="1" t="str">
        <f t="shared" si="90"/>
        <v>Y</v>
      </c>
    </row>
    <row r="1163" spans="1:33" x14ac:dyDescent="0.2">
      <c r="A1163" s="1" t="s">
        <v>383</v>
      </c>
      <c r="B1163" s="1" t="s">
        <v>2948</v>
      </c>
      <c r="C1163" s="1">
        <v>3476</v>
      </c>
      <c r="D1163" s="1">
        <v>5</v>
      </c>
      <c r="F1163" s="1">
        <v>2023</v>
      </c>
      <c r="G1163" s="1" t="s">
        <v>346</v>
      </c>
      <c r="H1163" s="1" t="s">
        <v>1346</v>
      </c>
      <c r="I1163" s="1">
        <v>6</v>
      </c>
      <c r="J1163" s="1" t="s">
        <v>387</v>
      </c>
      <c r="K1163" s="1" t="s">
        <v>2949</v>
      </c>
      <c r="L1163" s="1" t="s">
        <v>2950</v>
      </c>
      <c r="M1163" s="1">
        <v>183</v>
      </c>
      <c r="N1163" s="1" t="s">
        <v>39</v>
      </c>
      <c r="O1163" s="1">
        <v>32.376600000000003</v>
      </c>
      <c r="P1163" s="1">
        <v>-94.641499999999994</v>
      </c>
      <c r="Q1163" s="1" t="s">
        <v>1478</v>
      </c>
      <c r="R1163" s="1" t="s">
        <v>41</v>
      </c>
      <c r="T1163" s="1" t="s">
        <v>43</v>
      </c>
      <c r="U1163" s="1" t="s">
        <v>44</v>
      </c>
      <c r="AA1163" s="3">
        <v>27144</v>
      </c>
      <c r="AB1163" s="1" t="s">
        <v>46</v>
      </c>
      <c r="AC1163" s="5">
        <v>3368</v>
      </c>
      <c r="AD1163" s="1" t="s">
        <v>2951</v>
      </c>
      <c r="AE1163" s="1" t="str">
        <f t="shared" si="91"/>
        <v>3476 5</v>
      </c>
      <c r="AF1163" s="5" t="str">
        <f t="shared" si="89"/>
        <v>323.7</v>
      </c>
      <c r="AG1163" s="1" t="str">
        <f t="shared" si="90"/>
        <v/>
      </c>
    </row>
    <row r="1164" spans="1:33" x14ac:dyDescent="0.2">
      <c r="A1164" s="1" t="s">
        <v>383</v>
      </c>
      <c r="B1164" s="1" t="s">
        <v>2952</v>
      </c>
      <c r="C1164" s="1">
        <v>3478</v>
      </c>
      <c r="D1164" s="1">
        <v>1</v>
      </c>
      <c r="F1164" s="1">
        <v>2023</v>
      </c>
      <c r="G1164" s="1" t="s">
        <v>2899</v>
      </c>
      <c r="H1164" s="1" t="s">
        <v>1346</v>
      </c>
      <c r="I1164" s="1">
        <v>6</v>
      </c>
      <c r="J1164" s="1" t="s">
        <v>387</v>
      </c>
      <c r="K1164" s="1" t="s">
        <v>1087</v>
      </c>
      <c r="L1164" s="1" t="s">
        <v>2953</v>
      </c>
      <c r="M1164" s="1">
        <v>315</v>
      </c>
      <c r="N1164" s="1" t="s">
        <v>39</v>
      </c>
      <c r="O1164" s="1">
        <v>32.848599999999998</v>
      </c>
      <c r="P1164" s="1">
        <v>-94.546899999999994</v>
      </c>
      <c r="Q1164" s="1" t="s">
        <v>1478</v>
      </c>
      <c r="R1164" s="1" t="s">
        <v>41</v>
      </c>
      <c r="T1164" s="1" t="s">
        <v>43</v>
      </c>
      <c r="U1164" s="1" t="s">
        <v>44</v>
      </c>
      <c r="V1164" s="1" t="s">
        <v>1292</v>
      </c>
      <c r="X1164" s="1" t="s">
        <v>1460</v>
      </c>
      <c r="AA1164" s="3">
        <v>23437</v>
      </c>
      <c r="AB1164" s="1" t="s">
        <v>46</v>
      </c>
      <c r="AC1164" s="5">
        <v>1562</v>
      </c>
      <c r="AD1164" s="1" t="s">
        <v>2954</v>
      </c>
      <c r="AE1164" s="1" t="str">
        <f t="shared" si="91"/>
        <v>3478 1</v>
      </c>
      <c r="AF1164" s="5" t="str">
        <f t="shared" si="89"/>
        <v>179.5</v>
      </c>
      <c r="AG1164" s="1" t="str">
        <f t="shared" si="90"/>
        <v/>
      </c>
    </row>
    <row r="1165" spans="1:33" x14ac:dyDescent="0.2">
      <c r="A1165" s="1" t="s">
        <v>383</v>
      </c>
      <c r="B1165" s="1" t="s">
        <v>2952</v>
      </c>
      <c r="C1165" s="1">
        <v>3478</v>
      </c>
      <c r="D1165" s="1">
        <v>2</v>
      </c>
      <c r="F1165" s="1">
        <v>2023</v>
      </c>
      <c r="G1165" s="1" t="s">
        <v>2899</v>
      </c>
      <c r="H1165" s="1" t="s">
        <v>1346</v>
      </c>
      <c r="I1165" s="1">
        <v>6</v>
      </c>
      <c r="J1165" s="1" t="s">
        <v>387</v>
      </c>
      <c r="K1165" s="1" t="s">
        <v>1087</v>
      </c>
      <c r="L1165" s="1" t="s">
        <v>2953</v>
      </c>
      <c r="M1165" s="1">
        <v>315</v>
      </c>
      <c r="N1165" s="1" t="s">
        <v>39</v>
      </c>
      <c r="O1165" s="1">
        <v>32.848599999999998</v>
      </c>
      <c r="P1165" s="1">
        <v>-94.546899999999994</v>
      </c>
      <c r="Q1165" s="1" t="s">
        <v>1478</v>
      </c>
      <c r="R1165" s="1" t="s">
        <v>41</v>
      </c>
      <c r="T1165" s="1" t="s">
        <v>89</v>
      </c>
      <c r="U1165" s="1" t="s">
        <v>44</v>
      </c>
      <c r="X1165" s="1" t="s">
        <v>90</v>
      </c>
      <c r="AA1165" s="3">
        <v>25628</v>
      </c>
      <c r="AB1165" s="1" t="s">
        <v>46</v>
      </c>
      <c r="AC1165" s="5">
        <v>3052</v>
      </c>
      <c r="AD1165" s="1" t="s">
        <v>2955</v>
      </c>
      <c r="AE1165" s="1" t="str">
        <f t="shared" si="91"/>
        <v>3478 2</v>
      </c>
      <c r="AF1165" s="5" t="str">
        <f t="shared" si="89"/>
        <v>351</v>
      </c>
      <c r="AG1165" s="1" t="str">
        <f t="shared" si="90"/>
        <v/>
      </c>
    </row>
    <row r="1166" spans="1:33" x14ac:dyDescent="0.2">
      <c r="A1166" s="1" t="s">
        <v>383</v>
      </c>
      <c r="B1166" s="1" t="s">
        <v>2952</v>
      </c>
      <c r="C1166" s="1">
        <v>3478</v>
      </c>
      <c r="D1166" s="1">
        <v>3</v>
      </c>
      <c r="F1166" s="1">
        <v>2023</v>
      </c>
      <c r="G1166" s="1" t="s">
        <v>2899</v>
      </c>
      <c r="H1166" s="1" t="s">
        <v>1346</v>
      </c>
      <c r="I1166" s="1">
        <v>6</v>
      </c>
      <c r="J1166" s="1" t="s">
        <v>387</v>
      </c>
      <c r="K1166" s="1" t="s">
        <v>1087</v>
      </c>
      <c r="L1166" s="1" t="s">
        <v>2953</v>
      </c>
      <c r="M1166" s="1">
        <v>315</v>
      </c>
      <c r="N1166" s="1" t="s">
        <v>39</v>
      </c>
      <c r="O1166" s="1">
        <v>32.848599999999998</v>
      </c>
      <c r="P1166" s="1">
        <v>-94.546899999999994</v>
      </c>
      <c r="Q1166" s="1" t="s">
        <v>1478</v>
      </c>
      <c r="R1166" s="1" t="s">
        <v>41</v>
      </c>
      <c r="T1166" s="1" t="s">
        <v>89</v>
      </c>
      <c r="U1166" s="1" t="s">
        <v>44</v>
      </c>
      <c r="X1166" s="1" t="s">
        <v>90</v>
      </c>
      <c r="AA1166" s="3">
        <v>26177</v>
      </c>
      <c r="AB1166" s="1" t="s">
        <v>46</v>
      </c>
      <c r="AC1166" s="5">
        <v>3052</v>
      </c>
      <c r="AD1166" s="1" t="s">
        <v>2956</v>
      </c>
      <c r="AE1166" s="1" t="str">
        <f t="shared" si="91"/>
        <v>3478 3</v>
      </c>
      <c r="AF1166" s="5" t="str">
        <f t="shared" si="89"/>
        <v>351</v>
      </c>
      <c r="AG1166" s="1" t="str">
        <f t="shared" si="90"/>
        <v/>
      </c>
    </row>
    <row r="1167" spans="1:33" x14ac:dyDescent="0.2">
      <c r="A1167" s="1" t="s">
        <v>383</v>
      </c>
      <c r="B1167" s="1" t="s">
        <v>2957</v>
      </c>
      <c r="C1167" s="1">
        <v>3482</v>
      </c>
      <c r="D1167" s="1" t="s">
        <v>2958</v>
      </c>
      <c r="F1167" s="1">
        <v>2023</v>
      </c>
      <c r="G1167" s="1" t="s">
        <v>346</v>
      </c>
      <c r="H1167" s="1">
        <v>606233</v>
      </c>
      <c r="I1167" s="1">
        <v>6</v>
      </c>
      <c r="J1167" s="1" t="s">
        <v>228</v>
      </c>
      <c r="K1167" s="1" t="s">
        <v>2959</v>
      </c>
      <c r="L1167" s="1" t="s">
        <v>2960</v>
      </c>
      <c r="M1167" s="1">
        <v>303</v>
      </c>
      <c r="N1167" s="1" t="s">
        <v>39</v>
      </c>
      <c r="O1167" s="1">
        <v>33.523899999999998</v>
      </c>
      <c r="P1167" s="1">
        <v>-101.7392</v>
      </c>
      <c r="Q1167" s="1" t="s">
        <v>2073</v>
      </c>
      <c r="R1167" s="1" t="s">
        <v>41</v>
      </c>
      <c r="T1167" s="1" t="s">
        <v>43</v>
      </c>
      <c r="U1167" s="1" t="s">
        <v>44</v>
      </c>
      <c r="V1167" s="1" t="s">
        <v>94</v>
      </c>
      <c r="X1167" s="1" t="s">
        <v>220</v>
      </c>
      <c r="AA1167" s="3">
        <v>26115</v>
      </c>
      <c r="AB1167" s="1" t="s">
        <v>46</v>
      </c>
      <c r="AC1167" s="5">
        <v>3053</v>
      </c>
      <c r="AD1167" s="1" t="s">
        <v>2961</v>
      </c>
      <c r="AE1167" s="1" t="str">
        <f t="shared" si="91"/>
        <v>3482 151B</v>
      </c>
      <c r="AF1167" s="5" t="str">
        <f t="shared" si="89"/>
        <v>248</v>
      </c>
      <c r="AG1167" s="1" t="str">
        <f t="shared" si="90"/>
        <v/>
      </c>
    </row>
    <row r="1168" spans="1:33" x14ac:dyDescent="0.2">
      <c r="A1168" s="1" t="s">
        <v>383</v>
      </c>
      <c r="B1168" s="1" t="s">
        <v>2957</v>
      </c>
      <c r="C1168" s="1">
        <v>3482</v>
      </c>
      <c r="D1168" s="1" t="s">
        <v>2962</v>
      </c>
      <c r="F1168" s="1">
        <v>2023</v>
      </c>
      <c r="G1168" s="1" t="s">
        <v>346</v>
      </c>
      <c r="H1168" s="1">
        <v>606233</v>
      </c>
      <c r="I1168" s="1">
        <v>6</v>
      </c>
      <c r="J1168" s="1" t="s">
        <v>228</v>
      </c>
      <c r="K1168" s="1" t="s">
        <v>2959</v>
      </c>
      <c r="L1168" s="1" t="s">
        <v>2960</v>
      </c>
      <c r="M1168" s="1">
        <v>303</v>
      </c>
      <c r="N1168" s="1" t="s">
        <v>39</v>
      </c>
      <c r="O1168" s="1">
        <v>33.523899999999998</v>
      </c>
      <c r="P1168" s="1">
        <v>-101.7392</v>
      </c>
      <c r="Q1168" s="1" t="s">
        <v>2073</v>
      </c>
      <c r="R1168" s="1" t="s">
        <v>41</v>
      </c>
      <c r="T1168" s="1" t="s">
        <v>43</v>
      </c>
      <c r="U1168" s="1" t="s">
        <v>44</v>
      </c>
      <c r="V1168" s="1" t="s">
        <v>2963</v>
      </c>
      <c r="X1168" s="1" t="s">
        <v>242</v>
      </c>
      <c r="AA1168" s="3">
        <v>27181</v>
      </c>
      <c r="AB1168" s="1" t="s">
        <v>46</v>
      </c>
      <c r="AC1168" s="5">
        <v>3377</v>
      </c>
      <c r="AD1168" s="1" t="s">
        <v>2964</v>
      </c>
      <c r="AE1168" s="1" t="str">
        <f t="shared" si="91"/>
        <v>3482 152B</v>
      </c>
      <c r="AF1168" s="5" t="str">
        <f t="shared" si="89"/>
        <v>248</v>
      </c>
      <c r="AG1168" s="1" t="str">
        <f t="shared" si="90"/>
        <v/>
      </c>
    </row>
    <row r="1169" spans="1:33" x14ac:dyDescent="0.2">
      <c r="A1169" s="1" t="s">
        <v>383</v>
      </c>
      <c r="B1169" s="1" t="s">
        <v>2957</v>
      </c>
      <c r="C1169" s="1">
        <v>3482</v>
      </c>
      <c r="D1169" s="1" t="s">
        <v>2965</v>
      </c>
      <c r="F1169" s="1">
        <v>2023</v>
      </c>
      <c r="G1169" s="1" t="s">
        <v>346</v>
      </c>
      <c r="H1169" s="1">
        <v>606233</v>
      </c>
      <c r="I1169" s="1">
        <v>6</v>
      </c>
      <c r="J1169" s="1" t="s">
        <v>228</v>
      </c>
      <c r="K1169" s="1" t="s">
        <v>2959</v>
      </c>
      <c r="L1169" s="1" t="s">
        <v>2960</v>
      </c>
      <c r="M1169" s="1">
        <v>303</v>
      </c>
      <c r="N1169" s="1" t="s">
        <v>39</v>
      </c>
      <c r="O1169" s="1">
        <v>33.523899999999998</v>
      </c>
      <c r="P1169" s="1">
        <v>-101.7392</v>
      </c>
      <c r="Q1169" s="1" t="s">
        <v>2073</v>
      </c>
      <c r="R1169" s="1" t="s">
        <v>41</v>
      </c>
      <c r="T1169" s="1" t="s">
        <v>93</v>
      </c>
      <c r="U1169" s="1" t="s">
        <v>44</v>
      </c>
      <c r="X1169" s="1" t="s">
        <v>140</v>
      </c>
      <c r="AA1169" s="3">
        <v>40712</v>
      </c>
      <c r="AB1169" s="1" t="s">
        <v>46</v>
      </c>
      <c r="AC1169" s="5">
        <v>2099</v>
      </c>
      <c r="AD1169" s="1" t="s">
        <v>2966</v>
      </c>
      <c r="AE1169" s="1" t="str">
        <f t="shared" si="91"/>
        <v>3482 153T</v>
      </c>
      <c r="AF1169" s="5" t="str">
        <f t="shared" si="89"/>
        <v>203</v>
      </c>
      <c r="AG1169" s="1" t="str">
        <f t="shared" si="90"/>
        <v/>
      </c>
    </row>
    <row r="1170" spans="1:33" x14ac:dyDescent="0.2">
      <c r="A1170" s="1" t="s">
        <v>383</v>
      </c>
      <c r="B1170" s="1" t="s">
        <v>2957</v>
      </c>
      <c r="C1170" s="1">
        <v>3482</v>
      </c>
      <c r="D1170" s="1" t="s">
        <v>2967</v>
      </c>
      <c r="F1170" s="1">
        <v>2023</v>
      </c>
      <c r="G1170" s="1" t="s">
        <v>346</v>
      </c>
      <c r="H1170" s="1">
        <v>606233</v>
      </c>
      <c r="I1170" s="1">
        <v>6</v>
      </c>
      <c r="J1170" s="1" t="s">
        <v>228</v>
      </c>
      <c r="K1170" s="1" t="s">
        <v>2959</v>
      </c>
      <c r="L1170" s="1" t="s">
        <v>2960</v>
      </c>
      <c r="M1170" s="1">
        <v>303</v>
      </c>
      <c r="N1170" s="1" t="s">
        <v>39</v>
      </c>
      <c r="O1170" s="1">
        <v>33.523899999999998</v>
      </c>
      <c r="P1170" s="1">
        <v>-101.7392</v>
      </c>
      <c r="Q1170" s="1" t="s">
        <v>2073</v>
      </c>
      <c r="R1170" s="1" t="s">
        <v>41</v>
      </c>
      <c r="T1170" s="1" t="s">
        <v>93</v>
      </c>
      <c r="U1170" s="1" t="s">
        <v>44</v>
      </c>
      <c r="X1170" s="1" t="s">
        <v>140</v>
      </c>
      <c r="AA1170" s="3">
        <v>41374</v>
      </c>
      <c r="AB1170" s="1" t="s">
        <v>46</v>
      </c>
      <c r="AC1170" s="5">
        <v>2099</v>
      </c>
      <c r="AD1170" s="1" t="s">
        <v>2968</v>
      </c>
      <c r="AE1170" s="1" t="str">
        <f t="shared" si="91"/>
        <v>3482 154T</v>
      </c>
      <c r="AF1170" s="5" t="str">
        <f t="shared" si="89"/>
        <v>203</v>
      </c>
      <c r="AG1170" s="1" t="str">
        <f t="shared" si="90"/>
        <v/>
      </c>
    </row>
    <row r="1171" spans="1:33" x14ac:dyDescent="0.2">
      <c r="A1171" s="1" t="s">
        <v>383</v>
      </c>
      <c r="B1171" s="1" t="s">
        <v>2969</v>
      </c>
      <c r="C1171" s="1">
        <v>3484</v>
      </c>
      <c r="D1171" s="1" t="s">
        <v>2970</v>
      </c>
      <c r="F1171" s="1">
        <v>2023</v>
      </c>
      <c r="G1171" s="1" t="s">
        <v>346</v>
      </c>
      <c r="H1171" s="1">
        <v>606233</v>
      </c>
      <c r="I1171" s="1">
        <v>6</v>
      </c>
      <c r="J1171" s="1" t="s">
        <v>228</v>
      </c>
      <c r="K1171" s="1" t="s">
        <v>2971</v>
      </c>
      <c r="L1171" s="1" t="s">
        <v>2972</v>
      </c>
      <c r="M1171" s="1">
        <v>375</v>
      </c>
      <c r="N1171" s="1" t="s">
        <v>39</v>
      </c>
      <c r="O1171" s="1">
        <v>35.282499999999999</v>
      </c>
      <c r="P1171" s="1">
        <v>-101.7458</v>
      </c>
      <c r="Q1171" s="1" t="s">
        <v>2073</v>
      </c>
      <c r="R1171" s="1" t="s">
        <v>41</v>
      </c>
      <c r="T1171" s="1" t="s">
        <v>43</v>
      </c>
      <c r="U1171" s="1" t="s">
        <v>44</v>
      </c>
      <c r="X1171" s="1" t="s">
        <v>220</v>
      </c>
      <c r="AA1171" s="3">
        <v>22098</v>
      </c>
      <c r="AB1171" s="1" t="s">
        <v>46</v>
      </c>
      <c r="AC1171" s="5">
        <v>1122</v>
      </c>
      <c r="AD1171" s="1" t="s">
        <v>2074</v>
      </c>
      <c r="AE1171" s="1" t="str">
        <f t="shared" si="91"/>
        <v>3484 141B</v>
      </c>
      <c r="AF1171" s="5" t="str">
        <f t="shared" si="89"/>
        <v>114</v>
      </c>
      <c r="AG1171" s="1" t="str">
        <f t="shared" si="90"/>
        <v/>
      </c>
    </row>
    <row r="1172" spans="1:33" x14ac:dyDescent="0.2">
      <c r="A1172" s="1" t="s">
        <v>383</v>
      </c>
      <c r="B1172" s="1" t="s">
        <v>2969</v>
      </c>
      <c r="C1172" s="1">
        <v>3484</v>
      </c>
      <c r="D1172" s="1" t="s">
        <v>2973</v>
      </c>
      <c r="F1172" s="1">
        <v>2023</v>
      </c>
      <c r="G1172" s="1" t="s">
        <v>346</v>
      </c>
      <c r="H1172" s="1">
        <v>606233</v>
      </c>
      <c r="I1172" s="1">
        <v>6</v>
      </c>
      <c r="J1172" s="1" t="s">
        <v>228</v>
      </c>
      <c r="K1172" s="1" t="s">
        <v>2971</v>
      </c>
      <c r="L1172" s="1" t="s">
        <v>2972</v>
      </c>
      <c r="M1172" s="1">
        <v>375</v>
      </c>
      <c r="N1172" s="1" t="s">
        <v>39</v>
      </c>
      <c r="O1172" s="1">
        <v>35.282499999999999</v>
      </c>
      <c r="P1172" s="1">
        <v>-101.7458</v>
      </c>
      <c r="Q1172" s="1" t="s">
        <v>2073</v>
      </c>
      <c r="R1172" s="1" t="s">
        <v>41</v>
      </c>
      <c r="T1172" s="1" t="s">
        <v>43</v>
      </c>
      <c r="U1172" s="1" t="s">
        <v>44</v>
      </c>
      <c r="X1172" s="1" t="s">
        <v>220</v>
      </c>
      <c r="AA1172" s="3">
        <v>22828</v>
      </c>
      <c r="AB1172" s="1" t="s">
        <v>46</v>
      </c>
      <c r="AC1172" s="5">
        <v>1166</v>
      </c>
      <c r="AD1172" s="1" t="s">
        <v>2974</v>
      </c>
      <c r="AE1172" s="1" t="str">
        <f t="shared" si="91"/>
        <v>3484 142B</v>
      </c>
      <c r="AF1172" s="5" t="str">
        <f t="shared" si="89"/>
        <v>114</v>
      </c>
      <c r="AG1172" s="1" t="str">
        <f t="shared" si="90"/>
        <v/>
      </c>
    </row>
    <row r="1173" spans="1:33" x14ac:dyDescent="0.2">
      <c r="A1173" s="1" t="s">
        <v>383</v>
      </c>
      <c r="B1173" s="1" t="s">
        <v>2969</v>
      </c>
      <c r="C1173" s="1">
        <v>3484</v>
      </c>
      <c r="D1173" s="1" t="s">
        <v>2975</v>
      </c>
      <c r="F1173" s="1">
        <v>2023</v>
      </c>
      <c r="G1173" s="1" t="s">
        <v>346</v>
      </c>
      <c r="H1173" s="1">
        <v>606233</v>
      </c>
      <c r="I1173" s="1">
        <v>6</v>
      </c>
      <c r="J1173" s="1" t="s">
        <v>228</v>
      </c>
      <c r="K1173" s="1" t="s">
        <v>2971</v>
      </c>
      <c r="L1173" s="1" t="s">
        <v>2972</v>
      </c>
      <c r="M1173" s="1">
        <v>375</v>
      </c>
      <c r="N1173" s="1" t="s">
        <v>39</v>
      </c>
      <c r="O1173" s="1">
        <v>35.282499999999999</v>
      </c>
      <c r="P1173" s="1">
        <v>-101.7458</v>
      </c>
      <c r="Q1173" s="1" t="s">
        <v>2073</v>
      </c>
      <c r="R1173" s="1" t="s">
        <v>41</v>
      </c>
      <c r="T1173" s="1" t="s">
        <v>43</v>
      </c>
      <c r="U1173" s="1" t="s">
        <v>44</v>
      </c>
      <c r="X1173" s="1" t="s">
        <v>220</v>
      </c>
      <c r="AA1173" s="3">
        <v>25052</v>
      </c>
      <c r="AB1173" s="1" t="s">
        <v>46</v>
      </c>
      <c r="AC1173" s="5">
        <v>2982</v>
      </c>
      <c r="AD1173" s="1" t="s">
        <v>2976</v>
      </c>
      <c r="AE1173" s="1" t="str">
        <f t="shared" si="91"/>
        <v>3484 143B</v>
      </c>
      <c r="AF1173" s="5" t="str">
        <f t="shared" si="89"/>
        <v>248</v>
      </c>
      <c r="AG1173" s="1" t="str">
        <f t="shared" si="90"/>
        <v/>
      </c>
    </row>
    <row r="1174" spans="1:33" x14ac:dyDescent="0.2">
      <c r="A1174" s="1" t="s">
        <v>383</v>
      </c>
      <c r="B1174" s="1" t="s">
        <v>2977</v>
      </c>
      <c r="C1174" s="1">
        <v>3485</v>
      </c>
      <c r="D1174" s="1" t="s">
        <v>2978</v>
      </c>
      <c r="F1174" s="1">
        <v>2023</v>
      </c>
      <c r="G1174" s="1" t="s">
        <v>346</v>
      </c>
      <c r="H1174" s="1">
        <v>606233</v>
      </c>
      <c r="I1174" s="1">
        <v>6</v>
      </c>
      <c r="J1174" s="1" t="s">
        <v>228</v>
      </c>
      <c r="K1174" s="1" t="s">
        <v>2979</v>
      </c>
      <c r="L1174" s="1" t="s">
        <v>2980</v>
      </c>
      <c r="M1174" s="1">
        <v>279</v>
      </c>
      <c r="N1174" s="1" t="s">
        <v>39</v>
      </c>
      <c r="O1174" s="1">
        <v>34.1661</v>
      </c>
      <c r="P1174" s="1">
        <v>-102.4114</v>
      </c>
      <c r="Q1174" s="1" t="s">
        <v>2073</v>
      </c>
      <c r="R1174" s="1" t="s">
        <v>41</v>
      </c>
      <c r="T1174" s="1" t="s">
        <v>89</v>
      </c>
      <c r="U1174" s="1" t="s">
        <v>44</v>
      </c>
      <c r="V1174" s="1" t="s">
        <v>94</v>
      </c>
      <c r="AA1174" s="3">
        <v>19115</v>
      </c>
      <c r="AB1174" s="1" t="s">
        <v>46</v>
      </c>
      <c r="AC1174" s="5">
        <v>616</v>
      </c>
      <c r="AD1174" s="1" t="s">
        <v>2981</v>
      </c>
      <c r="AE1174" s="1" t="str">
        <f t="shared" si="91"/>
        <v>3485 111B</v>
      </c>
      <c r="AF1174" s="5" t="str">
        <f t="shared" si="89"/>
        <v>48</v>
      </c>
      <c r="AG1174" s="1" t="str">
        <f t="shared" si="90"/>
        <v/>
      </c>
    </row>
    <row r="1175" spans="1:33" x14ac:dyDescent="0.2">
      <c r="A1175" s="1" t="s">
        <v>383</v>
      </c>
      <c r="B1175" s="1" t="s">
        <v>2977</v>
      </c>
      <c r="C1175" s="1">
        <v>3485</v>
      </c>
      <c r="D1175" s="1" t="s">
        <v>2982</v>
      </c>
      <c r="F1175" s="1">
        <v>2023</v>
      </c>
      <c r="G1175" s="1" t="s">
        <v>346</v>
      </c>
      <c r="H1175" s="1">
        <v>606233</v>
      </c>
      <c r="I1175" s="1">
        <v>6</v>
      </c>
      <c r="J1175" s="1" t="s">
        <v>228</v>
      </c>
      <c r="K1175" s="1" t="s">
        <v>2979</v>
      </c>
      <c r="L1175" s="1" t="s">
        <v>2980</v>
      </c>
      <c r="M1175" s="1">
        <v>279</v>
      </c>
      <c r="N1175" s="1" t="s">
        <v>39</v>
      </c>
      <c r="O1175" s="1">
        <v>34.1661</v>
      </c>
      <c r="P1175" s="1">
        <v>-102.4114</v>
      </c>
      <c r="Q1175" s="1" t="s">
        <v>2073</v>
      </c>
      <c r="R1175" s="1" t="s">
        <v>41</v>
      </c>
      <c r="T1175" s="1" t="s">
        <v>43</v>
      </c>
      <c r="U1175" s="1" t="s">
        <v>44</v>
      </c>
      <c r="V1175" s="1" t="s">
        <v>94</v>
      </c>
      <c r="AA1175" s="3">
        <v>19572</v>
      </c>
      <c r="AB1175" s="1" t="s">
        <v>46</v>
      </c>
      <c r="AC1175" s="5">
        <v>1276</v>
      </c>
      <c r="AD1175" s="1" t="s">
        <v>2983</v>
      </c>
      <c r="AE1175" s="1" t="str">
        <f t="shared" si="91"/>
        <v>3485 112B</v>
      </c>
      <c r="AF1175" s="5" t="str">
        <f t="shared" si="89"/>
        <v>98</v>
      </c>
      <c r="AG1175" s="1" t="str">
        <f t="shared" si="90"/>
        <v/>
      </c>
    </row>
    <row r="1176" spans="1:33" x14ac:dyDescent="0.2">
      <c r="A1176" s="1" t="s">
        <v>383</v>
      </c>
      <c r="B1176" s="1" t="s">
        <v>2977</v>
      </c>
      <c r="C1176" s="1">
        <v>3485</v>
      </c>
      <c r="D1176" s="1" t="s">
        <v>2984</v>
      </c>
      <c r="F1176" s="1">
        <v>2023</v>
      </c>
      <c r="G1176" s="1" t="s">
        <v>346</v>
      </c>
      <c r="H1176" s="1">
        <v>606233</v>
      </c>
      <c r="I1176" s="1">
        <v>6</v>
      </c>
      <c r="J1176" s="1" t="s">
        <v>228</v>
      </c>
      <c r="K1176" s="1" t="s">
        <v>2979</v>
      </c>
      <c r="L1176" s="1" t="s">
        <v>2980</v>
      </c>
      <c r="M1176" s="1">
        <v>279</v>
      </c>
      <c r="N1176" s="1" t="s">
        <v>39</v>
      </c>
      <c r="O1176" s="1">
        <v>34.1661</v>
      </c>
      <c r="P1176" s="1">
        <v>-102.4114</v>
      </c>
      <c r="Q1176" s="1" t="s">
        <v>2073</v>
      </c>
      <c r="R1176" s="1" t="s">
        <v>41</v>
      </c>
      <c r="T1176" s="1" t="s">
        <v>43</v>
      </c>
      <c r="U1176" s="1" t="s">
        <v>44</v>
      </c>
      <c r="V1176" s="1" t="s">
        <v>2963</v>
      </c>
      <c r="X1176" s="1" t="s">
        <v>220</v>
      </c>
      <c r="AA1176" s="3">
        <v>23559</v>
      </c>
      <c r="AB1176" s="1" t="s">
        <v>46</v>
      </c>
      <c r="AC1176" s="5">
        <v>2375</v>
      </c>
      <c r="AD1176" s="1" t="s">
        <v>2985</v>
      </c>
      <c r="AE1176" s="1" t="str">
        <f t="shared" si="91"/>
        <v>3485 114B</v>
      </c>
      <c r="AF1176" s="5" t="str">
        <f t="shared" si="89"/>
        <v>190.4</v>
      </c>
      <c r="AG1176" s="1" t="str">
        <f t="shared" si="90"/>
        <v/>
      </c>
    </row>
    <row r="1177" spans="1:33" x14ac:dyDescent="0.2">
      <c r="A1177" s="1" t="s">
        <v>383</v>
      </c>
      <c r="B1177" s="1" t="s">
        <v>2986</v>
      </c>
      <c r="C1177" s="1">
        <v>3490</v>
      </c>
      <c r="D1177" s="1">
        <v>1</v>
      </c>
      <c r="F1177" s="1">
        <v>2023</v>
      </c>
      <c r="G1177" s="1" t="s">
        <v>346</v>
      </c>
      <c r="H1177" s="1">
        <v>603383</v>
      </c>
      <c r="I1177" s="1">
        <v>6</v>
      </c>
      <c r="J1177" s="1" t="s">
        <v>387</v>
      </c>
      <c r="K1177" s="1" t="s">
        <v>2987</v>
      </c>
      <c r="L1177" s="1" t="s">
        <v>2988</v>
      </c>
      <c r="M1177" s="1">
        <v>503</v>
      </c>
      <c r="N1177" s="1" t="s">
        <v>39</v>
      </c>
      <c r="O1177" s="1">
        <v>33.134999999999998</v>
      </c>
      <c r="P1177" s="1">
        <v>-98.611699999999999</v>
      </c>
      <c r="Q1177" s="1" t="s">
        <v>2887</v>
      </c>
      <c r="R1177" s="1" t="s">
        <v>41</v>
      </c>
      <c r="T1177" s="1" t="s">
        <v>89</v>
      </c>
      <c r="U1177" s="1" t="s">
        <v>44</v>
      </c>
      <c r="V1177" s="1" t="s">
        <v>94</v>
      </c>
      <c r="X1177" s="1" t="s">
        <v>1460</v>
      </c>
      <c r="AA1177" s="3">
        <v>22269</v>
      </c>
      <c r="AB1177" s="1" t="s">
        <v>46</v>
      </c>
      <c r="AC1177" s="5">
        <v>2601</v>
      </c>
      <c r="AD1177" s="1" t="s">
        <v>2989</v>
      </c>
      <c r="AE1177" s="1" t="str">
        <f t="shared" si="91"/>
        <v>3490 1</v>
      </c>
      <c r="AF1177" s="5" t="str">
        <f t="shared" si="89"/>
        <v>247.8</v>
      </c>
      <c r="AG1177" s="1" t="str">
        <f t="shared" si="90"/>
        <v/>
      </c>
    </row>
    <row r="1178" spans="1:33" x14ac:dyDescent="0.2">
      <c r="A1178" s="1" t="s">
        <v>383</v>
      </c>
      <c r="B1178" s="1" t="s">
        <v>2986</v>
      </c>
      <c r="C1178" s="1">
        <v>3490</v>
      </c>
      <c r="D1178" s="1">
        <v>2</v>
      </c>
      <c r="F1178" s="1">
        <v>2023</v>
      </c>
      <c r="G1178" s="1" t="s">
        <v>2899</v>
      </c>
      <c r="H1178" s="1">
        <v>603383</v>
      </c>
      <c r="I1178" s="1">
        <v>6</v>
      </c>
      <c r="J1178" s="1" t="s">
        <v>387</v>
      </c>
      <c r="K1178" s="1" t="s">
        <v>2987</v>
      </c>
      <c r="L1178" s="1" t="s">
        <v>2988</v>
      </c>
      <c r="M1178" s="1">
        <v>503</v>
      </c>
      <c r="N1178" s="1" t="s">
        <v>39</v>
      </c>
      <c r="O1178" s="1">
        <v>33.134999999999998</v>
      </c>
      <c r="P1178" s="1">
        <v>-98.611699999999999</v>
      </c>
      <c r="Q1178" s="1" t="s">
        <v>2887</v>
      </c>
      <c r="R1178" s="1" t="s">
        <v>41</v>
      </c>
      <c r="T1178" s="1" t="s">
        <v>89</v>
      </c>
      <c r="U1178" s="1" t="s">
        <v>44</v>
      </c>
      <c r="V1178" s="1" t="s">
        <v>94</v>
      </c>
      <c r="X1178" s="1" t="s">
        <v>2990</v>
      </c>
      <c r="AA1178" s="3">
        <v>25359</v>
      </c>
      <c r="AB1178" s="1" t="s">
        <v>46</v>
      </c>
      <c r="AC1178" s="5">
        <v>4970</v>
      </c>
      <c r="AD1178" s="1" t="s">
        <v>2261</v>
      </c>
      <c r="AE1178" s="1" t="str">
        <f t="shared" si="91"/>
        <v>3490 2</v>
      </c>
      <c r="AF1178" s="5" t="str">
        <f t="shared" si="89"/>
        <v>387</v>
      </c>
      <c r="AG1178" s="1" t="str">
        <f t="shared" si="90"/>
        <v/>
      </c>
    </row>
    <row r="1179" spans="1:33" x14ac:dyDescent="0.2">
      <c r="A1179" s="1" t="s">
        <v>383</v>
      </c>
      <c r="B1179" s="1" t="s">
        <v>2991</v>
      </c>
      <c r="C1179" s="1">
        <v>3491</v>
      </c>
      <c r="D1179" s="1">
        <v>3</v>
      </c>
      <c r="F1179" s="1">
        <v>2023</v>
      </c>
      <c r="G1179" s="1" t="s">
        <v>346</v>
      </c>
      <c r="H1179" s="1" t="s">
        <v>2992</v>
      </c>
      <c r="I1179" s="1">
        <v>6</v>
      </c>
      <c r="J1179" s="1" t="s">
        <v>387</v>
      </c>
      <c r="K1179" s="1" t="s">
        <v>2993</v>
      </c>
      <c r="L1179" s="1" t="s">
        <v>2994</v>
      </c>
      <c r="M1179" s="1">
        <v>439</v>
      </c>
      <c r="N1179" s="1" t="s">
        <v>39</v>
      </c>
      <c r="O1179" s="1">
        <v>32.727800000000002</v>
      </c>
      <c r="P1179" s="1">
        <v>-97.218599999999995</v>
      </c>
      <c r="Q1179" s="1" t="s">
        <v>2995</v>
      </c>
      <c r="R1179" s="1" t="s">
        <v>41</v>
      </c>
      <c r="T1179" s="1" t="s">
        <v>89</v>
      </c>
      <c r="U1179" s="1" t="s">
        <v>44</v>
      </c>
      <c r="X1179" s="1" t="s">
        <v>2996</v>
      </c>
      <c r="AA1179" s="3">
        <v>23218</v>
      </c>
      <c r="AB1179" s="1" t="s">
        <v>46</v>
      </c>
      <c r="AC1179" s="5">
        <v>3991</v>
      </c>
      <c r="AD1179" s="1" t="s">
        <v>2997</v>
      </c>
      <c r="AE1179" s="1" t="str">
        <f t="shared" si="91"/>
        <v>3491 3</v>
      </c>
      <c r="AF1179" s="5" t="str">
        <f t="shared" si="89"/>
        <v>405</v>
      </c>
      <c r="AG1179" s="1" t="str">
        <f t="shared" si="90"/>
        <v>Y</v>
      </c>
    </row>
    <row r="1180" spans="1:33" x14ac:dyDescent="0.2">
      <c r="A1180" s="1" t="s">
        <v>383</v>
      </c>
      <c r="B1180" s="1" t="s">
        <v>2991</v>
      </c>
      <c r="C1180" s="1">
        <v>3491</v>
      </c>
      <c r="D1180" s="1">
        <v>4</v>
      </c>
      <c r="F1180" s="1">
        <v>2023</v>
      </c>
      <c r="G1180" s="1" t="s">
        <v>346</v>
      </c>
      <c r="H1180" s="1" t="s">
        <v>2992</v>
      </c>
      <c r="I1180" s="1">
        <v>6</v>
      </c>
      <c r="J1180" s="1" t="s">
        <v>387</v>
      </c>
      <c r="K1180" s="1" t="s">
        <v>2993</v>
      </c>
      <c r="L1180" s="1" t="s">
        <v>2994</v>
      </c>
      <c r="M1180" s="1">
        <v>439</v>
      </c>
      <c r="N1180" s="1" t="s">
        <v>39</v>
      </c>
      <c r="O1180" s="1">
        <v>32.727800000000002</v>
      </c>
      <c r="P1180" s="1">
        <v>-97.218599999999995</v>
      </c>
      <c r="Q1180" s="1" t="s">
        <v>2995</v>
      </c>
      <c r="R1180" s="1" t="s">
        <v>41</v>
      </c>
      <c r="T1180" s="1" t="s">
        <v>89</v>
      </c>
      <c r="U1180" s="1" t="s">
        <v>44</v>
      </c>
      <c r="X1180" s="1" t="s">
        <v>223</v>
      </c>
      <c r="AA1180" s="3">
        <v>28059</v>
      </c>
      <c r="AB1180" s="1" t="s">
        <v>46</v>
      </c>
      <c r="AC1180" s="5">
        <v>5500</v>
      </c>
      <c r="AD1180" s="1" t="s">
        <v>2998</v>
      </c>
      <c r="AE1180" s="1" t="str">
        <f t="shared" si="91"/>
        <v>3491 4</v>
      </c>
      <c r="AF1180" s="5" t="str">
        <f t="shared" si="89"/>
        <v>455</v>
      </c>
      <c r="AG1180" s="1" t="str">
        <f t="shared" si="90"/>
        <v>Y</v>
      </c>
    </row>
    <row r="1181" spans="1:33" x14ac:dyDescent="0.2">
      <c r="A1181" s="1" t="s">
        <v>383</v>
      </c>
      <c r="B1181" s="1" t="s">
        <v>2991</v>
      </c>
      <c r="C1181" s="1">
        <v>3491</v>
      </c>
      <c r="D1181" s="1">
        <v>5</v>
      </c>
      <c r="F1181" s="1">
        <v>2023</v>
      </c>
      <c r="G1181" s="1" t="s">
        <v>346</v>
      </c>
      <c r="H1181" s="1" t="s">
        <v>2992</v>
      </c>
      <c r="I1181" s="1">
        <v>6</v>
      </c>
      <c r="J1181" s="1" t="s">
        <v>387</v>
      </c>
      <c r="K1181" s="1" t="s">
        <v>2993</v>
      </c>
      <c r="L1181" s="1" t="s">
        <v>2994</v>
      </c>
      <c r="M1181" s="1">
        <v>439</v>
      </c>
      <c r="N1181" s="1" t="s">
        <v>39</v>
      </c>
      <c r="O1181" s="1">
        <v>32.727800000000002</v>
      </c>
      <c r="P1181" s="1">
        <v>-97.218599999999995</v>
      </c>
      <c r="Q1181" s="1" t="s">
        <v>2995</v>
      </c>
      <c r="R1181" s="1" t="s">
        <v>41</v>
      </c>
      <c r="T1181" s="1" t="s">
        <v>89</v>
      </c>
      <c r="U1181" s="1" t="s">
        <v>44</v>
      </c>
      <c r="X1181" s="1" t="s">
        <v>223</v>
      </c>
      <c r="AA1181" s="3">
        <v>28422</v>
      </c>
      <c r="AB1181" s="1" t="s">
        <v>46</v>
      </c>
      <c r="AC1181" s="5">
        <v>5634</v>
      </c>
      <c r="AD1181" s="1" t="s">
        <v>2999</v>
      </c>
      <c r="AE1181" s="1" t="str">
        <f t="shared" si="91"/>
        <v>3491 5</v>
      </c>
      <c r="AF1181" s="5" t="str">
        <f t="shared" si="89"/>
        <v>455</v>
      </c>
      <c r="AG1181" s="1" t="str">
        <f t="shared" si="90"/>
        <v>Y</v>
      </c>
    </row>
    <row r="1182" spans="1:33" x14ac:dyDescent="0.2">
      <c r="A1182" s="1" t="s">
        <v>383</v>
      </c>
      <c r="B1182" s="1" t="s">
        <v>3000</v>
      </c>
      <c r="C1182" s="1">
        <v>3504</v>
      </c>
      <c r="D1182" s="1">
        <v>1</v>
      </c>
      <c r="F1182" s="1">
        <v>2023</v>
      </c>
      <c r="G1182" s="1" t="s">
        <v>346</v>
      </c>
      <c r="H1182" s="1">
        <v>603383</v>
      </c>
      <c r="I1182" s="1">
        <v>6</v>
      </c>
      <c r="J1182" s="1" t="s">
        <v>387</v>
      </c>
      <c r="K1182" s="1" t="s">
        <v>1275</v>
      </c>
      <c r="L1182" s="1" t="s">
        <v>3001</v>
      </c>
      <c r="M1182" s="1">
        <v>73</v>
      </c>
      <c r="N1182" s="1" t="s">
        <v>39</v>
      </c>
      <c r="O1182" s="1">
        <v>31.938099999999999</v>
      </c>
      <c r="P1182" s="1">
        <v>-94.988299999999995</v>
      </c>
      <c r="Q1182" s="1" t="s">
        <v>2887</v>
      </c>
      <c r="R1182" s="1" t="s">
        <v>41</v>
      </c>
      <c r="T1182" s="1" t="s">
        <v>89</v>
      </c>
      <c r="U1182" s="1" t="s">
        <v>44</v>
      </c>
      <c r="V1182" s="1" t="s">
        <v>94</v>
      </c>
      <c r="X1182" s="1" t="s">
        <v>90</v>
      </c>
      <c r="AA1182" s="3">
        <v>21362</v>
      </c>
      <c r="AB1182" s="1" t="s">
        <v>46</v>
      </c>
      <c r="AC1182" s="5">
        <v>2081</v>
      </c>
      <c r="AD1182" s="1" t="s">
        <v>3002</v>
      </c>
      <c r="AE1182" s="1" t="str">
        <f t="shared" si="91"/>
        <v>3504 1</v>
      </c>
      <c r="AF1182" s="5" t="str">
        <f t="shared" si="89"/>
        <v>176.8</v>
      </c>
      <c r="AG1182" s="1" t="str">
        <f t="shared" si="90"/>
        <v/>
      </c>
    </row>
    <row r="1183" spans="1:33" x14ac:dyDescent="0.2">
      <c r="A1183" s="1" t="s">
        <v>383</v>
      </c>
      <c r="B1183" s="1" t="s">
        <v>3000</v>
      </c>
      <c r="C1183" s="1">
        <v>3504</v>
      </c>
      <c r="D1183" s="1">
        <v>2</v>
      </c>
      <c r="F1183" s="1">
        <v>2023</v>
      </c>
      <c r="G1183" s="1" t="s">
        <v>2899</v>
      </c>
      <c r="H1183" s="1">
        <v>603383</v>
      </c>
      <c r="I1183" s="1">
        <v>6</v>
      </c>
      <c r="J1183" s="1" t="s">
        <v>387</v>
      </c>
      <c r="K1183" s="1" t="s">
        <v>1275</v>
      </c>
      <c r="L1183" s="1" t="s">
        <v>3001</v>
      </c>
      <c r="M1183" s="1">
        <v>73</v>
      </c>
      <c r="N1183" s="1" t="s">
        <v>39</v>
      </c>
      <c r="O1183" s="1">
        <v>31.938099999999999</v>
      </c>
      <c r="P1183" s="1">
        <v>-94.988299999999995</v>
      </c>
      <c r="Q1183" s="1" t="s">
        <v>2887</v>
      </c>
      <c r="R1183" s="1" t="s">
        <v>41</v>
      </c>
      <c r="T1183" s="1" t="s">
        <v>43</v>
      </c>
      <c r="U1183" s="1" t="s">
        <v>44</v>
      </c>
      <c r="V1183" s="1" t="s">
        <v>94</v>
      </c>
      <c r="X1183" s="1" t="s">
        <v>242</v>
      </c>
      <c r="AA1183" s="3">
        <v>24097</v>
      </c>
      <c r="AB1183" s="1" t="s">
        <v>46</v>
      </c>
      <c r="AC1183" s="5">
        <v>5472</v>
      </c>
      <c r="AD1183" s="1" t="s">
        <v>3003</v>
      </c>
      <c r="AE1183" s="1" t="str">
        <f t="shared" si="91"/>
        <v>3504 2</v>
      </c>
      <c r="AF1183" s="5" t="str">
        <f t="shared" si="89"/>
        <v>526.7</v>
      </c>
      <c r="AG1183" s="1" t="str">
        <f t="shared" si="90"/>
        <v/>
      </c>
    </row>
    <row r="1184" spans="1:33" x14ac:dyDescent="0.2">
      <c r="A1184" s="1" t="s">
        <v>383</v>
      </c>
      <c r="B1184" s="1" t="s">
        <v>3004</v>
      </c>
      <c r="C1184" s="1">
        <v>3507</v>
      </c>
      <c r="D1184" s="1">
        <v>9</v>
      </c>
      <c r="F1184" s="1">
        <v>2023</v>
      </c>
      <c r="G1184" s="1" t="s">
        <v>346</v>
      </c>
      <c r="H1184" s="1">
        <v>603383</v>
      </c>
      <c r="I1184" s="1">
        <v>6</v>
      </c>
      <c r="J1184" s="1" t="s">
        <v>387</v>
      </c>
      <c r="K1184" s="1" t="s">
        <v>3005</v>
      </c>
      <c r="L1184" s="1" t="s">
        <v>3006</v>
      </c>
      <c r="M1184" s="1">
        <v>213</v>
      </c>
      <c r="N1184" s="1" t="s">
        <v>39</v>
      </c>
      <c r="O1184" s="1">
        <v>32.126399999999997</v>
      </c>
      <c r="P1184" s="1">
        <v>-96.101399999999998</v>
      </c>
      <c r="Q1184" s="1" t="s">
        <v>2887</v>
      </c>
      <c r="R1184" s="1" t="s">
        <v>41</v>
      </c>
      <c r="T1184" s="1" t="s">
        <v>43</v>
      </c>
      <c r="U1184" s="1" t="s">
        <v>44</v>
      </c>
      <c r="V1184" s="1" t="s">
        <v>173</v>
      </c>
      <c r="AA1184" s="3">
        <v>23888</v>
      </c>
      <c r="AB1184" s="1" t="s">
        <v>46</v>
      </c>
      <c r="AC1184" s="5">
        <v>2764.3</v>
      </c>
      <c r="AD1184" s="1" t="s">
        <v>3007</v>
      </c>
      <c r="AE1184" s="1" t="str">
        <f t="shared" si="91"/>
        <v>3507 9</v>
      </c>
      <c r="AF1184" s="5" t="str">
        <f t="shared" si="89"/>
        <v>239.4</v>
      </c>
      <c r="AG1184" s="1" t="str">
        <f t="shared" si="90"/>
        <v/>
      </c>
    </row>
    <row r="1185" spans="1:33" x14ac:dyDescent="0.2">
      <c r="A1185" s="1" t="s">
        <v>383</v>
      </c>
      <c r="B1185" s="1" t="s">
        <v>3008</v>
      </c>
      <c r="C1185" s="1">
        <v>3559</v>
      </c>
      <c r="D1185" s="1">
        <v>9</v>
      </c>
      <c r="F1185" s="1">
        <v>2023</v>
      </c>
      <c r="G1185" s="1" t="s">
        <v>346</v>
      </c>
      <c r="H1185" s="1">
        <v>835</v>
      </c>
      <c r="I1185" s="1">
        <v>6</v>
      </c>
      <c r="J1185" s="1" t="s">
        <v>387</v>
      </c>
      <c r="K1185" s="1" t="s">
        <v>3009</v>
      </c>
      <c r="L1185" s="1" t="s">
        <v>3010</v>
      </c>
      <c r="M1185" s="1">
        <v>61</v>
      </c>
      <c r="N1185" s="1" t="s">
        <v>39</v>
      </c>
      <c r="O1185" s="1">
        <v>25.9131</v>
      </c>
      <c r="P1185" s="1">
        <v>-97.5214</v>
      </c>
      <c r="Q1185" s="1" t="s">
        <v>3011</v>
      </c>
      <c r="R1185" s="1" t="s">
        <v>41</v>
      </c>
      <c r="T1185" s="1" t="s">
        <v>71</v>
      </c>
      <c r="U1185" s="1" t="s">
        <v>44</v>
      </c>
      <c r="V1185" s="1" t="s">
        <v>94</v>
      </c>
      <c r="X1185" s="1" t="s">
        <v>140</v>
      </c>
      <c r="AA1185" s="3">
        <v>35400</v>
      </c>
      <c r="AB1185" s="1" t="s">
        <v>46</v>
      </c>
      <c r="AC1185" s="5">
        <v>674.1</v>
      </c>
      <c r="AD1185" s="1" t="s">
        <v>3012</v>
      </c>
      <c r="AE1185" s="1" t="str">
        <f t="shared" si="91"/>
        <v>3559 9</v>
      </c>
      <c r="AF1185" s="14">
        <f>MID(AD1185,FIND("(",AD1185)+1,FIND(")",AD1185)-FIND("(",AD1185)-1)+51</f>
        <v>73</v>
      </c>
      <c r="AG1185" s="1" t="str">
        <f t="shared" si="90"/>
        <v/>
      </c>
    </row>
    <row r="1186" spans="1:33" x14ac:dyDescent="0.2">
      <c r="A1186" s="1" t="s">
        <v>383</v>
      </c>
      <c r="B1186" s="1" t="s">
        <v>3008</v>
      </c>
      <c r="C1186" s="1">
        <v>3559</v>
      </c>
      <c r="D1186" s="1">
        <v>10</v>
      </c>
      <c r="F1186" s="1">
        <v>2023</v>
      </c>
      <c r="G1186" s="1" t="s">
        <v>346</v>
      </c>
      <c r="H1186" s="1">
        <v>835</v>
      </c>
      <c r="I1186" s="1">
        <v>6</v>
      </c>
      <c r="J1186" s="1" t="s">
        <v>387</v>
      </c>
      <c r="K1186" s="1" t="s">
        <v>3009</v>
      </c>
      <c r="L1186" s="1" t="s">
        <v>3010</v>
      </c>
      <c r="M1186" s="1">
        <v>61</v>
      </c>
      <c r="N1186" s="1" t="s">
        <v>39</v>
      </c>
      <c r="O1186" s="1">
        <v>25.9131</v>
      </c>
      <c r="P1186" s="1">
        <v>-97.5214</v>
      </c>
      <c r="Q1186" s="1" t="s">
        <v>3011</v>
      </c>
      <c r="R1186" s="1" t="s">
        <v>41</v>
      </c>
      <c r="T1186" s="1" t="s">
        <v>93</v>
      </c>
      <c r="U1186" s="1" t="s">
        <v>44</v>
      </c>
      <c r="X1186" s="1" t="s">
        <v>223</v>
      </c>
      <c r="AA1186" s="3">
        <v>38294</v>
      </c>
      <c r="AB1186" s="1" t="s">
        <v>46</v>
      </c>
      <c r="AC1186" s="5">
        <v>478.5</v>
      </c>
      <c r="AD1186" s="1" t="s">
        <v>3013</v>
      </c>
      <c r="AE1186" s="1" t="str">
        <f t="shared" si="91"/>
        <v>3559 10</v>
      </c>
      <c r="AF1186" s="5" t="str">
        <f t="shared" ref="AF1186:AF1193" si="92">MID(AD1186,FIND("(",AD1186)+1,FIND(")",AD1186)-FIND("(",AD1186)-1)</f>
        <v>51</v>
      </c>
      <c r="AG1186" s="1" t="str">
        <f t="shared" si="90"/>
        <v>Y</v>
      </c>
    </row>
    <row r="1187" spans="1:33" x14ac:dyDescent="0.2">
      <c r="A1187" s="1" t="s">
        <v>383</v>
      </c>
      <c r="B1187" s="1" t="s">
        <v>3014</v>
      </c>
      <c r="C1187" s="1">
        <v>3576</v>
      </c>
      <c r="D1187" s="1" t="s">
        <v>3015</v>
      </c>
      <c r="F1187" s="1">
        <v>2023</v>
      </c>
      <c r="G1187" s="1" t="s">
        <v>346</v>
      </c>
      <c r="H1187" s="1">
        <v>604841</v>
      </c>
      <c r="I1187" s="1">
        <v>6</v>
      </c>
      <c r="J1187" s="1" t="s">
        <v>387</v>
      </c>
      <c r="K1187" s="1" t="s">
        <v>3016</v>
      </c>
      <c r="L1187" s="1" t="s">
        <v>3017</v>
      </c>
      <c r="M1187" s="1">
        <v>85</v>
      </c>
      <c r="N1187" s="1" t="s">
        <v>39</v>
      </c>
      <c r="O1187" s="1">
        <v>33.066699999999997</v>
      </c>
      <c r="P1187" s="1">
        <v>-96.451899999999995</v>
      </c>
      <c r="Q1187" s="1" t="s">
        <v>3018</v>
      </c>
      <c r="R1187" s="1" t="s">
        <v>41</v>
      </c>
      <c r="T1187" s="1" t="s">
        <v>89</v>
      </c>
      <c r="U1187" s="1" t="s">
        <v>44</v>
      </c>
      <c r="X1187" s="1" t="s">
        <v>220</v>
      </c>
      <c r="AA1187" s="3">
        <v>25842</v>
      </c>
      <c r="AB1187" s="1" t="s">
        <v>46</v>
      </c>
      <c r="AC1187" s="5">
        <v>1300</v>
      </c>
      <c r="AD1187" s="1" t="s">
        <v>3019</v>
      </c>
      <c r="AE1187" s="1" t="str">
        <f t="shared" si="91"/>
        <v>3576 BW2</v>
      </c>
      <c r="AF1187" s="5" t="str">
        <f t="shared" si="92"/>
        <v>113</v>
      </c>
      <c r="AG1187" s="1" t="str">
        <f t="shared" si="90"/>
        <v/>
      </c>
    </row>
    <row r="1188" spans="1:33" x14ac:dyDescent="0.2">
      <c r="A1188" s="1" t="s">
        <v>383</v>
      </c>
      <c r="B1188" s="1" t="s">
        <v>3014</v>
      </c>
      <c r="C1188" s="1">
        <v>3576</v>
      </c>
      <c r="D1188" s="1" t="s">
        <v>3020</v>
      </c>
      <c r="F1188" s="1">
        <v>2023</v>
      </c>
      <c r="G1188" s="1" t="s">
        <v>346</v>
      </c>
      <c r="H1188" s="1">
        <v>604841</v>
      </c>
      <c r="I1188" s="1">
        <v>6</v>
      </c>
      <c r="J1188" s="1" t="s">
        <v>387</v>
      </c>
      <c r="K1188" s="1" t="s">
        <v>3016</v>
      </c>
      <c r="L1188" s="1" t="s">
        <v>3017</v>
      </c>
      <c r="M1188" s="1">
        <v>85</v>
      </c>
      <c r="N1188" s="1" t="s">
        <v>39</v>
      </c>
      <c r="O1188" s="1">
        <v>33.066699999999997</v>
      </c>
      <c r="P1188" s="1">
        <v>-96.451899999999995</v>
      </c>
      <c r="Q1188" s="1" t="s">
        <v>3018</v>
      </c>
      <c r="R1188" s="1" t="s">
        <v>41</v>
      </c>
      <c r="T1188" s="1" t="s">
        <v>89</v>
      </c>
      <c r="U1188" s="1" t="s">
        <v>44</v>
      </c>
      <c r="X1188" s="1" t="s">
        <v>289</v>
      </c>
      <c r="AA1188" s="3">
        <v>27820</v>
      </c>
      <c r="AB1188" s="1" t="s">
        <v>46</v>
      </c>
      <c r="AC1188" s="5">
        <v>1519</v>
      </c>
      <c r="AD1188" s="1" t="s">
        <v>3021</v>
      </c>
      <c r="AE1188" s="1" t="str">
        <f t="shared" si="91"/>
        <v>3576 BW3</v>
      </c>
      <c r="AF1188" s="5" t="str">
        <f t="shared" si="92"/>
        <v>156</v>
      </c>
      <c r="AG1188" s="1" t="str">
        <f t="shared" si="90"/>
        <v/>
      </c>
    </row>
    <row r="1189" spans="1:33" x14ac:dyDescent="0.2">
      <c r="A1189" s="1" t="s">
        <v>383</v>
      </c>
      <c r="B1189" s="1" t="s">
        <v>3014</v>
      </c>
      <c r="C1189" s="1">
        <v>3576</v>
      </c>
      <c r="D1189" s="1" t="s">
        <v>3022</v>
      </c>
      <c r="F1189" s="1">
        <v>2023</v>
      </c>
      <c r="G1189" s="1" t="s">
        <v>346</v>
      </c>
      <c r="H1189" s="1">
        <v>604841</v>
      </c>
      <c r="I1189" s="1">
        <v>6</v>
      </c>
      <c r="J1189" s="1" t="s">
        <v>387</v>
      </c>
      <c r="K1189" s="1" t="s">
        <v>3016</v>
      </c>
      <c r="L1189" s="1" t="s">
        <v>3017</v>
      </c>
      <c r="M1189" s="1">
        <v>85</v>
      </c>
      <c r="N1189" s="1" t="s">
        <v>39</v>
      </c>
      <c r="O1189" s="1">
        <v>33.066699999999997</v>
      </c>
      <c r="P1189" s="1">
        <v>-96.451899999999995</v>
      </c>
      <c r="Q1189" s="1" t="s">
        <v>3018</v>
      </c>
      <c r="R1189" s="1" t="s">
        <v>41</v>
      </c>
      <c r="T1189" s="1" t="s">
        <v>43</v>
      </c>
      <c r="U1189" s="1" t="s">
        <v>44</v>
      </c>
      <c r="X1189" s="1" t="s">
        <v>242</v>
      </c>
      <c r="AA1189" s="3">
        <v>24593</v>
      </c>
      <c r="AB1189" s="1" t="s">
        <v>46</v>
      </c>
      <c r="AC1189" s="5">
        <v>888</v>
      </c>
      <c r="AD1189" s="1" t="s">
        <v>870</v>
      </c>
      <c r="AE1189" s="1" t="str">
        <f t="shared" si="91"/>
        <v>3576 CE1</v>
      </c>
      <c r="AF1189" s="5" t="str">
        <f t="shared" si="92"/>
        <v>75</v>
      </c>
      <c r="AG1189" s="1" t="str">
        <f t="shared" si="90"/>
        <v/>
      </c>
    </row>
    <row r="1190" spans="1:33" x14ac:dyDescent="0.2">
      <c r="A1190" s="1" t="s">
        <v>383</v>
      </c>
      <c r="B1190" s="1" t="s">
        <v>3014</v>
      </c>
      <c r="C1190" s="1">
        <v>3576</v>
      </c>
      <c r="D1190" s="1" t="s">
        <v>3023</v>
      </c>
      <c r="F1190" s="1">
        <v>2023</v>
      </c>
      <c r="G1190" s="1" t="s">
        <v>346</v>
      </c>
      <c r="H1190" s="1">
        <v>604841</v>
      </c>
      <c r="I1190" s="1">
        <v>6</v>
      </c>
      <c r="J1190" s="1" t="s">
        <v>387</v>
      </c>
      <c r="K1190" s="1" t="s">
        <v>3016</v>
      </c>
      <c r="L1190" s="1" t="s">
        <v>3017</v>
      </c>
      <c r="M1190" s="1">
        <v>85</v>
      </c>
      <c r="N1190" s="1" t="s">
        <v>39</v>
      </c>
      <c r="O1190" s="1">
        <v>33.066699999999997</v>
      </c>
      <c r="P1190" s="1">
        <v>-96.451899999999995</v>
      </c>
      <c r="Q1190" s="1" t="s">
        <v>3018</v>
      </c>
      <c r="R1190" s="1" t="s">
        <v>41</v>
      </c>
      <c r="T1190" s="1" t="s">
        <v>93</v>
      </c>
      <c r="U1190" s="1" t="s">
        <v>44</v>
      </c>
      <c r="X1190" s="1" t="s">
        <v>140</v>
      </c>
      <c r="AA1190" s="3">
        <v>37106</v>
      </c>
      <c r="AB1190" s="1" t="s">
        <v>46</v>
      </c>
      <c r="AC1190" s="5">
        <v>1050</v>
      </c>
      <c r="AD1190" s="1" t="s">
        <v>3024</v>
      </c>
      <c r="AE1190" s="1" t="str">
        <f t="shared" si="91"/>
        <v>3576 GE4</v>
      </c>
      <c r="AF1190" s="5" t="str">
        <f t="shared" si="92"/>
        <v>83</v>
      </c>
      <c r="AG1190" s="1" t="str">
        <f t="shared" si="90"/>
        <v/>
      </c>
    </row>
    <row r="1191" spans="1:33" x14ac:dyDescent="0.2">
      <c r="A1191" s="1" t="s">
        <v>383</v>
      </c>
      <c r="B1191" s="1" t="s">
        <v>3025</v>
      </c>
      <c r="C1191" s="1">
        <v>3601</v>
      </c>
      <c r="D1191" s="1">
        <v>1</v>
      </c>
      <c r="F1191" s="1">
        <v>2023</v>
      </c>
      <c r="G1191" s="1" t="s">
        <v>346</v>
      </c>
      <c r="H1191" s="1">
        <v>605940</v>
      </c>
      <c r="I1191" s="1">
        <v>6</v>
      </c>
      <c r="J1191" s="1" t="s">
        <v>387</v>
      </c>
      <c r="K1191" s="1" t="s">
        <v>3026</v>
      </c>
      <c r="L1191" s="1" t="s">
        <v>3027</v>
      </c>
      <c r="M1191" s="1">
        <v>21</v>
      </c>
      <c r="N1191" s="1" t="s">
        <v>39</v>
      </c>
      <c r="O1191" s="1">
        <v>30.145600000000002</v>
      </c>
      <c r="P1191" s="1">
        <v>-97.270799999999994</v>
      </c>
      <c r="Q1191" s="1" t="s">
        <v>3028</v>
      </c>
      <c r="R1191" s="1" t="s">
        <v>41</v>
      </c>
      <c r="T1191" s="1" t="s">
        <v>89</v>
      </c>
      <c r="U1191" s="1" t="s">
        <v>44</v>
      </c>
      <c r="V1191" s="1" t="s">
        <v>94</v>
      </c>
      <c r="X1191" s="1" t="s">
        <v>1793</v>
      </c>
      <c r="AA1191" s="3">
        <v>23877</v>
      </c>
      <c r="AB1191" s="1" t="s">
        <v>46</v>
      </c>
      <c r="AC1191" s="5">
        <v>1447</v>
      </c>
      <c r="AD1191" s="1" t="s">
        <v>3029</v>
      </c>
      <c r="AE1191" s="1" t="str">
        <f t="shared" si="91"/>
        <v>3601 1</v>
      </c>
      <c r="AF1191" s="5" t="str">
        <f t="shared" si="92"/>
        <v>144</v>
      </c>
      <c r="AG1191" s="1" t="str">
        <f t="shared" si="90"/>
        <v/>
      </c>
    </row>
    <row r="1192" spans="1:33" x14ac:dyDescent="0.2">
      <c r="A1192" s="1" t="s">
        <v>383</v>
      </c>
      <c r="B1192" s="1" t="s">
        <v>3025</v>
      </c>
      <c r="C1192" s="1">
        <v>3601</v>
      </c>
      <c r="D1192" s="1">
        <v>2</v>
      </c>
      <c r="F1192" s="1">
        <v>2023</v>
      </c>
      <c r="G1192" s="1" t="s">
        <v>346</v>
      </c>
      <c r="H1192" s="1">
        <v>605940</v>
      </c>
      <c r="I1192" s="1">
        <v>6</v>
      </c>
      <c r="J1192" s="1" t="s">
        <v>387</v>
      </c>
      <c r="K1192" s="1" t="s">
        <v>3026</v>
      </c>
      <c r="L1192" s="1" t="s">
        <v>3027</v>
      </c>
      <c r="M1192" s="1">
        <v>21</v>
      </c>
      <c r="N1192" s="1" t="s">
        <v>39</v>
      </c>
      <c r="O1192" s="1">
        <v>30.145600000000002</v>
      </c>
      <c r="P1192" s="1">
        <v>-97.270799999999994</v>
      </c>
      <c r="Q1192" s="1" t="s">
        <v>3028</v>
      </c>
      <c r="R1192" s="1" t="s">
        <v>41</v>
      </c>
      <c r="T1192" s="1" t="s">
        <v>89</v>
      </c>
      <c r="U1192" s="1" t="s">
        <v>44</v>
      </c>
      <c r="V1192" s="1" t="s">
        <v>94</v>
      </c>
      <c r="X1192" s="1" t="s">
        <v>1793</v>
      </c>
      <c r="AA1192" s="3">
        <v>24852</v>
      </c>
      <c r="AB1192" s="1" t="s">
        <v>46</v>
      </c>
      <c r="AC1192" s="5">
        <v>1462</v>
      </c>
      <c r="AD1192" s="1" t="s">
        <v>3030</v>
      </c>
      <c r="AE1192" s="1" t="str">
        <f t="shared" si="91"/>
        <v>3601 2</v>
      </c>
      <c r="AF1192" s="5" t="str">
        <f t="shared" si="92"/>
        <v>144</v>
      </c>
      <c r="AG1192" s="1" t="str">
        <f t="shared" si="90"/>
        <v/>
      </c>
    </row>
    <row r="1193" spans="1:33" x14ac:dyDescent="0.2">
      <c r="A1193" s="1" t="s">
        <v>383</v>
      </c>
      <c r="B1193" s="1" t="s">
        <v>3025</v>
      </c>
      <c r="C1193" s="1">
        <v>3601</v>
      </c>
      <c r="D1193" s="1">
        <v>3</v>
      </c>
      <c r="F1193" s="1">
        <v>2023</v>
      </c>
      <c r="G1193" s="1" t="s">
        <v>346</v>
      </c>
      <c r="H1193" s="1">
        <v>605940</v>
      </c>
      <c r="I1193" s="1">
        <v>6</v>
      </c>
      <c r="J1193" s="1" t="s">
        <v>387</v>
      </c>
      <c r="K1193" s="1" t="s">
        <v>3026</v>
      </c>
      <c r="L1193" s="1" t="s">
        <v>3027</v>
      </c>
      <c r="M1193" s="1">
        <v>21</v>
      </c>
      <c r="N1193" s="1" t="s">
        <v>39</v>
      </c>
      <c r="O1193" s="1">
        <v>30.145600000000002</v>
      </c>
      <c r="P1193" s="1">
        <v>-97.270799999999994</v>
      </c>
      <c r="Q1193" s="1" t="s">
        <v>3028</v>
      </c>
      <c r="R1193" s="1" t="s">
        <v>41</v>
      </c>
      <c r="T1193" s="1" t="s">
        <v>43</v>
      </c>
      <c r="U1193" s="1" t="s">
        <v>44</v>
      </c>
      <c r="V1193" s="1" t="s">
        <v>94</v>
      </c>
      <c r="X1193" s="1" t="s">
        <v>2990</v>
      </c>
      <c r="AA1193" s="3">
        <v>26390</v>
      </c>
      <c r="AB1193" s="1" t="s">
        <v>46</v>
      </c>
      <c r="AC1193" s="5">
        <v>3434</v>
      </c>
      <c r="AD1193" s="1" t="s">
        <v>2956</v>
      </c>
      <c r="AE1193" s="1" t="str">
        <f t="shared" si="91"/>
        <v>3601 3</v>
      </c>
      <c r="AF1193" s="5" t="str">
        <f t="shared" si="92"/>
        <v>351</v>
      </c>
      <c r="AG1193" s="1" t="str">
        <f t="shared" si="90"/>
        <v/>
      </c>
    </row>
    <row r="1194" spans="1:33" x14ac:dyDescent="0.2">
      <c r="A1194" s="1" t="s">
        <v>383</v>
      </c>
      <c r="B1194" s="1" t="s">
        <v>3031</v>
      </c>
      <c r="C1194" s="1">
        <v>3604</v>
      </c>
      <c r="D1194" s="1" t="s">
        <v>280</v>
      </c>
      <c r="F1194" s="1">
        <v>2023</v>
      </c>
      <c r="G1194" s="1" t="s">
        <v>346</v>
      </c>
      <c r="H1194" s="1">
        <v>602490</v>
      </c>
      <c r="I1194" s="1">
        <v>6</v>
      </c>
      <c r="J1194" s="1" t="s">
        <v>387</v>
      </c>
      <c r="K1194" s="1" t="s">
        <v>2959</v>
      </c>
      <c r="L1194" s="1" t="s">
        <v>2960</v>
      </c>
      <c r="M1194" s="1">
        <v>303</v>
      </c>
      <c r="N1194" s="1" t="s">
        <v>1680</v>
      </c>
      <c r="O1194" s="1">
        <v>33.603900000000003</v>
      </c>
      <c r="P1194" s="1">
        <v>-101.8408</v>
      </c>
      <c r="Q1194" s="1" t="s">
        <v>3032</v>
      </c>
      <c r="R1194" s="1" t="s">
        <v>41</v>
      </c>
      <c r="T1194" s="1" t="s">
        <v>71</v>
      </c>
      <c r="U1194" s="1" t="s">
        <v>44</v>
      </c>
      <c r="X1194" s="1" t="s">
        <v>223</v>
      </c>
      <c r="AA1194" s="3">
        <v>36777</v>
      </c>
      <c r="AB1194" s="1" t="s">
        <v>46</v>
      </c>
      <c r="AC1194" s="5">
        <v>492</v>
      </c>
      <c r="AD1194" s="1" t="s">
        <v>3033</v>
      </c>
      <c r="AE1194" s="1" t="str">
        <f t="shared" si="91"/>
        <v>3604 GT1</v>
      </c>
      <c r="AF1194" s="14">
        <f>MID(AD1194,FIND("(",AD1194)+1,FIND(")",AD1194)-FIND("(",AD1194)-1)+22</f>
        <v>62</v>
      </c>
      <c r="AG1194" s="1" t="str">
        <f t="shared" si="90"/>
        <v>Y</v>
      </c>
    </row>
    <row r="1195" spans="1:33" x14ac:dyDescent="0.2">
      <c r="A1195" s="1" t="s">
        <v>383</v>
      </c>
      <c r="B1195" s="1" t="s">
        <v>3034</v>
      </c>
      <c r="C1195" s="1">
        <v>3609</v>
      </c>
      <c r="D1195" s="1" t="s">
        <v>3035</v>
      </c>
      <c r="F1195" s="1">
        <v>2023</v>
      </c>
      <c r="G1195" s="1" t="s">
        <v>346</v>
      </c>
      <c r="H1195" s="1">
        <v>604200</v>
      </c>
      <c r="I1195" s="1">
        <v>6</v>
      </c>
      <c r="K1195" s="1" t="s">
        <v>3036</v>
      </c>
      <c r="L1195" s="1" t="s">
        <v>3037</v>
      </c>
      <c r="M1195" s="1">
        <v>29</v>
      </c>
      <c r="N1195" s="1" t="s">
        <v>39</v>
      </c>
      <c r="O1195" s="1">
        <v>29.351099999999999</v>
      </c>
      <c r="P1195" s="1">
        <v>-98.575299999999999</v>
      </c>
      <c r="Q1195" s="1" t="s">
        <v>3038</v>
      </c>
      <c r="R1195" s="1" t="s">
        <v>41</v>
      </c>
      <c r="T1195" s="1" t="s">
        <v>93</v>
      </c>
      <c r="U1195" s="1" t="s">
        <v>44</v>
      </c>
      <c r="X1195" s="1" t="s">
        <v>223</v>
      </c>
      <c r="AA1195" s="3">
        <v>38122</v>
      </c>
      <c r="AB1195" s="1" t="s">
        <v>46</v>
      </c>
      <c r="AC1195" s="5">
        <v>530</v>
      </c>
      <c r="AD1195" s="1" t="s">
        <v>3039</v>
      </c>
      <c r="AE1195" s="1" t="str">
        <f t="shared" si="91"/>
        <v>3609 CGT1</v>
      </c>
      <c r="AF1195" s="5" t="str">
        <f t="shared" ref="AF1195:AF1207" si="93">MID(AD1195,FIND("(",AD1195)+1,FIND(")",AD1195)-FIND("(",AD1195)-1)</f>
        <v>57</v>
      </c>
      <c r="AG1195" s="1" t="str">
        <f t="shared" si="90"/>
        <v>Y</v>
      </c>
    </row>
    <row r="1196" spans="1:33" x14ac:dyDescent="0.2">
      <c r="A1196" s="1" t="s">
        <v>383</v>
      </c>
      <c r="B1196" s="1" t="s">
        <v>3034</v>
      </c>
      <c r="C1196" s="1">
        <v>3609</v>
      </c>
      <c r="D1196" s="1" t="s">
        <v>3040</v>
      </c>
      <c r="F1196" s="1">
        <v>2023</v>
      </c>
      <c r="G1196" s="1" t="s">
        <v>346</v>
      </c>
      <c r="H1196" s="1">
        <v>604200</v>
      </c>
      <c r="I1196" s="1">
        <v>6</v>
      </c>
      <c r="K1196" s="1" t="s">
        <v>3036</v>
      </c>
      <c r="L1196" s="1" t="s">
        <v>3037</v>
      </c>
      <c r="M1196" s="1">
        <v>29</v>
      </c>
      <c r="N1196" s="1" t="s">
        <v>39</v>
      </c>
      <c r="O1196" s="1">
        <v>29.351099999999999</v>
      </c>
      <c r="P1196" s="1">
        <v>-98.575299999999999</v>
      </c>
      <c r="Q1196" s="1" t="s">
        <v>3038</v>
      </c>
      <c r="R1196" s="1" t="s">
        <v>41</v>
      </c>
      <c r="T1196" s="1" t="s">
        <v>93</v>
      </c>
      <c r="U1196" s="1" t="s">
        <v>44</v>
      </c>
      <c r="X1196" s="1" t="s">
        <v>223</v>
      </c>
      <c r="AA1196" s="3">
        <v>38122</v>
      </c>
      <c r="AB1196" s="1" t="s">
        <v>46</v>
      </c>
      <c r="AC1196" s="5">
        <v>498.5</v>
      </c>
      <c r="AD1196" s="1" t="s">
        <v>3041</v>
      </c>
      <c r="AE1196" s="1" t="str">
        <f t="shared" si="91"/>
        <v>3609 CGT2</v>
      </c>
      <c r="AF1196" s="5" t="str">
        <f t="shared" si="93"/>
        <v>57</v>
      </c>
      <c r="AG1196" s="1" t="str">
        <f t="shared" si="90"/>
        <v>Y</v>
      </c>
    </row>
    <row r="1197" spans="1:33" x14ac:dyDescent="0.2">
      <c r="A1197" s="1" t="s">
        <v>383</v>
      </c>
      <c r="B1197" s="1" t="s">
        <v>3034</v>
      </c>
      <c r="C1197" s="1">
        <v>3609</v>
      </c>
      <c r="D1197" s="1" t="s">
        <v>3042</v>
      </c>
      <c r="F1197" s="1">
        <v>2023</v>
      </c>
      <c r="G1197" s="1" t="s">
        <v>346</v>
      </c>
      <c r="H1197" s="1">
        <v>604200</v>
      </c>
      <c r="I1197" s="1">
        <v>6</v>
      </c>
      <c r="K1197" s="1" t="s">
        <v>3036</v>
      </c>
      <c r="L1197" s="1" t="s">
        <v>3037</v>
      </c>
      <c r="M1197" s="1">
        <v>29</v>
      </c>
      <c r="N1197" s="1" t="s">
        <v>39</v>
      </c>
      <c r="O1197" s="1">
        <v>29.351099999999999</v>
      </c>
      <c r="P1197" s="1">
        <v>-98.575299999999999</v>
      </c>
      <c r="Q1197" s="1" t="s">
        <v>3038</v>
      </c>
      <c r="R1197" s="1" t="s">
        <v>41</v>
      </c>
      <c r="T1197" s="1" t="s">
        <v>93</v>
      </c>
      <c r="U1197" s="1" t="s">
        <v>44</v>
      </c>
      <c r="X1197" s="1" t="s">
        <v>223</v>
      </c>
      <c r="AA1197" s="3">
        <v>38122</v>
      </c>
      <c r="AB1197" s="1" t="s">
        <v>46</v>
      </c>
      <c r="AC1197" s="5">
        <v>498.5</v>
      </c>
      <c r="AD1197" s="1" t="s">
        <v>3043</v>
      </c>
      <c r="AE1197" s="1" t="str">
        <f t="shared" si="91"/>
        <v>3609 CGT3</v>
      </c>
      <c r="AF1197" s="5" t="str">
        <f t="shared" si="93"/>
        <v>57</v>
      </c>
      <c r="AG1197" s="1" t="str">
        <f t="shared" si="90"/>
        <v>Y</v>
      </c>
    </row>
    <row r="1198" spans="1:33" x14ac:dyDescent="0.2">
      <c r="A1198" s="1" t="s">
        <v>383</v>
      </c>
      <c r="B1198" s="1" t="s">
        <v>3034</v>
      </c>
      <c r="C1198" s="1">
        <v>3609</v>
      </c>
      <c r="D1198" s="1" t="s">
        <v>3044</v>
      </c>
      <c r="F1198" s="1">
        <v>2023</v>
      </c>
      <c r="G1198" s="1" t="s">
        <v>346</v>
      </c>
      <c r="H1198" s="1">
        <v>604200</v>
      </c>
      <c r="I1198" s="1">
        <v>6</v>
      </c>
      <c r="K1198" s="1" t="s">
        <v>3036</v>
      </c>
      <c r="L1198" s="1" t="s">
        <v>3037</v>
      </c>
      <c r="M1198" s="1">
        <v>29</v>
      </c>
      <c r="N1198" s="1" t="s">
        <v>39</v>
      </c>
      <c r="O1198" s="1">
        <v>29.351099999999999</v>
      </c>
      <c r="P1198" s="1">
        <v>-98.575299999999999</v>
      </c>
      <c r="Q1198" s="1" t="s">
        <v>3038</v>
      </c>
      <c r="R1198" s="1" t="s">
        <v>41</v>
      </c>
      <c r="T1198" s="1" t="s">
        <v>93</v>
      </c>
      <c r="U1198" s="1" t="s">
        <v>44</v>
      </c>
      <c r="X1198" s="1" t="s">
        <v>223</v>
      </c>
      <c r="AA1198" s="3">
        <v>38122</v>
      </c>
      <c r="AB1198" s="1" t="s">
        <v>46</v>
      </c>
      <c r="AC1198" s="5">
        <v>498.5</v>
      </c>
      <c r="AD1198" s="1" t="s">
        <v>3045</v>
      </c>
      <c r="AE1198" s="1" t="str">
        <f t="shared" si="91"/>
        <v>3609 CGT4</v>
      </c>
      <c r="AF1198" s="5" t="str">
        <f t="shared" si="93"/>
        <v>57</v>
      </c>
      <c r="AG1198" s="1" t="str">
        <f t="shared" si="90"/>
        <v>Y</v>
      </c>
    </row>
    <row r="1199" spans="1:33" x14ac:dyDescent="0.2">
      <c r="A1199" s="1" t="s">
        <v>383</v>
      </c>
      <c r="B1199" s="1" t="s">
        <v>3046</v>
      </c>
      <c r="C1199" s="1">
        <v>3611</v>
      </c>
      <c r="D1199" s="1">
        <v>1</v>
      </c>
      <c r="F1199" s="1">
        <v>2023</v>
      </c>
      <c r="G1199" s="1" t="s">
        <v>2899</v>
      </c>
      <c r="H1199" s="1">
        <v>604200</v>
      </c>
      <c r="I1199" s="1">
        <v>6</v>
      </c>
      <c r="J1199" s="1" t="s">
        <v>387</v>
      </c>
      <c r="K1199" s="1" t="s">
        <v>3036</v>
      </c>
      <c r="L1199" s="1" t="s">
        <v>3037</v>
      </c>
      <c r="M1199" s="1">
        <v>29</v>
      </c>
      <c r="N1199" s="1" t="s">
        <v>39</v>
      </c>
      <c r="O1199" s="1">
        <v>29.3078</v>
      </c>
      <c r="P1199" s="1">
        <v>-98.324399999999997</v>
      </c>
      <c r="Q1199" s="1" t="s">
        <v>3038</v>
      </c>
      <c r="R1199" s="1" t="s">
        <v>41</v>
      </c>
      <c r="T1199" s="1" t="s">
        <v>43</v>
      </c>
      <c r="U1199" s="1" t="s">
        <v>44</v>
      </c>
      <c r="V1199" s="1" t="s">
        <v>94</v>
      </c>
      <c r="AA1199" s="3">
        <v>26456</v>
      </c>
      <c r="AB1199" s="1" t="s">
        <v>46</v>
      </c>
      <c r="AC1199" s="5">
        <v>5830.1</v>
      </c>
      <c r="AD1199" s="1" t="s">
        <v>3047</v>
      </c>
      <c r="AE1199" s="1" t="str">
        <f t="shared" si="91"/>
        <v>3611 1</v>
      </c>
      <c r="AF1199" s="5" t="str">
        <f t="shared" si="93"/>
        <v>446</v>
      </c>
      <c r="AG1199" s="1" t="str">
        <f t="shared" si="90"/>
        <v/>
      </c>
    </row>
    <row r="1200" spans="1:33" x14ac:dyDescent="0.2">
      <c r="A1200" s="1" t="s">
        <v>383</v>
      </c>
      <c r="B1200" s="1" t="s">
        <v>3046</v>
      </c>
      <c r="C1200" s="1">
        <v>3611</v>
      </c>
      <c r="D1200" s="1">
        <v>2</v>
      </c>
      <c r="F1200" s="1">
        <v>2023</v>
      </c>
      <c r="G1200" s="1" t="s">
        <v>2899</v>
      </c>
      <c r="H1200" s="1">
        <v>604200</v>
      </c>
      <c r="I1200" s="1">
        <v>6</v>
      </c>
      <c r="J1200" s="1" t="s">
        <v>387</v>
      </c>
      <c r="K1200" s="1" t="s">
        <v>3036</v>
      </c>
      <c r="L1200" s="1" t="s">
        <v>3037</v>
      </c>
      <c r="M1200" s="1">
        <v>29</v>
      </c>
      <c r="N1200" s="1" t="s">
        <v>39</v>
      </c>
      <c r="O1200" s="1">
        <v>29.3078</v>
      </c>
      <c r="P1200" s="1">
        <v>-98.324399999999997</v>
      </c>
      <c r="Q1200" s="1" t="s">
        <v>3038</v>
      </c>
      <c r="R1200" s="1" t="s">
        <v>41</v>
      </c>
      <c r="T1200" s="1" t="s">
        <v>43</v>
      </c>
      <c r="U1200" s="1" t="s">
        <v>44</v>
      </c>
      <c r="V1200" s="1" t="s">
        <v>94</v>
      </c>
      <c r="AA1200" s="3">
        <v>27108</v>
      </c>
      <c r="AB1200" s="1" t="s">
        <v>46</v>
      </c>
      <c r="AC1200" s="5">
        <v>4904.6000000000004</v>
      </c>
      <c r="AD1200" s="1" t="s">
        <v>3048</v>
      </c>
      <c r="AE1200" s="1" t="str">
        <f t="shared" si="91"/>
        <v>3611 2</v>
      </c>
      <c r="AF1200" s="5" t="str">
        <f t="shared" si="93"/>
        <v>446</v>
      </c>
      <c r="AG1200" s="1" t="str">
        <f t="shared" si="90"/>
        <v/>
      </c>
    </row>
    <row r="1201" spans="1:33" x14ac:dyDescent="0.2">
      <c r="A1201" s="1" t="s">
        <v>383</v>
      </c>
      <c r="B1201" s="1" t="s">
        <v>3049</v>
      </c>
      <c r="C1201" s="1">
        <v>3612</v>
      </c>
      <c r="D1201" s="1">
        <v>1</v>
      </c>
      <c r="F1201" s="1">
        <v>2023</v>
      </c>
      <c r="G1201" s="1" t="s">
        <v>346</v>
      </c>
      <c r="H1201" s="1">
        <v>604200</v>
      </c>
      <c r="I1201" s="1">
        <v>6</v>
      </c>
      <c r="J1201" s="1" t="s">
        <v>387</v>
      </c>
      <c r="K1201" s="1" t="s">
        <v>3036</v>
      </c>
      <c r="L1201" s="1" t="s">
        <v>3037</v>
      </c>
      <c r="M1201" s="1">
        <v>29</v>
      </c>
      <c r="N1201" s="1" t="s">
        <v>39</v>
      </c>
      <c r="O1201" s="1">
        <v>29.2575</v>
      </c>
      <c r="P1201" s="1">
        <v>-98.382800000000003</v>
      </c>
      <c r="Q1201" s="1" t="s">
        <v>3038</v>
      </c>
      <c r="R1201" s="1" t="s">
        <v>41</v>
      </c>
      <c r="T1201" s="1" t="s">
        <v>43</v>
      </c>
      <c r="U1201" s="1" t="s">
        <v>44</v>
      </c>
      <c r="V1201" s="1" t="s">
        <v>94</v>
      </c>
      <c r="AA1201" s="3">
        <v>24260</v>
      </c>
      <c r="AB1201" s="1" t="s">
        <v>46</v>
      </c>
      <c r="AC1201" s="5">
        <v>2292.1999999999998</v>
      </c>
      <c r="AD1201" s="1" t="s">
        <v>3050</v>
      </c>
      <c r="AE1201" s="1" t="str">
        <f t="shared" si="91"/>
        <v>3612 1</v>
      </c>
      <c r="AF1201" s="5" t="str">
        <f t="shared" si="93"/>
        <v>225</v>
      </c>
      <c r="AG1201" s="1" t="str">
        <f t="shared" si="90"/>
        <v/>
      </c>
    </row>
    <row r="1202" spans="1:33" x14ac:dyDescent="0.2">
      <c r="A1202" s="1" t="s">
        <v>383</v>
      </c>
      <c r="B1202" s="1" t="s">
        <v>3049</v>
      </c>
      <c r="C1202" s="1">
        <v>3612</v>
      </c>
      <c r="D1202" s="1">
        <v>2</v>
      </c>
      <c r="F1202" s="1">
        <v>2023</v>
      </c>
      <c r="G1202" s="1" t="s">
        <v>346</v>
      </c>
      <c r="H1202" s="1">
        <v>604200</v>
      </c>
      <c r="I1202" s="1">
        <v>6</v>
      </c>
      <c r="J1202" s="1" t="s">
        <v>387</v>
      </c>
      <c r="K1202" s="1" t="s">
        <v>3036</v>
      </c>
      <c r="L1202" s="1" t="s">
        <v>3037</v>
      </c>
      <c r="M1202" s="1">
        <v>29</v>
      </c>
      <c r="N1202" s="1" t="s">
        <v>39</v>
      </c>
      <c r="O1202" s="1">
        <v>29.2575</v>
      </c>
      <c r="P1202" s="1">
        <v>-98.382800000000003</v>
      </c>
      <c r="Q1202" s="1" t="s">
        <v>3038</v>
      </c>
      <c r="R1202" s="1" t="s">
        <v>41</v>
      </c>
      <c r="T1202" s="1" t="s">
        <v>43</v>
      </c>
      <c r="U1202" s="1" t="s">
        <v>44</v>
      </c>
      <c r="V1202" s="1" t="s">
        <v>94</v>
      </c>
      <c r="AA1202" s="3">
        <v>24961</v>
      </c>
      <c r="AB1202" s="1" t="s">
        <v>46</v>
      </c>
      <c r="AC1202" s="5">
        <v>2458.5</v>
      </c>
      <c r="AD1202" s="1" t="s">
        <v>3051</v>
      </c>
      <c r="AE1202" s="1" t="str">
        <f t="shared" si="91"/>
        <v>3612 2</v>
      </c>
      <c r="AF1202" s="5" t="str">
        <f t="shared" si="93"/>
        <v>252</v>
      </c>
      <c r="AG1202" s="1" t="str">
        <f t="shared" si="90"/>
        <v/>
      </c>
    </row>
    <row r="1203" spans="1:33" x14ac:dyDescent="0.2">
      <c r="A1203" s="1" t="s">
        <v>383</v>
      </c>
      <c r="B1203" s="1" t="s">
        <v>3049</v>
      </c>
      <c r="C1203" s="1">
        <v>3612</v>
      </c>
      <c r="D1203" s="1">
        <v>3</v>
      </c>
      <c r="F1203" s="1">
        <v>2023</v>
      </c>
      <c r="G1203" s="1" t="s">
        <v>346</v>
      </c>
      <c r="H1203" s="1">
        <v>604200</v>
      </c>
      <c r="I1203" s="1">
        <v>6</v>
      </c>
      <c r="J1203" s="1" t="s">
        <v>387</v>
      </c>
      <c r="K1203" s="1" t="s">
        <v>3036</v>
      </c>
      <c r="L1203" s="1" t="s">
        <v>3037</v>
      </c>
      <c r="M1203" s="1">
        <v>29</v>
      </c>
      <c r="N1203" s="1" t="s">
        <v>39</v>
      </c>
      <c r="O1203" s="1">
        <v>29.2575</v>
      </c>
      <c r="P1203" s="1">
        <v>-98.382800000000003</v>
      </c>
      <c r="Q1203" s="1" t="s">
        <v>3038</v>
      </c>
      <c r="R1203" s="1" t="s">
        <v>41</v>
      </c>
      <c r="T1203" s="1" t="s">
        <v>43</v>
      </c>
      <c r="U1203" s="1" t="s">
        <v>44</v>
      </c>
      <c r="V1203" s="1" t="s">
        <v>94</v>
      </c>
      <c r="AA1203" s="3">
        <v>25781</v>
      </c>
      <c r="AB1203" s="1" t="s">
        <v>46</v>
      </c>
      <c r="AC1203" s="5">
        <v>4563.1000000000004</v>
      </c>
      <c r="AD1203" s="1" t="s">
        <v>3052</v>
      </c>
      <c r="AE1203" s="1" t="str">
        <f t="shared" si="91"/>
        <v>3612 3</v>
      </c>
      <c r="AF1203" s="5" t="str">
        <f t="shared" si="93"/>
        <v>417</v>
      </c>
      <c r="AG1203" s="1" t="str">
        <f t="shared" si="90"/>
        <v/>
      </c>
    </row>
    <row r="1204" spans="1:33" x14ac:dyDescent="0.2">
      <c r="A1204" s="1" t="s">
        <v>383</v>
      </c>
      <c r="B1204" s="1" t="s">
        <v>3049</v>
      </c>
      <c r="C1204" s="1">
        <v>3612</v>
      </c>
      <c r="D1204" s="1" t="s">
        <v>3053</v>
      </c>
      <c r="F1204" s="1">
        <v>2023</v>
      </c>
      <c r="G1204" s="1" t="s">
        <v>346</v>
      </c>
      <c r="H1204" s="1">
        <v>604200</v>
      </c>
      <c r="I1204" s="1">
        <v>6</v>
      </c>
      <c r="J1204" s="1" t="s">
        <v>387</v>
      </c>
      <c r="K1204" s="1" t="s">
        <v>3036</v>
      </c>
      <c r="L1204" s="1" t="s">
        <v>3037</v>
      </c>
      <c r="M1204" s="1">
        <v>29</v>
      </c>
      <c r="N1204" s="1" t="s">
        <v>39</v>
      </c>
      <c r="O1204" s="1">
        <v>29.2575</v>
      </c>
      <c r="P1204" s="1">
        <v>-98.382800000000003</v>
      </c>
      <c r="Q1204" s="1" t="s">
        <v>3038</v>
      </c>
      <c r="R1204" s="1" t="s">
        <v>41</v>
      </c>
      <c r="T1204" s="1" t="s">
        <v>93</v>
      </c>
      <c r="U1204" s="1" t="s">
        <v>44</v>
      </c>
      <c r="V1204" s="1" t="s">
        <v>94</v>
      </c>
      <c r="X1204" s="1" t="s">
        <v>223</v>
      </c>
      <c r="AA1204" s="3">
        <v>40290</v>
      </c>
      <c r="AB1204" s="1" t="s">
        <v>46</v>
      </c>
      <c r="AC1204" s="5">
        <v>486</v>
      </c>
      <c r="AD1204" s="1" t="s">
        <v>3054</v>
      </c>
      <c r="AE1204" s="1" t="str">
        <f t="shared" si="91"/>
        <v>3612 CGT5</v>
      </c>
      <c r="AF1204" s="5" t="str">
        <f t="shared" si="93"/>
        <v>61</v>
      </c>
      <c r="AG1204" s="1" t="str">
        <f t="shared" si="90"/>
        <v>Y</v>
      </c>
    </row>
    <row r="1205" spans="1:33" x14ac:dyDescent="0.2">
      <c r="A1205" s="1" t="s">
        <v>383</v>
      </c>
      <c r="B1205" s="1" t="s">
        <v>3049</v>
      </c>
      <c r="C1205" s="1">
        <v>3612</v>
      </c>
      <c r="D1205" s="1" t="s">
        <v>3055</v>
      </c>
      <c r="F1205" s="1">
        <v>2023</v>
      </c>
      <c r="G1205" s="1" t="s">
        <v>346</v>
      </c>
      <c r="H1205" s="1">
        <v>604200</v>
      </c>
      <c r="I1205" s="1">
        <v>6</v>
      </c>
      <c r="J1205" s="1" t="s">
        <v>387</v>
      </c>
      <c r="K1205" s="1" t="s">
        <v>3036</v>
      </c>
      <c r="L1205" s="1" t="s">
        <v>3037</v>
      </c>
      <c r="M1205" s="1">
        <v>29</v>
      </c>
      <c r="N1205" s="1" t="s">
        <v>39</v>
      </c>
      <c r="O1205" s="1">
        <v>29.2575</v>
      </c>
      <c r="P1205" s="1">
        <v>-98.382800000000003</v>
      </c>
      <c r="Q1205" s="1" t="s">
        <v>3038</v>
      </c>
      <c r="R1205" s="1" t="s">
        <v>41</v>
      </c>
      <c r="T1205" s="1" t="s">
        <v>93</v>
      </c>
      <c r="U1205" s="1" t="s">
        <v>44</v>
      </c>
      <c r="V1205" s="1" t="s">
        <v>94</v>
      </c>
      <c r="X1205" s="1" t="s">
        <v>223</v>
      </c>
      <c r="AA1205" s="3">
        <v>40296</v>
      </c>
      <c r="AB1205" s="1" t="s">
        <v>46</v>
      </c>
      <c r="AC1205" s="5">
        <v>486</v>
      </c>
      <c r="AD1205" s="1" t="s">
        <v>3056</v>
      </c>
      <c r="AE1205" s="1" t="str">
        <f t="shared" si="91"/>
        <v>3612 CGT6</v>
      </c>
      <c r="AF1205" s="5" t="str">
        <f t="shared" si="93"/>
        <v>61</v>
      </c>
      <c r="AG1205" s="1" t="str">
        <f t="shared" si="90"/>
        <v>Y</v>
      </c>
    </row>
    <row r="1206" spans="1:33" x14ac:dyDescent="0.2">
      <c r="A1206" s="1" t="s">
        <v>383</v>
      </c>
      <c r="B1206" s="1" t="s">
        <v>3049</v>
      </c>
      <c r="C1206" s="1">
        <v>3612</v>
      </c>
      <c r="D1206" s="1" t="s">
        <v>3057</v>
      </c>
      <c r="F1206" s="1">
        <v>2023</v>
      </c>
      <c r="G1206" s="1" t="s">
        <v>346</v>
      </c>
      <c r="H1206" s="1">
        <v>604200</v>
      </c>
      <c r="I1206" s="1">
        <v>6</v>
      </c>
      <c r="J1206" s="1" t="s">
        <v>387</v>
      </c>
      <c r="K1206" s="1" t="s">
        <v>3036</v>
      </c>
      <c r="L1206" s="1" t="s">
        <v>3037</v>
      </c>
      <c r="M1206" s="1">
        <v>29</v>
      </c>
      <c r="N1206" s="1" t="s">
        <v>39</v>
      </c>
      <c r="O1206" s="1">
        <v>29.2575</v>
      </c>
      <c r="P1206" s="1">
        <v>-98.382800000000003</v>
      </c>
      <c r="Q1206" s="1" t="s">
        <v>3038</v>
      </c>
      <c r="R1206" s="1" t="s">
        <v>41</v>
      </c>
      <c r="T1206" s="1" t="s">
        <v>93</v>
      </c>
      <c r="U1206" s="1" t="s">
        <v>44</v>
      </c>
      <c r="V1206" s="1" t="s">
        <v>94</v>
      </c>
      <c r="X1206" s="1" t="s">
        <v>223</v>
      </c>
      <c r="AA1206" s="3">
        <v>40305</v>
      </c>
      <c r="AB1206" s="1" t="s">
        <v>46</v>
      </c>
      <c r="AC1206" s="5">
        <v>486</v>
      </c>
      <c r="AD1206" s="1" t="s">
        <v>3058</v>
      </c>
      <c r="AE1206" s="1" t="str">
        <f t="shared" si="91"/>
        <v>3612 CGT7</v>
      </c>
      <c r="AF1206" s="5" t="str">
        <f t="shared" si="93"/>
        <v>61</v>
      </c>
      <c r="AG1206" s="1" t="str">
        <f t="shared" si="90"/>
        <v>Y</v>
      </c>
    </row>
    <row r="1207" spans="1:33" x14ac:dyDescent="0.2">
      <c r="A1207" s="1" t="s">
        <v>383</v>
      </c>
      <c r="B1207" s="1" t="s">
        <v>3049</v>
      </c>
      <c r="C1207" s="1">
        <v>3612</v>
      </c>
      <c r="D1207" s="1" t="s">
        <v>3059</v>
      </c>
      <c r="F1207" s="1">
        <v>2023</v>
      </c>
      <c r="G1207" s="1" t="s">
        <v>346</v>
      </c>
      <c r="H1207" s="1">
        <v>604200</v>
      </c>
      <c r="I1207" s="1">
        <v>6</v>
      </c>
      <c r="J1207" s="1" t="s">
        <v>387</v>
      </c>
      <c r="K1207" s="1" t="s">
        <v>3036</v>
      </c>
      <c r="L1207" s="1" t="s">
        <v>3037</v>
      </c>
      <c r="M1207" s="1">
        <v>29</v>
      </c>
      <c r="N1207" s="1" t="s">
        <v>39</v>
      </c>
      <c r="O1207" s="1">
        <v>29.2575</v>
      </c>
      <c r="P1207" s="1">
        <v>-98.382800000000003</v>
      </c>
      <c r="Q1207" s="1" t="s">
        <v>3038</v>
      </c>
      <c r="R1207" s="1" t="s">
        <v>41</v>
      </c>
      <c r="T1207" s="1" t="s">
        <v>93</v>
      </c>
      <c r="U1207" s="1" t="s">
        <v>44</v>
      </c>
      <c r="V1207" s="1" t="s">
        <v>94</v>
      </c>
      <c r="X1207" s="1" t="s">
        <v>223</v>
      </c>
      <c r="AA1207" s="3">
        <v>40310</v>
      </c>
      <c r="AB1207" s="1" t="s">
        <v>46</v>
      </c>
      <c r="AC1207" s="5">
        <v>486</v>
      </c>
      <c r="AD1207" s="1" t="s">
        <v>3060</v>
      </c>
      <c r="AE1207" s="1" t="str">
        <f t="shared" si="91"/>
        <v>3612 CGT8</v>
      </c>
      <c r="AF1207" s="5" t="str">
        <f t="shared" si="93"/>
        <v>61</v>
      </c>
      <c r="AG1207" s="1" t="str">
        <f t="shared" si="90"/>
        <v>Y</v>
      </c>
    </row>
    <row r="1208" spans="1:33" x14ac:dyDescent="0.2">
      <c r="A1208" s="1" t="s">
        <v>383</v>
      </c>
      <c r="B1208" s="1" t="s">
        <v>3049</v>
      </c>
      <c r="C1208" s="1">
        <v>3612</v>
      </c>
      <c r="D1208" s="1" t="s">
        <v>993</v>
      </c>
      <c r="E1208" s="1" t="s">
        <v>3061</v>
      </c>
      <c r="F1208" s="1">
        <v>2023</v>
      </c>
      <c r="G1208" s="1" t="s">
        <v>346</v>
      </c>
      <c r="H1208" s="1">
        <v>604200</v>
      </c>
      <c r="I1208" s="1">
        <v>6</v>
      </c>
      <c r="J1208" s="1" t="s">
        <v>387</v>
      </c>
      <c r="K1208" s="1" t="s">
        <v>3036</v>
      </c>
      <c r="L1208" s="1" t="s">
        <v>3037</v>
      </c>
      <c r="M1208" s="1">
        <v>29</v>
      </c>
      <c r="N1208" s="1" t="s">
        <v>39</v>
      </c>
      <c r="O1208" s="1">
        <v>29.2575</v>
      </c>
      <c r="P1208" s="1">
        <v>-98.382800000000003</v>
      </c>
      <c r="Q1208" s="1" t="s">
        <v>3038</v>
      </c>
      <c r="R1208" s="1" t="s">
        <v>41</v>
      </c>
      <c r="T1208" s="1" t="s">
        <v>71</v>
      </c>
      <c r="U1208" s="1" t="s">
        <v>44</v>
      </c>
      <c r="X1208" s="1" t="s">
        <v>64</v>
      </c>
      <c r="AA1208" s="3">
        <v>36596</v>
      </c>
      <c r="AB1208" s="1" t="s">
        <v>46</v>
      </c>
      <c r="AC1208" s="5">
        <v>1975</v>
      </c>
      <c r="AD1208" s="1" t="s">
        <v>3062</v>
      </c>
      <c r="AE1208" s="1" t="str">
        <f t="shared" si="91"/>
        <v>3612 CT01</v>
      </c>
      <c r="AF1208" s="14">
        <f>MID(AD1208,FIND("(",AD1208)+1,FIND(")",AD1208)-FIND("(",AD1208)-1)+200/2</f>
        <v>275</v>
      </c>
      <c r="AG1208" s="1" t="str">
        <f t="shared" si="90"/>
        <v>Y</v>
      </c>
    </row>
    <row r="1209" spans="1:33" x14ac:dyDescent="0.2">
      <c r="A1209" s="1" t="s">
        <v>383</v>
      </c>
      <c r="B1209" s="1" t="s">
        <v>3049</v>
      </c>
      <c r="C1209" s="1">
        <v>3612</v>
      </c>
      <c r="D1209" s="1" t="s">
        <v>998</v>
      </c>
      <c r="E1209" s="1" t="s">
        <v>3061</v>
      </c>
      <c r="F1209" s="1">
        <v>2023</v>
      </c>
      <c r="G1209" s="1" t="s">
        <v>346</v>
      </c>
      <c r="H1209" s="1">
        <v>604200</v>
      </c>
      <c r="I1209" s="1">
        <v>6</v>
      </c>
      <c r="J1209" s="1" t="s">
        <v>387</v>
      </c>
      <c r="K1209" s="1" t="s">
        <v>3036</v>
      </c>
      <c r="L1209" s="1" t="s">
        <v>3037</v>
      </c>
      <c r="M1209" s="1">
        <v>29</v>
      </c>
      <c r="N1209" s="1" t="s">
        <v>39</v>
      </c>
      <c r="O1209" s="1">
        <v>29.2575</v>
      </c>
      <c r="P1209" s="1">
        <v>-98.382800000000003</v>
      </c>
      <c r="Q1209" s="1" t="s">
        <v>3038</v>
      </c>
      <c r="R1209" s="1" t="s">
        <v>41</v>
      </c>
      <c r="T1209" s="1" t="s">
        <v>71</v>
      </c>
      <c r="U1209" s="1" t="s">
        <v>44</v>
      </c>
      <c r="X1209" s="1" t="s">
        <v>64</v>
      </c>
      <c r="AA1209" s="3">
        <v>36608</v>
      </c>
      <c r="AB1209" s="1" t="s">
        <v>46</v>
      </c>
      <c r="AC1209" s="5">
        <v>1975</v>
      </c>
      <c r="AD1209" s="1" t="s">
        <v>3063</v>
      </c>
      <c r="AE1209" s="1" t="str">
        <f t="shared" si="91"/>
        <v>3612 CT02</v>
      </c>
      <c r="AF1209" s="14">
        <f>AF1208</f>
        <v>275</v>
      </c>
      <c r="AG1209" s="1" t="str">
        <f t="shared" si="90"/>
        <v>Y</v>
      </c>
    </row>
    <row r="1210" spans="1:33" x14ac:dyDescent="0.2">
      <c r="A1210" s="1" t="s">
        <v>383</v>
      </c>
      <c r="B1210" s="1" t="s">
        <v>3064</v>
      </c>
      <c r="C1210" s="1">
        <v>3628</v>
      </c>
      <c r="D1210" s="1">
        <v>1</v>
      </c>
      <c r="F1210" s="1">
        <v>2023</v>
      </c>
      <c r="G1210" s="1" t="s">
        <v>346</v>
      </c>
      <c r="H1210" s="1" t="s">
        <v>3065</v>
      </c>
      <c r="I1210" s="1">
        <v>6</v>
      </c>
      <c r="J1210" s="1" t="s">
        <v>387</v>
      </c>
      <c r="K1210" s="1" t="s">
        <v>3066</v>
      </c>
      <c r="L1210" s="1" t="s">
        <v>3067</v>
      </c>
      <c r="M1210" s="1">
        <v>363</v>
      </c>
      <c r="N1210" s="1" t="s">
        <v>39</v>
      </c>
      <c r="O1210" s="1">
        <v>32.658099999999997</v>
      </c>
      <c r="P1210" s="1">
        <v>-98.310299999999998</v>
      </c>
      <c r="Q1210" s="1" t="s">
        <v>3068</v>
      </c>
      <c r="R1210" s="1" t="s">
        <v>41</v>
      </c>
      <c r="T1210" s="1" t="s">
        <v>89</v>
      </c>
      <c r="U1210" s="1" t="s">
        <v>44</v>
      </c>
      <c r="AA1210" s="3">
        <v>25112</v>
      </c>
      <c r="AB1210" s="1" t="s">
        <v>46</v>
      </c>
      <c r="AC1210" s="5">
        <v>920</v>
      </c>
      <c r="AD1210" s="1" t="s">
        <v>3069</v>
      </c>
      <c r="AE1210" s="1" t="str">
        <f t="shared" si="91"/>
        <v>3628 1</v>
      </c>
      <c r="AF1210" s="5" t="str">
        <f>MID(AD1210,FIND("(",AD1210)+1,FIND(")",AD1210)-FIND("(",AD1210)-1)</f>
        <v>66</v>
      </c>
      <c r="AG1210" s="1" t="str">
        <f t="shared" si="90"/>
        <v/>
      </c>
    </row>
    <row r="1211" spans="1:33" x14ac:dyDescent="0.2">
      <c r="A1211" s="1" t="s">
        <v>383</v>
      </c>
      <c r="B1211" s="1" t="s">
        <v>3064</v>
      </c>
      <c r="C1211" s="1">
        <v>3628</v>
      </c>
      <c r="D1211" s="1">
        <v>2</v>
      </c>
      <c r="F1211" s="1">
        <v>2023</v>
      </c>
      <c r="G1211" s="1" t="s">
        <v>346</v>
      </c>
      <c r="H1211" s="1" t="s">
        <v>3065</v>
      </c>
      <c r="I1211" s="1">
        <v>6</v>
      </c>
      <c r="J1211" s="1" t="s">
        <v>387</v>
      </c>
      <c r="K1211" s="1" t="s">
        <v>3066</v>
      </c>
      <c r="L1211" s="1" t="s">
        <v>3067</v>
      </c>
      <c r="M1211" s="1">
        <v>363</v>
      </c>
      <c r="N1211" s="1" t="s">
        <v>39</v>
      </c>
      <c r="O1211" s="1">
        <v>32.658099999999997</v>
      </c>
      <c r="P1211" s="1">
        <v>-98.310299999999998</v>
      </c>
      <c r="Q1211" s="1" t="s">
        <v>3068</v>
      </c>
      <c r="R1211" s="1" t="s">
        <v>41</v>
      </c>
      <c r="T1211" s="1" t="s">
        <v>89</v>
      </c>
      <c r="U1211" s="1" t="s">
        <v>44</v>
      </c>
      <c r="V1211" s="1" t="s">
        <v>94</v>
      </c>
      <c r="AA1211" s="3">
        <v>26382</v>
      </c>
      <c r="AB1211" s="1" t="s">
        <v>46</v>
      </c>
      <c r="AC1211" s="5">
        <v>1360</v>
      </c>
      <c r="AD1211" s="1" t="s">
        <v>1149</v>
      </c>
      <c r="AE1211" s="1" t="str">
        <f t="shared" si="91"/>
        <v>3628 2</v>
      </c>
      <c r="AF1211" s="5" t="str">
        <f>MID(AD1211,FIND("(",AD1211)+1,FIND(")",AD1211)-FIND("(",AD1211)-1)</f>
        <v>100</v>
      </c>
      <c r="AG1211" s="1" t="str">
        <f t="shared" si="90"/>
        <v/>
      </c>
    </row>
    <row r="1212" spans="1:33" x14ac:dyDescent="0.2">
      <c r="A1212" s="1" t="s">
        <v>383</v>
      </c>
      <c r="B1212" s="1" t="s">
        <v>3064</v>
      </c>
      <c r="C1212" s="1">
        <v>3628</v>
      </c>
      <c r="D1212" s="1">
        <v>3</v>
      </c>
      <c r="F1212" s="1">
        <v>2023</v>
      </c>
      <c r="G1212" s="1" t="s">
        <v>346</v>
      </c>
      <c r="H1212" s="1" t="s">
        <v>3065</v>
      </c>
      <c r="I1212" s="1">
        <v>6</v>
      </c>
      <c r="J1212" s="1" t="s">
        <v>387</v>
      </c>
      <c r="K1212" s="1" t="s">
        <v>3066</v>
      </c>
      <c r="L1212" s="1" t="s">
        <v>3067</v>
      </c>
      <c r="M1212" s="1">
        <v>363</v>
      </c>
      <c r="N1212" s="1" t="s">
        <v>39</v>
      </c>
      <c r="O1212" s="1">
        <v>32.658099999999997</v>
      </c>
      <c r="P1212" s="1">
        <v>-98.310299999999998</v>
      </c>
      <c r="Q1212" s="1" t="s">
        <v>3068</v>
      </c>
      <c r="R1212" s="1" t="s">
        <v>41</v>
      </c>
      <c r="T1212" s="1" t="s">
        <v>89</v>
      </c>
      <c r="U1212" s="1" t="s">
        <v>44</v>
      </c>
      <c r="V1212" s="1" t="s">
        <v>94</v>
      </c>
      <c r="X1212" s="1" t="s">
        <v>1460</v>
      </c>
      <c r="AA1212" s="3">
        <v>27560</v>
      </c>
      <c r="AB1212" s="1" t="s">
        <v>46</v>
      </c>
      <c r="AC1212" s="5">
        <v>2510</v>
      </c>
      <c r="AD1212" s="1" t="s">
        <v>3070</v>
      </c>
      <c r="AE1212" s="1" t="str">
        <f t="shared" si="91"/>
        <v>3628 3</v>
      </c>
      <c r="AF1212" s="5" t="str">
        <f>MID(AD1212,FIND("(",AD1212)+1,FIND(")",AD1212)-FIND("(",AD1212)-1)</f>
        <v>200</v>
      </c>
      <c r="AG1212" s="1" t="str">
        <f t="shared" si="90"/>
        <v/>
      </c>
    </row>
    <row r="1213" spans="1:33" x14ac:dyDescent="0.2">
      <c r="A1213" s="1" t="s">
        <v>383</v>
      </c>
      <c r="B1213" s="1" t="s">
        <v>3064</v>
      </c>
      <c r="C1213" s="1">
        <v>3628</v>
      </c>
      <c r="D1213" s="1" t="s">
        <v>569</v>
      </c>
      <c r="F1213" s="1">
        <v>2023</v>
      </c>
      <c r="G1213" s="1" t="s">
        <v>346</v>
      </c>
      <c r="H1213" s="1" t="s">
        <v>3065</v>
      </c>
      <c r="I1213" s="1">
        <v>6</v>
      </c>
      <c r="J1213" s="1" t="s">
        <v>387</v>
      </c>
      <c r="K1213" s="1" t="s">
        <v>3066</v>
      </c>
      <c r="L1213" s="1" t="s">
        <v>3067</v>
      </c>
      <c r="M1213" s="1">
        <v>363</v>
      </c>
      <c r="N1213" s="1" t="s">
        <v>39</v>
      </c>
      <c r="O1213" s="1">
        <v>32.658099999999997</v>
      </c>
      <c r="P1213" s="1">
        <v>-98.310299999999998</v>
      </c>
      <c r="Q1213" s="1" t="s">
        <v>3068</v>
      </c>
      <c r="R1213" s="1" t="s">
        <v>41</v>
      </c>
      <c r="T1213" s="1" t="s">
        <v>93</v>
      </c>
      <c r="U1213" s="1" t="s">
        <v>44</v>
      </c>
      <c r="V1213" s="1" t="s">
        <v>94</v>
      </c>
      <c r="X1213" s="1" t="s">
        <v>95</v>
      </c>
      <c r="AA1213" s="3">
        <v>34547</v>
      </c>
      <c r="AB1213" s="1" t="s">
        <v>46</v>
      </c>
      <c r="AC1213" s="5">
        <v>1510</v>
      </c>
      <c r="AD1213" s="1" t="s">
        <v>1486</v>
      </c>
      <c r="AE1213" s="1" t="str">
        <f t="shared" si="91"/>
        <v>3628 **4</v>
      </c>
      <c r="AF1213" s="5" t="str">
        <f>MID(AD1213,FIND("(",AD1213)+1,FIND(")",AD1213)-FIND("(",AD1213)-1)</f>
        <v>100</v>
      </c>
      <c r="AG1213" s="1" t="str">
        <f t="shared" si="90"/>
        <v/>
      </c>
    </row>
    <row r="1214" spans="1:33" x14ac:dyDescent="0.2">
      <c r="A1214" s="1" t="s">
        <v>383</v>
      </c>
      <c r="B1214" s="1" t="s">
        <v>3064</v>
      </c>
      <c r="C1214" s="1">
        <v>3628</v>
      </c>
      <c r="D1214" s="1" t="s">
        <v>2903</v>
      </c>
      <c r="F1214" s="1">
        <v>2023</v>
      </c>
      <c r="G1214" s="1" t="s">
        <v>346</v>
      </c>
      <c r="H1214" s="1" t="s">
        <v>3065</v>
      </c>
      <c r="I1214" s="1">
        <v>6</v>
      </c>
      <c r="J1214" s="1" t="s">
        <v>387</v>
      </c>
      <c r="K1214" s="1" t="s">
        <v>3066</v>
      </c>
      <c r="L1214" s="1" t="s">
        <v>3067</v>
      </c>
      <c r="M1214" s="1">
        <v>363</v>
      </c>
      <c r="N1214" s="1" t="s">
        <v>39</v>
      </c>
      <c r="O1214" s="1">
        <v>32.658099999999997</v>
      </c>
      <c r="P1214" s="1">
        <v>-98.310299999999998</v>
      </c>
      <c r="Q1214" s="1" t="s">
        <v>3068</v>
      </c>
      <c r="R1214" s="1" t="s">
        <v>41</v>
      </c>
      <c r="T1214" s="1" t="s">
        <v>93</v>
      </c>
      <c r="U1214" s="1" t="s">
        <v>44</v>
      </c>
      <c r="V1214" s="1" t="s">
        <v>94</v>
      </c>
      <c r="X1214" s="1" t="s">
        <v>95</v>
      </c>
      <c r="AA1214" s="3">
        <v>34547</v>
      </c>
      <c r="AB1214" s="1" t="s">
        <v>46</v>
      </c>
      <c r="AC1214" s="5">
        <v>1800</v>
      </c>
      <c r="AD1214" s="1" t="s">
        <v>1479</v>
      </c>
      <c r="AE1214" s="1" t="str">
        <f t="shared" si="91"/>
        <v>3628 **5</v>
      </c>
      <c r="AF1214" s="5" t="str">
        <f>MID(AD1214,FIND("(",AD1214)+1,FIND(")",AD1214)-FIND("(",AD1214)-1)</f>
        <v>100</v>
      </c>
      <c r="AG1214" s="1" t="str">
        <f t="shared" si="90"/>
        <v/>
      </c>
    </row>
    <row r="1215" spans="1:33" x14ac:dyDescent="0.2">
      <c r="A1215" s="1" t="s">
        <v>383</v>
      </c>
      <c r="B1215" s="1" t="s">
        <v>3071</v>
      </c>
      <c r="C1215" s="1">
        <v>3631</v>
      </c>
      <c r="D1215" s="1" t="s">
        <v>109</v>
      </c>
      <c r="F1215" s="1">
        <v>2023</v>
      </c>
      <c r="G1215" s="1" t="s">
        <v>346</v>
      </c>
      <c r="H1215" s="1">
        <v>2470</v>
      </c>
      <c r="I1215" s="1">
        <v>6</v>
      </c>
      <c r="J1215" s="1" t="s">
        <v>387</v>
      </c>
      <c r="K1215" s="1" t="s">
        <v>2880</v>
      </c>
      <c r="L1215" s="1" t="s">
        <v>2881</v>
      </c>
      <c r="M1215" s="1">
        <v>469</v>
      </c>
      <c r="N1215" s="1" t="s">
        <v>39</v>
      </c>
      <c r="O1215" s="1">
        <v>28.8947</v>
      </c>
      <c r="P1215" s="1">
        <v>-97.134699999999995</v>
      </c>
      <c r="Q1215" s="1" t="s">
        <v>3072</v>
      </c>
      <c r="R1215" s="1" t="s">
        <v>41</v>
      </c>
      <c r="T1215" s="1" t="s">
        <v>71</v>
      </c>
      <c r="U1215" s="1" t="s">
        <v>44</v>
      </c>
      <c r="V1215" s="1" t="s">
        <v>94</v>
      </c>
      <c r="X1215" s="1" t="s">
        <v>64</v>
      </c>
      <c r="AA1215" s="3">
        <v>37904</v>
      </c>
      <c r="AB1215" s="1" t="s">
        <v>46</v>
      </c>
      <c r="AC1215" s="5">
        <v>505</v>
      </c>
      <c r="AD1215" s="1" t="s">
        <v>3073</v>
      </c>
      <c r="AE1215" s="1" t="str">
        <f t="shared" si="91"/>
        <v>3631 CT7</v>
      </c>
      <c r="AF1215" s="14">
        <f>MID(AD1215,FIND("(",AD1215)+1,FIND(")",AD1215)-FIND("(",AD1215)-1)+42/3</f>
        <v>63.2</v>
      </c>
      <c r="AG1215" s="1" t="str">
        <f t="shared" si="90"/>
        <v>Y</v>
      </c>
    </row>
    <row r="1216" spans="1:33" x14ac:dyDescent="0.2">
      <c r="A1216" s="1" t="s">
        <v>383</v>
      </c>
      <c r="B1216" s="1" t="s">
        <v>3071</v>
      </c>
      <c r="C1216" s="1">
        <v>3631</v>
      </c>
      <c r="D1216" s="1" t="s">
        <v>111</v>
      </c>
      <c r="F1216" s="1">
        <v>2023</v>
      </c>
      <c r="G1216" s="1" t="s">
        <v>346</v>
      </c>
      <c r="H1216" s="1">
        <v>2470</v>
      </c>
      <c r="I1216" s="1">
        <v>6</v>
      </c>
      <c r="J1216" s="1" t="s">
        <v>387</v>
      </c>
      <c r="K1216" s="1" t="s">
        <v>2880</v>
      </c>
      <c r="L1216" s="1" t="s">
        <v>2881</v>
      </c>
      <c r="M1216" s="1">
        <v>469</v>
      </c>
      <c r="N1216" s="1" t="s">
        <v>39</v>
      </c>
      <c r="O1216" s="1">
        <v>28.8947</v>
      </c>
      <c r="P1216" s="1">
        <v>-97.134699999999995</v>
      </c>
      <c r="Q1216" s="1" t="s">
        <v>3072</v>
      </c>
      <c r="R1216" s="1" t="s">
        <v>41</v>
      </c>
      <c r="T1216" s="1" t="s">
        <v>71</v>
      </c>
      <c r="U1216" s="1" t="s">
        <v>44</v>
      </c>
      <c r="V1216" s="1" t="s">
        <v>94</v>
      </c>
      <c r="X1216" s="1" t="s">
        <v>64</v>
      </c>
      <c r="AA1216" s="3">
        <v>37904</v>
      </c>
      <c r="AB1216" s="1" t="s">
        <v>46</v>
      </c>
      <c r="AC1216" s="5">
        <v>491</v>
      </c>
      <c r="AD1216" s="1" t="s">
        <v>3074</v>
      </c>
      <c r="AE1216" s="1" t="str">
        <f t="shared" si="91"/>
        <v>3631 CT8</v>
      </c>
      <c r="AF1216" s="14">
        <f>AF1215</f>
        <v>63.2</v>
      </c>
      <c r="AG1216" s="1" t="str">
        <f t="shared" si="90"/>
        <v>Y</v>
      </c>
    </row>
    <row r="1217" spans="1:33" x14ac:dyDescent="0.2">
      <c r="A1217" s="1" t="s">
        <v>383</v>
      </c>
      <c r="B1217" s="1" t="s">
        <v>3071</v>
      </c>
      <c r="C1217" s="1">
        <v>3631</v>
      </c>
      <c r="D1217" s="1" t="s">
        <v>113</v>
      </c>
      <c r="F1217" s="1">
        <v>2023</v>
      </c>
      <c r="G1217" s="1" t="s">
        <v>346</v>
      </c>
      <c r="H1217" s="1">
        <v>2470</v>
      </c>
      <c r="I1217" s="1">
        <v>6</v>
      </c>
      <c r="J1217" s="1" t="s">
        <v>387</v>
      </c>
      <c r="K1217" s="1" t="s">
        <v>2880</v>
      </c>
      <c r="L1217" s="1" t="s">
        <v>2881</v>
      </c>
      <c r="M1217" s="1">
        <v>469</v>
      </c>
      <c r="N1217" s="1" t="s">
        <v>39</v>
      </c>
      <c r="O1217" s="1">
        <v>28.8947</v>
      </c>
      <c r="P1217" s="1">
        <v>-97.134699999999995</v>
      </c>
      <c r="Q1217" s="1" t="s">
        <v>3072</v>
      </c>
      <c r="R1217" s="1" t="s">
        <v>41</v>
      </c>
      <c r="T1217" s="1" t="s">
        <v>71</v>
      </c>
      <c r="U1217" s="1" t="s">
        <v>44</v>
      </c>
      <c r="V1217" s="1" t="s">
        <v>94</v>
      </c>
      <c r="X1217" s="1" t="s">
        <v>64</v>
      </c>
      <c r="AA1217" s="3">
        <v>37904</v>
      </c>
      <c r="AB1217" s="1" t="s">
        <v>46</v>
      </c>
      <c r="AC1217" s="5">
        <v>492.3</v>
      </c>
      <c r="AD1217" s="1" t="s">
        <v>3075</v>
      </c>
      <c r="AE1217" s="1" t="str">
        <f t="shared" si="91"/>
        <v>3631 CT9</v>
      </c>
      <c r="AF1217" s="14">
        <f>AF1215</f>
        <v>63.2</v>
      </c>
      <c r="AG1217" s="1" t="str">
        <f t="shared" si="90"/>
        <v>Y</v>
      </c>
    </row>
    <row r="1218" spans="1:33" x14ac:dyDescent="0.2">
      <c r="A1218" s="1" t="s">
        <v>3076</v>
      </c>
      <c r="B1218" s="1" t="s">
        <v>3077</v>
      </c>
      <c r="C1218" s="1">
        <v>3648</v>
      </c>
      <c r="D1218" s="1">
        <v>1</v>
      </c>
      <c r="F1218" s="1">
        <v>2023</v>
      </c>
      <c r="G1218" s="1" t="s">
        <v>247</v>
      </c>
      <c r="H1218" s="1">
        <v>609068</v>
      </c>
      <c r="I1218" s="1">
        <v>8</v>
      </c>
      <c r="K1218" s="1" t="s">
        <v>3078</v>
      </c>
      <c r="L1218" s="1" t="s">
        <v>3079</v>
      </c>
      <c r="M1218" s="1">
        <v>35</v>
      </c>
      <c r="N1218" s="1" t="s">
        <v>39</v>
      </c>
      <c r="O1218" s="1">
        <v>40.768599999999999</v>
      </c>
      <c r="P1218" s="1">
        <v>-111.9289</v>
      </c>
      <c r="Q1218" s="1" t="s">
        <v>3080</v>
      </c>
      <c r="R1218" s="1" t="s">
        <v>41</v>
      </c>
      <c r="T1218" s="1" t="s">
        <v>89</v>
      </c>
      <c r="U1218" s="1" t="s">
        <v>44</v>
      </c>
      <c r="X1218" s="1" t="s">
        <v>90</v>
      </c>
      <c r="AA1218" s="3">
        <v>18889</v>
      </c>
      <c r="AB1218" s="1" t="s">
        <v>46</v>
      </c>
      <c r="AC1218" s="5">
        <v>890</v>
      </c>
      <c r="AD1218" s="1" t="s">
        <v>3081</v>
      </c>
      <c r="AE1218" s="1" t="str">
        <f t="shared" si="91"/>
        <v>3648 1</v>
      </c>
      <c r="AF1218" s="5" t="str">
        <f t="shared" ref="AF1218:AF1232" si="94">MID(AD1218,FIND("(",AD1218)+1,FIND(")",AD1218)-FIND("(",AD1218)-1)</f>
        <v>69</v>
      </c>
      <c r="AG1218" s="1" t="str">
        <f t="shared" ref="AG1218:AG1281" si="95">IF(ISNUMBER(SEARCH("selective", X1218)), "Y", "")</f>
        <v/>
      </c>
    </row>
    <row r="1219" spans="1:33" x14ac:dyDescent="0.2">
      <c r="A1219" s="1" t="s">
        <v>3076</v>
      </c>
      <c r="B1219" s="1" t="s">
        <v>3077</v>
      </c>
      <c r="C1219" s="1">
        <v>3648</v>
      </c>
      <c r="D1219" s="1">
        <v>2</v>
      </c>
      <c r="F1219" s="1">
        <v>2023</v>
      </c>
      <c r="G1219" s="1" t="s">
        <v>247</v>
      </c>
      <c r="H1219" s="1">
        <v>609068</v>
      </c>
      <c r="I1219" s="1">
        <v>8</v>
      </c>
      <c r="K1219" s="1" t="s">
        <v>3078</v>
      </c>
      <c r="L1219" s="1" t="s">
        <v>3079</v>
      </c>
      <c r="M1219" s="1">
        <v>35</v>
      </c>
      <c r="N1219" s="1" t="s">
        <v>39</v>
      </c>
      <c r="O1219" s="1">
        <v>40.768599999999999</v>
      </c>
      <c r="P1219" s="1">
        <v>-111.9289</v>
      </c>
      <c r="Q1219" s="1" t="s">
        <v>3080</v>
      </c>
      <c r="R1219" s="1" t="s">
        <v>41</v>
      </c>
      <c r="T1219" s="1" t="s">
        <v>89</v>
      </c>
      <c r="U1219" s="1" t="s">
        <v>44</v>
      </c>
      <c r="X1219" s="1" t="s">
        <v>90</v>
      </c>
      <c r="AA1219" s="3">
        <v>19354</v>
      </c>
      <c r="AB1219" s="1" t="s">
        <v>46</v>
      </c>
      <c r="AC1219" s="5">
        <v>850</v>
      </c>
      <c r="AD1219" s="1" t="s">
        <v>3082</v>
      </c>
      <c r="AE1219" s="1" t="str">
        <f t="shared" ref="AE1219:AE1282" si="96">C1219&amp;" "&amp;D1219</f>
        <v>3648 2</v>
      </c>
      <c r="AF1219" s="5" t="str">
        <f t="shared" si="94"/>
        <v>69</v>
      </c>
      <c r="AG1219" s="1" t="str">
        <f t="shared" si="95"/>
        <v/>
      </c>
    </row>
    <row r="1220" spans="1:33" x14ac:dyDescent="0.2">
      <c r="A1220" s="1" t="s">
        <v>3076</v>
      </c>
      <c r="B1220" s="1" t="s">
        <v>3077</v>
      </c>
      <c r="C1220" s="1">
        <v>3648</v>
      </c>
      <c r="D1220" s="1">
        <v>3</v>
      </c>
      <c r="F1220" s="1">
        <v>2023</v>
      </c>
      <c r="G1220" s="1" t="s">
        <v>247</v>
      </c>
      <c r="H1220" s="1">
        <v>609068</v>
      </c>
      <c r="I1220" s="1">
        <v>8</v>
      </c>
      <c r="K1220" s="1" t="s">
        <v>3078</v>
      </c>
      <c r="L1220" s="1" t="s">
        <v>3079</v>
      </c>
      <c r="M1220" s="1">
        <v>35</v>
      </c>
      <c r="N1220" s="1" t="s">
        <v>39</v>
      </c>
      <c r="O1220" s="1">
        <v>40.768599999999999</v>
      </c>
      <c r="P1220" s="1">
        <v>-111.9289</v>
      </c>
      <c r="Q1220" s="1" t="s">
        <v>3080</v>
      </c>
      <c r="R1220" s="1" t="s">
        <v>41</v>
      </c>
      <c r="T1220" s="1" t="s">
        <v>43</v>
      </c>
      <c r="U1220" s="1" t="s">
        <v>44</v>
      </c>
      <c r="AA1220" s="3">
        <v>20241</v>
      </c>
      <c r="AB1220" s="1" t="s">
        <v>46</v>
      </c>
      <c r="AC1220" s="5">
        <v>1200</v>
      </c>
      <c r="AD1220" s="1" t="s">
        <v>1510</v>
      </c>
      <c r="AE1220" s="1" t="str">
        <f t="shared" si="96"/>
        <v>3648 3</v>
      </c>
      <c r="AF1220" s="5" t="str">
        <f t="shared" si="94"/>
        <v>113.6</v>
      </c>
      <c r="AG1220" s="1" t="str">
        <f t="shared" si="95"/>
        <v/>
      </c>
    </row>
    <row r="1221" spans="1:33" x14ac:dyDescent="0.2">
      <c r="A1221" s="1" t="s">
        <v>3076</v>
      </c>
      <c r="B1221" s="1" t="s">
        <v>3077</v>
      </c>
      <c r="C1221" s="1">
        <v>3648</v>
      </c>
      <c r="D1221" s="1">
        <v>4</v>
      </c>
      <c r="F1221" s="1">
        <v>2023</v>
      </c>
      <c r="G1221" s="1" t="s">
        <v>247</v>
      </c>
      <c r="H1221" s="1">
        <v>609068</v>
      </c>
      <c r="I1221" s="1">
        <v>8</v>
      </c>
      <c r="K1221" s="1" t="s">
        <v>3078</v>
      </c>
      <c r="L1221" s="1" t="s">
        <v>3079</v>
      </c>
      <c r="M1221" s="1">
        <v>35</v>
      </c>
      <c r="N1221" s="1" t="s">
        <v>39</v>
      </c>
      <c r="O1221" s="1">
        <v>40.768599999999999</v>
      </c>
      <c r="P1221" s="1">
        <v>-111.9289</v>
      </c>
      <c r="Q1221" s="1" t="s">
        <v>3080</v>
      </c>
      <c r="R1221" s="1" t="s">
        <v>41</v>
      </c>
      <c r="T1221" s="1" t="s">
        <v>93</v>
      </c>
      <c r="U1221" s="1" t="s">
        <v>44</v>
      </c>
      <c r="X1221" s="1" t="s">
        <v>176</v>
      </c>
      <c r="AA1221" s="3">
        <v>37447</v>
      </c>
      <c r="AB1221" s="1" t="s">
        <v>46</v>
      </c>
      <c r="AC1221" s="5">
        <v>400</v>
      </c>
      <c r="AD1221" s="1" t="s">
        <v>3083</v>
      </c>
      <c r="AE1221" s="1" t="str">
        <f t="shared" si="96"/>
        <v>3648 4</v>
      </c>
      <c r="AF1221" s="5" t="str">
        <f t="shared" si="94"/>
        <v>40</v>
      </c>
      <c r="AG1221" s="1" t="str">
        <f t="shared" si="95"/>
        <v>Y</v>
      </c>
    </row>
    <row r="1222" spans="1:33" x14ac:dyDescent="0.2">
      <c r="A1222" s="1" t="s">
        <v>3076</v>
      </c>
      <c r="B1222" s="1" t="s">
        <v>3077</v>
      </c>
      <c r="C1222" s="1">
        <v>3648</v>
      </c>
      <c r="D1222" s="1">
        <v>5</v>
      </c>
      <c r="F1222" s="1">
        <v>2023</v>
      </c>
      <c r="G1222" s="1" t="s">
        <v>247</v>
      </c>
      <c r="H1222" s="1">
        <v>609068</v>
      </c>
      <c r="I1222" s="1">
        <v>8</v>
      </c>
      <c r="K1222" s="1" t="s">
        <v>3078</v>
      </c>
      <c r="L1222" s="1" t="s">
        <v>3079</v>
      </c>
      <c r="M1222" s="1">
        <v>35</v>
      </c>
      <c r="N1222" s="1" t="s">
        <v>39</v>
      </c>
      <c r="O1222" s="1">
        <v>40.768599999999999</v>
      </c>
      <c r="P1222" s="1">
        <v>-111.9289</v>
      </c>
      <c r="Q1222" s="1" t="s">
        <v>3080</v>
      </c>
      <c r="R1222" s="1" t="s">
        <v>41</v>
      </c>
      <c r="T1222" s="1" t="s">
        <v>93</v>
      </c>
      <c r="U1222" s="1" t="s">
        <v>44</v>
      </c>
      <c r="X1222" s="1" t="s">
        <v>176</v>
      </c>
      <c r="AA1222" s="3">
        <v>37450</v>
      </c>
      <c r="AB1222" s="1" t="s">
        <v>46</v>
      </c>
      <c r="AC1222" s="5">
        <v>425</v>
      </c>
      <c r="AD1222" s="1" t="s">
        <v>3084</v>
      </c>
      <c r="AE1222" s="1" t="str">
        <f t="shared" si="96"/>
        <v>3648 5</v>
      </c>
      <c r="AF1222" s="5" t="str">
        <f t="shared" si="94"/>
        <v>40</v>
      </c>
      <c r="AG1222" s="1" t="str">
        <f t="shared" si="95"/>
        <v>Y</v>
      </c>
    </row>
    <row r="1223" spans="1:33" x14ac:dyDescent="0.2">
      <c r="A1223" s="1" t="s">
        <v>3076</v>
      </c>
      <c r="B1223" s="1" t="s">
        <v>3077</v>
      </c>
      <c r="C1223" s="1">
        <v>3648</v>
      </c>
      <c r="D1223" s="1">
        <v>6</v>
      </c>
      <c r="F1223" s="1">
        <v>2023</v>
      </c>
      <c r="G1223" s="1" t="s">
        <v>247</v>
      </c>
      <c r="H1223" s="1">
        <v>609068</v>
      </c>
      <c r="I1223" s="1">
        <v>8</v>
      </c>
      <c r="K1223" s="1" t="s">
        <v>3078</v>
      </c>
      <c r="L1223" s="1" t="s">
        <v>3079</v>
      </c>
      <c r="M1223" s="1">
        <v>35</v>
      </c>
      <c r="N1223" s="1" t="s">
        <v>39</v>
      </c>
      <c r="O1223" s="1">
        <v>40.768599999999999</v>
      </c>
      <c r="P1223" s="1">
        <v>-111.9289</v>
      </c>
      <c r="Q1223" s="1" t="s">
        <v>3080</v>
      </c>
      <c r="R1223" s="1" t="s">
        <v>41</v>
      </c>
      <c r="T1223" s="1" t="s">
        <v>93</v>
      </c>
      <c r="U1223" s="1" t="s">
        <v>44</v>
      </c>
      <c r="X1223" s="1" t="s">
        <v>176</v>
      </c>
      <c r="AA1223" s="3">
        <v>37466</v>
      </c>
      <c r="AB1223" s="1" t="s">
        <v>46</v>
      </c>
      <c r="AC1223" s="5">
        <v>425</v>
      </c>
      <c r="AD1223" s="1" t="s">
        <v>3085</v>
      </c>
      <c r="AE1223" s="1" t="str">
        <f t="shared" si="96"/>
        <v>3648 6</v>
      </c>
      <c r="AF1223" s="5" t="str">
        <f t="shared" si="94"/>
        <v>40</v>
      </c>
      <c r="AG1223" s="1" t="str">
        <f t="shared" si="95"/>
        <v>Y</v>
      </c>
    </row>
    <row r="1224" spans="1:33" x14ac:dyDescent="0.2">
      <c r="A1224" s="1" t="s">
        <v>651</v>
      </c>
      <c r="B1224" s="1" t="s">
        <v>3086</v>
      </c>
      <c r="C1224" s="1">
        <v>3734</v>
      </c>
      <c r="D1224" s="1" t="s">
        <v>3087</v>
      </c>
      <c r="F1224" s="1">
        <v>2023</v>
      </c>
      <c r="G1224" s="1" t="s">
        <v>2309</v>
      </c>
      <c r="H1224" s="1">
        <v>609017</v>
      </c>
      <c r="I1224" s="1">
        <v>1</v>
      </c>
      <c r="K1224" s="1" t="s">
        <v>196</v>
      </c>
      <c r="L1224" s="1" t="s">
        <v>3088</v>
      </c>
      <c r="M1224" s="1">
        <v>23</v>
      </c>
      <c r="N1224" s="1" t="s">
        <v>39</v>
      </c>
      <c r="O1224" s="1">
        <v>44.2498</v>
      </c>
      <c r="P1224" s="1">
        <v>-72.603499999999997</v>
      </c>
      <c r="Q1224" s="1" t="s">
        <v>3089</v>
      </c>
      <c r="T1224" s="1" t="s">
        <v>93</v>
      </c>
      <c r="U1224" s="1" t="s">
        <v>94</v>
      </c>
      <c r="AA1224" s="3">
        <v>26451</v>
      </c>
      <c r="AB1224" s="1" t="s">
        <v>46</v>
      </c>
      <c r="AC1224" s="5">
        <v>385.1</v>
      </c>
      <c r="AD1224" s="1" t="s">
        <v>3090</v>
      </c>
      <c r="AE1224" s="1" t="str">
        <f t="shared" si="96"/>
        <v>3734 A</v>
      </c>
      <c r="AF1224" s="5" t="str">
        <f t="shared" si="94"/>
        <v>41.8</v>
      </c>
      <c r="AG1224" s="1" t="str">
        <f t="shared" si="95"/>
        <v/>
      </c>
    </row>
    <row r="1225" spans="1:33" x14ac:dyDescent="0.2">
      <c r="A1225" s="1" t="s">
        <v>651</v>
      </c>
      <c r="B1225" s="1" t="s">
        <v>3086</v>
      </c>
      <c r="C1225" s="1">
        <v>3734</v>
      </c>
      <c r="D1225" s="1" t="s">
        <v>3091</v>
      </c>
      <c r="F1225" s="1">
        <v>2023</v>
      </c>
      <c r="G1225" s="1" t="s">
        <v>2309</v>
      </c>
      <c r="H1225" s="1">
        <v>609017</v>
      </c>
      <c r="I1225" s="1">
        <v>1</v>
      </c>
      <c r="K1225" s="1" t="s">
        <v>196</v>
      </c>
      <c r="L1225" s="1" t="s">
        <v>3088</v>
      </c>
      <c r="M1225" s="1">
        <v>23</v>
      </c>
      <c r="N1225" s="1" t="s">
        <v>39</v>
      </c>
      <c r="O1225" s="1">
        <v>44.2498</v>
      </c>
      <c r="P1225" s="1">
        <v>-72.603499999999997</v>
      </c>
      <c r="Q1225" s="1" t="s">
        <v>3089</v>
      </c>
      <c r="T1225" s="1" t="s">
        <v>93</v>
      </c>
      <c r="U1225" s="1" t="s">
        <v>94</v>
      </c>
      <c r="AA1225" s="3">
        <v>26451</v>
      </c>
      <c r="AB1225" s="1" t="s">
        <v>46</v>
      </c>
      <c r="AC1225" s="5">
        <v>355.5</v>
      </c>
      <c r="AD1225" s="1" t="s">
        <v>3090</v>
      </c>
      <c r="AE1225" s="1" t="str">
        <f t="shared" si="96"/>
        <v>3734 B</v>
      </c>
      <c r="AF1225" s="5" t="str">
        <f t="shared" si="94"/>
        <v>41.8</v>
      </c>
      <c r="AG1225" s="1" t="str">
        <f t="shared" si="95"/>
        <v/>
      </c>
    </row>
    <row r="1226" spans="1:33" x14ac:dyDescent="0.2">
      <c r="A1226" s="1" t="s">
        <v>651</v>
      </c>
      <c r="B1226" s="1" t="s">
        <v>3092</v>
      </c>
      <c r="C1226" s="1">
        <v>3754</v>
      </c>
      <c r="D1226" s="1" t="s">
        <v>311</v>
      </c>
      <c r="F1226" s="1">
        <v>2023</v>
      </c>
      <c r="G1226" s="1" t="s">
        <v>2309</v>
      </c>
      <c r="H1226" s="1">
        <v>608718</v>
      </c>
      <c r="I1226" s="1">
        <v>1</v>
      </c>
      <c r="K1226" s="1" t="s">
        <v>653</v>
      </c>
      <c r="L1226" s="1" t="s">
        <v>654</v>
      </c>
      <c r="M1226" s="1">
        <v>7</v>
      </c>
      <c r="N1226" s="1" t="s">
        <v>39</v>
      </c>
      <c r="O1226" s="1">
        <v>44.481699999999996</v>
      </c>
      <c r="P1226" s="1">
        <v>-73.224100000000007</v>
      </c>
      <c r="Q1226" s="1" t="s">
        <v>3093</v>
      </c>
      <c r="T1226" s="1" t="s">
        <v>93</v>
      </c>
      <c r="U1226" s="1" t="s">
        <v>94</v>
      </c>
      <c r="AA1226" s="3">
        <v>26201</v>
      </c>
      <c r="AB1226" s="1" t="s">
        <v>46</v>
      </c>
      <c r="AC1226" s="5">
        <v>180.7</v>
      </c>
      <c r="AD1226" s="1" t="s">
        <v>3094</v>
      </c>
      <c r="AE1226" s="1" t="str">
        <f t="shared" si="96"/>
        <v>3754 CT1</v>
      </c>
      <c r="AF1226" s="5" t="str">
        <f t="shared" si="94"/>
        <v>25.5</v>
      </c>
      <c r="AG1226" s="1" t="str">
        <f t="shared" si="95"/>
        <v/>
      </c>
    </row>
    <row r="1227" spans="1:33" x14ac:dyDescent="0.2">
      <c r="A1227" s="1" t="s">
        <v>651</v>
      </c>
      <c r="B1227" s="1" t="s">
        <v>3092</v>
      </c>
      <c r="C1227" s="1">
        <v>3754</v>
      </c>
      <c r="D1227" s="1" t="s">
        <v>98</v>
      </c>
      <c r="F1227" s="1">
        <v>2023</v>
      </c>
      <c r="G1227" s="1" t="s">
        <v>2309</v>
      </c>
      <c r="H1227" s="1">
        <v>608718</v>
      </c>
      <c r="I1227" s="1">
        <v>1</v>
      </c>
      <c r="K1227" s="1" t="s">
        <v>653</v>
      </c>
      <c r="L1227" s="1" t="s">
        <v>654</v>
      </c>
      <c r="M1227" s="1">
        <v>7</v>
      </c>
      <c r="N1227" s="1" t="s">
        <v>39</v>
      </c>
      <c r="O1227" s="1">
        <v>44.481699999999996</v>
      </c>
      <c r="P1227" s="1">
        <v>-73.224100000000007</v>
      </c>
      <c r="Q1227" s="1" t="s">
        <v>3093</v>
      </c>
      <c r="T1227" s="1" t="s">
        <v>93</v>
      </c>
      <c r="U1227" s="1" t="s">
        <v>94</v>
      </c>
      <c r="AA1227" s="3">
        <v>26201</v>
      </c>
      <c r="AB1227" s="1" t="s">
        <v>46</v>
      </c>
      <c r="AC1227" s="5">
        <v>180.7</v>
      </c>
      <c r="AD1227" s="1" t="s">
        <v>3094</v>
      </c>
      <c r="AE1227" s="1" t="str">
        <f t="shared" si="96"/>
        <v>3754 CT2</v>
      </c>
      <c r="AF1227" s="5" t="str">
        <f t="shared" si="94"/>
        <v>25.5</v>
      </c>
      <c r="AG1227" s="1" t="str">
        <f t="shared" si="95"/>
        <v/>
      </c>
    </row>
    <row r="1228" spans="1:33" x14ac:dyDescent="0.2">
      <c r="A1228" s="1" t="s">
        <v>3095</v>
      </c>
      <c r="B1228" s="1" t="s">
        <v>3096</v>
      </c>
      <c r="C1228" s="1">
        <v>3775</v>
      </c>
      <c r="D1228" s="1">
        <v>1</v>
      </c>
      <c r="E1228" s="1" t="s">
        <v>3097</v>
      </c>
      <c r="F1228" s="1">
        <v>2023</v>
      </c>
      <c r="G1228" s="1" t="s">
        <v>1515</v>
      </c>
      <c r="H1228" s="1" t="s">
        <v>1346</v>
      </c>
      <c r="I1228" s="1">
        <v>3</v>
      </c>
      <c r="J1228" s="1" t="s">
        <v>169</v>
      </c>
      <c r="K1228" s="1" t="s">
        <v>3098</v>
      </c>
      <c r="L1228" s="1" t="s">
        <v>3099</v>
      </c>
      <c r="M1228" s="1">
        <v>167</v>
      </c>
      <c r="N1228" s="1" t="s">
        <v>39</v>
      </c>
      <c r="O1228" s="1">
        <v>36.933300000000003</v>
      </c>
      <c r="P1228" s="1">
        <v>-82.199700000000007</v>
      </c>
      <c r="Q1228" s="1" t="s">
        <v>3100</v>
      </c>
      <c r="R1228" s="1" t="s">
        <v>41</v>
      </c>
      <c r="S1228" s="1" t="s">
        <v>85</v>
      </c>
      <c r="T1228" s="1" t="s">
        <v>3101</v>
      </c>
      <c r="U1228" s="1" t="s">
        <v>284</v>
      </c>
      <c r="X1228" s="1" t="s">
        <v>1516</v>
      </c>
      <c r="AA1228" s="3">
        <v>21458</v>
      </c>
      <c r="AB1228" s="1" t="s">
        <v>46</v>
      </c>
      <c r="AC1228" s="5">
        <v>2550</v>
      </c>
      <c r="AD1228" s="1" t="s">
        <v>3102</v>
      </c>
      <c r="AE1228" s="1" t="str">
        <f t="shared" si="96"/>
        <v>3775 1</v>
      </c>
      <c r="AF1228" s="5" t="str">
        <f t="shared" si="94"/>
        <v>237.5</v>
      </c>
      <c r="AG1228" s="1" t="str">
        <f t="shared" si="95"/>
        <v>Y</v>
      </c>
    </row>
    <row r="1229" spans="1:33" x14ac:dyDescent="0.2">
      <c r="A1229" s="1" t="s">
        <v>3095</v>
      </c>
      <c r="B1229" s="1" t="s">
        <v>3096</v>
      </c>
      <c r="C1229" s="1">
        <v>3775</v>
      </c>
      <c r="D1229" s="1">
        <v>2</v>
      </c>
      <c r="E1229" s="1" t="s">
        <v>3097</v>
      </c>
      <c r="F1229" s="1">
        <v>2023</v>
      </c>
      <c r="G1229" s="1" t="s">
        <v>1515</v>
      </c>
      <c r="H1229" s="1" t="s">
        <v>1346</v>
      </c>
      <c r="I1229" s="1">
        <v>3</v>
      </c>
      <c r="J1229" s="1" t="s">
        <v>169</v>
      </c>
      <c r="K1229" s="1" t="s">
        <v>3098</v>
      </c>
      <c r="L1229" s="1" t="s">
        <v>3099</v>
      </c>
      <c r="M1229" s="1">
        <v>167</v>
      </c>
      <c r="N1229" s="1" t="s">
        <v>39</v>
      </c>
      <c r="O1229" s="1">
        <v>36.933300000000003</v>
      </c>
      <c r="P1229" s="1">
        <v>-82.199700000000007</v>
      </c>
      <c r="Q1229" s="1" t="s">
        <v>3100</v>
      </c>
      <c r="R1229" s="1" t="s">
        <v>41</v>
      </c>
      <c r="S1229" s="1" t="s">
        <v>85</v>
      </c>
      <c r="T1229" s="1" t="s">
        <v>3101</v>
      </c>
      <c r="U1229" s="1" t="s">
        <v>284</v>
      </c>
      <c r="X1229" s="1" t="s">
        <v>1516</v>
      </c>
      <c r="AA1229" s="3">
        <v>21550</v>
      </c>
      <c r="AB1229" s="1" t="s">
        <v>46</v>
      </c>
      <c r="AC1229" s="5">
        <v>2550</v>
      </c>
      <c r="AD1229" s="1" t="s">
        <v>3103</v>
      </c>
      <c r="AE1229" s="1" t="str">
        <f t="shared" si="96"/>
        <v>3775 2</v>
      </c>
      <c r="AF1229" s="5" t="str">
        <f t="shared" si="94"/>
        <v>237.5</v>
      </c>
      <c r="AG1229" s="1" t="str">
        <f t="shared" si="95"/>
        <v>Y</v>
      </c>
    </row>
    <row r="1230" spans="1:33" x14ac:dyDescent="0.2">
      <c r="A1230" s="1" t="s">
        <v>3095</v>
      </c>
      <c r="B1230" s="1" t="s">
        <v>3104</v>
      </c>
      <c r="C1230" s="1">
        <v>3785</v>
      </c>
      <c r="D1230" s="1" t="s">
        <v>3105</v>
      </c>
      <c r="F1230" s="1">
        <v>2023</v>
      </c>
      <c r="G1230" s="1" t="s">
        <v>1528</v>
      </c>
      <c r="H1230" s="1">
        <v>1277</v>
      </c>
      <c r="I1230" s="1">
        <v>3</v>
      </c>
      <c r="K1230" s="1" t="s">
        <v>3106</v>
      </c>
      <c r="L1230" s="1" t="s">
        <v>3107</v>
      </c>
      <c r="M1230" s="1">
        <v>1</v>
      </c>
      <c r="N1230" s="1" t="s">
        <v>39</v>
      </c>
      <c r="O1230" s="1">
        <v>37.706099999999999</v>
      </c>
      <c r="P1230" s="1">
        <v>-75.703100000000006</v>
      </c>
      <c r="Q1230" s="1" t="s">
        <v>664</v>
      </c>
      <c r="T1230" s="1" t="s">
        <v>93</v>
      </c>
      <c r="U1230" s="1" t="s">
        <v>94</v>
      </c>
      <c r="AA1230" s="3">
        <v>26451</v>
      </c>
      <c r="AB1230" s="1" t="s">
        <v>46</v>
      </c>
      <c r="AC1230" s="5">
        <v>480</v>
      </c>
      <c r="AD1230" s="1" t="s">
        <v>3108</v>
      </c>
      <c r="AE1230" s="1" t="str">
        <f t="shared" si="96"/>
        <v>3785 TA10</v>
      </c>
      <c r="AF1230" s="5" t="str">
        <f t="shared" si="94"/>
        <v>33</v>
      </c>
      <c r="AG1230" s="1" t="str">
        <f t="shared" si="95"/>
        <v/>
      </c>
    </row>
    <row r="1231" spans="1:33" x14ac:dyDescent="0.2">
      <c r="A1231" s="1" t="s">
        <v>3095</v>
      </c>
      <c r="B1231" s="1" t="s">
        <v>3109</v>
      </c>
      <c r="C1231" s="1">
        <v>3797</v>
      </c>
      <c r="D1231" s="1">
        <v>5</v>
      </c>
      <c r="F1231" s="1">
        <v>2023</v>
      </c>
      <c r="G1231" s="1" t="s">
        <v>682</v>
      </c>
      <c r="H1231" s="1">
        <v>1525</v>
      </c>
      <c r="I1231" s="1">
        <v>3</v>
      </c>
      <c r="J1231" s="1" t="s">
        <v>36</v>
      </c>
      <c r="K1231" s="1" t="s">
        <v>3110</v>
      </c>
      <c r="L1231" s="1" t="s">
        <v>3111</v>
      </c>
      <c r="M1231" s="1">
        <v>41</v>
      </c>
      <c r="N1231" s="1" t="s">
        <v>39</v>
      </c>
      <c r="O1231" s="1">
        <v>37.382199999999997</v>
      </c>
      <c r="P1231" s="1">
        <v>-77.383300000000006</v>
      </c>
      <c r="Q1231" s="1" t="s">
        <v>3112</v>
      </c>
      <c r="R1231" s="1" t="s">
        <v>41</v>
      </c>
      <c r="S1231" s="1" t="s">
        <v>42</v>
      </c>
      <c r="T1231" s="1" t="s">
        <v>43</v>
      </c>
      <c r="U1231" s="1" t="s">
        <v>55</v>
      </c>
      <c r="W1231" s="1" t="s">
        <v>3113</v>
      </c>
      <c r="X1231" s="1" t="s">
        <v>3114</v>
      </c>
      <c r="Y1231" s="1" t="s">
        <v>3115</v>
      </c>
      <c r="AA1231" s="3">
        <v>23549</v>
      </c>
      <c r="AB1231" s="1" t="s">
        <v>2467</v>
      </c>
      <c r="AC1231" s="5">
        <v>3604</v>
      </c>
      <c r="AD1231" s="1" t="s">
        <v>3116</v>
      </c>
      <c r="AE1231" s="1" t="str">
        <f t="shared" si="96"/>
        <v>3797 5</v>
      </c>
      <c r="AF1231" s="5" t="str">
        <f t="shared" si="94"/>
        <v>359</v>
      </c>
      <c r="AG1231" s="1" t="str">
        <f t="shared" si="95"/>
        <v>Y</v>
      </c>
    </row>
    <row r="1232" spans="1:33" x14ac:dyDescent="0.2">
      <c r="A1232" s="1" t="s">
        <v>3095</v>
      </c>
      <c r="B1232" s="1" t="s">
        <v>3109</v>
      </c>
      <c r="C1232" s="1">
        <v>3797</v>
      </c>
      <c r="D1232" s="1">
        <v>6</v>
      </c>
      <c r="F1232" s="1">
        <v>2023</v>
      </c>
      <c r="G1232" s="1" t="s">
        <v>682</v>
      </c>
      <c r="H1232" s="1">
        <v>1525</v>
      </c>
      <c r="I1232" s="1">
        <v>3</v>
      </c>
      <c r="J1232" s="1" t="s">
        <v>36</v>
      </c>
      <c r="K1232" s="1" t="s">
        <v>3110</v>
      </c>
      <c r="L1232" s="1" t="s">
        <v>3111</v>
      </c>
      <c r="M1232" s="1">
        <v>41</v>
      </c>
      <c r="N1232" s="1" t="s">
        <v>39</v>
      </c>
      <c r="O1232" s="1">
        <v>37.382199999999997</v>
      </c>
      <c r="P1232" s="1">
        <v>-77.383300000000006</v>
      </c>
      <c r="Q1232" s="1" t="s">
        <v>3112</v>
      </c>
      <c r="R1232" s="1" t="s">
        <v>41</v>
      </c>
      <c r="S1232" s="1" t="s">
        <v>42</v>
      </c>
      <c r="T1232" s="1" t="s">
        <v>43</v>
      </c>
      <c r="U1232" s="1" t="s">
        <v>55</v>
      </c>
      <c r="W1232" s="1" t="s">
        <v>3117</v>
      </c>
      <c r="X1232" s="1" t="s">
        <v>3118</v>
      </c>
      <c r="Y1232" s="1" t="s">
        <v>3119</v>
      </c>
      <c r="AA1232" s="3">
        <v>25326</v>
      </c>
      <c r="AB1232" s="1" t="s">
        <v>2467</v>
      </c>
      <c r="AC1232" s="5">
        <v>7550</v>
      </c>
      <c r="AD1232" s="1" t="s">
        <v>3120</v>
      </c>
      <c r="AE1232" s="1" t="str">
        <f t="shared" si="96"/>
        <v>3797 6</v>
      </c>
      <c r="AF1232" s="5" t="str">
        <f t="shared" si="94"/>
        <v>693.9</v>
      </c>
      <c r="AG1232" s="1" t="str">
        <f t="shared" si="95"/>
        <v>Y</v>
      </c>
    </row>
    <row r="1233" spans="1:33" x14ac:dyDescent="0.2">
      <c r="A1233" s="1" t="s">
        <v>3095</v>
      </c>
      <c r="B1233" s="1" t="s">
        <v>3109</v>
      </c>
      <c r="C1233" s="1">
        <v>3797</v>
      </c>
      <c r="D1233" s="1">
        <v>7</v>
      </c>
      <c r="F1233" s="1">
        <v>2023</v>
      </c>
      <c r="G1233" s="1" t="s">
        <v>1528</v>
      </c>
      <c r="H1233" s="1">
        <v>1525</v>
      </c>
      <c r="I1233" s="1">
        <v>3</v>
      </c>
      <c r="J1233" s="1" t="s">
        <v>36</v>
      </c>
      <c r="K1233" s="1" t="s">
        <v>3110</v>
      </c>
      <c r="L1233" s="1" t="s">
        <v>3111</v>
      </c>
      <c r="M1233" s="1">
        <v>41</v>
      </c>
      <c r="N1233" s="1" t="s">
        <v>39</v>
      </c>
      <c r="O1233" s="1">
        <v>37.382199999999997</v>
      </c>
      <c r="P1233" s="1">
        <v>-77.383300000000006</v>
      </c>
      <c r="Q1233" s="1" t="s">
        <v>3112</v>
      </c>
      <c r="T1233" s="1" t="s">
        <v>71</v>
      </c>
      <c r="U1233" s="1" t="s">
        <v>44</v>
      </c>
      <c r="V1233" s="1" t="s">
        <v>94</v>
      </c>
      <c r="X1233" s="1" t="s">
        <v>1606</v>
      </c>
      <c r="AA1233" s="3">
        <v>33037</v>
      </c>
      <c r="AB1233" s="1" t="s">
        <v>46</v>
      </c>
      <c r="AC1233" s="5">
        <v>1980</v>
      </c>
      <c r="AD1233" s="1" t="s">
        <v>3121</v>
      </c>
      <c r="AE1233" s="1" t="str">
        <f t="shared" si="96"/>
        <v>3797 7</v>
      </c>
      <c r="AF1233" s="14">
        <f>MID(AD1233,FIND("(",AD1233)+1,FIND(")",AD1233)-FIND("(",AD1233)-1)+74.4</f>
        <v>219.4</v>
      </c>
      <c r="AG1233" s="1" t="str">
        <f t="shared" si="95"/>
        <v/>
      </c>
    </row>
    <row r="1234" spans="1:33" x14ac:dyDescent="0.2">
      <c r="A1234" s="1" t="s">
        <v>3095</v>
      </c>
      <c r="B1234" s="1" t="s">
        <v>3109</v>
      </c>
      <c r="C1234" s="1">
        <v>3797</v>
      </c>
      <c r="D1234" s="1" t="s">
        <v>3122</v>
      </c>
      <c r="F1234" s="1">
        <v>2023</v>
      </c>
      <c r="G1234" s="1" t="s">
        <v>1515</v>
      </c>
      <c r="H1234" s="1">
        <v>1525</v>
      </c>
      <c r="I1234" s="1">
        <v>3</v>
      </c>
      <c r="J1234" s="1" t="s">
        <v>36</v>
      </c>
      <c r="K1234" s="1" t="s">
        <v>3110</v>
      </c>
      <c r="L1234" s="1" t="s">
        <v>3111</v>
      </c>
      <c r="M1234" s="1">
        <v>41</v>
      </c>
      <c r="N1234" s="1" t="s">
        <v>39</v>
      </c>
      <c r="O1234" s="1">
        <v>37.382199999999997</v>
      </c>
      <c r="P1234" s="1">
        <v>-77.383300000000006</v>
      </c>
      <c r="Q1234" s="1" t="s">
        <v>3112</v>
      </c>
      <c r="R1234" s="1" t="s">
        <v>41</v>
      </c>
      <c r="T1234" s="1" t="s">
        <v>71</v>
      </c>
      <c r="U1234" s="1" t="s">
        <v>44</v>
      </c>
      <c r="V1234" s="1" t="s">
        <v>94</v>
      </c>
      <c r="X1234" s="1" t="s">
        <v>1606</v>
      </c>
      <c r="AA1234" s="3">
        <v>33755</v>
      </c>
      <c r="AB1234" s="1" t="s">
        <v>46</v>
      </c>
      <c r="AC1234" s="5">
        <v>1980</v>
      </c>
      <c r="AD1234" s="1" t="s">
        <v>3123</v>
      </c>
      <c r="AE1234" s="1" t="str">
        <f t="shared" si="96"/>
        <v>3797 **8A</v>
      </c>
      <c r="AF1234" s="14">
        <f>MID(AD1234,FIND("(",AD1234)+1,FIND(")",AD1234)-FIND("(",AD1234)-1)+79.2</f>
        <v>227.2</v>
      </c>
      <c r="AG1234" s="1" t="str">
        <f t="shared" si="95"/>
        <v/>
      </c>
    </row>
    <row r="1235" spans="1:33" x14ac:dyDescent="0.2">
      <c r="A1235" s="1" t="s">
        <v>3095</v>
      </c>
      <c r="B1235" s="1" t="s">
        <v>3124</v>
      </c>
      <c r="C1235" s="1">
        <v>3804</v>
      </c>
      <c r="D1235" s="1" t="s">
        <v>70</v>
      </c>
      <c r="F1235" s="1">
        <v>2023</v>
      </c>
      <c r="G1235" s="1" t="s">
        <v>1515</v>
      </c>
      <c r="H1235" s="1">
        <v>1525</v>
      </c>
      <c r="I1235" s="1">
        <v>3</v>
      </c>
      <c r="J1235" s="1" t="s">
        <v>36</v>
      </c>
      <c r="K1235" s="1" t="s">
        <v>3125</v>
      </c>
      <c r="L1235" s="1" t="s">
        <v>3126</v>
      </c>
      <c r="M1235" s="1">
        <v>153</v>
      </c>
      <c r="N1235" s="1" t="s">
        <v>39</v>
      </c>
      <c r="O1235" s="1">
        <v>38.536700000000003</v>
      </c>
      <c r="P1235" s="1">
        <v>-77.280600000000007</v>
      </c>
      <c r="Q1235" s="1" t="s">
        <v>3112</v>
      </c>
      <c r="R1235" s="1" t="s">
        <v>41</v>
      </c>
      <c r="T1235" s="1" t="s">
        <v>71</v>
      </c>
      <c r="U1235" s="1" t="s">
        <v>44</v>
      </c>
      <c r="V1235" s="1" t="s">
        <v>94</v>
      </c>
      <c r="X1235" s="1" t="s">
        <v>643</v>
      </c>
      <c r="AA1235" s="3">
        <v>37736</v>
      </c>
      <c r="AB1235" s="1" t="s">
        <v>46</v>
      </c>
      <c r="AC1235" s="5">
        <v>2408</v>
      </c>
      <c r="AD1235" s="1" t="s">
        <v>3127</v>
      </c>
      <c r="AE1235" s="1" t="str">
        <f t="shared" si="96"/>
        <v>3804 6A</v>
      </c>
      <c r="AF1235" s="14">
        <f>AF1236</f>
        <v>306.5</v>
      </c>
      <c r="AG1235" s="1" t="str">
        <f t="shared" si="95"/>
        <v>Y</v>
      </c>
    </row>
    <row r="1236" spans="1:33" x14ac:dyDescent="0.2">
      <c r="A1236" s="1" t="s">
        <v>3095</v>
      </c>
      <c r="B1236" s="1" t="s">
        <v>3124</v>
      </c>
      <c r="C1236" s="1">
        <v>3804</v>
      </c>
      <c r="D1236" s="1" t="s">
        <v>73</v>
      </c>
      <c r="F1236" s="1">
        <v>2023</v>
      </c>
      <c r="G1236" s="1" t="s">
        <v>1515</v>
      </c>
      <c r="H1236" s="1">
        <v>1525</v>
      </c>
      <c r="I1236" s="1">
        <v>3</v>
      </c>
      <c r="J1236" s="1" t="s">
        <v>36</v>
      </c>
      <c r="K1236" s="1" t="s">
        <v>3125</v>
      </c>
      <c r="L1236" s="1" t="s">
        <v>3126</v>
      </c>
      <c r="M1236" s="1">
        <v>153</v>
      </c>
      <c r="N1236" s="1" t="s">
        <v>39</v>
      </c>
      <c r="O1236" s="1">
        <v>38.536700000000003</v>
      </c>
      <c r="P1236" s="1">
        <v>-77.280600000000007</v>
      </c>
      <c r="Q1236" s="1" t="s">
        <v>3112</v>
      </c>
      <c r="R1236" s="1" t="s">
        <v>41</v>
      </c>
      <c r="T1236" s="1" t="s">
        <v>71</v>
      </c>
      <c r="U1236" s="1" t="s">
        <v>44</v>
      </c>
      <c r="V1236" s="1" t="s">
        <v>94</v>
      </c>
      <c r="X1236" s="1" t="s">
        <v>643</v>
      </c>
      <c r="AA1236" s="3">
        <v>37731</v>
      </c>
      <c r="AB1236" s="1" t="s">
        <v>46</v>
      </c>
      <c r="AC1236" s="5">
        <v>2408</v>
      </c>
      <c r="AD1236" s="1" t="s">
        <v>3128</v>
      </c>
      <c r="AE1236" s="1" t="str">
        <f t="shared" si="96"/>
        <v>3804 6B</v>
      </c>
      <c r="AF1236" s="14">
        <f>MID(AD1236,FIND("(",AD1236)+1,FIND(")",AD1236)-FIND("(",AD1236)-1)+265/2</f>
        <v>306.5</v>
      </c>
      <c r="AG1236" s="1" t="str">
        <f t="shared" si="95"/>
        <v>Y</v>
      </c>
    </row>
    <row r="1237" spans="1:33" x14ac:dyDescent="0.2">
      <c r="A1237" s="1" t="s">
        <v>3095</v>
      </c>
      <c r="B1237" s="1" t="s">
        <v>3129</v>
      </c>
      <c r="C1237" s="1">
        <v>3809</v>
      </c>
      <c r="D1237" s="1">
        <v>3</v>
      </c>
      <c r="F1237" s="1">
        <v>2023</v>
      </c>
      <c r="G1237" s="1" t="s">
        <v>682</v>
      </c>
      <c r="H1237" s="1">
        <v>1525</v>
      </c>
      <c r="I1237" s="1">
        <v>3</v>
      </c>
      <c r="J1237" s="1" t="s">
        <v>36</v>
      </c>
      <c r="K1237" s="1" t="s">
        <v>2604</v>
      </c>
      <c r="L1237" s="1" t="s">
        <v>3130</v>
      </c>
      <c r="M1237" s="1">
        <v>199</v>
      </c>
      <c r="N1237" s="1" t="s">
        <v>39</v>
      </c>
      <c r="O1237" s="1">
        <v>37.214399999999998</v>
      </c>
      <c r="P1237" s="1">
        <v>-76.461100000000002</v>
      </c>
      <c r="Q1237" s="1" t="s">
        <v>3112</v>
      </c>
      <c r="R1237" s="1" t="s">
        <v>41</v>
      </c>
      <c r="T1237" s="1" t="s">
        <v>43</v>
      </c>
      <c r="U1237" s="1" t="s">
        <v>173</v>
      </c>
      <c r="V1237" s="1" t="s">
        <v>341</v>
      </c>
      <c r="X1237" s="1" t="s">
        <v>3131</v>
      </c>
      <c r="Y1237" s="1" t="s">
        <v>3131</v>
      </c>
      <c r="AA1237" s="3">
        <v>27339</v>
      </c>
      <c r="AB1237" s="1" t="s">
        <v>1110</v>
      </c>
      <c r="AC1237" s="5">
        <v>8500</v>
      </c>
      <c r="AD1237" s="1" t="s">
        <v>3132</v>
      </c>
      <c r="AE1237" s="1" t="str">
        <f t="shared" si="96"/>
        <v>3809 3</v>
      </c>
      <c r="AF1237" s="5" t="str">
        <f t="shared" ref="AF1237:AF1251" si="97">MID(AD1237,FIND("(",AD1237)+1,FIND(")",AD1237)-FIND("(",AD1237)-1)</f>
        <v>882</v>
      </c>
      <c r="AG1237" s="1" t="str">
        <f t="shared" si="95"/>
        <v/>
      </c>
    </row>
    <row r="1238" spans="1:33" x14ac:dyDescent="0.2">
      <c r="A1238" s="1" t="s">
        <v>690</v>
      </c>
      <c r="B1238" s="1" t="s">
        <v>3133</v>
      </c>
      <c r="C1238" s="1">
        <v>3845</v>
      </c>
      <c r="D1238" s="1" t="s">
        <v>3134</v>
      </c>
      <c r="F1238" s="1">
        <v>2023</v>
      </c>
      <c r="G1238" s="1" t="s">
        <v>236</v>
      </c>
      <c r="H1238" s="1" t="s">
        <v>3135</v>
      </c>
      <c r="I1238" s="1">
        <v>10</v>
      </c>
      <c r="J1238" s="1" t="s">
        <v>237</v>
      </c>
      <c r="K1238" s="1" t="s">
        <v>3136</v>
      </c>
      <c r="L1238" s="1" t="s">
        <v>3137</v>
      </c>
      <c r="M1238" s="1">
        <v>41</v>
      </c>
      <c r="N1238" s="1" t="s">
        <v>39</v>
      </c>
      <c r="O1238" s="1">
        <v>46.755899999999997</v>
      </c>
      <c r="P1238" s="1">
        <v>-122.8578</v>
      </c>
      <c r="Q1238" s="1" t="s">
        <v>3138</v>
      </c>
      <c r="R1238" s="1" t="s">
        <v>41</v>
      </c>
      <c r="S1238" s="1" t="s">
        <v>211</v>
      </c>
      <c r="T1238" s="1" t="s">
        <v>43</v>
      </c>
      <c r="U1238" s="1" t="s">
        <v>55</v>
      </c>
      <c r="W1238" s="1" t="s">
        <v>56</v>
      </c>
      <c r="X1238" s="1" t="s">
        <v>213</v>
      </c>
      <c r="Y1238" s="1" t="s">
        <v>800</v>
      </c>
      <c r="AA1238" s="3">
        <v>26856</v>
      </c>
      <c r="AB1238" s="1" t="s">
        <v>46</v>
      </c>
      <c r="AC1238" s="5">
        <v>9770</v>
      </c>
      <c r="AD1238" s="1" t="s">
        <v>3139</v>
      </c>
      <c r="AE1238" s="1" t="str">
        <f t="shared" si="96"/>
        <v>3845 BW22</v>
      </c>
      <c r="AF1238" s="5" t="str">
        <f t="shared" si="97"/>
        <v>730</v>
      </c>
      <c r="AG1238" s="1" t="str">
        <f t="shared" si="95"/>
        <v/>
      </c>
    </row>
    <row r="1239" spans="1:33" x14ac:dyDescent="0.2">
      <c r="A1239" s="1" t="s">
        <v>3140</v>
      </c>
      <c r="B1239" s="1" t="s">
        <v>3141</v>
      </c>
      <c r="C1239" s="1">
        <v>3935</v>
      </c>
      <c r="D1239" s="1">
        <v>1</v>
      </c>
      <c r="F1239" s="1">
        <v>2023</v>
      </c>
      <c r="G1239" s="1" t="s">
        <v>1353</v>
      </c>
      <c r="H1239" s="1" t="s">
        <v>1346</v>
      </c>
      <c r="I1239" s="1">
        <v>3</v>
      </c>
      <c r="J1239" s="1" t="s">
        <v>169</v>
      </c>
      <c r="K1239" s="1" t="s">
        <v>306</v>
      </c>
      <c r="L1239" s="1" t="s">
        <v>3142</v>
      </c>
      <c r="M1239" s="1">
        <v>79</v>
      </c>
      <c r="N1239" s="1" t="s">
        <v>39</v>
      </c>
      <c r="O1239" s="1">
        <v>38.473100000000002</v>
      </c>
      <c r="P1239" s="1">
        <v>-81.823300000000003</v>
      </c>
      <c r="Q1239" s="1" t="s">
        <v>3100</v>
      </c>
      <c r="R1239" s="1" t="s">
        <v>41</v>
      </c>
      <c r="S1239" s="1" t="s">
        <v>42</v>
      </c>
      <c r="T1239" s="1" t="s">
        <v>89</v>
      </c>
      <c r="U1239" s="1" t="s">
        <v>55</v>
      </c>
      <c r="W1239" s="1" t="s">
        <v>56</v>
      </c>
      <c r="X1239" s="1" t="s">
        <v>639</v>
      </c>
      <c r="Y1239" s="1" t="s">
        <v>58</v>
      </c>
      <c r="AA1239" s="3">
        <v>26177</v>
      </c>
      <c r="AB1239" s="1" t="s">
        <v>46</v>
      </c>
      <c r="AC1239" s="5">
        <v>7020</v>
      </c>
      <c r="AD1239" s="1" t="s">
        <v>3143</v>
      </c>
      <c r="AE1239" s="1" t="str">
        <f t="shared" si="96"/>
        <v>3935 1</v>
      </c>
      <c r="AF1239" s="5" t="str">
        <f t="shared" si="97"/>
        <v>816.3</v>
      </c>
      <c r="AG1239" s="1" t="str">
        <f t="shared" si="95"/>
        <v>Y</v>
      </c>
    </row>
    <row r="1240" spans="1:33" x14ac:dyDescent="0.2">
      <c r="A1240" s="1" t="s">
        <v>3140</v>
      </c>
      <c r="B1240" s="1" t="s">
        <v>3141</v>
      </c>
      <c r="C1240" s="1">
        <v>3935</v>
      </c>
      <c r="D1240" s="1">
        <v>2</v>
      </c>
      <c r="F1240" s="1">
        <v>2023</v>
      </c>
      <c r="G1240" s="1" t="s">
        <v>1353</v>
      </c>
      <c r="H1240" s="1" t="s">
        <v>1346</v>
      </c>
      <c r="I1240" s="1">
        <v>3</v>
      </c>
      <c r="J1240" s="1" t="s">
        <v>169</v>
      </c>
      <c r="K1240" s="1" t="s">
        <v>306</v>
      </c>
      <c r="L1240" s="1" t="s">
        <v>3142</v>
      </c>
      <c r="M1240" s="1">
        <v>79</v>
      </c>
      <c r="N1240" s="1" t="s">
        <v>39</v>
      </c>
      <c r="O1240" s="1">
        <v>38.473100000000002</v>
      </c>
      <c r="P1240" s="1">
        <v>-81.823300000000003</v>
      </c>
      <c r="Q1240" s="1" t="s">
        <v>3100</v>
      </c>
      <c r="R1240" s="1" t="s">
        <v>41</v>
      </c>
      <c r="S1240" s="1" t="s">
        <v>42</v>
      </c>
      <c r="T1240" s="1" t="s">
        <v>89</v>
      </c>
      <c r="U1240" s="1" t="s">
        <v>55</v>
      </c>
      <c r="W1240" s="1" t="s">
        <v>56</v>
      </c>
      <c r="X1240" s="1" t="s">
        <v>639</v>
      </c>
      <c r="Y1240" s="1" t="s">
        <v>58</v>
      </c>
      <c r="AA1240" s="3">
        <v>26456</v>
      </c>
      <c r="AB1240" s="1" t="s">
        <v>46</v>
      </c>
      <c r="AC1240" s="5">
        <v>7020</v>
      </c>
      <c r="AD1240" s="1" t="s">
        <v>3144</v>
      </c>
      <c r="AE1240" s="1" t="str">
        <f t="shared" si="96"/>
        <v>3935 2</v>
      </c>
      <c r="AF1240" s="5" t="str">
        <f t="shared" si="97"/>
        <v>816.3</v>
      </c>
      <c r="AG1240" s="1" t="str">
        <f t="shared" si="95"/>
        <v>Y</v>
      </c>
    </row>
    <row r="1241" spans="1:33" x14ac:dyDescent="0.2">
      <c r="A1241" s="1" t="s">
        <v>3140</v>
      </c>
      <c r="B1241" s="1" t="s">
        <v>3141</v>
      </c>
      <c r="C1241" s="1">
        <v>3935</v>
      </c>
      <c r="D1241" s="1">
        <v>3</v>
      </c>
      <c r="F1241" s="1">
        <v>2023</v>
      </c>
      <c r="G1241" s="1" t="s">
        <v>1353</v>
      </c>
      <c r="H1241" s="1" t="s">
        <v>1346</v>
      </c>
      <c r="I1241" s="1">
        <v>3</v>
      </c>
      <c r="J1241" s="1" t="s">
        <v>169</v>
      </c>
      <c r="K1241" s="1" t="s">
        <v>306</v>
      </c>
      <c r="L1241" s="1" t="s">
        <v>3142</v>
      </c>
      <c r="M1241" s="1">
        <v>79</v>
      </c>
      <c r="N1241" s="1" t="s">
        <v>39</v>
      </c>
      <c r="O1241" s="1">
        <v>38.473100000000002</v>
      </c>
      <c r="P1241" s="1">
        <v>-81.823300000000003</v>
      </c>
      <c r="Q1241" s="1" t="s">
        <v>3100</v>
      </c>
      <c r="R1241" s="1" t="s">
        <v>41</v>
      </c>
      <c r="S1241" s="1" t="s">
        <v>85</v>
      </c>
      <c r="T1241" s="1" t="s">
        <v>86</v>
      </c>
      <c r="U1241" s="1" t="s">
        <v>55</v>
      </c>
      <c r="W1241" s="1" t="s">
        <v>56</v>
      </c>
      <c r="X1241" s="1" t="s">
        <v>1633</v>
      </c>
      <c r="Y1241" s="1" t="s">
        <v>58</v>
      </c>
      <c r="AA1241" s="3">
        <v>26959</v>
      </c>
      <c r="AB1241" s="1" t="s">
        <v>46</v>
      </c>
      <c r="AC1241" s="5">
        <v>11900</v>
      </c>
      <c r="AD1241" s="1" t="s">
        <v>3145</v>
      </c>
      <c r="AE1241" s="1" t="str">
        <f t="shared" si="96"/>
        <v>3935 3</v>
      </c>
      <c r="AF1241" s="5" t="str">
        <f t="shared" si="97"/>
        <v>1300</v>
      </c>
      <c r="AG1241" s="1" t="str">
        <f t="shared" si="95"/>
        <v>Y</v>
      </c>
    </row>
    <row r="1242" spans="1:33" x14ac:dyDescent="0.2">
      <c r="A1242" s="1" t="s">
        <v>3140</v>
      </c>
      <c r="B1242" s="1" t="s">
        <v>3146</v>
      </c>
      <c r="C1242" s="1">
        <v>3943</v>
      </c>
      <c r="D1242" s="1">
        <v>1</v>
      </c>
      <c r="F1242" s="1">
        <v>2023</v>
      </c>
      <c r="G1242" s="1" t="s">
        <v>1353</v>
      </c>
      <c r="H1242" s="1">
        <v>602854</v>
      </c>
      <c r="I1242" s="1">
        <v>3</v>
      </c>
      <c r="K1242" s="1" t="s">
        <v>3147</v>
      </c>
      <c r="L1242" s="1" t="s">
        <v>3148</v>
      </c>
      <c r="M1242" s="1">
        <v>61</v>
      </c>
      <c r="N1242" s="1" t="s">
        <v>39</v>
      </c>
      <c r="O1242" s="1">
        <v>39.710700000000003</v>
      </c>
      <c r="P1242" s="1">
        <v>-79.927499999999995</v>
      </c>
      <c r="Q1242" s="1" t="s">
        <v>3149</v>
      </c>
      <c r="R1242" s="1" t="s">
        <v>120</v>
      </c>
      <c r="S1242" s="1" t="s">
        <v>121</v>
      </c>
      <c r="T1242" s="1" t="s">
        <v>43</v>
      </c>
      <c r="U1242" s="1" t="s">
        <v>55</v>
      </c>
      <c r="W1242" s="1" t="s">
        <v>241</v>
      </c>
      <c r="X1242" s="1" t="s">
        <v>1233</v>
      </c>
      <c r="Y1242" s="1" t="s">
        <v>58</v>
      </c>
      <c r="Z1242" s="1" t="s">
        <v>59</v>
      </c>
      <c r="AA1242" s="3">
        <v>24473</v>
      </c>
      <c r="AB1242" s="1" t="s">
        <v>46</v>
      </c>
      <c r="AC1242" s="5">
        <v>6617</v>
      </c>
      <c r="AD1242" s="1" t="s">
        <v>3150</v>
      </c>
      <c r="AE1242" s="1" t="str">
        <f t="shared" si="96"/>
        <v>3943 1</v>
      </c>
      <c r="AF1242" s="5" t="str">
        <f t="shared" si="97"/>
        <v>576</v>
      </c>
      <c r="AG1242" s="1" t="str">
        <f t="shared" si="95"/>
        <v/>
      </c>
    </row>
    <row r="1243" spans="1:33" x14ac:dyDescent="0.2">
      <c r="A1243" s="1" t="s">
        <v>3140</v>
      </c>
      <c r="B1243" s="1" t="s">
        <v>3146</v>
      </c>
      <c r="C1243" s="1">
        <v>3943</v>
      </c>
      <c r="D1243" s="1">
        <v>2</v>
      </c>
      <c r="F1243" s="1">
        <v>2023</v>
      </c>
      <c r="G1243" s="1" t="s">
        <v>1353</v>
      </c>
      <c r="H1243" s="1">
        <v>602854</v>
      </c>
      <c r="I1243" s="1">
        <v>3</v>
      </c>
      <c r="K1243" s="1" t="s">
        <v>3147</v>
      </c>
      <c r="L1243" s="1" t="s">
        <v>3148</v>
      </c>
      <c r="M1243" s="1">
        <v>61</v>
      </c>
      <c r="N1243" s="1" t="s">
        <v>39</v>
      </c>
      <c r="O1243" s="1">
        <v>39.710700000000003</v>
      </c>
      <c r="P1243" s="1">
        <v>-79.927499999999995</v>
      </c>
      <c r="Q1243" s="1" t="s">
        <v>3149</v>
      </c>
      <c r="R1243" s="1" t="s">
        <v>120</v>
      </c>
      <c r="S1243" s="1" t="s">
        <v>85</v>
      </c>
      <c r="T1243" s="1" t="s">
        <v>86</v>
      </c>
      <c r="U1243" s="1" t="s">
        <v>55</v>
      </c>
      <c r="W1243" s="1" t="s">
        <v>241</v>
      </c>
      <c r="X1243" s="1" t="s">
        <v>87</v>
      </c>
      <c r="Y1243" s="1" t="s">
        <v>58</v>
      </c>
      <c r="Z1243" s="1" t="s">
        <v>59</v>
      </c>
      <c r="AA1243" s="3">
        <v>24838</v>
      </c>
      <c r="AB1243" s="1" t="s">
        <v>46</v>
      </c>
      <c r="AC1243" s="5">
        <v>6037</v>
      </c>
      <c r="AD1243" s="1" t="s">
        <v>3151</v>
      </c>
      <c r="AE1243" s="1" t="str">
        <f t="shared" si="96"/>
        <v>3943 2</v>
      </c>
      <c r="AF1243" s="5" t="str">
        <f t="shared" si="97"/>
        <v>576</v>
      </c>
      <c r="AG1243" s="1" t="str">
        <f t="shared" si="95"/>
        <v/>
      </c>
    </row>
    <row r="1244" spans="1:33" x14ac:dyDescent="0.2">
      <c r="A1244" s="1" t="s">
        <v>3140</v>
      </c>
      <c r="B1244" s="1" t="s">
        <v>3152</v>
      </c>
      <c r="C1244" s="1">
        <v>3944</v>
      </c>
      <c r="D1244" s="1">
        <v>1</v>
      </c>
      <c r="F1244" s="1">
        <v>2023</v>
      </c>
      <c r="G1244" s="1" t="s">
        <v>1353</v>
      </c>
      <c r="H1244" s="1">
        <v>602854</v>
      </c>
      <c r="I1244" s="1">
        <v>3</v>
      </c>
      <c r="K1244" s="1" t="s">
        <v>1738</v>
      </c>
      <c r="L1244" s="1" t="s">
        <v>3153</v>
      </c>
      <c r="M1244" s="1">
        <v>33</v>
      </c>
      <c r="N1244" s="1" t="s">
        <v>39</v>
      </c>
      <c r="O1244" s="1">
        <v>39.384399999999999</v>
      </c>
      <c r="P1244" s="1">
        <v>-80.332499999999996</v>
      </c>
      <c r="Q1244" s="1" t="s">
        <v>3149</v>
      </c>
      <c r="R1244" s="1" t="s">
        <v>120</v>
      </c>
      <c r="S1244" s="1" t="s">
        <v>121</v>
      </c>
      <c r="T1244" s="1" t="s">
        <v>89</v>
      </c>
      <c r="U1244" s="1" t="s">
        <v>55</v>
      </c>
      <c r="W1244" s="1" t="s">
        <v>241</v>
      </c>
      <c r="X1244" s="1" t="s">
        <v>639</v>
      </c>
      <c r="Y1244" s="1" t="s">
        <v>58</v>
      </c>
      <c r="AA1244" s="3">
        <v>26299</v>
      </c>
      <c r="AB1244" s="1" t="s">
        <v>46</v>
      </c>
      <c r="AC1244" s="5">
        <v>7999</v>
      </c>
      <c r="AD1244" s="1" t="s">
        <v>3154</v>
      </c>
      <c r="AE1244" s="1" t="str">
        <f t="shared" si="96"/>
        <v>3944 1</v>
      </c>
      <c r="AF1244" s="5" t="str">
        <f t="shared" si="97"/>
        <v>684</v>
      </c>
      <c r="AG1244" s="1" t="str">
        <f t="shared" si="95"/>
        <v>Y</v>
      </c>
    </row>
    <row r="1245" spans="1:33" x14ac:dyDescent="0.2">
      <c r="A1245" s="1" t="s">
        <v>3140</v>
      </c>
      <c r="B1245" s="1" t="s">
        <v>3152</v>
      </c>
      <c r="C1245" s="1">
        <v>3944</v>
      </c>
      <c r="D1245" s="1">
        <v>2</v>
      </c>
      <c r="F1245" s="1">
        <v>2023</v>
      </c>
      <c r="G1245" s="1" t="s">
        <v>1353</v>
      </c>
      <c r="H1245" s="1">
        <v>602854</v>
      </c>
      <c r="I1245" s="1">
        <v>3</v>
      </c>
      <c r="K1245" s="1" t="s">
        <v>1738</v>
      </c>
      <c r="L1245" s="1" t="s">
        <v>3153</v>
      </c>
      <c r="M1245" s="1">
        <v>33</v>
      </c>
      <c r="N1245" s="1" t="s">
        <v>39</v>
      </c>
      <c r="O1245" s="1">
        <v>39.384399999999999</v>
      </c>
      <c r="P1245" s="1">
        <v>-80.332499999999996</v>
      </c>
      <c r="Q1245" s="1" t="s">
        <v>3149</v>
      </c>
      <c r="R1245" s="1" t="s">
        <v>120</v>
      </c>
      <c r="S1245" s="1" t="s">
        <v>121</v>
      </c>
      <c r="T1245" s="1" t="s">
        <v>89</v>
      </c>
      <c r="U1245" s="1" t="s">
        <v>55</v>
      </c>
      <c r="W1245" s="1" t="s">
        <v>241</v>
      </c>
      <c r="X1245" s="1" t="s">
        <v>639</v>
      </c>
      <c r="Y1245" s="1" t="s">
        <v>58</v>
      </c>
      <c r="AA1245" s="3">
        <v>26665</v>
      </c>
      <c r="AB1245" s="1" t="s">
        <v>46</v>
      </c>
      <c r="AC1245" s="5">
        <v>7950</v>
      </c>
      <c r="AD1245" s="1" t="s">
        <v>3155</v>
      </c>
      <c r="AE1245" s="1" t="str">
        <f t="shared" si="96"/>
        <v>3944 2</v>
      </c>
      <c r="AF1245" s="5" t="str">
        <f t="shared" si="97"/>
        <v>684</v>
      </c>
      <c r="AG1245" s="1" t="str">
        <f t="shared" si="95"/>
        <v>Y</v>
      </c>
    </row>
    <row r="1246" spans="1:33" x14ac:dyDescent="0.2">
      <c r="A1246" s="1" t="s">
        <v>3140</v>
      </c>
      <c r="B1246" s="1" t="s">
        <v>3152</v>
      </c>
      <c r="C1246" s="1">
        <v>3944</v>
      </c>
      <c r="D1246" s="1">
        <v>3</v>
      </c>
      <c r="F1246" s="1">
        <v>2023</v>
      </c>
      <c r="G1246" s="1" t="s">
        <v>1353</v>
      </c>
      <c r="H1246" s="1">
        <v>602854</v>
      </c>
      <c r="I1246" s="1">
        <v>3</v>
      </c>
      <c r="K1246" s="1" t="s">
        <v>1738</v>
      </c>
      <c r="L1246" s="1" t="s">
        <v>3153</v>
      </c>
      <c r="M1246" s="1">
        <v>33</v>
      </c>
      <c r="N1246" s="1" t="s">
        <v>39</v>
      </c>
      <c r="O1246" s="1">
        <v>39.384399999999999</v>
      </c>
      <c r="P1246" s="1">
        <v>-80.332499999999996</v>
      </c>
      <c r="Q1246" s="1" t="s">
        <v>3149</v>
      </c>
      <c r="R1246" s="1" t="s">
        <v>120</v>
      </c>
      <c r="S1246" s="1" t="s">
        <v>121</v>
      </c>
      <c r="T1246" s="1" t="s">
        <v>89</v>
      </c>
      <c r="U1246" s="1" t="s">
        <v>55</v>
      </c>
      <c r="W1246" s="1" t="s">
        <v>241</v>
      </c>
      <c r="X1246" s="1" t="s">
        <v>639</v>
      </c>
      <c r="Y1246" s="1" t="s">
        <v>58</v>
      </c>
      <c r="AA1246" s="3">
        <v>27030</v>
      </c>
      <c r="AB1246" s="1" t="s">
        <v>46</v>
      </c>
      <c r="AC1246" s="5">
        <v>8300</v>
      </c>
      <c r="AD1246" s="1" t="s">
        <v>3156</v>
      </c>
      <c r="AE1246" s="1" t="str">
        <f t="shared" si="96"/>
        <v>3944 3</v>
      </c>
      <c r="AF1246" s="5" t="str">
        <f t="shared" si="97"/>
        <v>684</v>
      </c>
      <c r="AG1246" s="1" t="str">
        <f t="shared" si="95"/>
        <v>Y</v>
      </c>
    </row>
    <row r="1247" spans="1:33" x14ac:dyDescent="0.2">
      <c r="A1247" s="1" t="s">
        <v>3140</v>
      </c>
      <c r="B1247" s="1" t="s">
        <v>3157</v>
      </c>
      <c r="C1247" s="1">
        <v>3948</v>
      </c>
      <c r="D1247" s="1">
        <v>1</v>
      </c>
      <c r="F1247" s="1">
        <v>2023</v>
      </c>
      <c r="G1247" s="1" t="s">
        <v>1353</v>
      </c>
      <c r="H1247" s="1" t="s">
        <v>1346</v>
      </c>
      <c r="I1247" s="1">
        <v>3</v>
      </c>
      <c r="J1247" s="1" t="s">
        <v>169</v>
      </c>
      <c r="K1247" s="1" t="s">
        <v>1196</v>
      </c>
      <c r="L1247" s="1" t="s">
        <v>3158</v>
      </c>
      <c r="M1247" s="1">
        <v>51</v>
      </c>
      <c r="N1247" s="1" t="s">
        <v>39</v>
      </c>
      <c r="O1247" s="1">
        <v>39.829700000000003</v>
      </c>
      <c r="P1247" s="1">
        <v>-80.815299999999993</v>
      </c>
      <c r="Q1247" s="1" t="s">
        <v>3159</v>
      </c>
      <c r="R1247" s="1" t="s">
        <v>120</v>
      </c>
      <c r="S1247" s="1" t="s">
        <v>121</v>
      </c>
      <c r="T1247" s="1" t="s">
        <v>89</v>
      </c>
      <c r="U1247" s="1" t="s">
        <v>55</v>
      </c>
      <c r="W1247" s="1" t="s">
        <v>56</v>
      </c>
      <c r="X1247" s="1" t="s">
        <v>639</v>
      </c>
      <c r="Y1247" s="1" t="s">
        <v>58</v>
      </c>
      <c r="AA1247" s="3">
        <v>26084</v>
      </c>
      <c r="AB1247" s="1" t="s">
        <v>46</v>
      </c>
      <c r="AC1247" s="5">
        <v>7020</v>
      </c>
      <c r="AD1247" s="1" t="s">
        <v>3143</v>
      </c>
      <c r="AE1247" s="1" t="str">
        <f t="shared" si="96"/>
        <v>3948 1</v>
      </c>
      <c r="AF1247" s="5" t="str">
        <f t="shared" si="97"/>
        <v>816.3</v>
      </c>
      <c r="AG1247" s="1" t="str">
        <f t="shared" si="95"/>
        <v>Y</v>
      </c>
    </row>
    <row r="1248" spans="1:33" x14ac:dyDescent="0.2">
      <c r="A1248" s="1" t="s">
        <v>3140</v>
      </c>
      <c r="B1248" s="1" t="s">
        <v>3157</v>
      </c>
      <c r="C1248" s="1">
        <v>3948</v>
      </c>
      <c r="D1248" s="1">
        <v>2</v>
      </c>
      <c r="F1248" s="1">
        <v>2023</v>
      </c>
      <c r="G1248" s="1" t="s">
        <v>1353</v>
      </c>
      <c r="H1248" s="1" t="s">
        <v>1346</v>
      </c>
      <c r="I1248" s="1">
        <v>3</v>
      </c>
      <c r="J1248" s="1" t="s">
        <v>169</v>
      </c>
      <c r="K1248" s="1" t="s">
        <v>1196</v>
      </c>
      <c r="L1248" s="1" t="s">
        <v>3158</v>
      </c>
      <c r="M1248" s="1">
        <v>51</v>
      </c>
      <c r="N1248" s="1" t="s">
        <v>39</v>
      </c>
      <c r="O1248" s="1">
        <v>39.829700000000003</v>
      </c>
      <c r="P1248" s="1">
        <v>-80.815299999999993</v>
      </c>
      <c r="Q1248" s="1" t="s">
        <v>3159</v>
      </c>
      <c r="R1248" s="1" t="s">
        <v>120</v>
      </c>
      <c r="S1248" s="1" t="s">
        <v>121</v>
      </c>
      <c r="T1248" s="1" t="s">
        <v>89</v>
      </c>
      <c r="U1248" s="1" t="s">
        <v>55</v>
      </c>
      <c r="W1248" s="1" t="s">
        <v>56</v>
      </c>
      <c r="X1248" s="1" t="s">
        <v>639</v>
      </c>
      <c r="Y1248" s="1" t="s">
        <v>58</v>
      </c>
      <c r="AA1248" s="3">
        <v>26084</v>
      </c>
      <c r="AB1248" s="1" t="s">
        <v>46</v>
      </c>
      <c r="AC1248" s="5">
        <v>7020</v>
      </c>
      <c r="AD1248" s="1" t="s">
        <v>3144</v>
      </c>
      <c r="AE1248" s="1" t="str">
        <f t="shared" si="96"/>
        <v>3948 2</v>
      </c>
      <c r="AF1248" s="5" t="str">
        <f t="shared" si="97"/>
        <v>816.3</v>
      </c>
      <c r="AG1248" s="1" t="str">
        <f t="shared" si="95"/>
        <v>Y</v>
      </c>
    </row>
    <row r="1249" spans="1:33" x14ac:dyDescent="0.2">
      <c r="A1249" s="1" t="s">
        <v>3140</v>
      </c>
      <c r="B1249" s="1" t="s">
        <v>3160</v>
      </c>
      <c r="C1249" s="1">
        <v>3954</v>
      </c>
      <c r="D1249" s="1">
        <v>1</v>
      </c>
      <c r="E1249" s="1" t="s">
        <v>3161</v>
      </c>
      <c r="F1249" s="1">
        <v>2023</v>
      </c>
      <c r="G1249" s="1" t="s">
        <v>1353</v>
      </c>
      <c r="H1249" s="1">
        <v>1525</v>
      </c>
      <c r="I1249" s="1">
        <v>3</v>
      </c>
      <c r="J1249" s="1" t="s">
        <v>36</v>
      </c>
      <c r="K1249" s="1" t="s">
        <v>3162</v>
      </c>
      <c r="L1249" s="1" t="s">
        <v>3163</v>
      </c>
      <c r="M1249" s="1">
        <v>23</v>
      </c>
      <c r="N1249" s="1" t="s">
        <v>39</v>
      </c>
      <c r="O1249" s="1">
        <v>39.2014</v>
      </c>
      <c r="P1249" s="1">
        <v>-79.2667</v>
      </c>
      <c r="Q1249" s="1" t="s">
        <v>3112</v>
      </c>
      <c r="R1249" s="1" t="s">
        <v>120</v>
      </c>
      <c r="S1249" s="1" t="s">
        <v>121</v>
      </c>
      <c r="T1249" s="1" t="s">
        <v>43</v>
      </c>
      <c r="U1249" s="1" t="s">
        <v>55</v>
      </c>
      <c r="W1249" s="1" t="s">
        <v>56</v>
      </c>
      <c r="X1249" s="1" t="s">
        <v>2278</v>
      </c>
      <c r="Y1249" s="1" t="s">
        <v>331</v>
      </c>
      <c r="AA1249" s="3">
        <v>24005</v>
      </c>
      <c r="AB1249" s="1" t="s">
        <v>46</v>
      </c>
      <c r="AC1249" s="5">
        <v>8500</v>
      </c>
      <c r="AD1249" s="1" t="s">
        <v>3164</v>
      </c>
      <c r="AE1249" s="1" t="str">
        <f t="shared" si="96"/>
        <v>3954 1</v>
      </c>
      <c r="AF1249" s="5" t="str">
        <f t="shared" si="97"/>
        <v>570.2</v>
      </c>
      <c r="AG1249" s="1" t="str">
        <f t="shared" si="95"/>
        <v>Y</v>
      </c>
    </row>
    <row r="1250" spans="1:33" x14ac:dyDescent="0.2">
      <c r="A1250" s="1" t="s">
        <v>3140</v>
      </c>
      <c r="B1250" s="1" t="s">
        <v>3160</v>
      </c>
      <c r="C1250" s="1">
        <v>3954</v>
      </c>
      <c r="D1250" s="1">
        <v>2</v>
      </c>
      <c r="E1250" s="1" t="s">
        <v>3161</v>
      </c>
      <c r="F1250" s="1">
        <v>2023</v>
      </c>
      <c r="G1250" s="1" t="s">
        <v>1353</v>
      </c>
      <c r="H1250" s="1">
        <v>1525</v>
      </c>
      <c r="I1250" s="1">
        <v>3</v>
      </c>
      <c r="J1250" s="1" t="s">
        <v>36</v>
      </c>
      <c r="K1250" s="1" t="s">
        <v>3162</v>
      </c>
      <c r="L1250" s="1" t="s">
        <v>3163</v>
      </c>
      <c r="M1250" s="1">
        <v>23</v>
      </c>
      <c r="N1250" s="1" t="s">
        <v>39</v>
      </c>
      <c r="O1250" s="1">
        <v>39.2014</v>
      </c>
      <c r="P1250" s="1">
        <v>-79.2667</v>
      </c>
      <c r="Q1250" s="1" t="s">
        <v>3112</v>
      </c>
      <c r="R1250" s="1" t="s">
        <v>120</v>
      </c>
      <c r="S1250" s="1" t="s">
        <v>121</v>
      </c>
      <c r="T1250" s="1" t="s">
        <v>43</v>
      </c>
      <c r="U1250" s="1" t="s">
        <v>55</v>
      </c>
      <c r="W1250" s="1" t="s">
        <v>56</v>
      </c>
      <c r="X1250" s="1" t="s">
        <v>2278</v>
      </c>
      <c r="Y1250" s="1" t="s">
        <v>331</v>
      </c>
      <c r="AA1250" s="3">
        <v>24282</v>
      </c>
      <c r="AB1250" s="1" t="s">
        <v>46</v>
      </c>
      <c r="AC1250" s="5">
        <v>8500</v>
      </c>
      <c r="AD1250" s="1" t="s">
        <v>3165</v>
      </c>
      <c r="AE1250" s="1" t="str">
        <f t="shared" si="96"/>
        <v>3954 2</v>
      </c>
      <c r="AF1250" s="5" t="str">
        <f t="shared" si="97"/>
        <v>570.2</v>
      </c>
      <c r="AG1250" s="1" t="str">
        <f t="shared" si="95"/>
        <v>Y</v>
      </c>
    </row>
    <row r="1251" spans="1:33" x14ac:dyDescent="0.2">
      <c r="A1251" s="1" t="s">
        <v>3140</v>
      </c>
      <c r="B1251" s="1" t="s">
        <v>3160</v>
      </c>
      <c r="C1251" s="1">
        <v>3954</v>
      </c>
      <c r="D1251" s="1">
        <v>3</v>
      </c>
      <c r="F1251" s="1">
        <v>2023</v>
      </c>
      <c r="G1251" s="1" t="s">
        <v>1353</v>
      </c>
      <c r="H1251" s="1">
        <v>1525</v>
      </c>
      <c r="I1251" s="1">
        <v>3</v>
      </c>
      <c r="J1251" s="1" t="s">
        <v>36</v>
      </c>
      <c r="K1251" s="1" t="s">
        <v>3162</v>
      </c>
      <c r="L1251" s="1" t="s">
        <v>3163</v>
      </c>
      <c r="M1251" s="1">
        <v>23</v>
      </c>
      <c r="N1251" s="1" t="s">
        <v>39</v>
      </c>
      <c r="O1251" s="1">
        <v>39.2014</v>
      </c>
      <c r="P1251" s="1">
        <v>-79.2667</v>
      </c>
      <c r="Q1251" s="1" t="s">
        <v>3112</v>
      </c>
      <c r="R1251" s="1" t="s">
        <v>120</v>
      </c>
      <c r="S1251" s="1" t="s">
        <v>121</v>
      </c>
      <c r="T1251" s="1" t="s">
        <v>43</v>
      </c>
      <c r="U1251" s="1" t="s">
        <v>55</v>
      </c>
      <c r="W1251" s="1" t="s">
        <v>56</v>
      </c>
      <c r="X1251" s="1" t="s">
        <v>2278</v>
      </c>
      <c r="Y1251" s="1" t="s">
        <v>800</v>
      </c>
      <c r="AA1251" s="3">
        <v>27006</v>
      </c>
      <c r="AB1251" s="1" t="s">
        <v>46</v>
      </c>
      <c r="AC1251" s="5">
        <v>6005</v>
      </c>
      <c r="AD1251" s="1" t="s">
        <v>3166</v>
      </c>
      <c r="AE1251" s="1" t="str">
        <f t="shared" si="96"/>
        <v>3954 3</v>
      </c>
      <c r="AF1251" s="5" t="str">
        <f t="shared" si="97"/>
        <v>522</v>
      </c>
      <c r="AG1251" s="1" t="str">
        <f t="shared" si="95"/>
        <v>Y</v>
      </c>
    </row>
    <row r="1252" spans="1:33" x14ac:dyDescent="0.2">
      <c r="A1252" s="1" t="s">
        <v>3167</v>
      </c>
      <c r="B1252" s="1" t="s">
        <v>3168</v>
      </c>
      <c r="C1252" s="1">
        <v>3982</v>
      </c>
      <c r="D1252" s="1">
        <v>1</v>
      </c>
      <c r="F1252" s="1">
        <v>2023</v>
      </c>
      <c r="G1252" s="1" t="s">
        <v>461</v>
      </c>
      <c r="H1252" s="1">
        <v>606333</v>
      </c>
      <c r="I1252" s="1">
        <v>5</v>
      </c>
      <c r="J1252" s="1" t="s">
        <v>207</v>
      </c>
      <c r="K1252" s="1" t="s">
        <v>3169</v>
      </c>
      <c r="L1252" s="1" t="s">
        <v>3170</v>
      </c>
      <c r="M1252" s="1">
        <v>3</v>
      </c>
      <c r="N1252" s="1" t="s">
        <v>39</v>
      </c>
      <c r="O1252" s="1">
        <v>46.5869</v>
      </c>
      <c r="P1252" s="1">
        <v>-90.901700000000005</v>
      </c>
      <c r="Q1252" s="1" t="s">
        <v>1692</v>
      </c>
      <c r="R1252" s="1" t="s">
        <v>41</v>
      </c>
      <c r="T1252" s="1" t="s">
        <v>1660</v>
      </c>
      <c r="U1252" s="1" t="s">
        <v>657</v>
      </c>
      <c r="V1252" s="1" t="s">
        <v>1977</v>
      </c>
      <c r="X1252" s="1" t="s">
        <v>3171</v>
      </c>
      <c r="Y1252" s="1" t="s">
        <v>232</v>
      </c>
      <c r="AA1252" s="3">
        <v>19906</v>
      </c>
      <c r="AB1252" s="1" t="s">
        <v>46</v>
      </c>
      <c r="AC1252" s="5">
        <v>350</v>
      </c>
      <c r="AD1252" s="1" t="s">
        <v>3172</v>
      </c>
      <c r="AE1252" s="1" t="str">
        <f t="shared" si="96"/>
        <v>3982 1</v>
      </c>
      <c r="AF1252" s="14">
        <f>MID(AD1252,FIND("(",AD1252)+1,FIND(")",AD1252)-FIND("(",AD1252)-1)/2+20/2+28/2</f>
        <v>34</v>
      </c>
      <c r="AG1252" s="1" t="str">
        <f t="shared" si="95"/>
        <v>Y</v>
      </c>
    </row>
    <row r="1253" spans="1:33" x14ac:dyDescent="0.2">
      <c r="A1253" s="1" t="s">
        <v>3167</v>
      </c>
      <c r="B1253" s="1" t="s">
        <v>3168</v>
      </c>
      <c r="C1253" s="1">
        <v>3982</v>
      </c>
      <c r="D1253" s="1">
        <v>2</v>
      </c>
      <c r="F1253" s="1">
        <v>2023</v>
      </c>
      <c r="G1253" s="1" t="s">
        <v>461</v>
      </c>
      <c r="H1253" s="1">
        <v>606333</v>
      </c>
      <c r="I1253" s="1">
        <v>5</v>
      </c>
      <c r="J1253" s="1" t="s">
        <v>207</v>
      </c>
      <c r="K1253" s="1" t="s">
        <v>3169</v>
      </c>
      <c r="L1253" s="1" t="s">
        <v>3170</v>
      </c>
      <c r="M1253" s="1">
        <v>3</v>
      </c>
      <c r="N1253" s="1" t="s">
        <v>39</v>
      </c>
      <c r="O1253" s="1">
        <v>46.5869</v>
      </c>
      <c r="P1253" s="1">
        <v>-90.901700000000005</v>
      </c>
      <c r="Q1253" s="1" t="s">
        <v>1692</v>
      </c>
      <c r="R1253" s="1" t="s">
        <v>41</v>
      </c>
      <c r="T1253" s="1" t="s">
        <v>1660</v>
      </c>
      <c r="U1253" s="1" t="s">
        <v>657</v>
      </c>
      <c r="V1253" s="1" t="s">
        <v>1977</v>
      </c>
      <c r="X1253" s="1" t="s">
        <v>3171</v>
      </c>
      <c r="Y1253" s="1" t="s">
        <v>232</v>
      </c>
      <c r="Z1253" s="1" t="s">
        <v>214</v>
      </c>
      <c r="AA1253" s="3">
        <v>19176</v>
      </c>
      <c r="AB1253" s="1" t="s">
        <v>46</v>
      </c>
      <c r="AC1253" s="5">
        <v>342</v>
      </c>
      <c r="AD1253" s="1" t="s">
        <v>3173</v>
      </c>
      <c r="AE1253" s="1" t="str">
        <f t="shared" si="96"/>
        <v>3982 2</v>
      </c>
      <c r="AF1253" s="14">
        <f>AF1252</f>
        <v>34</v>
      </c>
      <c r="AG1253" s="1" t="str">
        <f t="shared" si="95"/>
        <v>Y</v>
      </c>
    </row>
    <row r="1254" spans="1:33" x14ac:dyDescent="0.2">
      <c r="A1254" s="1" t="s">
        <v>3167</v>
      </c>
      <c r="B1254" s="1" t="s">
        <v>3174</v>
      </c>
      <c r="C1254" s="1">
        <v>3991</v>
      </c>
      <c r="D1254" s="1">
        <v>1</v>
      </c>
      <c r="F1254" s="1">
        <v>2023</v>
      </c>
      <c r="G1254" s="1" t="s">
        <v>1020</v>
      </c>
      <c r="H1254" s="1">
        <v>605961</v>
      </c>
      <c r="I1254" s="1">
        <v>5</v>
      </c>
      <c r="J1254" s="1" t="s">
        <v>207</v>
      </c>
      <c r="K1254" s="1" t="s">
        <v>3175</v>
      </c>
      <c r="L1254" s="1" t="s">
        <v>3176</v>
      </c>
      <c r="M1254" s="1">
        <v>25</v>
      </c>
      <c r="N1254" s="1" t="s">
        <v>39</v>
      </c>
      <c r="O1254" s="1">
        <v>43.014899999999997</v>
      </c>
      <c r="P1254" s="1">
        <v>-89.460300000000004</v>
      </c>
      <c r="Q1254" s="1" t="s">
        <v>3177</v>
      </c>
      <c r="T1254" s="1" t="s">
        <v>93</v>
      </c>
      <c r="U1254" s="1" t="s">
        <v>44</v>
      </c>
      <c r="AA1254" s="3">
        <v>26785</v>
      </c>
      <c r="AB1254" s="1" t="s">
        <v>46</v>
      </c>
      <c r="AC1254" s="5">
        <v>365.9</v>
      </c>
      <c r="AD1254" s="1" t="s">
        <v>2596</v>
      </c>
      <c r="AE1254" s="1" t="str">
        <f t="shared" si="96"/>
        <v>3991 1</v>
      </c>
      <c r="AF1254" s="5" t="str">
        <f t="shared" ref="AF1254:AF1265" si="98">MID(AD1254,FIND("(",AD1254)+1,FIND(")",AD1254)-FIND("(",AD1254)-1)</f>
        <v>26.6</v>
      </c>
      <c r="AG1254" s="1" t="str">
        <f t="shared" si="95"/>
        <v/>
      </c>
    </row>
    <row r="1255" spans="1:33" x14ac:dyDescent="0.2">
      <c r="A1255" s="1" t="s">
        <v>3167</v>
      </c>
      <c r="B1255" s="1" t="s">
        <v>3174</v>
      </c>
      <c r="C1255" s="1">
        <v>3991</v>
      </c>
      <c r="D1255" s="1">
        <v>2</v>
      </c>
      <c r="F1255" s="1">
        <v>2023</v>
      </c>
      <c r="G1255" s="1" t="s">
        <v>1020</v>
      </c>
      <c r="H1255" s="1">
        <v>605961</v>
      </c>
      <c r="I1255" s="1">
        <v>5</v>
      </c>
      <c r="J1255" s="1" t="s">
        <v>207</v>
      </c>
      <c r="K1255" s="1" t="s">
        <v>3175</v>
      </c>
      <c r="L1255" s="1" t="s">
        <v>3176</v>
      </c>
      <c r="M1255" s="1">
        <v>25</v>
      </c>
      <c r="N1255" s="1" t="s">
        <v>39</v>
      </c>
      <c r="O1255" s="1">
        <v>43.014899999999997</v>
      </c>
      <c r="P1255" s="1">
        <v>-89.460300000000004</v>
      </c>
      <c r="Q1255" s="1" t="s">
        <v>3177</v>
      </c>
      <c r="T1255" s="1" t="s">
        <v>93</v>
      </c>
      <c r="U1255" s="1" t="s">
        <v>44</v>
      </c>
      <c r="AA1255" s="3">
        <v>26785</v>
      </c>
      <c r="AB1255" s="1" t="s">
        <v>46</v>
      </c>
      <c r="AC1255" s="5">
        <v>365.9</v>
      </c>
      <c r="AD1255" s="1" t="s">
        <v>2597</v>
      </c>
      <c r="AE1255" s="1" t="str">
        <f t="shared" si="96"/>
        <v>3991 2</v>
      </c>
      <c r="AF1255" s="5" t="str">
        <f t="shared" si="98"/>
        <v>26.6</v>
      </c>
      <c r="AG1255" s="1" t="str">
        <f t="shared" si="95"/>
        <v/>
      </c>
    </row>
    <row r="1256" spans="1:33" x14ac:dyDescent="0.2">
      <c r="A1256" s="1" t="s">
        <v>3167</v>
      </c>
      <c r="B1256" s="1" t="s">
        <v>3178</v>
      </c>
      <c r="C1256" s="1">
        <v>3992</v>
      </c>
      <c r="D1256" s="1">
        <v>8</v>
      </c>
      <c r="F1256" s="1">
        <v>2023</v>
      </c>
      <c r="G1256" s="1" t="s">
        <v>461</v>
      </c>
      <c r="H1256" s="1">
        <v>605961</v>
      </c>
      <c r="I1256" s="1">
        <v>5</v>
      </c>
      <c r="J1256" s="1" t="s">
        <v>462</v>
      </c>
      <c r="K1256" s="1" t="s">
        <v>3175</v>
      </c>
      <c r="L1256" s="1" t="s">
        <v>3176</v>
      </c>
      <c r="M1256" s="1">
        <v>25</v>
      </c>
      <c r="N1256" s="1" t="s">
        <v>39</v>
      </c>
      <c r="O1256" s="1">
        <v>43.0792</v>
      </c>
      <c r="P1256" s="1">
        <v>-89.373900000000006</v>
      </c>
      <c r="Q1256" s="1" t="s">
        <v>3177</v>
      </c>
      <c r="R1256" s="1" t="s">
        <v>41</v>
      </c>
      <c r="S1256" s="1" t="s">
        <v>211</v>
      </c>
      <c r="T1256" s="1" t="s">
        <v>89</v>
      </c>
      <c r="U1256" s="1" t="s">
        <v>284</v>
      </c>
      <c r="AA1256" s="3">
        <v>20972</v>
      </c>
      <c r="AB1256" s="1" t="s">
        <v>46</v>
      </c>
      <c r="AC1256" s="5">
        <v>675</v>
      </c>
      <c r="AD1256" s="1" t="s">
        <v>1979</v>
      </c>
      <c r="AE1256" s="1" t="str">
        <f t="shared" si="96"/>
        <v>3992 8</v>
      </c>
      <c r="AF1256" s="5" t="str">
        <f t="shared" si="98"/>
        <v>50</v>
      </c>
      <c r="AG1256" s="1" t="str">
        <f t="shared" si="95"/>
        <v/>
      </c>
    </row>
    <row r="1257" spans="1:33" x14ac:dyDescent="0.2">
      <c r="A1257" s="1" t="s">
        <v>3167</v>
      </c>
      <c r="B1257" s="1" t="s">
        <v>3178</v>
      </c>
      <c r="C1257" s="1">
        <v>3992</v>
      </c>
      <c r="D1257" s="1">
        <v>9</v>
      </c>
      <c r="F1257" s="1">
        <v>2023</v>
      </c>
      <c r="G1257" s="1" t="s">
        <v>461</v>
      </c>
      <c r="H1257" s="1">
        <v>605961</v>
      </c>
      <c r="I1257" s="1">
        <v>5</v>
      </c>
      <c r="J1257" s="1" t="s">
        <v>462</v>
      </c>
      <c r="K1257" s="1" t="s">
        <v>3175</v>
      </c>
      <c r="L1257" s="1" t="s">
        <v>3176</v>
      </c>
      <c r="M1257" s="1">
        <v>25</v>
      </c>
      <c r="N1257" s="1" t="s">
        <v>39</v>
      </c>
      <c r="O1257" s="1">
        <v>43.0792</v>
      </c>
      <c r="P1257" s="1">
        <v>-89.373900000000006</v>
      </c>
      <c r="Q1257" s="1" t="s">
        <v>3177</v>
      </c>
      <c r="R1257" s="1" t="s">
        <v>41</v>
      </c>
      <c r="S1257" s="1" t="s">
        <v>211</v>
      </c>
      <c r="T1257" s="1" t="s">
        <v>89</v>
      </c>
      <c r="U1257" s="1" t="s">
        <v>284</v>
      </c>
      <c r="X1257" s="1" t="s">
        <v>454</v>
      </c>
      <c r="AA1257" s="3">
        <v>22463</v>
      </c>
      <c r="AB1257" s="1" t="s">
        <v>46</v>
      </c>
      <c r="AC1257" s="5">
        <v>688</v>
      </c>
      <c r="AD1257" s="1" t="s">
        <v>2066</v>
      </c>
      <c r="AE1257" s="1" t="str">
        <f t="shared" si="96"/>
        <v>3992 9</v>
      </c>
      <c r="AF1257" s="5" t="str">
        <f t="shared" si="98"/>
        <v>50</v>
      </c>
      <c r="AG1257" s="1" t="str">
        <f t="shared" si="95"/>
        <v/>
      </c>
    </row>
    <row r="1258" spans="1:33" x14ac:dyDescent="0.2">
      <c r="A1258" s="1" t="s">
        <v>3167</v>
      </c>
      <c r="B1258" s="1" t="s">
        <v>3179</v>
      </c>
      <c r="C1258" s="1">
        <v>4005</v>
      </c>
      <c r="D1258" s="1">
        <v>3</v>
      </c>
      <c r="F1258" s="1">
        <v>2023</v>
      </c>
      <c r="G1258" s="1" t="s">
        <v>1020</v>
      </c>
      <c r="H1258" s="1">
        <v>608123</v>
      </c>
      <c r="I1258" s="1">
        <v>5</v>
      </c>
      <c r="J1258" s="1" t="s">
        <v>207</v>
      </c>
      <c r="K1258" s="1" t="s">
        <v>3180</v>
      </c>
      <c r="L1258" s="1" t="s">
        <v>3181</v>
      </c>
      <c r="M1258" s="1">
        <v>63</v>
      </c>
      <c r="N1258" s="1" t="s">
        <v>39</v>
      </c>
      <c r="O1258" s="1">
        <v>43.829799999999999</v>
      </c>
      <c r="P1258" s="1">
        <v>-91.26</v>
      </c>
      <c r="Q1258" s="1" t="s">
        <v>1686</v>
      </c>
      <c r="T1258" s="1" t="s">
        <v>93</v>
      </c>
      <c r="U1258" s="1" t="s">
        <v>94</v>
      </c>
      <c r="AA1258" s="3">
        <v>27030</v>
      </c>
      <c r="AB1258" s="1" t="s">
        <v>46</v>
      </c>
      <c r="AC1258" s="5">
        <v>1087</v>
      </c>
      <c r="AD1258" s="1" t="s">
        <v>3182</v>
      </c>
      <c r="AE1258" s="1" t="str">
        <f t="shared" si="96"/>
        <v>4005 3</v>
      </c>
      <c r="AF1258" s="5" t="str">
        <f t="shared" si="98"/>
        <v>78.8</v>
      </c>
      <c r="AG1258" s="1" t="str">
        <f t="shared" si="95"/>
        <v/>
      </c>
    </row>
    <row r="1259" spans="1:33" x14ac:dyDescent="0.2">
      <c r="A1259" s="1" t="s">
        <v>3167</v>
      </c>
      <c r="B1259" s="1" t="s">
        <v>3179</v>
      </c>
      <c r="C1259" s="1">
        <v>4005</v>
      </c>
      <c r="D1259" s="1">
        <v>4</v>
      </c>
      <c r="F1259" s="1">
        <v>2023</v>
      </c>
      <c r="G1259" s="1" t="s">
        <v>1020</v>
      </c>
      <c r="H1259" s="1">
        <v>608123</v>
      </c>
      <c r="I1259" s="1">
        <v>5</v>
      </c>
      <c r="J1259" s="1" t="s">
        <v>207</v>
      </c>
      <c r="K1259" s="1" t="s">
        <v>3180</v>
      </c>
      <c r="L1259" s="1" t="s">
        <v>3181</v>
      </c>
      <c r="M1259" s="1">
        <v>63</v>
      </c>
      <c r="N1259" s="1" t="s">
        <v>39</v>
      </c>
      <c r="O1259" s="1">
        <v>43.829799999999999</v>
      </c>
      <c r="P1259" s="1">
        <v>-91.26</v>
      </c>
      <c r="Q1259" s="1" t="s">
        <v>1686</v>
      </c>
      <c r="T1259" s="1" t="s">
        <v>93</v>
      </c>
      <c r="U1259" s="1" t="s">
        <v>94</v>
      </c>
      <c r="AA1259" s="3">
        <v>27030</v>
      </c>
      <c r="AB1259" s="1" t="s">
        <v>46</v>
      </c>
      <c r="AC1259" s="5">
        <v>1012.9</v>
      </c>
      <c r="AD1259" s="1" t="s">
        <v>3183</v>
      </c>
      <c r="AE1259" s="1" t="str">
        <f t="shared" si="96"/>
        <v>4005 4</v>
      </c>
      <c r="AF1259" s="5" t="str">
        <f t="shared" si="98"/>
        <v>78.8</v>
      </c>
      <c r="AG1259" s="1" t="str">
        <f t="shared" si="95"/>
        <v/>
      </c>
    </row>
    <row r="1260" spans="1:33" x14ac:dyDescent="0.2">
      <c r="A1260" s="1" t="s">
        <v>3167</v>
      </c>
      <c r="B1260" s="1" t="s">
        <v>3184</v>
      </c>
      <c r="C1260" s="1">
        <v>4014</v>
      </c>
      <c r="D1260" s="1">
        <v>1</v>
      </c>
      <c r="F1260" s="1">
        <v>2023</v>
      </c>
      <c r="G1260" s="1" t="s">
        <v>1020</v>
      </c>
      <c r="H1260" s="1">
        <v>606333</v>
      </c>
      <c r="I1260" s="1">
        <v>5</v>
      </c>
      <c r="K1260" s="1" t="s">
        <v>3185</v>
      </c>
      <c r="L1260" s="1" t="s">
        <v>3186</v>
      </c>
      <c r="M1260" s="1">
        <v>17</v>
      </c>
      <c r="N1260" s="1" t="s">
        <v>39</v>
      </c>
      <c r="O1260" s="1">
        <v>44.886400000000002</v>
      </c>
      <c r="P1260" s="1">
        <v>-91.515799999999999</v>
      </c>
      <c r="Q1260" s="1" t="s">
        <v>1686</v>
      </c>
      <c r="T1260" s="1" t="s">
        <v>93</v>
      </c>
      <c r="U1260" s="1" t="s">
        <v>44</v>
      </c>
      <c r="V1260" s="1" t="s">
        <v>94</v>
      </c>
      <c r="AA1260" s="3">
        <v>26299</v>
      </c>
      <c r="AB1260" s="1" t="s">
        <v>46</v>
      </c>
      <c r="AC1260" s="5">
        <v>867</v>
      </c>
      <c r="AD1260" s="1" t="s">
        <v>2093</v>
      </c>
      <c r="AE1260" s="1" t="str">
        <f t="shared" si="96"/>
        <v>4014 1</v>
      </c>
      <c r="AF1260" s="5" t="str">
        <f t="shared" si="98"/>
        <v>72</v>
      </c>
      <c r="AG1260" s="1" t="str">
        <f t="shared" si="95"/>
        <v/>
      </c>
    </row>
    <row r="1261" spans="1:33" x14ac:dyDescent="0.2">
      <c r="A1261" s="1" t="s">
        <v>3167</v>
      </c>
      <c r="B1261" s="1" t="s">
        <v>3184</v>
      </c>
      <c r="C1261" s="1">
        <v>4014</v>
      </c>
      <c r="D1261" s="1">
        <v>2</v>
      </c>
      <c r="F1261" s="1">
        <v>2023</v>
      </c>
      <c r="G1261" s="1" t="s">
        <v>1020</v>
      </c>
      <c r="H1261" s="1">
        <v>606333</v>
      </c>
      <c r="I1261" s="1">
        <v>5</v>
      </c>
      <c r="K1261" s="1" t="s">
        <v>3185</v>
      </c>
      <c r="L1261" s="1" t="s">
        <v>3186</v>
      </c>
      <c r="M1261" s="1">
        <v>17</v>
      </c>
      <c r="N1261" s="1" t="s">
        <v>39</v>
      </c>
      <c r="O1261" s="1">
        <v>44.886400000000002</v>
      </c>
      <c r="P1261" s="1">
        <v>-91.515799999999999</v>
      </c>
      <c r="Q1261" s="1" t="s">
        <v>1686</v>
      </c>
      <c r="T1261" s="1" t="s">
        <v>93</v>
      </c>
      <c r="U1261" s="1" t="s">
        <v>44</v>
      </c>
      <c r="V1261" s="1" t="s">
        <v>94</v>
      </c>
      <c r="AA1261" s="3">
        <v>26299</v>
      </c>
      <c r="AB1261" s="1" t="s">
        <v>46</v>
      </c>
      <c r="AC1261" s="5">
        <v>867</v>
      </c>
      <c r="AD1261" s="1" t="s">
        <v>3187</v>
      </c>
      <c r="AE1261" s="1" t="str">
        <f t="shared" si="96"/>
        <v>4014 2</v>
      </c>
      <c r="AF1261" s="5" t="str">
        <f t="shared" si="98"/>
        <v>72</v>
      </c>
      <c r="AG1261" s="1" t="str">
        <f t="shared" si="95"/>
        <v/>
      </c>
    </row>
    <row r="1262" spans="1:33" x14ac:dyDescent="0.2">
      <c r="A1262" s="1" t="s">
        <v>3167</v>
      </c>
      <c r="B1262" s="1" t="s">
        <v>3184</v>
      </c>
      <c r="C1262" s="1">
        <v>4014</v>
      </c>
      <c r="D1262" s="1">
        <v>3</v>
      </c>
      <c r="F1262" s="1">
        <v>2023</v>
      </c>
      <c r="G1262" s="1" t="s">
        <v>1020</v>
      </c>
      <c r="H1262" s="1">
        <v>606333</v>
      </c>
      <c r="I1262" s="1">
        <v>5</v>
      </c>
      <c r="K1262" s="1" t="s">
        <v>3185</v>
      </c>
      <c r="L1262" s="1" t="s">
        <v>3186</v>
      </c>
      <c r="M1262" s="1">
        <v>17</v>
      </c>
      <c r="N1262" s="1" t="s">
        <v>39</v>
      </c>
      <c r="O1262" s="1">
        <v>44.886400000000002</v>
      </c>
      <c r="P1262" s="1">
        <v>-91.515799999999999</v>
      </c>
      <c r="Q1262" s="1" t="s">
        <v>1686</v>
      </c>
      <c r="T1262" s="1" t="s">
        <v>93</v>
      </c>
      <c r="U1262" s="1" t="s">
        <v>44</v>
      </c>
      <c r="V1262" s="1" t="s">
        <v>94</v>
      </c>
      <c r="AA1262" s="3">
        <v>26299</v>
      </c>
      <c r="AB1262" s="1" t="s">
        <v>46</v>
      </c>
      <c r="AC1262" s="5">
        <v>867</v>
      </c>
      <c r="AD1262" s="1" t="s">
        <v>3188</v>
      </c>
      <c r="AE1262" s="1" t="str">
        <f t="shared" si="96"/>
        <v>4014 3</v>
      </c>
      <c r="AF1262" s="5" t="str">
        <f t="shared" si="98"/>
        <v>72</v>
      </c>
      <c r="AG1262" s="1" t="str">
        <f t="shared" si="95"/>
        <v/>
      </c>
    </row>
    <row r="1263" spans="1:33" x14ac:dyDescent="0.2">
      <c r="A1263" s="1" t="s">
        <v>3167</v>
      </c>
      <c r="B1263" s="1" t="s">
        <v>3184</v>
      </c>
      <c r="C1263" s="1">
        <v>4014</v>
      </c>
      <c r="D1263" s="1">
        <v>4</v>
      </c>
      <c r="F1263" s="1">
        <v>2023</v>
      </c>
      <c r="G1263" s="1" t="s">
        <v>1020</v>
      </c>
      <c r="H1263" s="1">
        <v>606333</v>
      </c>
      <c r="I1263" s="1">
        <v>5</v>
      </c>
      <c r="K1263" s="1" t="s">
        <v>3185</v>
      </c>
      <c r="L1263" s="1" t="s">
        <v>3186</v>
      </c>
      <c r="M1263" s="1">
        <v>17</v>
      </c>
      <c r="N1263" s="1" t="s">
        <v>39</v>
      </c>
      <c r="O1263" s="1">
        <v>44.886400000000002</v>
      </c>
      <c r="P1263" s="1">
        <v>-91.515799999999999</v>
      </c>
      <c r="Q1263" s="1" t="s">
        <v>1686</v>
      </c>
      <c r="T1263" s="1" t="s">
        <v>93</v>
      </c>
      <c r="U1263" s="1" t="s">
        <v>44</v>
      </c>
      <c r="V1263" s="1" t="s">
        <v>94</v>
      </c>
      <c r="AA1263" s="3">
        <v>26299</v>
      </c>
      <c r="AB1263" s="1" t="s">
        <v>46</v>
      </c>
      <c r="AC1263" s="5">
        <v>867</v>
      </c>
      <c r="AD1263" s="1" t="s">
        <v>3189</v>
      </c>
      <c r="AE1263" s="1" t="str">
        <f t="shared" si="96"/>
        <v>4014 4</v>
      </c>
      <c r="AF1263" s="5" t="str">
        <f t="shared" si="98"/>
        <v>72</v>
      </c>
      <c r="AG1263" s="1" t="str">
        <f t="shared" si="95"/>
        <v/>
      </c>
    </row>
    <row r="1264" spans="1:33" x14ac:dyDescent="0.2">
      <c r="A1264" s="1" t="s">
        <v>3167</v>
      </c>
      <c r="B1264" s="1" t="s">
        <v>3184</v>
      </c>
      <c r="C1264" s="1">
        <v>4014</v>
      </c>
      <c r="D1264" s="1">
        <v>5</v>
      </c>
      <c r="F1264" s="1">
        <v>2023</v>
      </c>
      <c r="G1264" s="1" t="s">
        <v>1020</v>
      </c>
      <c r="H1264" s="1">
        <v>606333</v>
      </c>
      <c r="I1264" s="1">
        <v>5</v>
      </c>
      <c r="K1264" s="1" t="s">
        <v>3185</v>
      </c>
      <c r="L1264" s="1" t="s">
        <v>3186</v>
      </c>
      <c r="M1264" s="1">
        <v>17</v>
      </c>
      <c r="N1264" s="1" t="s">
        <v>39</v>
      </c>
      <c r="O1264" s="1">
        <v>44.886400000000002</v>
      </c>
      <c r="P1264" s="1">
        <v>-91.515799999999999</v>
      </c>
      <c r="Q1264" s="1" t="s">
        <v>1686</v>
      </c>
      <c r="T1264" s="1" t="s">
        <v>93</v>
      </c>
      <c r="U1264" s="1" t="s">
        <v>94</v>
      </c>
      <c r="AA1264" s="3">
        <v>26299</v>
      </c>
      <c r="AB1264" s="1" t="s">
        <v>46</v>
      </c>
      <c r="AC1264" s="5">
        <v>910</v>
      </c>
      <c r="AD1264" s="1" t="s">
        <v>3190</v>
      </c>
      <c r="AE1264" s="1" t="str">
        <f t="shared" si="96"/>
        <v>4014 5</v>
      </c>
      <c r="AF1264" s="5" t="str">
        <f t="shared" si="98"/>
        <v>81</v>
      </c>
      <c r="AG1264" s="1" t="str">
        <f t="shared" si="95"/>
        <v/>
      </c>
    </row>
    <row r="1265" spans="1:33" x14ac:dyDescent="0.2">
      <c r="A1265" s="1" t="s">
        <v>3167</v>
      </c>
      <c r="B1265" s="1" t="s">
        <v>3184</v>
      </c>
      <c r="C1265" s="1">
        <v>4014</v>
      </c>
      <c r="D1265" s="1">
        <v>6</v>
      </c>
      <c r="F1265" s="1">
        <v>2023</v>
      </c>
      <c r="G1265" s="1" t="s">
        <v>1020</v>
      </c>
      <c r="H1265" s="1">
        <v>606333</v>
      </c>
      <c r="I1265" s="1">
        <v>5</v>
      </c>
      <c r="K1265" s="1" t="s">
        <v>3185</v>
      </c>
      <c r="L1265" s="1" t="s">
        <v>3186</v>
      </c>
      <c r="M1265" s="1">
        <v>17</v>
      </c>
      <c r="N1265" s="1" t="s">
        <v>39</v>
      </c>
      <c r="O1265" s="1">
        <v>44.886400000000002</v>
      </c>
      <c r="P1265" s="1">
        <v>-91.515799999999999</v>
      </c>
      <c r="Q1265" s="1" t="s">
        <v>1686</v>
      </c>
      <c r="T1265" s="1" t="s">
        <v>93</v>
      </c>
      <c r="U1265" s="1" t="s">
        <v>94</v>
      </c>
      <c r="AA1265" s="3">
        <v>26299</v>
      </c>
      <c r="AB1265" s="1" t="s">
        <v>46</v>
      </c>
      <c r="AC1265" s="5">
        <v>910</v>
      </c>
      <c r="AD1265" s="1" t="s">
        <v>3191</v>
      </c>
      <c r="AE1265" s="1" t="str">
        <f t="shared" si="96"/>
        <v>4014 6</v>
      </c>
      <c r="AF1265" s="5" t="str">
        <f t="shared" si="98"/>
        <v>81</v>
      </c>
      <c r="AG1265" s="1" t="str">
        <f t="shared" si="95"/>
        <v/>
      </c>
    </row>
    <row r="1266" spans="1:33" x14ac:dyDescent="0.2">
      <c r="A1266" s="1" t="s">
        <v>3167</v>
      </c>
      <c r="B1266" s="1" t="s">
        <v>3192</v>
      </c>
      <c r="C1266" s="1">
        <v>4040</v>
      </c>
      <c r="D1266" s="1">
        <v>11</v>
      </c>
      <c r="F1266" s="1">
        <v>2023</v>
      </c>
      <c r="G1266" s="1" t="s">
        <v>461</v>
      </c>
      <c r="H1266" s="1" t="s">
        <v>3193</v>
      </c>
      <c r="I1266" s="1">
        <v>5</v>
      </c>
      <c r="J1266" s="1" t="s">
        <v>462</v>
      </c>
      <c r="K1266" s="1" t="s">
        <v>3194</v>
      </c>
      <c r="L1266" s="1" t="s">
        <v>3195</v>
      </c>
      <c r="M1266" s="1">
        <v>89</v>
      </c>
      <c r="N1266" s="1" t="s">
        <v>39</v>
      </c>
      <c r="O1266" s="1">
        <v>43.3842</v>
      </c>
      <c r="P1266" s="1">
        <v>-87.868899999999996</v>
      </c>
      <c r="Q1266" s="1" t="s">
        <v>3196</v>
      </c>
      <c r="R1266" s="1" t="s">
        <v>41</v>
      </c>
      <c r="T1266" s="1" t="s">
        <v>71</v>
      </c>
      <c r="U1266" s="1" t="s">
        <v>44</v>
      </c>
      <c r="X1266" s="1" t="s">
        <v>64</v>
      </c>
      <c r="AA1266" s="3">
        <v>39510</v>
      </c>
      <c r="AB1266" s="1" t="s">
        <v>46</v>
      </c>
      <c r="AC1266" s="5">
        <v>2400</v>
      </c>
      <c r="AD1266" s="1" t="s">
        <v>3197</v>
      </c>
      <c r="AE1266" s="1" t="str">
        <f t="shared" si="96"/>
        <v>4040 11</v>
      </c>
      <c r="AF1266" s="14">
        <f>MID(AD1266,FIND("(",AD1266)+1,FIND(")",AD1266)-FIND("(",AD1266)-1)+269/2</f>
        <v>301.5</v>
      </c>
      <c r="AG1266" s="1" t="str">
        <f t="shared" si="95"/>
        <v>Y</v>
      </c>
    </row>
    <row r="1267" spans="1:33" x14ac:dyDescent="0.2">
      <c r="A1267" s="1" t="s">
        <v>3167</v>
      </c>
      <c r="B1267" s="1" t="s">
        <v>3192</v>
      </c>
      <c r="C1267" s="1">
        <v>4040</v>
      </c>
      <c r="D1267" s="1">
        <v>12</v>
      </c>
      <c r="F1267" s="1">
        <v>2023</v>
      </c>
      <c r="G1267" s="1" t="s">
        <v>461</v>
      </c>
      <c r="H1267" s="1" t="s">
        <v>3193</v>
      </c>
      <c r="I1267" s="1">
        <v>5</v>
      </c>
      <c r="J1267" s="1" t="s">
        <v>462</v>
      </c>
      <c r="K1267" s="1" t="s">
        <v>3194</v>
      </c>
      <c r="L1267" s="1" t="s">
        <v>3195</v>
      </c>
      <c r="M1267" s="1">
        <v>89</v>
      </c>
      <c r="N1267" s="1" t="s">
        <v>39</v>
      </c>
      <c r="O1267" s="1">
        <v>43.3842</v>
      </c>
      <c r="P1267" s="1">
        <v>-87.868899999999996</v>
      </c>
      <c r="Q1267" s="1" t="s">
        <v>3196</v>
      </c>
      <c r="R1267" s="1" t="s">
        <v>41</v>
      </c>
      <c r="T1267" s="1" t="s">
        <v>71</v>
      </c>
      <c r="U1267" s="1" t="s">
        <v>44</v>
      </c>
      <c r="X1267" s="1" t="s">
        <v>64</v>
      </c>
      <c r="AA1267" s="3">
        <v>39511</v>
      </c>
      <c r="AB1267" s="1" t="s">
        <v>46</v>
      </c>
      <c r="AC1267" s="5">
        <v>2400</v>
      </c>
      <c r="AD1267" s="1" t="s">
        <v>3198</v>
      </c>
      <c r="AE1267" s="1" t="str">
        <f t="shared" si="96"/>
        <v>4040 12</v>
      </c>
      <c r="AF1267" s="14">
        <f>AF1266</f>
        <v>301.5</v>
      </c>
      <c r="AG1267" s="1" t="str">
        <f t="shared" si="95"/>
        <v>Y</v>
      </c>
    </row>
    <row r="1268" spans="1:33" x14ac:dyDescent="0.2">
      <c r="A1268" s="1" t="s">
        <v>3167</v>
      </c>
      <c r="B1268" s="1" t="s">
        <v>3192</v>
      </c>
      <c r="C1268" s="1">
        <v>4040</v>
      </c>
      <c r="D1268" s="1">
        <v>21</v>
      </c>
      <c r="F1268" s="1">
        <v>2023</v>
      </c>
      <c r="G1268" s="1" t="s">
        <v>461</v>
      </c>
      <c r="H1268" s="1" t="s">
        <v>3193</v>
      </c>
      <c r="I1268" s="1">
        <v>5</v>
      </c>
      <c r="J1268" s="1" t="s">
        <v>462</v>
      </c>
      <c r="K1268" s="1" t="s">
        <v>3194</v>
      </c>
      <c r="L1268" s="1" t="s">
        <v>3195</v>
      </c>
      <c r="M1268" s="1">
        <v>89</v>
      </c>
      <c r="N1268" s="1" t="s">
        <v>39</v>
      </c>
      <c r="O1268" s="1">
        <v>43.3842</v>
      </c>
      <c r="P1268" s="1">
        <v>-87.868899999999996</v>
      </c>
      <c r="Q1268" s="1" t="s">
        <v>3196</v>
      </c>
      <c r="R1268" s="1" t="s">
        <v>41</v>
      </c>
      <c r="T1268" s="1" t="s">
        <v>71</v>
      </c>
      <c r="U1268" s="1" t="s">
        <v>44</v>
      </c>
      <c r="X1268" s="1" t="s">
        <v>64</v>
      </c>
      <c r="AA1268" s="3">
        <v>38534</v>
      </c>
      <c r="AB1268" s="1" t="s">
        <v>46</v>
      </c>
      <c r="AC1268" s="5">
        <v>2400</v>
      </c>
      <c r="AD1268" s="1" t="s">
        <v>3199</v>
      </c>
      <c r="AE1268" s="1" t="str">
        <f t="shared" si="96"/>
        <v>4040 21</v>
      </c>
      <c r="AF1268" s="14">
        <f>MID(AD1268,FIND("(",AD1268)+1,FIND(")",AD1268)-FIND("(",AD1268)-1)+269/2</f>
        <v>289.5</v>
      </c>
      <c r="AG1268" s="1" t="str">
        <f t="shared" si="95"/>
        <v>Y</v>
      </c>
    </row>
    <row r="1269" spans="1:33" x14ac:dyDescent="0.2">
      <c r="A1269" s="1" t="s">
        <v>3167</v>
      </c>
      <c r="B1269" s="1" t="s">
        <v>3192</v>
      </c>
      <c r="C1269" s="1">
        <v>4040</v>
      </c>
      <c r="D1269" s="1">
        <v>22</v>
      </c>
      <c r="F1269" s="1">
        <v>2023</v>
      </c>
      <c r="G1269" s="1" t="s">
        <v>461</v>
      </c>
      <c r="H1269" s="1" t="s">
        <v>3193</v>
      </c>
      <c r="I1269" s="1">
        <v>5</v>
      </c>
      <c r="J1269" s="1" t="s">
        <v>462</v>
      </c>
      <c r="K1269" s="1" t="s">
        <v>3194</v>
      </c>
      <c r="L1269" s="1" t="s">
        <v>3195</v>
      </c>
      <c r="M1269" s="1">
        <v>89</v>
      </c>
      <c r="N1269" s="1" t="s">
        <v>39</v>
      </c>
      <c r="O1269" s="1">
        <v>43.3842</v>
      </c>
      <c r="P1269" s="1">
        <v>-87.868899999999996</v>
      </c>
      <c r="Q1269" s="1" t="s">
        <v>3196</v>
      </c>
      <c r="R1269" s="1" t="s">
        <v>41</v>
      </c>
      <c r="T1269" s="1" t="s">
        <v>71</v>
      </c>
      <c r="U1269" s="1" t="s">
        <v>44</v>
      </c>
      <c r="X1269" s="1" t="s">
        <v>64</v>
      </c>
      <c r="AA1269" s="3">
        <v>38534</v>
      </c>
      <c r="AB1269" s="1" t="s">
        <v>46</v>
      </c>
      <c r="AC1269" s="5">
        <v>2400</v>
      </c>
      <c r="AD1269" s="1" t="s">
        <v>3200</v>
      </c>
      <c r="AE1269" s="1" t="str">
        <f t="shared" si="96"/>
        <v>4040 22</v>
      </c>
      <c r="AF1269" s="14">
        <f>AF1268</f>
        <v>289.5</v>
      </c>
      <c r="AG1269" s="1" t="str">
        <f t="shared" si="95"/>
        <v>Y</v>
      </c>
    </row>
    <row r="1270" spans="1:33" x14ac:dyDescent="0.2">
      <c r="A1270" s="1" t="s">
        <v>3167</v>
      </c>
      <c r="B1270" s="1" t="s">
        <v>3201</v>
      </c>
      <c r="C1270" s="1">
        <v>4041</v>
      </c>
      <c r="D1270" s="1">
        <v>5</v>
      </c>
      <c r="E1270" s="1" t="s">
        <v>1421</v>
      </c>
      <c r="F1270" s="1">
        <v>2023</v>
      </c>
      <c r="G1270" s="1" t="s">
        <v>1005</v>
      </c>
      <c r="H1270" s="1" t="s">
        <v>3193</v>
      </c>
      <c r="I1270" s="1">
        <v>5</v>
      </c>
      <c r="J1270" s="1" t="s">
        <v>462</v>
      </c>
      <c r="K1270" s="1" t="s">
        <v>3202</v>
      </c>
      <c r="L1270" s="1" t="s">
        <v>3203</v>
      </c>
      <c r="M1270" s="1">
        <v>79</v>
      </c>
      <c r="N1270" s="1" t="s">
        <v>39</v>
      </c>
      <c r="O1270" s="1">
        <v>42.845700000000001</v>
      </c>
      <c r="P1270" s="1">
        <v>-87.829400000000007</v>
      </c>
      <c r="Q1270" s="1" t="s">
        <v>3204</v>
      </c>
      <c r="R1270" s="1" t="s">
        <v>120</v>
      </c>
      <c r="S1270" s="1" t="s">
        <v>121</v>
      </c>
      <c r="T1270" s="1" t="s">
        <v>89</v>
      </c>
      <c r="U1270" s="1" t="s">
        <v>55</v>
      </c>
      <c r="V1270" s="1" t="s">
        <v>44</v>
      </c>
      <c r="W1270" s="1" t="s">
        <v>56</v>
      </c>
      <c r="X1270" s="1" t="s">
        <v>223</v>
      </c>
      <c r="Y1270" s="1" t="s">
        <v>331</v>
      </c>
      <c r="AA1270" s="3">
        <v>21885</v>
      </c>
      <c r="AB1270" s="1" t="s">
        <v>46</v>
      </c>
      <c r="AC1270" s="5">
        <v>3661</v>
      </c>
      <c r="AD1270" s="1" t="s">
        <v>2385</v>
      </c>
      <c r="AE1270" s="1" t="str">
        <f t="shared" si="96"/>
        <v>4041 5</v>
      </c>
      <c r="AF1270" s="5" t="str">
        <f t="shared" ref="AF1270:AF1290" si="99">MID(AD1270,FIND("(",AD1270)+1,FIND(")",AD1270)-FIND("(",AD1270)-1)</f>
        <v>275</v>
      </c>
      <c r="AG1270" s="1" t="str">
        <f t="shared" si="95"/>
        <v>Y</v>
      </c>
    </row>
    <row r="1271" spans="1:33" x14ac:dyDescent="0.2">
      <c r="A1271" s="1" t="s">
        <v>3167</v>
      </c>
      <c r="B1271" s="1" t="s">
        <v>3201</v>
      </c>
      <c r="C1271" s="1">
        <v>4041</v>
      </c>
      <c r="D1271" s="1">
        <v>6</v>
      </c>
      <c r="E1271" s="1" t="s">
        <v>1421</v>
      </c>
      <c r="F1271" s="1">
        <v>2023</v>
      </c>
      <c r="G1271" s="1" t="s">
        <v>1005</v>
      </c>
      <c r="H1271" s="1" t="s">
        <v>3193</v>
      </c>
      <c r="I1271" s="1">
        <v>5</v>
      </c>
      <c r="J1271" s="1" t="s">
        <v>462</v>
      </c>
      <c r="K1271" s="1" t="s">
        <v>3202</v>
      </c>
      <c r="L1271" s="1" t="s">
        <v>3203</v>
      </c>
      <c r="M1271" s="1">
        <v>79</v>
      </c>
      <c r="N1271" s="1" t="s">
        <v>39</v>
      </c>
      <c r="O1271" s="1">
        <v>42.845700000000001</v>
      </c>
      <c r="P1271" s="1">
        <v>-87.829400000000007</v>
      </c>
      <c r="Q1271" s="1" t="s">
        <v>3204</v>
      </c>
      <c r="R1271" s="1" t="s">
        <v>120</v>
      </c>
      <c r="S1271" s="1" t="s">
        <v>121</v>
      </c>
      <c r="T1271" s="1" t="s">
        <v>89</v>
      </c>
      <c r="U1271" s="1" t="s">
        <v>55</v>
      </c>
      <c r="V1271" s="1" t="s">
        <v>44</v>
      </c>
      <c r="W1271" s="1" t="s">
        <v>56</v>
      </c>
      <c r="X1271" s="1" t="s">
        <v>223</v>
      </c>
      <c r="Y1271" s="1" t="s">
        <v>331</v>
      </c>
      <c r="AA1271" s="3">
        <v>22586</v>
      </c>
      <c r="AB1271" s="1" t="s">
        <v>46</v>
      </c>
      <c r="AC1271" s="5">
        <v>2965</v>
      </c>
      <c r="AD1271" s="1" t="s">
        <v>3205</v>
      </c>
      <c r="AE1271" s="1" t="str">
        <f t="shared" si="96"/>
        <v>4041 6</v>
      </c>
      <c r="AF1271" s="5" t="str">
        <f t="shared" si="99"/>
        <v>275</v>
      </c>
      <c r="AG1271" s="1" t="str">
        <f t="shared" si="95"/>
        <v>Y</v>
      </c>
    </row>
    <row r="1272" spans="1:33" x14ac:dyDescent="0.2">
      <c r="A1272" s="1" t="s">
        <v>3167</v>
      </c>
      <c r="B1272" s="1" t="s">
        <v>3201</v>
      </c>
      <c r="C1272" s="1">
        <v>4041</v>
      </c>
      <c r="D1272" s="1">
        <v>7</v>
      </c>
      <c r="E1272" s="1" t="s">
        <v>3206</v>
      </c>
      <c r="F1272" s="1">
        <v>2023</v>
      </c>
      <c r="G1272" s="1" t="s">
        <v>1005</v>
      </c>
      <c r="H1272" s="1" t="s">
        <v>3193</v>
      </c>
      <c r="I1272" s="1">
        <v>5</v>
      </c>
      <c r="J1272" s="1" t="s">
        <v>462</v>
      </c>
      <c r="K1272" s="1" t="s">
        <v>3202</v>
      </c>
      <c r="L1272" s="1" t="s">
        <v>3203</v>
      </c>
      <c r="M1272" s="1">
        <v>79</v>
      </c>
      <c r="N1272" s="1" t="s">
        <v>39</v>
      </c>
      <c r="O1272" s="1">
        <v>42.845700000000001</v>
      </c>
      <c r="P1272" s="1">
        <v>-87.829400000000007</v>
      </c>
      <c r="Q1272" s="1" t="s">
        <v>3204</v>
      </c>
      <c r="R1272" s="1" t="s">
        <v>120</v>
      </c>
      <c r="S1272" s="1" t="s">
        <v>121</v>
      </c>
      <c r="T1272" s="1" t="s">
        <v>43</v>
      </c>
      <c r="U1272" s="1" t="s">
        <v>55</v>
      </c>
      <c r="V1272" s="1" t="s">
        <v>44</v>
      </c>
      <c r="W1272" s="1" t="s">
        <v>56</v>
      </c>
      <c r="X1272" s="1" t="s">
        <v>301</v>
      </c>
      <c r="Y1272" s="1" t="s">
        <v>331</v>
      </c>
      <c r="AA1272" s="3">
        <v>23802</v>
      </c>
      <c r="AB1272" s="1" t="s">
        <v>46</v>
      </c>
      <c r="AC1272" s="5">
        <v>4311</v>
      </c>
      <c r="AD1272" s="1" t="s">
        <v>3207</v>
      </c>
      <c r="AE1272" s="1" t="str">
        <f t="shared" si="96"/>
        <v>4041 7</v>
      </c>
      <c r="AF1272" s="5" t="str">
        <f t="shared" si="99"/>
        <v>317.6</v>
      </c>
      <c r="AG1272" s="1" t="str">
        <f t="shared" si="95"/>
        <v>Y</v>
      </c>
    </row>
    <row r="1273" spans="1:33" x14ac:dyDescent="0.2">
      <c r="A1273" s="1" t="s">
        <v>3167</v>
      </c>
      <c r="B1273" s="1" t="s">
        <v>3201</v>
      </c>
      <c r="C1273" s="1">
        <v>4041</v>
      </c>
      <c r="D1273" s="1">
        <v>8</v>
      </c>
      <c r="E1273" s="1" t="s">
        <v>3206</v>
      </c>
      <c r="F1273" s="1">
        <v>2023</v>
      </c>
      <c r="G1273" s="1" t="s">
        <v>1005</v>
      </c>
      <c r="H1273" s="1" t="s">
        <v>3193</v>
      </c>
      <c r="I1273" s="1">
        <v>5</v>
      </c>
      <c r="J1273" s="1" t="s">
        <v>462</v>
      </c>
      <c r="K1273" s="1" t="s">
        <v>3202</v>
      </c>
      <c r="L1273" s="1" t="s">
        <v>3203</v>
      </c>
      <c r="M1273" s="1">
        <v>79</v>
      </c>
      <c r="N1273" s="1" t="s">
        <v>39</v>
      </c>
      <c r="O1273" s="1">
        <v>42.845700000000001</v>
      </c>
      <c r="P1273" s="1">
        <v>-87.829400000000007</v>
      </c>
      <c r="Q1273" s="1" t="s">
        <v>3204</v>
      </c>
      <c r="R1273" s="1" t="s">
        <v>120</v>
      </c>
      <c r="S1273" s="1" t="s">
        <v>121</v>
      </c>
      <c r="T1273" s="1" t="s">
        <v>43</v>
      </c>
      <c r="U1273" s="1" t="s">
        <v>55</v>
      </c>
      <c r="V1273" s="1" t="s">
        <v>44</v>
      </c>
      <c r="W1273" s="1" t="s">
        <v>56</v>
      </c>
      <c r="X1273" s="1" t="s">
        <v>301</v>
      </c>
      <c r="Y1273" s="1" t="s">
        <v>331</v>
      </c>
      <c r="AA1273" s="3">
        <v>24746</v>
      </c>
      <c r="AB1273" s="1" t="s">
        <v>46</v>
      </c>
      <c r="AC1273" s="5">
        <v>4014</v>
      </c>
      <c r="AD1273" s="1" t="s">
        <v>3208</v>
      </c>
      <c r="AE1273" s="1" t="str">
        <f t="shared" si="96"/>
        <v>4041 8</v>
      </c>
      <c r="AF1273" s="5" t="str">
        <f t="shared" si="99"/>
        <v>324</v>
      </c>
      <c r="AG1273" s="1" t="str">
        <f t="shared" si="95"/>
        <v>Y</v>
      </c>
    </row>
    <row r="1274" spans="1:33" x14ac:dyDescent="0.2">
      <c r="A1274" s="1" t="s">
        <v>3167</v>
      </c>
      <c r="B1274" s="1" t="s">
        <v>3209</v>
      </c>
      <c r="C1274" s="1">
        <v>4042</v>
      </c>
      <c r="D1274" s="1">
        <v>1</v>
      </c>
      <c r="E1274" s="1" t="s">
        <v>1421</v>
      </c>
      <c r="F1274" s="1">
        <v>2023</v>
      </c>
      <c r="G1274" s="1" t="s">
        <v>461</v>
      </c>
      <c r="H1274" s="1" t="s">
        <v>3193</v>
      </c>
      <c r="I1274" s="1">
        <v>5</v>
      </c>
      <c r="J1274" s="1" t="s">
        <v>462</v>
      </c>
      <c r="K1274" s="1" t="s">
        <v>3202</v>
      </c>
      <c r="L1274" s="1" t="s">
        <v>3203</v>
      </c>
      <c r="M1274" s="1">
        <v>79</v>
      </c>
      <c r="N1274" s="1" t="s">
        <v>39</v>
      </c>
      <c r="O1274" s="1">
        <v>43.030299999999997</v>
      </c>
      <c r="P1274" s="1">
        <v>-87.923299999999998</v>
      </c>
      <c r="Q1274" s="1" t="s">
        <v>3204</v>
      </c>
      <c r="R1274" s="1" t="s">
        <v>41</v>
      </c>
      <c r="S1274" s="1" t="s">
        <v>121</v>
      </c>
      <c r="T1274" s="1" t="s">
        <v>89</v>
      </c>
      <c r="U1274" s="1" t="s">
        <v>44</v>
      </c>
      <c r="X1274" s="1" t="s">
        <v>90</v>
      </c>
      <c r="AA1274" s="3">
        <v>24990</v>
      </c>
      <c r="AB1274" s="1" t="s">
        <v>46</v>
      </c>
      <c r="AC1274" s="5">
        <v>1000</v>
      </c>
      <c r="AD1274" s="1" t="s">
        <v>369</v>
      </c>
      <c r="AE1274" s="1" t="str">
        <f t="shared" si="96"/>
        <v>4042 1</v>
      </c>
      <c r="AF1274" s="5" t="str">
        <f t="shared" si="99"/>
        <v>136</v>
      </c>
      <c r="AG1274" s="1" t="str">
        <f t="shared" si="95"/>
        <v/>
      </c>
    </row>
    <row r="1275" spans="1:33" x14ac:dyDescent="0.2">
      <c r="A1275" s="1" t="s">
        <v>3167</v>
      </c>
      <c r="B1275" s="1" t="s">
        <v>3209</v>
      </c>
      <c r="C1275" s="1">
        <v>4042</v>
      </c>
      <c r="D1275" s="1">
        <v>2</v>
      </c>
      <c r="E1275" s="1" t="s">
        <v>1421</v>
      </c>
      <c r="F1275" s="1">
        <v>2023</v>
      </c>
      <c r="G1275" s="1" t="s">
        <v>461</v>
      </c>
      <c r="H1275" s="1" t="s">
        <v>3193</v>
      </c>
      <c r="I1275" s="1">
        <v>5</v>
      </c>
      <c r="J1275" s="1" t="s">
        <v>462</v>
      </c>
      <c r="K1275" s="1" t="s">
        <v>3202</v>
      </c>
      <c r="L1275" s="1" t="s">
        <v>3203</v>
      </c>
      <c r="M1275" s="1">
        <v>79</v>
      </c>
      <c r="N1275" s="1" t="s">
        <v>39</v>
      </c>
      <c r="O1275" s="1">
        <v>43.030299999999997</v>
      </c>
      <c r="P1275" s="1">
        <v>-87.923299999999998</v>
      </c>
      <c r="Q1275" s="1" t="s">
        <v>3204</v>
      </c>
      <c r="R1275" s="1" t="s">
        <v>41</v>
      </c>
      <c r="S1275" s="1" t="s">
        <v>121</v>
      </c>
      <c r="T1275" s="1" t="s">
        <v>89</v>
      </c>
      <c r="U1275" s="1" t="s">
        <v>44</v>
      </c>
      <c r="X1275" s="1" t="s">
        <v>90</v>
      </c>
      <c r="AA1275" s="3">
        <v>24990</v>
      </c>
      <c r="AB1275" s="1" t="s">
        <v>46</v>
      </c>
      <c r="AC1275" s="5">
        <v>959</v>
      </c>
      <c r="AD1275" s="1" t="s">
        <v>369</v>
      </c>
      <c r="AE1275" s="1" t="str">
        <f t="shared" si="96"/>
        <v>4042 2</v>
      </c>
      <c r="AF1275" s="5" t="str">
        <f t="shared" si="99"/>
        <v>136</v>
      </c>
      <c r="AG1275" s="1" t="str">
        <f t="shared" si="95"/>
        <v/>
      </c>
    </row>
    <row r="1276" spans="1:33" x14ac:dyDescent="0.2">
      <c r="A1276" s="1" t="s">
        <v>3167</v>
      </c>
      <c r="B1276" s="1" t="s">
        <v>3209</v>
      </c>
      <c r="C1276" s="1">
        <v>4042</v>
      </c>
      <c r="D1276" s="1">
        <v>3</v>
      </c>
      <c r="E1276" s="1" t="s">
        <v>3206</v>
      </c>
      <c r="F1276" s="1">
        <v>2023</v>
      </c>
      <c r="G1276" s="1" t="s">
        <v>461</v>
      </c>
      <c r="H1276" s="1" t="s">
        <v>3193</v>
      </c>
      <c r="I1276" s="1">
        <v>5</v>
      </c>
      <c r="J1276" s="1" t="s">
        <v>462</v>
      </c>
      <c r="K1276" s="1" t="s">
        <v>3202</v>
      </c>
      <c r="L1276" s="1" t="s">
        <v>3203</v>
      </c>
      <c r="M1276" s="1">
        <v>79</v>
      </c>
      <c r="N1276" s="1" t="s">
        <v>39</v>
      </c>
      <c r="O1276" s="1">
        <v>43.030299999999997</v>
      </c>
      <c r="P1276" s="1">
        <v>-87.923299999999998</v>
      </c>
      <c r="Q1276" s="1" t="s">
        <v>3204</v>
      </c>
      <c r="R1276" s="1" t="s">
        <v>41</v>
      </c>
      <c r="S1276" s="1" t="s">
        <v>121</v>
      </c>
      <c r="T1276" s="1" t="s">
        <v>89</v>
      </c>
      <c r="U1276" s="1" t="s">
        <v>44</v>
      </c>
      <c r="X1276" s="1" t="s">
        <v>90</v>
      </c>
      <c r="AA1276" s="3">
        <v>25263</v>
      </c>
      <c r="AB1276" s="1" t="s">
        <v>46</v>
      </c>
      <c r="AC1276" s="5">
        <v>1192</v>
      </c>
      <c r="AD1276" s="1" t="s">
        <v>3210</v>
      </c>
      <c r="AE1276" s="1" t="str">
        <f t="shared" si="96"/>
        <v>4042 3</v>
      </c>
      <c r="AF1276" s="5" t="str">
        <f t="shared" si="99"/>
        <v>136</v>
      </c>
      <c r="AG1276" s="1" t="str">
        <f t="shared" si="95"/>
        <v/>
      </c>
    </row>
    <row r="1277" spans="1:33" x14ac:dyDescent="0.2">
      <c r="A1277" s="1" t="s">
        <v>3167</v>
      </c>
      <c r="B1277" s="1" t="s">
        <v>3209</v>
      </c>
      <c r="C1277" s="1">
        <v>4042</v>
      </c>
      <c r="D1277" s="1">
        <v>4</v>
      </c>
      <c r="E1277" s="1" t="s">
        <v>3206</v>
      </c>
      <c r="F1277" s="1">
        <v>2023</v>
      </c>
      <c r="G1277" s="1" t="s">
        <v>461</v>
      </c>
      <c r="H1277" s="1" t="s">
        <v>3193</v>
      </c>
      <c r="I1277" s="1">
        <v>5</v>
      </c>
      <c r="J1277" s="1" t="s">
        <v>462</v>
      </c>
      <c r="K1277" s="1" t="s">
        <v>3202</v>
      </c>
      <c r="L1277" s="1" t="s">
        <v>3203</v>
      </c>
      <c r="M1277" s="1">
        <v>79</v>
      </c>
      <c r="N1277" s="1" t="s">
        <v>39</v>
      </c>
      <c r="O1277" s="1">
        <v>43.030299999999997</v>
      </c>
      <c r="P1277" s="1">
        <v>-87.923299999999998</v>
      </c>
      <c r="Q1277" s="1" t="s">
        <v>3204</v>
      </c>
      <c r="R1277" s="1" t="s">
        <v>41</v>
      </c>
      <c r="S1277" s="1" t="s">
        <v>121</v>
      </c>
      <c r="T1277" s="1" t="s">
        <v>89</v>
      </c>
      <c r="U1277" s="1" t="s">
        <v>44</v>
      </c>
      <c r="X1277" s="1" t="s">
        <v>90</v>
      </c>
      <c r="AA1277" s="3">
        <v>25263</v>
      </c>
      <c r="AB1277" s="1" t="s">
        <v>46</v>
      </c>
      <c r="AC1277" s="5">
        <v>1013</v>
      </c>
      <c r="AD1277" s="1" t="s">
        <v>3210</v>
      </c>
      <c r="AE1277" s="1" t="str">
        <f t="shared" si="96"/>
        <v>4042 4</v>
      </c>
      <c r="AF1277" s="5" t="str">
        <f t="shared" si="99"/>
        <v>136</v>
      </c>
      <c r="AG1277" s="1" t="str">
        <f t="shared" si="95"/>
        <v/>
      </c>
    </row>
    <row r="1278" spans="1:33" x14ac:dyDescent="0.2">
      <c r="A1278" s="1" t="s">
        <v>3167</v>
      </c>
      <c r="B1278" s="1" t="s">
        <v>3211</v>
      </c>
      <c r="C1278" s="1">
        <v>4050</v>
      </c>
      <c r="D1278" s="1">
        <v>5</v>
      </c>
      <c r="F1278" s="1">
        <v>2023</v>
      </c>
      <c r="G1278" s="1" t="s">
        <v>1005</v>
      </c>
      <c r="H1278" s="1">
        <v>608055</v>
      </c>
      <c r="I1278" s="1">
        <v>5</v>
      </c>
      <c r="J1278" s="1" t="s">
        <v>462</v>
      </c>
      <c r="K1278" s="1" t="s">
        <v>3212</v>
      </c>
      <c r="L1278" s="1" t="s">
        <v>3213</v>
      </c>
      <c r="M1278" s="1">
        <v>117</v>
      </c>
      <c r="N1278" s="1" t="s">
        <v>39</v>
      </c>
      <c r="O1278" s="1">
        <v>43.715000000000003</v>
      </c>
      <c r="P1278" s="1">
        <v>-87.709400000000002</v>
      </c>
      <c r="Q1278" s="1" t="s">
        <v>3214</v>
      </c>
      <c r="R1278" s="1" t="s">
        <v>41</v>
      </c>
      <c r="S1278" s="1" t="s">
        <v>211</v>
      </c>
      <c r="T1278" s="1" t="s">
        <v>89</v>
      </c>
      <c r="U1278" s="1" t="s">
        <v>55</v>
      </c>
      <c r="W1278" s="1" t="s">
        <v>212</v>
      </c>
      <c r="X1278" s="1" t="s">
        <v>563</v>
      </c>
      <c r="Y1278" s="1" t="s">
        <v>1182</v>
      </c>
      <c r="Z1278" s="1" t="s">
        <v>937</v>
      </c>
      <c r="AA1278" s="3">
        <v>31107</v>
      </c>
      <c r="AB1278" s="1" t="s">
        <v>46</v>
      </c>
      <c r="AC1278" s="5">
        <v>5424</v>
      </c>
      <c r="AD1278" s="1" t="s">
        <v>3215</v>
      </c>
      <c r="AE1278" s="1" t="str">
        <f t="shared" si="96"/>
        <v>4050 5</v>
      </c>
      <c r="AF1278" s="5" t="str">
        <f t="shared" si="99"/>
        <v>380</v>
      </c>
      <c r="AG1278" s="1" t="str">
        <f t="shared" si="95"/>
        <v>Y</v>
      </c>
    </row>
    <row r="1279" spans="1:33" x14ac:dyDescent="0.2">
      <c r="A1279" s="1" t="s">
        <v>3167</v>
      </c>
      <c r="B1279" s="1" t="s">
        <v>3216</v>
      </c>
      <c r="C1279" s="1">
        <v>4072</v>
      </c>
      <c r="D1279" s="1">
        <v>32</v>
      </c>
      <c r="F1279" s="1">
        <v>2023</v>
      </c>
      <c r="G1279" s="1" t="s">
        <v>461</v>
      </c>
      <c r="H1279" s="1" t="s">
        <v>3193</v>
      </c>
      <c r="I1279" s="1">
        <v>5</v>
      </c>
      <c r="J1279" s="1" t="s">
        <v>462</v>
      </c>
      <c r="K1279" s="1" t="s">
        <v>1713</v>
      </c>
      <c r="L1279" s="1" t="s">
        <v>3217</v>
      </c>
      <c r="M1279" s="1">
        <v>9</v>
      </c>
      <c r="N1279" s="1" t="s">
        <v>39</v>
      </c>
      <c r="O1279" s="1">
        <v>44.539700000000003</v>
      </c>
      <c r="P1279" s="1">
        <v>-88.008300000000006</v>
      </c>
      <c r="Q1279" s="1" t="s">
        <v>3218</v>
      </c>
      <c r="R1279" s="1" t="s">
        <v>41</v>
      </c>
      <c r="T1279" s="1" t="s">
        <v>93</v>
      </c>
      <c r="U1279" s="1" t="s">
        <v>44</v>
      </c>
      <c r="X1279" s="1" t="s">
        <v>140</v>
      </c>
      <c r="AA1279" s="3">
        <v>37742</v>
      </c>
      <c r="AB1279" s="1" t="s">
        <v>46</v>
      </c>
      <c r="AC1279" s="5">
        <v>1241</v>
      </c>
      <c r="AD1279" s="1" t="s">
        <v>3219</v>
      </c>
      <c r="AE1279" s="1" t="str">
        <f t="shared" si="96"/>
        <v>4072 32</v>
      </c>
      <c r="AF1279" s="5" t="str">
        <f t="shared" si="99"/>
        <v>91</v>
      </c>
      <c r="AG1279" s="1" t="str">
        <f t="shared" si="95"/>
        <v/>
      </c>
    </row>
    <row r="1280" spans="1:33" x14ac:dyDescent="0.2">
      <c r="A1280" s="1" t="s">
        <v>3167</v>
      </c>
      <c r="B1280" s="1" t="s">
        <v>3220</v>
      </c>
      <c r="C1280" s="1">
        <v>4076</v>
      </c>
      <c r="D1280" s="1" t="s">
        <v>3221</v>
      </c>
      <c r="F1280" s="1">
        <v>2023</v>
      </c>
      <c r="G1280" s="1" t="s">
        <v>461</v>
      </c>
      <c r="H1280" s="1" t="s">
        <v>3193</v>
      </c>
      <c r="I1280" s="1">
        <v>5</v>
      </c>
      <c r="J1280" s="1" t="s">
        <v>462</v>
      </c>
      <c r="K1280" s="1" t="s">
        <v>3222</v>
      </c>
      <c r="L1280" s="1" t="s">
        <v>3223</v>
      </c>
      <c r="M1280" s="1">
        <v>75</v>
      </c>
      <c r="N1280" s="1" t="s">
        <v>39</v>
      </c>
      <c r="O1280" s="1">
        <v>45.0869</v>
      </c>
      <c r="P1280" s="1">
        <v>-87.688100000000006</v>
      </c>
      <c r="Q1280" s="1" t="s">
        <v>3218</v>
      </c>
      <c r="R1280" s="1" t="s">
        <v>41</v>
      </c>
      <c r="T1280" s="1" t="s">
        <v>93</v>
      </c>
      <c r="U1280" s="1" t="s">
        <v>44</v>
      </c>
      <c r="X1280" s="1" t="s">
        <v>95</v>
      </c>
      <c r="AA1280" s="3">
        <v>34060</v>
      </c>
      <c r="AB1280" s="1" t="s">
        <v>46</v>
      </c>
      <c r="AC1280" s="5">
        <v>1274.3</v>
      </c>
      <c r="AD1280" s="1" t="s">
        <v>3224</v>
      </c>
      <c r="AE1280" s="1" t="str">
        <f t="shared" si="96"/>
        <v>4076 **33</v>
      </c>
      <c r="AF1280" s="5" t="str">
        <f t="shared" si="99"/>
        <v>83.5</v>
      </c>
      <c r="AG1280" s="1" t="str">
        <f t="shared" si="95"/>
        <v/>
      </c>
    </row>
    <row r="1281" spans="1:33" x14ac:dyDescent="0.2">
      <c r="A1281" s="1" t="s">
        <v>3167</v>
      </c>
      <c r="B1281" s="1" t="s">
        <v>3220</v>
      </c>
      <c r="C1281" s="1">
        <v>4076</v>
      </c>
      <c r="D1281" s="1" t="s">
        <v>3225</v>
      </c>
      <c r="F1281" s="1">
        <v>2023</v>
      </c>
      <c r="G1281" s="1" t="s">
        <v>461</v>
      </c>
      <c r="H1281" s="1" t="s">
        <v>3193</v>
      </c>
      <c r="I1281" s="1">
        <v>5</v>
      </c>
      <c r="J1281" s="1" t="s">
        <v>462</v>
      </c>
      <c r="K1281" s="1" t="s">
        <v>3222</v>
      </c>
      <c r="L1281" s="1" t="s">
        <v>3223</v>
      </c>
      <c r="M1281" s="1">
        <v>75</v>
      </c>
      <c r="N1281" s="1" t="s">
        <v>39</v>
      </c>
      <c r="O1281" s="1">
        <v>45.0869</v>
      </c>
      <c r="P1281" s="1">
        <v>-87.688100000000006</v>
      </c>
      <c r="Q1281" s="1" t="s">
        <v>3226</v>
      </c>
      <c r="R1281" s="1" t="s">
        <v>41</v>
      </c>
      <c r="T1281" s="1" t="s">
        <v>93</v>
      </c>
      <c r="U1281" s="1" t="s">
        <v>44</v>
      </c>
      <c r="V1281" s="1" t="s">
        <v>94</v>
      </c>
      <c r="X1281" s="1" t="s">
        <v>183</v>
      </c>
      <c r="AA1281" s="3">
        <v>36642</v>
      </c>
      <c r="AB1281" s="1" t="s">
        <v>46</v>
      </c>
      <c r="AC1281" s="5">
        <v>1231.8</v>
      </c>
      <c r="AD1281" s="1" t="s">
        <v>3227</v>
      </c>
      <c r="AE1281" s="1" t="str">
        <f t="shared" si="96"/>
        <v>4076 **34</v>
      </c>
      <c r="AF1281" s="5" t="str">
        <f t="shared" si="99"/>
        <v>90</v>
      </c>
      <c r="AG1281" s="1" t="str">
        <f t="shared" si="95"/>
        <v/>
      </c>
    </row>
    <row r="1282" spans="1:33" x14ac:dyDescent="0.2">
      <c r="A1282" s="1" t="s">
        <v>3167</v>
      </c>
      <c r="B1282" s="1" t="s">
        <v>3220</v>
      </c>
      <c r="C1282" s="1">
        <v>4076</v>
      </c>
      <c r="D1282" s="1" t="s">
        <v>3228</v>
      </c>
      <c r="F1282" s="1">
        <v>2023</v>
      </c>
      <c r="G1282" s="1" t="s">
        <v>1020</v>
      </c>
      <c r="H1282" s="1" t="s">
        <v>3193</v>
      </c>
      <c r="I1282" s="1">
        <v>5</v>
      </c>
      <c r="J1282" s="1" t="s">
        <v>462</v>
      </c>
      <c r="K1282" s="1" t="s">
        <v>3222</v>
      </c>
      <c r="L1282" s="1" t="s">
        <v>3223</v>
      </c>
      <c r="M1282" s="1">
        <v>75</v>
      </c>
      <c r="N1282" s="1" t="s">
        <v>39</v>
      </c>
      <c r="O1282" s="1">
        <v>45.0869</v>
      </c>
      <c r="P1282" s="1">
        <v>-87.688100000000006</v>
      </c>
      <c r="Q1282" s="1" t="s">
        <v>3218</v>
      </c>
      <c r="T1282" s="1" t="s">
        <v>93</v>
      </c>
      <c r="U1282" s="1" t="s">
        <v>44</v>
      </c>
      <c r="AA1282" s="3">
        <v>26080</v>
      </c>
      <c r="AB1282" s="1" t="s">
        <v>46</v>
      </c>
      <c r="AC1282" s="5">
        <v>353</v>
      </c>
      <c r="AD1282" s="1" t="s">
        <v>3229</v>
      </c>
      <c r="AE1282" s="1" t="str">
        <f t="shared" si="96"/>
        <v>4076 31A</v>
      </c>
      <c r="AF1282" s="5" t="str">
        <f t="shared" si="99"/>
        <v>41.9</v>
      </c>
      <c r="AG1282" s="1" t="str">
        <f t="shared" ref="AG1282:AG1345" si="100">IF(ISNUMBER(SEARCH("selective", X1282)), "Y", "")</f>
        <v/>
      </c>
    </row>
    <row r="1283" spans="1:33" x14ac:dyDescent="0.2">
      <c r="A1283" s="1" t="s">
        <v>3167</v>
      </c>
      <c r="B1283" s="1" t="s">
        <v>3220</v>
      </c>
      <c r="C1283" s="1">
        <v>4076</v>
      </c>
      <c r="D1283" s="1" t="s">
        <v>3230</v>
      </c>
      <c r="F1283" s="1">
        <v>2023</v>
      </c>
      <c r="G1283" s="1" t="s">
        <v>1020</v>
      </c>
      <c r="H1283" s="1" t="s">
        <v>3193</v>
      </c>
      <c r="I1283" s="1">
        <v>5</v>
      </c>
      <c r="J1283" s="1" t="s">
        <v>462</v>
      </c>
      <c r="K1283" s="1" t="s">
        <v>3222</v>
      </c>
      <c r="L1283" s="1" t="s">
        <v>3223</v>
      </c>
      <c r="M1283" s="1">
        <v>75</v>
      </c>
      <c r="N1283" s="1" t="s">
        <v>39</v>
      </c>
      <c r="O1283" s="1">
        <v>45.0869</v>
      </c>
      <c r="P1283" s="1">
        <v>-87.688100000000006</v>
      </c>
      <c r="Q1283" s="1" t="s">
        <v>3218</v>
      </c>
      <c r="T1283" s="1" t="s">
        <v>93</v>
      </c>
      <c r="U1283" s="1" t="s">
        <v>44</v>
      </c>
      <c r="AA1283" s="3">
        <v>26080</v>
      </c>
      <c r="AB1283" s="1" t="s">
        <v>46</v>
      </c>
      <c r="AC1283" s="5">
        <v>353</v>
      </c>
      <c r="AD1283" s="1" t="s">
        <v>3229</v>
      </c>
      <c r="AE1283" s="1" t="str">
        <f t="shared" ref="AE1283:AE1346" si="101">C1283&amp;" "&amp;D1283</f>
        <v>4076 31B</v>
      </c>
      <c r="AF1283" s="5" t="str">
        <f t="shared" si="99"/>
        <v>41.9</v>
      </c>
      <c r="AG1283" s="1" t="str">
        <f t="shared" si="100"/>
        <v/>
      </c>
    </row>
    <row r="1284" spans="1:33" x14ac:dyDescent="0.2">
      <c r="A1284" s="1" t="s">
        <v>3167</v>
      </c>
      <c r="B1284" s="1" t="s">
        <v>3220</v>
      </c>
      <c r="C1284" s="1">
        <v>4076</v>
      </c>
      <c r="D1284" s="1" t="s">
        <v>3231</v>
      </c>
      <c r="F1284" s="1">
        <v>2023</v>
      </c>
      <c r="G1284" s="1" t="s">
        <v>1020</v>
      </c>
      <c r="H1284" s="1" t="s">
        <v>3193</v>
      </c>
      <c r="I1284" s="1">
        <v>5</v>
      </c>
      <c r="J1284" s="1" t="s">
        <v>462</v>
      </c>
      <c r="K1284" s="1" t="s">
        <v>3222</v>
      </c>
      <c r="L1284" s="1" t="s">
        <v>3223</v>
      </c>
      <c r="M1284" s="1">
        <v>75</v>
      </c>
      <c r="N1284" s="1" t="s">
        <v>39</v>
      </c>
      <c r="O1284" s="1">
        <v>45.0869</v>
      </c>
      <c r="P1284" s="1">
        <v>-87.688100000000006</v>
      </c>
      <c r="Q1284" s="1" t="s">
        <v>3218</v>
      </c>
      <c r="T1284" s="1" t="s">
        <v>93</v>
      </c>
      <c r="U1284" s="1" t="s">
        <v>44</v>
      </c>
      <c r="AA1284" s="3">
        <v>26757</v>
      </c>
      <c r="AB1284" s="1" t="s">
        <v>46</v>
      </c>
      <c r="AC1284" s="5">
        <v>353</v>
      </c>
      <c r="AD1284" s="1" t="s">
        <v>3232</v>
      </c>
      <c r="AE1284" s="1" t="str">
        <f t="shared" si="101"/>
        <v>4076 32A</v>
      </c>
      <c r="AF1284" s="5" t="str">
        <f t="shared" si="99"/>
        <v>41.9</v>
      </c>
      <c r="AG1284" s="1" t="str">
        <f t="shared" si="100"/>
        <v/>
      </c>
    </row>
    <row r="1285" spans="1:33" x14ac:dyDescent="0.2">
      <c r="A1285" s="1" t="s">
        <v>3167</v>
      </c>
      <c r="B1285" s="1" t="s">
        <v>3220</v>
      </c>
      <c r="C1285" s="1">
        <v>4076</v>
      </c>
      <c r="D1285" s="1" t="s">
        <v>3233</v>
      </c>
      <c r="F1285" s="1">
        <v>2023</v>
      </c>
      <c r="G1285" s="1" t="s">
        <v>1020</v>
      </c>
      <c r="H1285" s="1" t="s">
        <v>3193</v>
      </c>
      <c r="I1285" s="1">
        <v>5</v>
      </c>
      <c r="J1285" s="1" t="s">
        <v>462</v>
      </c>
      <c r="K1285" s="1" t="s">
        <v>3222</v>
      </c>
      <c r="L1285" s="1" t="s">
        <v>3223</v>
      </c>
      <c r="M1285" s="1">
        <v>75</v>
      </c>
      <c r="N1285" s="1" t="s">
        <v>39</v>
      </c>
      <c r="O1285" s="1">
        <v>45.0869</v>
      </c>
      <c r="P1285" s="1">
        <v>-87.688100000000006</v>
      </c>
      <c r="Q1285" s="1" t="s">
        <v>3218</v>
      </c>
      <c r="T1285" s="1" t="s">
        <v>93</v>
      </c>
      <c r="U1285" s="1" t="s">
        <v>44</v>
      </c>
      <c r="AA1285" s="3">
        <v>26757</v>
      </c>
      <c r="AB1285" s="1" t="s">
        <v>46</v>
      </c>
      <c r="AC1285" s="5">
        <v>353</v>
      </c>
      <c r="AD1285" s="1" t="s">
        <v>3232</v>
      </c>
      <c r="AE1285" s="1" t="str">
        <f t="shared" si="101"/>
        <v>4076 32B</v>
      </c>
      <c r="AF1285" s="5" t="str">
        <f t="shared" si="99"/>
        <v>41.9</v>
      </c>
      <c r="AG1285" s="1" t="str">
        <f t="shared" si="100"/>
        <v/>
      </c>
    </row>
    <row r="1286" spans="1:33" x14ac:dyDescent="0.2">
      <c r="A1286" s="1" t="s">
        <v>3167</v>
      </c>
      <c r="B1286" s="1" t="s">
        <v>3234</v>
      </c>
      <c r="C1286" s="1">
        <v>4078</v>
      </c>
      <c r="D1286" s="1">
        <v>2</v>
      </c>
      <c r="F1286" s="1">
        <v>2023</v>
      </c>
      <c r="G1286" s="1" t="s">
        <v>2326</v>
      </c>
      <c r="H1286" s="1" t="s">
        <v>3193</v>
      </c>
      <c r="I1286" s="1">
        <v>5</v>
      </c>
      <c r="J1286" s="1" t="s">
        <v>462</v>
      </c>
      <c r="K1286" s="1" t="s">
        <v>3235</v>
      </c>
      <c r="L1286" s="1" t="s">
        <v>3236</v>
      </c>
      <c r="M1286" s="1">
        <v>73</v>
      </c>
      <c r="N1286" s="1" t="s">
        <v>39</v>
      </c>
      <c r="O1286" s="1">
        <v>44.860599999999998</v>
      </c>
      <c r="P1286" s="1">
        <v>-89.655299999999997</v>
      </c>
      <c r="Q1286" s="1" t="s">
        <v>3218</v>
      </c>
      <c r="R1286" s="1" t="s">
        <v>41</v>
      </c>
      <c r="S1286" s="1" t="s">
        <v>121</v>
      </c>
      <c r="T1286" s="1" t="s">
        <v>89</v>
      </c>
      <c r="U1286" s="1" t="s">
        <v>44</v>
      </c>
      <c r="X1286" s="1" t="s">
        <v>220</v>
      </c>
      <c r="Y1286" s="1" t="s">
        <v>58</v>
      </c>
      <c r="AA1286" s="3">
        <v>21916</v>
      </c>
      <c r="AB1286" s="1" t="s">
        <v>3237</v>
      </c>
      <c r="AC1286" s="5">
        <v>1319</v>
      </c>
      <c r="AD1286" s="1" t="s">
        <v>3238</v>
      </c>
      <c r="AE1286" s="1" t="str">
        <f t="shared" si="101"/>
        <v>4078 2</v>
      </c>
      <c r="AF1286" s="5" t="str">
        <f t="shared" si="99"/>
        <v>75</v>
      </c>
      <c r="AG1286" s="1" t="str">
        <f t="shared" si="100"/>
        <v/>
      </c>
    </row>
    <row r="1287" spans="1:33" x14ac:dyDescent="0.2">
      <c r="A1287" s="1" t="s">
        <v>3167</v>
      </c>
      <c r="B1287" s="1" t="s">
        <v>3234</v>
      </c>
      <c r="C1287" s="1">
        <v>4078</v>
      </c>
      <c r="D1287" s="1">
        <v>3</v>
      </c>
      <c r="F1287" s="1">
        <v>2023</v>
      </c>
      <c r="G1287" s="1" t="s">
        <v>1005</v>
      </c>
      <c r="H1287" s="1" t="s">
        <v>3193</v>
      </c>
      <c r="I1287" s="1">
        <v>5</v>
      </c>
      <c r="J1287" s="1" t="s">
        <v>462</v>
      </c>
      <c r="K1287" s="1" t="s">
        <v>3235</v>
      </c>
      <c r="L1287" s="1" t="s">
        <v>3236</v>
      </c>
      <c r="M1287" s="1">
        <v>73</v>
      </c>
      <c r="N1287" s="1" t="s">
        <v>39</v>
      </c>
      <c r="O1287" s="1">
        <v>44.860599999999998</v>
      </c>
      <c r="P1287" s="1">
        <v>-89.655299999999997</v>
      </c>
      <c r="Q1287" s="1" t="s">
        <v>3218</v>
      </c>
      <c r="R1287" s="1" t="s">
        <v>41</v>
      </c>
      <c r="S1287" s="1" t="s">
        <v>121</v>
      </c>
      <c r="T1287" s="1" t="s">
        <v>43</v>
      </c>
      <c r="U1287" s="1" t="s">
        <v>55</v>
      </c>
      <c r="V1287" s="1" t="s">
        <v>284</v>
      </c>
      <c r="W1287" s="1" t="s">
        <v>454</v>
      </c>
      <c r="X1287" s="1" t="s">
        <v>3239</v>
      </c>
      <c r="Y1287" s="1" t="s">
        <v>232</v>
      </c>
      <c r="Z1287" s="1" t="s">
        <v>3240</v>
      </c>
      <c r="AA1287" s="3">
        <v>29943</v>
      </c>
      <c r="AB1287" s="1" t="s">
        <v>46</v>
      </c>
      <c r="AC1287" s="5">
        <v>4509</v>
      </c>
      <c r="AD1287" s="1" t="s">
        <v>3241</v>
      </c>
      <c r="AE1287" s="1" t="str">
        <f t="shared" si="101"/>
        <v>4078 3</v>
      </c>
      <c r="AF1287" s="5" t="str">
        <f t="shared" si="99"/>
        <v>321.6</v>
      </c>
      <c r="AG1287" s="1" t="str">
        <f t="shared" si="100"/>
        <v/>
      </c>
    </row>
    <row r="1288" spans="1:33" x14ac:dyDescent="0.2">
      <c r="A1288" s="1" t="s">
        <v>3167</v>
      </c>
      <c r="B1288" s="1" t="s">
        <v>3234</v>
      </c>
      <c r="C1288" s="1">
        <v>4078</v>
      </c>
      <c r="D1288" s="1">
        <v>4</v>
      </c>
      <c r="F1288" s="1">
        <v>2023</v>
      </c>
      <c r="G1288" s="1" t="s">
        <v>1005</v>
      </c>
      <c r="H1288" s="1" t="s">
        <v>3193</v>
      </c>
      <c r="I1288" s="1">
        <v>5</v>
      </c>
      <c r="J1288" s="1" t="s">
        <v>462</v>
      </c>
      <c r="K1288" s="1" t="s">
        <v>3235</v>
      </c>
      <c r="L1288" s="1" t="s">
        <v>3236</v>
      </c>
      <c r="M1288" s="1">
        <v>73</v>
      </c>
      <c r="N1288" s="1" t="s">
        <v>39</v>
      </c>
      <c r="O1288" s="1">
        <v>44.860599999999998</v>
      </c>
      <c r="P1288" s="1">
        <v>-89.655299999999997</v>
      </c>
      <c r="Q1288" s="1" t="s">
        <v>3242</v>
      </c>
      <c r="R1288" s="1" t="s">
        <v>41</v>
      </c>
      <c r="T1288" s="1" t="s">
        <v>89</v>
      </c>
      <c r="U1288" s="1" t="s">
        <v>55</v>
      </c>
      <c r="V1288" s="1" t="s">
        <v>284</v>
      </c>
      <c r="W1288" s="1" t="s">
        <v>212</v>
      </c>
      <c r="X1288" s="1" t="s">
        <v>223</v>
      </c>
      <c r="Y1288" s="1" t="s">
        <v>232</v>
      </c>
      <c r="Z1288" s="1" t="s">
        <v>1109</v>
      </c>
      <c r="AA1288" s="3">
        <v>39527</v>
      </c>
      <c r="AB1288" s="1" t="s">
        <v>46</v>
      </c>
      <c r="AC1288" s="5">
        <v>5217</v>
      </c>
      <c r="AD1288" s="1" t="s">
        <v>3243</v>
      </c>
      <c r="AE1288" s="1" t="str">
        <f t="shared" si="101"/>
        <v>4078 4</v>
      </c>
      <c r="AF1288" s="5" t="str">
        <f t="shared" si="99"/>
        <v>595</v>
      </c>
      <c r="AG1288" s="1" t="str">
        <f t="shared" si="100"/>
        <v>Y</v>
      </c>
    </row>
    <row r="1289" spans="1:33" x14ac:dyDescent="0.2">
      <c r="A1289" s="1" t="s">
        <v>3167</v>
      </c>
      <c r="B1289" s="1" t="s">
        <v>3234</v>
      </c>
      <c r="C1289" s="1">
        <v>4078</v>
      </c>
      <c r="D1289" s="1" t="s">
        <v>3231</v>
      </c>
      <c r="F1289" s="1">
        <v>2023</v>
      </c>
      <c r="G1289" s="1" t="s">
        <v>1020</v>
      </c>
      <c r="H1289" s="1" t="s">
        <v>3193</v>
      </c>
      <c r="I1289" s="1">
        <v>5</v>
      </c>
      <c r="J1289" s="1" t="s">
        <v>462</v>
      </c>
      <c r="K1289" s="1" t="s">
        <v>3235</v>
      </c>
      <c r="L1289" s="1" t="s">
        <v>3236</v>
      </c>
      <c r="M1289" s="1">
        <v>73</v>
      </c>
      <c r="N1289" s="1" t="s">
        <v>39</v>
      </c>
      <c r="O1289" s="1">
        <v>44.860599999999998</v>
      </c>
      <c r="P1289" s="1">
        <v>-89.655299999999997</v>
      </c>
      <c r="Q1289" s="1" t="s">
        <v>3218</v>
      </c>
      <c r="T1289" s="1" t="s">
        <v>93</v>
      </c>
      <c r="U1289" s="1" t="s">
        <v>44</v>
      </c>
      <c r="AA1289" s="3">
        <v>26809</v>
      </c>
      <c r="AB1289" s="1" t="s">
        <v>3244</v>
      </c>
      <c r="AC1289" s="5">
        <v>434</v>
      </c>
      <c r="AD1289" s="1" t="s">
        <v>3245</v>
      </c>
      <c r="AE1289" s="1" t="str">
        <f t="shared" si="101"/>
        <v>4078 32A</v>
      </c>
      <c r="AF1289" s="5" t="str">
        <f t="shared" si="99"/>
        <v>51</v>
      </c>
      <c r="AG1289" s="1" t="str">
        <f t="shared" si="100"/>
        <v/>
      </c>
    </row>
    <row r="1290" spans="1:33" x14ac:dyDescent="0.2">
      <c r="A1290" s="1" t="s">
        <v>3167</v>
      </c>
      <c r="B1290" s="1" t="s">
        <v>3234</v>
      </c>
      <c r="C1290" s="1">
        <v>4078</v>
      </c>
      <c r="D1290" s="1" t="s">
        <v>3233</v>
      </c>
      <c r="F1290" s="1">
        <v>2023</v>
      </c>
      <c r="G1290" s="1" t="s">
        <v>1020</v>
      </c>
      <c r="H1290" s="1" t="s">
        <v>3193</v>
      </c>
      <c r="I1290" s="1">
        <v>5</v>
      </c>
      <c r="J1290" s="1" t="s">
        <v>462</v>
      </c>
      <c r="K1290" s="1" t="s">
        <v>3235</v>
      </c>
      <c r="L1290" s="1" t="s">
        <v>3236</v>
      </c>
      <c r="M1290" s="1">
        <v>73</v>
      </c>
      <c r="N1290" s="1" t="s">
        <v>39</v>
      </c>
      <c r="O1290" s="1">
        <v>44.860599999999998</v>
      </c>
      <c r="P1290" s="1">
        <v>-89.655299999999997</v>
      </c>
      <c r="Q1290" s="1" t="s">
        <v>3218</v>
      </c>
      <c r="T1290" s="1" t="s">
        <v>93</v>
      </c>
      <c r="U1290" s="1" t="s">
        <v>44</v>
      </c>
      <c r="AA1290" s="3">
        <v>26809</v>
      </c>
      <c r="AB1290" s="1" t="s">
        <v>3244</v>
      </c>
      <c r="AC1290" s="5">
        <v>434</v>
      </c>
      <c r="AD1290" s="1" t="s">
        <v>3245</v>
      </c>
      <c r="AE1290" s="1" t="str">
        <f t="shared" si="101"/>
        <v>4078 32B</v>
      </c>
      <c r="AF1290" s="5" t="str">
        <f t="shared" si="99"/>
        <v>51</v>
      </c>
      <c r="AG1290" s="1" t="str">
        <f t="shared" si="100"/>
        <v/>
      </c>
    </row>
    <row r="1291" spans="1:33" x14ac:dyDescent="0.2">
      <c r="A1291" s="1" t="s">
        <v>3167</v>
      </c>
      <c r="B1291" s="1" t="s">
        <v>3246</v>
      </c>
      <c r="C1291" s="1">
        <v>4125</v>
      </c>
      <c r="D1291" s="1">
        <v>8</v>
      </c>
      <c r="F1291" s="1">
        <v>2023</v>
      </c>
      <c r="G1291" s="1" t="s">
        <v>461</v>
      </c>
      <c r="H1291" s="1">
        <v>608629</v>
      </c>
      <c r="I1291" s="1">
        <v>5</v>
      </c>
      <c r="J1291" s="1" t="s">
        <v>462</v>
      </c>
      <c r="K1291" s="1" t="s">
        <v>3247</v>
      </c>
      <c r="L1291" s="1" t="s">
        <v>3248</v>
      </c>
      <c r="M1291" s="1">
        <v>71</v>
      </c>
      <c r="N1291" s="1" t="s">
        <v>39</v>
      </c>
      <c r="O1291" s="1">
        <v>44.082000000000001</v>
      </c>
      <c r="P1291" s="1">
        <v>-87.655799999999999</v>
      </c>
      <c r="Q1291" s="1" t="s">
        <v>3249</v>
      </c>
      <c r="R1291" s="1" t="s">
        <v>41</v>
      </c>
      <c r="T1291" s="1" t="s">
        <v>885</v>
      </c>
      <c r="U1291" s="1" t="s">
        <v>2492</v>
      </c>
      <c r="V1291" s="1" t="s">
        <v>3250</v>
      </c>
      <c r="W1291" s="1" t="s">
        <v>1069</v>
      </c>
      <c r="Y1291" s="1" t="s">
        <v>232</v>
      </c>
      <c r="AA1291" s="3">
        <v>33068</v>
      </c>
      <c r="AB1291" s="1" t="s">
        <v>46</v>
      </c>
      <c r="AC1291" s="5">
        <v>320.8</v>
      </c>
      <c r="AD1291" s="1" t="s">
        <v>3251</v>
      </c>
      <c r="AE1291" s="1" t="str">
        <f t="shared" si="101"/>
        <v>4125 8</v>
      </c>
      <c r="AF1291" s="14">
        <f>MID(AD1291,FIND("(",AD1291)+1,FIND(")",AD1291)-FIND("(",AD1291)-1)+32+22</f>
        <v>64</v>
      </c>
      <c r="AG1291" s="1" t="str">
        <f t="shared" si="100"/>
        <v/>
      </c>
    </row>
    <row r="1292" spans="1:33" x14ac:dyDescent="0.2">
      <c r="A1292" s="1" t="s">
        <v>3167</v>
      </c>
      <c r="B1292" s="1" t="s">
        <v>3246</v>
      </c>
      <c r="C1292" s="1">
        <v>4125</v>
      </c>
      <c r="D1292" s="1">
        <v>9</v>
      </c>
      <c r="F1292" s="1">
        <v>2023</v>
      </c>
      <c r="G1292" s="1" t="s">
        <v>1005</v>
      </c>
      <c r="H1292" s="1">
        <v>608629</v>
      </c>
      <c r="I1292" s="1">
        <v>5</v>
      </c>
      <c r="J1292" s="1" t="s">
        <v>462</v>
      </c>
      <c r="K1292" s="1" t="s">
        <v>3247</v>
      </c>
      <c r="L1292" s="1" t="s">
        <v>3248</v>
      </c>
      <c r="M1292" s="1">
        <v>71</v>
      </c>
      <c r="N1292" s="1" t="s">
        <v>39</v>
      </c>
      <c r="O1292" s="1">
        <v>44.082000000000001</v>
      </c>
      <c r="P1292" s="1">
        <v>-87.655799999999999</v>
      </c>
      <c r="Q1292" s="1" t="s">
        <v>3249</v>
      </c>
      <c r="R1292" s="1" t="s">
        <v>41</v>
      </c>
      <c r="T1292" s="1" t="s">
        <v>885</v>
      </c>
      <c r="U1292" s="1" t="s">
        <v>2492</v>
      </c>
      <c r="V1292" s="1" t="s">
        <v>55</v>
      </c>
      <c r="W1292" s="1" t="s">
        <v>1069</v>
      </c>
      <c r="X1292" s="1" t="s">
        <v>669</v>
      </c>
      <c r="Y1292" s="1" t="s">
        <v>232</v>
      </c>
      <c r="AA1292" s="3">
        <v>38605</v>
      </c>
      <c r="AB1292" s="1" t="s">
        <v>46</v>
      </c>
      <c r="AC1292" s="5">
        <v>764</v>
      </c>
      <c r="AD1292" s="1" t="s">
        <v>3252</v>
      </c>
      <c r="AE1292" s="1" t="str">
        <f t="shared" si="101"/>
        <v>4125 9</v>
      </c>
      <c r="AF1292" s="5" t="str">
        <f t="shared" ref="AF1292:AF1304" si="102">MID(AD1292,FIND("(",AD1292)+1,FIND(")",AD1292)-FIND("(",AD1292)-1)</f>
        <v>63.4</v>
      </c>
      <c r="AG1292" s="1" t="str">
        <f t="shared" si="100"/>
        <v>Y</v>
      </c>
    </row>
    <row r="1293" spans="1:33" x14ac:dyDescent="0.2">
      <c r="A1293" s="1" t="s">
        <v>3253</v>
      </c>
      <c r="B1293" s="1" t="s">
        <v>3254</v>
      </c>
      <c r="C1293" s="1">
        <v>4158</v>
      </c>
      <c r="D1293" s="1" t="s">
        <v>3255</v>
      </c>
      <c r="F1293" s="1">
        <v>2023</v>
      </c>
      <c r="G1293" s="1" t="s">
        <v>236</v>
      </c>
      <c r="H1293" s="1">
        <v>608875</v>
      </c>
      <c r="I1293" s="1">
        <v>8</v>
      </c>
      <c r="J1293" s="1" t="s">
        <v>237</v>
      </c>
      <c r="K1293" s="1" t="s">
        <v>3256</v>
      </c>
      <c r="L1293" s="1" t="s">
        <v>3257</v>
      </c>
      <c r="M1293" s="1">
        <v>9</v>
      </c>
      <c r="N1293" s="1" t="s">
        <v>39</v>
      </c>
      <c r="O1293" s="1">
        <v>42.837800000000001</v>
      </c>
      <c r="P1293" s="1">
        <v>-105.7769</v>
      </c>
      <c r="Q1293" s="1" t="s">
        <v>3258</v>
      </c>
      <c r="R1293" s="1" t="s">
        <v>41</v>
      </c>
      <c r="S1293" s="1" t="s">
        <v>211</v>
      </c>
      <c r="T1293" s="1" t="s">
        <v>89</v>
      </c>
      <c r="U1293" s="1" t="s">
        <v>55</v>
      </c>
      <c r="Y1293" s="1" t="s">
        <v>58</v>
      </c>
      <c r="Z1293" s="1" t="s">
        <v>214</v>
      </c>
      <c r="AA1293" s="3">
        <v>21497</v>
      </c>
      <c r="AB1293" s="1" t="s">
        <v>46</v>
      </c>
      <c r="AC1293" s="5">
        <v>1674</v>
      </c>
      <c r="AD1293" s="1" t="s">
        <v>3259</v>
      </c>
      <c r="AE1293" s="1" t="str">
        <f t="shared" si="101"/>
        <v>4158 BW41</v>
      </c>
      <c r="AF1293" s="5" t="str">
        <f t="shared" si="102"/>
        <v>106</v>
      </c>
      <c r="AG1293" s="1" t="str">
        <f t="shared" si="100"/>
        <v/>
      </c>
    </row>
    <row r="1294" spans="1:33" x14ac:dyDescent="0.2">
      <c r="A1294" s="1" t="s">
        <v>3253</v>
      </c>
      <c r="B1294" s="1" t="s">
        <v>3254</v>
      </c>
      <c r="C1294" s="1">
        <v>4158</v>
      </c>
      <c r="D1294" s="1" t="s">
        <v>3260</v>
      </c>
      <c r="F1294" s="1">
        <v>2023</v>
      </c>
      <c r="G1294" s="1" t="s">
        <v>236</v>
      </c>
      <c r="H1294" s="1">
        <v>608875</v>
      </c>
      <c r="I1294" s="1">
        <v>8</v>
      </c>
      <c r="J1294" s="1" t="s">
        <v>237</v>
      </c>
      <c r="K1294" s="1" t="s">
        <v>3256</v>
      </c>
      <c r="L1294" s="1" t="s">
        <v>3257</v>
      </c>
      <c r="M1294" s="1">
        <v>9</v>
      </c>
      <c r="N1294" s="1" t="s">
        <v>39</v>
      </c>
      <c r="O1294" s="1">
        <v>42.837800000000001</v>
      </c>
      <c r="P1294" s="1">
        <v>-105.7769</v>
      </c>
      <c r="Q1294" s="1" t="s">
        <v>3258</v>
      </c>
      <c r="R1294" s="1" t="s">
        <v>41</v>
      </c>
      <c r="S1294" s="1" t="s">
        <v>211</v>
      </c>
      <c r="T1294" s="1" t="s">
        <v>89</v>
      </c>
      <c r="U1294" s="1" t="s">
        <v>55</v>
      </c>
      <c r="Y1294" s="1" t="s">
        <v>58</v>
      </c>
      <c r="Z1294" s="1" t="s">
        <v>214</v>
      </c>
      <c r="AA1294" s="3">
        <v>22190</v>
      </c>
      <c r="AB1294" s="1" t="s">
        <v>46</v>
      </c>
      <c r="AC1294" s="5">
        <v>1672</v>
      </c>
      <c r="AD1294" s="1" t="s">
        <v>3261</v>
      </c>
      <c r="AE1294" s="1" t="str">
        <f t="shared" si="101"/>
        <v>4158 BW42</v>
      </c>
      <c r="AF1294" s="5" t="str">
        <f t="shared" si="102"/>
        <v>106</v>
      </c>
      <c r="AG1294" s="1" t="str">
        <f t="shared" si="100"/>
        <v/>
      </c>
    </row>
    <row r="1295" spans="1:33" x14ac:dyDescent="0.2">
      <c r="A1295" s="1" t="s">
        <v>3253</v>
      </c>
      <c r="B1295" s="1" t="s">
        <v>3254</v>
      </c>
      <c r="C1295" s="1">
        <v>4158</v>
      </c>
      <c r="D1295" s="1" t="s">
        <v>3262</v>
      </c>
      <c r="F1295" s="1">
        <v>2023</v>
      </c>
      <c r="G1295" s="1" t="s">
        <v>236</v>
      </c>
      <c r="H1295" s="1">
        <v>608875</v>
      </c>
      <c r="I1295" s="1">
        <v>8</v>
      </c>
      <c r="J1295" s="1" t="s">
        <v>237</v>
      </c>
      <c r="K1295" s="1" t="s">
        <v>3256</v>
      </c>
      <c r="L1295" s="1" t="s">
        <v>3257</v>
      </c>
      <c r="M1295" s="1">
        <v>9</v>
      </c>
      <c r="N1295" s="1" t="s">
        <v>39</v>
      </c>
      <c r="O1295" s="1">
        <v>42.837800000000001</v>
      </c>
      <c r="P1295" s="1">
        <v>-105.7769</v>
      </c>
      <c r="Q1295" s="1" t="s">
        <v>3258</v>
      </c>
      <c r="R1295" s="1" t="s">
        <v>41</v>
      </c>
      <c r="S1295" s="1" t="s">
        <v>85</v>
      </c>
      <c r="T1295" s="1" t="s">
        <v>89</v>
      </c>
      <c r="U1295" s="1" t="s">
        <v>55</v>
      </c>
      <c r="W1295" s="1" t="s">
        <v>212</v>
      </c>
      <c r="X1295" s="1" t="s">
        <v>289</v>
      </c>
      <c r="Y1295" s="1" t="s">
        <v>232</v>
      </c>
      <c r="Z1295" s="1" t="s">
        <v>1109</v>
      </c>
      <c r="AA1295" s="3">
        <v>23632</v>
      </c>
      <c r="AB1295" s="1" t="s">
        <v>46</v>
      </c>
      <c r="AC1295" s="5">
        <v>3349</v>
      </c>
      <c r="AD1295" s="1" t="s">
        <v>3263</v>
      </c>
      <c r="AE1295" s="1" t="str">
        <f t="shared" si="101"/>
        <v>4158 BW43</v>
      </c>
      <c r="AF1295" s="5" t="str">
        <f t="shared" si="102"/>
        <v>220</v>
      </c>
      <c r="AG1295" s="1" t="str">
        <f t="shared" si="100"/>
        <v/>
      </c>
    </row>
    <row r="1296" spans="1:33" x14ac:dyDescent="0.2">
      <c r="A1296" s="1" t="s">
        <v>3253</v>
      </c>
      <c r="B1296" s="1" t="s">
        <v>3254</v>
      </c>
      <c r="C1296" s="1">
        <v>4158</v>
      </c>
      <c r="D1296" s="1" t="s">
        <v>3264</v>
      </c>
      <c r="F1296" s="1">
        <v>2023</v>
      </c>
      <c r="G1296" s="1" t="s">
        <v>236</v>
      </c>
      <c r="H1296" s="1">
        <v>608875</v>
      </c>
      <c r="I1296" s="1">
        <v>8</v>
      </c>
      <c r="J1296" s="1" t="s">
        <v>237</v>
      </c>
      <c r="K1296" s="1" t="s">
        <v>3256</v>
      </c>
      <c r="L1296" s="1" t="s">
        <v>3257</v>
      </c>
      <c r="M1296" s="1">
        <v>9</v>
      </c>
      <c r="N1296" s="1" t="s">
        <v>39</v>
      </c>
      <c r="O1296" s="1">
        <v>42.837800000000001</v>
      </c>
      <c r="P1296" s="1">
        <v>-105.7769</v>
      </c>
      <c r="Q1296" s="1" t="s">
        <v>3258</v>
      </c>
      <c r="R1296" s="1" t="s">
        <v>41</v>
      </c>
      <c r="S1296" s="1" t="s">
        <v>42</v>
      </c>
      <c r="T1296" s="1" t="s">
        <v>43</v>
      </c>
      <c r="U1296" s="1" t="s">
        <v>55</v>
      </c>
      <c r="W1296" s="1" t="s">
        <v>212</v>
      </c>
      <c r="X1296" s="1" t="s">
        <v>242</v>
      </c>
      <c r="Y1296" s="1" t="s">
        <v>232</v>
      </c>
      <c r="Z1296" s="1" t="s">
        <v>1109</v>
      </c>
      <c r="AA1296" s="3">
        <v>26299</v>
      </c>
      <c r="AB1296" s="1" t="s">
        <v>46</v>
      </c>
      <c r="AC1296" s="5">
        <v>4700</v>
      </c>
      <c r="AD1296" s="1" t="s">
        <v>3265</v>
      </c>
      <c r="AE1296" s="1" t="str">
        <f t="shared" si="101"/>
        <v>4158 BW44</v>
      </c>
      <c r="AF1296" s="5" t="str">
        <f t="shared" si="102"/>
        <v>330</v>
      </c>
      <c r="AG1296" s="1" t="str">
        <f t="shared" si="100"/>
        <v/>
      </c>
    </row>
    <row r="1297" spans="1:33" x14ac:dyDescent="0.2">
      <c r="A1297" s="1" t="s">
        <v>3253</v>
      </c>
      <c r="B1297" s="1" t="s">
        <v>3266</v>
      </c>
      <c r="C1297" s="1">
        <v>4162</v>
      </c>
      <c r="D1297" s="1">
        <v>1</v>
      </c>
      <c r="F1297" s="1">
        <v>2023</v>
      </c>
      <c r="G1297" s="1" t="s">
        <v>236</v>
      </c>
      <c r="H1297" s="1">
        <v>608875</v>
      </c>
      <c r="I1297" s="1">
        <v>8</v>
      </c>
      <c r="J1297" s="1" t="s">
        <v>237</v>
      </c>
      <c r="K1297" s="1" t="s">
        <v>3267</v>
      </c>
      <c r="L1297" s="1" t="s">
        <v>3268</v>
      </c>
      <c r="M1297" s="1">
        <v>23</v>
      </c>
      <c r="N1297" s="1" t="s">
        <v>39</v>
      </c>
      <c r="O1297" s="1">
        <v>41.757199999999997</v>
      </c>
      <c r="P1297" s="1">
        <v>-110.5986</v>
      </c>
      <c r="Q1297" s="1" t="s">
        <v>3258</v>
      </c>
      <c r="R1297" s="1" t="s">
        <v>41</v>
      </c>
      <c r="S1297" s="1" t="s">
        <v>42</v>
      </c>
      <c r="T1297" s="1" t="s">
        <v>43</v>
      </c>
      <c r="U1297" s="1" t="s">
        <v>55</v>
      </c>
      <c r="V1297" s="1" t="s">
        <v>44</v>
      </c>
      <c r="W1297" s="1" t="s">
        <v>1151</v>
      </c>
      <c r="X1297" s="1" t="s">
        <v>242</v>
      </c>
      <c r="Y1297" s="1" t="s">
        <v>58</v>
      </c>
      <c r="Z1297" s="1" t="s">
        <v>937</v>
      </c>
      <c r="AA1297" s="3">
        <v>23146</v>
      </c>
      <c r="AB1297" s="1" t="s">
        <v>46</v>
      </c>
      <c r="AC1297" s="5">
        <v>2958</v>
      </c>
      <c r="AD1297" s="1" t="s">
        <v>3269</v>
      </c>
      <c r="AE1297" s="1" t="str">
        <f t="shared" si="101"/>
        <v>4162 1</v>
      </c>
      <c r="AF1297" s="5" t="str">
        <f t="shared" si="102"/>
        <v>160</v>
      </c>
      <c r="AG1297" s="1" t="str">
        <f t="shared" si="100"/>
        <v/>
      </c>
    </row>
    <row r="1298" spans="1:33" x14ac:dyDescent="0.2">
      <c r="A1298" s="1" t="s">
        <v>3253</v>
      </c>
      <c r="B1298" s="1" t="s">
        <v>3266</v>
      </c>
      <c r="C1298" s="1">
        <v>4162</v>
      </c>
      <c r="D1298" s="1">
        <v>2</v>
      </c>
      <c r="F1298" s="1">
        <v>2023</v>
      </c>
      <c r="G1298" s="1" t="s">
        <v>236</v>
      </c>
      <c r="H1298" s="1">
        <v>608875</v>
      </c>
      <c r="I1298" s="1">
        <v>8</v>
      </c>
      <c r="J1298" s="1" t="s">
        <v>237</v>
      </c>
      <c r="K1298" s="1" t="s">
        <v>3267</v>
      </c>
      <c r="L1298" s="1" t="s">
        <v>3268</v>
      </c>
      <c r="M1298" s="1">
        <v>23</v>
      </c>
      <c r="N1298" s="1" t="s">
        <v>39</v>
      </c>
      <c r="O1298" s="1">
        <v>41.757199999999997</v>
      </c>
      <c r="P1298" s="1">
        <v>-110.5986</v>
      </c>
      <c r="Q1298" s="1" t="s">
        <v>3258</v>
      </c>
      <c r="R1298" s="1" t="s">
        <v>41</v>
      </c>
      <c r="S1298" s="1" t="s">
        <v>42</v>
      </c>
      <c r="T1298" s="1" t="s">
        <v>43</v>
      </c>
      <c r="U1298" s="1" t="s">
        <v>55</v>
      </c>
      <c r="V1298" s="1" t="s">
        <v>44</v>
      </c>
      <c r="W1298" s="1" t="s">
        <v>1151</v>
      </c>
      <c r="X1298" s="1" t="s">
        <v>242</v>
      </c>
      <c r="Y1298" s="1" t="s">
        <v>58</v>
      </c>
      <c r="Z1298" s="1" t="s">
        <v>937</v>
      </c>
      <c r="AA1298" s="3">
        <v>25126</v>
      </c>
      <c r="AB1298" s="1" t="s">
        <v>46</v>
      </c>
      <c r="AC1298" s="5">
        <v>2852</v>
      </c>
      <c r="AD1298" s="1" t="s">
        <v>3270</v>
      </c>
      <c r="AE1298" s="1" t="str">
        <f t="shared" si="101"/>
        <v>4162 2</v>
      </c>
      <c r="AF1298" s="5" t="str">
        <f t="shared" si="102"/>
        <v>210</v>
      </c>
      <c r="AG1298" s="1" t="str">
        <f t="shared" si="100"/>
        <v/>
      </c>
    </row>
    <row r="1299" spans="1:33" x14ac:dyDescent="0.2">
      <c r="A1299" s="1" t="s">
        <v>3253</v>
      </c>
      <c r="B1299" s="1" t="s">
        <v>3266</v>
      </c>
      <c r="C1299" s="1">
        <v>4162</v>
      </c>
      <c r="D1299" s="1">
        <v>3</v>
      </c>
      <c r="F1299" s="1">
        <v>2023</v>
      </c>
      <c r="G1299" s="1" t="s">
        <v>247</v>
      </c>
      <c r="H1299" s="1">
        <v>608875</v>
      </c>
      <c r="I1299" s="1">
        <v>8</v>
      </c>
      <c r="J1299" s="1" t="s">
        <v>237</v>
      </c>
      <c r="K1299" s="1" t="s">
        <v>3267</v>
      </c>
      <c r="L1299" s="1" t="s">
        <v>3268</v>
      </c>
      <c r="M1299" s="1">
        <v>23</v>
      </c>
      <c r="N1299" s="1" t="s">
        <v>39</v>
      </c>
      <c r="O1299" s="1">
        <v>41.757199999999997</v>
      </c>
      <c r="P1299" s="1">
        <v>-110.5986</v>
      </c>
      <c r="Q1299" s="1" t="s">
        <v>3258</v>
      </c>
      <c r="R1299" s="1" t="s">
        <v>41</v>
      </c>
      <c r="S1299" s="1" t="s">
        <v>42</v>
      </c>
      <c r="T1299" s="1" t="s">
        <v>43</v>
      </c>
      <c r="U1299" s="1" t="s">
        <v>44</v>
      </c>
      <c r="X1299" s="1" t="s">
        <v>242</v>
      </c>
      <c r="AA1299" s="3">
        <v>26207</v>
      </c>
      <c r="AB1299" s="1" t="s">
        <v>46</v>
      </c>
      <c r="AC1299" s="5">
        <v>3250</v>
      </c>
      <c r="AD1299" s="1" t="s">
        <v>1603</v>
      </c>
      <c r="AE1299" s="1" t="str">
        <f t="shared" si="101"/>
        <v>4162 3</v>
      </c>
      <c r="AF1299" s="5" t="str">
        <f t="shared" si="102"/>
        <v>330</v>
      </c>
      <c r="AG1299" s="1" t="str">
        <f t="shared" si="100"/>
        <v/>
      </c>
    </row>
    <row r="1300" spans="1:33" x14ac:dyDescent="0.2">
      <c r="A1300" s="1" t="s">
        <v>383</v>
      </c>
      <c r="B1300" s="1" t="s">
        <v>3271</v>
      </c>
      <c r="C1300" s="1">
        <v>4195</v>
      </c>
      <c r="D1300" s="1">
        <v>2</v>
      </c>
      <c r="F1300" s="1">
        <v>2023</v>
      </c>
      <c r="G1300" s="1" t="s">
        <v>346</v>
      </c>
      <c r="H1300" s="1">
        <v>606736</v>
      </c>
      <c r="I1300" s="1">
        <v>6</v>
      </c>
      <c r="K1300" s="1" t="s">
        <v>3272</v>
      </c>
      <c r="L1300" s="1" t="s">
        <v>3273</v>
      </c>
      <c r="M1300" s="1">
        <v>231</v>
      </c>
      <c r="N1300" s="1" t="s">
        <v>39</v>
      </c>
      <c r="O1300" s="1">
        <v>33.170699999999997</v>
      </c>
      <c r="P1300" s="1">
        <v>-96.126400000000004</v>
      </c>
      <c r="Q1300" s="1" t="s">
        <v>3274</v>
      </c>
      <c r="R1300" s="1" t="s">
        <v>41</v>
      </c>
      <c r="T1300" s="1" t="s">
        <v>89</v>
      </c>
      <c r="U1300" s="1" t="s">
        <v>44</v>
      </c>
      <c r="V1300" s="1" t="s">
        <v>94</v>
      </c>
      <c r="AA1300" s="3">
        <v>25204</v>
      </c>
      <c r="AB1300" s="1" t="s">
        <v>46</v>
      </c>
      <c r="AC1300" s="5">
        <v>324</v>
      </c>
      <c r="AD1300" s="1" t="s">
        <v>3275</v>
      </c>
      <c r="AE1300" s="1" t="str">
        <f t="shared" si="101"/>
        <v>4195 2</v>
      </c>
      <c r="AF1300" s="5" t="str">
        <f t="shared" si="102"/>
        <v>25</v>
      </c>
      <c r="AG1300" s="1" t="str">
        <f t="shared" si="100"/>
        <v/>
      </c>
    </row>
    <row r="1301" spans="1:33" x14ac:dyDescent="0.2">
      <c r="A1301" s="1" t="s">
        <v>383</v>
      </c>
      <c r="B1301" s="1" t="s">
        <v>3271</v>
      </c>
      <c r="C1301" s="1">
        <v>4195</v>
      </c>
      <c r="D1301" s="1">
        <v>3</v>
      </c>
      <c r="F1301" s="1">
        <v>2023</v>
      </c>
      <c r="G1301" s="1" t="s">
        <v>346</v>
      </c>
      <c r="H1301" s="1">
        <v>606736</v>
      </c>
      <c r="I1301" s="1">
        <v>6</v>
      </c>
      <c r="K1301" s="1" t="s">
        <v>3272</v>
      </c>
      <c r="L1301" s="1" t="s">
        <v>3273</v>
      </c>
      <c r="M1301" s="1">
        <v>231</v>
      </c>
      <c r="N1301" s="1" t="s">
        <v>39</v>
      </c>
      <c r="O1301" s="1">
        <v>33.170699999999997</v>
      </c>
      <c r="P1301" s="1">
        <v>-96.126400000000004</v>
      </c>
      <c r="Q1301" s="1" t="s">
        <v>3274</v>
      </c>
      <c r="R1301" s="1" t="s">
        <v>41</v>
      </c>
      <c r="T1301" s="1" t="s">
        <v>89</v>
      </c>
      <c r="U1301" s="1" t="s">
        <v>44</v>
      </c>
      <c r="V1301" s="1" t="s">
        <v>94</v>
      </c>
      <c r="AA1301" s="3">
        <v>28246</v>
      </c>
      <c r="AB1301" s="1" t="s">
        <v>46</v>
      </c>
      <c r="AC1301" s="5">
        <v>493</v>
      </c>
      <c r="AD1301" s="1" t="s">
        <v>3276</v>
      </c>
      <c r="AE1301" s="1" t="str">
        <f t="shared" si="101"/>
        <v>4195 3</v>
      </c>
      <c r="AF1301" s="5" t="str">
        <f t="shared" si="102"/>
        <v>43.2</v>
      </c>
      <c r="AG1301" s="1" t="str">
        <f t="shared" si="100"/>
        <v/>
      </c>
    </row>
    <row r="1302" spans="1:33" x14ac:dyDescent="0.2">
      <c r="A1302" s="1" t="s">
        <v>383</v>
      </c>
      <c r="B1302" s="1" t="s">
        <v>3277</v>
      </c>
      <c r="C1302" s="1">
        <v>4266</v>
      </c>
      <c r="D1302" s="1">
        <v>4</v>
      </c>
      <c r="F1302" s="1">
        <v>2023</v>
      </c>
      <c r="G1302" s="1" t="s">
        <v>346</v>
      </c>
      <c r="H1302" s="1">
        <v>604841</v>
      </c>
      <c r="I1302" s="1">
        <v>6</v>
      </c>
      <c r="J1302" s="1" t="s">
        <v>387</v>
      </c>
      <c r="K1302" s="1" t="s">
        <v>3278</v>
      </c>
      <c r="L1302" s="1" t="s">
        <v>3279</v>
      </c>
      <c r="M1302" s="1">
        <v>121</v>
      </c>
      <c r="N1302" s="1" t="s">
        <v>39</v>
      </c>
      <c r="O1302" s="1">
        <v>33.197800000000001</v>
      </c>
      <c r="P1302" s="1">
        <v>-97.106700000000004</v>
      </c>
      <c r="Q1302" s="1" t="s">
        <v>3018</v>
      </c>
      <c r="R1302" s="1" t="s">
        <v>41</v>
      </c>
      <c r="T1302" s="1" t="s">
        <v>89</v>
      </c>
      <c r="U1302" s="1" t="s">
        <v>44</v>
      </c>
      <c r="X1302" s="1" t="s">
        <v>90</v>
      </c>
      <c r="AA1302" s="3">
        <v>24198</v>
      </c>
      <c r="AB1302" s="1" t="s">
        <v>46</v>
      </c>
      <c r="AC1302" s="5">
        <v>800</v>
      </c>
      <c r="AD1302" s="1" t="s">
        <v>3280</v>
      </c>
      <c r="AE1302" s="1" t="str">
        <f t="shared" si="101"/>
        <v>4266 4</v>
      </c>
      <c r="AF1302" s="5" t="str">
        <f t="shared" si="102"/>
        <v>61</v>
      </c>
      <c r="AG1302" s="1" t="str">
        <f t="shared" si="100"/>
        <v/>
      </c>
    </row>
    <row r="1303" spans="1:33" x14ac:dyDescent="0.2">
      <c r="A1303" s="1" t="s">
        <v>383</v>
      </c>
      <c r="B1303" s="1" t="s">
        <v>3277</v>
      </c>
      <c r="C1303" s="1">
        <v>4266</v>
      </c>
      <c r="D1303" s="1">
        <v>5</v>
      </c>
      <c r="F1303" s="1">
        <v>2023</v>
      </c>
      <c r="G1303" s="1" t="s">
        <v>346</v>
      </c>
      <c r="H1303" s="1">
        <v>604841</v>
      </c>
      <c r="I1303" s="1">
        <v>6</v>
      </c>
      <c r="J1303" s="1" t="s">
        <v>387</v>
      </c>
      <c r="K1303" s="1" t="s">
        <v>3278</v>
      </c>
      <c r="L1303" s="1" t="s">
        <v>3279</v>
      </c>
      <c r="M1303" s="1">
        <v>121</v>
      </c>
      <c r="N1303" s="1" t="s">
        <v>39</v>
      </c>
      <c r="O1303" s="1">
        <v>33.197800000000001</v>
      </c>
      <c r="P1303" s="1">
        <v>-97.106700000000004</v>
      </c>
      <c r="Q1303" s="1" t="s">
        <v>3018</v>
      </c>
      <c r="R1303" s="1" t="s">
        <v>41</v>
      </c>
      <c r="T1303" s="1" t="s">
        <v>89</v>
      </c>
      <c r="U1303" s="1" t="s">
        <v>44</v>
      </c>
      <c r="X1303" s="1" t="s">
        <v>90</v>
      </c>
      <c r="AA1303" s="3">
        <v>26696</v>
      </c>
      <c r="AB1303" s="1" t="s">
        <v>46</v>
      </c>
      <c r="AC1303" s="5">
        <v>800</v>
      </c>
      <c r="AD1303" s="1" t="s">
        <v>1566</v>
      </c>
      <c r="AE1303" s="1" t="str">
        <f t="shared" si="101"/>
        <v>4266 5</v>
      </c>
      <c r="AF1303" s="5" t="str">
        <f t="shared" si="102"/>
        <v>65</v>
      </c>
      <c r="AG1303" s="1" t="str">
        <f t="shared" si="100"/>
        <v/>
      </c>
    </row>
    <row r="1304" spans="1:33" x14ac:dyDescent="0.2">
      <c r="A1304" s="1" t="s">
        <v>3167</v>
      </c>
      <c r="B1304" s="1" t="s">
        <v>3281</v>
      </c>
      <c r="C1304" s="1">
        <v>4271</v>
      </c>
      <c r="D1304" s="1" t="s">
        <v>866</v>
      </c>
      <c r="F1304" s="1">
        <v>2023</v>
      </c>
      <c r="G1304" s="1" t="s">
        <v>1005</v>
      </c>
      <c r="H1304" s="1">
        <v>606455</v>
      </c>
      <c r="I1304" s="1">
        <v>5</v>
      </c>
      <c r="J1304" s="1" t="s">
        <v>207</v>
      </c>
      <c r="K1304" s="1" t="s">
        <v>3282</v>
      </c>
      <c r="L1304" s="1" t="s">
        <v>3283</v>
      </c>
      <c r="M1304" s="1">
        <v>11</v>
      </c>
      <c r="N1304" s="1" t="s">
        <v>39</v>
      </c>
      <c r="O1304" s="1">
        <v>44.302599999999998</v>
      </c>
      <c r="P1304" s="1">
        <v>-91.912599999999998</v>
      </c>
      <c r="Q1304" s="1" t="s">
        <v>3284</v>
      </c>
      <c r="R1304" s="1" t="s">
        <v>41</v>
      </c>
      <c r="S1304" s="1" t="s">
        <v>121</v>
      </c>
      <c r="T1304" s="1" t="s">
        <v>319</v>
      </c>
      <c r="U1304" s="1" t="s">
        <v>55</v>
      </c>
      <c r="W1304" s="1" t="s">
        <v>1009</v>
      </c>
      <c r="X1304" s="1" t="s">
        <v>639</v>
      </c>
      <c r="Y1304" s="1" t="s">
        <v>123</v>
      </c>
      <c r="Z1304" s="1" t="s">
        <v>214</v>
      </c>
      <c r="AA1304" s="3">
        <v>29184</v>
      </c>
      <c r="AB1304" s="1" t="s">
        <v>46</v>
      </c>
      <c r="AC1304" s="5">
        <v>4983.2</v>
      </c>
      <c r="AD1304" s="1" t="s">
        <v>233</v>
      </c>
      <c r="AE1304" s="1" t="str">
        <f t="shared" si="101"/>
        <v>4271 B1</v>
      </c>
      <c r="AF1304" s="5" t="str">
        <f t="shared" si="102"/>
        <v>387</v>
      </c>
      <c r="AG1304" s="1" t="str">
        <f t="shared" si="100"/>
        <v>Y</v>
      </c>
    </row>
    <row r="1305" spans="1:33" x14ac:dyDescent="0.2">
      <c r="A1305" s="1" t="s">
        <v>383</v>
      </c>
      <c r="B1305" s="1" t="s">
        <v>3285</v>
      </c>
      <c r="C1305" s="1">
        <v>4937</v>
      </c>
      <c r="D1305" s="1" t="s">
        <v>1296</v>
      </c>
      <c r="F1305" s="1">
        <v>2023</v>
      </c>
      <c r="G1305" s="1" t="s">
        <v>346</v>
      </c>
      <c r="H1305" s="1">
        <v>605940</v>
      </c>
      <c r="I1305" s="1">
        <v>6</v>
      </c>
      <c r="J1305" s="1" t="s">
        <v>387</v>
      </c>
      <c r="K1305" s="1" t="s">
        <v>3286</v>
      </c>
      <c r="L1305" s="1" t="s">
        <v>3287</v>
      </c>
      <c r="M1305" s="1">
        <v>299</v>
      </c>
      <c r="N1305" s="1" t="s">
        <v>39</v>
      </c>
      <c r="O1305" s="1">
        <v>30.558</v>
      </c>
      <c r="P1305" s="1">
        <v>-98.370500000000007</v>
      </c>
      <c r="Q1305" s="1" t="s">
        <v>3028</v>
      </c>
      <c r="R1305" s="1" t="s">
        <v>41</v>
      </c>
      <c r="T1305" s="1" t="s">
        <v>71</v>
      </c>
      <c r="U1305" s="1" t="s">
        <v>44</v>
      </c>
      <c r="X1305" s="1" t="s">
        <v>442</v>
      </c>
      <c r="AA1305" s="3">
        <v>41727</v>
      </c>
      <c r="AB1305" s="1" t="s">
        <v>46</v>
      </c>
      <c r="AC1305" s="5">
        <v>2320</v>
      </c>
      <c r="AD1305" s="1" t="s">
        <v>3288</v>
      </c>
      <c r="AE1305" s="1" t="str">
        <f t="shared" si="101"/>
        <v>4937 CT-1</v>
      </c>
      <c r="AF1305" s="14">
        <f>AF1306</f>
        <v>287.3</v>
      </c>
      <c r="AG1305" s="1" t="str">
        <f t="shared" si="100"/>
        <v>Y</v>
      </c>
    </row>
    <row r="1306" spans="1:33" x14ac:dyDescent="0.2">
      <c r="A1306" s="1" t="s">
        <v>383</v>
      </c>
      <c r="B1306" s="1" t="s">
        <v>3285</v>
      </c>
      <c r="C1306" s="1">
        <v>4937</v>
      </c>
      <c r="D1306" s="1" t="s">
        <v>1300</v>
      </c>
      <c r="F1306" s="1">
        <v>2023</v>
      </c>
      <c r="G1306" s="1" t="s">
        <v>346</v>
      </c>
      <c r="H1306" s="1">
        <v>605940</v>
      </c>
      <c r="I1306" s="1">
        <v>6</v>
      </c>
      <c r="J1306" s="1" t="s">
        <v>387</v>
      </c>
      <c r="K1306" s="1" t="s">
        <v>3286</v>
      </c>
      <c r="L1306" s="1" t="s">
        <v>3287</v>
      </c>
      <c r="M1306" s="1">
        <v>299</v>
      </c>
      <c r="N1306" s="1" t="s">
        <v>39</v>
      </c>
      <c r="O1306" s="1">
        <v>30.558</v>
      </c>
      <c r="P1306" s="1">
        <v>-98.370500000000007</v>
      </c>
      <c r="Q1306" s="1" t="s">
        <v>3028</v>
      </c>
      <c r="R1306" s="1" t="s">
        <v>41</v>
      </c>
      <c r="T1306" s="1" t="s">
        <v>71</v>
      </c>
      <c r="U1306" s="1" t="s">
        <v>44</v>
      </c>
      <c r="X1306" s="1" t="s">
        <v>442</v>
      </c>
      <c r="AA1306" s="3">
        <v>41714</v>
      </c>
      <c r="AB1306" s="1" t="s">
        <v>46</v>
      </c>
      <c r="AC1306" s="5">
        <v>2000</v>
      </c>
      <c r="AD1306" s="1" t="s">
        <v>3289</v>
      </c>
      <c r="AE1306" s="1" t="str">
        <f t="shared" si="101"/>
        <v>4937 CT-2</v>
      </c>
      <c r="AF1306" s="14">
        <f>MID(AD1306,FIND("(",AD1306)+1,FIND(")",AD1306)-FIND("(",AD1306)-1)+204/2</f>
        <v>287.3</v>
      </c>
      <c r="AG1306" s="1" t="str">
        <f t="shared" si="100"/>
        <v>Y</v>
      </c>
    </row>
    <row r="1307" spans="1:33" x14ac:dyDescent="0.2">
      <c r="A1307" s="1" t="s">
        <v>383</v>
      </c>
      <c r="B1307" s="1" t="s">
        <v>3290</v>
      </c>
      <c r="C1307" s="1">
        <v>4939</v>
      </c>
      <c r="D1307" s="1">
        <v>1</v>
      </c>
      <c r="F1307" s="1">
        <v>2023</v>
      </c>
      <c r="G1307" s="1" t="s">
        <v>346</v>
      </c>
      <c r="H1307" s="1">
        <v>606332</v>
      </c>
      <c r="I1307" s="1">
        <v>6</v>
      </c>
      <c r="J1307" s="1" t="s">
        <v>387</v>
      </c>
      <c r="K1307" s="1" t="s">
        <v>2874</v>
      </c>
      <c r="L1307" s="1" t="s">
        <v>2875</v>
      </c>
      <c r="M1307" s="1">
        <v>355</v>
      </c>
      <c r="N1307" s="1" t="s">
        <v>39</v>
      </c>
      <c r="O1307" s="1">
        <v>27.6067</v>
      </c>
      <c r="P1307" s="1">
        <v>-97.311899999999994</v>
      </c>
      <c r="Q1307" s="1" t="s">
        <v>3291</v>
      </c>
      <c r="R1307" s="1" t="s">
        <v>41</v>
      </c>
      <c r="T1307" s="1" t="s">
        <v>43</v>
      </c>
      <c r="U1307" s="1" t="s">
        <v>44</v>
      </c>
      <c r="AA1307" s="3">
        <v>27210</v>
      </c>
      <c r="AB1307" s="1" t="s">
        <v>46</v>
      </c>
      <c r="AC1307" s="5">
        <v>3800</v>
      </c>
      <c r="AD1307" s="1" t="s">
        <v>3292</v>
      </c>
      <c r="AE1307" s="1" t="str">
        <f t="shared" si="101"/>
        <v>4939 1</v>
      </c>
      <c r="AF1307" s="5" t="str">
        <f>MID(AD1307,FIND("(",AD1307)+1,FIND(")",AD1307)-FIND("(",AD1307)-1)</f>
        <v>352</v>
      </c>
      <c r="AG1307" s="1" t="str">
        <f t="shared" si="100"/>
        <v/>
      </c>
    </row>
    <row r="1308" spans="1:33" x14ac:dyDescent="0.2">
      <c r="A1308" s="1" t="s">
        <v>383</v>
      </c>
      <c r="B1308" s="1" t="s">
        <v>3290</v>
      </c>
      <c r="C1308" s="1">
        <v>4939</v>
      </c>
      <c r="D1308" s="1">
        <v>3</v>
      </c>
      <c r="F1308" s="1">
        <v>2023</v>
      </c>
      <c r="G1308" s="1" t="s">
        <v>346</v>
      </c>
      <c r="H1308" s="1">
        <v>606332</v>
      </c>
      <c r="I1308" s="1">
        <v>6</v>
      </c>
      <c r="J1308" s="1" t="s">
        <v>387</v>
      </c>
      <c r="K1308" s="1" t="s">
        <v>2874</v>
      </c>
      <c r="L1308" s="1" t="s">
        <v>2875</v>
      </c>
      <c r="M1308" s="1">
        <v>355</v>
      </c>
      <c r="N1308" s="1" t="s">
        <v>39</v>
      </c>
      <c r="O1308" s="1">
        <v>27.6067</v>
      </c>
      <c r="P1308" s="1">
        <v>-97.311899999999994</v>
      </c>
      <c r="Q1308" s="1" t="s">
        <v>3291</v>
      </c>
      <c r="R1308" s="1" t="s">
        <v>41</v>
      </c>
      <c r="T1308" s="1" t="s">
        <v>71</v>
      </c>
      <c r="U1308" s="1" t="s">
        <v>44</v>
      </c>
      <c r="X1308" s="1" t="s">
        <v>223</v>
      </c>
      <c r="AA1308" s="3">
        <v>40108</v>
      </c>
      <c r="AB1308" s="1" t="s">
        <v>46</v>
      </c>
      <c r="AC1308" s="5">
        <v>2606</v>
      </c>
      <c r="AD1308" s="1" t="s">
        <v>3293</v>
      </c>
      <c r="AE1308" s="1" t="str">
        <f t="shared" si="101"/>
        <v>4939 3</v>
      </c>
      <c r="AF1308" s="14">
        <f>MID(AD1308,FIND("(",AD1308)+1,FIND(")",AD1308)-FIND("(",AD1308)-1)+351/2</f>
        <v>347.5</v>
      </c>
      <c r="AG1308" s="1" t="str">
        <f t="shared" si="100"/>
        <v>Y</v>
      </c>
    </row>
    <row r="1309" spans="1:33" x14ac:dyDescent="0.2">
      <c r="A1309" s="1" t="s">
        <v>383</v>
      </c>
      <c r="B1309" s="1" t="s">
        <v>3290</v>
      </c>
      <c r="C1309" s="1">
        <v>4939</v>
      </c>
      <c r="D1309" s="1">
        <v>4</v>
      </c>
      <c r="F1309" s="1">
        <v>2023</v>
      </c>
      <c r="G1309" s="1" t="s">
        <v>346</v>
      </c>
      <c r="H1309" s="1">
        <v>606332</v>
      </c>
      <c r="I1309" s="1">
        <v>6</v>
      </c>
      <c r="J1309" s="1" t="s">
        <v>387</v>
      </c>
      <c r="K1309" s="1" t="s">
        <v>2874</v>
      </c>
      <c r="L1309" s="1" t="s">
        <v>2875</v>
      </c>
      <c r="M1309" s="1">
        <v>355</v>
      </c>
      <c r="N1309" s="1" t="s">
        <v>39</v>
      </c>
      <c r="O1309" s="1">
        <v>27.6067</v>
      </c>
      <c r="P1309" s="1">
        <v>-97.311899999999994</v>
      </c>
      <c r="Q1309" s="1" t="s">
        <v>3291</v>
      </c>
      <c r="R1309" s="1" t="s">
        <v>41</v>
      </c>
      <c r="T1309" s="1" t="s">
        <v>71</v>
      </c>
      <c r="U1309" s="1" t="s">
        <v>44</v>
      </c>
      <c r="X1309" s="1" t="s">
        <v>223</v>
      </c>
      <c r="AA1309" s="3">
        <v>40121</v>
      </c>
      <c r="AB1309" s="1" t="s">
        <v>46</v>
      </c>
      <c r="AC1309" s="5">
        <v>4494.3</v>
      </c>
      <c r="AD1309" s="1" t="s">
        <v>3294</v>
      </c>
      <c r="AE1309" s="1" t="str">
        <f t="shared" si="101"/>
        <v>4939 4</v>
      </c>
      <c r="AF1309" s="14">
        <f>AF1308</f>
        <v>347.5</v>
      </c>
      <c r="AG1309" s="1" t="str">
        <f t="shared" si="100"/>
        <v>Y</v>
      </c>
    </row>
    <row r="1310" spans="1:33" x14ac:dyDescent="0.2">
      <c r="A1310" s="1" t="s">
        <v>335</v>
      </c>
      <c r="B1310" s="1" t="s">
        <v>3295</v>
      </c>
      <c r="C1310" s="1">
        <v>4940</v>
      </c>
      <c r="D1310" s="1">
        <v>1501</v>
      </c>
      <c r="F1310" s="1">
        <v>2023</v>
      </c>
      <c r="G1310" s="1" t="s">
        <v>346</v>
      </c>
      <c r="H1310" s="1" t="s">
        <v>1346</v>
      </c>
      <c r="I1310" s="1">
        <v>6</v>
      </c>
      <c r="J1310" s="1" t="s">
        <v>228</v>
      </c>
      <c r="K1310" s="1" t="s">
        <v>2565</v>
      </c>
      <c r="L1310" s="1" t="s">
        <v>2566</v>
      </c>
      <c r="M1310" s="1">
        <v>143</v>
      </c>
      <c r="N1310" s="1" t="s">
        <v>39</v>
      </c>
      <c r="O1310" s="1">
        <v>35.997799999999998</v>
      </c>
      <c r="P1310" s="1">
        <v>-95.956699999999998</v>
      </c>
      <c r="Q1310" s="1" t="s">
        <v>2545</v>
      </c>
      <c r="R1310" s="1" t="s">
        <v>41</v>
      </c>
      <c r="T1310" s="1" t="s">
        <v>89</v>
      </c>
      <c r="U1310" s="1" t="s">
        <v>44</v>
      </c>
      <c r="AA1310" s="3">
        <v>27210</v>
      </c>
      <c r="AB1310" s="1" t="s">
        <v>46</v>
      </c>
      <c r="AC1310" s="5">
        <v>4684</v>
      </c>
      <c r="AD1310" s="1" t="s">
        <v>3296</v>
      </c>
      <c r="AE1310" s="1" t="str">
        <f t="shared" si="101"/>
        <v>4940 1501</v>
      </c>
      <c r="AF1310" s="5" t="str">
        <f t="shared" ref="AF1310:AF1345" si="103">MID(AD1310,FIND("(",AD1310)+1,FIND(")",AD1310)-FIND("(",AD1310)-1)</f>
        <v>457</v>
      </c>
      <c r="AG1310" s="1" t="str">
        <f t="shared" si="100"/>
        <v/>
      </c>
    </row>
    <row r="1311" spans="1:33" x14ac:dyDescent="0.2">
      <c r="A1311" s="1" t="s">
        <v>335</v>
      </c>
      <c r="B1311" s="1" t="s">
        <v>3295</v>
      </c>
      <c r="C1311" s="1">
        <v>4940</v>
      </c>
      <c r="D1311" s="1">
        <v>1502</v>
      </c>
      <c r="F1311" s="1">
        <v>2023</v>
      </c>
      <c r="G1311" s="1" t="s">
        <v>346</v>
      </c>
      <c r="H1311" s="1" t="s">
        <v>1346</v>
      </c>
      <c r="I1311" s="1">
        <v>6</v>
      </c>
      <c r="J1311" s="1" t="s">
        <v>228</v>
      </c>
      <c r="K1311" s="1" t="s">
        <v>2565</v>
      </c>
      <c r="L1311" s="1" t="s">
        <v>2566</v>
      </c>
      <c r="M1311" s="1">
        <v>143</v>
      </c>
      <c r="N1311" s="1" t="s">
        <v>39</v>
      </c>
      <c r="O1311" s="1">
        <v>35.997799999999998</v>
      </c>
      <c r="P1311" s="1">
        <v>-95.956699999999998</v>
      </c>
      <c r="Q1311" s="1" t="s">
        <v>2545</v>
      </c>
      <c r="R1311" s="1" t="s">
        <v>41</v>
      </c>
      <c r="T1311" s="1" t="s">
        <v>89</v>
      </c>
      <c r="U1311" s="1" t="s">
        <v>44</v>
      </c>
      <c r="AA1311" s="3">
        <v>27941</v>
      </c>
      <c r="AB1311" s="1" t="s">
        <v>46</v>
      </c>
      <c r="AC1311" s="5">
        <v>4766</v>
      </c>
      <c r="AD1311" s="1" t="s">
        <v>3297</v>
      </c>
      <c r="AE1311" s="1" t="str">
        <f t="shared" si="101"/>
        <v>4940 1502</v>
      </c>
      <c r="AF1311" s="5" t="str">
        <f t="shared" si="103"/>
        <v>460</v>
      </c>
      <c r="AG1311" s="1" t="str">
        <f t="shared" si="100"/>
        <v/>
      </c>
    </row>
    <row r="1312" spans="1:33" x14ac:dyDescent="0.2">
      <c r="A1312" s="1" t="s">
        <v>335</v>
      </c>
      <c r="B1312" s="1" t="s">
        <v>3295</v>
      </c>
      <c r="C1312" s="1">
        <v>4940</v>
      </c>
      <c r="D1312" s="1">
        <v>1503</v>
      </c>
      <c r="F1312" s="1">
        <v>2023</v>
      </c>
      <c r="G1312" s="1" t="s">
        <v>346</v>
      </c>
      <c r="H1312" s="1" t="s">
        <v>1346</v>
      </c>
      <c r="I1312" s="1">
        <v>6</v>
      </c>
      <c r="J1312" s="1" t="s">
        <v>228</v>
      </c>
      <c r="K1312" s="1" t="s">
        <v>2565</v>
      </c>
      <c r="L1312" s="1" t="s">
        <v>2566</v>
      </c>
      <c r="M1312" s="1">
        <v>143</v>
      </c>
      <c r="N1312" s="1" t="s">
        <v>39</v>
      </c>
      <c r="O1312" s="1">
        <v>35.997799999999998</v>
      </c>
      <c r="P1312" s="1">
        <v>-95.956699999999998</v>
      </c>
      <c r="Q1312" s="1" t="s">
        <v>2545</v>
      </c>
      <c r="R1312" s="1" t="s">
        <v>41</v>
      </c>
      <c r="T1312" s="1" t="s">
        <v>93</v>
      </c>
      <c r="U1312" s="1" t="s">
        <v>44</v>
      </c>
      <c r="X1312" s="1" t="s">
        <v>1460</v>
      </c>
      <c r="AA1312" s="3">
        <v>39519</v>
      </c>
      <c r="AB1312" s="1" t="s">
        <v>46</v>
      </c>
      <c r="AC1312" s="5">
        <v>1150</v>
      </c>
      <c r="AD1312" s="1" t="s">
        <v>3298</v>
      </c>
      <c r="AE1312" s="1" t="str">
        <f t="shared" si="101"/>
        <v>4940 1503</v>
      </c>
      <c r="AF1312" s="5" t="str">
        <f t="shared" si="103"/>
        <v>89</v>
      </c>
      <c r="AG1312" s="1" t="str">
        <f t="shared" si="100"/>
        <v/>
      </c>
    </row>
    <row r="1313" spans="1:33" x14ac:dyDescent="0.2">
      <c r="A1313" s="1" t="s">
        <v>335</v>
      </c>
      <c r="B1313" s="1" t="s">
        <v>3295</v>
      </c>
      <c r="C1313" s="1">
        <v>4940</v>
      </c>
      <c r="D1313" s="1">
        <v>1504</v>
      </c>
      <c r="F1313" s="1">
        <v>2023</v>
      </c>
      <c r="G1313" s="1" t="s">
        <v>346</v>
      </c>
      <c r="H1313" s="1" t="s">
        <v>1346</v>
      </c>
      <c r="I1313" s="1">
        <v>6</v>
      </c>
      <c r="J1313" s="1" t="s">
        <v>228</v>
      </c>
      <c r="K1313" s="1" t="s">
        <v>2565</v>
      </c>
      <c r="L1313" s="1" t="s">
        <v>2566</v>
      </c>
      <c r="M1313" s="1">
        <v>143</v>
      </c>
      <c r="N1313" s="1" t="s">
        <v>39</v>
      </c>
      <c r="O1313" s="1">
        <v>35.997799999999998</v>
      </c>
      <c r="P1313" s="1">
        <v>-95.956699999999998</v>
      </c>
      <c r="Q1313" s="1" t="s">
        <v>2545</v>
      </c>
      <c r="R1313" s="1" t="s">
        <v>41</v>
      </c>
      <c r="T1313" s="1" t="s">
        <v>93</v>
      </c>
      <c r="U1313" s="1" t="s">
        <v>44</v>
      </c>
      <c r="X1313" s="1" t="s">
        <v>1460</v>
      </c>
      <c r="AA1313" s="3">
        <v>39506</v>
      </c>
      <c r="AB1313" s="1" t="s">
        <v>46</v>
      </c>
      <c r="AC1313" s="5">
        <v>1150</v>
      </c>
      <c r="AD1313" s="1" t="s">
        <v>2559</v>
      </c>
      <c r="AE1313" s="1" t="str">
        <f t="shared" si="101"/>
        <v>4940 1504</v>
      </c>
      <c r="AF1313" s="5" t="str">
        <f t="shared" si="103"/>
        <v>89</v>
      </c>
      <c r="AG1313" s="1" t="str">
        <f t="shared" si="100"/>
        <v/>
      </c>
    </row>
    <row r="1314" spans="1:33" x14ac:dyDescent="0.2">
      <c r="A1314" s="1" t="s">
        <v>1980</v>
      </c>
      <c r="B1314" s="1" t="s">
        <v>3299</v>
      </c>
      <c r="C1314" s="1">
        <v>5083</v>
      </c>
      <c r="D1314" s="1">
        <v>4001</v>
      </c>
      <c r="F1314" s="1">
        <v>2023</v>
      </c>
      <c r="G1314" s="1" t="s">
        <v>1528</v>
      </c>
      <c r="H1314" s="1">
        <v>1277</v>
      </c>
      <c r="I1314" s="1">
        <v>2</v>
      </c>
      <c r="K1314" s="1" t="s">
        <v>1158</v>
      </c>
      <c r="L1314" s="1" t="s">
        <v>1982</v>
      </c>
      <c r="M1314" s="1">
        <v>11</v>
      </c>
      <c r="N1314" s="1" t="s">
        <v>39</v>
      </c>
      <c r="O1314" s="1">
        <v>39.375700000000002</v>
      </c>
      <c r="P1314" s="1">
        <v>-74.965400000000002</v>
      </c>
      <c r="Q1314" s="1" t="s">
        <v>3300</v>
      </c>
      <c r="T1314" s="1" t="s">
        <v>93</v>
      </c>
      <c r="U1314" s="1" t="s">
        <v>44</v>
      </c>
      <c r="V1314" s="1" t="s">
        <v>94</v>
      </c>
      <c r="X1314" s="1" t="s">
        <v>95</v>
      </c>
      <c r="AA1314" s="3">
        <v>33024</v>
      </c>
      <c r="AB1314" s="1" t="s">
        <v>46</v>
      </c>
      <c r="AC1314" s="5">
        <v>1214</v>
      </c>
      <c r="AD1314" s="1" t="s">
        <v>3301</v>
      </c>
      <c r="AE1314" s="1" t="str">
        <f t="shared" si="101"/>
        <v>5083 4001</v>
      </c>
      <c r="AF1314" s="5" t="str">
        <f t="shared" si="103"/>
        <v>99.4</v>
      </c>
      <c r="AG1314" s="1" t="str">
        <f t="shared" si="100"/>
        <v/>
      </c>
    </row>
    <row r="1315" spans="1:33" x14ac:dyDescent="0.2">
      <c r="A1315" s="1" t="s">
        <v>1980</v>
      </c>
      <c r="B1315" s="1" t="s">
        <v>3299</v>
      </c>
      <c r="C1315" s="1">
        <v>5083</v>
      </c>
      <c r="D1315" s="1">
        <v>5001</v>
      </c>
      <c r="F1315" s="1">
        <v>2023</v>
      </c>
      <c r="G1315" s="1" t="s">
        <v>1515</v>
      </c>
      <c r="H1315" s="1">
        <v>1277</v>
      </c>
      <c r="I1315" s="1">
        <v>2</v>
      </c>
      <c r="K1315" s="1" t="s">
        <v>1158</v>
      </c>
      <c r="L1315" s="1" t="s">
        <v>1982</v>
      </c>
      <c r="M1315" s="1">
        <v>11</v>
      </c>
      <c r="N1315" s="1" t="s">
        <v>39</v>
      </c>
      <c r="O1315" s="1">
        <v>39.375700000000002</v>
      </c>
      <c r="P1315" s="1">
        <v>-74.965400000000002</v>
      </c>
      <c r="Q1315" s="1" t="s">
        <v>1983</v>
      </c>
      <c r="R1315" s="1" t="s">
        <v>41</v>
      </c>
      <c r="T1315" s="1" t="s">
        <v>93</v>
      </c>
      <c r="U1315" s="1" t="s">
        <v>44</v>
      </c>
      <c r="V1315" s="1" t="s">
        <v>94</v>
      </c>
      <c r="X1315" s="1" t="s">
        <v>176</v>
      </c>
      <c r="AA1315" s="3">
        <v>39940</v>
      </c>
      <c r="AB1315" s="1" t="s">
        <v>46</v>
      </c>
      <c r="AC1315" s="5">
        <v>1150</v>
      </c>
      <c r="AD1315" s="1" t="s">
        <v>3302</v>
      </c>
      <c r="AE1315" s="1" t="str">
        <f t="shared" si="101"/>
        <v>5083 5001</v>
      </c>
      <c r="AF1315" s="5" t="str">
        <f t="shared" si="103"/>
        <v>103</v>
      </c>
      <c r="AG1315" s="1" t="str">
        <f t="shared" si="100"/>
        <v>Y</v>
      </c>
    </row>
    <row r="1316" spans="1:33" x14ac:dyDescent="0.2">
      <c r="A1316" s="1" t="s">
        <v>32</v>
      </c>
      <c r="B1316" s="1" t="s">
        <v>3303</v>
      </c>
      <c r="C1316" s="1">
        <v>6002</v>
      </c>
      <c r="D1316" s="1">
        <v>1</v>
      </c>
      <c r="F1316" s="1">
        <v>2023</v>
      </c>
      <c r="G1316" s="1" t="s">
        <v>54</v>
      </c>
      <c r="H1316" s="1">
        <v>605449</v>
      </c>
      <c r="I1316" s="1">
        <v>4</v>
      </c>
      <c r="J1316" s="1" t="s">
        <v>36</v>
      </c>
      <c r="K1316" s="1" t="s">
        <v>1074</v>
      </c>
      <c r="L1316" s="1" t="s">
        <v>3304</v>
      </c>
      <c r="M1316" s="1">
        <v>73</v>
      </c>
      <c r="N1316" s="1" t="s">
        <v>39</v>
      </c>
      <c r="O1316" s="1">
        <v>33.631900000000002</v>
      </c>
      <c r="P1316" s="1">
        <v>-87.059700000000007</v>
      </c>
      <c r="Q1316" s="1" t="s">
        <v>3305</v>
      </c>
      <c r="R1316" s="1" t="s">
        <v>41</v>
      </c>
      <c r="S1316" s="1" t="s">
        <v>42</v>
      </c>
      <c r="T1316" s="1" t="s">
        <v>89</v>
      </c>
      <c r="U1316" s="1" t="s">
        <v>55</v>
      </c>
      <c r="V1316" s="1" t="s">
        <v>341</v>
      </c>
      <c r="W1316" s="1" t="s">
        <v>56</v>
      </c>
      <c r="X1316" s="1" t="s">
        <v>3306</v>
      </c>
      <c r="Y1316" s="1" t="s">
        <v>58</v>
      </c>
      <c r="Z1316" s="1" t="s">
        <v>59</v>
      </c>
      <c r="AA1316" s="3">
        <v>28775</v>
      </c>
      <c r="AB1316" s="1" t="s">
        <v>46</v>
      </c>
      <c r="AC1316" s="5">
        <v>11845</v>
      </c>
      <c r="AD1316" s="1" t="s">
        <v>3307</v>
      </c>
      <c r="AE1316" s="1" t="str">
        <f t="shared" si="101"/>
        <v>6002 1</v>
      </c>
      <c r="AF1316" s="5" t="str">
        <f t="shared" si="103"/>
        <v>705.5</v>
      </c>
      <c r="AG1316" s="1" t="str">
        <f t="shared" si="100"/>
        <v>Y</v>
      </c>
    </row>
    <row r="1317" spans="1:33" x14ac:dyDescent="0.2">
      <c r="A1317" s="1" t="s">
        <v>32</v>
      </c>
      <c r="B1317" s="1" t="s">
        <v>3303</v>
      </c>
      <c r="C1317" s="1">
        <v>6002</v>
      </c>
      <c r="D1317" s="1">
        <v>2</v>
      </c>
      <c r="F1317" s="1">
        <v>2023</v>
      </c>
      <c r="G1317" s="1" t="s">
        <v>54</v>
      </c>
      <c r="H1317" s="1">
        <v>605449</v>
      </c>
      <c r="I1317" s="1">
        <v>4</v>
      </c>
      <c r="J1317" s="1" t="s">
        <v>36</v>
      </c>
      <c r="K1317" s="1" t="s">
        <v>1074</v>
      </c>
      <c r="L1317" s="1" t="s">
        <v>3304</v>
      </c>
      <c r="M1317" s="1">
        <v>73</v>
      </c>
      <c r="N1317" s="1" t="s">
        <v>39</v>
      </c>
      <c r="O1317" s="1">
        <v>33.631900000000002</v>
      </c>
      <c r="P1317" s="1">
        <v>-87.059700000000007</v>
      </c>
      <c r="Q1317" s="1" t="s">
        <v>3305</v>
      </c>
      <c r="R1317" s="1" t="s">
        <v>41</v>
      </c>
      <c r="S1317" s="1" t="s">
        <v>42</v>
      </c>
      <c r="T1317" s="1" t="s">
        <v>89</v>
      </c>
      <c r="U1317" s="1" t="s">
        <v>55</v>
      </c>
      <c r="V1317" s="1" t="s">
        <v>341</v>
      </c>
      <c r="W1317" s="1" t="s">
        <v>56</v>
      </c>
      <c r="X1317" s="1" t="s">
        <v>3306</v>
      </c>
      <c r="Y1317" s="1" t="s">
        <v>58</v>
      </c>
      <c r="Z1317" s="1" t="s">
        <v>59</v>
      </c>
      <c r="AA1317" s="3">
        <v>31168</v>
      </c>
      <c r="AB1317" s="1" t="s">
        <v>46</v>
      </c>
      <c r="AC1317" s="5">
        <v>10117</v>
      </c>
      <c r="AD1317" s="1" t="s">
        <v>3308</v>
      </c>
      <c r="AE1317" s="1" t="str">
        <f t="shared" si="101"/>
        <v>6002 2</v>
      </c>
      <c r="AF1317" s="5" t="str">
        <f t="shared" si="103"/>
        <v>705.5</v>
      </c>
      <c r="AG1317" s="1" t="str">
        <f t="shared" si="100"/>
        <v>Y</v>
      </c>
    </row>
    <row r="1318" spans="1:33" x14ac:dyDescent="0.2">
      <c r="A1318" s="1" t="s">
        <v>32</v>
      </c>
      <c r="B1318" s="1" t="s">
        <v>3303</v>
      </c>
      <c r="C1318" s="1">
        <v>6002</v>
      </c>
      <c r="D1318" s="1">
        <v>3</v>
      </c>
      <c r="F1318" s="1">
        <v>2023</v>
      </c>
      <c r="G1318" s="1" t="s">
        <v>54</v>
      </c>
      <c r="H1318" s="1">
        <v>605449</v>
      </c>
      <c r="I1318" s="1">
        <v>4</v>
      </c>
      <c r="J1318" s="1" t="s">
        <v>36</v>
      </c>
      <c r="K1318" s="1" t="s">
        <v>1074</v>
      </c>
      <c r="L1318" s="1" t="s">
        <v>3304</v>
      </c>
      <c r="M1318" s="1">
        <v>73</v>
      </c>
      <c r="N1318" s="1" t="s">
        <v>39</v>
      </c>
      <c r="O1318" s="1">
        <v>33.631900000000002</v>
      </c>
      <c r="P1318" s="1">
        <v>-87.059700000000007</v>
      </c>
      <c r="Q1318" s="1" t="s">
        <v>40</v>
      </c>
      <c r="R1318" s="1" t="s">
        <v>41</v>
      </c>
      <c r="S1318" s="1" t="s">
        <v>42</v>
      </c>
      <c r="T1318" s="1" t="s">
        <v>89</v>
      </c>
      <c r="U1318" s="1" t="s">
        <v>55</v>
      </c>
      <c r="V1318" s="1" t="s">
        <v>341</v>
      </c>
      <c r="W1318" s="1" t="s">
        <v>56</v>
      </c>
      <c r="X1318" s="1" t="s">
        <v>3306</v>
      </c>
      <c r="Y1318" s="1" t="s">
        <v>58</v>
      </c>
      <c r="Z1318" s="1" t="s">
        <v>59</v>
      </c>
      <c r="AA1318" s="3">
        <v>32629</v>
      </c>
      <c r="AB1318" s="1" t="s">
        <v>46</v>
      </c>
      <c r="AC1318" s="5">
        <v>10975</v>
      </c>
      <c r="AD1318" s="1" t="s">
        <v>3309</v>
      </c>
      <c r="AE1318" s="1" t="str">
        <f t="shared" si="101"/>
        <v>6002 3</v>
      </c>
      <c r="AF1318" s="5" t="str">
        <f t="shared" si="103"/>
        <v>705.5</v>
      </c>
      <c r="AG1318" s="1" t="str">
        <f t="shared" si="100"/>
        <v>Y</v>
      </c>
    </row>
    <row r="1319" spans="1:33" x14ac:dyDescent="0.2">
      <c r="A1319" s="1" t="s">
        <v>32</v>
      </c>
      <c r="B1319" s="1" t="s">
        <v>3303</v>
      </c>
      <c r="C1319" s="1">
        <v>6002</v>
      </c>
      <c r="D1319" s="1">
        <v>4</v>
      </c>
      <c r="F1319" s="1">
        <v>2023</v>
      </c>
      <c r="G1319" s="1" t="s">
        <v>54</v>
      </c>
      <c r="H1319" s="1">
        <v>605449</v>
      </c>
      <c r="I1319" s="1">
        <v>4</v>
      </c>
      <c r="J1319" s="1" t="s">
        <v>36</v>
      </c>
      <c r="K1319" s="1" t="s">
        <v>1074</v>
      </c>
      <c r="L1319" s="1" t="s">
        <v>3304</v>
      </c>
      <c r="M1319" s="1">
        <v>73</v>
      </c>
      <c r="N1319" s="1" t="s">
        <v>39</v>
      </c>
      <c r="O1319" s="1">
        <v>33.631900000000002</v>
      </c>
      <c r="P1319" s="1">
        <v>-87.059700000000007</v>
      </c>
      <c r="Q1319" s="1" t="s">
        <v>40</v>
      </c>
      <c r="R1319" s="1" t="s">
        <v>41</v>
      </c>
      <c r="S1319" s="1" t="s">
        <v>42</v>
      </c>
      <c r="T1319" s="1" t="s">
        <v>89</v>
      </c>
      <c r="U1319" s="1" t="s">
        <v>55</v>
      </c>
      <c r="V1319" s="1" t="s">
        <v>341</v>
      </c>
      <c r="W1319" s="1" t="s">
        <v>56</v>
      </c>
      <c r="X1319" s="1" t="s">
        <v>3306</v>
      </c>
      <c r="Y1319" s="1" t="s">
        <v>58</v>
      </c>
      <c r="Z1319" s="1" t="s">
        <v>59</v>
      </c>
      <c r="AA1319" s="3">
        <v>33302</v>
      </c>
      <c r="AB1319" s="1" t="s">
        <v>46</v>
      </c>
      <c r="AC1319" s="5">
        <v>11520</v>
      </c>
      <c r="AD1319" s="1" t="s">
        <v>3310</v>
      </c>
      <c r="AE1319" s="1" t="str">
        <f t="shared" si="101"/>
        <v>6002 4</v>
      </c>
      <c r="AF1319" s="5" t="str">
        <f t="shared" si="103"/>
        <v>705.5</v>
      </c>
      <c r="AG1319" s="1" t="str">
        <f t="shared" si="100"/>
        <v>Y</v>
      </c>
    </row>
    <row r="1320" spans="1:33" x14ac:dyDescent="0.2">
      <c r="A1320" s="1" t="s">
        <v>3140</v>
      </c>
      <c r="B1320" s="1" t="s">
        <v>3311</v>
      </c>
      <c r="C1320" s="1">
        <v>6004</v>
      </c>
      <c r="D1320" s="1">
        <v>1</v>
      </c>
      <c r="F1320" s="1">
        <v>2023</v>
      </c>
      <c r="G1320" s="1" t="s">
        <v>1353</v>
      </c>
      <c r="H1320" s="1" t="s">
        <v>3312</v>
      </c>
      <c r="I1320" s="1">
        <v>3</v>
      </c>
      <c r="K1320" s="1" t="s">
        <v>3313</v>
      </c>
      <c r="L1320" s="1" t="s">
        <v>3314</v>
      </c>
      <c r="M1320" s="1">
        <v>73</v>
      </c>
      <c r="N1320" s="1" t="s">
        <v>39</v>
      </c>
      <c r="O1320" s="1">
        <v>39.366799999999998</v>
      </c>
      <c r="P1320" s="1">
        <v>-81.294399999999996</v>
      </c>
      <c r="Q1320" s="1" t="s">
        <v>3315</v>
      </c>
      <c r="R1320" s="1" t="s">
        <v>41</v>
      </c>
      <c r="S1320" s="1" t="s">
        <v>121</v>
      </c>
      <c r="T1320" s="1" t="s">
        <v>89</v>
      </c>
      <c r="U1320" s="1" t="s">
        <v>55</v>
      </c>
      <c r="W1320" s="1" t="s">
        <v>241</v>
      </c>
      <c r="X1320" s="1" t="s">
        <v>639</v>
      </c>
      <c r="Y1320" s="1" t="s">
        <v>58</v>
      </c>
      <c r="AA1320" s="3">
        <v>28856</v>
      </c>
      <c r="AB1320" s="1" t="s">
        <v>46</v>
      </c>
      <c r="AC1320" s="5">
        <v>8055</v>
      </c>
      <c r="AD1320" s="1" t="s">
        <v>3154</v>
      </c>
      <c r="AE1320" s="1" t="str">
        <f t="shared" si="101"/>
        <v>6004 1</v>
      </c>
      <c r="AF1320" s="5" t="str">
        <f t="shared" si="103"/>
        <v>684</v>
      </c>
      <c r="AG1320" s="1" t="str">
        <f t="shared" si="100"/>
        <v>Y</v>
      </c>
    </row>
    <row r="1321" spans="1:33" x14ac:dyDescent="0.2">
      <c r="A1321" s="1" t="s">
        <v>3140</v>
      </c>
      <c r="B1321" s="1" t="s">
        <v>3311</v>
      </c>
      <c r="C1321" s="1">
        <v>6004</v>
      </c>
      <c r="D1321" s="1">
        <v>2</v>
      </c>
      <c r="F1321" s="1">
        <v>2023</v>
      </c>
      <c r="G1321" s="1" t="s">
        <v>1353</v>
      </c>
      <c r="H1321" s="1" t="s">
        <v>3312</v>
      </c>
      <c r="I1321" s="1">
        <v>3</v>
      </c>
      <c r="K1321" s="1" t="s">
        <v>3313</v>
      </c>
      <c r="L1321" s="1" t="s">
        <v>3314</v>
      </c>
      <c r="M1321" s="1">
        <v>73</v>
      </c>
      <c r="N1321" s="1" t="s">
        <v>39</v>
      </c>
      <c r="O1321" s="1">
        <v>39.366799999999998</v>
      </c>
      <c r="P1321" s="1">
        <v>-81.294399999999996</v>
      </c>
      <c r="Q1321" s="1" t="s">
        <v>3315</v>
      </c>
      <c r="R1321" s="1" t="s">
        <v>41</v>
      </c>
      <c r="S1321" s="1" t="s">
        <v>121</v>
      </c>
      <c r="T1321" s="1" t="s">
        <v>89</v>
      </c>
      <c r="U1321" s="1" t="s">
        <v>55</v>
      </c>
      <c r="W1321" s="1" t="s">
        <v>241</v>
      </c>
      <c r="X1321" s="1" t="s">
        <v>639</v>
      </c>
      <c r="Y1321" s="1" t="s">
        <v>58</v>
      </c>
      <c r="AA1321" s="3">
        <v>29221</v>
      </c>
      <c r="AB1321" s="1" t="s">
        <v>46</v>
      </c>
      <c r="AC1321" s="5">
        <v>8800</v>
      </c>
      <c r="AD1321" s="1" t="s">
        <v>3155</v>
      </c>
      <c r="AE1321" s="1" t="str">
        <f t="shared" si="101"/>
        <v>6004 2</v>
      </c>
      <c r="AF1321" s="5" t="str">
        <f t="shared" si="103"/>
        <v>684</v>
      </c>
      <c r="AG1321" s="1" t="str">
        <f t="shared" si="100"/>
        <v>Y</v>
      </c>
    </row>
    <row r="1322" spans="1:33" x14ac:dyDescent="0.2">
      <c r="A1322" s="1" t="s">
        <v>348</v>
      </c>
      <c r="B1322" s="1" t="s">
        <v>3316</v>
      </c>
      <c r="C1322" s="1">
        <v>6009</v>
      </c>
      <c r="D1322" s="1">
        <v>1</v>
      </c>
      <c r="F1322" s="1">
        <v>2023</v>
      </c>
      <c r="G1322" s="1" t="s">
        <v>337</v>
      </c>
      <c r="H1322" s="1" t="s">
        <v>350</v>
      </c>
      <c r="I1322" s="1">
        <v>6</v>
      </c>
      <c r="J1322" s="1" t="s">
        <v>228</v>
      </c>
      <c r="K1322" s="1" t="s">
        <v>1074</v>
      </c>
      <c r="L1322" s="1" t="s">
        <v>3317</v>
      </c>
      <c r="M1322" s="1">
        <v>69</v>
      </c>
      <c r="N1322" s="1" t="s">
        <v>39</v>
      </c>
      <c r="O1322" s="1">
        <v>34.4236</v>
      </c>
      <c r="P1322" s="1">
        <v>-92.139200000000002</v>
      </c>
      <c r="Q1322" s="1" t="s">
        <v>3318</v>
      </c>
      <c r="R1322" s="1" t="s">
        <v>41</v>
      </c>
      <c r="S1322" s="1" t="s">
        <v>211</v>
      </c>
      <c r="T1322" s="1" t="s">
        <v>43</v>
      </c>
      <c r="U1322" s="1" t="s">
        <v>55</v>
      </c>
      <c r="V1322" s="1" t="s">
        <v>173</v>
      </c>
      <c r="X1322" s="1" t="s">
        <v>242</v>
      </c>
      <c r="Y1322" s="1" t="s">
        <v>58</v>
      </c>
      <c r="Z1322" s="1" t="s">
        <v>937</v>
      </c>
      <c r="AA1322" s="3">
        <v>29455</v>
      </c>
      <c r="AB1322" s="1" t="s">
        <v>46</v>
      </c>
      <c r="AC1322" s="5">
        <v>9950</v>
      </c>
      <c r="AD1322" s="1" t="s">
        <v>3319</v>
      </c>
      <c r="AE1322" s="1" t="str">
        <f t="shared" si="101"/>
        <v>6009 1</v>
      </c>
      <c r="AF1322" s="5" t="str">
        <f t="shared" si="103"/>
        <v>850</v>
      </c>
      <c r="AG1322" s="1" t="str">
        <f t="shared" si="100"/>
        <v/>
      </c>
    </row>
    <row r="1323" spans="1:33" x14ac:dyDescent="0.2">
      <c r="A1323" s="1" t="s">
        <v>348</v>
      </c>
      <c r="B1323" s="1" t="s">
        <v>3316</v>
      </c>
      <c r="C1323" s="1">
        <v>6009</v>
      </c>
      <c r="D1323" s="1">
        <v>2</v>
      </c>
      <c r="F1323" s="1">
        <v>2023</v>
      </c>
      <c r="G1323" s="1" t="s">
        <v>337</v>
      </c>
      <c r="H1323" s="1" t="s">
        <v>350</v>
      </c>
      <c r="I1323" s="1">
        <v>6</v>
      </c>
      <c r="J1323" s="1" t="s">
        <v>228</v>
      </c>
      <c r="K1323" s="1" t="s">
        <v>1074</v>
      </c>
      <c r="L1323" s="1" t="s">
        <v>3317</v>
      </c>
      <c r="M1323" s="1">
        <v>69</v>
      </c>
      <c r="N1323" s="1" t="s">
        <v>39</v>
      </c>
      <c r="O1323" s="1">
        <v>34.4236</v>
      </c>
      <c r="P1323" s="1">
        <v>-92.139200000000002</v>
      </c>
      <c r="Q1323" s="1" t="s">
        <v>3318</v>
      </c>
      <c r="R1323" s="1" t="s">
        <v>41</v>
      </c>
      <c r="S1323" s="1" t="s">
        <v>211</v>
      </c>
      <c r="T1323" s="1" t="s">
        <v>43</v>
      </c>
      <c r="U1323" s="1" t="s">
        <v>55</v>
      </c>
      <c r="V1323" s="1" t="s">
        <v>173</v>
      </c>
      <c r="X1323" s="1" t="s">
        <v>242</v>
      </c>
      <c r="Y1323" s="1" t="s">
        <v>58</v>
      </c>
      <c r="Z1323" s="1" t="s">
        <v>937</v>
      </c>
      <c r="AA1323" s="3">
        <v>29790</v>
      </c>
      <c r="AB1323" s="1" t="s">
        <v>46</v>
      </c>
      <c r="AC1323" s="5">
        <v>10016</v>
      </c>
      <c r="AD1323" s="1" t="s">
        <v>3320</v>
      </c>
      <c r="AE1323" s="1" t="str">
        <f t="shared" si="101"/>
        <v>6009 2</v>
      </c>
      <c r="AF1323" s="5" t="str">
        <f t="shared" si="103"/>
        <v>850</v>
      </c>
      <c r="AG1323" s="1" t="str">
        <f t="shared" si="100"/>
        <v/>
      </c>
    </row>
    <row r="1324" spans="1:33" x14ac:dyDescent="0.2">
      <c r="A1324" s="1" t="s">
        <v>370</v>
      </c>
      <c r="B1324" s="1" t="s">
        <v>3321</v>
      </c>
      <c r="C1324" s="1">
        <v>6013</v>
      </c>
      <c r="D1324" s="1">
        <v>1</v>
      </c>
      <c r="F1324" s="1">
        <v>2023</v>
      </c>
      <c r="G1324" s="1" t="s">
        <v>247</v>
      </c>
      <c r="H1324" s="1">
        <v>610038</v>
      </c>
      <c r="I1324" s="1">
        <v>9</v>
      </c>
      <c r="J1324" s="1" t="s">
        <v>237</v>
      </c>
      <c r="K1324" s="1" t="s">
        <v>404</v>
      </c>
      <c r="L1324" s="1" t="s">
        <v>405</v>
      </c>
      <c r="M1324" s="1">
        <v>37</v>
      </c>
      <c r="N1324" s="1" t="s">
        <v>39</v>
      </c>
      <c r="O1324" s="1">
        <v>34.177500000000002</v>
      </c>
      <c r="P1324" s="1">
        <v>-118.3147</v>
      </c>
      <c r="Q1324" s="1" t="s">
        <v>3322</v>
      </c>
      <c r="R1324" s="1" t="s">
        <v>41</v>
      </c>
      <c r="T1324" s="1" t="s">
        <v>89</v>
      </c>
      <c r="U1324" s="1" t="s">
        <v>44</v>
      </c>
      <c r="X1324" s="1" t="s">
        <v>639</v>
      </c>
      <c r="AA1324" s="3">
        <v>21186</v>
      </c>
      <c r="AB1324" s="1" t="s">
        <v>46</v>
      </c>
      <c r="AC1324" s="5">
        <v>552</v>
      </c>
      <c r="AD1324" s="1" t="s">
        <v>3323</v>
      </c>
      <c r="AE1324" s="1" t="str">
        <f t="shared" si="101"/>
        <v>6013 1</v>
      </c>
      <c r="AF1324" s="5" t="str">
        <f t="shared" si="103"/>
        <v>44</v>
      </c>
      <c r="AG1324" s="1" t="str">
        <f t="shared" si="100"/>
        <v>Y</v>
      </c>
    </row>
    <row r="1325" spans="1:33" x14ac:dyDescent="0.2">
      <c r="A1325" s="1" t="s">
        <v>370</v>
      </c>
      <c r="B1325" s="1" t="s">
        <v>3321</v>
      </c>
      <c r="C1325" s="1">
        <v>6013</v>
      </c>
      <c r="D1325" s="1">
        <v>2</v>
      </c>
      <c r="F1325" s="1">
        <v>2023</v>
      </c>
      <c r="G1325" s="1" t="s">
        <v>247</v>
      </c>
      <c r="H1325" s="1">
        <v>610038</v>
      </c>
      <c r="I1325" s="1">
        <v>9</v>
      </c>
      <c r="J1325" s="1" t="s">
        <v>237</v>
      </c>
      <c r="K1325" s="1" t="s">
        <v>404</v>
      </c>
      <c r="L1325" s="1" t="s">
        <v>405</v>
      </c>
      <c r="M1325" s="1">
        <v>37</v>
      </c>
      <c r="N1325" s="1" t="s">
        <v>39</v>
      </c>
      <c r="O1325" s="1">
        <v>34.177500000000002</v>
      </c>
      <c r="P1325" s="1">
        <v>-118.3147</v>
      </c>
      <c r="Q1325" s="1" t="s">
        <v>3322</v>
      </c>
      <c r="R1325" s="1" t="s">
        <v>41</v>
      </c>
      <c r="T1325" s="1" t="s">
        <v>89</v>
      </c>
      <c r="U1325" s="1" t="s">
        <v>44</v>
      </c>
      <c r="X1325" s="1" t="s">
        <v>2996</v>
      </c>
      <c r="AA1325" s="3">
        <v>23377</v>
      </c>
      <c r="AB1325" s="1" t="s">
        <v>46</v>
      </c>
      <c r="AC1325" s="5">
        <v>605</v>
      </c>
      <c r="AD1325" s="1" t="s">
        <v>3324</v>
      </c>
      <c r="AE1325" s="1" t="str">
        <f t="shared" si="101"/>
        <v>6013 2</v>
      </c>
      <c r="AF1325" s="5" t="str">
        <f t="shared" si="103"/>
        <v>55</v>
      </c>
      <c r="AG1325" s="1" t="str">
        <f t="shared" si="100"/>
        <v>Y</v>
      </c>
    </row>
    <row r="1326" spans="1:33" x14ac:dyDescent="0.2">
      <c r="A1326" s="1" t="s">
        <v>458</v>
      </c>
      <c r="B1326" s="1" t="s">
        <v>3325</v>
      </c>
      <c r="C1326" s="1">
        <v>6017</v>
      </c>
      <c r="D1326" s="1">
        <v>1</v>
      </c>
      <c r="F1326" s="1">
        <v>2023</v>
      </c>
      <c r="G1326" s="1" t="s">
        <v>1005</v>
      </c>
      <c r="H1326" s="1">
        <v>603383</v>
      </c>
      <c r="I1326" s="1">
        <v>5</v>
      </c>
      <c r="J1326" s="1" t="s">
        <v>462</v>
      </c>
      <c r="K1326" s="1" t="s">
        <v>3326</v>
      </c>
      <c r="L1326" s="1" t="s">
        <v>3327</v>
      </c>
      <c r="M1326" s="1">
        <v>79</v>
      </c>
      <c r="N1326" s="1" t="s">
        <v>39</v>
      </c>
      <c r="O1326" s="1">
        <v>38.936100000000003</v>
      </c>
      <c r="P1326" s="1">
        <v>-88.277799999999999</v>
      </c>
      <c r="Q1326" s="1" t="s">
        <v>3328</v>
      </c>
      <c r="R1326" s="1" t="s">
        <v>41</v>
      </c>
      <c r="S1326" s="1" t="s">
        <v>121</v>
      </c>
      <c r="T1326" s="1" t="s">
        <v>43</v>
      </c>
      <c r="U1326" s="1" t="s">
        <v>55</v>
      </c>
      <c r="X1326" s="1" t="s">
        <v>3329</v>
      </c>
      <c r="Y1326" s="1" t="s">
        <v>58</v>
      </c>
      <c r="AA1326" s="3">
        <v>28447</v>
      </c>
      <c r="AB1326" s="1" t="s">
        <v>46</v>
      </c>
      <c r="AC1326" s="5">
        <v>7449</v>
      </c>
      <c r="AD1326" s="1" t="s">
        <v>3330</v>
      </c>
      <c r="AE1326" s="1" t="str">
        <f t="shared" si="101"/>
        <v>6017 1</v>
      </c>
      <c r="AF1326" s="5" t="str">
        <f t="shared" si="103"/>
        <v>617.4</v>
      </c>
      <c r="AG1326" s="1" t="str">
        <f t="shared" si="100"/>
        <v/>
      </c>
    </row>
    <row r="1327" spans="1:33" x14ac:dyDescent="0.2">
      <c r="A1327" s="1" t="s">
        <v>165</v>
      </c>
      <c r="B1327" s="1" t="s">
        <v>3331</v>
      </c>
      <c r="C1327" s="1">
        <v>6018</v>
      </c>
      <c r="D1327" s="1">
        <v>2</v>
      </c>
      <c r="F1327" s="1">
        <v>2023</v>
      </c>
      <c r="G1327" s="1" t="s">
        <v>1353</v>
      </c>
      <c r="H1327" s="1">
        <v>609289</v>
      </c>
      <c r="I1327" s="1">
        <v>4</v>
      </c>
      <c r="J1327" s="1" t="s">
        <v>169</v>
      </c>
      <c r="K1327" s="1" t="s">
        <v>1810</v>
      </c>
      <c r="L1327" s="1" t="s">
        <v>3332</v>
      </c>
      <c r="M1327" s="1">
        <v>15</v>
      </c>
      <c r="N1327" s="1" t="s">
        <v>39</v>
      </c>
      <c r="O1327" s="1">
        <v>38.903100000000002</v>
      </c>
      <c r="P1327" s="1">
        <v>-84.851100000000002</v>
      </c>
      <c r="Q1327" s="1" t="s">
        <v>3333</v>
      </c>
      <c r="R1327" s="1" t="s">
        <v>41</v>
      </c>
      <c r="S1327" s="1" t="s">
        <v>121</v>
      </c>
      <c r="T1327" s="1" t="s">
        <v>89</v>
      </c>
      <c r="U1327" s="1" t="s">
        <v>55</v>
      </c>
      <c r="W1327" s="1" t="s">
        <v>241</v>
      </c>
      <c r="X1327" s="1" t="s">
        <v>872</v>
      </c>
      <c r="Y1327" s="1" t="s">
        <v>331</v>
      </c>
      <c r="AA1327" s="3">
        <v>29669</v>
      </c>
      <c r="AB1327" s="1" t="s">
        <v>46</v>
      </c>
      <c r="AC1327" s="5">
        <v>7886</v>
      </c>
      <c r="AD1327" s="1" t="s">
        <v>3334</v>
      </c>
      <c r="AE1327" s="1" t="str">
        <f t="shared" si="101"/>
        <v>6018 2</v>
      </c>
      <c r="AF1327" s="5" t="str">
        <f t="shared" si="103"/>
        <v>669.3</v>
      </c>
      <c r="AG1327" s="1" t="str">
        <f t="shared" si="100"/>
        <v>Y</v>
      </c>
    </row>
    <row r="1328" spans="1:33" x14ac:dyDescent="0.2">
      <c r="A1328" s="1" t="s">
        <v>516</v>
      </c>
      <c r="B1328" s="1" t="s">
        <v>3335</v>
      </c>
      <c r="C1328" s="1">
        <v>6021</v>
      </c>
      <c r="D1328" s="1" t="s">
        <v>3336</v>
      </c>
      <c r="F1328" s="1">
        <v>2023</v>
      </c>
      <c r="G1328" s="1" t="s">
        <v>236</v>
      </c>
      <c r="H1328" s="1">
        <v>603008</v>
      </c>
      <c r="I1328" s="1">
        <v>8</v>
      </c>
      <c r="J1328" s="1" t="s">
        <v>237</v>
      </c>
      <c r="K1328" s="1" t="s">
        <v>3337</v>
      </c>
      <c r="L1328" s="1" t="s">
        <v>3338</v>
      </c>
      <c r="M1328" s="1">
        <v>81</v>
      </c>
      <c r="N1328" s="1" t="s">
        <v>39</v>
      </c>
      <c r="O1328" s="1">
        <v>40.462699999999998</v>
      </c>
      <c r="P1328" s="1">
        <v>-107.5912</v>
      </c>
      <c r="Q1328" s="1" t="s">
        <v>3339</v>
      </c>
      <c r="R1328" s="1" t="s">
        <v>41</v>
      </c>
      <c r="S1328" s="1" t="s">
        <v>211</v>
      </c>
      <c r="T1328" s="1" t="s">
        <v>89</v>
      </c>
      <c r="U1328" s="1" t="s">
        <v>55</v>
      </c>
      <c r="V1328" s="1" t="s">
        <v>44</v>
      </c>
      <c r="W1328" s="1" t="s">
        <v>56</v>
      </c>
      <c r="X1328" s="1" t="s">
        <v>289</v>
      </c>
      <c r="Y1328" s="1" t="s">
        <v>232</v>
      </c>
      <c r="AA1328" s="3">
        <v>29403</v>
      </c>
      <c r="AB1328" s="1" t="s">
        <v>46</v>
      </c>
      <c r="AC1328" s="5">
        <v>5300</v>
      </c>
      <c r="AD1328" s="1" t="s">
        <v>3047</v>
      </c>
      <c r="AE1328" s="1" t="str">
        <f t="shared" si="101"/>
        <v>6021 C1</v>
      </c>
      <c r="AF1328" s="5" t="str">
        <f t="shared" si="103"/>
        <v>446</v>
      </c>
      <c r="AG1328" s="1" t="str">
        <f t="shared" si="100"/>
        <v/>
      </c>
    </row>
    <row r="1329" spans="1:33" x14ac:dyDescent="0.2">
      <c r="A1329" s="1" t="s">
        <v>516</v>
      </c>
      <c r="B1329" s="1" t="s">
        <v>3335</v>
      </c>
      <c r="C1329" s="1">
        <v>6021</v>
      </c>
      <c r="D1329" s="1" t="s">
        <v>3340</v>
      </c>
      <c r="F1329" s="1">
        <v>2023</v>
      </c>
      <c r="G1329" s="1" t="s">
        <v>236</v>
      </c>
      <c r="H1329" s="1">
        <v>603008</v>
      </c>
      <c r="I1329" s="1">
        <v>8</v>
      </c>
      <c r="J1329" s="1" t="s">
        <v>237</v>
      </c>
      <c r="K1329" s="1" t="s">
        <v>3337</v>
      </c>
      <c r="L1329" s="1" t="s">
        <v>3338</v>
      </c>
      <c r="M1329" s="1">
        <v>81</v>
      </c>
      <c r="N1329" s="1" t="s">
        <v>39</v>
      </c>
      <c r="O1329" s="1">
        <v>40.462699999999998</v>
      </c>
      <c r="P1329" s="1">
        <v>-107.5912</v>
      </c>
      <c r="Q1329" s="1" t="s">
        <v>3341</v>
      </c>
      <c r="R1329" s="1" t="s">
        <v>41</v>
      </c>
      <c r="S1329" s="1" t="s">
        <v>211</v>
      </c>
      <c r="T1329" s="1" t="s">
        <v>89</v>
      </c>
      <c r="U1329" s="1" t="s">
        <v>55</v>
      </c>
      <c r="V1329" s="1" t="s">
        <v>44</v>
      </c>
      <c r="W1329" s="1" t="s">
        <v>56</v>
      </c>
      <c r="X1329" s="1" t="s">
        <v>563</v>
      </c>
      <c r="Y1329" s="1" t="s">
        <v>232</v>
      </c>
      <c r="AA1329" s="3">
        <v>29160</v>
      </c>
      <c r="AB1329" s="1" t="s">
        <v>46</v>
      </c>
      <c r="AC1329" s="5">
        <v>5300</v>
      </c>
      <c r="AD1329" s="1" t="s">
        <v>3048</v>
      </c>
      <c r="AE1329" s="1" t="str">
        <f t="shared" si="101"/>
        <v>6021 C2</v>
      </c>
      <c r="AF1329" s="5" t="str">
        <f t="shared" si="103"/>
        <v>446</v>
      </c>
      <c r="AG1329" s="1" t="str">
        <f t="shared" si="100"/>
        <v>Y</v>
      </c>
    </row>
    <row r="1330" spans="1:33" x14ac:dyDescent="0.2">
      <c r="A1330" s="1" t="s">
        <v>516</v>
      </c>
      <c r="B1330" s="1" t="s">
        <v>3335</v>
      </c>
      <c r="C1330" s="1">
        <v>6021</v>
      </c>
      <c r="D1330" s="1" t="s">
        <v>3342</v>
      </c>
      <c r="F1330" s="1">
        <v>2023</v>
      </c>
      <c r="G1330" s="1" t="s">
        <v>236</v>
      </c>
      <c r="H1330" s="1">
        <v>603008</v>
      </c>
      <c r="I1330" s="1">
        <v>8</v>
      </c>
      <c r="J1330" s="1" t="s">
        <v>237</v>
      </c>
      <c r="K1330" s="1" t="s">
        <v>3337</v>
      </c>
      <c r="L1330" s="1" t="s">
        <v>3338</v>
      </c>
      <c r="M1330" s="1">
        <v>81</v>
      </c>
      <c r="N1330" s="1" t="s">
        <v>39</v>
      </c>
      <c r="O1330" s="1">
        <v>40.462699999999998</v>
      </c>
      <c r="P1330" s="1">
        <v>-107.5912</v>
      </c>
      <c r="Q1330" s="1" t="s">
        <v>3343</v>
      </c>
      <c r="R1330" s="1" t="s">
        <v>41</v>
      </c>
      <c r="S1330" s="1" t="s">
        <v>211</v>
      </c>
      <c r="T1330" s="1" t="s">
        <v>89</v>
      </c>
      <c r="U1330" s="1" t="s">
        <v>55</v>
      </c>
      <c r="V1330" s="1" t="s">
        <v>44</v>
      </c>
      <c r="W1330" s="1" t="s">
        <v>212</v>
      </c>
      <c r="X1330" s="1" t="s">
        <v>1221</v>
      </c>
      <c r="Y1330" s="1" t="s">
        <v>232</v>
      </c>
      <c r="AA1330" s="3">
        <v>30956</v>
      </c>
      <c r="AB1330" s="1" t="s">
        <v>46</v>
      </c>
      <c r="AC1330" s="5">
        <v>5500</v>
      </c>
      <c r="AD1330" s="1" t="s">
        <v>3344</v>
      </c>
      <c r="AE1330" s="1" t="str">
        <f t="shared" si="101"/>
        <v>6021 C3</v>
      </c>
      <c r="AF1330" s="5" t="str">
        <f t="shared" si="103"/>
        <v>446</v>
      </c>
      <c r="AG1330" s="1" t="str">
        <f t="shared" si="100"/>
        <v>Y</v>
      </c>
    </row>
    <row r="1331" spans="1:33" x14ac:dyDescent="0.2">
      <c r="A1331" s="1" t="s">
        <v>2411</v>
      </c>
      <c r="B1331" s="1" t="s">
        <v>3345</v>
      </c>
      <c r="C1331" s="1">
        <v>6030</v>
      </c>
      <c r="D1331" s="1">
        <v>1</v>
      </c>
      <c r="F1331" s="1">
        <v>2023</v>
      </c>
      <c r="G1331" s="1" t="s">
        <v>236</v>
      </c>
      <c r="H1331" s="1">
        <v>608585</v>
      </c>
      <c r="I1331" s="1">
        <v>8</v>
      </c>
      <c r="J1331" s="1" t="s">
        <v>207</v>
      </c>
      <c r="K1331" s="1" t="s">
        <v>3346</v>
      </c>
      <c r="L1331" s="1" t="s">
        <v>3347</v>
      </c>
      <c r="M1331" s="1">
        <v>55</v>
      </c>
      <c r="N1331" s="1" t="s">
        <v>39</v>
      </c>
      <c r="O1331" s="1">
        <v>47.376100000000001</v>
      </c>
      <c r="P1331" s="1">
        <v>-101.1567</v>
      </c>
      <c r="Q1331" s="1" t="s">
        <v>3348</v>
      </c>
      <c r="R1331" s="1" t="s">
        <v>41</v>
      </c>
      <c r="S1331" s="1" t="s">
        <v>42</v>
      </c>
      <c r="T1331" s="1" t="s">
        <v>43</v>
      </c>
      <c r="U1331" s="1" t="s">
        <v>55</v>
      </c>
      <c r="W1331" s="1" t="s">
        <v>241</v>
      </c>
      <c r="X1331" s="1" t="s">
        <v>213</v>
      </c>
      <c r="Y1331" s="1" t="s">
        <v>58</v>
      </c>
      <c r="Z1331" s="1" t="s">
        <v>937</v>
      </c>
      <c r="AA1331" s="3">
        <v>29097</v>
      </c>
      <c r="AB1331" s="1" t="s">
        <v>46</v>
      </c>
      <c r="AC1331" s="5">
        <v>6238</v>
      </c>
      <c r="AD1331" s="1" t="s">
        <v>3349</v>
      </c>
      <c r="AE1331" s="1" t="str">
        <f t="shared" si="101"/>
        <v>6030 1</v>
      </c>
      <c r="AF1331" s="5" t="str">
        <f t="shared" si="103"/>
        <v>605</v>
      </c>
      <c r="AG1331" s="1" t="str">
        <f t="shared" si="100"/>
        <v/>
      </c>
    </row>
    <row r="1332" spans="1:33" x14ac:dyDescent="0.2">
      <c r="A1332" s="1" t="s">
        <v>2411</v>
      </c>
      <c r="B1332" s="1" t="s">
        <v>3345</v>
      </c>
      <c r="C1332" s="1">
        <v>6030</v>
      </c>
      <c r="D1332" s="1">
        <v>2</v>
      </c>
      <c r="F1332" s="1">
        <v>2023</v>
      </c>
      <c r="G1332" s="1" t="s">
        <v>236</v>
      </c>
      <c r="H1332" s="1">
        <v>608585</v>
      </c>
      <c r="I1332" s="1">
        <v>8</v>
      </c>
      <c r="J1332" s="1" t="s">
        <v>207</v>
      </c>
      <c r="K1332" s="1" t="s">
        <v>3346</v>
      </c>
      <c r="L1332" s="1" t="s">
        <v>3347</v>
      </c>
      <c r="M1332" s="1">
        <v>55</v>
      </c>
      <c r="N1332" s="1" t="s">
        <v>39</v>
      </c>
      <c r="O1332" s="1">
        <v>47.376100000000001</v>
      </c>
      <c r="P1332" s="1">
        <v>-101.1567</v>
      </c>
      <c r="Q1332" s="1" t="s">
        <v>3348</v>
      </c>
      <c r="R1332" s="1" t="s">
        <v>41</v>
      </c>
      <c r="S1332" s="1" t="s">
        <v>42</v>
      </c>
      <c r="T1332" s="1" t="s">
        <v>43</v>
      </c>
      <c r="U1332" s="1" t="s">
        <v>55</v>
      </c>
      <c r="W1332" s="1" t="s">
        <v>241</v>
      </c>
      <c r="X1332" s="1" t="s">
        <v>1226</v>
      </c>
      <c r="Y1332" s="1" t="s">
        <v>58</v>
      </c>
      <c r="Z1332" s="1" t="s">
        <v>937</v>
      </c>
      <c r="AA1332" s="3">
        <v>29798</v>
      </c>
      <c r="AB1332" s="1" t="s">
        <v>46</v>
      </c>
      <c r="AC1332" s="5">
        <v>6364.2</v>
      </c>
      <c r="AD1332" s="1" t="s">
        <v>3350</v>
      </c>
      <c r="AE1332" s="1" t="str">
        <f t="shared" si="101"/>
        <v>6030 2</v>
      </c>
      <c r="AF1332" s="5" t="str">
        <f t="shared" si="103"/>
        <v>605</v>
      </c>
      <c r="AG1332" s="1" t="str">
        <f t="shared" si="100"/>
        <v/>
      </c>
    </row>
    <row r="1333" spans="1:33" x14ac:dyDescent="0.2">
      <c r="A1333" s="1" t="s">
        <v>1621</v>
      </c>
      <c r="B1333" s="1" t="s">
        <v>3351</v>
      </c>
      <c r="C1333" s="1">
        <v>6034</v>
      </c>
      <c r="D1333" s="1">
        <v>1</v>
      </c>
      <c r="F1333" s="1">
        <v>2023</v>
      </c>
      <c r="G1333" s="1" t="s">
        <v>1005</v>
      </c>
      <c r="H1333" s="1" t="s">
        <v>1639</v>
      </c>
      <c r="I1333" s="1">
        <v>5</v>
      </c>
      <c r="J1333" s="1" t="s">
        <v>169</v>
      </c>
      <c r="K1333" s="1" t="s">
        <v>3352</v>
      </c>
      <c r="L1333" s="1" t="s">
        <v>3353</v>
      </c>
      <c r="M1333" s="1">
        <v>147</v>
      </c>
      <c r="N1333" s="1" t="s">
        <v>39</v>
      </c>
      <c r="O1333" s="1">
        <v>42.774799999999999</v>
      </c>
      <c r="P1333" s="1">
        <v>-82.494500000000002</v>
      </c>
      <c r="Q1333" s="1" t="s">
        <v>3354</v>
      </c>
      <c r="R1333" s="1" t="s">
        <v>41</v>
      </c>
      <c r="S1333" s="1" t="s">
        <v>42</v>
      </c>
      <c r="T1333" s="1" t="s">
        <v>89</v>
      </c>
      <c r="U1333" s="1" t="s">
        <v>55</v>
      </c>
      <c r="V1333" s="1" t="s">
        <v>94</v>
      </c>
      <c r="X1333" s="1" t="s">
        <v>90</v>
      </c>
      <c r="Y1333" s="1" t="s">
        <v>58</v>
      </c>
      <c r="Z1333" s="1" t="s">
        <v>214</v>
      </c>
      <c r="AA1333" s="3">
        <v>30773</v>
      </c>
      <c r="AB1333" s="1" t="s">
        <v>46</v>
      </c>
      <c r="AC1333" s="5">
        <v>8100</v>
      </c>
      <c r="AD1333" s="1" t="s">
        <v>3355</v>
      </c>
      <c r="AE1333" s="1" t="str">
        <f t="shared" si="101"/>
        <v>6034 1</v>
      </c>
      <c r="AF1333" s="5" t="str">
        <f t="shared" si="103"/>
        <v>697.5</v>
      </c>
      <c r="AG1333" s="1" t="str">
        <f t="shared" si="100"/>
        <v/>
      </c>
    </row>
    <row r="1334" spans="1:33" x14ac:dyDescent="0.2">
      <c r="A1334" s="1" t="s">
        <v>1621</v>
      </c>
      <c r="B1334" s="1" t="s">
        <v>3351</v>
      </c>
      <c r="C1334" s="1">
        <v>6034</v>
      </c>
      <c r="D1334" s="1">
        <v>2</v>
      </c>
      <c r="F1334" s="1">
        <v>2023</v>
      </c>
      <c r="G1334" s="1" t="s">
        <v>1005</v>
      </c>
      <c r="H1334" s="1" t="s">
        <v>1639</v>
      </c>
      <c r="I1334" s="1">
        <v>5</v>
      </c>
      <c r="J1334" s="1" t="s">
        <v>169</v>
      </c>
      <c r="K1334" s="1" t="s">
        <v>3352</v>
      </c>
      <c r="L1334" s="1" t="s">
        <v>3353</v>
      </c>
      <c r="M1334" s="1">
        <v>147</v>
      </c>
      <c r="N1334" s="1" t="s">
        <v>39</v>
      </c>
      <c r="O1334" s="1">
        <v>42.774799999999999</v>
      </c>
      <c r="P1334" s="1">
        <v>-82.494500000000002</v>
      </c>
      <c r="Q1334" s="1" t="s">
        <v>3354</v>
      </c>
      <c r="R1334" s="1" t="s">
        <v>41</v>
      </c>
      <c r="S1334" s="1" t="s">
        <v>42</v>
      </c>
      <c r="T1334" s="1" t="s">
        <v>89</v>
      </c>
      <c r="U1334" s="1" t="s">
        <v>55</v>
      </c>
      <c r="V1334" s="1" t="s">
        <v>94</v>
      </c>
      <c r="X1334" s="1" t="s">
        <v>90</v>
      </c>
      <c r="Y1334" s="1" t="s">
        <v>58</v>
      </c>
      <c r="Z1334" s="1" t="s">
        <v>214</v>
      </c>
      <c r="AA1334" s="3">
        <v>31138</v>
      </c>
      <c r="AB1334" s="1" t="s">
        <v>46</v>
      </c>
      <c r="AC1334" s="5">
        <v>8300</v>
      </c>
      <c r="AD1334" s="1" t="s">
        <v>3356</v>
      </c>
      <c r="AE1334" s="1" t="str">
        <f t="shared" si="101"/>
        <v>6034 2</v>
      </c>
      <c r="AF1334" s="5" t="str">
        <f t="shared" si="103"/>
        <v>697.5</v>
      </c>
      <c r="AG1334" s="1" t="str">
        <f t="shared" si="100"/>
        <v/>
      </c>
    </row>
    <row r="1335" spans="1:33" x14ac:dyDescent="0.2">
      <c r="A1335" s="1" t="s">
        <v>1621</v>
      </c>
      <c r="B1335" s="1" t="s">
        <v>3351</v>
      </c>
      <c r="C1335" s="1">
        <v>6034</v>
      </c>
      <c r="D1335" s="1" t="s">
        <v>1643</v>
      </c>
      <c r="F1335" s="1">
        <v>2023</v>
      </c>
      <c r="G1335" s="1" t="s">
        <v>461</v>
      </c>
      <c r="H1335" s="1" t="s">
        <v>1639</v>
      </c>
      <c r="I1335" s="1">
        <v>5</v>
      </c>
      <c r="J1335" s="1" t="s">
        <v>169</v>
      </c>
      <c r="K1335" s="1" t="s">
        <v>3352</v>
      </c>
      <c r="L1335" s="1" t="s">
        <v>3353</v>
      </c>
      <c r="M1335" s="1">
        <v>147</v>
      </c>
      <c r="N1335" s="1" t="s">
        <v>39</v>
      </c>
      <c r="O1335" s="1">
        <v>42.774799999999999</v>
      </c>
      <c r="P1335" s="1">
        <v>-82.494500000000002</v>
      </c>
      <c r="Q1335" s="1" t="s">
        <v>1641</v>
      </c>
      <c r="R1335" s="1" t="s">
        <v>41</v>
      </c>
      <c r="T1335" s="1" t="s">
        <v>93</v>
      </c>
      <c r="U1335" s="1" t="s">
        <v>44</v>
      </c>
      <c r="X1335" s="1" t="s">
        <v>140</v>
      </c>
      <c r="AA1335" s="3">
        <v>36342</v>
      </c>
      <c r="AB1335" s="1" t="s">
        <v>46</v>
      </c>
      <c r="AC1335" s="5">
        <v>1125</v>
      </c>
      <c r="AD1335" s="1" t="s">
        <v>3357</v>
      </c>
      <c r="AE1335" s="1" t="str">
        <f t="shared" si="101"/>
        <v>6034 CTG121</v>
      </c>
      <c r="AF1335" s="5" t="str">
        <f t="shared" si="103"/>
        <v>85.3</v>
      </c>
      <c r="AG1335" s="1" t="str">
        <f t="shared" si="100"/>
        <v/>
      </c>
    </row>
    <row r="1336" spans="1:33" x14ac:dyDescent="0.2">
      <c r="A1336" s="1" t="s">
        <v>1621</v>
      </c>
      <c r="B1336" s="1" t="s">
        <v>3351</v>
      </c>
      <c r="C1336" s="1">
        <v>6034</v>
      </c>
      <c r="D1336" s="1" t="s">
        <v>1649</v>
      </c>
      <c r="F1336" s="1">
        <v>2023</v>
      </c>
      <c r="G1336" s="1" t="s">
        <v>461</v>
      </c>
      <c r="H1336" s="1" t="s">
        <v>1639</v>
      </c>
      <c r="I1336" s="1">
        <v>5</v>
      </c>
      <c r="J1336" s="1" t="s">
        <v>169</v>
      </c>
      <c r="K1336" s="1" t="s">
        <v>3352</v>
      </c>
      <c r="L1336" s="1" t="s">
        <v>3353</v>
      </c>
      <c r="M1336" s="1">
        <v>147</v>
      </c>
      <c r="N1336" s="1" t="s">
        <v>39</v>
      </c>
      <c r="O1336" s="1">
        <v>42.774799999999999</v>
      </c>
      <c r="P1336" s="1">
        <v>-82.494500000000002</v>
      </c>
      <c r="Q1336" s="1" t="s">
        <v>1641</v>
      </c>
      <c r="R1336" s="1" t="s">
        <v>41</v>
      </c>
      <c r="T1336" s="1" t="s">
        <v>93</v>
      </c>
      <c r="U1336" s="1" t="s">
        <v>44</v>
      </c>
      <c r="X1336" s="1" t="s">
        <v>140</v>
      </c>
      <c r="AA1336" s="3">
        <v>36342</v>
      </c>
      <c r="AB1336" s="1" t="s">
        <v>46</v>
      </c>
      <c r="AC1336" s="5">
        <v>1110</v>
      </c>
      <c r="AD1336" s="1" t="s">
        <v>3358</v>
      </c>
      <c r="AE1336" s="1" t="str">
        <f t="shared" si="101"/>
        <v>6034 CTG122</v>
      </c>
      <c r="AF1336" s="5" t="str">
        <f t="shared" si="103"/>
        <v>85.3</v>
      </c>
      <c r="AG1336" s="1" t="str">
        <f t="shared" si="100"/>
        <v/>
      </c>
    </row>
    <row r="1337" spans="1:33" x14ac:dyDescent="0.2">
      <c r="A1337" s="1" t="s">
        <v>1621</v>
      </c>
      <c r="B1337" s="1" t="s">
        <v>3351</v>
      </c>
      <c r="C1337" s="1">
        <v>6034</v>
      </c>
      <c r="D1337" s="1" t="s">
        <v>3359</v>
      </c>
      <c r="F1337" s="1">
        <v>2023</v>
      </c>
      <c r="G1337" s="1" t="s">
        <v>461</v>
      </c>
      <c r="H1337" s="1" t="s">
        <v>1639</v>
      </c>
      <c r="I1337" s="1">
        <v>5</v>
      </c>
      <c r="J1337" s="1" t="s">
        <v>169</v>
      </c>
      <c r="K1337" s="1" t="s">
        <v>3352</v>
      </c>
      <c r="L1337" s="1" t="s">
        <v>3353</v>
      </c>
      <c r="M1337" s="1">
        <v>147</v>
      </c>
      <c r="N1337" s="1" t="s">
        <v>39</v>
      </c>
      <c r="O1337" s="1">
        <v>42.774799999999999</v>
      </c>
      <c r="P1337" s="1">
        <v>-82.494500000000002</v>
      </c>
      <c r="Q1337" s="1" t="s">
        <v>1641</v>
      </c>
      <c r="R1337" s="1" t="s">
        <v>41</v>
      </c>
      <c r="T1337" s="1" t="s">
        <v>93</v>
      </c>
      <c r="U1337" s="1" t="s">
        <v>44</v>
      </c>
      <c r="X1337" s="1" t="s">
        <v>140</v>
      </c>
      <c r="AA1337" s="3">
        <v>36342</v>
      </c>
      <c r="AB1337" s="1" t="s">
        <v>46</v>
      </c>
      <c r="AC1337" s="5">
        <v>1125</v>
      </c>
      <c r="AD1337" s="1" t="s">
        <v>3360</v>
      </c>
      <c r="AE1337" s="1" t="str">
        <f t="shared" si="101"/>
        <v>6034 CTG131</v>
      </c>
      <c r="AF1337" s="5" t="str">
        <f t="shared" si="103"/>
        <v>85.3</v>
      </c>
      <c r="AG1337" s="1" t="str">
        <f t="shared" si="100"/>
        <v/>
      </c>
    </row>
    <row r="1338" spans="1:33" x14ac:dyDescent="0.2">
      <c r="A1338" s="1" t="s">
        <v>1621</v>
      </c>
      <c r="B1338" s="1" t="s">
        <v>3361</v>
      </c>
      <c r="C1338" s="1">
        <v>6035</v>
      </c>
      <c r="D1338" s="1">
        <v>1</v>
      </c>
      <c r="F1338" s="1">
        <v>2023</v>
      </c>
      <c r="G1338" s="1" t="s">
        <v>461</v>
      </c>
      <c r="H1338" s="1" t="s">
        <v>1639</v>
      </c>
      <c r="I1338" s="1">
        <v>5</v>
      </c>
      <c r="J1338" s="1" t="s">
        <v>169</v>
      </c>
      <c r="K1338" s="1" t="s">
        <v>3352</v>
      </c>
      <c r="L1338" s="1" t="s">
        <v>3353</v>
      </c>
      <c r="M1338" s="1">
        <v>147</v>
      </c>
      <c r="N1338" s="1" t="s">
        <v>39</v>
      </c>
      <c r="O1338" s="1">
        <v>43.105600000000003</v>
      </c>
      <c r="P1338" s="1">
        <v>-82.696399999999997</v>
      </c>
      <c r="Q1338" s="1" t="s">
        <v>1641</v>
      </c>
      <c r="R1338" s="1" t="s">
        <v>41</v>
      </c>
      <c r="T1338" s="1" t="s">
        <v>89</v>
      </c>
      <c r="U1338" s="1" t="s">
        <v>44</v>
      </c>
      <c r="V1338" s="1" t="s">
        <v>173</v>
      </c>
      <c r="AA1338" s="3">
        <v>28642</v>
      </c>
      <c r="AB1338" s="1" t="s">
        <v>46</v>
      </c>
      <c r="AC1338" s="5">
        <v>8500</v>
      </c>
      <c r="AD1338" s="1" t="s">
        <v>3362</v>
      </c>
      <c r="AE1338" s="1" t="str">
        <f t="shared" si="101"/>
        <v>6035 1</v>
      </c>
      <c r="AF1338" s="5" t="str">
        <f t="shared" si="103"/>
        <v>815.4</v>
      </c>
      <c r="AG1338" s="1" t="str">
        <f t="shared" si="100"/>
        <v/>
      </c>
    </row>
    <row r="1339" spans="1:33" x14ac:dyDescent="0.2">
      <c r="A1339" s="1" t="s">
        <v>1621</v>
      </c>
      <c r="B1339" s="1" t="s">
        <v>3361</v>
      </c>
      <c r="C1339" s="1">
        <v>6035</v>
      </c>
      <c r="D1339" s="1" t="s">
        <v>1638</v>
      </c>
      <c r="F1339" s="1">
        <v>2023</v>
      </c>
      <c r="G1339" s="1" t="s">
        <v>461</v>
      </c>
      <c r="H1339" s="1" t="s">
        <v>1639</v>
      </c>
      <c r="I1339" s="1">
        <v>5</v>
      </c>
      <c r="J1339" s="1" t="s">
        <v>169</v>
      </c>
      <c r="K1339" s="1" t="s">
        <v>3352</v>
      </c>
      <c r="L1339" s="1" t="s">
        <v>3353</v>
      </c>
      <c r="M1339" s="1">
        <v>147</v>
      </c>
      <c r="N1339" s="1" t="s">
        <v>39</v>
      </c>
      <c r="O1339" s="1">
        <v>43.105600000000003</v>
      </c>
      <c r="P1339" s="1">
        <v>-82.696399999999997</v>
      </c>
      <c r="Q1339" s="1" t="s">
        <v>1641</v>
      </c>
      <c r="R1339" s="1" t="s">
        <v>41</v>
      </c>
      <c r="T1339" s="1" t="s">
        <v>93</v>
      </c>
      <c r="U1339" s="1" t="s">
        <v>44</v>
      </c>
      <c r="X1339" s="1" t="s">
        <v>140</v>
      </c>
      <c r="AA1339" s="3">
        <v>36342</v>
      </c>
      <c r="AB1339" s="1" t="s">
        <v>46</v>
      </c>
      <c r="AC1339" s="5">
        <v>1200</v>
      </c>
      <c r="AD1339" s="1" t="s">
        <v>3363</v>
      </c>
      <c r="AE1339" s="1" t="str">
        <f t="shared" si="101"/>
        <v>6035 CTG111</v>
      </c>
      <c r="AF1339" s="5" t="str">
        <f t="shared" si="103"/>
        <v>85.3</v>
      </c>
      <c r="AG1339" s="1" t="str">
        <f t="shared" si="100"/>
        <v/>
      </c>
    </row>
    <row r="1340" spans="1:33" x14ac:dyDescent="0.2">
      <c r="A1340" s="1" t="s">
        <v>1621</v>
      </c>
      <c r="B1340" s="1" t="s">
        <v>3361</v>
      </c>
      <c r="C1340" s="1">
        <v>6035</v>
      </c>
      <c r="D1340" s="1" t="s">
        <v>3364</v>
      </c>
      <c r="F1340" s="1">
        <v>2023</v>
      </c>
      <c r="G1340" s="1" t="s">
        <v>461</v>
      </c>
      <c r="H1340" s="1" t="s">
        <v>1639</v>
      </c>
      <c r="I1340" s="1">
        <v>5</v>
      </c>
      <c r="J1340" s="1" t="s">
        <v>169</v>
      </c>
      <c r="K1340" s="1" t="s">
        <v>3352</v>
      </c>
      <c r="L1340" s="1" t="s">
        <v>3353</v>
      </c>
      <c r="M1340" s="1">
        <v>147</v>
      </c>
      <c r="N1340" s="1" t="s">
        <v>39</v>
      </c>
      <c r="O1340" s="1">
        <v>43.105600000000003</v>
      </c>
      <c r="P1340" s="1">
        <v>-82.696399999999997</v>
      </c>
      <c r="Q1340" s="1" t="s">
        <v>1641</v>
      </c>
      <c r="R1340" s="1" t="s">
        <v>41</v>
      </c>
      <c r="T1340" s="1" t="s">
        <v>93</v>
      </c>
      <c r="U1340" s="1" t="s">
        <v>44</v>
      </c>
      <c r="X1340" s="1" t="s">
        <v>140</v>
      </c>
      <c r="AA1340" s="3">
        <v>36342</v>
      </c>
      <c r="AB1340" s="1" t="s">
        <v>46</v>
      </c>
      <c r="AC1340" s="5">
        <v>1150</v>
      </c>
      <c r="AD1340" s="1" t="s">
        <v>3365</v>
      </c>
      <c r="AE1340" s="1" t="str">
        <f t="shared" si="101"/>
        <v>6035 CTG112</v>
      </c>
      <c r="AF1340" s="5" t="str">
        <f t="shared" si="103"/>
        <v>85.3</v>
      </c>
      <c r="AG1340" s="1" t="str">
        <f t="shared" si="100"/>
        <v/>
      </c>
    </row>
    <row r="1341" spans="1:33" x14ac:dyDescent="0.2">
      <c r="A1341" s="1" t="s">
        <v>1621</v>
      </c>
      <c r="B1341" s="1" t="s">
        <v>3361</v>
      </c>
      <c r="C1341" s="1">
        <v>6035</v>
      </c>
      <c r="D1341" s="1" t="s">
        <v>1643</v>
      </c>
      <c r="F1341" s="1">
        <v>2023</v>
      </c>
      <c r="G1341" s="1" t="s">
        <v>461</v>
      </c>
      <c r="H1341" s="1" t="s">
        <v>1639</v>
      </c>
      <c r="I1341" s="1">
        <v>5</v>
      </c>
      <c r="J1341" s="1" t="s">
        <v>169</v>
      </c>
      <c r="K1341" s="1" t="s">
        <v>3352</v>
      </c>
      <c r="L1341" s="1" t="s">
        <v>3353</v>
      </c>
      <c r="M1341" s="1">
        <v>147</v>
      </c>
      <c r="N1341" s="1" t="s">
        <v>39</v>
      </c>
      <c r="O1341" s="1">
        <v>43.105600000000003</v>
      </c>
      <c r="P1341" s="1">
        <v>-82.696399999999997</v>
      </c>
      <c r="Q1341" s="1" t="s">
        <v>1641</v>
      </c>
      <c r="R1341" s="1" t="s">
        <v>41</v>
      </c>
      <c r="T1341" s="1" t="s">
        <v>93</v>
      </c>
      <c r="U1341" s="1" t="s">
        <v>44</v>
      </c>
      <c r="X1341" s="1" t="s">
        <v>140</v>
      </c>
      <c r="AA1341" s="3">
        <v>36342</v>
      </c>
      <c r="AB1341" s="1" t="s">
        <v>46</v>
      </c>
      <c r="AC1341" s="5">
        <v>1150</v>
      </c>
      <c r="AD1341" s="1" t="s">
        <v>3366</v>
      </c>
      <c r="AE1341" s="1" t="str">
        <f t="shared" si="101"/>
        <v>6035 CTG121</v>
      </c>
      <c r="AF1341" s="5" t="str">
        <f t="shared" si="103"/>
        <v>85.3</v>
      </c>
      <c r="AG1341" s="1" t="str">
        <f t="shared" si="100"/>
        <v/>
      </c>
    </row>
    <row r="1342" spans="1:33" x14ac:dyDescent="0.2">
      <c r="A1342" s="1" t="s">
        <v>165</v>
      </c>
      <c r="B1342" s="1" t="s">
        <v>3367</v>
      </c>
      <c r="C1342" s="1">
        <v>6041</v>
      </c>
      <c r="D1342" s="1">
        <v>1</v>
      </c>
      <c r="F1342" s="1">
        <v>2023</v>
      </c>
      <c r="G1342" s="1" t="s">
        <v>1353</v>
      </c>
      <c r="H1342" s="1">
        <v>605834</v>
      </c>
      <c r="I1342" s="1">
        <v>4</v>
      </c>
      <c r="J1342" s="1" t="s">
        <v>169</v>
      </c>
      <c r="K1342" s="1" t="s">
        <v>3368</v>
      </c>
      <c r="L1342" s="1" t="s">
        <v>3369</v>
      </c>
      <c r="M1342" s="1">
        <v>161</v>
      </c>
      <c r="N1342" s="1" t="s">
        <v>39</v>
      </c>
      <c r="O1342" s="1">
        <v>38.700000000000003</v>
      </c>
      <c r="P1342" s="1">
        <v>-83.817499999999995</v>
      </c>
      <c r="Q1342" s="1" t="s">
        <v>172</v>
      </c>
      <c r="R1342" s="1" t="s">
        <v>120</v>
      </c>
      <c r="S1342" s="1" t="s">
        <v>121</v>
      </c>
      <c r="T1342" s="1" t="s">
        <v>89</v>
      </c>
      <c r="U1342" s="1" t="s">
        <v>55</v>
      </c>
      <c r="W1342" s="1" t="s">
        <v>56</v>
      </c>
      <c r="X1342" s="1" t="s">
        <v>3306</v>
      </c>
      <c r="Y1342" s="1" t="s">
        <v>3370</v>
      </c>
      <c r="AA1342" s="3">
        <v>28369</v>
      </c>
      <c r="AB1342" s="1" t="s">
        <v>46</v>
      </c>
      <c r="AC1342" s="5">
        <v>3641</v>
      </c>
      <c r="AD1342" s="1" t="s">
        <v>3371</v>
      </c>
      <c r="AE1342" s="1" t="str">
        <f t="shared" si="101"/>
        <v>6041 1</v>
      </c>
      <c r="AF1342" s="5" t="str">
        <f t="shared" si="103"/>
        <v>340</v>
      </c>
      <c r="AG1342" s="1" t="str">
        <f t="shared" si="100"/>
        <v>Y</v>
      </c>
    </row>
    <row r="1343" spans="1:33" x14ac:dyDescent="0.2">
      <c r="A1343" s="1" t="s">
        <v>165</v>
      </c>
      <c r="B1343" s="1" t="s">
        <v>3367</v>
      </c>
      <c r="C1343" s="1">
        <v>6041</v>
      </c>
      <c r="D1343" s="1">
        <v>2</v>
      </c>
      <c r="F1343" s="1">
        <v>2023</v>
      </c>
      <c r="G1343" s="1" t="s">
        <v>1353</v>
      </c>
      <c r="H1343" s="1">
        <v>605834</v>
      </c>
      <c r="I1343" s="1">
        <v>4</v>
      </c>
      <c r="J1343" s="1" t="s">
        <v>169</v>
      </c>
      <c r="K1343" s="1" t="s">
        <v>3368</v>
      </c>
      <c r="L1343" s="1" t="s">
        <v>3369</v>
      </c>
      <c r="M1343" s="1">
        <v>161</v>
      </c>
      <c r="N1343" s="1" t="s">
        <v>39</v>
      </c>
      <c r="O1343" s="1">
        <v>38.700000000000003</v>
      </c>
      <c r="P1343" s="1">
        <v>-83.817499999999995</v>
      </c>
      <c r="Q1343" s="1" t="s">
        <v>172</v>
      </c>
      <c r="R1343" s="1" t="s">
        <v>41</v>
      </c>
      <c r="S1343" s="1" t="s">
        <v>211</v>
      </c>
      <c r="T1343" s="1" t="s">
        <v>43</v>
      </c>
      <c r="U1343" s="1" t="s">
        <v>55</v>
      </c>
      <c r="W1343" s="1" t="s">
        <v>56</v>
      </c>
      <c r="X1343" s="1" t="s">
        <v>299</v>
      </c>
      <c r="Y1343" s="1" t="s">
        <v>3372</v>
      </c>
      <c r="AA1343" s="3">
        <v>29647</v>
      </c>
      <c r="AB1343" s="1" t="s">
        <v>46</v>
      </c>
      <c r="AC1343" s="5">
        <v>6314.9</v>
      </c>
      <c r="AD1343" s="1" t="s">
        <v>3373</v>
      </c>
      <c r="AE1343" s="1" t="str">
        <f t="shared" si="101"/>
        <v>6041 2</v>
      </c>
      <c r="AF1343" s="5" t="str">
        <f t="shared" si="103"/>
        <v>610</v>
      </c>
      <c r="AG1343" s="1" t="str">
        <f t="shared" si="100"/>
        <v>Y</v>
      </c>
    </row>
    <row r="1344" spans="1:33" x14ac:dyDescent="0.2">
      <c r="A1344" s="1" t="s">
        <v>165</v>
      </c>
      <c r="B1344" s="1" t="s">
        <v>3367</v>
      </c>
      <c r="C1344" s="1">
        <v>6041</v>
      </c>
      <c r="D1344" s="1">
        <v>3</v>
      </c>
      <c r="F1344" s="1">
        <v>2023</v>
      </c>
      <c r="G1344" s="1" t="s">
        <v>1353</v>
      </c>
      <c r="H1344" s="1">
        <v>605834</v>
      </c>
      <c r="I1344" s="1">
        <v>4</v>
      </c>
      <c r="J1344" s="1" t="s">
        <v>169</v>
      </c>
      <c r="K1344" s="1" t="s">
        <v>3368</v>
      </c>
      <c r="L1344" s="1" t="s">
        <v>3369</v>
      </c>
      <c r="M1344" s="1">
        <v>161</v>
      </c>
      <c r="N1344" s="1" t="s">
        <v>39</v>
      </c>
      <c r="O1344" s="1">
        <v>38.700000000000003</v>
      </c>
      <c r="P1344" s="1">
        <v>-83.817499999999995</v>
      </c>
      <c r="Q1344" s="1" t="s">
        <v>172</v>
      </c>
      <c r="R1344" s="1" t="s">
        <v>41</v>
      </c>
      <c r="T1344" s="1" t="s">
        <v>885</v>
      </c>
      <c r="U1344" s="1" t="s">
        <v>55</v>
      </c>
      <c r="W1344" s="1" t="s">
        <v>3374</v>
      </c>
      <c r="X1344" s="1" t="s">
        <v>669</v>
      </c>
      <c r="Y1344" s="1" t="s">
        <v>232</v>
      </c>
      <c r="AA1344" s="3">
        <v>38412</v>
      </c>
      <c r="AB1344" s="1" t="s">
        <v>46</v>
      </c>
      <c r="AC1344" s="5">
        <v>3112.5</v>
      </c>
      <c r="AD1344" s="1" t="s">
        <v>3375</v>
      </c>
      <c r="AE1344" s="1" t="str">
        <f t="shared" si="101"/>
        <v>6041 3</v>
      </c>
      <c r="AF1344" s="5" t="str">
        <f t="shared" si="103"/>
        <v>294</v>
      </c>
      <c r="AG1344" s="1" t="str">
        <f t="shared" si="100"/>
        <v>Y</v>
      </c>
    </row>
    <row r="1345" spans="1:33" x14ac:dyDescent="0.2">
      <c r="A1345" s="1" t="s">
        <v>165</v>
      </c>
      <c r="B1345" s="1" t="s">
        <v>3367</v>
      </c>
      <c r="C1345" s="1">
        <v>6041</v>
      </c>
      <c r="D1345" s="1">
        <v>4</v>
      </c>
      <c r="F1345" s="1">
        <v>2023</v>
      </c>
      <c r="G1345" s="1" t="s">
        <v>1353</v>
      </c>
      <c r="H1345" s="1">
        <v>605834</v>
      </c>
      <c r="I1345" s="1">
        <v>4</v>
      </c>
      <c r="J1345" s="1" t="s">
        <v>169</v>
      </c>
      <c r="K1345" s="1" t="s">
        <v>3368</v>
      </c>
      <c r="L1345" s="1" t="s">
        <v>3369</v>
      </c>
      <c r="M1345" s="1">
        <v>161</v>
      </c>
      <c r="N1345" s="1" t="s">
        <v>39</v>
      </c>
      <c r="O1345" s="1">
        <v>38.700000000000003</v>
      </c>
      <c r="P1345" s="1">
        <v>-83.817499999999995</v>
      </c>
      <c r="Q1345" s="1" t="s">
        <v>172</v>
      </c>
      <c r="R1345" s="1" t="s">
        <v>41</v>
      </c>
      <c r="T1345" s="1" t="s">
        <v>885</v>
      </c>
      <c r="U1345" s="1" t="s">
        <v>55</v>
      </c>
      <c r="W1345" s="1" t="s">
        <v>3374</v>
      </c>
      <c r="X1345" s="1" t="s">
        <v>669</v>
      </c>
      <c r="Y1345" s="1" t="s">
        <v>232</v>
      </c>
      <c r="AA1345" s="3">
        <v>39790</v>
      </c>
      <c r="AB1345" s="1" t="s">
        <v>46</v>
      </c>
      <c r="AC1345" s="5">
        <v>2800</v>
      </c>
      <c r="AD1345" s="1" t="s">
        <v>3376</v>
      </c>
      <c r="AE1345" s="1" t="str">
        <f t="shared" si="101"/>
        <v>6041 4</v>
      </c>
      <c r="AF1345" s="5" t="str">
        <f t="shared" si="103"/>
        <v>300</v>
      </c>
      <c r="AG1345" s="1" t="str">
        <f t="shared" si="100"/>
        <v>Y</v>
      </c>
    </row>
    <row r="1346" spans="1:33" x14ac:dyDescent="0.2">
      <c r="A1346" s="1" t="s">
        <v>304</v>
      </c>
      <c r="B1346" s="1" t="s">
        <v>3377</v>
      </c>
      <c r="C1346" s="1">
        <v>6042</v>
      </c>
      <c r="D1346" s="1" t="s">
        <v>3378</v>
      </c>
      <c r="F1346" s="1">
        <v>2023</v>
      </c>
      <c r="G1346" s="1" t="s">
        <v>247</v>
      </c>
      <c r="H1346" s="1">
        <v>606322</v>
      </c>
      <c r="I1346" s="1">
        <v>4</v>
      </c>
      <c r="K1346" s="1" t="s">
        <v>3379</v>
      </c>
      <c r="L1346" s="1" t="s">
        <v>3380</v>
      </c>
      <c r="M1346" s="1">
        <v>81</v>
      </c>
      <c r="N1346" s="1" t="s">
        <v>39</v>
      </c>
      <c r="O1346" s="1">
        <v>27.605799999999999</v>
      </c>
      <c r="P1346" s="1">
        <v>-82.345600000000005</v>
      </c>
      <c r="Q1346" s="1" t="s">
        <v>702</v>
      </c>
      <c r="R1346" s="1" t="s">
        <v>41</v>
      </c>
      <c r="T1346" s="1" t="s">
        <v>71</v>
      </c>
      <c r="U1346" s="1" t="s">
        <v>44</v>
      </c>
      <c r="X1346" s="1" t="s">
        <v>64</v>
      </c>
      <c r="AA1346" s="3">
        <v>38495</v>
      </c>
      <c r="AB1346" s="1" t="s">
        <v>46</v>
      </c>
      <c r="AC1346" s="5">
        <v>2294.5</v>
      </c>
      <c r="AD1346" s="1" t="s">
        <v>3381</v>
      </c>
      <c r="AE1346" s="1" t="str">
        <f t="shared" si="101"/>
        <v>6042 MTCT3A</v>
      </c>
      <c r="AF1346" s="14">
        <f>MID(AD1346,FIND("(",AD1346)+1,FIND(")",AD1346)-FIND("(",AD1346)-1)+471.8/4</f>
        <v>306.14999999999998</v>
      </c>
      <c r="AG1346" s="1" t="str">
        <f t="shared" ref="AG1346:AG1409" si="104">IF(ISNUMBER(SEARCH("selective", X1346)), "Y", "")</f>
        <v>Y</v>
      </c>
    </row>
    <row r="1347" spans="1:33" x14ac:dyDescent="0.2">
      <c r="A1347" s="1" t="s">
        <v>304</v>
      </c>
      <c r="B1347" s="1" t="s">
        <v>3377</v>
      </c>
      <c r="C1347" s="1">
        <v>6042</v>
      </c>
      <c r="D1347" s="1" t="s">
        <v>3382</v>
      </c>
      <c r="F1347" s="1">
        <v>2023</v>
      </c>
      <c r="G1347" s="1" t="s">
        <v>247</v>
      </c>
      <c r="H1347" s="1">
        <v>606322</v>
      </c>
      <c r="I1347" s="1">
        <v>4</v>
      </c>
      <c r="K1347" s="1" t="s">
        <v>3379</v>
      </c>
      <c r="L1347" s="1" t="s">
        <v>3380</v>
      </c>
      <c r="M1347" s="1">
        <v>81</v>
      </c>
      <c r="N1347" s="1" t="s">
        <v>39</v>
      </c>
      <c r="O1347" s="1">
        <v>27.605799999999999</v>
      </c>
      <c r="P1347" s="1">
        <v>-82.345600000000005</v>
      </c>
      <c r="Q1347" s="1" t="s">
        <v>702</v>
      </c>
      <c r="R1347" s="1" t="s">
        <v>41</v>
      </c>
      <c r="T1347" s="1" t="s">
        <v>71</v>
      </c>
      <c r="U1347" s="1" t="s">
        <v>44</v>
      </c>
      <c r="X1347" s="1" t="s">
        <v>64</v>
      </c>
      <c r="AA1347" s="3">
        <v>38495</v>
      </c>
      <c r="AB1347" s="1" t="s">
        <v>46</v>
      </c>
      <c r="AC1347" s="5">
        <v>2294.5</v>
      </c>
      <c r="AD1347" s="1" t="s">
        <v>3383</v>
      </c>
      <c r="AE1347" s="1" t="str">
        <f t="shared" ref="AE1347:AE1410" si="105">C1347&amp;" "&amp;D1347</f>
        <v>6042 MTCT3B</v>
      </c>
      <c r="AF1347" s="14">
        <f>AF1346</f>
        <v>306.14999999999998</v>
      </c>
      <c r="AG1347" s="1" t="str">
        <f t="shared" si="104"/>
        <v>Y</v>
      </c>
    </row>
    <row r="1348" spans="1:33" x14ac:dyDescent="0.2">
      <c r="A1348" s="1" t="s">
        <v>304</v>
      </c>
      <c r="B1348" s="1" t="s">
        <v>3377</v>
      </c>
      <c r="C1348" s="1">
        <v>6042</v>
      </c>
      <c r="D1348" s="1" t="s">
        <v>3384</v>
      </c>
      <c r="F1348" s="1">
        <v>2023</v>
      </c>
      <c r="G1348" s="1" t="s">
        <v>247</v>
      </c>
      <c r="H1348" s="1">
        <v>606322</v>
      </c>
      <c r="I1348" s="1">
        <v>4</v>
      </c>
      <c r="K1348" s="1" t="s">
        <v>3379</v>
      </c>
      <c r="L1348" s="1" t="s">
        <v>3380</v>
      </c>
      <c r="M1348" s="1">
        <v>81</v>
      </c>
      <c r="N1348" s="1" t="s">
        <v>39</v>
      </c>
      <c r="O1348" s="1">
        <v>27.605799999999999</v>
      </c>
      <c r="P1348" s="1">
        <v>-82.345600000000005</v>
      </c>
      <c r="Q1348" s="1" t="s">
        <v>702</v>
      </c>
      <c r="R1348" s="1" t="s">
        <v>41</v>
      </c>
      <c r="T1348" s="1" t="s">
        <v>71</v>
      </c>
      <c r="U1348" s="1" t="s">
        <v>44</v>
      </c>
      <c r="X1348" s="1" t="s">
        <v>64</v>
      </c>
      <c r="AA1348" s="3">
        <v>38495</v>
      </c>
      <c r="AB1348" s="1" t="s">
        <v>46</v>
      </c>
      <c r="AC1348" s="5">
        <v>2294.5</v>
      </c>
      <c r="AD1348" s="1" t="s">
        <v>3385</v>
      </c>
      <c r="AE1348" s="1" t="str">
        <f t="shared" si="105"/>
        <v>6042 MTCT3C</v>
      </c>
      <c r="AF1348" s="14">
        <f>AF1346</f>
        <v>306.14999999999998</v>
      </c>
      <c r="AG1348" s="1" t="str">
        <f t="shared" si="104"/>
        <v>Y</v>
      </c>
    </row>
    <row r="1349" spans="1:33" x14ac:dyDescent="0.2">
      <c r="A1349" s="1" t="s">
        <v>304</v>
      </c>
      <c r="B1349" s="1" t="s">
        <v>3377</v>
      </c>
      <c r="C1349" s="1">
        <v>6042</v>
      </c>
      <c r="D1349" s="1" t="s">
        <v>3386</v>
      </c>
      <c r="F1349" s="1">
        <v>2023</v>
      </c>
      <c r="G1349" s="1" t="s">
        <v>247</v>
      </c>
      <c r="H1349" s="1">
        <v>606322</v>
      </c>
      <c r="I1349" s="1">
        <v>4</v>
      </c>
      <c r="K1349" s="1" t="s">
        <v>3379</v>
      </c>
      <c r="L1349" s="1" t="s">
        <v>3380</v>
      </c>
      <c r="M1349" s="1">
        <v>81</v>
      </c>
      <c r="N1349" s="1" t="s">
        <v>39</v>
      </c>
      <c r="O1349" s="1">
        <v>27.605799999999999</v>
      </c>
      <c r="P1349" s="1">
        <v>-82.345600000000005</v>
      </c>
      <c r="Q1349" s="1" t="s">
        <v>702</v>
      </c>
      <c r="R1349" s="1" t="s">
        <v>41</v>
      </c>
      <c r="T1349" s="1" t="s">
        <v>71</v>
      </c>
      <c r="U1349" s="1" t="s">
        <v>44</v>
      </c>
      <c r="X1349" s="1" t="s">
        <v>64</v>
      </c>
      <c r="AA1349" s="3">
        <v>38495</v>
      </c>
      <c r="AB1349" s="1" t="s">
        <v>46</v>
      </c>
      <c r="AC1349" s="5">
        <v>2294.5</v>
      </c>
      <c r="AD1349" s="1" t="s">
        <v>3387</v>
      </c>
      <c r="AE1349" s="1" t="str">
        <f t="shared" si="105"/>
        <v>6042 MTCT3D</v>
      </c>
      <c r="AF1349" s="14">
        <f>AF1346</f>
        <v>306.14999999999998</v>
      </c>
      <c r="AG1349" s="1" t="str">
        <f t="shared" si="104"/>
        <v>Y</v>
      </c>
    </row>
    <row r="1350" spans="1:33" x14ac:dyDescent="0.2">
      <c r="A1350" s="1" t="s">
        <v>304</v>
      </c>
      <c r="B1350" s="1" t="s">
        <v>3377</v>
      </c>
      <c r="C1350" s="1">
        <v>6042</v>
      </c>
      <c r="D1350" s="1" t="s">
        <v>3388</v>
      </c>
      <c r="F1350" s="1">
        <v>2023</v>
      </c>
      <c r="G1350" s="1" t="s">
        <v>247</v>
      </c>
      <c r="H1350" s="1">
        <v>606322</v>
      </c>
      <c r="I1350" s="1">
        <v>4</v>
      </c>
      <c r="K1350" s="1" t="s">
        <v>3379</v>
      </c>
      <c r="L1350" s="1" t="s">
        <v>3380</v>
      </c>
      <c r="M1350" s="1">
        <v>81</v>
      </c>
      <c r="N1350" s="1" t="s">
        <v>39</v>
      </c>
      <c r="O1350" s="1">
        <v>27.605799999999999</v>
      </c>
      <c r="P1350" s="1">
        <v>-82.345600000000005</v>
      </c>
      <c r="Q1350" s="1" t="s">
        <v>702</v>
      </c>
      <c r="R1350" s="1" t="s">
        <v>41</v>
      </c>
      <c r="T1350" s="1" t="s">
        <v>89</v>
      </c>
      <c r="U1350" s="1" t="s">
        <v>44</v>
      </c>
      <c r="V1350" s="1" t="s">
        <v>173</v>
      </c>
      <c r="X1350" s="1" t="s">
        <v>90</v>
      </c>
      <c r="Y1350" s="1" t="s">
        <v>672</v>
      </c>
      <c r="AA1350" s="3">
        <v>28059</v>
      </c>
      <c r="AB1350" s="1" t="s">
        <v>46</v>
      </c>
      <c r="AC1350" s="5">
        <v>8650</v>
      </c>
      <c r="AD1350" s="1" t="s">
        <v>3389</v>
      </c>
      <c r="AE1350" s="1" t="str">
        <f t="shared" si="105"/>
        <v>6042 PMT1</v>
      </c>
      <c r="AF1350" s="5" t="str">
        <f>MID(AD1350,FIND("(",AD1350)+1,FIND(")",AD1350)-FIND("(",AD1350)-1)</f>
        <v>863.3</v>
      </c>
      <c r="AG1350" s="1" t="str">
        <f t="shared" si="104"/>
        <v/>
      </c>
    </row>
    <row r="1351" spans="1:33" x14ac:dyDescent="0.2">
      <c r="A1351" s="1" t="s">
        <v>304</v>
      </c>
      <c r="B1351" s="1" t="s">
        <v>3377</v>
      </c>
      <c r="C1351" s="1">
        <v>6042</v>
      </c>
      <c r="D1351" s="1" t="s">
        <v>3390</v>
      </c>
      <c r="F1351" s="1">
        <v>2023</v>
      </c>
      <c r="G1351" s="1" t="s">
        <v>247</v>
      </c>
      <c r="H1351" s="1">
        <v>606322</v>
      </c>
      <c r="I1351" s="1">
        <v>4</v>
      </c>
      <c r="K1351" s="1" t="s">
        <v>3379</v>
      </c>
      <c r="L1351" s="1" t="s">
        <v>3380</v>
      </c>
      <c r="M1351" s="1">
        <v>81</v>
      </c>
      <c r="N1351" s="1" t="s">
        <v>39</v>
      </c>
      <c r="O1351" s="1">
        <v>27.605799999999999</v>
      </c>
      <c r="P1351" s="1">
        <v>-82.345600000000005</v>
      </c>
      <c r="Q1351" s="1" t="s">
        <v>702</v>
      </c>
      <c r="R1351" s="1" t="s">
        <v>41</v>
      </c>
      <c r="T1351" s="1" t="s">
        <v>89</v>
      </c>
      <c r="U1351" s="1" t="s">
        <v>44</v>
      </c>
      <c r="V1351" s="1" t="s">
        <v>173</v>
      </c>
      <c r="X1351" s="1" t="s">
        <v>90</v>
      </c>
      <c r="Y1351" s="1" t="s">
        <v>672</v>
      </c>
      <c r="AA1351" s="3">
        <v>28466</v>
      </c>
      <c r="AB1351" s="1" t="s">
        <v>46</v>
      </c>
      <c r="AC1351" s="5">
        <v>8650</v>
      </c>
      <c r="AD1351" s="1" t="s">
        <v>3391</v>
      </c>
      <c r="AE1351" s="1" t="str">
        <f t="shared" si="105"/>
        <v>6042 PMT2</v>
      </c>
      <c r="AF1351" s="5" t="str">
        <f>MID(AD1351,FIND("(",AD1351)+1,FIND(")",AD1351)-FIND("(",AD1351)-1)</f>
        <v>863.3</v>
      </c>
      <c r="AG1351" s="1" t="str">
        <f t="shared" si="104"/>
        <v/>
      </c>
    </row>
    <row r="1352" spans="1:33" x14ac:dyDescent="0.2">
      <c r="A1352" s="1" t="s">
        <v>304</v>
      </c>
      <c r="B1352" s="1" t="s">
        <v>3392</v>
      </c>
      <c r="C1352" s="1">
        <v>6043</v>
      </c>
      <c r="D1352" s="1" t="s">
        <v>3393</v>
      </c>
      <c r="F1352" s="1">
        <v>2023</v>
      </c>
      <c r="G1352" s="1" t="s">
        <v>247</v>
      </c>
      <c r="H1352" s="1">
        <v>606322</v>
      </c>
      <c r="I1352" s="1">
        <v>4</v>
      </c>
      <c r="J1352" s="1" t="s">
        <v>36</v>
      </c>
      <c r="K1352" s="1" t="s">
        <v>3394</v>
      </c>
      <c r="L1352" s="1" t="s">
        <v>3395</v>
      </c>
      <c r="M1352" s="1">
        <v>85</v>
      </c>
      <c r="N1352" s="1" t="s">
        <v>39</v>
      </c>
      <c r="O1352" s="1">
        <v>27.053599999999999</v>
      </c>
      <c r="P1352" s="1">
        <v>-80.562799999999996</v>
      </c>
      <c r="Q1352" s="1" t="s">
        <v>702</v>
      </c>
      <c r="R1352" s="1" t="s">
        <v>41</v>
      </c>
      <c r="T1352" s="1" t="s">
        <v>71</v>
      </c>
      <c r="U1352" s="1" t="s">
        <v>44</v>
      </c>
      <c r="X1352" s="1" t="s">
        <v>140</v>
      </c>
      <c r="AA1352" s="3">
        <v>34121</v>
      </c>
      <c r="AB1352" s="1" t="s">
        <v>46</v>
      </c>
      <c r="AC1352" s="5">
        <v>2022</v>
      </c>
      <c r="AD1352" s="1" t="s">
        <v>3396</v>
      </c>
      <c r="AE1352" s="1" t="str">
        <f t="shared" si="105"/>
        <v>6043 HRSG3A</v>
      </c>
      <c r="AF1352" s="14">
        <f>AF1353</f>
        <v>306</v>
      </c>
      <c r="AG1352" s="1" t="str">
        <f t="shared" si="104"/>
        <v/>
      </c>
    </row>
    <row r="1353" spans="1:33" x14ac:dyDescent="0.2">
      <c r="A1353" s="1" t="s">
        <v>304</v>
      </c>
      <c r="B1353" s="1" t="s">
        <v>3392</v>
      </c>
      <c r="C1353" s="1">
        <v>6043</v>
      </c>
      <c r="D1353" s="1" t="s">
        <v>3397</v>
      </c>
      <c r="F1353" s="1">
        <v>2023</v>
      </c>
      <c r="G1353" s="1" t="s">
        <v>247</v>
      </c>
      <c r="H1353" s="1">
        <v>606322</v>
      </c>
      <c r="I1353" s="1">
        <v>4</v>
      </c>
      <c r="J1353" s="1" t="s">
        <v>36</v>
      </c>
      <c r="K1353" s="1" t="s">
        <v>3394</v>
      </c>
      <c r="L1353" s="1" t="s">
        <v>3395</v>
      </c>
      <c r="M1353" s="1">
        <v>85</v>
      </c>
      <c r="N1353" s="1" t="s">
        <v>39</v>
      </c>
      <c r="O1353" s="1">
        <v>27.053599999999999</v>
      </c>
      <c r="P1353" s="1">
        <v>-80.562799999999996</v>
      </c>
      <c r="Q1353" s="1" t="s">
        <v>702</v>
      </c>
      <c r="R1353" s="1" t="s">
        <v>41</v>
      </c>
      <c r="T1353" s="1" t="s">
        <v>71</v>
      </c>
      <c r="U1353" s="1" t="s">
        <v>44</v>
      </c>
      <c r="X1353" s="1" t="s">
        <v>140</v>
      </c>
      <c r="AA1353" s="3">
        <v>34121</v>
      </c>
      <c r="AB1353" s="1" t="s">
        <v>46</v>
      </c>
      <c r="AC1353" s="5">
        <v>2022</v>
      </c>
      <c r="AD1353" s="1" t="s">
        <v>3398</v>
      </c>
      <c r="AE1353" s="1" t="str">
        <f t="shared" si="105"/>
        <v>6043 HRSG3B</v>
      </c>
      <c r="AF1353" s="14">
        <f>MID(AD1353,FIND("(",AD1353)+1,FIND(")",AD1353)-FIND("(",AD1353)-1)+204/2</f>
        <v>306</v>
      </c>
      <c r="AG1353" s="1" t="str">
        <f t="shared" si="104"/>
        <v/>
      </c>
    </row>
    <row r="1354" spans="1:33" x14ac:dyDescent="0.2">
      <c r="A1354" s="1" t="s">
        <v>304</v>
      </c>
      <c r="B1354" s="1" t="s">
        <v>3392</v>
      </c>
      <c r="C1354" s="1">
        <v>6043</v>
      </c>
      <c r="D1354" s="1" t="s">
        <v>3399</v>
      </c>
      <c r="F1354" s="1">
        <v>2023</v>
      </c>
      <c r="G1354" s="1" t="s">
        <v>247</v>
      </c>
      <c r="H1354" s="1">
        <v>606322</v>
      </c>
      <c r="I1354" s="1">
        <v>4</v>
      </c>
      <c r="J1354" s="1" t="s">
        <v>36</v>
      </c>
      <c r="K1354" s="1" t="s">
        <v>3394</v>
      </c>
      <c r="L1354" s="1" t="s">
        <v>3395</v>
      </c>
      <c r="M1354" s="1">
        <v>85</v>
      </c>
      <c r="N1354" s="1" t="s">
        <v>39</v>
      </c>
      <c r="O1354" s="1">
        <v>27.053599999999999</v>
      </c>
      <c r="P1354" s="1">
        <v>-80.562799999999996</v>
      </c>
      <c r="Q1354" s="1" t="s">
        <v>702</v>
      </c>
      <c r="R1354" s="1" t="s">
        <v>41</v>
      </c>
      <c r="T1354" s="1" t="s">
        <v>71</v>
      </c>
      <c r="U1354" s="1" t="s">
        <v>44</v>
      </c>
      <c r="X1354" s="1" t="s">
        <v>140</v>
      </c>
      <c r="AA1354" s="3">
        <v>34132</v>
      </c>
      <c r="AB1354" s="1" t="s">
        <v>46</v>
      </c>
      <c r="AC1354" s="5">
        <v>2022</v>
      </c>
      <c r="AD1354" s="1" t="s">
        <v>3400</v>
      </c>
      <c r="AE1354" s="1" t="str">
        <f t="shared" si="105"/>
        <v>6043 HRSG4A</v>
      </c>
      <c r="AF1354" s="14">
        <f>MID(AD1354,FIND("(",AD1354)+1,FIND(")",AD1354)-FIND("(",AD1354)-1)+204/2</f>
        <v>306</v>
      </c>
      <c r="AG1354" s="1" t="str">
        <f t="shared" si="104"/>
        <v/>
      </c>
    </row>
    <row r="1355" spans="1:33" x14ac:dyDescent="0.2">
      <c r="A1355" s="1" t="s">
        <v>304</v>
      </c>
      <c r="B1355" s="1" t="s">
        <v>3392</v>
      </c>
      <c r="C1355" s="1">
        <v>6043</v>
      </c>
      <c r="D1355" s="1" t="s">
        <v>3401</v>
      </c>
      <c r="F1355" s="1">
        <v>2023</v>
      </c>
      <c r="G1355" s="1" t="s">
        <v>247</v>
      </c>
      <c r="H1355" s="1">
        <v>606322</v>
      </c>
      <c r="I1355" s="1">
        <v>4</v>
      </c>
      <c r="J1355" s="1" t="s">
        <v>36</v>
      </c>
      <c r="K1355" s="1" t="s">
        <v>3394</v>
      </c>
      <c r="L1355" s="1" t="s">
        <v>3395</v>
      </c>
      <c r="M1355" s="1">
        <v>85</v>
      </c>
      <c r="N1355" s="1" t="s">
        <v>39</v>
      </c>
      <c r="O1355" s="1">
        <v>27.053599999999999</v>
      </c>
      <c r="P1355" s="1">
        <v>-80.562799999999996</v>
      </c>
      <c r="Q1355" s="1" t="s">
        <v>702</v>
      </c>
      <c r="R1355" s="1" t="s">
        <v>41</v>
      </c>
      <c r="T1355" s="1" t="s">
        <v>71</v>
      </c>
      <c r="U1355" s="1" t="s">
        <v>44</v>
      </c>
      <c r="X1355" s="1" t="s">
        <v>140</v>
      </c>
      <c r="AA1355" s="3">
        <v>34132</v>
      </c>
      <c r="AB1355" s="1" t="s">
        <v>46</v>
      </c>
      <c r="AC1355" s="5">
        <v>2022</v>
      </c>
      <c r="AD1355" s="1" t="s">
        <v>3402</v>
      </c>
      <c r="AE1355" s="1" t="str">
        <f t="shared" si="105"/>
        <v>6043 HRSG4B</v>
      </c>
      <c r="AF1355" s="14">
        <f>AF1354</f>
        <v>306</v>
      </c>
      <c r="AG1355" s="1" t="str">
        <f t="shared" si="104"/>
        <v/>
      </c>
    </row>
    <row r="1356" spans="1:33" x14ac:dyDescent="0.2">
      <c r="A1356" s="1" t="s">
        <v>304</v>
      </c>
      <c r="B1356" s="1" t="s">
        <v>3392</v>
      </c>
      <c r="C1356" s="1">
        <v>6043</v>
      </c>
      <c r="D1356" s="1" t="s">
        <v>3403</v>
      </c>
      <c r="F1356" s="1">
        <v>2023</v>
      </c>
      <c r="G1356" s="1" t="s">
        <v>247</v>
      </c>
      <c r="H1356" s="1">
        <v>606322</v>
      </c>
      <c r="I1356" s="1">
        <v>4</v>
      </c>
      <c r="J1356" s="1" t="s">
        <v>36</v>
      </c>
      <c r="K1356" s="1" t="s">
        <v>3394</v>
      </c>
      <c r="L1356" s="1" t="s">
        <v>3395</v>
      </c>
      <c r="M1356" s="1">
        <v>85</v>
      </c>
      <c r="N1356" s="1" t="s">
        <v>39</v>
      </c>
      <c r="O1356" s="1">
        <v>27.053599999999999</v>
      </c>
      <c r="P1356" s="1">
        <v>-80.562799999999996</v>
      </c>
      <c r="Q1356" s="1" t="s">
        <v>702</v>
      </c>
      <c r="R1356" s="1" t="s">
        <v>41</v>
      </c>
      <c r="T1356" s="1" t="s">
        <v>71</v>
      </c>
      <c r="U1356" s="1" t="s">
        <v>44</v>
      </c>
      <c r="V1356" s="1" t="s">
        <v>94</v>
      </c>
      <c r="X1356" s="1" t="s">
        <v>3404</v>
      </c>
      <c r="AA1356" s="3">
        <v>37056</v>
      </c>
      <c r="AB1356" s="1" t="s">
        <v>46</v>
      </c>
      <c r="AC1356" s="5">
        <v>2306</v>
      </c>
      <c r="AD1356" s="1" t="s">
        <v>3405</v>
      </c>
      <c r="AE1356" s="1" t="str">
        <f t="shared" si="105"/>
        <v>6043 PMR8A</v>
      </c>
      <c r="AF1356" s="14">
        <f>AF1357</f>
        <v>306.125</v>
      </c>
      <c r="AG1356" s="1" t="str">
        <f t="shared" si="104"/>
        <v>Y</v>
      </c>
    </row>
    <row r="1357" spans="1:33" x14ac:dyDescent="0.2">
      <c r="A1357" s="1" t="s">
        <v>304</v>
      </c>
      <c r="B1357" s="1" t="s">
        <v>3392</v>
      </c>
      <c r="C1357" s="1">
        <v>6043</v>
      </c>
      <c r="D1357" s="1" t="s">
        <v>3406</v>
      </c>
      <c r="F1357" s="1">
        <v>2023</v>
      </c>
      <c r="G1357" s="1" t="s">
        <v>247</v>
      </c>
      <c r="H1357" s="1">
        <v>606322</v>
      </c>
      <c r="I1357" s="1">
        <v>4</v>
      </c>
      <c r="J1357" s="1" t="s">
        <v>36</v>
      </c>
      <c r="K1357" s="1" t="s">
        <v>3394</v>
      </c>
      <c r="L1357" s="1" t="s">
        <v>3395</v>
      </c>
      <c r="M1357" s="1">
        <v>85</v>
      </c>
      <c r="N1357" s="1" t="s">
        <v>39</v>
      </c>
      <c r="O1357" s="1">
        <v>27.053599999999999</v>
      </c>
      <c r="P1357" s="1">
        <v>-80.562799999999996</v>
      </c>
      <c r="Q1357" s="1" t="s">
        <v>702</v>
      </c>
      <c r="R1357" s="1" t="s">
        <v>41</v>
      </c>
      <c r="T1357" s="1" t="s">
        <v>71</v>
      </c>
      <c r="U1357" s="1" t="s">
        <v>44</v>
      </c>
      <c r="V1357" s="1" t="s">
        <v>94</v>
      </c>
      <c r="X1357" s="1" t="s">
        <v>3404</v>
      </c>
      <c r="AA1357" s="3">
        <v>37056</v>
      </c>
      <c r="AB1357" s="1" t="s">
        <v>46</v>
      </c>
      <c r="AC1357" s="5">
        <v>2306</v>
      </c>
      <c r="AD1357" s="1" t="s">
        <v>3407</v>
      </c>
      <c r="AE1357" s="1" t="str">
        <f t="shared" si="105"/>
        <v>6043 PMR8B</v>
      </c>
      <c r="AF1357" s="14">
        <f>MID(AD1357,FIND("(",AD1357)+1,FIND(")",AD1357)-FIND("(",AD1357)-1)+471.7/4</f>
        <v>306.125</v>
      </c>
      <c r="AG1357" s="1" t="str">
        <f t="shared" si="104"/>
        <v>Y</v>
      </c>
    </row>
    <row r="1358" spans="1:33" x14ac:dyDescent="0.2">
      <c r="A1358" s="1" t="s">
        <v>304</v>
      </c>
      <c r="B1358" s="1" t="s">
        <v>3392</v>
      </c>
      <c r="C1358" s="1">
        <v>6043</v>
      </c>
      <c r="D1358" s="1" t="s">
        <v>3408</v>
      </c>
      <c r="F1358" s="1">
        <v>2023</v>
      </c>
      <c r="G1358" s="1" t="s">
        <v>247</v>
      </c>
      <c r="H1358" s="1">
        <v>606322</v>
      </c>
      <c r="I1358" s="1">
        <v>4</v>
      </c>
      <c r="J1358" s="1" t="s">
        <v>36</v>
      </c>
      <c r="K1358" s="1" t="s">
        <v>3394</v>
      </c>
      <c r="L1358" s="1" t="s">
        <v>3395</v>
      </c>
      <c r="M1358" s="1">
        <v>85</v>
      </c>
      <c r="N1358" s="1" t="s">
        <v>39</v>
      </c>
      <c r="O1358" s="1">
        <v>27.053599999999999</v>
      </c>
      <c r="P1358" s="1">
        <v>-80.562799999999996</v>
      </c>
      <c r="Q1358" s="1" t="s">
        <v>702</v>
      </c>
      <c r="R1358" s="1" t="s">
        <v>41</v>
      </c>
      <c r="T1358" s="1" t="s">
        <v>71</v>
      </c>
      <c r="U1358" s="1" t="s">
        <v>44</v>
      </c>
      <c r="V1358" s="1" t="s">
        <v>94</v>
      </c>
      <c r="X1358" s="1" t="s">
        <v>643</v>
      </c>
      <c r="AA1358" s="3">
        <v>38336</v>
      </c>
      <c r="AB1358" s="1" t="s">
        <v>46</v>
      </c>
      <c r="AC1358" s="5">
        <v>2306</v>
      </c>
      <c r="AD1358" s="1" t="s">
        <v>3409</v>
      </c>
      <c r="AE1358" s="1" t="str">
        <f t="shared" si="105"/>
        <v>6043 PMR8C</v>
      </c>
      <c r="AF1358" s="14">
        <f>AF1357</f>
        <v>306.125</v>
      </c>
      <c r="AG1358" s="1" t="str">
        <f t="shared" si="104"/>
        <v>Y</v>
      </c>
    </row>
    <row r="1359" spans="1:33" x14ac:dyDescent="0.2">
      <c r="A1359" s="1" t="s">
        <v>304</v>
      </c>
      <c r="B1359" s="1" t="s">
        <v>3392</v>
      </c>
      <c r="C1359" s="1">
        <v>6043</v>
      </c>
      <c r="D1359" s="1" t="s">
        <v>3410</v>
      </c>
      <c r="F1359" s="1">
        <v>2023</v>
      </c>
      <c r="G1359" s="1" t="s">
        <v>247</v>
      </c>
      <c r="H1359" s="1">
        <v>606322</v>
      </c>
      <c r="I1359" s="1">
        <v>4</v>
      </c>
      <c r="J1359" s="1" t="s">
        <v>36</v>
      </c>
      <c r="K1359" s="1" t="s">
        <v>3394</v>
      </c>
      <c r="L1359" s="1" t="s">
        <v>3395</v>
      </c>
      <c r="M1359" s="1">
        <v>85</v>
      </c>
      <c r="N1359" s="1" t="s">
        <v>39</v>
      </c>
      <c r="O1359" s="1">
        <v>27.053599999999999</v>
      </c>
      <c r="P1359" s="1">
        <v>-80.562799999999996</v>
      </c>
      <c r="Q1359" s="1" t="s">
        <v>702</v>
      </c>
      <c r="R1359" s="1" t="s">
        <v>41</v>
      </c>
      <c r="T1359" s="1" t="s">
        <v>71</v>
      </c>
      <c r="U1359" s="1" t="s">
        <v>44</v>
      </c>
      <c r="V1359" s="1" t="s">
        <v>94</v>
      </c>
      <c r="X1359" s="1" t="s">
        <v>643</v>
      </c>
      <c r="AA1359" s="3">
        <v>38331</v>
      </c>
      <c r="AB1359" s="1" t="s">
        <v>46</v>
      </c>
      <c r="AC1359" s="5">
        <v>2306</v>
      </c>
      <c r="AD1359" s="1" t="s">
        <v>3411</v>
      </c>
      <c r="AE1359" s="1" t="str">
        <f t="shared" si="105"/>
        <v>6043 PMR8D</v>
      </c>
      <c r="AF1359" s="14">
        <f>AF1357</f>
        <v>306.125</v>
      </c>
      <c r="AG1359" s="1" t="str">
        <f t="shared" si="104"/>
        <v>Y</v>
      </c>
    </row>
    <row r="1360" spans="1:33" x14ac:dyDescent="0.2">
      <c r="A1360" s="1" t="s">
        <v>304</v>
      </c>
      <c r="B1360" s="1" t="s">
        <v>3412</v>
      </c>
      <c r="C1360" s="1">
        <v>6046</v>
      </c>
      <c r="D1360" s="1" t="s">
        <v>3413</v>
      </c>
      <c r="F1360" s="1">
        <v>2023</v>
      </c>
      <c r="G1360" s="1" t="s">
        <v>247</v>
      </c>
      <c r="H1360" s="1">
        <v>610088</v>
      </c>
      <c r="I1360" s="1">
        <v>4</v>
      </c>
      <c r="J1360" s="1" t="s">
        <v>796</v>
      </c>
      <c r="K1360" s="1" t="s">
        <v>766</v>
      </c>
      <c r="L1360" s="1" t="s">
        <v>767</v>
      </c>
      <c r="M1360" s="1">
        <v>127</v>
      </c>
      <c r="N1360" s="1" t="s">
        <v>39</v>
      </c>
      <c r="O1360" s="1">
        <v>28.904699999999998</v>
      </c>
      <c r="P1360" s="1">
        <v>-81.331900000000005</v>
      </c>
      <c r="Q1360" s="1" t="s">
        <v>799</v>
      </c>
      <c r="R1360" s="1" t="s">
        <v>41</v>
      </c>
      <c r="T1360" s="1" t="s">
        <v>93</v>
      </c>
      <c r="U1360" s="1" t="s">
        <v>94</v>
      </c>
      <c r="X1360" s="1" t="s">
        <v>95</v>
      </c>
      <c r="AA1360" s="3">
        <v>33909</v>
      </c>
      <c r="AB1360" s="1" t="s">
        <v>46</v>
      </c>
      <c r="AC1360" s="5">
        <v>1159</v>
      </c>
      <c r="AD1360" s="1" t="s">
        <v>3414</v>
      </c>
      <c r="AE1360" s="1" t="str">
        <f t="shared" si="105"/>
        <v>6046 **10</v>
      </c>
      <c r="AF1360" s="5" t="str">
        <f t="shared" ref="AF1360:AF1369" si="106">MID(AD1360,FIND("(",AD1360)+1,FIND(")",AD1360)-FIND("(",AD1360)-1)</f>
        <v>115</v>
      </c>
      <c r="AG1360" s="1" t="str">
        <f t="shared" si="104"/>
        <v/>
      </c>
    </row>
    <row r="1361" spans="1:33" x14ac:dyDescent="0.2">
      <c r="A1361" s="1" t="s">
        <v>304</v>
      </c>
      <c r="B1361" s="1" t="s">
        <v>3412</v>
      </c>
      <c r="C1361" s="1">
        <v>6046</v>
      </c>
      <c r="D1361" s="1" t="s">
        <v>3415</v>
      </c>
      <c r="F1361" s="1">
        <v>2023</v>
      </c>
      <c r="G1361" s="1" t="s">
        <v>247</v>
      </c>
      <c r="H1361" s="1">
        <v>610088</v>
      </c>
      <c r="I1361" s="1">
        <v>4</v>
      </c>
      <c r="J1361" s="1" t="s">
        <v>796</v>
      </c>
      <c r="K1361" s="1" t="s">
        <v>766</v>
      </c>
      <c r="L1361" s="1" t="s">
        <v>767</v>
      </c>
      <c r="M1361" s="1">
        <v>127</v>
      </c>
      <c r="N1361" s="1" t="s">
        <v>39</v>
      </c>
      <c r="O1361" s="1">
        <v>28.904699999999998</v>
      </c>
      <c r="P1361" s="1">
        <v>-81.331900000000005</v>
      </c>
      <c r="Q1361" s="1" t="s">
        <v>799</v>
      </c>
      <c r="R1361" s="1" t="s">
        <v>41</v>
      </c>
      <c r="T1361" s="1" t="s">
        <v>93</v>
      </c>
      <c r="U1361" s="1" t="s">
        <v>44</v>
      </c>
      <c r="V1361" s="1" t="s">
        <v>94</v>
      </c>
      <c r="X1361" s="1" t="s">
        <v>95</v>
      </c>
      <c r="AA1361" s="3">
        <v>33909</v>
      </c>
      <c r="AB1361" s="1" t="s">
        <v>46</v>
      </c>
      <c r="AC1361" s="5">
        <v>1228.5</v>
      </c>
      <c r="AD1361" s="1" t="s">
        <v>3416</v>
      </c>
      <c r="AE1361" s="1" t="str">
        <f t="shared" si="105"/>
        <v>6046 **7</v>
      </c>
      <c r="AF1361" s="5" t="str">
        <f t="shared" si="106"/>
        <v>115</v>
      </c>
      <c r="AG1361" s="1" t="str">
        <f t="shared" si="104"/>
        <v/>
      </c>
    </row>
    <row r="1362" spans="1:33" x14ac:dyDescent="0.2">
      <c r="A1362" s="1" t="s">
        <v>304</v>
      </c>
      <c r="B1362" s="1" t="s">
        <v>3412</v>
      </c>
      <c r="C1362" s="1">
        <v>6046</v>
      </c>
      <c r="D1362" s="1" t="s">
        <v>894</v>
      </c>
      <c r="F1362" s="1">
        <v>2023</v>
      </c>
      <c r="G1362" s="1" t="s">
        <v>247</v>
      </c>
      <c r="H1362" s="1">
        <v>610088</v>
      </c>
      <c r="I1362" s="1">
        <v>4</v>
      </c>
      <c r="J1362" s="1" t="s">
        <v>796</v>
      </c>
      <c r="K1362" s="1" t="s">
        <v>766</v>
      </c>
      <c r="L1362" s="1" t="s">
        <v>767</v>
      </c>
      <c r="M1362" s="1">
        <v>127</v>
      </c>
      <c r="N1362" s="1" t="s">
        <v>39</v>
      </c>
      <c r="O1362" s="1">
        <v>28.904699999999998</v>
      </c>
      <c r="P1362" s="1">
        <v>-81.331900000000005</v>
      </c>
      <c r="Q1362" s="1" t="s">
        <v>799</v>
      </c>
      <c r="R1362" s="1" t="s">
        <v>41</v>
      </c>
      <c r="T1362" s="1" t="s">
        <v>93</v>
      </c>
      <c r="U1362" s="1" t="s">
        <v>44</v>
      </c>
      <c r="V1362" s="1" t="s">
        <v>94</v>
      </c>
      <c r="X1362" s="1" t="s">
        <v>95</v>
      </c>
      <c r="AA1362" s="3">
        <v>33909</v>
      </c>
      <c r="AB1362" s="1" t="s">
        <v>46</v>
      </c>
      <c r="AC1362" s="5">
        <v>1228.5</v>
      </c>
      <c r="AD1362" s="1" t="s">
        <v>3417</v>
      </c>
      <c r="AE1362" s="1" t="str">
        <f t="shared" si="105"/>
        <v>6046 **8</v>
      </c>
      <c r="AF1362" s="5" t="str">
        <f t="shared" si="106"/>
        <v>115</v>
      </c>
      <c r="AG1362" s="1" t="str">
        <f t="shared" si="104"/>
        <v/>
      </c>
    </row>
    <row r="1363" spans="1:33" x14ac:dyDescent="0.2">
      <c r="A1363" s="1" t="s">
        <v>304</v>
      </c>
      <c r="B1363" s="1" t="s">
        <v>3412</v>
      </c>
      <c r="C1363" s="1">
        <v>6046</v>
      </c>
      <c r="D1363" s="1" t="s">
        <v>3418</v>
      </c>
      <c r="F1363" s="1">
        <v>2023</v>
      </c>
      <c r="G1363" s="1" t="s">
        <v>247</v>
      </c>
      <c r="H1363" s="1">
        <v>610088</v>
      </c>
      <c r="I1363" s="1">
        <v>4</v>
      </c>
      <c r="J1363" s="1" t="s">
        <v>796</v>
      </c>
      <c r="K1363" s="1" t="s">
        <v>766</v>
      </c>
      <c r="L1363" s="1" t="s">
        <v>767</v>
      </c>
      <c r="M1363" s="1">
        <v>127</v>
      </c>
      <c r="N1363" s="1" t="s">
        <v>39</v>
      </c>
      <c r="O1363" s="1">
        <v>28.904699999999998</v>
      </c>
      <c r="P1363" s="1">
        <v>-81.331900000000005</v>
      </c>
      <c r="Q1363" s="1" t="s">
        <v>799</v>
      </c>
      <c r="R1363" s="1" t="s">
        <v>41</v>
      </c>
      <c r="T1363" s="1" t="s">
        <v>93</v>
      </c>
      <c r="U1363" s="1" t="s">
        <v>44</v>
      </c>
      <c r="V1363" s="1" t="s">
        <v>94</v>
      </c>
      <c r="X1363" s="1" t="s">
        <v>95</v>
      </c>
      <c r="AA1363" s="3">
        <v>33909</v>
      </c>
      <c r="AB1363" s="1" t="s">
        <v>46</v>
      </c>
      <c r="AC1363" s="5">
        <v>1228.5</v>
      </c>
      <c r="AD1363" s="1" t="s">
        <v>3419</v>
      </c>
      <c r="AE1363" s="1" t="str">
        <f t="shared" si="105"/>
        <v>6046 **9</v>
      </c>
      <c r="AF1363" s="5" t="str">
        <f t="shared" si="106"/>
        <v>115</v>
      </c>
      <c r="AG1363" s="1" t="str">
        <f t="shared" si="104"/>
        <v/>
      </c>
    </row>
    <row r="1364" spans="1:33" x14ac:dyDescent="0.2">
      <c r="A1364" s="1" t="s">
        <v>1426</v>
      </c>
      <c r="B1364" s="1" t="s">
        <v>3420</v>
      </c>
      <c r="C1364" s="1">
        <v>6055</v>
      </c>
      <c r="D1364" s="1" t="s">
        <v>3421</v>
      </c>
      <c r="F1364" s="1">
        <v>2023</v>
      </c>
      <c r="G1364" s="1" t="s">
        <v>1440</v>
      </c>
      <c r="H1364" s="1">
        <v>605667</v>
      </c>
      <c r="I1364" s="1">
        <v>6</v>
      </c>
      <c r="J1364" s="1" t="s">
        <v>228</v>
      </c>
      <c r="K1364" s="1" t="s">
        <v>1495</v>
      </c>
      <c r="L1364" s="1" t="s">
        <v>1496</v>
      </c>
      <c r="M1364" s="1">
        <v>77</v>
      </c>
      <c r="N1364" s="1" t="s">
        <v>39</v>
      </c>
      <c r="O1364" s="1">
        <v>30.726099999999999</v>
      </c>
      <c r="P1364" s="1">
        <v>-91.366900000000001</v>
      </c>
      <c r="Q1364" s="1" t="s">
        <v>1497</v>
      </c>
      <c r="R1364" s="1" t="s">
        <v>41</v>
      </c>
      <c r="S1364" s="1" t="s">
        <v>211</v>
      </c>
      <c r="T1364" s="1" t="s">
        <v>89</v>
      </c>
      <c r="U1364" s="1" t="s">
        <v>55</v>
      </c>
      <c r="V1364" s="1" t="s">
        <v>44</v>
      </c>
      <c r="W1364" s="1" t="s">
        <v>1009</v>
      </c>
      <c r="X1364" s="1" t="s">
        <v>1221</v>
      </c>
      <c r="Y1364" s="1" t="s">
        <v>58</v>
      </c>
      <c r="Z1364" s="1" t="s">
        <v>214</v>
      </c>
      <c r="AA1364" s="3">
        <v>29403</v>
      </c>
      <c r="AB1364" s="1" t="s">
        <v>46</v>
      </c>
      <c r="AC1364" s="5">
        <v>6420</v>
      </c>
      <c r="AD1364" s="1" t="s">
        <v>3422</v>
      </c>
      <c r="AE1364" s="1" t="str">
        <f t="shared" si="105"/>
        <v>6055 2B1</v>
      </c>
      <c r="AF1364" s="5" t="str">
        <f t="shared" si="106"/>
        <v>611</v>
      </c>
      <c r="AG1364" s="1" t="str">
        <f t="shared" si="104"/>
        <v>Y</v>
      </c>
    </row>
    <row r="1365" spans="1:33" x14ac:dyDescent="0.2">
      <c r="A1365" s="1" t="s">
        <v>1426</v>
      </c>
      <c r="B1365" s="1" t="s">
        <v>3420</v>
      </c>
      <c r="C1365" s="1">
        <v>6055</v>
      </c>
      <c r="D1365" s="1" t="s">
        <v>3423</v>
      </c>
      <c r="F1365" s="1">
        <v>2023</v>
      </c>
      <c r="G1365" s="1" t="s">
        <v>1428</v>
      </c>
      <c r="H1365" s="1">
        <v>605667</v>
      </c>
      <c r="I1365" s="1">
        <v>6</v>
      </c>
      <c r="J1365" s="1" t="s">
        <v>228</v>
      </c>
      <c r="K1365" s="1" t="s">
        <v>1495</v>
      </c>
      <c r="L1365" s="1" t="s">
        <v>1496</v>
      </c>
      <c r="M1365" s="1">
        <v>77</v>
      </c>
      <c r="N1365" s="1" t="s">
        <v>39</v>
      </c>
      <c r="O1365" s="1">
        <v>30.726099999999999</v>
      </c>
      <c r="P1365" s="1">
        <v>-91.366900000000001</v>
      </c>
      <c r="Q1365" s="1" t="s">
        <v>1497</v>
      </c>
      <c r="R1365" s="1" t="s">
        <v>41</v>
      </c>
      <c r="S1365" s="1" t="s">
        <v>211</v>
      </c>
      <c r="T1365" s="1" t="s">
        <v>89</v>
      </c>
      <c r="U1365" s="1" t="s">
        <v>44</v>
      </c>
      <c r="X1365" s="1" t="s">
        <v>3424</v>
      </c>
      <c r="AA1365" s="3">
        <v>29646</v>
      </c>
      <c r="AB1365" s="1" t="s">
        <v>46</v>
      </c>
      <c r="AC1365" s="5">
        <v>6420</v>
      </c>
      <c r="AD1365" s="1" t="s">
        <v>3425</v>
      </c>
      <c r="AE1365" s="1" t="str">
        <f t="shared" si="105"/>
        <v>6055 2B2</v>
      </c>
      <c r="AF1365" s="5" t="str">
        <f t="shared" si="106"/>
        <v>611</v>
      </c>
      <c r="AG1365" s="1" t="str">
        <f t="shared" si="104"/>
        <v>Y</v>
      </c>
    </row>
    <row r="1366" spans="1:33" x14ac:dyDescent="0.2">
      <c r="A1366" s="1" t="s">
        <v>1426</v>
      </c>
      <c r="B1366" s="1" t="s">
        <v>3420</v>
      </c>
      <c r="C1366" s="1">
        <v>6055</v>
      </c>
      <c r="D1366" s="1" t="s">
        <v>3426</v>
      </c>
      <c r="F1366" s="1">
        <v>2023</v>
      </c>
      <c r="G1366" s="1" t="s">
        <v>1440</v>
      </c>
      <c r="H1366" s="1">
        <v>605667</v>
      </c>
      <c r="I1366" s="1">
        <v>6</v>
      </c>
      <c r="J1366" s="1" t="s">
        <v>228</v>
      </c>
      <c r="K1366" s="1" t="s">
        <v>1495</v>
      </c>
      <c r="L1366" s="1" t="s">
        <v>1496</v>
      </c>
      <c r="M1366" s="1">
        <v>77</v>
      </c>
      <c r="N1366" s="1" t="s">
        <v>39</v>
      </c>
      <c r="O1366" s="1">
        <v>30.726099999999999</v>
      </c>
      <c r="P1366" s="1">
        <v>-91.366900000000001</v>
      </c>
      <c r="Q1366" s="1" t="s">
        <v>3427</v>
      </c>
      <c r="R1366" s="1" t="s">
        <v>41</v>
      </c>
      <c r="S1366" s="1" t="s">
        <v>211</v>
      </c>
      <c r="T1366" s="1" t="s">
        <v>89</v>
      </c>
      <c r="U1366" s="1" t="s">
        <v>55</v>
      </c>
      <c r="V1366" s="1" t="s">
        <v>44</v>
      </c>
      <c r="X1366" s="1" t="s">
        <v>1221</v>
      </c>
      <c r="Y1366" s="1" t="s">
        <v>58</v>
      </c>
      <c r="Z1366" s="1" t="s">
        <v>937</v>
      </c>
      <c r="AA1366" s="3">
        <v>30682</v>
      </c>
      <c r="AB1366" s="1" t="s">
        <v>46</v>
      </c>
      <c r="AC1366" s="5">
        <v>6420</v>
      </c>
      <c r="AD1366" s="1" t="s">
        <v>3428</v>
      </c>
      <c r="AE1366" s="1" t="str">
        <f t="shared" si="105"/>
        <v>6055 2B3</v>
      </c>
      <c r="AF1366" s="5" t="str">
        <f t="shared" si="106"/>
        <v>611</v>
      </c>
      <c r="AG1366" s="1" t="str">
        <f t="shared" si="104"/>
        <v>Y</v>
      </c>
    </row>
    <row r="1367" spans="1:33" x14ac:dyDescent="0.2">
      <c r="A1367" s="1" t="s">
        <v>1663</v>
      </c>
      <c r="B1367" s="1" t="s">
        <v>3429</v>
      </c>
      <c r="C1367" s="1">
        <v>6058</v>
      </c>
      <c r="D1367" s="1" t="s">
        <v>311</v>
      </c>
      <c r="F1367" s="1">
        <v>2023</v>
      </c>
      <c r="G1367" s="1" t="s">
        <v>1696</v>
      </c>
      <c r="H1367" s="1">
        <v>608452</v>
      </c>
      <c r="I1367" s="1">
        <v>5</v>
      </c>
      <c r="K1367" s="1" t="s">
        <v>3430</v>
      </c>
      <c r="L1367" s="1" t="s">
        <v>3431</v>
      </c>
      <c r="M1367" s="1">
        <v>109</v>
      </c>
      <c r="N1367" s="1" t="s">
        <v>39</v>
      </c>
      <c r="O1367" s="1">
        <v>44.032200000000003</v>
      </c>
      <c r="P1367" s="1">
        <v>-92.490799999999993</v>
      </c>
      <c r="Q1367" s="1" t="s">
        <v>3432</v>
      </c>
      <c r="T1367" s="1" t="s">
        <v>93</v>
      </c>
      <c r="U1367" s="1" t="s">
        <v>44</v>
      </c>
      <c r="V1367" s="1" t="s">
        <v>94</v>
      </c>
      <c r="X1367" s="1" t="s">
        <v>95</v>
      </c>
      <c r="AA1367" s="3">
        <v>28004</v>
      </c>
      <c r="AB1367" s="1" t="s">
        <v>46</v>
      </c>
      <c r="AC1367" s="5">
        <v>448</v>
      </c>
      <c r="AD1367" s="1" t="s">
        <v>3433</v>
      </c>
      <c r="AE1367" s="1" t="str">
        <f t="shared" si="105"/>
        <v>6058 CT1</v>
      </c>
      <c r="AF1367" s="5" t="str">
        <f t="shared" si="106"/>
        <v>35</v>
      </c>
      <c r="AG1367" s="1" t="str">
        <f t="shared" si="104"/>
        <v/>
      </c>
    </row>
    <row r="1368" spans="1:33" x14ac:dyDescent="0.2">
      <c r="A1368" s="1" t="s">
        <v>1663</v>
      </c>
      <c r="B1368" s="1" t="s">
        <v>3429</v>
      </c>
      <c r="C1368" s="1">
        <v>6058</v>
      </c>
      <c r="D1368" s="1" t="s">
        <v>98</v>
      </c>
      <c r="F1368" s="1">
        <v>2023</v>
      </c>
      <c r="G1368" s="1" t="s">
        <v>1666</v>
      </c>
      <c r="H1368" s="1">
        <v>608452</v>
      </c>
      <c r="I1368" s="1">
        <v>5</v>
      </c>
      <c r="K1368" s="1" t="s">
        <v>3430</v>
      </c>
      <c r="L1368" s="1" t="s">
        <v>3431</v>
      </c>
      <c r="M1368" s="1">
        <v>109</v>
      </c>
      <c r="N1368" s="1" t="s">
        <v>39</v>
      </c>
      <c r="O1368" s="1">
        <v>44.032200000000003</v>
      </c>
      <c r="P1368" s="1">
        <v>-92.490799999999993</v>
      </c>
      <c r="Q1368" s="1" t="s">
        <v>3432</v>
      </c>
      <c r="R1368" s="1" t="s">
        <v>41</v>
      </c>
      <c r="T1368" s="1" t="s">
        <v>93</v>
      </c>
      <c r="U1368" s="1" t="s">
        <v>44</v>
      </c>
      <c r="V1368" s="1" t="s">
        <v>94</v>
      </c>
      <c r="X1368" s="1" t="s">
        <v>95</v>
      </c>
      <c r="AA1368" s="3">
        <v>37364</v>
      </c>
      <c r="AB1368" s="1" t="s">
        <v>46</v>
      </c>
      <c r="AC1368" s="5">
        <v>290</v>
      </c>
      <c r="AD1368" s="1" t="s">
        <v>1615</v>
      </c>
      <c r="AE1368" s="1" t="str">
        <f t="shared" si="105"/>
        <v>6058 CT2</v>
      </c>
      <c r="AF1368" s="5" t="str">
        <f t="shared" si="106"/>
        <v>49.9</v>
      </c>
      <c r="AG1368" s="1" t="str">
        <f t="shared" si="104"/>
        <v/>
      </c>
    </row>
    <row r="1369" spans="1:33" x14ac:dyDescent="0.2">
      <c r="A1369" s="1" t="s">
        <v>1663</v>
      </c>
      <c r="B1369" s="1" t="s">
        <v>3429</v>
      </c>
      <c r="C1369" s="1">
        <v>6058</v>
      </c>
      <c r="D1369" s="1" t="s">
        <v>101</v>
      </c>
      <c r="F1369" s="1">
        <v>2023</v>
      </c>
      <c r="G1369" s="1" t="s">
        <v>1666</v>
      </c>
      <c r="H1369" s="1">
        <v>608452</v>
      </c>
      <c r="I1369" s="1">
        <v>5</v>
      </c>
      <c r="K1369" s="1" t="s">
        <v>3430</v>
      </c>
      <c r="L1369" s="1" t="s">
        <v>3431</v>
      </c>
      <c r="M1369" s="1">
        <v>109</v>
      </c>
      <c r="N1369" s="1" t="s">
        <v>39</v>
      </c>
      <c r="O1369" s="1">
        <v>44.032200000000003</v>
      </c>
      <c r="P1369" s="1">
        <v>-92.490799999999993</v>
      </c>
      <c r="Q1369" s="1" t="s">
        <v>3432</v>
      </c>
      <c r="R1369" s="1" t="s">
        <v>41</v>
      </c>
      <c r="T1369" s="1" t="s">
        <v>93</v>
      </c>
      <c r="U1369" s="1" t="s">
        <v>44</v>
      </c>
      <c r="V1369" s="1" t="s">
        <v>94</v>
      </c>
      <c r="X1369" s="1" t="s">
        <v>95</v>
      </c>
      <c r="AA1369" s="3">
        <v>37364</v>
      </c>
      <c r="AB1369" s="1" t="s">
        <v>46</v>
      </c>
      <c r="AC1369" s="5">
        <v>305.89999999999998</v>
      </c>
      <c r="AD1369" s="1" t="s">
        <v>1615</v>
      </c>
      <c r="AE1369" s="1" t="str">
        <f t="shared" si="105"/>
        <v>6058 CT3</v>
      </c>
      <c r="AF1369" s="5" t="str">
        <f t="shared" si="106"/>
        <v>49.9</v>
      </c>
      <c r="AG1369" s="1" t="str">
        <f t="shared" si="104"/>
        <v/>
      </c>
    </row>
    <row r="1370" spans="1:33" x14ac:dyDescent="0.2">
      <c r="A1370" s="1" t="s">
        <v>1732</v>
      </c>
      <c r="B1370" s="1" t="s">
        <v>3434</v>
      </c>
      <c r="C1370" s="1">
        <v>6061</v>
      </c>
      <c r="D1370" s="1">
        <v>3</v>
      </c>
      <c r="F1370" s="1">
        <v>2023</v>
      </c>
      <c r="G1370" s="1" t="s">
        <v>3435</v>
      </c>
      <c r="H1370" s="1">
        <v>609473</v>
      </c>
      <c r="I1370" s="1">
        <v>4</v>
      </c>
      <c r="J1370" s="1" t="s">
        <v>36</v>
      </c>
      <c r="K1370" s="1" t="s">
        <v>3436</v>
      </c>
      <c r="L1370" s="1" t="s">
        <v>3437</v>
      </c>
      <c r="M1370" s="1">
        <v>73</v>
      </c>
      <c r="N1370" s="1" t="s">
        <v>39</v>
      </c>
      <c r="O1370" s="1">
        <v>31.2194</v>
      </c>
      <c r="P1370" s="1">
        <v>-89.393299999999996</v>
      </c>
      <c r="Q1370" s="1" t="s">
        <v>1750</v>
      </c>
      <c r="R1370" s="1" t="s">
        <v>41</v>
      </c>
      <c r="T1370" s="1" t="s">
        <v>71</v>
      </c>
      <c r="U1370" s="1" t="s">
        <v>44</v>
      </c>
      <c r="X1370" s="1" t="s">
        <v>64</v>
      </c>
      <c r="AA1370" s="3">
        <v>44799</v>
      </c>
      <c r="AB1370" s="1" t="s">
        <v>46</v>
      </c>
      <c r="AC1370" s="5">
        <v>4122</v>
      </c>
      <c r="AD1370" s="1" t="s">
        <v>3438</v>
      </c>
      <c r="AE1370" s="1" t="str">
        <f t="shared" si="105"/>
        <v>6061 3</v>
      </c>
      <c r="AF1370" s="14">
        <f>MID(AD1370,FIND("(",AD1370)+1,FIND(")",AD1370)-FIND("(",AD1370)-1)+155</f>
        <v>557</v>
      </c>
      <c r="AG1370" s="1" t="str">
        <f t="shared" si="104"/>
        <v>Y</v>
      </c>
    </row>
    <row r="1371" spans="1:33" x14ac:dyDescent="0.2">
      <c r="A1371" s="1" t="s">
        <v>1186</v>
      </c>
      <c r="B1371" s="1" t="s">
        <v>3439</v>
      </c>
      <c r="C1371" s="1">
        <v>6063</v>
      </c>
      <c r="D1371" s="1">
        <v>1</v>
      </c>
      <c r="F1371" s="1">
        <v>2023</v>
      </c>
      <c r="G1371" s="1" t="s">
        <v>1195</v>
      </c>
      <c r="H1371" s="1" t="s">
        <v>1210</v>
      </c>
      <c r="I1371" s="1">
        <v>7</v>
      </c>
      <c r="K1371" s="1" t="s">
        <v>1237</v>
      </c>
      <c r="L1371" s="1" t="s">
        <v>1238</v>
      </c>
      <c r="M1371" s="1">
        <v>13</v>
      </c>
      <c r="N1371" s="1" t="s">
        <v>39</v>
      </c>
      <c r="O1371" s="1">
        <v>42.4407</v>
      </c>
      <c r="P1371" s="1">
        <v>-92.420500000000004</v>
      </c>
      <c r="Q1371" s="1" t="s">
        <v>3440</v>
      </c>
      <c r="T1371" s="1" t="s">
        <v>93</v>
      </c>
      <c r="U1371" s="1" t="s">
        <v>44</v>
      </c>
      <c r="V1371" s="1" t="s">
        <v>94</v>
      </c>
      <c r="AA1371" s="3">
        <v>27515</v>
      </c>
      <c r="AB1371" s="1" t="s">
        <v>46</v>
      </c>
      <c r="AC1371" s="5">
        <v>843.6</v>
      </c>
      <c r="AD1371" s="1" t="s">
        <v>3441</v>
      </c>
      <c r="AE1371" s="1" t="str">
        <f t="shared" si="105"/>
        <v>6063 1</v>
      </c>
      <c r="AF1371" s="5" t="str">
        <f t="shared" ref="AF1371:AF1390" si="107">MID(AD1371,FIND("(",AD1371)+1,FIND(")",AD1371)-FIND("(",AD1371)-1)</f>
        <v>71.2</v>
      </c>
      <c r="AG1371" s="1" t="str">
        <f t="shared" si="104"/>
        <v/>
      </c>
    </row>
    <row r="1372" spans="1:33" x14ac:dyDescent="0.2">
      <c r="A1372" s="1" t="s">
        <v>1186</v>
      </c>
      <c r="B1372" s="1" t="s">
        <v>3439</v>
      </c>
      <c r="C1372" s="1">
        <v>6063</v>
      </c>
      <c r="D1372" s="1">
        <v>2</v>
      </c>
      <c r="F1372" s="1">
        <v>2023</v>
      </c>
      <c r="G1372" s="1" t="s">
        <v>1195</v>
      </c>
      <c r="H1372" s="1" t="s">
        <v>1210</v>
      </c>
      <c r="I1372" s="1">
        <v>7</v>
      </c>
      <c r="K1372" s="1" t="s">
        <v>1237</v>
      </c>
      <c r="L1372" s="1" t="s">
        <v>1238</v>
      </c>
      <c r="M1372" s="1">
        <v>13</v>
      </c>
      <c r="N1372" s="1" t="s">
        <v>39</v>
      </c>
      <c r="O1372" s="1">
        <v>42.4407</v>
      </c>
      <c r="P1372" s="1">
        <v>-92.420500000000004</v>
      </c>
      <c r="Q1372" s="1" t="s">
        <v>3440</v>
      </c>
      <c r="T1372" s="1" t="s">
        <v>93</v>
      </c>
      <c r="U1372" s="1" t="s">
        <v>44</v>
      </c>
      <c r="V1372" s="1" t="s">
        <v>94</v>
      </c>
      <c r="X1372" s="1" t="s">
        <v>95</v>
      </c>
      <c r="AA1372" s="3">
        <v>28244</v>
      </c>
      <c r="AB1372" s="1" t="s">
        <v>46</v>
      </c>
      <c r="AC1372" s="5">
        <v>903.1</v>
      </c>
      <c r="AD1372" s="1" t="s">
        <v>3442</v>
      </c>
      <c r="AE1372" s="1" t="str">
        <f t="shared" si="105"/>
        <v>6063 2</v>
      </c>
      <c r="AF1372" s="5" t="str">
        <f t="shared" si="107"/>
        <v>89</v>
      </c>
      <c r="AG1372" s="1" t="str">
        <f t="shared" si="104"/>
        <v/>
      </c>
    </row>
    <row r="1373" spans="1:33" x14ac:dyDescent="0.2">
      <c r="A1373" s="1" t="s">
        <v>1186</v>
      </c>
      <c r="B1373" s="1" t="s">
        <v>3439</v>
      </c>
      <c r="C1373" s="1">
        <v>6063</v>
      </c>
      <c r="D1373" s="1">
        <v>3</v>
      </c>
      <c r="F1373" s="1">
        <v>2023</v>
      </c>
      <c r="G1373" s="1" t="s">
        <v>1195</v>
      </c>
      <c r="H1373" s="1" t="s">
        <v>1210</v>
      </c>
      <c r="I1373" s="1">
        <v>7</v>
      </c>
      <c r="K1373" s="1" t="s">
        <v>1237</v>
      </c>
      <c r="L1373" s="1" t="s">
        <v>1238</v>
      </c>
      <c r="M1373" s="1">
        <v>13</v>
      </c>
      <c r="N1373" s="1" t="s">
        <v>39</v>
      </c>
      <c r="O1373" s="1">
        <v>42.4407</v>
      </c>
      <c r="P1373" s="1">
        <v>-92.420500000000004</v>
      </c>
      <c r="Q1373" s="1" t="s">
        <v>3440</v>
      </c>
      <c r="T1373" s="1" t="s">
        <v>93</v>
      </c>
      <c r="U1373" s="1" t="s">
        <v>44</v>
      </c>
      <c r="V1373" s="1" t="s">
        <v>94</v>
      </c>
      <c r="X1373" s="1" t="s">
        <v>95</v>
      </c>
      <c r="AA1373" s="3">
        <v>27867</v>
      </c>
      <c r="AB1373" s="1" t="s">
        <v>46</v>
      </c>
      <c r="AC1373" s="5">
        <v>925.1</v>
      </c>
      <c r="AD1373" s="1" t="s">
        <v>3443</v>
      </c>
      <c r="AE1373" s="1" t="str">
        <f t="shared" si="105"/>
        <v>6063 3</v>
      </c>
      <c r="AF1373" s="5" t="str">
        <f t="shared" si="107"/>
        <v>103.9</v>
      </c>
      <c r="AG1373" s="1" t="str">
        <f t="shared" si="104"/>
        <v/>
      </c>
    </row>
    <row r="1374" spans="1:33" x14ac:dyDescent="0.2">
      <c r="A1374" s="1" t="s">
        <v>225</v>
      </c>
      <c r="B1374" s="1" t="s">
        <v>3444</v>
      </c>
      <c r="C1374" s="1">
        <v>6064</v>
      </c>
      <c r="D1374" s="1" t="s">
        <v>103</v>
      </c>
      <c r="F1374" s="1">
        <v>2023</v>
      </c>
      <c r="G1374" s="1" t="s">
        <v>35</v>
      </c>
      <c r="H1374" s="1">
        <v>607775</v>
      </c>
      <c r="I1374" s="1">
        <v>7</v>
      </c>
      <c r="J1374" s="1" t="s">
        <v>228</v>
      </c>
      <c r="K1374" s="1" t="s">
        <v>1324</v>
      </c>
      <c r="L1374" s="1" t="s">
        <v>1325</v>
      </c>
      <c r="M1374" s="1">
        <v>209</v>
      </c>
      <c r="N1374" s="1" t="s">
        <v>39</v>
      </c>
      <c r="O1374" s="1">
        <v>39.171399999999998</v>
      </c>
      <c r="P1374" s="1">
        <v>-94.695800000000006</v>
      </c>
      <c r="Q1374" s="1" t="s">
        <v>1326</v>
      </c>
      <c r="R1374" s="1" t="s">
        <v>41</v>
      </c>
      <c r="T1374" s="1" t="s">
        <v>93</v>
      </c>
      <c r="U1374" s="1" t="s">
        <v>44</v>
      </c>
      <c r="V1374" s="1" t="s">
        <v>94</v>
      </c>
      <c r="X1374" s="1" t="s">
        <v>183</v>
      </c>
      <c r="AA1374" s="3">
        <v>38671</v>
      </c>
      <c r="AB1374" s="1" t="s">
        <v>46</v>
      </c>
      <c r="AC1374" s="5">
        <v>1136</v>
      </c>
      <c r="AD1374" s="1" t="s">
        <v>3445</v>
      </c>
      <c r="AE1374" s="1" t="str">
        <f t="shared" si="105"/>
        <v>6064 CT4</v>
      </c>
      <c r="AF1374" s="5" t="str">
        <f t="shared" si="107"/>
        <v>97</v>
      </c>
      <c r="AG1374" s="1" t="str">
        <f t="shared" si="104"/>
        <v/>
      </c>
    </row>
    <row r="1375" spans="1:33" x14ac:dyDescent="0.2">
      <c r="A1375" s="1" t="s">
        <v>225</v>
      </c>
      <c r="B1375" s="1" t="s">
        <v>3444</v>
      </c>
      <c r="C1375" s="1">
        <v>6064</v>
      </c>
      <c r="D1375" s="1" t="s">
        <v>3446</v>
      </c>
      <c r="F1375" s="1">
        <v>2023</v>
      </c>
      <c r="G1375" s="1" t="s">
        <v>54</v>
      </c>
      <c r="H1375" s="1">
        <v>607775</v>
      </c>
      <c r="I1375" s="1">
        <v>7</v>
      </c>
      <c r="J1375" s="1" t="s">
        <v>228</v>
      </c>
      <c r="K1375" s="1" t="s">
        <v>1324</v>
      </c>
      <c r="L1375" s="1" t="s">
        <v>1325</v>
      </c>
      <c r="M1375" s="1">
        <v>209</v>
      </c>
      <c r="N1375" s="1" t="s">
        <v>39</v>
      </c>
      <c r="O1375" s="1">
        <v>39.171399999999998</v>
      </c>
      <c r="P1375" s="1">
        <v>-94.695800000000006</v>
      </c>
      <c r="Q1375" s="1" t="s">
        <v>1326</v>
      </c>
      <c r="R1375" s="1" t="s">
        <v>41</v>
      </c>
      <c r="S1375" s="1" t="s">
        <v>211</v>
      </c>
      <c r="T1375" s="1" t="s">
        <v>89</v>
      </c>
      <c r="U1375" s="1" t="s">
        <v>55</v>
      </c>
      <c r="W1375" s="1" t="s">
        <v>212</v>
      </c>
      <c r="X1375" s="1" t="s">
        <v>563</v>
      </c>
      <c r="Y1375" s="1" t="s">
        <v>232</v>
      </c>
      <c r="Z1375" s="1" t="s">
        <v>344</v>
      </c>
      <c r="AA1375" s="3">
        <v>29618</v>
      </c>
      <c r="AB1375" s="1" t="s">
        <v>46</v>
      </c>
      <c r="AC1375" s="5">
        <v>2510</v>
      </c>
      <c r="AD1375" s="1" t="s">
        <v>3447</v>
      </c>
      <c r="AE1375" s="1" t="str">
        <f t="shared" si="105"/>
        <v>6064 N1</v>
      </c>
      <c r="AF1375" s="5" t="str">
        <f t="shared" si="107"/>
        <v>261</v>
      </c>
      <c r="AG1375" s="1" t="str">
        <f t="shared" si="104"/>
        <v>Y</v>
      </c>
    </row>
    <row r="1376" spans="1:33" x14ac:dyDescent="0.2">
      <c r="A1376" s="1" t="s">
        <v>1755</v>
      </c>
      <c r="B1376" s="1" t="s">
        <v>3448</v>
      </c>
      <c r="C1376" s="1">
        <v>6065</v>
      </c>
      <c r="D1376" s="1">
        <v>1</v>
      </c>
      <c r="F1376" s="1">
        <v>2023</v>
      </c>
      <c r="G1376" s="1" t="s">
        <v>1188</v>
      </c>
      <c r="H1376" s="1">
        <v>605879</v>
      </c>
      <c r="I1376" s="1">
        <v>7</v>
      </c>
      <c r="J1376" s="1" t="s">
        <v>228</v>
      </c>
      <c r="K1376" s="1" t="s">
        <v>3449</v>
      </c>
      <c r="L1376" s="1" t="s">
        <v>3450</v>
      </c>
      <c r="M1376" s="1">
        <v>165</v>
      </c>
      <c r="N1376" s="1" t="s">
        <v>39</v>
      </c>
      <c r="O1376" s="1">
        <v>39.447200000000002</v>
      </c>
      <c r="P1376" s="1">
        <v>-94.98</v>
      </c>
      <c r="Q1376" s="1" t="s">
        <v>3451</v>
      </c>
      <c r="R1376" s="1" t="s">
        <v>41</v>
      </c>
      <c r="S1376" s="1" t="s">
        <v>121</v>
      </c>
      <c r="T1376" s="1" t="s">
        <v>89</v>
      </c>
      <c r="U1376" s="1" t="s">
        <v>55</v>
      </c>
      <c r="W1376" s="1" t="s">
        <v>241</v>
      </c>
      <c r="X1376" s="1" t="s">
        <v>3452</v>
      </c>
      <c r="Y1376" s="1" t="s">
        <v>232</v>
      </c>
      <c r="Z1376" s="1" t="s">
        <v>214</v>
      </c>
      <c r="AA1376" s="3">
        <v>29349</v>
      </c>
      <c r="AB1376" s="1" t="s">
        <v>46</v>
      </c>
      <c r="AC1376" s="5">
        <v>7800</v>
      </c>
      <c r="AD1376" s="1" t="s">
        <v>3453</v>
      </c>
      <c r="AE1376" s="1" t="str">
        <f t="shared" si="105"/>
        <v>6065 1</v>
      </c>
      <c r="AF1376" s="5" t="str">
        <f t="shared" si="107"/>
        <v>725</v>
      </c>
      <c r="AG1376" s="1" t="str">
        <f t="shared" si="104"/>
        <v>Y</v>
      </c>
    </row>
    <row r="1377" spans="1:33" x14ac:dyDescent="0.2">
      <c r="A1377" s="1" t="s">
        <v>1755</v>
      </c>
      <c r="B1377" s="1" t="s">
        <v>3448</v>
      </c>
      <c r="C1377" s="1">
        <v>6065</v>
      </c>
      <c r="D1377" s="1">
        <v>2</v>
      </c>
      <c r="F1377" s="1">
        <v>2023</v>
      </c>
      <c r="G1377" s="1" t="s">
        <v>1188</v>
      </c>
      <c r="H1377" s="1">
        <v>605879</v>
      </c>
      <c r="I1377" s="1">
        <v>7</v>
      </c>
      <c r="J1377" s="1" t="s">
        <v>228</v>
      </c>
      <c r="K1377" s="1" t="s">
        <v>3449</v>
      </c>
      <c r="L1377" s="1" t="s">
        <v>3450</v>
      </c>
      <c r="M1377" s="1">
        <v>165</v>
      </c>
      <c r="N1377" s="1" t="s">
        <v>39</v>
      </c>
      <c r="O1377" s="1">
        <v>39.447200000000002</v>
      </c>
      <c r="P1377" s="1">
        <v>-94.98</v>
      </c>
      <c r="Q1377" s="1" t="s">
        <v>3454</v>
      </c>
      <c r="R1377" s="1" t="s">
        <v>41</v>
      </c>
      <c r="T1377" s="1" t="s">
        <v>89</v>
      </c>
      <c r="U1377" s="1" t="s">
        <v>55</v>
      </c>
      <c r="W1377" s="1" t="s">
        <v>241</v>
      </c>
      <c r="X1377" s="1" t="s">
        <v>3452</v>
      </c>
      <c r="Y1377" s="1" t="s">
        <v>232</v>
      </c>
      <c r="Z1377" s="1" t="s">
        <v>214</v>
      </c>
      <c r="AA1377" s="3">
        <v>40379</v>
      </c>
      <c r="AB1377" s="1" t="s">
        <v>46</v>
      </c>
      <c r="AC1377" s="5">
        <v>8100</v>
      </c>
      <c r="AD1377" s="1" t="s">
        <v>3455</v>
      </c>
      <c r="AE1377" s="1" t="str">
        <f t="shared" si="105"/>
        <v>6065 2</v>
      </c>
      <c r="AF1377" s="5" t="str">
        <f t="shared" si="107"/>
        <v>914</v>
      </c>
      <c r="AG1377" s="1" t="str">
        <f t="shared" si="104"/>
        <v>Y</v>
      </c>
    </row>
    <row r="1378" spans="1:33" x14ac:dyDescent="0.2">
      <c r="A1378" s="1" t="s">
        <v>225</v>
      </c>
      <c r="B1378" s="1" t="s">
        <v>3456</v>
      </c>
      <c r="C1378" s="1">
        <v>6068</v>
      </c>
      <c r="D1378" s="1">
        <v>1</v>
      </c>
      <c r="F1378" s="1">
        <v>2023</v>
      </c>
      <c r="G1378" s="1" t="s">
        <v>54</v>
      </c>
      <c r="H1378" s="1">
        <v>605879</v>
      </c>
      <c r="I1378" s="1">
        <v>7</v>
      </c>
      <c r="K1378" s="1" t="s">
        <v>3457</v>
      </c>
      <c r="L1378" s="1" t="s">
        <v>3458</v>
      </c>
      <c r="M1378" s="1">
        <v>149</v>
      </c>
      <c r="N1378" s="1" t="s">
        <v>39</v>
      </c>
      <c r="O1378" s="1">
        <v>39.282499999999999</v>
      </c>
      <c r="P1378" s="1">
        <v>-96.115300000000005</v>
      </c>
      <c r="Q1378" s="1" t="s">
        <v>1283</v>
      </c>
      <c r="R1378" s="1" t="s">
        <v>41</v>
      </c>
      <c r="S1378" s="1" t="s">
        <v>42</v>
      </c>
      <c r="T1378" s="1" t="s">
        <v>43</v>
      </c>
      <c r="U1378" s="1" t="s">
        <v>55</v>
      </c>
      <c r="W1378" s="1" t="s">
        <v>56</v>
      </c>
      <c r="X1378" s="1" t="s">
        <v>301</v>
      </c>
      <c r="Y1378" s="1" t="s">
        <v>58</v>
      </c>
      <c r="Z1378" s="1" t="s">
        <v>214</v>
      </c>
      <c r="AA1378" s="3">
        <v>28702</v>
      </c>
      <c r="AB1378" s="1" t="s">
        <v>46</v>
      </c>
      <c r="AC1378" s="5">
        <v>8500</v>
      </c>
      <c r="AD1378" s="1" t="s">
        <v>3459</v>
      </c>
      <c r="AE1378" s="1" t="str">
        <f t="shared" si="105"/>
        <v>6068 1</v>
      </c>
      <c r="AF1378" s="5" t="str">
        <f t="shared" si="107"/>
        <v>800</v>
      </c>
      <c r="AG1378" s="1" t="str">
        <f t="shared" si="104"/>
        <v>Y</v>
      </c>
    </row>
    <row r="1379" spans="1:33" x14ac:dyDescent="0.2">
      <c r="A1379" s="1" t="s">
        <v>225</v>
      </c>
      <c r="B1379" s="1" t="s">
        <v>3456</v>
      </c>
      <c r="C1379" s="1">
        <v>6068</v>
      </c>
      <c r="D1379" s="1">
        <v>2</v>
      </c>
      <c r="F1379" s="1">
        <v>2023</v>
      </c>
      <c r="G1379" s="1" t="s">
        <v>54</v>
      </c>
      <c r="H1379" s="1">
        <v>605879</v>
      </c>
      <c r="I1379" s="1">
        <v>7</v>
      </c>
      <c r="K1379" s="1" t="s">
        <v>3457</v>
      </c>
      <c r="L1379" s="1" t="s">
        <v>3458</v>
      </c>
      <c r="M1379" s="1">
        <v>149</v>
      </c>
      <c r="N1379" s="1" t="s">
        <v>39</v>
      </c>
      <c r="O1379" s="1">
        <v>39.282499999999999</v>
      </c>
      <c r="P1379" s="1">
        <v>-96.115300000000005</v>
      </c>
      <c r="Q1379" s="1" t="s">
        <v>1283</v>
      </c>
      <c r="R1379" s="1" t="s">
        <v>41</v>
      </c>
      <c r="S1379" s="1" t="s">
        <v>42</v>
      </c>
      <c r="T1379" s="1" t="s">
        <v>43</v>
      </c>
      <c r="U1379" s="1" t="s">
        <v>55</v>
      </c>
      <c r="W1379" s="1" t="s">
        <v>56</v>
      </c>
      <c r="X1379" s="1" t="s">
        <v>2383</v>
      </c>
      <c r="Y1379" s="1" t="s">
        <v>58</v>
      </c>
      <c r="Z1379" s="1" t="s">
        <v>214</v>
      </c>
      <c r="AA1379" s="3">
        <v>29342</v>
      </c>
      <c r="AB1379" s="1" t="s">
        <v>46</v>
      </c>
      <c r="AC1379" s="5">
        <v>8500</v>
      </c>
      <c r="AD1379" s="1" t="s">
        <v>3460</v>
      </c>
      <c r="AE1379" s="1" t="str">
        <f t="shared" si="105"/>
        <v>6068 2</v>
      </c>
      <c r="AF1379" s="5" t="str">
        <f t="shared" si="107"/>
        <v>800</v>
      </c>
      <c r="AG1379" s="1" t="str">
        <f t="shared" si="104"/>
        <v>Y</v>
      </c>
    </row>
    <row r="1380" spans="1:33" x14ac:dyDescent="0.2">
      <c r="A1380" s="1" t="s">
        <v>225</v>
      </c>
      <c r="B1380" s="1" t="s">
        <v>3456</v>
      </c>
      <c r="C1380" s="1">
        <v>6068</v>
      </c>
      <c r="D1380" s="1">
        <v>3</v>
      </c>
      <c r="F1380" s="1">
        <v>2023</v>
      </c>
      <c r="G1380" s="1" t="s">
        <v>54</v>
      </c>
      <c r="H1380" s="1">
        <v>605879</v>
      </c>
      <c r="I1380" s="1">
        <v>7</v>
      </c>
      <c r="K1380" s="1" t="s">
        <v>3457</v>
      </c>
      <c r="L1380" s="1" t="s">
        <v>3458</v>
      </c>
      <c r="M1380" s="1">
        <v>149</v>
      </c>
      <c r="N1380" s="1" t="s">
        <v>39</v>
      </c>
      <c r="O1380" s="1">
        <v>39.282499999999999</v>
      </c>
      <c r="P1380" s="1">
        <v>-96.115300000000005</v>
      </c>
      <c r="Q1380" s="1" t="s">
        <v>1283</v>
      </c>
      <c r="R1380" s="1" t="s">
        <v>41</v>
      </c>
      <c r="S1380" s="1" t="s">
        <v>42</v>
      </c>
      <c r="T1380" s="1" t="s">
        <v>43</v>
      </c>
      <c r="U1380" s="1" t="s">
        <v>55</v>
      </c>
      <c r="W1380" s="1" t="s">
        <v>56</v>
      </c>
      <c r="X1380" s="1" t="s">
        <v>2383</v>
      </c>
      <c r="Y1380" s="1" t="s">
        <v>58</v>
      </c>
      <c r="Z1380" s="1" t="s">
        <v>214</v>
      </c>
      <c r="AA1380" s="3">
        <v>30463</v>
      </c>
      <c r="AB1380" s="1" t="s">
        <v>46</v>
      </c>
      <c r="AC1380" s="5">
        <v>8500</v>
      </c>
      <c r="AD1380" s="1" t="s">
        <v>3461</v>
      </c>
      <c r="AE1380" s="1" t="str">
        <f t="shared" si="105"/>
        <v>6068 3</v>
      </c>
      <c r="AF1380" s="5" t="str">
        <f t="shared" si="107"/>
        <v>800</v>
      </c>
      <c r="AG1380" s="1" t="str">
        <f t="shared" si="104"/>
        <v>Y</v>
      </c>
    </row>
    <row r="1381" spans="1:33" x14ac:dyDescent="0.2">
      <c r="A1381" s="1" t="s">
        <v>165</v>
      </c>
      <c r="B1381" s="1" t="s">
        <v>3462</v>
      </c>
      <c r="C1381" s="1">
        <v>6071</v>
      </c>
      <c r="D1381" s="1">
        <v>1</v>
      </c>
      <c r="F1381" s="1">
        <v>2023</v>
      </c>
      <c r="G1381" s="1" t="s">
        <v>1353</v>
      </c>
      <c r="H1381" s="1">
        <v>604155</v>
      </c>
      <c r="I1381" s="1">
        <v>4</v>
      </c>
      <c r="J1381" s="1" t="s">
        <v>169</v>
      </c>
      <c r="K1381" s="1" t="s">
        <v>3462</v>
      </c>
      <c r="L1381" s="1" t="s">
        <v>3463</v>
      </c>
      <c r="M1381" s="1">
        <v>223</v>
      </c>
      <c r="N1381" s="1" t="s">
        <v>39</v>
      </c>
      <c r="O1381" s="1">
        <v>38.584699999999998</v>
      </c>
      <c r="P1381" s="1">
        <v>-85.411699999999996</v>
      </c>
      <c r="Q1381" s="1" t="s">
        <v>3464</v>
      </c>
      <c r="R1381" s="1" t="s">
        <v>41</v>
      </c>
      <c r="S1381" s="1" t="s">
        <v>211</v>
      </c>
      <c r="T1381" s="1" t="s">
        <v>43</v>
      </c>
      <c r="U1381" s="1" t="s">
        <v>55</v>
      </c>
      <c r="V1381" s="1" t="s">
        <v>94</v>
      </c>
      <c r="W1381" s="1" t="s">
        <v>56</v>
      </c>
      <c r="X1381" s="1" t="s">
        <v>2278</v>
      </c>
      <c r="Y1381" s="1" t="s">
        <v>1384</v>
      </c>
      <c r="Z1381" s="1" t="s">
        <v>1109</v>
      </c>
      <c r="AA1381" s="3">
        <v>32874</v>
      </c>
      <c r="AB1381" s="1" t="s">
        <v>46</v>
      </c>
      <c r="AC1381" s="5">
        <v>6000</v>
      </c>
      <c r="AD1381" s="1" t="s">
        <v>3465</v>
      </c>
      <c r="AE1381" s="1" t="str">
        <f t="shared" si="105"/>
        <v>6071 1</v>
      </c>
      <c r="AF1381" s="5" t="str">
        <f t="shared" si="107"/>
        <v>566.1</v>
      </c>
      <c r="AG1381" s="1" t="str">
        <f t="shared" si="104"/>
        <v>Y</v>
      </c>
    </row>
    <row r="1382" spans="1:33" x14ac:dyDescent="0.2">
      <c r="A1382" s="1" t="s">
        <v>165</v>
      </c>
      <c r="B1382" s="1" t="s">
        <v>3462</v>
      </c>
      <c r="C1382" s="1">
        <v>6071</v>
      </c>
      <c r="D1382" s="1">
        <v>2</v>
      </c>
      <c r="E1382" s="1" t="s">
        <v>3466</v>
      </c>
      <c r="F1382" s="1">
        <v>2023</v>
      </c>
      <c r="G1382" s="1" t="s">
        <v>1353</v>
      </c>
      <c r="H1382" s="1">
        <v>604155</v>
      </c>
      <c r="I1382" s="1">
        <v>4</v>
      </c>
      <c r="J1382" s="1" t="s">
        <v>169</v>
      </c>
      <c r="K1382" s="1" t="s">
        <v>3462</v>
      </c>
      <c r="L1382" s="1" t="s">
        <v>3463</v>
      </c>
      <c r="M1382" s="1">
        <v>223</v>
      </c>
      <c r="N1382" s="1" t="s">
        <v>39</v>
      </c>
      <c r="O1382" s="1">
        <v>38.584699999999998</v>
      </c>
      <c r="P1382" s="1">
        <v>-85.411699999999996</v>
      </c>
      <c r="Q1382" s="1" t="s">
        <v>3467</v>
      </c>
      <c r="R1382" s="1" t="s">
        <v>41</v>
      </c>
      <c r="T1382" s="1" t="s">
        <v>89</v>
      </c>
      <c r="U1382" s="1" t="s">
        <v>55</v>
      </c>
      <c r="W1382" s="1" t="s">
        <v>56</v>
      </c>
      <c r="X1382" s="1" t="s">
        <v>223</v>
      </c>
      <c r="Y1382" s="1" t="s">
        <v>3468</v>
      </c>
      <c r="Z1382" s="1" t="s">
        <v>1109</v>
      </c>
      <c r="AA1382" s="3">
        <v>40316</v>
      </c>
      <c r="AB1382" s="1" t="s">
        <v>46</v>
      </c>
      <c r="AC1382" s="5">
        <v>7490</v>
      </c>
      <c r="AD1382" s="1" t="s">
        <v>3469</v>
      </c>
      <c r="AE1382" s="1" t="str">
        <f t="shared" si="105"/>
        <v>6071 2</v>
      </c>
      <c r="AF1382" s="5" t="str">
        <f t="shared" si="107"/>
        <v>750</v>
      </c>
      <c r="AG1382" s="1" t="str">
        <f t="shared" si="104"/>
        <v>Y</v>
      </c>
    </row>
    <row r="1383" spans="1:33" x14ac:dyDescent="0.2">
      <c r="A1383" s="1" t="s">
        <v>165</v>
      </c>
      <c r="B1383" s="1" t="s">
        <v>3462</v>
      </c>
      <c r="C1383" s="1">
        <v>6071</v>
      </c>
      <c r="D1383" s="1">
        <v>5</v>
      </c>
      <c r="F1383" s="1">
        <v>2023</v>
      </c>
      <c r="G1383" s="1" t="s">
        <v>168</v>
      </c>
      <c r="H1383" s="1">
        <v>604155</v>
      </c>
      <c r="I1383" s="1">
        <v>4</v>
      </c>
      <c r="J1383" s="1" t="s">
        <v>169</v>
      </c>
      <c r="K1383" s="1" t="s">
        <v>3462</v>
      </c>
      <c r="L1383" s="1" t="s">
        <v>3463</v>
      </c>
      <c r="M1383" s="1">
        <v>223</v>
      </c>
      <c r="N1383" s="1" t="s">
        <v>39</v>
      </c>
      <c r="O1383" s="1">
        <v>38.584699999999998</v>
      </c>
      <c r="P1383" s="1">
        <v>-85.411699999999996</v>
      </c>
      <c r="Q1383" s="1" t="s">
        <v>1356</v>
      </c>
      <c r="R1383" s="1" t="s">
        <v>41</v>
      </c>
      <c r="T1383" s="1" t="s">
        <v>93</v>
      </c>
      <c r="U1383" s="1" t="s">
        <v>44</v>
      </c>
      <c r="X1383" s="1" t="s">
        <v>140</v>
      </c>
      <c r="AA1383" s="3">
        <v>37391</v>
      </c>
      <c r="AB1383" s="1" t="s">
        <v>46</v>
      </c>
      <c r="AC1383" s="5">
        <v>2050</v>
      </c>
      <c r="AD1383" s="1" t="s">
        <v>3470</v>
      </c>
      <c r="AE1383" s="1" t="str">
        <f t="shared" si="105"/>
        <v>6071 5</v>
      </c>
      <c r="AF1383" s="5" t="str">
        <f t="shared" si="107"/>
        <v>174</v>
      </c>
      <c r="AG1383" s="1" t="str">
        <f t="shared" si="104"/>
        <v/>
      </c>
    </row>
    <row r="1384" spans="1:33" x14ac:dyDescent="0.2">
      <c r="A1384" s="1" t="s">
        <v>165</v>
      </c>
      <c r="B1384" s="1" t="s">
        <v>3462</v>
      </c>
      <c r="C1384" s="1">
        <v>6071</v>
      </c>
      <c r="D1384" s="1">
        <v>6</v>
      </c>
      <c r="F1384" s="1">
        <v>2023</v>
      </c>
      <c r="G1384" s="1" t="s">
        <v>168</v>
      </c>
      <c r="H1384" s="1">
        <v>604155</v>
      </c>
      <c r="I1384" s="1">
        <v>4</v>
      </c>
      <c r="J1384" s="1" t="s">
        <v>169</v>
      </c>
      <c r="K1384" s="1" t="s">
        <v>3462</v>
      </c>
      <c r="L1384" s="1" t="s">
        <v>3463</v>
      </c>
      <c r="M1384" s="1">
        <v>223</v>
      </c>
      <c r="N1384" s="1" t="s">
        <v>39</v>
      </c>
      <c r="O1384" s="1">
        <v>38.584699999999998</v>
      </c>
      <c r="P1384" s="1">
        <v>-85.411699999999996</v>
      </c>
      <c r="Q1384" s="1" t="s">
        <v>1356</v>
      </c>
      <c r="R1384" s="1" t="s">
        <v>41</v>
      </c>
      <c r="T1384" s="1" t="s">
        <v>93</v>
      </c>
      <c r="U1384" s="1" t="s">
        <v>44</v>
      </c>
      <c r="X1384" s="1" t="s">
        <v>140</v>
      </c>
      <c r="AA1384" s="3">
        <v>37391</v>
      </c>
      <c r="AB1384" s="1" t="s">
        <v>46</v>
      </c>
      <c r="AC1384" s="5">
        <v>2065</v>
      </c>
      <c r="AD1384" s="1" t="s">
        <v>3471</v>
      </c>
      <c r="AE1384" s="1" t="str">
        <f t="shared" si="105"/>
        <v>6071 6</v>
      </c>
      <c r="AF1384" s="5" t="str">
        <f t="shared" si="107"/>
        <v>174</v>
      </c>
      <c r="AG1384" s="1" t="str">
        <f t="shared" si="104"/>
        <v/>
      </c>
    </row>
    <row r="1385" spans="1:33" x14ac:dyDescent="0.2">
      <c r="A1385" s="1" t="s">
        <v>165</v>
      </c>
      <c r="B1385" s="1" t="s">
        <v>3462</v>
      </c>
      <c r="C1385" s="1">
        <v>6071</v>
      </c>
      <c r="D1385" s="1">
        <v>7</v>
      </c>
      <c r="F1385" s="1">
        <v>2023</v>
      </c>
      <c r="G1385" s="1" t="s">
        <v>168</v>
      </c>
      <c r="H1385" s="1">
        <v>604155</v>
      </c>
      <c r="I1385" s="1">
        <v>4</v>
      </c>
      <c r="J1385" s="1" t="s">
        <v>169</v>
      </c>
      <c r="K1385" s="1" t="s">
        <v>3462</v>
      </c>
      <c r="L1385" s="1" t="s">
        <v>3463</v>
      </c>
      <c r="M1385" s="1">
        <v>223</v>
      </c>
      <c r="N1385" s="1" t="s">
        <v>39</v>
      </c>
      <c r="O1385" s="1">
        <v>38.584699999999998</v>
      </c>
      <c r="P1385" s="1">
        <v>-85.411699999999996</v>
      </c>
      <c r="Q1385" s="1" t="s">
        <v>1356</v>
      </c>
      <c r="R1385" s="1" t="s">
        <v>41</v>
      </c>
      <c r="T1385" s="1" t="s">
        <v>93</v>
      </c>
      <c r="U1385" s="1" t="s">
        <v>44</v>
      </c>
      <c r="X1385" s="1" t="s">
        <v>140</v>
      </c>
      <c r="AA1385" s="3">
        <v>38035</v>
      </c>
      <c r="AB1385" s="1" t="s">
        <v>46</v>
      </c>
      <c r="AC1385" s="5">
        <v>2050</v>
      </c>
      <c r="AD1385" s="1" t="s">
        <v>3472</v>
      </c>
      <c r="AE1385" s="1" t="str">
        <f t="shared" si="105"/>
        <v>6071 7</v>
      </c>
      <c r="AF1385" s="5" t="str">
        <f t="shared" si="107"/>
        <v>174</v>
      </c>
      <c r="AG1385" s="1" t="str">
        <f t="shared" si="104"/>
        <v/>
      </c>
    </row>
    <row r="1386" spans="1:33" x14ac:dyDescent="0.2">
      <c r="A1386" s="1" t="s">
        <v>165</v>
      </c>
      <c r="B1386" s="1" t="s">
        <v>3462</v>
      </c>
      <c r="C1386" s="1">
        <v>6071</v>
      </c>
      <c r="D1386" s="1">
        <v>8</v>
      </c>
      <c r="F1386" s="1">
        <v>2023</v>
      </c>
      <c r="G1386" s="1" t="s">
        <v>168</v>
      </c>
      <c r="H1386" s="1">
        <v>604155</v>
      </c>
      <c r="I1386" s="1">
        <v>4</v>
      </c>
      <c r="J1386" s="1" t="s">
        <v>169</v>
      </c>
      <c r="K1386" s="1" t="s">
        <v>3462</v>
      </c>
      <c r="L1386" s="1" t="s">
        <v>3463</v>
      </c>
      <c r="M1386" s="1">
        <v>223</v>
      </c>
      <c r="N1386" s="1" t="s">
        <v>39</v>
      </c>
      <c r="O1386" s="1">
        <v>38.584699999999998</v>
      </c>
      <c r="P1386" s="1">
        <v>-85.411699999999996</v>
      </c>
      <c r="Q1386" s="1" t="s">
        <v>1356</v>
      </c>
      <c r="R1386" s="1" t="s">
        <v>41</v>
      </c>
      <c r="T1386" s="1" t="s">
        <v>93</v>
      </c>
      <c r="U1386" s="1" t="s">
        <v>44</v>
      </c>
      <c r="X1386" s="1" t="s">
        <v>140</v>
      </c>
      <c r="AA1386" s="3">
        <v>38038</v>
      </c>
      <c r="AB1386" s="1" t="s">
        <v>46</v>
      </c>
      <c r="AC1386" s="5">
        <v>2050</v>
      </c>
      <c r="AD1386" s="1" t="s">
        <v>3473</v>
      </c>
      <c r="AE1386" s="1" t="str">
        <f t="shared" si="105"/>
        <v>6071 8</v>
      </c>
      <c r="AF1386" s="5" t="str">
        <f t="shared" si="107"/>
        <v>174</v>
      </c>
      <c r="AG1386" s="1" t="str">
        <f t="shared" si="104"/>
        <v/>
      </c>
    </row>
    <row r="1387" spans="1:33" x14ac:dyDescent="0.2">
      <c r="A1387" s="1" t="s">
        <v>165</v>
      </c>
      <c r="B1387" s="1" t="s">
        <v>3462</v>
      </c>
      <c r="C1387" s="1">
        <v>6071</v>
      </c>
      <c r="D1387" s="1">
        <v>9</v>
      </c>
      <c r="F1387" s="1">
        <v>2023</v>
      </c>
      <c r="G1387" s="1" t="s">
        <v>168</v>
      </c>
      <c r="H1387" s="1">
        <v>604155</v>
      </c>
      <c r="I1387" s="1">
        <v>4</v>
      </c>
      <c r="J1387" s="1" t="s">
        <v>169</v>
      </c>
      <c r="K1387" s="1" t="s">
        <v>3462</v>
      </c>
      <c r="L1387" s="1" t="s">
        <v>3463</v>
      </c>
      <c r="M1387" s="1">
        <v>223</v>
      </c>
      <c r="N1387" s="1" t="s">
        <v>39</v>
      </c>
      <c r="O1387" s="1">
        <v>38.584699999999998</v>
      </c>
      <c r="P1387" s="1">
        <v>-85.411699999999996</v>
      </c>
      <c r="Q1387" s="1" t="s">
        <v>1356</v>
      </c>
      <c r="R1387" s="1" t="s">
        <v>41</v>
      </c>
      <c r="T1387" s="1" t="s">
        <v>93</v>
      </c>
      <c r="U1387" s="1" t="s">
        <v>44</v>
      </c>
      <c r="X1387" s="1" t="s">
        <v>140</v>
      </c>
      <c r="AA1387" s="3">
        <v>38072</v>
      </c>
      <c r="AB1387" s="1" t="s">
        <v>46</v>
      </c>
      <c r="AC1387" s="5">
        <v>2050</v>
      </c>
      <c r="AD1387" s="1" t="s">
        <v>3474</v>
      </c>
      <c r="AE1387" s="1" t="str">
        <f t="shared" si="105"/>
        <v>6071 9</v>
      </c>
      <c r="AF1387" s="5" t="str">
        <f t="shared" si="107"/>
        <v>174</v>
      </c>
      <c r="AG1387" s="1" t="str">
        <f t="shared" si="104"/>
        <v/>
      </c>
    </row>
    <row r="1388" spans="1:33" x14ac:dyDescent="0.2">
      <c r="A1388" s="1" t="s">
        <v>165</v>
      </c>
      <c r="B1388" s="1" t="s">
        <v>3462</v>
      </c>
      <c r="C1388" s="1">
        <v>6071</v>
      </c>
      <c r="D1388" s="1">
        <v>10</v>
      </c>
      <c r="F1388" s="1">
        <v>2023</v>
      </c>
      <c r="G1388" s="1" t="s">
        <v>168</v>
      </c>
      <c r="H1388" s="1">
        <v>604155</v>
      </c>
      <c r="I1388" s="1">
        <v>4</v>
      </c>
      <c r="J1388" s="1" t="s">
        <v>169</v>
      </c>
      <c r="K1388" s="1" t="s">
        <v>3462</v>
      </c>
      <c r="L1388" s="1" t="s">
        <v>3463</v>
      </c>
      <c r="M1388" s="1">
        <v>223</v>
      </c>
      <c r="N1388" s="1" t="s">
        <v>39</v>
      </c>
      <c r="O1388" s="1">
        <v>38.584699999999998</v>
      </c>
      <c r="P1388" s="1">
        <v>-85.411699999999996</v>
      </c>
      <c r="Q1388" s="1" t="s">
        <v>1356</v>
      </c>
      <c r="R1388" s="1" t="s">
        <v>41</v>
      </c>
      <c r="T1388" s="1" t="s">
        <v>93</v>
      </c>
      <c r="U1388" s="1" t="s">
        <v>44</v>
      </c>
      <c r="X1388" s="1" t="s">
        <v>140</v>
      </c>
      <c r="AA1388" s="3">
        <v>38084</v>
      </c>
      <c r="AB1388" s="1" t="s">
        <v>46</v>
      </c>
      <c r="AC1388" s="5">
        <v>2050</v>
      </c>
      <c r="AD1388" s="1" t="s">
        <v>3475</v>
      </c>
      <c r="AE1388" s="1" t="str">
        <f t="shared" si="105"/>
        <v>6071 10</v>
      </c>
      <c r="AF1388" s="5" t="str">
        <f t="shared" si="107"/>
        <v>174</v>
      </c>
      <c r="AG1388" s="1" t="str">
        <f t="shared" si="104"/>
        <v/>
      </c>
    </row>
    <row r="1389" spans="1:33" x14ac:dyDescent="0.2">
      <c r="A1389" s="1" t="s">
        <v>1732</v>
      </c>
      <c r="B1389" s="1" t="s">
        <v>3476</v>
      </c>
      <c r="C1389" s="1">
        <v>6073</v>
      </c>
      <c r="D1389" s="1">
        <v>1</v>
      </c>
      <c r="F1389" s="1">
        <v>2023</v>
      </c>
      <c r="G1389" s="1" t="s">
        <v>337</v>
      </c>
      <c r="H1389" s="1">
        <v>610389</v>
      </c>
      <c r="I1389" s="1">
        <v>4</v>
      </c>
      <c r="J1389" s="1" t="s">
        <v>36</v>
      </c>
      <c r="K1389" s="1" t="s">
        <v>994</v>
      </c>
      <c r="L1389" s="1" t="s">
        <v>1734</v>
      </c>
      <c r="M1389" s="1">
        <v>59</v>
      </c>
      <c r="N1389" s="1" t="s">
        <v>39</v>
      </c>
      <c r="O1389" s="1">
        <v>30.5335</v>
      </c>
      <c r="P1389" s="1">
        <v>-88.557400000000001</v>
      </c>
      <c r="Q1389" s="1" t="s">
        <v>3477</v>
      </c>
      <c r="R1389" s="1" t="s">
        <v>41</v>
      </c>
      <c r="S1389" s="1" t="s">
        <v>121</v>
      </c>
      <c r="T1389" s="1" t="s">
        <v>43</v>
      </c>
      <c r="U1389" s="1" t="s">
        <v>55</v>
      </c>
      <c r="V1389" s="1" t="s">
        <v>173</v>
      </c>
      <c r="W1389" s="1" t="s">
        <v>56</v>
      </c>
      <c r="Y1389" s="1" t="s">
        <v>58</v>
      </c>
      <c r="AA1389" s="3">
        <v>28374</v>
      </c>
      <c r="AB1389" s="1" t="s">
        <v>46</v>
      </c>
      <c r="AC1389" s="5">
        <v>5461</v>
      </c>
      <c r="AD1389" s="1" t="s">
        <v>3478</v>
      </c>
      <c r="AE1389" s="1" t="str">
        <f t="shared" si="105"/>
        <v>6073 1</v>
      </c>
      <c r="AF1389" s="5" t="str">
        <f t="shared" si="107"/>
        <v>500</v>
      </c>
      <c r="AG1389" s="1" t="str">
        <f t="shared" si="104"/>
        <v/>
      </c>
    </row>
    <row r="1390" spans="1:33" x14ac:dyDescent="0.2">
      <c r="A1390" s="1" t="s">
        <v>1732</v>
      </c>
      <c r="B1390" s="1" t="s">
        <v>3476</v>
      </c>
      <c r="C1390" s="1">
        <v>6073</v>
      </c>
      <c r="D1390" s="1">
        <v>2</v>
      </c>
      <c r="F1390" s="1">
        <v>2023</v>
      </c>
      <c r="G1390" s="1" t="s">
        <v>337</v>
      </c>
      <c r="H1390" s="1">
        <v>610389</v>
      </c>
      <c r="I1390" s="1">
        <v>4</v>
      </c>
      <c r="J1390" s="1" t="s">
        <v>36</v>
      </c>
      <c r="K1390" s="1" t="s">
        <v>994</v>
      </c>
      <c r="L1390" s="1" t="s">
        <v>1734</v>
      </c>
      <c r="M1390" s="1">
        <v>59</v>
      </c>
      <c r="N1390" s="1" t="s">
        <v>39</v>
      </c>
      <c r="O1390" s="1">
        <v>30.5335</v>
      </c>
      <c r="P1390" s="1">
        <v>-88.557400000000001</v>
      </c>
      <c r="Q1390" s="1" t="s">
        <v>3477</v>
      </c>
      <c r="R1390" s="1" t="s">
        <v>41</v>
      </c>
      <c r="S1390" s="1" t="s">
        <v>121</v>
      </c>
      <c r="T1390" s="1" t="s">
        <v>43</v>
      </c>
      <c r="U1390" s="1" t="s">
        <v>55</v>
      </c>
      <c r="V1390" s="1" t="s">
        <v>173</v>
      </c>
      <c r="Y1390" s="1" t="s">
        <v>58</v>
      </c>
      <c r="AA1390" s="3">
        <v>29738</v>
      </c>
      <c r="AB1390" s="1" t="s">
        <v>46</v>
      </c>
      <c r="AC1390" s="5">
        <v>5461</v>
      </c>
      <c r="AD1390" s="1" t="s">
        <v>3479</v>
      </c>
      <c r="AE1390" s="1" t="str">
        <f t="shared" si="105"/>
        <v>6073 2</v>
      </c>
      <c r="AF1390" s="5" t="str">
        <f t="shared" si="107"/>
        <v>500</v>
      </c>
      <c r="AG1390" s="1" t="str">
        <f t="shared" si="104"/>
        <v/>
      </c>
    </row>
    <row r="1391" spans="1:33" x14ac:dyDescent="0.2">
      <c r="A1391" s="1" t="s">
        <v>1732</v>
      </c>
      <c r="B1391" s="1" t="s">
        <v>3476</v>
      </c>
      <c r="C1391" s="1">
        <v>6073</v>
      </c>
      <c r="D1391" s="1" t="s">
        <v>379</v>
      </c>
      <c r="F1391" s="1">
        <v>2023</v>
      </c>
      <c r="G1391" s="1" t="s">
        <v>346</v>
      </c>
      <c r="H1391" s="1">
        <v>610389</v>
      </c>
      <c r="I1391" s="1">
        <v>4</v>
      </c>
      <c r="J1391" s="1" t="s">
        <v>36</v>
      </c>
      <c r="K1391" s="1" t="s">
        <v>994</v>
      </c>
      <c r="L1391" s="1" t="s">
        <v>1734</v>
      </c>
      <c r="M1391" s="1">
        <v>59</v>
      </c>
      <c r="N1391" s="1" t="s">
        <v>39</v>
      </c>
      <c r="O1391" s="1">
        <v>30.5335</v>
      </c>
      <c r="P1391" s="1">
        <v>-88.557400000000001</v>
      </c>
      <c r="Q1391" s="1" t="s">
        <v>1735</v>
      </c>
      <c r="R1391" s="1" t="s">
        <v>41</v>
      </c>
      <c r="T1391" s="1" t="s">
        <v>71</v>
      </c>
      <c r="U1391" s="1" t="s">
        <v>44</v>
      </c>
      <c r="X1391" s="1" t="s">
        <v>64</v>
      </c>
      <c r="AA1391" s="3">
        <v>36899</v>
      </c>
      <c r="AB1391" s="1" t="s">
        <v>46</v>
      </c>
      <c r="AC1391" s="5">
        <v>2105</v>
      </c>
      <c r="AD1391" s="1" t="s">
        <v>3480</v>
      </c>
      <c r="AE1391" s="1" t="str">
        <f t="shared" si="105"/>
        <v>6073 3A</v>
      </c>
      <c r="AF1391" s="14">
        <f>MID(AD1391,FIND("(",AD1391)+1,FIND(")",AD1391)-FIND("(",AD1391)-1)+195.2/2</f>
        <v>283.10000000000002</v>
      </c>
      <c r="AG1391" s="1" t="str">
        <f t="shared" si="104"/>
        <v>Y</v>
      </c>
    </row>
    <row r="1392" spans="1:33" x14ac:dyDescent="0.2">
      <c r="A1392" s="1" t="s">
        <v>1732</v>
      </c>
      <c r="B1392" s="1" t="s">
        <v>3476</v>
      </c>
      <c r="C1392" s="1">
        <v>6073</v>
      </c>
      <c r="D1392" s="1" t="s">
        <v>965</v>
      </c>
      <c r="F1392" s="1">
        <v>2023</v>
      </c>
      <c r="G1392" s="1" t="s">
        <v>346</v>
      </c>
      <c r="H1392" s="1">
        <v>610389</v>
      </c>
      <c r="I1392" s="1">
        <v>4</v>
      </c>
      <c r="J1392" s="1" t="s">
        <v>36</v>
      </c>
      <c r="K1392" s="1" t="s">
        <v>994</v>
      </c>
      <c r="L1392" s="1" t="s">
        <v>1734</v>
      </c>
      <c r="M1392" s="1">
        <v>59</v>
      </c>
      <c r="N1392" s="1" t="s">
        <v>39</v>
      </c>
      <c r="O1392" s="1">
        <v>30.5335</v>
      </c>
      <c r="P1392" s="1">
        <v>-88.557400000000001</v>
      </c>
      <c r="Q1392" s="1" t="s">
        <v>1735</v>
      </c>
      <c r="R1392" s="1" t="s">
        <v>41</v>
      </c>
      <c r="T1392" s="1" t="s">
        <v>71</v>
      </c>
      <c r="U1392" s="1" t="s">
        <v>44</v>
      </c>
      <c r="X1392" s="1" t="s">
        <v>64</v>
      </c>
      <c r="AA1392" s="3">
        <v>36909</v>
      </c>
      <c r="AB1392" s="1" t="s">
        <v>46</v>
      </c>
      <c r="AC1392" s="5">
        <v>2105</v>
      </c>
      <c r="AD1392" s="1" t="s">
        <v>3481</v>
      </c>
      <c r="AE1392" s="1" t="str">
        <f t="shared" si="105"/>
        <v>6073 3B</v>
      </c>
      <c r="AF1392" s="14">
        <f>AF1391</f>
        <v>283.10000000000002</v>
      </c>
      <c r="AG1392" s="1" t="str">
        <f t="shared" si="104"/>
        <v>Y</v>
      </c>
    </row>
    <row r="1393" spans="1:33" x14ac:dyDescent="0.2">
      <c r="A1393" s="1" t="s">
        <v>1732</v>
      </c>
      <c r="B1393" s="1" t="s">
        <v>3476</v>
      </c>
      <c r="C1393" s="1">
        <v>6073</v>
      </c>
      <c r="D1393" s="1" t="s">
        <v>381</v>
      </c>
      <c r="F1393" s="1">
        <v>2023</v>
      </c>
      <c r="G1393" s="1" t="s">
        <v>346</v>
      </c>
      <c r="H1393" s="1">
        <v>610389</v>
      </c>
      <c r="I1393" s="1">
        <v>4</v>
      </c>
      <c r="J1393" s="1" t="s">
        <v>36</v>
      </c>
      <c r="K1393" s="1" t="s">
        <v>994</v>
      </c>
      <c r="L1393" s="1" t="s">
        <v>1734</v>
      </c>
      <c r="M1393" s="1">
        <v>59</v>
      </c>
      <c r="N1393" s="1" t="s">
        <v>39</v>
      </c>
      <c r="O1393" s="1">
        <v>30.5335</v>
      </c>
      <c r="P1393" s="1">
        <v>-88.557400000000001</v>
      </c>
      <c r="Q1393" s="1" t="s">
        <v>1735</v>
      </c>
      <c r="R1393" s="1" t="s">
        <v>41</v>
      </c>
      <c r="T1393" s="1" t="s">
        <v>71</v>
      </c>
      <c r="U1393" s="1" t="s">
        <v>44</v>
      </c>
      <c r="X1393" s="1" t="s">
        <v>64</v>
      </c>
      <c r="AA1393" s="3">
        <v>36867</v>
      </c>
      <c r="AB1393" s="1" t="s">
        <v>46</v>
      </c>
      <c r="AC1393" s="5">
        <v>2105</v>
      </c>
      <c r="AD1393" s="1" t="s">
        <v>3482</v>
      </c>
      <c r="AE1393" s="1" t="str">
        <f t="shared" si="105"/>
        <v>6073 4A</v>
      </c>
      <c r="AF1393" s="14">
        <f>MID(AD1393,FIND("(",AD1393)+1,FIND(")",AD1393)-FIND("(",AD1393)-1)+195.2/2</f>
        <v>283.10000000000002</v>
      </c>
      <c r="AG1393" s="1" t="str">
        <f t="shared" si="104"/>
        <v>Y</v>
      </c>
    </row>
    <row r="1394" spans="1:33" x14ac:dyDescent="0.2">
      <c r="A1394" s="1" t="s">
        <v>1732</v>
      </c>
      <c r="B1394" s="1" t="s">
        <v>3476</v>
      </c>
      <c r="C1394" s="1">
        <v>6073</v>
      </c>
      <c r="D1394" s="1" t="s">
        <v>815</v>
      </c>
      <c r="F1394" s="1">
        <v>2023</v>
      </c>
      <c r="G1394" s="1" t="s">
        <v>346</v>
      </c>
      <c r="H1394" s="1">
        <v>610389</v>
      </c>
      <c r="I1394" s="1">
        <v>4</v>
      </c>
      <c r="J1394" s="1" t="s">
        <v>36</v>
      </c>
      <c r="K1394" s="1" t="s">
        <v>994</v>
      </c>
      <c r="L1394" s="1" t="s">
        <v>1734</v>
      </c>
      <c r="M1394" s="1">
        <v>59</v>
      </c>
      <c r="N1394" s="1" t="s">
        <v>39</v>
      </c>
      <c r="O1394" s="1">
        <v>30.5335</v>
      </c>
      <c r="P1394" s="1">
        <v>-88.557400000000001</v>
      </c>
      <c r="Q1394" s="1" t="s">
        <v>1735</v>
      </c>
      <c r="R1394" s="1" t="s">
        <v>41</v>
      </c>
      <c r="T1394" s="1" t="s">
        <v>71</v>
      </c>
      <c r="U1394" s="1" t="s">
        <v>44</v>
      </c>
      <c r="X1394" s="1" t="s">
        <v>64</v>
      </c>
      <c r="AA1394" s="3">
        <v>36872</v>
      </c>
      <c r="AB1394" s="1" t="s">
        <v>46</v>
      </c>
      <c r="AC1394" s="5">
        <v>2105</v>
      </c>
      <c r="AD1394" s="1" t="s">
        <v>3483</v>
      </c>
      <c r="AE1394" s="1" t="str">
        <f t="shared" si="105"/>
        <v>6073 4B</v>
      </c>
      <c r="AF1394" s="14">
        <f>AF1393</f>
        <v>283.10000000000002</v>
      </c>
      <c r="AG1394" s="1" t="str">
        <f t="shared" si="104"/>
        <v>Y</v>
      </c>
    </row>
    <row r="1395" spans="1:33" x14ac:dyDescent="0.2">
      <c r="A1395" s="1" t="s">
        <v>1755</v>
      </c>
      <c r="B1395" s="1" t="s">
        <v>3484</v>
      </c>
      <c r="C1395" s="1">
        <v>6074</v>
      </c>
      <c r="D1395" s="1">
        <v>1</v>
      </c>
      <c r="F1395" s="1">
        <v>2023</v>
      </c>
      <c r="G1395" s="1" t="s">
        <v>1195</v>
      </c>
      <c r="H1395" s="1">
        <v>605879</v>
      </c>
      <c r="I1395" s="1">
        <v>7</v>
      </c>
      <c r="K1395" s="1" t="s">
        <v>994</v>
      </c>
      <c r="L1395" s="1" t="s">
        <v>1757</v>
      </c>
      <c r="M1395" s="1">
        <v>95</v>
      </c>
      <c r="N1395" s="1" t="s">
        <v>39</v>
      </c>
      <c r="O1395" s="1">
        <v>38.861499999999999</v>
      </c>
      <c r="P1395" s="1">
        <v>-94.298199999999994</v>
      </c>
      <c r="Q1395" s="1" t="s">
        <v>1283</v>
      </c>
      <c r="T1395" s="1" t="s">
        <v>93</v>
      </c>
      <c r="U1395" s="1" t="s">
        <v>44</v>
      </c>
      <c r="V1395" s="1" t="s">
        <v>94</v>
      </c>
      <c r="AA1395" s="3">
        <v>27546</v>
      </c>
      <c r="AB1395" s="1" t="s">
        <v>46</v>
      </c>
      <c r="AC1395" s="5">
        <v>1010</v>
      </c>
      <c r="AD1395" s="1" t="s">
        <v>3485</v>
      </c>
      <c r="AE1395" s="1" t="str">
        <f t="shared" si="105"/>
        <v>6074 1</v>
      </c>
      <c r="AF1395" s="5" t="str">
        <f t="shared" ref="AF1395:AF1402" si="108">MID(AD1395,FIND("(",AD1395)+1,FIND(")",AD1395)-FIND("(",AD1395)-1)</f>
        <v>58</v>
      </c>
      <c r="AG1395" s="1" t="str">
        <f t="shared" si="104"/>
        <v/>
      </c>
    </row>
    <row r="1396" spans="1:33" x14ac:dyDescent="0.2">
      <c r="A1396" s="1" t="s">
        <v>1755</v>
      </c>
      <c r="B1396" s="1" t="s">
        <v>3484</v>
      </c>
      <c r="C1396" s="1">
        <v>6074</v>
      </c>
      <c r="D1396" s="1">
        <v>2</v>
      </c>
      <c r="F1396" s="1">
        <v>2023</v>
      </c>
      <c r="G1396" s="1" t="s">
        <v>1195</v>
      </c>
      <c r="H1396" s="1">
        <v>605879</v>
      </c>
      <c r="I1396" s="1">
        <v>7</v>
      </c>
      <c r="K1396" s="1" t="s">
        <v>994</v>
      </c>
      <c r="L1396" s="1" t="s">
        <v>1757</v>
      </c>
      <c r="M1396" s="1">
        <v>95</v>
      </c>
      <c r="N1396" s="1" t="s">
        <v>39</v>
      </c>
      <c r="O1396" s="1">
        <v>38.861499999999999</v>
      </c>
      <c r="P1396" s="1">
        <v>-94.298199999999994</v>
      </c>
      <c r="Q1396" s="1" t="s">
        <v>1283</v>
      </c>
      <c r="T1396" s="1" t="s">
        <v>93</v>
      </c>
      <c r="U1396" s="1" t="s">
        <v>44</v>
      </c>
      <c r="V1396" s="1" t="s">
        <v>94</v>
      </c>
      <c r="AA1396" s="3">
        <v>27546</v>
      </c>
      <c r="AB1396" s="1" t="s">
        <v>46</v>
      </c>
      <c r="AC1396" s="5">
        <v>1010</v>
      </c>
      <c r="AD1396" s="1" t="s">
        <v>3486</v>
      </c>
      <c r="AE1396" s="1" t="str">
        <f t="shared" si="105"/>
        <v>6074 2</v>
      </c>
      <c r="AF1396" s="5" t="str">
        <f t="shared" si="108"/>
        <v>58</v>
      </c>
      <c r="AG1396" s="1" t="str">
        <f t="shared" si="104"/>
        <v/>
      </c>
    </row>
    <row r="1397" spans="1:33" x14ac:dyDescent="0.2">
      <c r="A1397" s="1" t="s">
        <v>1755</v>
      </c>
      <c r="B1397" s="1" t="s">
        <v>3484</v>
      </c>
      <c r="C1397" s="1">
        <v>6074</v>
      </c>
      <c r="D1397" s="1">
        <v>3</v>
      </c>
      <c r="F1397" s="1">
        <v>2023</v>
      </c>
      <c r="G1397" s="1" t="s">
        <v>1195</v>
      </c>
      <c r="H1397" s="1">
        <v>605879</v>
      </c>
      <c r="I1397" s="1">
        <v>7</v>
      </c>
      <c r="K1397" s="1" t="s">
        <v>994</v>
      </c>
      <c r="L1397" s="1" t="s">
        <v>1757</v>
      </c>
      <c r="M1397" s="1">
        <v>95</v>
      </c>
      <c r="N1397" s="1" t="s">
        <v>39</v>
      </c>
      <c r="O1397" s="1">
        <v>38.861499999999999</v>
      </c>
      <c r="P1397" s="1">
        <v>-94.298199999999994</v>
      </c>
      <c r="Q1397" s="1" t="s">
        <v>1283</v>
      </c>
      <c r="T1397" s="1" t="s">
        <v>93</v>
      </c>
      <c r="U1397" s="1" t="s">
        <v>44</v>
      </c>
      <c r="V1397" s="1" t="s">
        <v>94</v>
      </c>
      <c r="AA1397" s="3">
        <v>28277</v>
      </c>
      <c r="AB1397" s="1" t="s">
        <v>46</v>
      </c>
      <c r="AC1397" s="5">
        <v>1010</v>
      </c>
      <c r="AD1397" s="1" t="s">
        <v>3487</v>
      </c>
      <c r="AE1397" s="1" t="str">
        <f t="shared" si="105"/>
        <v>6074 3</v>
      </c>
      <c r="AF1397" s="5" t="str">
        <f t="shared" si="108"/>
        <v>58</v>
      </c>
      <c r="AG1397" s="1" t="str">
        <f t="shared" si="104"/>
        <v/>
      </c>
    </row>
    <row r="1398" spans="1:33" x14ac:dyDescent="0.2">
      <c r="A1398" s="1" t="s">
        <v>1755</v>
      </c>
      <c r="B1398" s="1" t="s">
        <v>3484</v>
      </c>
      <c r="C1398" s="1">
        <v>6074</v>
      </c>
      <c r="D1398" s="1">
        <v>4</v>
      </c>
      <c r="F1398" s="1">
        <v>2023</v>
      </c>
      <c r="G1398" s="1" t="s">
        <v>1195</v>
      </c>
      <c r="H1398" s="1">
        <v>605879</v>
      </c>
      <c r="I1398" s="1">
        <v>7</v>
      </c>
      <c r="K1398" s="1" t="s">
        <v>994</v>
      </c>
      <c r="L1398" s="1" t="s">
        <v>1757</v>
      </c>
      <c r="M1398" s="1">
        <v>95</v>
      </c>
      <c r="N1398" s="1" t="s">
        <v>39</v>
      </c>
      <c r="O1398" s="1">
        <v>38.861499999999999</v>
      </c>
      <c r="P1398" s="1">
        <v>-94.298199999999994</v>
      </c>
      <c r="Q1398" s="1" t="s">
        <v>1283</v>
      </c>
      <c r="T1398" s="1" t="s">
        <v>93</v>
      </c>
      <c r="U1398" s="1" t="s">
        <v>44</v>
      </c>
      <c r="V1398" s="1" t="s">
        <v>94</v>
      </c>
      <c r="AA1398" s="3">
        <v>29007</v>
      </c>
      <c r="AB1398" s="1" t="s">
        <v>46</v>
      </c>
      <c r="AC1398" s="5">
        <v>1010</v>
      </c>
      <c r="AD1398" s="1" t="s">
        <v>3488</v>
      </c>
      <c r="AE1398" s="1" t="str">
        <f t="shared" si="105"/>
        <v>6074 4</v>
      </c>
      <c r="AF1398" s="5" t="str">
        <f t="shared" si="108"/>
        <v>58</v>
      </c>
      <c r="AG1398" s="1" t="str">
        <f t="shared" si="104"/>
        <v/>
      </c>
    </row>
    <row r="1399" spans="1:33" x14ac:dyDescent="0.2">
      <c r="A1399" s="1" t="s">
        <v>1843</v>
      </c>
      <c r="B1399" s="1" t="s">
        <v>3489</v>
      </c>
      <c r="C1399" s="1">
        <v>6076</v>
      </c>
      <c r="D1399" s="1">
        <v>3</v>
      </c>
      <c r="F1399" s="1">
        <v>2023</v>
      </c>
      <c r="G1399" s="1" t="s">
        <v>236</v>
      </c>
      <c r="H1399" s="1" t="s">
        <v>3490</v>
      </c>
      <c r="I1399" s="1">
        <v>8</v>
      </c>
      <c r="J1399" s="1" t="s">
        <v>237</v>
      </c>
      <c r="K1399" s="1" t="s">
        <v>3491</v>
      </c>
      <c r="L1399" s="1" t="s">
        <v>3492</v>
      </c>
      <c r="M1399" s="1">
        <v>87</v>
      </c>
      <c r="N1399" s="1" t="s">
        <v>39</v>
      </c>
      <c r="O1399" s="1">
        <v>45.883099999999999</v>
      </c>
      <c r="P1399" s="1">
        <v>-106.614</v>
      </c>
      <c r="Q1399" s="1" t="s">
        <v>3493</v>
      </c>
      <c r="R1399" s="1" t="s">
        <v>41</v>
      </c>
      <c r="S1399" s="1" t="s">
        <v>211</v>
      </c>
      <c r="T1399" s="1" t="s">
        <v>43</v>
      </c>
      <c r="U1399" s="1" t="s">
        <v>55</v>
      </c>
      <c r="W1399" s="1" t="s">
        <v>241</v>
      </c>
      <c r="X1399" s="1" t="s">
        <v>213</v>
      </c>
      <c r="Y1399" s="1" t="s">
        <v>3494</v>
      </c>
      <c r="Z1399" s="1" t="s">
        <v>937</v>
      </c>
      <c r="AA1399" s="3">
        <v>30691</v>
      </c>
      <c r="AB1399" s="1" t="s">
        <v>46</v>
      </c>
      <c r="AC1399" s="5">
        <v>8900</v>
      </c>
      <c r="AD1399" s="1" t="s">
        <v>3495</v>
      </c>
      <c r="AE1399" s="1" t="str">
        <f t="shared" si="105"/>
        <v>6076 3</v>
      </c>
      <c r="AF1399" s="5" t="str">
        <f t="shared" si="108"/>
        <v>778</v>
      </c>
      <c r="AG1399" s="1" t="str">
        <f t="shared" si="104"/>
        <v/>
      </c>
    </row>
    <row r="1400" spans="1:33" x14ac:dyDescent="0.2">
      <c r="A1400" s="1" t="s">
        <v>1843</v>
      </c>
      <c r="B1400" s="1" t="s">
        <v>3489</v>
      </c>
      <c r="C1400" s="1">
        <v>6076</v>
      </c>
      <c r="D1400" s="1">
        <v>4</v>
      </c>
      <c r="F1400" s="1">
        <v>2023</v>
      </c>
      <c r="G1400" s="1" t="s">
        <v>236</v>
      </c>
      <c r="H1400" s="1" t="s">
        <v>3490</v>
      </c>
      <c r="I1400" s="1">
        <v>8</v>
      </c>
      <c r="J1400" s="1" t="s">
        <v>237</v>
      </c>
      <c r="K1400" s="1" t="s">
        <v>3491</v>
      </c>
      <c r="L1400" s="1" t="s">
        <v>3492</v>
      </c>
      <c r="M1400" s="1">
        <v>87</v>
      </c>
      <c r="N1400" s="1" t="s">
        <v>39</v>
      </c>
      <c r="O1400" s="1">
        <v>45.883099999999999</v>
      </c>
      <c r="P1400" s="1">
        <v>-106.614</v>
      </c>
      <c r="Q1400" s="1" t="s">
        <v>3496</v>
      </c>
      <c r="R1400" s="1" t="s">
        <v>41</v>
      </c>
      <c r="S1400" s="1" t="s">
        <v>211</v>
      </c>
      <c r="T1400" s="1" t="s">
        <v>43</v>
      </c>
      <c r="U1400" s="1" t="s">
        <v>55</v>
      </c>
      <c r="W1400" s="1" t="s">
        <v>241</v>
      </c>
      <c r="X1400" s="1" t="s">
        <v>213</v>
      </c>
      <c r="Y1400" s="1" t="s">
        <v>3494</v>
      </c>
      <c r="Z1400" s="1" t="s">
        <v>937</v>
      </c>
      <c r="AA1400" s="3">
        <v>31503</v>
      </c>
      <c r="AB1400" s="1" t="s">
        <v>46</v>
      </c>
      <c r="AC1400" s="5">
        <v>8900</v>
      </c>
      <c r="AD1400" s="1" t="s">
        <v>3497</v>
      </c>
      <c r="AE1400" s="1" t="str">
        <f t="shared" si="105"/>
        <v>6076 4</v>
      </c>
      <c r="AF1400" s="5" t="str">
        <f t="shared" si="108"/>
        <v>778</v>
      </c>
      <c r="AG1400" s="1" t="str">
        <f t="shared" si="104"/>
        <v/>
      </c>
    </row>
    <row r="1401" spans="1:33" x14ac:dyDescent="0.2">
      <c r="A1401" s="1" t="s">
        <v>203</v>
      </c>
      <c r="B1401" s="1" t="s">
        <v>3498</v>
      </c>
      <c r="C1401" s="1">
        <v>6077</v>
      </c>
      <c r="D1401" s="1">
        <v>1</v>
      </c>
      <c r="F1401" s="1">
        <v>2023</v>
      </c>
      <c r="G1401" s="1" t="s">
        <v>205</v>
      </c>
      <c r="H1401" s="1">
        <v>609180</v>
      </c>
      <c r="I1401" s="1">
        <v>7</v>
      </c>
      <c r="J1401" s="1" t="s">
        <v>207</v>
      </c>
      <c r="K1401" s="1" t="s">
        <v>3267</v>
      </c>
      <c r="L1401" s="1" t="s">
        <v>3499</v>
      </c>
      <c r="M1401" s="1">
        <v>111</v>
      </c>
      <c r="N1401" s="1" t="s">
        <v>39</v>
      </c>
      <c r="O1401" s="1">
        <v>41.080800000000004</v>
      </c>
      <c r="P1401" s="1">
        <v>-101.1408</v>
      </c>
      <c r="Q1401" s="1" t="s">
        <v>1878</v>
      </c>
      <c r="R1401" s="1" t="s">
        <v>41</v>
      </c>
      <c r="S1401" s="1" t="s">
        <v>211</v>
      </c>
      <c r="T1401" s="1" t="s">
        <v>89</v>
      </c>
      <c r="U1401" s="1" t="s">
        <v>55</v>
      </c>
      <c r="X1401" s="1" t="s">
        <v>289</v>
      </c>
      <c r="Y1401" s="1" t="s">
        <v>232</v>
      </c>
      <c r="Z1401" s="1" t="s">
        <v>214</v>
      </c>
      <c r="AA1401" s="3">
        <v>28947</v>
      </c>
      <c r="AB1401" s="1" t="s">
        <v>46</v>
      </c>
      <c r="AC1401" s="5">
        <v>7964</v>
      </c>
      <c r="AD1401" s="1" t="s">
        <v>3500</v>
      </c>
      <c r="AE1401" s="1" t="str">
        <f t="shared" si="105"/>
        <v>6077 1</v>
      </c>
      <c r="AF1401" s="5" t="str">
        <f t="shared" si="108"/>
        <v>681.3</v>
      </c>
      <c r="AG1401" s="1" t="str">
        <f t="shared" si="104"/>
        <v/>
      </c>
    </row>
    <row r="1402" spans="1:33" x14ac:dyDescent="0.2">
      <c r="A1402" s="1" t="s">
        <v>203</v>
      </c>
      <c r="B1402" s="1" t="s">
        <v>3498</v>
      </c>
      <c r="C1402" s="1">
        <v>6077</v>
      </c>
      <c r="D1402" s="1">
        <v>2</v>
      </c>
      <c r="F1402" s="1">
        <v>2023</v>
      </c>
      <c r="G1402" s="1" t="s">
        <v>205</v>
      </c>
      <c r="H1402" s="1">
        <v>609180</v>
      </c>
      <c r="I1402" s="1">
        <v>7</v>
      </c>
      <c r="J1402" s="1" t="s">
        <v>207</v>
      </c>
      <c r="K1402" s="1" t="s">
        <v>3267</v>
      </c>
      <c r="L1402" s="1" t="s">
        <v>3499</v>
      </c>
      <c r="M1402" s="1">
        <v>111</v>
      </c>
      <c r="N1402" s="1" t="s">
        <v>39</v>
      </c>
      <c r="O1402" s="1">
        <v>41.080800000000004</v>
      </c>
      <c r="P1402" s="1">
        <v>-101.1408</v>
      </c>
      <c r="Q1402" s="1" t="s">
        <v>1878</v>
      </c>
      <c r="R1402" s="1" t="s">
        <v>41</v>
      </c>
      <c r="S1402" s="1" t="s">
        <v>211</v>
      </c>
      <c r="T1402" s="1" t="s">
        <v>89</v>
      </c>
      <c r="U1402" s="1" t="s">
        <v>55</v>
      </c>
      <c r="X1402" s="1" t="s">
        <v>289</v>
      </c>
      <c r="Y1402" s="1" t="s">
        <v>232</v>
      </c>
      <c r="Z1402" s="1" t="s">
        <v>214</v>
      </c>
      <c r="AA1402" s="3">
        <v>29952</v>
      </c>
      <c r="AB1402" s="1" t="s">
        <v>46</v>
      </c>
      <c r="AC1402" s="5">
        <v>8251</v>
      </c>
      <c r="AD1402" s="1" t="s">
        <v>3501</v>
      </c>
      <c r="AE1402" s="1" t="str">
        <f t="shared" si="105"/>
        <v>6077 2</v>
      </c>
      <c r="AF1402" s="5" t="str">
        <f t="shared" si="108"/>
        <v>681.3</v>
      </c>
      <c r="AG1402" s="1" t="str">
        <f t="shared" si="104"/>
        <v/>
      </c>
    </row>
    <row r="1403" spans="1:33" x14ac:dyDescent="0.2">
      <c r="A1403" s="1" t="s">
        <v>1568</v>
      </c>
      <c r="B1403" s="1" t="s">
        <v>3502</v>
      </c>
      <c r="C1403" s="1">
        <v>6081</v>
      </c>
      <c r="D1403" s="1">
        <v>1</v>
      </c>
      <c r="F1403" s="1">
        <v>2023</v>
      </c>
      <c r="G1403" s="1" t="s">
        <v>617</v>
      </c>
      <c r="H1403" s="1" t="s">
        <v>3503</v>
      </c>
      <c r="I1403" s="1">
        <v>1</v>
      </c>
      <c r="J1403" s="1" t="s">
        <v>580</v>
      </c>
      <c r="K1403" s="1" t="s">
        <v>3504</v>
      </c>
      <c r="L1403" s="1" t="s">
        <v>3505</v>
      </c>
      <c r="M1403" s="1">
        <v>13</v>
      </c>
      <c r="N1403" s="1" t="s">
        <v>39</v>
      </c>
      <c r="O1403" s="1">
        <v>42.197699999999998</v>
      </c>
      <c r="P1403" s="1">
        <v>-72.510300000000001</v>
      </c>
      <c r="Q1403" s="1" t="s">
        <v>3506</v>
      </c>
      <c r="T1403" s="1" t="s">
        <v>71</v>
      </c>
      <c r="U1403" s="1" t="s">
        <v>44</v>
      </c>
      <c r="V1403" s="1" t="s">
        <v>94</v>
      </c>
      <c r="X1403" s="1" t="s">
        <v>1606</v>
      </c>
      <c r="AA1403" s="3">
        <v>29920</v>
      </c>
      <c r="AB1403" s="1" t="s">
        <v>46</v>
      </c>
      <c r="AC1403" s="5">
        <v>1050</v>
      </c>
      <c r="AD1403" s="1" t="s">
        <v>3507</v>
      </c>
      <c r="AE1403" s="1" t="str">
        <f t="shared" si="105"/>
        <v>6081 1</v>
      </c>
      <c r="AF1403" s="14">
        <f>MID(AD1403,FIND("(",AD1403)+1,FIND(")",AD1403)-FIND("(",AD1403)-1)+105/3</f>
        <v>120</v>
      </c>
      <c r="AG1403" s="1" t="str">
        <f t="shared" si="104"/>
        <v/>
      </c>
    </row>
    <row r="1404" spans="1:33" x14ac:dyDescent="0.2">
      <c r="A1404" s="1" t="s">
        <v>1568</v>
      </c>
      <c r="B1404" s="1" t="s">
        <v>3502</v>
      </c>
      <c r="C1404" s="1">
        <v>6081</v>
      </c>
      <c r="D1404" s="1">
        <v>2</v>
      </c>
      <c r="F1404" s="1">
        <v>2023</v>
      </c>
      <c r="G1404" s="1" t="s">
        <v>617</v>
      </c>
      <c r="H1404" s="1" t="s">
        <v>3503</v>
      </c>
      <c r="I1404" s="1">
        <v>1</v>
      </c>
      <c r="J1404" s="1" t="s">
        <v>580</v>
      </c>
      <c r="K1404" s="1" t="s">
        <v>3504</v>
      </c>
      <c r="L1404" s="1" t="s">
        <v>3505</v>
      </c>
      <c r="M1404" s="1">
        <v>13</v>
      </c>
      <c r="N1404" s="1" t="s">
        <v>39</v>
      </c>
      <c r="O1404" s="1">
        <v>42.197699999999998</v>
      </c>
      <c r="P1404" s="1">
        <v>-72.510300000000001</v>
      </c>
      <c r="Q1404" s="1" t="s">
        <v>3506</v>
      </c>
      <c r="T1404" s="1" t="s">
        <v>71</v>
      </c>
      <c r="U1404" s="1" t="s">
        <v>44</v>
      </c>
      <c r="V1404" s="1" t="s">
        <v>94</v>
      </c>
      <c r="X1404" s="1" t="s">
        <v>3508</v>
      </c>
      <c r="AA1404" s="3">
        <v>29920</v>
      </c>
      <c r="AB1404" s="1" t="s">
        <v>46</v>
      </c>
      <c r="AC1404" s="5">
        <v>1050</v>
      </c>
      <c r="AD1404" s="1" t="s">
        <v>3509</v>
      </c>
      <c r="AE1404" s="1" t="str">
        <f t="shared" si="105"/>
        <v>6081 2</v>
      </c>
      <c r="AF1404" s="14">
        <f>AF1403</f>
        <v>120</v>
      </c>
      <c r="AG1404" s="1" t="str">
        <f t="shared" si="104"/>
        <v/>
      </c>
    </row>
    <row r="1405" spans="1:33" x14ac:dyDescent="0.2">
      <c r="A1405" s="1" t="s">
        <v>1568</v>
      </c>
      <c r="B1405" s="1" t="s">
        <v>3502</v>
      </c>
      <c r="C1405" s="1">
        <v>6081</v>
      </c>
      <c r="D1405" s="1">
        <v>3</v>
      </c>
      <c r="F1405" s="1">
        <v>2023</v>
      </c>
      <c r="G1405" s="1" t="s">
        <v>617</v>
      </c>
      <c r="H1405" s="1" t="s">
        <v>3503</v>
      </c>
      <c r="I1405" s="1">
        <v>1</v>
      </c>
      <c r="J1405" s="1" t="s">
        <v>580</v>
      </c>
      <c r="K1405" s="1" t="s">
        <v>3504</v>
      </c>
      <c r="L1405" s="1" t="s">
        <v>3505</v>
      </c>
      <c r="M1405" s="1">
        <v>13</v>
      </c>
      <c r="N1405" s="1" t="s">
        <v>39</v>
      </c>
      <c r="O1405" s="1">
        <v>42.197699999999998</v>
      </c>
      <c r="P1405" s="1">
        <v>-72.510300000000001</v>
      </c>
      <c r="Q1405" s="1" t="s">
        <v>3506</v>
      </c>
      <c r="T1405" s="1" t="s">
        <v>71</v>
      </c>
      <c r="U1405" s="1" t="s">
        <v>44</v>
      </c>
      <c r="V1405" s="1" t="s">
        <v>94</v>
      </c>
      <c r="X1405" s="1" t="s">
        <v>1606</v>
      </c>
      <c r="AA1405" s="3">
        <v>29920</v>
      </c>
      <c r="AB1405" s="1" t="s">
        <v>46</v>
      </c>
      <c r="AC1405" s="5">
        <v>1050</v>
      </c>
      <c r="AD1405" s="1" t="s">
        <v>3510</v>
      </c>
      <c r="AE1405" s="1" t="str">
        <f t="shared" si="105"/>
        <v>6081 3</v>
      </c>
      <c r="AF1405" s="14">
        <f>AF1403</f>
        <v>120</v>
      </c>
      <c r="AG1405" s="1" t="str">
        <f t="shared" si="104"/>
        <v/>
      </c>
    </row>
    <row r="1406" spans="1:33" x14ac:dyDescent="0.2">
      <c r="A1406" s="1" t="s">
        <v>1568</v>
      </c>
      <c r="B1406" s="1" t="s">
        <v>3502</v>
      </c>
      <c r="C1406" s="1">
        <v>6081</v>
      </c>
      <c r="D1406" s="1">
        <v>4</v>
      </c>
      <c r="F1406" s="1">
        <v>2023</v>
      </c>
      <c r="G1406" s="1" t="s">
        <v>617</v>
      </c>
      <c r="H1406" s="1" t="s">
        <v>3503</v>
      </c>
      <c r="I1406" s="1">
        <v>1</v>
      </c>
      <c r="J1406" s="1" t="s">
        <v>580</v>
      </c>
      <c r="K1406" s="1" t="s">
        <v>3504</v>
      </c>
      <c r="L1406" s="1" t="s">
        <v>3505</v>
      </c>
      <c r="M1406" s="1">
        <v>13</v>
      </c>
      <c r="N1406" s="1" t="s">
        <v>39</v>
      </c>
      <c r="O1406" s="1">
        <v>42.197699999999998</v>
      </c>
      <c r="P1406" s="1">
        <v>-72.510300000000001</v>
      </c>
      <c r="Q1406" s="1" t="s">
        <v>3511</v>
      </c>
      <c r="T1406" s="1" t="s">
        <v>93</v>
      </c>
      <c r="U1406" s="1" t="s">
        <v>94</v>
      </c>
      <c r="X1406" s="1" t="s">
        <v>95</v>
      </c>
      <c r="AA1406" s="3">
        <v>30285</v>
      </c>
      <c r="AB1406" s="1" t="s">
        <v>46</v>
      </c>
      <c r="AC1406" s="5">
        <v>1050</v>
      </c>
      <c r="AD1406" s="1" t="s">
        <v>3512</v>
      </c>
      <c r="AE1406" s="1" t="str">
        <f t="shared" si="105"/>
        <v>6081 4</v>
      </c>
      <c r="AF1406" s="5" t="str">
        <f t="shared" ref="AF1406:AF1420" si="109">MID(AD1406,FIND("(",AD1406)+1,FIND(")",AD1406)-FIND("(",AD1406)-1)</f>
        <v>85</v>
      </c>
      <c r="AG1406" s="1" t="str">
        <f t="shared" si="104"/>
        <v/>
      </c>
    </row>
    <row r="1407" spans="1:33" x14ac:dyDescent="0.2">
      <c r="A1407" s="1" t="s">
        <v>1568</v>
      </c>
      <c r="B1407" s="1" t="s">
        <v>3502</v>
      </c>
      <c r="C1407" s="1">
        <v>6081</v>
      </c>
      <c r="D1407" s="1">
        <v>5</v>
      </c>
      <c r="F1407" s="1">
        <v>2023</v>
      </c>
      <c r="G1407" s="1" t="s">
        <v>617</v>
      </c>
      <c r="H1407" s="1" t="s">
        <v>3503</v>
      </c>
      <c r="I1407" s="1">
        <v>1</v>
      </c>
      <c r="J1407" s="1" t="s">
        <v>580</v>
      </c>
      <c r="K1407" s="1" t="s">
        <v>3504</v>
      </c>
      <c r="L1407" s="1" t="s">
        <v>3505</v>
      </c>
      <c r="M1407" s="1">
        <v>13</v>
      </c>
      <c r="N1407" s="1" t="s">
        <v>39</v>
      </c>
      <c r="O1407" s="1">
        <v>42.197699999999998</v>
      </c>
      <c r="P1407" s="1">
        <v>-72.510300000000001</v>
      </c>
      <c r="Q1407" s="1" t="s">
        <v>3511</v>
      </c>
      <c r="T1407" s="1" t="s">
        <v>93</v>
      </c>
      <c r="U1407" s="1" t="s">
        <v>94</v>
      </c>
      <c r="X1407" s="1" t="s">
        <v>95</v>
      </c>
      <c r="AA1407" s="3">
        <v>30285</v>
      </c>
      <c r="AB1407" s="1" t="s">
        <v>46</v>
      </c>
      <c r="AC1407" s="5">
        <v>1050</v>
      </c>
      <c r="AD1407" s="1" t="s">
        <v>2476</v>
      </c>
      <c r="AE1407" s="1" t="str">
        <f t="shared" si="105"/>
        <v>6081 5</v>
      </c>
      <c r="AF1407" s="5" t="str">
        <f t="shared" si="109"/>
        <v>85</v>
      </c>
      <c r="AG1407" s="1" t="str">
        <f t="shared" si="104"/>
        <v/>
      </c>
    </row>
    <row r="1408" spans="1:33" x14ac:dyDescent="0.2">
      <c r="A1408" s="1" t="s">
        <v>1071</v>
      </c>
      <c r="B1408" s="1" t="s">
        <v>3513</v>
      </c>
      <c r="C1408" s="1">
        <v>6085</v>
      </c>
      <c r="D1408" s="1">
        <v>17</v>
      </c>
      <c r="F1408" s="1">
        <v>2023</v>
      </c>
      <c r="G1408" s="1" t="s">
        <v>1005</v>
      </c>
      <c r="H1408" s="1">
        <v>609545</v>
      </c>
      <c r="I1408" s="1">
        <v>5</v>
      </c>
      <c r="J1408" s="1" t="s">
        <v>169</v>
      </c>
      <c r="K1408" s="1" t="s">
        <v>3326</v>
      </c>
      <c r="L1408" s="1" t="s">
        <v>3514</v>
      </c>
      <c r="M1408" s="1">
        <v>73</v>
      </c>
      <c r="N1408" s="1" t="s">
        <v>39</v>
      </c>
      <c r="O1408" s="1">
        <v>41.217500000000001</v>
      </c>
      <c r="P1408" s="1">
        <v>-87.023899999999998</v>
      </c>
      <c r="Q1408" s="1" t="s">
        <v>1119</v>
      </c>
      <c r="R1408" s="1" t="s">
        <v>41</v>
      </c>
      <c r="S1408" s="1" t="s">
        <v>211</v>
      </c>
      <c r="T1408" s="1" t="s">
        <v>43</v>
      </c>
      <c r="U1408" s="1" t="s">
        <v>55</v>
      </c>
      <c r="W1408" s="1" t="s">
        <v>56</v>
      </c>
      <c r="X1408" s="1" t="s">
        <v>213</v>
      </c>
      <c r="Y1408" s="1" t="s">
        <v>58</v>
      </c>
      <c r="AA1408" s="3">
        <v>30434</v>
      </c>
      <c r="AB1408" s="1" t="s">
        <v>46</v>
      </c>
      <c r="AC1408" s="5">
        <v>4950</v>
      </c>
      <c r="AD1408" s="1" t="s">
        <v>3515</v>
      </c>
      <c r="AE1408" s="1" t="str">
        <f t="shared" si="105"/>
        <v>6085 17</v>
      </c>
      <c r="AF1408" s="5" t="str">
        <f t="shared" si="109"/>
        <v>423.5</v>
      </c>
      <c r="AG1408" s="1" t="str">
        <f t="shared" si="104"/>
        <v/>
      </c>
    </row>
    <row r="1409" spans="1:33" x14ac:dyDescent="0.2">
      <c r="A1409" s="1" t="s">
        <v>1071</v>
      </c>
      <c r="B1409" s="1" t="s">
        <v>3513</v>
      </c>
      <c r="C1409" s="1">
        <v>6085</v>
      </c>
      <c r="D1409" s="1">
        <v>18</v>
      </c>
      <c r="F1409" s="1">
        <v>2023</v>
      </c>
      <c r="G1409" s="1" t="s">
        <v>1005</v>
      </c>
      <c r="H1409" s="1">
        <v>609545</v>
      </c>
      <c r="I1409" s="1">
        <v>5</v>
      </c>
      <c r="J1409" s="1" t="s">
        <v>169</v>
      </c>
      <c r="K1409" s="1" t="s">
        <v>3326</v>
      </c>
      <c r="L1409" s="1" t="s">
        <v>3514</v>
      </c>
      <c r="M1409" s="1">
        <v>73</v>
      </c>
      <c r="N1409" s="1" t="s">
        <v>39</v>
      </c>
      <c r="O1409" s="1">
        <v>41.217500000000001</v>
      </c>
      <c r="P1409" s="1">
        <v>-87.023899999999998</v>
      </c>
      <c r="Q1409" s="1" t="s">
        <v>1119</v>
      </c>
      <c r="R1409" s="1" t="s">
        <v>41</v>
      </c>
      <c r="S1409" s="1" t="s">
        <v>211</v>
      </c>
      <c r="T1409" s="1" t="s">
        <v>43</v>
      </c>
      <c r="U1409" s="1" t="s">
        <v>55</v>
      </c>
      <c r="W1409" s="1" t="s">
        <v>56</v>
      </c>
      <c r="X1409" s="1" t="s">
        <v>213</v>
      </c>
      <c r="Y1409" s="1" t="s">
        <v>58</v>
      </c>
      <c r="AA1409" s="3">
        <v>31457</v>
      </c>
      <c r="AB1409" s="1" t="s">
        <v>46</v>
      </c>
      <c r="AC1409" s="5">
        <v>4950</v>
      </c>
      <c r="AD1409" s="1" t="s">
        <v>3516</v>
      </c>
      <c r="AE1409" s="1" t="str">
        <f t="shared" si="105"/>
        <v>6085 18</v>
      </c>
      <c r="AF1409" s="5" t="str">
        <f t="shared" si="109"/>
        <v>423.5</v>
      </c>
      <c r="AG1409" s="1" t="str">
        <f t="shared" si="104"/>
        <v/>
      </c>
    </row>
    <row r="1410" spans="1:33" x14ac:dyDescent="0.2">
      <c r="A1410" s="1" t="s">
        <v>1071</v>
      </c>
      <c r="B1410" s="1" t="s">
        <v>3513</v>
      </c>
      <c r="C1410" s="1">
        <v>6085</v>
      </c>
      <c r="D1410" s="1" t="s">
        <v>1918</v>
      </c>
      <c r="F1410" s="1">
        <v>2023</v>
      </c>
      <c r="G1410" s="1" t="s">
        <v>1020</v>
      </c>
      <c r="H1410" s="1">
        <v>609545</v>
      </c>
      <c r="I1410" s="1">
        <v>5</v>
      </c>
      <c r="J1410" s="1" t="s">
        <v>169</v>
      </c>
      <c r="K1410" s="1" t="s">
        <v>3326</v>
      </c>
      <c r="L1410" s="1" t="s">
        <v>3514</v>
      </c>
      <c r="M1410" s="1">
        <v>73</v>
      </c>
      <c r="N1410" s="1" t="s">
        <v>39</v>
      </c>
      <c r="O1410" s="1">
        <v>41.217500000000001</v>
      </c>
      <c r="P1410" s="1">
        <v>-87.023899999999998</v>
      </c>
      <c r="Q1410" s="1" t="s">
        <v>1119</v>
      </c>
      <c r="T1410" s="1" t="s">
        <v>93</v>
      </c>
      <c r="U1410" s="1" t="s">
        <v>44</v>
      </c>
      <c r="AA1410" s="3">
        <v>29220</v>
      </c>
      <c r="AB1410" s="1" t="s">
        <v>46</v>
      </c>
      <c r="AC1410" s="5">
        <v>1490</v>
      </c>
      <c r="AD1410" s="1" t="s">
        <v>3517</v>
      </c>
      <c r="AE1410" s="1" t="str">
        <f t="shared" si="105"/>
        <v>6085 16A</v>
      </c>
      <c r="AF1410" s="5" t="str">
        <f t="shared" si="109"/>
        <v>129</v>
      </c>
      <c r="AG1410" s="1" t="str">
        <f t="shared" ref="AG1410:AG1473" si="110">IF(ISNUMBER(SEARCH("selective", X1410)), "Y", "")</f>
        <v/>
      </c>
    </row>
    <row r="1411" spans="1:33" x14ac:dyDescent="0.2">
      <c r="A1411" s="1" t="s">
        <v>1071</v>
      </c>
      <c r="B1411" s="1" t="s">
        <v>3513</v>
      </c>
      <c r="C1411" s="1">
        <v>6085</v>
      </c>
      <c r="D1411" s="1" t="s">
        <v>1921</v>
      </c>
      <c r="F1411" s="1">
        <v>2023</v>
      </c>
      <c r="G1411" s="1" t="s">
        <v>1020</v>
      </c>
      <c r="H1411" s="1">
        <v>609545</v>
      </c>
      <c r="I1411" s="1">
        <v>5</v>
      </c>
      <c r="J1411" s="1" t="s">
        <v>169</v>
      </c>
      <c r="K1411" s="1" t="s">
        <v>3326</v>
      </c>
      <c r="L1411" s="1" t="s">
        <v>3514</v>
      </c>
      <c r="M1411" s="1">
        <v>73</v>
      </c>
      <c r="N1411" s="1" t="s">
        <v>39</v>
      </c>
      <c r="O1411" s="1">
        <v>41.217500000000001</v>
      </c>
      <c r="P1411" s="1">
        <v>-87.023899999999998</v>
      </c>
      <c r="Q1411" s="1" t="s">
        <v>1119</v>
      </c>
      <c r="T1411" s="1" t="s">
        <v>93</v>
      </c>
      <c r="U1411" s="1" t="s">
        <v>44</v>
      </c>
      <c r="AA1411" s="3">
        <v>29220</v>
      </c>
      <c r="AB1411" s="1" t="s">
        <v>46</v>
      </c>
      <c r="AC1411" s="5">
        <v>1450</v>
      </c>
      <c r="AD1411" s="1" t="s">
        <v>3518</v>
      </c>
      <c r="AE1411" s="1" t="str">
        <f t="shared" ref="AE1411:AE1474" si="111">C1411&amp;" "&amp;D1411</f>
        <v>6085 16B</v>
      </c>
      <c r="AF1411" s="5" t="str">
        <f t="shared" si="109"/>
        <v>129</v>
      </c>
      <c r="AG1411" s="1" t="str">
        <f t="shared" si="110"/>
        <v/>
      </c>
    </row>
    <row r="1412" spans="1:33" x14ac:dyDescent="0.2">
      <c r="A1412" s="1" t="s">
        <v>1663</v>
      </c>
      <c r="B1412" s="1" t="s">
        <v>1725</v>
      </c>
      <c r="C1412" s="1">
        <v>6090</v>
      </c>
      <c r="D1412" s="1">
        <v>1</v>
      </c>
      <c r="E1412" s="1" t="s">
        <v>1421</v>
      </c>
      <c r="F1412" s="1">
        <v>2023</v>
      </c>
      <c r="G1412" s="1" t="s">
        <v>205</v>
      </c>
      <c r="H1412" s="1">
        <v>608123</v>
      </c>
      <c r="I1412" s="1">
        <v>5</v>
      </c>
      <c r="J1412" s="1" t="s">
        <v>207</v>
      </c>
      <c r="K1412" s="1" t="s">
        <v>1725</v>
      </c>
      <c r="L1412" s="1" t="s">
        <v>1726</v>
      </c>
      <c r="M1412" s="1">
        <v>141</v>
      </c>
      <c r="N1412" s="1" t="s">
        <v>39</v>
      </c>
      <c r="O1412" s="1">
        <v>45.379199999999997</v>
      </c>
      <c r="P1412" s="1">
        <v>-93.895799999999994</v>
      </c>
      <c r="Q1412" s="1" t="s">
        <v>1686</v>
      </c>
      <c r="R1412" s="1" t="s">
        <v>41</v>
      </c>
      <c r="S1412" s="1" t="s">
        <v>121</v>
      </c>
      <c r="T1412" s="1" t="s">
        <v>43</v>
      </c>
      <c r="U1412" s="1" t="s">
        <v>55</v>
      </c>
      <c r="V1412" s="1" t="s">
        <v>94</v>
      </c>
      <c r="W1412" s="1" t="s">
        <v>56</v>
      </c>
      <c r="X1412" s="1" t="s">
        <v>213</v>
      </c>
      <c r="Y1412" s="1" t="s">
        <v>3519</v>
      </c>
      <c r="Z1412" s="1" t="s">
        <v>214</v>
      </c>
      <c r="AA1412" s="3">
        <v>27881</v>
      </c>
      <c r="AB1412" s="1" t="s">
        <v>46</v>
      </c>
      <c r="AC1412" s="5">
        <v>7935</v>
      </c>
      <c r="AD1412" s="1" t="s">
        <v>2617</v>
      </c>
      <c r="AE1412" s="1" t="str">
        <f t="shared" si="111"/>
        <v>6090 1</v>
      </c>
      <c r="AF1412" s="5" t="str">
        <f t="shared" si="109"/>
        <v>660</v>
      </c>
      <c r="AG1412" s="1" t="str">
        <f t="shared" si="110"/>
        <v/>
      </c>
    </row>
    <row r="1413" spans="1:33" x14ac:dyDescent="0.2">
      <c r="A1413" s="1" t="s">
        <v>1663</v>
      </c>
      <c r="B1413" s="1" t="s">
        <v>1725</v>
      </c>
      <c r="C1413" s="1">
        <v>6090</v>
      </c>
      <c r="D1413" s="1">
        <v>2</v>
      </c>
      <c r="E1413" s="1" t="s">
        <v>1421</v>
      </c>
      <c r="F1413" s="1">
        <v>2023</v>
      </c>
      <c r="G1413" s="1" t="s">
        <v>205</v>
      </c>
      <c r="H1413" s="1">
        <v>608123</v>
      </c>
      <c r="I1413" s="1">
        <v>5</v>
      </c>
      <c r="J1413" s="1" t="s">
        <v>207</v>
      </c>
      <c r="K1413" s="1" t="s">
        <v>1725</v>
      </c>
      <c r="L1413" s="1" t="s">
        <v>1726</v>
      </c>
      <c r="M1413" s="1">
        <v>141</v>
      </c>
      <c r="N1413" s="1" t="s">
        <v>39</v>
      </c>
      <c r="O1413" s="1">
        <v>45.379199999999997</v>
      </c>
      <c r="P1413" s="1">
        <v>-93.895799999999994</v>
      </c>
      <c r="Q1413" s="1" t="s">
        <v>1686</v>
      </c>
      <c r="R1413" s="1" t="s">
        <v>41</v>
      </c>
      <c r="S1413" s="1" t="s">
        <v>121</v>
      </c>
      <c r="T1413" s="1" t="s">
        <v>43</v>
      </c>
      <c r="U1413" s="1" t="s">
        <v>55</v>
      </c>
      <c r="V1413" s="1" t="s">
        <v>94</v>
      </c>
      <c r="W1413" s="1" t="s">
        <v>56</v>
      </c>
      <c r="X1413" s="1" t="s">
        <v>213</v>
      </c>
      <c r="Y1413" s="1" t="s">
        <v>3519</v>
      </c>
      <c r="Z1413" s="1" t="s">
        <v>214</v>
      </c>
      <c r="AA1413" s="3">
        <v>28216</v>
      </c>
      <c r="AB1413" s="1" t="s">
        <v>46</v>
      </c>
      <c r="AC1413" s="5">
        <v>8115</v>
      </c>
      <c r="AD1413" s="1" t="s">
        <v>2618</v>
      </c>
      <c r="AE1413" s="1" t="str">
        <f t="shared" si="111"/>
        <v>6090 2</v>
      </c>
      <c r="AF1413" s="5" t="str">
        <f t="shared" si="109"/>
        <v>660</v>
      </c>
      <c r="AG1413" s="1" t="str">
        <f t="shared" si="110"/>
        <v/>
      </c>
    </row>
    <row r="1414" spans="1:33" x14ac:dyDescent="0.2">
      <c r="A1414" s="1" t="s">
        <v>1663</v>
      </c>
      <c r="B1414" s="1" t="s">
        <v>1725</v>
      </c>
      <c r="C1414" s="1">
        <v>6090</v>
      </c>
      <c r="D1414" s="1">
        <v>3</v>
      </c>
      <c r="F1414" s="1">
        <v>2023</v>
      </c>
      <c r="G1414" s="1" t="s">
        <v>205</v>
      </c>
      <c r="H1414" s="1">
        <v>608123</v>
      </c>
      <c r="I1414" s="1">
        <v>5</v>
      </c>
      <c r="J1414" s="1" t="s">
        <v>207</v>
      </c>
      <c r="K1414" s="1" t="s">
        <v>1725</v>
      </c>
      <c r="L1414" s="1" t="s">
        <v>1726</v>
      </c>
      <c r="M1414" s="1">
        <v>141</v>
      </c>
      <c r="N1414" s="1" t="s">
        <v>39</v>
      </c>
      <c r="O1414" s="1">
        <v>45.379199999999997</v>
      </c>
      <c r="P1414" s="1">
        <v>-93.895799999999994</v>
      </c>
      <c r="Q1414" s="1" t="s">
        <v>3520</v>
      </c>
      <c r="R1414" s="1" t="s">
        <v>41</v>
      </c>
      <c r="S1414" s="1" t="s">
        <v>42</v>
      </c>
      <c r="T1414" s="1" t="s">
        <v>89</v>
      </c>
      <c r="U1414" s="1" t="s">
        <v>55</v>
      </c>
      <c r="V1414" s="1" t="s">
        <v>94</v>
      </c>
      <c r="W1414" s="1" t="s">
        <v>212</v>
      </c>
      <c r="X1414" s="1" t="s">
        <v>90</v>
      </c>
      <c r="Y1414" s="1" t="s">
        <v>232</v>
      </c>
      <c r="Z1414" s="1" t="s">
        <v>214</v>
      </c>
      <c r="AA1414" s="3">
        <v>32082</v>
      </c>
      <c r="AB1414" s="1" t="s">
        <v>46</v>
      </c>
      <c r="AC1414" s="5">
        <v>10696</v>
      </c>
      <c r="AD1414" s="1" t="s">
        <v>3521</v>
      </c>
      <c r="AE1414" s="1" t="str">
        <f t="shared" si="111"/>
        <v>6090 3</v>
      </c>
      <c r="AF1414" s="5" t="str">
        <f t="shared" si="109"/>
        <v>809</v>
      </c>
      <c r="AG1414" s="1" t="str">
        <f t="shared" si="110"/>
        <v/>
      </c>
    </row>
    <row r="1415" spans="1:33" x14ac:dyDescent="0.2">
      <c r="A1415" s="1" t="s">
        <v>335</v>
      </c>
      <c r="B1415" s="1" t="s">
        <v>3522</v>
      </c>
      <c r="C1415" s="1">
        <v>6095</v>
      </c>
      <c r="D1415" s="1">
        <v>1</v>
      </c>
      <c r="F1415" s="1">
        <v>2023</v>
      </c>
      <c r="G1415" s="1" t="s">
        <v>337</v>
      </c>
      <c r="H1415" s="1">
        <v>603925</v>
      </c>
      <c r="I1415" s="1">
        <v>6</v>
      </c>
      <c r="J1415" s="1" t="s">
        <v>228</v>
      </c>
      <c r="K1415" s="1" t="s">
        <v>3523</v>
      </c>
      <c r="L1415" s="1" t="s">
        <v>3524</v>
      </c>
      <c r="M1415" s="1">
        <v>103</v>
      </c>
      <c r="N1415" s="1" t="s">
        <v>39</v>
      </c>
      <c r="O1415" s="1">
        <v>36.453699999999998</v>
      </c>
      <c r="P1415" s="1">
        <v>-97.052700000000002</v>
      </c>
      <c r="Q1415" s="1" t="s">
        <v>2507</v>
      </c>
      <c r="R1415" s="1" t="s">
        <v>41</v>
      </c>
      <c r="S1415" s="1" t="s">
        <v>211</v>
      </c>
      <c r="T1415" s="1" t="s">
        <v>43</v>
      </c>
      <c r="U1415" s="1" t="s">
        <v>55</v>
      </c>
      <c r="V1415" s="1" t="s">
        <v>94</v>
      </c>
      <c r="W1415" s="1" t="s">
        <v>1069</v>
      </c>
      <c r="X1415" s="1" t="s">
        <v>1226</v>
      </c>
      <c r="Y1415" s="1" t="s">
        <v>58</v>
      </c>
      <c r="Z1415" s="1" t="s">
        <v>214</v>
      </c>
      <c r="AA1415" s="3">
        <v>29169</v>
      </c>
      <c r="AB1415" s="1" t="s">
        <v>46</v>
      </c>
      <c r="AC1415" s="5">
        <v>6128</v>
      </c>
      <c r="AD1415" s="1" t="s">
        <v>3525</v>
      </c>
      <c r="AE1415" s="1" t="str">
        <f t="shared" si="111"/>
        <v>6095 1</v>
      </c>
      <c r="AF1415" s="5" t="str">
        <f t="shared" si="109"/>
        <v>568</v>
      </c>
      <c r="AG1415" s="1" t="str">
        <f t="shared" si="110"/>
        <v/>
      </c>
    </row>
    <row r="1416" spans="1:33" x14ac:dyDescent="0.2">
      <c r="A1416" s="1" t="s">
        <v>335</v>
      </c>
      <c r="B1416" s="1" t="s">
        <v>3522</v>
      </c>
      <c r="C1416" s="1">
        <v>6095</v>
      </c>
      <c r="D1416" s="1">
        <v>2</v>
      </c>
      <c r="F1416" s="1">
        <v>2023</v>
      </c>
      <c r="G1416" s="1" t="s">
        <v>337</v>
      </c>
      <c r="H1416" s="1">
        <v>603925</v>
      </c>
      <c r="I1416" s="1">
        <v>6</v>
      </c>
      <c r="J1416" s="1" t="s">
        <v>228</v>
      </c>
      <c r="K1416" s="1" t="s">
        <v>3523</v>
      </c>
      <c r="L1416" s="1" t="s">
        <v>3524</v>
      </c>
      <c r="M1416" s="1">
        <v>103</v>
      </c>
      <c r="N1416" s="1" t="s">
        <v>39</v>
      </c>
      <c r="O1416" s="1">
        <v>36.453699999999998</v>
      </c>
      <c r="P1416" s="1">
        <v>-97.052700000000002</v>
      </c>
      <c r="Q1416" s="1" t="s">
        <v>2507</v>
      </c>
      <c r="R1416" s="1" t="s">
        <v>41</v>
      </c>
      <c r="S1416" s="1" t="s">
        <v>211</v>
      </c>
      <c r="T1416" s="1" t="s">
        <v>43</v>
      </c>
      <c r="U1416" s="1" t="s">
        <v>55</v>
      </c>
      <c r="V1416" s="1" t="s">
        <v>94</v>
      </c>
      <c r="W1416" s="1" t="s">
        <v>1069</v>
      </c>
      <c r="X1416" s="1" t="s">
        <v>1226</v>
      </c>
      <c r="Y1416" s="1" t="s">
        <v>58</v>
      </c>
      <c r="Z1416" s="1" t="s">
        <v>214</v>
      </c>
      <c r="AA1416" s="3">
        <v>29584</v>
      </c>
      <c r="AB1416" s="1" t="s">
        <v>46</v>
      </c>
      <c r="AC1416" s="5">
        <v>6115</v>
      </c>
      <c r="AD1416" s="1" t="s">
        <v>3526</v>
      </c>
      <c r="AE1416" s="1" t="str">
        <f t="shared" si="111"/>
        <v>6095 2</v>
      </c>
      <c r="AF1416" s="5" t="str">
        <f t="shared" si="109"/>
        <v>568</v>
      </c>
      <c r="AG1416" s="1" t="str">
        <f t="shared" si="110"/>
        <v/>
      </c>
    </row>
    <row r="1417" spans="1:33" x14ac:dyDescent="0.2">
      <c r="A1417" s="1" t="s">
        <v>203</v>
      </c>
      <c r="B1417" s="1" t="s">
        <v>3527</v>
      </c>
      <c r="C1417" s="1">
        <v>6096</v>
      </c>
      <c r="D1417" s="1">
        <v>1</v>
      </c>
      <c r="F1417" s="1">
        <v>2023</v>
      </c>
      <c r="G1417" s="1" t="s">
        <v>205</v>
      </c>
      <c r="H1417" s="1" t="s">
        <v>1882</v>
      </c>
      <c r="I1417" s="1">
        <v>7</v>
      </c>
      <c r="J1417" s="1" t="s">
        <v>207</v>
      </c>
      <c r="K1417" s="1" t="s">
        <v>3528</v>
      </c>
      <c r="L1417" s="1" t="s">
        <v>3529</v>
      </c>
      <c r="M1417" s="1">
        <v>131</v>
      </c>
      <c r="N1417" s="1" t="s">
        <v>39</v>
      </c>
      <c r="O1417" s="1">
        <v>40.621499999999997</v>
      </c>
      <c r="P1417" s="1">
        <v>-95.776499999999999</v>
      </c>
      <c r="Q1417" s="1" t="s">
        <v>1884</v>
      </c>
      <c r="R1417" s="1" t="s">
        <v>41</v>
      </c>
      <c r="S1417" s="1" t="s">
        <v>211</v>
      </c>
      <c r="T1417" s="1" t="s">
        <v>89</v>
      </c>
      <c r="U1417" s="1" t="s">
        <v>55</v>
      </c>
      <c r="X1417" s="1" t="s">
        <v>289</v>
      </c>
      <c r="Y1417" s="1" t="s">
        <v>58</v>
      </c>
      <c r="Z1417" s="1" t="s">
        <v>214</v>
      </c>
      <c r="AA1417" s="3">
        <v>29005</v>
      </c>
      <c r="AB1417" s="1" t="s">
        <v>46</v>
      </c>
      <c r="AC1417" s="5">
        <v>7100</v>
      </c>
      <c r="AD1417" s="1" t="s">
        <v>3530</v>
      </c>
      <c r="AE1417" s="1" t="str">
        <f t="shared" si="111"/>
        <v>6096 1</v>
      </c>
      <c r="AF1417" s="5" t="str">
        <f t="shared" si="109"/>
        <v>691</v>
      </c>
      <c r="AG1417" s="1" t="str">
        <f t="shared" si="110"/>
        <v/>
      </c>
    </row>
    <row r="1418" spans="1:33" x14ac:dyDescent="0.2">
      <c r="A1418" s="1" t="s">
        <v>203</v>
      </c>
      <c r="B1418" s="1" t="s">
        <v>3527</v>
      </c>
      <c r="C1418" s="1">
        <v>6096</v>
      </c>
      <c r="D1418" s="1">
        <v>2</v>
      </c>
      <c r="F1418" s="1">
        <v>2023</v>
      </c>
      <c r="G1418" s="1" t="s">
        <v>205</v>
      </c>
      <c r="H1418" s="1" t="s">
        <v>1882</v>
      </c>
      <c r="I1418" s="1">
        <v>7</v>
      </c>
      <c r="J1418" s="1" t="s">
        <v>207</v>
      </c>
      <c r="K1418" s="1" t="s">
        <v>3528</v>
      </c>
      <c r="L1418" s="1" t="s">
        <v>3529</v>
      </c>
      <c r="M1418" s="1">
        <v>131</v>
      </c>
      <c r="N1418" s="1" t="s">
        <v>39</v>
      </c>
      <c r="O1418" s="1">
        <v>40.621499999999997</v>
      </c>
      <c r="P1418" s="1">
        <v>-95.776499999999999</v>
      </c>
      <c r="Q1418" s="1" t="s">
        <v>1884</v>
      </c>
      <c r="R1418" s="1" t="s">
        <v>41</v>
      </c>
      <c r="T1418" s="1" t="s">
        <v>89</v>
      </c>
      <c r="U1418" s="1" t="s">
        <v>55</v>
      </c>
      <c r="W1418" s="1" t="s">
        <v>212</v>
      </c>
      <c r="X1418" s="1" t="s">
        <v>223</v>
      </c>
      <c r="Y1418" s="1" t="s">
        <v>232</v>
      </c>
      <c r="AA1418" s="3">
        <v>39752</v>
      </c>
      <c r="AB1418" s="1" t="s">
        <v>46</v>
      </c>
      <c r="AC1418" s="5">
        <v>7900</v>
      </c>
      <c r="AD1418" s="1" t="s">
        <v>3531</v>
      </c>
      <c r="AE1418" s="1" t="str">
        <f t="shared" si="111"/>
        <v>6096 2</v>
      </c>
      <c r="AF1418" s="5" t="str">
        <f t="shared" si="109"/>
        <v>725</v>
      </c>
      <c r="AG1418" s="1" t="str">
        <f t="shared" si="110"/>
        <v>Y</v>
      </c>
    </row>
    <row r="1419" spans="1:33" x14ac:dyDescent="0.2">
      <c r="A1419" s="1" t="s">
        <v>2750</v>
      </c>
      <c r="B1419" s="1" t="s">
        <v>3532</v>
      </c>
      <c r="C1419" s="1">
        <v>6098</v>
      </c>
      <c r="D1419" s="1">
        <v>1</v>
      </c>
      <c r="F1419" s="1">
        <v>2023</v>
      </c>
      <c r="G1419" s="1" t="s">
        <v>236</v>
      </c>
      <c r="H1419" s="1">
        <v>607660</v>
      </c>
      <c r="I1419" s="1">
        <v>8</v>
      </c>
      <c r="J1419" s="1" t="s">
        <v>207</v>
      </c>
      <c r="K1419" s="1" t="s">
        <v>3162</v>
      </c>
      <c r="L1419" s="1" t="s">
        <v>3533</v>
      </c>
      <c r="M1419" s="1">
        <v>51</v>
      </c>
      <c r="N1419" s="1" t="s">
        <v>39</v>
      </c>
      <c r="O1419" s="1">
        <v>45.304699999999997</v>
      </c>
      <c r="P1419" s="1">
        <v>-96.510300000000001</v>
      </c>
      <c r="Q1419" s="1" t="s">
        <v>3534</v>
      </c>
      <c r="R1419" s="1" t="s">
        <v>41</v>
      </c>
      <c r="S1419" s="1" t="s">
        <v>85</v>
      </c>
      <c r="T1419" s="1" t="s">
        <v>606</v>
      </c>
      <c r="U1419" s="1" t="s">
        <v>55</v>
      </c>
      <c r="V1419" s="1" t="s">
        <v>3535</v>
      </c>
      <c r="W1419" s="1" t="s">
        <v>212</v>
      </c>
      <c r="X1419" s="1" t="s">
        <v>1010</v>
      </c>
      <c r="Y1419" s="1" t="s">
        <v>232</v>
      </c>
      <c r="Z1419" s="1" t="s">
        <v>214</v>
      </c>
      <c r="AA1419" s="3">
        <v>27515</v>
      </c>
      <c r="AB1419" s="1" t="s">
        <v>46</v>
      </c>
      <c r="AC1419" s="5">
        <v>5609</v>
      </c>
      <c r="AD1419" s="1" t="s">
        <v>3536</v>
      </c>
      <c r="AE1419" s="1" t="str">
        <f t="shared" si="111"/>
        <v>6098 1</v>
      </c>
      <c r="AF1419" s="5" t="str">
        <f t="shared" si="109"/>
        <v>456</v>
      </c>
      <c r="AG1419" s="1" t="str">
        <f t="shared" si="110"/>
        <v>Y</v>
      </c>
    </row>
    <row r="1420" spans="1:33" x14ac:dyDescent="0.2">
      <c r="A1420" s="1" t="s">
        <v>3253</v>
      </c>
      <c r="B1420" s="1" t="s">
        <v>3537</v>
      </c>
      <c r="C1420" s="1">
        <v>6101</v>
      </c>
      <c r="D1420" s="1" t="s">
        <v>3538</v>
      </c>
      <c r="F1420" s="1">
        <v>2023</v>
      </c>
      <c r="G1420" s="1" t="s">
        <v>236</v>
      </c>
      <c r="H1420" s="1">
        <v>608875</v>
      </c>
      <c r="I1420" s="1">
        <v>8</v>
      </c>
      <c r="J1420" s="1" t="s">
        <v>237</v>
      </c>
      <c r="K1420" s="1" t="s">
        <v>3539</v>
      </c>
      <c r="L1420" s="1" t="s">
        <v>3540</v>
      </c>
      <c r="M1420" s="1">
        <v>5</v>
      </c>
      <c r="N1420" s="1" t="s">
        <v>39</v>
      </c>
      <c r="O1420" s="1">
        <v>44.288600000000002</v>
      </c>
      <c r="P1420" s="1">
        <v>-105.3847</v>
      </c>
      <c r="Q1420" s="1" t="s">
        <v>3541</v>
      </c>
      <c r="R1420" s="1" t="s">
        <v>41</v>
      </c>
      <c r="S1420" s="1" t="s">
        <v>121</v>
      </c>
      <c r="T1420" s="1" t="s">
        <v>89</v>
      </c>
      <c r="U1420" s="1" t="s">
        <v>55</v>
      </c>
      <c r="W1420" s="1" t="s">
        <v>212</v>
      </c>
      <c r="X1420" s="1" t="s">
        <v>289</v>
      </c>
      <c r="Y1420" s="1" t="s">
        <v>232</v>
      </c>
      <c r="Z1420" s="1" t="s">
        <v>1372</v>
      </c>
      <c r="AA1420" s="3">
        <v>28734</v>
      </c>
      <c r="AB1420" s="1" t="s">
        <v>46</v>
      </c>
      <c r="AC1420" s="5">
        <v>5302</v>
      </c>
      <c r="AD1420" s="1" t="s">
        <v>3542</v>
      </c>
      <c r="AE1420" s="1" t="str">
        <f t="shared" si="111"/>
        <v>6101 BW91</v>
      </c>
      <c r="AF1420" s="5" t="str">
        <f t="shared" si="109"/>
        <v>335</v>
      </c>
      <c r="AG1420" s="1" t="str">
        <f t="shared" si="110"/>
        <v/>
      </c>
    </row>
    <row r="1421" spans="1:33" x14ac:dyDescent="0.2">
      <c r="A1421" s="1" t="s">
        <v>516</v>
      </c>
      <c r="B1421" s="1" t="s">
        <v>3543</v>
      </c>
      <c r="C1421" s="1">
        <v>6112</v>
      </c>
      <c r="D1421" s="1">
        <v>2</v>
      </c>
      <c r="F1421" s="1">
        <v>2023</v>
      </c>
      <c r="G1421" s="1" t="s">
        <v>247</v>
      </c>
      <c r="H1421" s="1">
        <v>608791</v>
      </c>
      <c r="I1421" s="1">
        <v>8</v>
      </c>
      <c r="J1421" s="1" t="s">
        <v>237</v>
      </c>
      <c r="K1421" s="1" t="s">
        <v>3544</v>
      </c>
      <c r="L1421" s="1" t="s">
        <v>3545</v>
      </c>
      <c r="M1421" s="1">
        <v>123</v>
      </c>
      <c r="N1421" s="1" t="s">
        <v>39</v>
      </c>
      <c r="O1421" s="1">
        <v>40.246099999999998</v>
      </c>
      <c r="P1421" s="1">
        <v>-104.8742</v>
      </c>
      <c r="Q1421" s="1" t="s">
        <v>519</v>
      </c>
      <c r="R1421" s="1" t="s">
        <v>41</v>
      </c>
      <c r="T1421" s="1" t="s">
        <v>71</v>
      </c>
      <c r="U1421" s="1" t="s">
        <v>44</v>
      </c>
      <c r="X1421" s="1" t="s">
        <v>140</v>
      </c>
      <c r="AA1421" s="3">
        <v>35191</v>
      </c>
      <c r="AB1421" s="1" t="s">
        <v>46</v>
      </c>
      <c r="AC1421" s="5">
        <v>2242</v>
      </c>
      <c r="AD1421" s="1" t="s">
        <v>3546</v>
      </c>
      <c r="AE1421" s="1" t="str">
        <f t="shared" si="111"/>
        <v>6112 2</v>
      </c>
      <c r="AF1421" s="14">
        <f>MID(AD1421,FIND("(",AD1421)+1,FIND(")",AD1421)-FIND("(",AD1421)-1)+336/3</f>
        <v>242</v>
      </c>
      <c r="AG1421" s="1" t="str">
        <f t="shared" si="110"/>
        <v/>
      </c>
    </row>
    <row r="1422" spans="1:33" x14ac:dyDescent="0.2">
      <c r="A1422" s="1" t="s">
        <v>516</v>
      </c>
      <c r="B1422" s="1" t="s">
        <v>3543</v>
      </c>
      <c r="C1422" s="1">
        <v>6112</v>
      </c>
      <c r="D1422" s="1">
        <v>3</v>
      </c>
      <c r="F1422" s="1">
        <v>2023</v>
      </c>
      <c r="G1422" s="1" t="s">
        <v>247</v>
      </c>
      <c r="H1422" s="1">
        <v>608791</v>
      </c>
      <c r="I1422" s="1">
        <v>8</v>
      </c>
      <c r="J1422" s="1" t="s">
        <v>237</v>
      </c>
      <c r="K1422" s="1" t="s">
        <v>3544</v>
      </c>
      <c r="L1422" s="1" t="s">
        <v>3545</v>
      </c>
      <c r="M1422" s="1">
        <v>123</v>
      </c>
      <c r="N1422" s="1" t="s">
        <v>39</v>
      </c>
      <c r="O1422" s="1">
        <v>40.246099999999998</v>
      </c>
      <c r="P1422" s="1">
        <v>-104.8742</v>
      </c>
      <c r="Q1422" s="1" t="s">
        <v>519</v>
      </c>
      <c r="R1422" s="1" t="s">
        <v>41</v>
      </c>
      <c r="T1422" s="1" t="s">
        <v>71</v>
      </c>
      <c r="U1422" s="1" t="s">
        <v>44</v>
      </c>
      <c r="X1422" s="1" t="s">
        <v>140</v>
      </c>
      <c r="AA1422" s="3">
        <v>36220</v>
      </c>
      <c r="AB1422" s="1" t="s">
        <v>46</v>
      </c>
      <c r="AC1422" s="5">
        <v>2242</v>
      </c>
      <c r="AD1422" s="1" t="s">
        <v>3547</v>
      </c>
      <c r="AE1422" s="1" t="str">
        <f t="shared" si="111"/>
        <v>6112 3</v>
      </c>
      <c r="AF1422" s="14">
        <f>AF1421</f>
        <v>242</v>
      </c>
      <c r="AG1422" s="1" t="str">
        <f t="shared" si="110"/>
        <v/>
      </c>
    </row>
    <row r="1423" spans="1:33" x14ac:dyDescent="0.2">
      <c r="A1423" s="1" t="s">
        <v>516</v>
      </c>
      <c r="B1423" s="1" t="s">
        <v>3543</v>
      </c>
      <c r="C1423" s="1">
        <v>6112</v>
      </c>
      <c r="D1423" s="1">
        <v>4</v>
      </c>
      <c r="F1423" s="1">
        <v>2023</v>
      </c>
      <c r="G1423" s="1" t="s">
        <v>247</v>
      </c>
      <c r="H1423" s="1">
        <v>608791</v>
      </c>
      <c r="I1423" s="1">
        <v>8</v>
      </c>
      <c r="J1423" s="1" t="s">
        <v>237</v>
      </c>
      <c r="K1423" s="1" t="s">
        <v>3544</v>
      </c>
      <c r="L1423" s="1" t="s">
        <v>3545</v>
      </c>
      <c r="M1423" s="1">
        <v>123</v>
      </c>
      <c r="N1423" s="1" t="s">
        <v>39</v>
      </c>
      <c r="O1423" s="1">
        <v>40.246099999999998</v>
      </c>
      <c r="P1423" s="1">
        <v>-104.8742</v>
      </c>
      <c r="Q1423" s="1" t="s">
        <v>519</v>
      </c>
      <c r="R1423" s="1" t="s">
        <v>41</v>
      </c>
      <c r="T1423" s="1" t="s">
        <v>71</v>
      </c>
      <c r="U1423" s="1" t="s">
        <v>44</v>
      </c>
      <c r="X1423" s="1" t="s">
        <v>223</v>
      </c>
      <c r="AA1423" s="3">
        <v>37014</v>
      </c>
      <c r="AB1423" s="1" t="s">
        <v>46</v>
      </c>
      <c r="AC1423" s="5">
        <v>2242</v>
      </c>
      <c r="AD1423" s="1" t="s">
        <v>3548</v>
      </c>
      <c r="AE1423" s="1" t="str">
        <f t="shared" si="111"/>
        <v>6112 4</v>
      </c>
      <c r="AF1423" s="14">
        <f>AF1421</f>
        <v>242</v>
      </c>
      <c r="AG1423" s="1" t="str">
        <f t="shared" si="110"/>
        <v>Y</v>
      </c>
    </row>
    <row r="1424" spans="1:33" x14ac:dyDescent="0.2">
      <c r="A1424" s="1" t="s">
        <v>516</v>
      </c>
      <c r="B1424" s="1" t="s">
        <v>3543</v>
      </c>
      <c r="C1424" s="1">
        <v>6112</v>
      </c>
      <c r="D1424" s="1">
        <v>5</v>
      </c>
      <c r="F1424" s="1">
        <v>2023</v>
      </c>
      <c r="G1424" s="1" t="s">
        <v>247</v>
      </c>
      <c r="H1424" s="1">
        <v>608791</v>
      </c>
      <c r="I1424" s="1">
        <v>8</v>
      </c>
      <c r="J1424" s="1" t="s">
        <v>237</v>
      </c>
      <c r="K1424" s="1" t="s">
        <v>3544</v>
      </c>
      <c r="L1424" s="1" t="s">
        <v>3545</v>
      </c>
      <c r="M1424" s="1">
        <v>123</v>
      </c>
      <c r="N1424" s="1" t="s">
        <v>39</v>
      </c>
      <c r="O1424" s="1">
        <v>40.246099999999998</v>
      </c>
      <c r="P1424" s="1">
        <v>-104.8742</v>
      </c>
      <c r="Q1424" s="1" t="s">
        <v>519</v>
      </c>
      <c r="R1424" s="1" t="s">
        <v>41</v>
      </c>
      <c r="T1424" s="1" t="s">
        <v>93</v>
      </c>
      <c r="U1424" s="1" t="s">
        <v>44</v>
      </c>
      <c r="X1424" s="1" t="s">
        <v>140</v>
      </c>
      <c r="AA1424" s="3">
        <v>39925</v>
      </c>
      <c r="AB1424" s="1" t="s">
        <v>46</v>
      </c>
      <c r="AC1424" s="5">
        <v>1700</v>
      </c>
      <c r="AD1424" s="1" t="s">
        <v>3549</v>
      </c>
      <c r="AE1424" s="1" t="str">
        <f t="shared" si="111"/>
        <v>6112 5</v>
      </c>
      <c r="AF1424" s="5" t="str">
        <f t="shared" ref="AF1424:AF1455" si="112">MID(AD1424,FIND("(",AD1424)+1,FIND(")",AD1424)-FIND("(",AD1424)-1)</f>
        <v>146</v>
      </c>
      <c r="AG1424" s="1" t="str">
        <f t="shared" si="110"/>
        <v/>
      </c>
    </row>
    <row r="1425" spans="1:33" x14ac:dyDescent="0.2">
      <c r="A1425" s="1" t="s">
        <v>516</v>
      </c>
      <c r="B1425" s="1" t="s">
        <v>3543</v>
      </c>
      <c r="C1425" s="1">
        <v>6112</v>
      </c>
      <c r="D1425" s="1">
        <v>6</v>
      </c>
      <c r="F1425" s="1">
        <v>2023</v>
      </c>
      <c r="G1425" s="1" t="s">
        <v>247</v>
      </c>
      <c r="H1425" s="1">
        <v>608791</v>
      </c>
      <c r="I1425" s="1">
        <v>8</v>
      </c>
      <c r="J1425" s="1" t="s">
        <v>237</v>
      </c>
      <c r="K1425" s="1" t="s">
        <v>3544</v>
      </c>
      <c r="L1425" s="1" t="s">
        <v>3545</v>
      </c>
      <c r="M1425" s="1">
        <v>123</v>
      </c>
      <c r="N1425" s="1" t="s">
        <v>39</v>
      </c>
      <c r="O1425" s="1">
        <v>40.246099999999998</v>
      </c>
      <c r="P1425" s="1">
        <v>-104.8742</v>
      </c>
      <c r="Q1425" s="1" t="s">
        <v>519</v>
      </c>
      <c r="R1425" s="1" t="s">
        <v>41</v>
      </c>
      <c r="T1425" s="1" t="s">
        <v>93</v>
      </c>
      <c r="U1425" s="1" t="s">
        <v>44</v>
      </c>
      <c r="X1425" s="1" t="s">
        <v>140</v>
      </c>
      <c r="AA1425" s="3">
        <v>39928</v>
      </c>
      <c r="AB1425" s="1" t="s">
        <v>46</v>
      </c>
      <c r="AC1425" s="5">
        <v>1700</v>
      </c>
      <c r="AD1425" s="1" t="s">
        <v>3550</v>
      </c>
      <c r="AE1425" s="1" t="str">
        <f t="shared" si="111"/>
        <v>6112 6</v>
      </c>
      <c r="AF1425" s="5" t="str">
        <f t="shared" si="112"/>
        <v>146</v>
      </c>
      <c r="AG1425" s="1" t="str">
        <f t="shared" si="110"/>
        <v/>
      </c>
    </row>
    <row r="1426" spans="1:33" x14ac:dyDescent="0.2">
      <c r="A1426" s="1" t="s">
        <v>1071</v>
      </c>
      <c r="B1426" s="1" t="s">
        <v>3551</v>
      </c>
      <c r="C1426" s="1">
        <v>6113</v>
      </c>
      <c r="D1426" s="1">
        <v>1</v>
      </c>
      <c r="F1426" s="1">
        <v>2023</v>
      </c>
      <c r="G1426" s="1" t="s">
        <v>1005</v>
      </c>
      <c r="H1426" s="1">
        <v>609289</v>
      </c>
      <c r="I1426" s="1">
        <v>5</v>
      </c>
      <c r="K1426" s="1" t="s">
        <v>3552</v>
      </c>
      <c r="L1426" s="1" t="s">
        <v>3553</v>
      </c>
      <c r="M1426" s="1">
        <v>51</v>
      </c>
      <c r="N1426" s="1" t="s">
        <v>39</v>
      </c>
      <c r="O1426" s="1">
        <v>38.372199999999999</v>
      </c>
      <c r="P1426" s="1">
        <v>-87.766099999999994</v>
      </c>
      <c r="Q1426" s="1" t="s">
        <v>1124</v>
      </c>
      <c r="R1426" s="1" t="s">
        <v>120</v>
      </c>
      <c r="S1426" s="1" t="s">
        <v>121</v>
      </c>
      <c r="T1426" s="1" t="s">
        <v>89</v>
      </c>
      <c r="U1426" s="1" t="s">
        <v>55</v>
      </c>
      <c r="V1426" s="1" t="s">
        <v>94</v>
      </c>
      <c r="W1426" s="1" t="s">
        <v>56</v>
      </c>
      <c r="X1426" s="1" t="s">
        <v>563</v>
      </c>
      <c r="Y1426" s="1" t="s">
        <v>331</v>
      </c>
      <c r="AA1426" s="3">
        <v>27883</v>
      </c>
      <c r="AB1426" s="1" t="s">
        <v>46</v>
      </c>
      <c r="AC1426" s="5">
        <v>6500</v>
      </c>
      <c r="AD1426" s="1" t="s">
        <v>3554</v>
      </c>
      <c r="AE1426" s="1" t="str">
        <f t="shared" si="111"/>
        <v>6113 1</v>
      </c>
      <c r="AF1426" s="5" t="str">
        <f t="shared" si="112"/>
        <v>668</v>
      </c>
      <c r="AG1426" s="1" t="str">
        <f t="shared" si="110"/>
        <v>Y</v>
      </c>
    </row>
    <row r="1427" spans="1:33" x14ac:dyDescent="0.2">
      <c r="A1427" s="1" t="s">
        <v>1071</v>
      </c>
      <c r="B1427" s="1" t="s">
        <v>3551</v>
      </c>
      <c r="C1427" s="1">
        <v>6113</v>
      </c>
      <c r="D1427" s="1">
        <v>2</v>
      </c>
      <c r="F1427" s="1">
        <v>2023</v>
      </c>
      <c r="G1427" s="1" t="s">
        <v>1005</v>
      </c>
      <c r="H1427" s="1">
        <v>609289</v>
      </c>
      <c r="I1427" s="1">
        <v>5</v>
      </c>
      <c r="K1427" s="1" t="s">
        <v>3552</v>
      </c>
      <c r="L1427" s="1" t="s">
        <v>3553</v>
      </c>
      <c r="M1427" s="1">
        <v>51</v>
      </c>
      <c r="N1427" s="1" t="s">
        <v>39</v>
      </c>
      <c r="O1427" s="1">
        <v>38.372199999999999</v>
      </c>
      <c r="P1427" s="1">
        <v>-87.766099999999994</v>
      </c>
      <c r="Q1427" s="1" t="s">
        <v>1124</v>
      </c>
      <c r="R1427" s="1" t="s">
        <v>120</v>
      </c>
      <c r="S1427" s="1" t="s">
        <v>121</v>
      </c>
      <c r="T1427" s="1" t="s">
        <v>89</v>
      </c>
      <c r="U1427" s="1" t="s">
        <v>55</v>
      </c>
      <c r="V1427" s="1" t="s">
        <v>94</v>
      </c>
      <c r="W1427" s="1" t="s">
        <v>56</v>
      </c>
      <c r="X1427" s="1" t="s">
        <v>563</v>
      </c>
      <c r="Y1427" s="1" t="s">
        <v>331</v>
      </c>
      <c r="AA1427" s="3">
        <v>27500</v>
      </c>
      <c r="AB1427" s="1" t="s">
        <v>46</v>
      </c>
      <c r="AC1427" s="5">
        <v>7100</v>
      </c>
      <c r="AD1427" s="1" t="s">
        <v>3555</v>
      </c>
      <c r="AE1427" s="1" t="str">
        <f t="shared" si="111"/>
        <v>6113 2</v>
      </c>
      <c r="AF1427" s="5" t="str">
        <f t="shared" si="112"/>
        <v>668</v>
      </c>
      <c r="AG1427" s="1" t="str">
        <f t="shared" si="110"/>
        <v>Y</v>
      </c>
    </row>
    <row r="1428" spans="1:33" x14ac:dyDescent="0.2">
      <c r="A1428" s="1" t="s">
        <v>1071</v>
      </c>
      <c r="B1428" s="1" t="s">
        <v>3551</v>
      </c>
      <c r="C1428" s="1">
        <v>6113</v>
      </c>
      <c r="D1428" s="1">
        <v>3</v>
      </c>
      <c r="F1428" s="1">
        <v>2023</v>
      </c>
      <c r="G1428" s="1" t="s">
        <v>1005</v>
      </c>
      <c r="H1428" s="1">
        <v>609289</v>
      </c>
      <c r="I1428" s="1">
        <v>5</v>
      </c>
      <c r="K1428" s="1" t="s">
        <v>3552</v>
      </c>
      <c r="L1428" s="1" t="s">
        <v>3553</v>
      </c>
      <c r="M1428" s="1">
        <v>51</v>
      </c>
      <c r="N1428" s="1" t="s">
        <v>39</v>
      </c>
      <c r="O1428" s="1">
        <v>38.372199999999999</v>
      </c>
      <c r="P1428" s="1">
        <v>-87.766099999999994</v>
      </c>
      <c r="Q1428" s="1" t="s">
        <v>1124</v>
      </c>
      <c r="R1428" s="1" t="s">
        <v>120</v>
      </c>
      <c r="S1428" s="1" t="s">
        <v>121</v>
      </c>
      <c r="T1428" s="1" t="s">
        <v>89</v>
      </c>
      <c r="U1428" s="1" t="s">
        <v>55</v>
      </c>
      <c r="V1428" s="1" t="s">
        <v>94</v>
      </c>
      <c r="W1428" s="1" t="s">
        <v>56</v>
      </c>
      <c r="X1428" s="1" t="s">
        <v>563</v>
      </c>
      <c r="Y1428" s="1" t="s">
        <v>800</v>
      </c>
      <c r="AA1428" s="3">
        <v>28577</v>
      </c>
      <c r="AB1428" s="1" t="s">
        <v>46</v>
      </c>
      <c r="AC1428" s="5">
        <v>7300</v>
      </c>
      <c r="AD1428" s="1" t="s">
        <v>3556</v>
      </c>
      <c r="AE1428" s="1" t="str">
        <f t="shared" si="111"/>
        <v>6113 3</v>
      </c>
      <c r="AF1428" s="5" t="str">
        <f t="shared" si="112"/>
        <v>668</v>
      </c>
      <c r="AG1428" s="1" t="str">
        <f t="shared" si="110"/>
        <v>Y</v>
      </c>
    </row>
    <row r="1429" spans="1:33" x14ac:dyDescent="0.2">
      <c r="A1429" s="1" t="s">
        <v>1071</v>
      </c>
      <c r="B1429" s="1" t="s">
        <v>3551</v>
      </c>
      <c r="C1429" s="1">
        <v>6113</v>
      </c>
      <c r="D1429" s="1">
        <v>4</v>
      </c>
      <c r="F1429" s="1">
        <v>2023</v>
      </c>
      <c r="G1429" s="1" t="s">
        <v>1005</v>
      </c>
      <c r="H1429" s="1">
        <v>609289</v>
      </c>
      <c r="I1429" s="1">
        <v>5</v>
      </c>
      <c r="K1429" s="1" t="s">
        <v>3552</v>
      </c>
      <c r="L1429" s="1" t="s">
        <v>3553</v>
      </c>
      <c r="M1429" s="1">
        <v>51</v>
      </c>
      <c r="N1429" s="1" t="s">
        <v>39</v>
      </c>
      <c r="O1429" s="1">
        <v>38.372199999999999</v>
      </c>
      <c r="P1429" s="1">
        <v>-87.766099999999994</v>
      </c>
      <c r="Q1429" s="1" t="s">
        <v>1124</v>
      </c>
      <c r="R1429" s="1" t="s">
        <v>120</v>
      </c>
      <c r="S1429" s="1" t="s">
        <v>121</v>
      </c>
      <c r="T1429" s="1" t="s">
        <v>89</v>
      </c>
      <c r="U1429" s="1" t="s">
        <v>55</v>
      </c>
      <c r="V1429" s="1" t="s">
        <v>94</v>
      </c>
      <c r="W1429" s="1" t="s">
        <v>56</v>
      </c>
      <c r="X1429" s="1" t="s">
        <v>563</v>
      </c>
      <c r="Y1429" s="1" t="s">
        <v>800</v>
      </c>
      <c r="AA1429" s="3">
        <v>28941</v>
      </c>
      <c r="AB1429" s="1" t="s">
        <v>46</v>
      </c>
      <c r="AC1429" s="5">
        <v>7100</v>
      </c>
      <c r="AD1429" s="1" t="s">
        <v>3557</v>
      </c>
      <c r="AE1429" s="1" t="str">
        <f t="shared" si="111"/>
        <v>6113 4</v>
      </c>
      <c r="AF1429" s="5" t="str">
        <f t="shared" si="112"/>
        <v>668</v>
      </c>
      <c r="AG1429" s="1" t="str">
        <f t="shared" si="110"/>
        <v>Y</v>
      </c>
    </row>
    <row r="1430" spans="1:33" x14ac:dyDescent="0.2">
      <c r="A1430" s="1" t="s">
        <v>1071</v>
      </c>
      <c r="B1430" s="1" t="s">
        <v>3551</v>
      </c>
      <c r="C1430" s="1">
        <v>6113</v>
      </c>
      <c r="D1430" s="1">
        <v>5</v>
      </c>
      <c r="F1430" s="1">
        <v>2023</v>
      </c>
      <c r="G1430" s="1" t="s">
        <v>1005</v>
      </c>
      <c r="H1430" s="1">
        <v>609289</v>
      </c>
      <c r="I1430" s="1">
        <v>5</v>
      </c>
      <c r="K1430" s="1" t="s">
        <v>3552</v>
      </c>
      <c r="L1430" s="1" t="s">
        <v>3553</v>
      </c>
      <c r="M1430" s="1">
        <v>51</v>
      </c>
      <c r="N1430" s="1" t="s">
        <v>39</v>
      </c>
      <c r="O1430" s="1">
        <v>38.372199999999999</v>
      </c>
      <c r="P1430" s="1">
        <v>-87.766099999999994</v>
      </c>
      <c r="Q1430" s="1" t="s">
        <v>3558</v>
      </c>
      <c r="R1430" s="1" t="s">
        <v>41</v>
      </c>
      <c r="S1430" s="1" t="s">
        <v>42</v>
      </c>
      <c r="T1430" s="1" t="s">
        <v>89</v>
      </c>
      <c r="U1430" s="1" t="s">
        <v>55</v>
      </c>
      <c r="V1430" s="1" t="s">
        <v>94</v>
      </c>
      <c r="W1430" s="1" t="s">
        <v>56</v>
      </c>
      <c r="X1430" s="1" t="s">
        <v>563</v>
      </c>
      <c r="Y1430" s="1" t="s">
        <v>331</v>
      </c>
      <c r="AA1430" s="3">
        <v>30225</v>
      </c>
      <c r="AB1430" s="1" t="s">
        <v>46</v>
      </c>
      <c r="AC1430" s="5">
        <v>6700</v>
      </c>
      <c r="AD1430" s="1" t="s">
        <v>3559</v>
      </c>
      <c r="AE1430" s="1" t="str">
        <f t="shared" si="111"/>
        <v>6113 5</v>
      </c>
      <c r="AF1430" s="5" t="str">
        <f t="shared" si="112"/>
        <v>668</v>
      </c>
      <c r="AG1430" s="1" t="str">
        <f t="shared" si="110"/>
        <v>Y</v>
      </c>
    </row>
    <row r="1431" spans="1:33" x14ac:dyDescent="0.2">
      <c r="A1431" s="1" t="s">
        <v>921</v>
      </c>
      <c r="B1431" s="1" t="s">
        <v>3560</v>
      </c>
      <c r="C1431" s="1">
        <v>6124</v>
      </c>
      <c r="D1431" s="1" t="s">
        <v>311</v>
      </c>
      <c r="F1431" s="1">
        <v>2023</v>
      </c>
      <c r="G1431" s="1" t="s">
        <v>952</v>
      </c>
      <c r="H1431" s="1" t="s">
        <v>926</v>
      </c>
      <c r="I1431" s="1">
        <v>4</v>
      </c>
      <c r="J1431" s="1" t="s">
        <v>36</v>
      </c>
      <c r="K1431" s="1" t="s">
        <v>3561</v>
      </c>
      <c r="L1431" s="1" t="s">
        <v>3562</v>
      </c>
      <c r="M1431" s="1">
        <v>103</v>
      </c>
      <c r="N1431" s="1" t="s">
        <v>39</v>
      </c>
      <c r="O1431" s="1">
        <v>32.355800000000002</v>
      </c>
      <c r="P1431" s="1">
        <v>-81.168300000000002</v>
      </c>
      <c r="Q1431" s="1" t="s">
        <v>929</v>
      </c>
      <c r="R1431" s="1" t="s">
        <v>41</v>
      </c>
      <c r="T1431" s="1" t="s">
        <v>93</v>
      </c>
      <c r="U1431" s="1" t="s">
        <v>44</v>
      </c>
      <c r="V1431" s="1" t="s">
        <v>94</v>
      </c>
      <c r="X1431" s="1" t="s">
        <v>95</v>
      </c>
      <c r="AA1431" s="3">
        <v>34837</v>
      </c>
      <c r="AB1431" s="1" t="s">
        <v>46</v>
      </c>
      <c r="AC1431" s="5">
        <v>1419</v>
      </c>
      <c r="AD1431" s="1" t="s">
        <v>3563</v>
      </c>
      <c r="AE1431" s="1" t="str">
        <f t="shared" si="111"/>
        <v>6124 CT1</v>
      </c>
      <c r="AF1431" s="5" t="str">
        <f t="shared" si="112"/>
        <v>80</v>
      </c>
      <c r="AG1431" s="1" t="str">
        <f t="shared" si="110"/>
        <v/>
      </c>
    </row>
    <row r="1432" spans="1:33" x14ac:dyDescent="0.2">
      <c r="A1432" s="1" t="s">
        <v>921</v>
      </c>
      <c r="B1432" s="1" t="s">
        <v>3560</v>
      </c>
      <c r="C1432" s="1">
        <v>6124</v>
      </c>
      <c r="D1432" s="1" t="s">
        <v>98</v>
      </c>
      <c r="F1432" s="1">
        <v>2023</v>
      </c>
      <c r="G1432" s="1" t="s">
        <v>952</v>
      </c>
      <c r="H1432" s="1" t="s">
        <v>926</v>
      </c>
      <c r="I1432" s="1">
        <v>4</v>
      </c>
      <c r="J1432" s="1" t="s">
        <v>36</v>
      </c>
      <c r="K1432" s="1" t="s">
        <v>3561</v>
      </c>
      <c r="L1432" s="1" t="s">
        <v>3562</v>
      </c>
      <c r="M1432" s="1">
        <v>103</v>
      </c>
      <c r="N1432" s="1" t="s">
        <v>39</v>
      </c>
      <c r="O1432" s="1">
        <v>32.355800000000002</v>
      </c>
      <c r="P1432" s="1">
        <v>-81.168300000000002</v>
      </c>
      <c r="Q1432" s="1" t="s">
        <v>929</v>
      </c>
      <c r="R1432" s="1" t="s">
        <v>41</v>
      </c>
      <c r="T1432" s="1" t="s">
        <v>93</v>
      </c>
      <c r="U1432" s="1" t="s">
        <v>44</v>
      </c>
      <c r="V1432" s="1" t="s">
        <v>94</v>
      </c>
      <c r="X1432" s="1" t="s">
        <v>95</v>
      </c>
      <c r="AA1432" s="3">
        <v>34802</v>
      </c>
      <c r="AB1432" s="1" t="s">
        <v>46</v>
      </c>
      <c r="AC1432" s="5">
        <v>1419</v>
      </c>
      <c r="AD1432" s="1" t="s">
        <v>3564</v>
      </c>
      <c r="AE1432" s="1" t="str">
        <f t="shared" si="111"/>
        <v>6124 CT2</v>
      </c>
      <c r="AF1432" s="5" t="str">
        <f t="shared" si="112"/>
        <v>80</v>
      </c>
      <c r="AG1432" s="1" t="str">
        <f t="shared" si="110"/>
        <v/>
      </c>
    </row>
    <row r="1433" spans="1:33" x14ac:dyDescent="0.2">
      <c r="A1433" s="1" t="s">
        <v>921</v>
      </c>
      <c r="B1433" s="1" t="s">
        <v>3560</v>
      </c>
      <c r="C1433" s="1">
        <v>6124</v>
      </c>
      <c r="D1433" s="1" t="s">
        <v>101</v>
      </c>
      <c r="F1433" s="1">
        <v>2023</v>
      </c>
      <c r="G1433" s="1" t="s">
        <v>952</v>
      </c>
      <c r="H1433" s="1" t="s">
        <v>926</v>
      </c>
      <c r="I1433" s="1">
        <v>4</v>
      </c>
      <c r="J1433" s="1" t="s">
        <v>36</v>
      </c>
      <c r="K1433" s="1" t="s">
        <v>3561</v>
      </c>
      <c r="L1433" s="1" t="s">
        <v>3562</v>
      </c>
      <c r="M1433" s="1">
        <v>103</v>
      </c>
      <c r="N1433" s="1" t="s">
        <v>39</v>
      </c>
      <c r="O1433" s="1">
        <v>32.355800000000002</v>
      </c>
      <c r="P1433" s="1">
        <v>-81.168300000000002</v>
      </c>
      <c r="Q1433" s="1" t="s">
        <v>929</v>
      </c>
      <c r="R1433" s="1" t="s">
        <v>41</v>
      </c>
      <c r="T1433" s="1" t="s">
        <v>93</v>
      </c>
      <c r="U1433" s="1" t="s">
        <v>44</v>
      </c>
      <c r="V1433" s="1" t="s">
        <v>94</v>
      </c>
      <c r="X1433" s="1" t="s">
        <v>95</v>
      </c>
      <c r="AA1433" s="3">
        <v>34489</v>
      </c>
      <c r="AB1433" s="1" t="s">
        <v>46</v>
      </c>
      <c r="AC1433" s="5">
        <v>1419</v>
      </c>
      <c r="AD1433" s="1" t="s">
        <v>3565</v>
      </c>
      <c r="AE1433" s="1" t="str">
        <f t="shared" si="111"/>
        <v>6124 CT3</v>
      </c>
      <c r="AF1433" s="5" t="str">
        <f t="shared" si="112"/>
        <v>80</v>
      </c>
      <c r="AG1433" s="1" t="str">
        <f t="shared" si="110"/>
        <v/>
      </c>
    </row>
    <row r="1434" spans="1:33" x14ac:dyDescent="0.2">
      <c r="A1434" s="1" t="s">
        <v>921</v>
      </c>
      <c r="B1434" s="1" t="s">
        <v>3560</v>
      </c>
      <c r="C1434" s="1">
        <v>6124</v>
      </c>
      <c r="D1434" s="1" t="s">
        <v>103</v>
      </c>
      <c r="F1434" s="1">
        <v>2023</v>
      </c>
      <c r="G1434" s="1" t="s">
        <v>952</v>
      </c>
      <c r="H1434" s="1" t="s">
        <v>926</v>
      </c>
      <c r="I1434" s="1">
        <v>4</v>
      </c>
      <c r="J1434" s="1" t="s">
        <v>36</v>
      </c>
      <c r="K1434" s="1" t="s">
        <v>3561</v>
      </c>
      <c r="L1434" s="1" t="s">
        <v>3562</v>
      </c>
      <c r="M1434" s="1">
        <v>103</v>
      </c>
      <c r="N1434" s="1" t="s">
        <v>39</v>
      </c>
      <c r="O1434" s="1">
        <v>32.355800000000002</v>
      </c>
      <c r="P1434" s="1">
        <v>-81.168300000000002</v>
      </c>
      <c r="Q1434" s="1" t="s">
        <v>929</v>
      </c>
      <c r="R1434" s="1" t="s">
        <v>41</v>
      </c>
      <c r="T1434" s="1" t="s">
        <v>93</v>
      </c>
      <c r="U1434" s="1" t="s">
        <v>44</v>
      </c>
      <c r="V1434" s="1" t="s">
        <v>94</v>
      </c>
      <c r="X1434" s="1" t="s">
        <v>95</v>
      </c>
      <c r="AA1434" s="3">
        <v>34485</v>
      </c>
      <c r="AB1434" s="1" t="s">
        <v>46</v>
      </c>
      <c r="AC1434" s="5">
        <v>1419</v>
      </c>
      <c r="AD1434" s="1" t="s">
        <v>3566</v>
      </c>
      <c r="AE1434" s="1" t="str">
        <f t="shared" si="111"/>
        <v>6124 CT4</v>
      </c>
      <c r="AF1434" s="5" t="str">
        <f t="shared" si="112"/>
        <v>80</v>
      </c>
      <c r="AG1434" s="1" t="str">
        <f t="shared" si="110"/>
        <v/>
      </c>
    </row>
    <row r="1435" spans="1:33" x14ac:dyDescent="0.2">
      <c r="A1435" s="1" t="s">
        <v>921</v>
      </c>
      <c r="B1435" s="1" t="s">
        <v>3560</v>
      </c>
      <c r="C1435" s="1">
        <v>6124</v>
      </c>
      <c r="D1435" s="1" t="s">
        <v>105</v>
      </c>
      <c r="F1435" s="1">
        <v>2023</v>
      </c>
      <c r="G1435" s="1" t="s">
        <v>952</v>
      </c>
      <c r="H1435" s="1" t="s">
        <v>926</v>
      </c>
      <c r="I1435" s="1">
        <v>4</v>
      </c>
      <c r="J1435" s="1" t="s">
        <v>36</v>
      </c>
      <c r="K1435" s="1" t="s">
        <v>3561</v>
      </c>
      <c r="L1435" s="1" t="s">
        <v>3562</v>
      </c>
      <c r="M1435" s="1">
        <v>103</v>
      </c>
      <c r="N1435" s="1" t="s">
        <v>39</v>
      </c>
      <c r="O1435" s="1">
        <v>32.355800000000002</v>
      </c>
      <c r="P1435" s="1">
        <v>-81.168300000000002</v>
      </c>
      <c r="Q1435" s="1" t="s">
        <v>929</v>
      </c>
      <c r="R1435" s="1" t="s">
        <v>41</v>
      </c>
      <c r="T1435" s="1" t="s">
        <v>93</v>
      </c>
      <c r="U1435" s="1" t="s">
        <v>44</v>
      </c>
      <c r="V1435" s="1" t="s">
        <v>94</v>
      </c>
      <c r="X1435" s="1" t="s">
        <v>95</v>
      </c>
      <c r="AA1435" s="3">
        <v>34455</v>
      </c>
      <c r="AB1435" s="1" t="s">
        <v>46</v>
      </c>
      <c r="AC1435" s="5">
        <v>1419</v>
      </c>
      <c r="AD1435" s="1" t="s">
        <v>3567</v>
      </c>
      <c r="AE1435" s="1" t="str">
        <f t="shared" si="111"/>
        <v>6124 CT5</v>
      </c>
      <c r="AF1435" s="5" t="str">
        <f t="shared" si="112"/>
        <v>80</v>
      </c>
      <c r="AG1435" s="1" t="str">
        <f t="shared" si="110"/>
        <v/>
      </c>
    </row>
    <row r="1436" spans="1:33" x14ac:dyDescent="0.2">
      <c r="A1436" s="1" t="s">
        <v>921</v>
      </c>
      <c r="B1436" s="1" t="s">
        <v>3560</v>
      </c>
      <c r="C1436" s="1">
        <v>6124</v>
      </c>
      <c r="D1436" s="1" t="s">
        <v>107</v>
      </c>
      <c r="F1436" s="1">
        <v>2023</v>
      </c>
      <c r="G1436" s="1" t="s">
        <v>952</v>
      </c>
      <c r="H1436" s="1" t="s">
        <v>926</v>
      </c>
      <c r="I1436" s="1">
        <v>4</v>
      </c>
      <c r="J1436" s="1" t="s">
        <v>36</v>
      </c>
      <c r="K1436" s="1" t="s">
        <v>3561</v>
      </c>
      <c r="L1436" s="1" t="s">
        <v>3562</v>
      </c>
      <c r="M1436" s="1">
        <v>103</v>
      </c>
      <c r="N1436" s="1" t="s">
        <v>39</v>
      </c>
      <c r="O1436" s="1">
        <v>32.355800000000002</v>
      </c>
      <c r="P1436" s="1">
        <v>-81.168300000000002</v>
      </c>
      <c r="Q1436" s="1" t="s">
        <v>929</v>
      </c>
      <c r="R1436" s="1" t="s">
        <v>41</v>
      </c>
      <c r="T1436" s="1" t="s">
        <v>93</v>
      </c>
      <c r="U1436" s="1" t="s">
        <v>44</v>
      </c>
      <c r="V1436" s="1" t="s">
        <v>94</v>
      </c>
      <c r="X1436" s="1" t="s">
        <v>95</v>
      </c>
      <c r="AA1436" s="3">
        <v>34461</v>
      </c>
      <c r="AB1436" s="1" t="s">
        <v>46</v>
      </c>
      <c r="AC1436" s="5">
        <v>1419</v>
      </c>
      <c r="AD1436" s="1" t="s">
        <v>3568</v>
      </c>
      <c r="AE1436" s="1" t="str">
        <f t="shared" si="111"/>
        <v>6124 CT6</v>
      </c>
      <c r="AF1436" s="5" t="str">
        <f t="shared" si="112"/>
        <v>80</v>
      </c>
      <c r="AG1436" s="1" t="str">
        <f t="shared" si="110"/>
        <v/>
      </c>
    </row>
    <row r="1437" spans="1:33" x14ac:dyDescent="0.2">
      <c r="A1437" s="1" t="s">
        <v>921</v>
      </c>
      <c r="B1437" s="1" t="s">
        <v>3560</v>
      </c>
      <c r="C1437" s="1">
        <v>6124</v>
      </c>
      <c r="D1437" s="1" t="s">
        <v>109</v>
      </c>
      <c r="F1437" s="1">
        <v>2023</v>
      </c>
      <c r="G1437" s="1" t="s">
        <v>952</v>
      </c>
      <c r="H1437" s="1" t="s">
        <v>926</v>
      </c>
      <c r="I1437" s="1">
        <v>4</v>
      </c>
      <c r="J1437" s="1" t="s">
        <v>36</v>
      </c>
      <c r="K1437" s="1" t="s">
        <v>3561</v>
      </c>
      <c r="L1437" s="1" t="s">
        <v>3562</v>
      </c>
      <c r="M1437" s="1">
        <v>103</v>
      </c>
      <c r="N1437" s="1" t="s">
        <v>39</v>
      </c>
      <c r="O1437" s="1">
        <v>32.355800000000002</v>
      </c>
      <c r="P1437" s="1">
        <v>-81.168300000000002</v>
      </c>
      <c r="Q1437" s="1" t="s">
        <v>929</v>
      </c>
      <c r="R1437" s="1" t="s">
        <v>41</v>
      </c>
      <c r="T1437" s="1" t="s">
        <v>93</v>
      </c>
      <c r="U1437" s="1" t="s">
        <v>44</v>
      </c>
      <c r="V1437" s="1" t="s">
        <v>94</v>
      </c>
      <c r="X1437" s="1" t="s">
        <v>95</v>
      </c>
      <c r="AA1437" s="3">
        <v>34451</v>
      </c>
      <c r="AB1437" s="1" t="s">
        <v>46</v>
      </c>
      <c r="AC1437" s="5">
        <v>1419</v>
      </c>
      <c r="AD1437" s="1" t="s">
        <v>3569</v>
      </c>
      <c r="AE1437" s="1" t="str">
        <f t="shared" si="111"/>
        <v>6124 CT7</v>
      </c>
      <c r="AF1437" s="5" t="str">
        <f t="shared" si="112"/>
        <v>80</v>
      </c>
      <c r="AG1437" s="1" t="str">
        <f t="shared" si="110"/>
        <v/>
      </c>
    </row>
    <row r="1438" spans="1:33" x14ac:dyDescent="0.2">
      <c r="A1438" s="1" t="s">
        <v>921</v>
      </c>
      <c r="B1438" s="1" t="s">
        <v>3560</v>
      </c>
      <c r="C1438" s="1">
        <v>6124</v>
      </c>
      <c r="D1438" s="1" t="s">
        <v>111</v>
      </c>
      <c r="F1438" s="1">
        <v>2023</v>
      </c>
      <c r="G1438" s="1" t="s">
        <v>952</v>
      </c>
      <c r="H1438" s="1" t="s">
        <v>926</v>
      </c>
      <c r="I1438" s="1">
        <v>4</v>
      </c>
      <c r="J1438" s="1" t="s">
        <v>36</v>
      </c>
      <c r="K1438" s="1" t="s">
        <v>3561</v>
      </c>
      <c r="L1438" s="1" t="s">
        <v>3562</v>
      </c>
      <c r="M1438" s="1">
        <v>103</v>
      </c>
      <c r="N1438" s="1" t="s">
        <v>39</v>
      </c>
      <c r="O1438" s="1">
        <v>32.355800000000002</v>
      </c>
      <c r="P1438" s="1">
        <v>-81.168300000000002</v>
      </c>
      <c r="Q1438" s="1" t="s">
        <v>929</v>
      </c>
      <c r="R1438" s="1" t="s">
        <v>41</v>
      </c>
      <c r="T1438" s="1" t="s">
        <v>93</v>
      </c>
      <c r="U1438" s="1" t="s">
        <v>44</v>
      </c>
      <c r="V1438" s="1" t="s">
        <v>94</v>
      </c>
      <c r="X1438" s="1" t="s">
        <v>95</v>
      </c>
      <c r="AA1438" s="3">
        <v>34393</v>
      </c>
      <c r="AB1438" s="1" t="s">
        <v>46</v>
      </c>
      <c r="AC1438" s="5">
        <v>1419</v>
      </c>
      <c r="AD1438" s="1" t="s">
        <v>3570</v>
      </c>
      <c r="AE1438" s="1" t="str">
        <f t="shared" si="111"/>
        <v>6124 CT8</v>
      </c>
      <c r="AF1438" s="5" t="str">
        <f t="shared" si="112"/>
        <v>80</v>
      </c>
      <c r="AG1438" s="1" t="str">
        <f t="shared" si="110"/>
        <v/>
      </c>
    </row>
    <row r="1439" spans="1:33" x14ac:dyDescent="0.2">
      <c r="A1439" s="1" t="s">
        <v>1071</v>
      </c>
      <c r="B1439" s="1" t="s">
        <v>3571</v>
      </c>
      <c r="C1439" s="1">
        <v>6137</v>
      </c>
      <c r="D1439" s="1">
        <v>1</v>
      </c>
      <c r="F1439" s="1">
        <v>2023</v>
      </c>
      <c r="G1439" s="1" t="s">
        <v>1005</v>
      </c>
      <c r="H1439" s="1" t="s">
        <v>1145</v>
      </c>
      <c r="I1439" s="1">
        <v>5</v>
      </c>
      <c r="J1439" s="1" t="s">
        <v>169</v>
      </c>
      <c r="K1439" s="1" t="s">
        <v>3572</v>
      </c>
      <c r="L1439" s="1" t="s">
        <v>3573</v>
      </c>
      <c r="M1439" s="1">
        <v>129</v>
      </c>
      <c r="N1439" s="1" t="s">
        <v>39</v>
      </c>
      <c r="O1439" s="1">
        <v>37.905299999999997</v>
      </c>
      <c r="P1439" s="1">
        <v>-87.715000000000003</v>
      </c>
      <c r="Q1439" s="1" t="s">
        <v>1148</v>
      </c>
      <c r="R1439" s="1" t="s">
        <v>41</v>
      </c>
      <c r="S1439" s="1" t="s">
        <v>211</v>
      </c>
      <c r="T1439" s="1" t="s">
        <v>89</v>
      </c>
      <c r="U1439" s="1" t="s">
        <v>55</v>
      </c>
      <c r="W1439" s="1" t="s">
        <v>3574</v>
      </c>
      <c r="X1439" s="1" t="s">
        <v>223</v>
      </c>
      <c r="Y1439" s="1" t="s">
        <v>232</v>
      </c>
      <c r="Z1439" s="1" t="s">
        <v>1151</v>
      </c>
      <c r="AA1439" s="3">
        <v>28964</v>
      </c>
      <c r="AB1439" s="1" t="s">
        <v>46</v>
      </c>
      <c r="AC1439" s="5">
        <v>3632</v>
      </c>
      <c r="AD1439" s="1" t="s">
        <v>1625</v>
      </c>
      <c r="AE1439" s="1" t="str">
        <f t="shared" si="111"/>
        <v>6137 1</v>
      </c>
      <c r="AF1439" s="5" t="str">
        <f t="shared" si="112"/>
        <v>265</v>
      </c>
      <c r="AG1439" s="1" t="str">
        <f t="shared" si="110"/>
        <v>Y</v>
      </c>
    </row>
    <row r="1440" spans="1:33" x14ac:dyDescent="0.2">
      <c r="A1440" s="1" t="s">
        <v>1071</v>
      </c>
      <c r="B1440" s="1" t="s">
        <v>3571</v>
      </c>
      <c r="C1440" s="1">
        <v>6137</v>
      </c>
      <c r="D1440" s="1">
        <v>2</v>
      </c>
      <c r="F1440" s="1">
        <v>2023</v>
      </c>
      <c r="G1440" s="1" t="s">
        <v>1005</v>
      </c>
      <c r="H1440" s="1" t="s">
        <v>1145</v>
      </c>
      <c r="I1440" s="1">
        <v>5</v>
      </c>
      <c r="J1440" s="1" t="s">
        <v>169</v>
      </c>
      <c r="K1440" s="1" t="s">
        <v>3572</v>
      </c>
      <c r="L1440" s="1" t="s">
        <v>3573</v>
      </c>
      <c r="M1440" s="1">
        <v>129</v>
      </c>
      <c r="N1440" s="1" t="s">
        <v>39</v>
      </c>
      <c r="O1440" s="1">
        <v>37.905299999999997</v>
      </c>
      <c r="P1440" s="1">
        <v>-87.715000000000003</v>
      </c>
      <c r="Q1440" s="1" t="s">
        <v>1148</v>
      </c>
      <c r="R1440" s="1" t="s">
        <v>41</v>
      </c>
      <c r="S1440" s="1" t="s">
        <v>211</v>
      </c>
      <c r="T1440" s="1" t="s">
        <v>89</v>
      </c>
      <c r="U1440" s="1" t="s">
        <v>55</v>
      </c>
      <c r="W1440" s="1" t="s">
        <v>3574</v>
      </c>
      <c r="X1440" s="1" t="s">
        <v>223</v>
      </c>
      <c r="Y1440" s="1" t="s">
        <v>58</v>
      </c>
      <c r="Z1440" s="1" t="s">
        <v>1151</v>
      </c>
      <c r="AA1440" s="3">
        <v>30731</v>
      </c>
      <c r="AB1440" s="1" t="s">
        <v>46</v>
      </c>
      <c r="AC1440" s="5">
        <v>4469</v>
      </c>
      <c r="AD1440" s="1" t="s">
        <v>1626</v>
      </c>
      <c r="AE1440" s="1" t="str">
        <f t="shared" si="111"/>
        <v>6137 2</v>
      </c>
      <c r="AF1440" s="5" t="str">
        <f t="shared" si="112"/>
        <v>265</v>
      </c>
      <c r="AG1440" s="1" t="str">
        <f t="shared" si="110"/>
        <v>Y</v>
      </c>
    </row>
    <row r="1441" spans="1:33" x14ac:dyDescent="0.2">
      <c r="A1441" s="1" t="s">
        <v>1071</v>
      </c>
      <c r="B1441" s="1" t="s">
        <v>3571</v>
      </c>
      <c r="C1441" s="1">
        <v>6137</v>
      </c>
      <c r="D1441" s="1">
        <v>3</v>
      </c>
      <c r="F1441" s="1">
        <v>2023</v>
      </c>
      <c r="G1441" s="1" t="s">
        <v>461</v>
      </c>
      <c r="H1441" s="1" t="s">
        <v>1145</v>
      </c>
      <c r="I1441" s="1">
        <v>5</v>
      </c>
      <c r="J1441" s="1" t="s">
        <v>169</v>
      </c>
      <c r="K1441" s="1" t="s">
        <v>3572</v>
      </c>
      <c r="L1441" s="1" t="s">
        <v>3573</v>
      </c>
      <c r="M1441" s="1">
        <v>129</v>
      </c>
      <c r="N1441" s="1" t="s">
        <v>39</v>
      </c>
      <c r="O1441" s="1">
        <v>37.905299999999997</v>
      </c>
      <c r="P1441" s="1">
        <v>-87.715000000000003</v>
      </c>
      <c r="Q1441" s="1" t="s">
        <v>1148</v>
      </c>
      <c r="R1441" s="1" t="s">
        <v>41</v>
      </c>
      <c r="T1441" s="1" t="s">
        <v>93</v>
      </c>
      <c r="U1441" s="1" t="s">
        <v>44</v>
      </c>
      <c r="V1441" s="1" t="s">
        <v>94</v>
      </c>
      <c r="X1441" s="1" t="s">
        <v>95</v>
      </c>
      <c r="AA1441" s="3">
        <v>33392</v>
      </c>
      <c r="AB1441" s="1" t="s">
        <v>46</v>
      </c>
      <c r="AC1441" s="5">
        <v>1108</v>
      </c>
      <c r="AD1441" s="1" t="s">
        <v>3575</v>
      </c>
      <c r="AE1441" s="1" t="str">
        <f t="shared" si="111"/>
        <v>6137 3</v>
      </c>
      <c r="AF1441" s="5" t="str">
        <f t="shared" si="112"/>
        <v>80</v>
      </c>
      <c r="AG1441" s="1" t="str">
        <f t="shared" si="110"/>
        <v/>
      </c>
    </row>
    <row r="1442" spans="1:33" x14ac:dyDescent="0.2">
      <c r="A1442" s="1" t="s">
        <v>1071</v>
      </c>
      <c r="B1442" s="1" t="s">
        <v>3571</v>
      </c>
      <c r="C1442" s="1">
        <v>6137</v>
      </c>
      <c r="D1442" s="1">
        <v>4</v>
      </c>
      <c r="F1442" s="1">
        <v>2023</v>
      </c>
      <c r="G1442" s="1" t="s">
        <v>461</v>
      </c>
      <c r="H1442" s="1" t="s">
        <v>1145</v>
      </c>
      <c r="I1442" s="1">
        <v>5</v>
      </c>
      <c r="J1442" s="1" t="s">
        <v>169</v>
      </c>
      <c r="K1442" s="1" t="s">
        <v>3572</v>
      </c>
      <c r="L1442" s="1" t="s">
        <v>3573</v>
      </c>
      <c r="M1442" s="1">
        <v>129</v>
      </c>
      <c r="N1442" s="1" t="s">
        <v>39</v>
      </c>
      <c r="O1442" s="1">
        <v>37.905299999999997</v>
      </c>
      <c r="P1442" s="1">
        <v>-87.715000000000003</v>
      </c>
      <c r="Q1442" s="1" t="s">
        <v>1148</v>
      </c>
      <c r="R1442" s="1" t="s">
        <v>41</v>
      </c>
      <c r="T1442" s="1" t="s">
        <v>93</v>
      </c>
      <c r="U1442" s="1" t="s">
        <v>44</v>
      </c>
      <c r="X1442" s="1" t="s">
        <v>183</v>
      </c>
      <c r="AA1442" s="3">
        <v>37438</v>
      </c>
      <c r="AB1442" s="1" t="s">
        <v>46</v>
      </c>
      <c r="AC1442" s="5">
        <v>1406</v>
      </c>
      <c r="AD1442" s="1" t="s">
        <v>3576</v>
      </c>
      <c r="AE1442" s="1" t="str">
        <f t="shared" si="111"/>
        <v>6137 4</v>
      </c>
      <c r="AF1442" s="5" t="str">
        <f t="shared" si="112"/>
        <v>80</v>
      </c>
      <c r="AG1442" s="1" t="str">
        <f t="shared" si="110"/>
        <v/>
      </c>
    </row>
    <row r="1443" spans="1:33" x14ac:dyDescent="0.2">
      <c r="A1443" s="1" t="s">
        <v>348</v>
      </c>
      <c r="B1443" s="1" t="s">
        <v>3577</v>
      </c>
      <c r="C1443" s="1">
        <v>6138</v>
      </c>
      <c r="D1443" s="1">
        <v>1</v>
      </c>
      <c r="F1443" s="1">
        <v>2023</v>
      </c>
      <c r="G1443" s="1" t="s">
        <v>337</v>
      </c>
      <c r="H1443" s="1" t="s">
        <v>1346</v>
      </c>
      <c r="I1443" s="1">
        <v>6</v>
      </c>
      <c r="K1443" s="1" t="s">
        <v>3578</v>
      </c>
      <c r="L1443" s="1" t="s">
        <v>3579</v>
      </c>
      <c r="M1443" s="1">
        <v>7</v>
      </c>
      <c r="N1443" s="1" t="s">
        <v>39</v>
      </c>
      <c r="O1443" s="1">
        <v>36.256100000000004</v>
      </c>
      <c r="P1443" s="1">
        <v>-94.524100000000004</v>
      </c>
      <c r="Q1443" s="1" t="s">
        <v>3580</v>
      </c>
      <c r="R1443" s="1" t="s">
        <v>41</v>
      </c>
      <c r="S1443" s="1" t="s">
        <v>211</v>
      </c>
      <c r="T1443" s="1" t="s">
        <v>89</v>
      </c>
      <c r="U1443" s="1" t="s">
        <v>55</v>
      </c>
      <c r="W1443" s="1" t="s">
        <v>212</v>
      </c>
      <c r="X1443" s="1" t="s">
        <v>289</v>
      </c>
      <c r="Y1443" s="1" t="s">
        <v>123</v>
      </c>
      <c r="Z1443" s="1" t="s">
        <v>214</v>
      </c>
      <c r="AA1443" s="3">
        <v>28520</v>
      </c>
      <c r="AB1443" s="1" t="s">
        <v>46</v>
      </c>
      <c r="AC1443" s="5">
        <v>6324</v>
      </c>
      <c r="AD1443" s="1" t="s">
        <v>3581</v>
      </c>
      <c r="AE1443" s="1" t="str">
        <f t="shared" si="111"/>
        <v>6138 1</v>
      </c>
      <c r="AF1443" s="5" t="str">
        <f t="shared" si="112"/>
        <v>510.8</v>
      </c>
      <c r="AG1443" s="1" t="str">
        <f t="shared" si="110"/>
        <v/>
      </c>
    </row>
    <row r="1444" spans="1:33" x14ac:dyDescent="0.2">
      <c r="A1444" s="1" t="s">
        <v>383</v>
      </c>
      <c r="B1444" s="1" t="s">
        <v>3582</v>
      </c>
      <c r="C1444" s="1">
        <v>6139</v>
      </c>
      <c r="D1444" s="1">
        <v>1</v>
      </c>
      <c r="F1444" s="1">
        <v>2023</v>
      </c>
      <c r="G1444" s="1" t="s">
        <v>386</v>
      </c>
      <c r="H1444" s="1" t="s">
        <v>1346</v>
      </c>
      <c r="I1444" s="1">
        <v>6</v>
      </c>
      <c r="J1444" s="1" t="s">
        <v>387</v>
      </c>
      <c r="K1444" s="1" t="s">
        <v>3583</v>
      </c>
      <c r="L1444" s="1" t="s">
        <v>3584</v>
      </c>
      <c r="M1444" s="1">
        <v>449</v>
      </c>
      <c r="N1444" s="1" t="s">
        <v>39</v>
      </c>
      <c r="O1444" s="1">
        <v>33.058300000000003</v>
      </c>
      <c r="P1444" s="1">
        <v>-94.843999999999994</v>
      </c>
      <c r="Q1444" s="1" t="s">
        <v>1478</v>
      </c>
      <c r="R1444" s="1" t="s">
        <v>41</v>
      </c>
      <c r="S1444" s="1" t="s">
        <v>211</v>
      </c>
      <c r="T1444" s="1" t="s">
        <v>89</v>
      </c>
      <c r="U1444" s="1" t="s">
        <v>55</v>
      </c>
      <c r="X1444" s="1" t="s">
        <v>289</v>
      </c>
      <c r="Y1444" s="1" t="s">
        <v>123</v>
      </c>
      <c r="Z1444" s="1" t="s">
        <v>214</v>
      </c>
      <c r="AA1444" s="3">
        <v>28215</v>
      </c>
      <c r="AB1444" s="1" t="s">
        <v>46</v>
      </c>
      <c r="AC1444" s="5">
        <v>6896</v>
      </c>
      <c r="AD1444" s="1" t="s">
        <v>3585</v>
      </c>
      <c r="AE1444" s="1" t="str">
        <f t="shared" si="111"/>
        <v>6139 1</v>
      </c>
      <c r="AF1444" s="5" t="str">
        <f t="shared" si="112"/>
        <v>558</v>
      </c>
      <c r="AG1444" s="1" t="str">
        <f t="shared" si="110"/>
        <v/>
      </c>
    </row>
    <row r="1445" spans="1:33" x14ac:dyDescent="0.2">
      <c r="A1445" s="1" t="s">
        <v>383</v>
      </c>
      <c r="B1445" s="1" t="s">
        <v>3582</v>
      </c>
      <c r="C1445" s="1">
        <v>6139</v>
      </c>
      <c r="D1445" s="1">
        <v>3</v>
      </c>
      <c r="F1445" s="1">
        <v>2023</v>
      </c>
      <c r="G1445" s="1" t="s">
        <v>386</v>
      </c>
      <c r="H1445" s="1" t="s">
        <v>1346</v>
      </c>
      <c r="I1445" s="1">
        <v>6</v>
      </c>
      <c r="J1445" s="1" t="s">
        <v>387</v>
      </c>
      <c r="K1445" s="1" t="s">
        <v>3583</v>
      </c>
      <c r="L1445" s="1" t="s">
        <v>3584</v>
      </c>
      <c r="M1445" s="1">
        <v>449</v>
      </c>
      <c r="N1445" s="1" t="s">
        <v>39</v>
      </c>
      <c r="O1445" s="1">
        <v>33.058300000000003</v>
      </c>
      <c r="P1445" s="1">
        <v>-94.843999999999994</v>
      </c>
      <c r="Q1445" s="1" t="s">
        <v>1478</v>
      </c>
      <c r="R1445" s="1" t="s">
        <v>41</v>
      </c>
      <c r="S1445" s="1" t="s">
        <v>211</v>
      </c>
      <c r="T1445" s="1" t="s">
        <v>89</v>
      </c>
      <c r="U1445" s="1" t="s">
        <v>55</v>
      </c>
      <c r="X1445" s="1" t="s">
        <v>289</v>
      </c>
      <c r="Y1445" s="1" t="s">
        <v>123</v>
      </c>
      <c r="Z1445" s="1" t="s">
        <v>214</v>
      </c>
      <c r="AA1445" s="3">
        <v>29992</v>
      </c>
      <c r="AB1445" s="1" t="s">
        <v>46</v>
      </c>
      <c r="AC1445" s="5">
        <v>6909</v>
      </c>
      <c r="AD1445" s="1" t="s">
        <v>3586</v>
      </c>
      <c r="AE1445" s="1" t="str">
        <f t="shared" si="111"/>
        <v>6139 3</v>
      </c>
      <c r="AF1445" s="5" t="str">
        <f t="shared" si="112"/>
        <v>558</v>
      </c>
      <c r="AG1445" s="1" t="str">
        <f t="shared" si="110"/>
        <v/>
      </c>
    </row>
    <row r="1446" spans="1:33" x14ac:dyDescent="0.2">
      <c r="A1446" s="1" t="s">
        <v>383</v>
      </c>
      <c r="B1446" s="1" t="s">
        <v>3587</v>
      </c>
      <c r="C1446" s="1">
        <v>6146</v>
      </c>
      <c r="D1446" s="1">
        <v>1</v>
      </c>
      <c r="F1446" s="1">
        <v>2023</v>
      </c>
      <c r="G1446" s="1" t="s">
        <v>386</v>
      </c>
      <c r="H1446" s="1">
        <v>603383</v>
      </c>
      <c r="I1446" s="1">
        <v>6</v>
      </c>
      <c r="K1446" s="1" t="s">
        <v>3588</v>
      </c>
      <c r="L1446" s="1" t="s">
        <v>3589</v>
      </c>
      <c r="M1446" s="1">
        <v>401</v>
      </c>
      <c r="N1446" s="1" t="s">
        <v>39</v>
      </c>
      <c r="O1446" s="1">
        <v>32.259700000000002</v>
      </c>
      <c r="P1446" s="1">
        <v>-94.570300000000003</v>
      </c>
      <c r="Q1446" s="1" t="s">
        <v>2887</v>
      </c>
      <c r="R1446" s="1" t="s">
        <v>41</v>
      </c>
      <c r="S1446" s="1" t="s">
        <v>211</v>
      </c>
      <c r="T1446" s="1" t="s">
        <v>43</v>
      </c>
      <c r="U1446" s="1" t="s">
        <v>55</v>
      </c>
      <c r="W1446" s="1" t="s">
        <v>56</v>
      </c>
      <c r="X1446" s="1" t="s">
        <v>242</v>
      </c>
      <c r="Y1446" s="1" t="s">
        <v>58</v>
      </c>
      <c r="Z1446" s="1" t="s">
        <v>344</v>
      </c>
      <c r="AA1446" s="3">
        <v>28261</v>
      </c>
      <c r="AB1446" s="1" t="s">
        <v>46</v>
      </c>
      <c r="AC1446" s="5">
        <v>9210</v>
      </c>
      <c r="AD1446" s="1" t="s">
        <v>3590</v>
      </c>
      <c r="AE1446" s="1" t="str">
        <f t="shared" si="111"/>
        <v>6146 1</v>
      </c>
      <c r="AF1446" s="5" t="str">
        <f t="shared" si="112"/>
        <v>793.2</v>
      </c>
      <c r="AG1446" s="1" t="str">
        <f t="shared" si="110"/>
        <v/>
      </c>
    </row>
    <row r="1447" spans="1:33" x14ac:dyDescent="0.2">
      <c r="A1447" s="1" t="s">
        <v>383</v>
      </c>
      <c r="B1447" s="1" t="s">
        <v>3587</v>
      </c>
      <c r="C1447" s="1">
        <v>6146</v>
      </c>
      <c r="D1447" s="1">
        <v>2</v>
      </c>
      <c r="F1447" s="1">
        <v>2023</v>
      </c>
      <c r="G1447" s="1" t="s">
        <v>386</v>
      </c>
      <c r="H1447" s="1">
        <v>603383</v>
      </c>
      <c r="I1447" s="1">
        <v>6</v>
      </c>
      <c r="K1447" s="1" t="s">
        <v>3588</v>
      </c>
      <c r="L1447" s="1" t="s">
        <v>3589</v>
      </c>
      <c r="M1447" s="1">
        <v>401</v>
      </c>
      <c r="N1447" s="1" t="s">
        <v>39</v>
      </c>
      <c r="O1447" s="1">
        <v>32.259700000000002</v>
      </c>
      <c r="P1447" s="1">
        <v>-94.570300000000003</v>
      </c>
      <c r="Q1447" s="1" t="s">
        <v>2887</v>
      </c>
      <c r="R1447" s="1" t="s">
        <v>41</v>
      </c>
      <c r="S1447" s="1" t="s">
        <v>211</v>
      </c>
      <c r="T1447" s="1" t="s">
        <v>43</v>
      </c>
      <c r="U1447" s="1" t="s">
        <v>55</v>
      </c>
      <c r="W1447" s="1" t="s">
        <v>56</v>
      </c>
      <c r="X1447" s="1" t="s">
        <v>242</v>
      </c>
      <c r="Y1447" s="1" t="s">
        <v>58</v>
      </c>
      <c r="AA1447" s="3">
        <v>28633</v>
      </c>
      <c r="AB1447" s="1" t="s">
        <v>46</v>
      </c>
      <c r="AC1447" s="5">
        <v>9257</v>
      </c>
      <c r="AD1447" s="1" t="s">
        <v>3591</v>
      </c>
      <c r="AE1447" s="1" t="str">
        <f t="shared" si="111"/>
        <v>6146 2</v>
      </c>
      <c r="AF1447" s="5" t="str">
        <f t="shared" si="112"/>
        <v>793.2</v>
      </c>
      <c r="AG1447" s="1" t="str">
        <f t="shared" si="110"/>
        <v/>
      </c>
    </row>
    <row r="1448" spans="1:33" x14ac:dyDescent="0.2">
      <c r="A1448" s="1" t="s">
        <v>383</v>
      </c>
      <c r="B1448" s="1" t="s">
        <v>3587</v>
      </c>
      <c r="C1448" s="1">
        <v>6146</v>
      </c>
      <c r="D1448" s="1">
        <v>3</v>
      </c>
      <c r="F1448" s="1">
        <v>2023</v>
      </c>
      <c r="G1448" s="1" t="s">
        <v>386</v>
      </c>
      <c r="H1448" s="1">
        <v>603383</v>
      </c>
      <c r="I1448" s="1">
        <v>6</v>
      </c>
      <c r="K1448" s="1" t="s">
        <v>3588</v>
      </c>
      <c r="L1448" s="1" t="s">
        <v>3589</v>
      </c>
      <c r="M1448" s="1">
        <v>401</v>
      </c>
      <c r="N1448" s="1" t="s">
        <v>39</v>
      </c>
      <c r="O1448" s="1">
        <v>32.259700000000002</v>
      </c>
      <c r="P1448" s="1">
        <v>-94.570300000000003</v>
      </c>
      <c r="Q1448" s="1" t="s">
        <v>2887</v>
      </c>
      <c r="R1448" s="1" t="s">
        <v>41</v>
      </c>
      <c r="S1448" s="1" t="s">
        <v>211</v>
      </c>
      <c r="T1448" s="1" t="s">
        <v>43</v>
      </c>
      <c r="U1448" s="1" t="s">
        <v>55</v>
      </c>
      <c r="W1448" s="1" t="s">
        <v>56</v>
      </c>
      <c r="X1448" s="1" t="s">
        <v>242</v>
      </c>
      <c r="Y1448" s="1" t="s">
        <v>58</v>
      </c>
      <c r="AA1448" s="3">
        <v>28946</v>
      </c>
      <c r="AB1448" s="1" t="s">
        <v>46</v>
      </c>
      <c r="AC1448" s="5">
        <v>9484</v>
      </c>
      <c r="AD1448" s="1" t="s">
        <v>3592</v>
      </c>
      <c r="AE1448" s="1" t="str">
        <f t="shared" si="111"/>
        <v>6146 3</v>
      </c>
      <c r="AF1448" s="5" t="str">
        <f t="shared" si="112"/>
        <v>793.2</v>
      </c>
      <c r="AG1448" s="1" t="str">
        <f t="shared" si="110"/>
        <v/>
      </c>
    </row>
    <row r="1449" spans="1:33" x14ac:dyDescent="0.2">
      <c r="A1449" s="1" t="s">
        <v>1755</v>
      </c>
      <c r="B1449" s="1" t="s">
        <v>3593</v>
      </c>
      <c r="C1449" s="1">
        <v>6155</v>
      </c>
      <c r="D1449" s="1">
        <v>1</v>
      </c>
      <c r="F1449" s="1">
        <v>2023</v>
      </c>
      <c r="G1449" s="1" t="s">
        <v>1188</v>
      </c>
      <c r="H1449" s="1">
        <v>607655</v>
      </c>
      <c r="I1449" s="1">
        <v>7</v>
      </c>
      <c r="K1449" s="1" t="s">
        <v>1074</v>
      </c>
      <c r="L1449" s="1" t="s">
        <v>3594</v>
      </c>
      <c r="M1449" s="1">
        <v>99</v>
      </c>
      <c r="N1449" s="1" t="s">
        <v>39</v>
      </c>
      <c r="O1449" s="1">
        <v>38.130600000000001</v>
      </c>
      <c r="P1449" s="1">
        <v>-90.262500000000003</v>
      </c>
      <c r="Q1449" s="1" t="s">
        <v>1046</v>
      </c>
      <c r="R1449" s="1" t="s">
        <v>41</v>
      </c>
      <c r="S1449" s="1" t="s">
        <v>121</v>
      </c>
      <c r="T1449" s="1" t="s">
        <v>43</v>
      </c>
      <c r="U1449" s="1" t="s">
        <v>55</v>
      </c>
      <c r="X1449" s="1" t="s">
        <v>213</v>
      </c>
      <c r="Y1449" s="1" t="s">
        <v>58</v>
      </c>
      <c r="AA1449" s="3">
        <v>27791</v>
      </c>
      <c r="AB1449" s="1" t="s">
        <v>46</v>
      </c>
      <c r="AC1449" s="5">
        <v>5922</v>
      </c>
      <c r="AD1449" s="1" t="s">
        <v>3595</v>
      </c>
      <c r="AE1449" s="1" t="str">
        <f t="shared" si="111"/>
        <v>6155 1</v>
      </c>
      <c r="AF1449" s="5" t="str">
        <f t="shared" si="112"/>
        <v>621</v>
      </c>
      <c r="AG1449" s="1" t="str">
        <f t="shared" si="110"/>
        <v/>
      </c>
    </row>
    <row r="1450" spans="1:33" x14ac:dyDescent="0.2">
      <c r="A1450" s="1" t="s">
        <v>1755</v>
      </c>
      <c r="B1450" s="1" t="s">
        <v>3593</v>
      </c>
      <c r="C1450" s="1">
        <v>6155</v>
      </c>
      <c r="D1450" s="1">
        <v>2</v>
      </c>
      <c r="F1450" s="1">
        <v>2023</v>
      </c>
      <c r="G1450" s="1" t="s">
        <v>1188</v>
      </c>
      <c r="H1450" s="1">
        <v>607655</v>
      </c>
      <c r="I1450" s="1">
        <v>7</v>
      </c>
      <c r="K1450" s="1" t="s">
        <v>1074</v>
      </c>
      <c r="L1450" s="1" t="s">
        <v>3594</v>
      </c>
      <c r="M1450" s="1">
        <v>99</v>
      </c>
      <c r="N1450" s="1" t="s">
        <v>39</v>
      </c>
      <c r="O1450" s="1">
        <v>38.130600000000001</v>
      </c>
      <c r="P1450" s="1">
        <v>-90.262500000000003</v>
      </c>
      <c r="Q1450" s="1" t="s">
        <v>1046</v>
      </c>
      <c r="R1450" s="1" t="s">
        <v>41</v>
      </c>
      <c r="S1450" s="1" t="s">
        <v>121</v>
      </c>
      <c r="T1450" s="1" t="s">
        <v>43</v>
      </c>
      <c r="U1450" s="1" t="s">
        <v>55</v>
      </c>
      <c r="X1450" s="1" t="s">
        <v>213</v>
      </c>
      <c r="Y1450" s="1" t="s">
        <v>58</v>
      </c>
      <c r="AA1450" s="3">
        <v>28157</v>
      </c>
      <c r="AB1450" s="1" t="s">
        <v>46</v>
      </c>
      <c r="AC1450" s="5">
        <v>5922</v>
      </c>
      <c r="AD1450" s="1" t="s">
        <v>3596</v>
      </c>
      <c r="AE1450" s="1" t="str">
        <f t="shared" si="111"/>
        <v>6155 2</v>
      </c>
      <c r="AF1450" s="5" t="str">
        <f t="shared" si="112"/>
        <v>621</v>
      </c>
      <c r="AG1450" s="1" t="str">
        <f t="shared" si="110"/>
        <v/>
      </c>
    </row>
    <row r="1451" spans="1:33" x14ac:dyDescent="0.2">
      <c r="A1451" s="1" t="s">
        <v>577</v>
      </c>
      <c r="B1451" s="1" t="s">
        <v>3597</v>
      </c>
      <c r="C1451" s="1">
        <v>6156</v>
      </c>
      <c r="D1451" s="1" t="s">
        <v>3598</v>
      </c>
      <c r="F1451" s="1">
        <v>2023</v>
      </c>
      <c r="G1451" s="1" t="s">
        <v>594</v>
      </c>
      <c r="H1451" s="1">
        <v>601740</v>
      </c>
      <c r="I1451" s="1">
        <v>1</v>
      </c>
      <c r="K1451" s="1" t="s">
        <v>581</v>
      </c>
      <c r="L1451" s="1" t="s">
        <v>582</v>
      </c>
      <c r="M1451" s="1">
        <v>9</v>
      </c>
      <c r="N1451" s="1" t="s">
        <v>39</v>
      </c>
      <c r="O1451" s="1">
        <v>41.2836</v>
      </c>
      <c r="P1451" s="1">
        <v>-72.904200000000003</v>
      </c>
      <c r="Q1451" s="1" t="s">
        <v>649</v>
      </c>
      <c r="R1451" s="1" t="s">
        <v>41</v>
      </c>
      <c r="T1451" s="1" t="s">
        <v>43</v>
      </c>
      <c r="U1451" s="1" t="s">
        <v>173</v>
      </c>
      <c r="V1451" s="1" t="s">
        <v>341</v>
      </c>
      <c r="Y1451" s="1" t="s">
        <v>58</v>
      </c>
      <c r="AA1451" s="3">
        <v>27637</v>
      </c>
      <c r="AB1451" s="1" t="s">
        <v>46</v>
      </c>
      <c r="AC1451" s="5">
        <v>5130</v>
      </c>
      <c r="AD1451" s="1" t="s">
        <v>3599</v>
      </c>
      <c r="AE1451" s="1" t="str">
        <f t="shared" si="111"/>
        <v>6156 NHB1</v>
      </c>
      <c r="AF1451" s="5" t="str">
        <f t="shared" si="112"/>
        <v>460</v>
      </c>
      <c r="AG1451" s="1" t="str">
        <f t="shared" si="110"/>
        <v/>
      </c>
    </row>
    <row r="1452" spans="1:33" x14ac:dyDescent="0.2">
      <c r="A1452" s="1" t="s">
        <v>577</v>
      </c>
      <c r="B1452" s="1" t="s">
        <v>3597</v>
      </c>
      <c r="C1452" s="1">
        <v>6156</v>
      </c>
      <c r="D1452" s="1" t="s">
        <v>3600</v>
      </c>
      <c r="F1452" s="1">
        <v>2023</v>
      </c>
      <c r="G1452" s="1" t="s">
        <v>579</v>
      </c>
      <c r="H1452" s="1">
        <v>601740</v>
      </c>
      <c r="I1452" s="1">
        <v>1</v>
      </c>
      <c r="K1452" s="1" t="s">
        <v>581</v>
      </c>
      <c r="L1452" s="1" t="s">
        <v>582</v>
      </c>
      <c r="M1452" s="1">
        <v>9</v>
      </c>
      <c r="N1452" s="1" t="s">
        <v>39</v>
      </c>
      <c r="O1452" s="1">
        <v>41.2836</v>
      </c>
      <c r="P1452" s="1">
        <v>-72.904200000000003</v>
      </c>
      <c r="Q1452" s="1" t="s">
        <v>3601</v>
      </c>
      <c r="R1452" s="1" t="s">
        <v>41</v>
      </c>
      <c r="T1452" s="1" t="s">
        <v>93</v>
      </c>
      <c r="U1452" s="1" t="s">
        <v>94</v>
      </c>
      <c r="V1452" s="1" t="s">
        <v>44</v>
      </c>
      <c r="X1452" s="1" t="s">
        <v>176</v>
      </c>
      <c r="AA1452" s="3">
        <v>41036</v>
      </c>
      <c r="AB1452" s="1" t="s">
        <v>46</v>
      </c>
      <c r="AC1452" s="5">
        <v>485</v>
      </c>
      <c r="AD1452" s="1" t="s">
        <v>3602</v>
      </c>
      <c r="AE1452" s="1" t="str">
        <f t="shared" si="111"/>
        <v>6156 NHHS2</v>
      </c>
      <c r="AF1452" s="5" t="str">
        <f t="shared" si="112"/>
        <v>60.5</v>
      </c>
      <c r="AG1452" s="1" t="str">
        <f t="shared" si="110"/>
        <v>Y</v>
      </c>
    </row>
    <row r="1453" spans="1:33" x14ac:dyDescent="0.2">
      <c r="A1453" s="1" t="s">
        <v>577</v>
      </c>
      <c r="B1453" s="1" t="s">
        <v>3597</v>
      </c>
      <c r="C1453" s="1">
        <v>6156</v>
      </c>
      <c r="D1453" s="1" t="s">
        <v>3603</v>
      </c>
      <c r="F1453" s="1">
        <v>2023</v>
      </c>
      <c r="G1453" s="1" t="s">
        <v>579</v>
      </c>
      <c r="H1453" s="1">
        <v>601740</v>
      </c>
      <c r="I1453" s="1">
        <v>1</v>
      </c>
      <c r="K1453" s="1" t="s">
        <v>581</v>
      </c>
      <c r="L1453" s="1" t="s">
        <v>582</v>
      </c>
      <c r="M1453" s="1">
        <v>9</v>
      </c>
      <c r="N1453" s="1" t="s">
        <v>39</v>
      </c>
      <c r="O1453" s="1">
        <v>41.2836</v>
      </c>
      <c r="P1453" s="1">
        <v>-72.904200000000003</v>
      </c>
      <c r="Q1453" s="1" t="s">
        <v>3601</v>
      </c>
      <c r="R1453" s="1" t="s">
        <v>41</v>
      </c>
      <c r="T1453" s="1" t="s">
        <v>93</v>
      </c>
      <c r="U1453" s="1" t="s">
        <v>94</v>
      </c>
      <c r="V1453" s="1" t="s">
        <v>44</v>
      </c>
      <c r="X1453" s="1" t="s">
        <v>176</v>
      </c>
      <c r="AA1453" s="3">
        <v>41025</v>
      </c>
      <c r="AB1453" s="1" t="s">
        <v>46</v>
      </c>
      <c r="AC1453" s="5">
        <v>485</v>
      </c>
      <c r="AD1453" s="1" t="s">
        <v>3604</v>
      </c>
      <c r="AE1453" s="1" t="str">
        <f t="shared" si="111"/>
        <v>6156 NHHS3</v>
      </c>
      <c r="AF1453" s="5" t="str">
        <f t="shared" si="112"/>
        <v>60.5</v>
      </c>
      <c r="AG1453" s="1" t="str">
        <f t="shared" si="110"/>
        <v>Y</v>
      </c>
    </row>
    <row r="1454" spans="1:33" x14ac:dyDescent="0.2">
      <c r="A1454" s="1" t="s">
        <v>577</v>
      </c>
      <c r="B1454" s="1" t="s">
        <v>3597</v>
      </c>
      <c r="C1454" s="1">
        <v>6156</v>
      </c>
      <c r="D1454" s="1" t="s">
        <v>3605</v>
      </c>
      <c r="F1454" s="1">
        <v>2023</v>
      </c>
      <c r="G1454" s="1" t="s">
        <v>579</v>
      </c>
      <c r="H1454" s="1">
        <v>601740</v>
      </c>
      <c r="I1454" s="1">
        <v>1</v>
      </c>
      <c r="K1454" s="1" t="s">
        <v>581</v>
      </c>
      <c r="L1454" s="1" t="s">
        <v>582</v>
      </c>
      <c r="M1454" s="1">
        <v>9</v>
      </c>
      <c r="N1454" s="1" t="s">
        <v>39</v>
      </c>
      <c r="O1454" s="1">
        <v>41.2836</v>
      </c>
      <c r="P1454" s="1">
        <v>-72.904200000000003</v>
      </c>
      <c r="Q1454" s="1" t="s">
        <v>3601</v>
      </c>
      <c r="R1454" s="1" t="s">
        <v>41</v>
      </c>
      <c r="T1454" s="1" t="s">
        <v>93</v>
      </c>
      <c r="U1454" s="1" t="s">
        <v>94</v>
      </c>
      <c r="V1454" s="1" t="s">
        <v>44</v>
      </c>
      <c r="X1454" s="1" t="s">
        <v>176</v>
      </c>
      <c r="AA1454" s="3">
        <v>41010</v>
      </c>
      <c r="AB1454" s="1" t="s">
        <v>46</v>
      </c>
      <c r="AC1454" s="5">
        <v>485</v>
      </c>
      <c r="AD1454" s="1" t="s">
        <v>991</v>
      </c>
      <c r="AE1454" s="1" t="str">
        <f t="shared" si="111"/>
        <v>6156 NHHS4</v>
      </c>
      <c r="AF1454" s="5" t="str">
        <f t="shared" si="112"/>
        <v>60.5</v>
      </c>
      <c r="AG1454" s="1" t="str">
        <f t="shared" si="110"/>
        <v>Y</v>
      </c>
    </row>
    <row r="1455" spans="1:33" x14ac:dyDescent="0.2">
      <c r="A1455" s="1" t="s">
        <v>3076</v>
      </c>
      <c r="B1455" s="1" t="s">
        <v>3606</v>
      </c>
      <c r="C1455" s="1">
        <v>6165</v>
      </c>
      <c r="D1455" s="1">
        <v>1</v>
      </c>
      <c r="F1455" s="1">
        <v>2023</v>
      </c>
      <c r="G1455" s="1" t="s">
        <v>236</v>
      </c>
      <c r="H1455" s="1">
        <v>608875</v>
      </c>
      <c r="I1455" s="1">
        <v>8</v>
      </c>
      <c r="J1455" s="1" t="s">
        <v>237</v>
      </c>
      <c r="K1455" s="1" t="s">
        <v>3607</v>
      </c>
      <c r="L1455" s="1" t="s">
        <v>3608</v>
      </c>
      <c r="M1455" s="1">
        <v>15</v>
      </c>
      <c r="N1455" s="1" t="s">
        <v>39</v>
      </c>
      <c r="O1455" s="1">
        <v>39.174700000000001</v>
      </c>
      <c r="P1455" s="1">
        <v>-111.02889999999999</v>
      </c>
      <c r="Q1455" s="1" t="s">
        <v>3609</v>
      </c>
      <c r="R1455" s="1" t="s">
        <v>41</v>
      </c>
      <c r="S1455" s="1" t="s">
        <v>211</v>
      </c>
      <c r="T1455" s="1" t="s">
        <v>43</v>
      </c>
      <c r="U1455" s="1" t="s">
        <v>55</v>
      </c>
      <c r="W1455" s="1" t="s">
        <v>241</v>
      </c>
      <c r="X1455" s="1" t="s">
        <v>213</v>
      </c>
      <c r="Y1455" s="1" t="s">
        <v>232</v>
      </c>
      <c r="AA1455" s="3">
        <v>28651</v>
      </c>
      <c r="AB1455" s="1" t="s">
        <v>46</v>
      </c>
      <c r="AC1455" s="5">
        <v>5348</v>
      </c>
      <c r="AD1455" s="1" t="s">
        <v>3610</v>
      </c>
      <c r="AE1455" s="1" t="str">
        <f t="shared" si="111"/>
        <v>6165 1</v>
      </c>
      <c r="AF1455" s="5" t="str">
        <f t="shared" si="112"/>
        <v>430</v>
      </c>
      <c r="AG1455" s="1" t="str">
        <f t="shared" si="110"/>
        <v/>
      </c>
    </row>
    <row r="1456" spans="1:33" x14ac:dyDescent="0.2">
      <c r="A1456" s="1" t="s">
        <v>3076</v>
      </c>
      <c r="B1456" s="1" t="s">
        <v>3606</v>
      </c>
      <c r="C1456" s="1">
        <v>6165</v>
      </c>
      <c r="D1456" s="1">
        <v>2</v>
      </c>
      <c r="F1456" s="1">
        <v>2023</v>
      </c>
      <c r="G1456" s="1" t="s">
        <v>236</v>
      </c>
      <c r="H1456" s="1">
        <v>608875</v>
      </c>
      <c r="I1456" s="1">
        <v>8</v>
      </c>
      <c r="J1456" s="1" t="s">
        <v>237</v>
      </c>
      <c r="K1456" s="1" t="s">
        <v>3607</v>
      </c>
      <c r="L1456" s="1" t="s">
        <v>3608</v>
      </c>
      <c r="M1456" s="1">
        <v>15</v>
      </c>
      <c r="N1456" s="1" t="s">
        <v>39</v>
      </c>
      <c r="O1456" s="1">
        <v>39.174700000000001</v>
      </c>
      <c r="P1456" s="1">
        <v>-111.02889999999999</v>
      </c>
      <c r="Q1456" s="1" t="s">
        <v>3611</v>
      </c>
      <c r="R1456" s="1" t="s">
        <v>41</v>
      </c>
      <c r="S1456" s="1" t="s">
        <v>211</v>
      </c>
      <c r="T1456" s="1" t="s">
        <v>43</v>
      </c>
      <c r="U1456" s="1" t="s">
        <v>55</v>
      </c>
      <c r="W1456" s="1" t="s">
        <v>241</v>
      </c>
      <c r="X1456" s="1" t="s">
        <v>213</v>
      </c>
      <c r="Y1456" s="1" t="s">
        <v>232</v>
      </c>
      <c r="AA1456" s="3">
        <v>29376</v>
      </c>
      <c r="AB1456" s="1" t="s">
        <v>46</v>
      </c>
      <c r="AC1456" s="5">
        <v>6130</v>
      </c>
      <c r="AD1456" s="1" t="s">
        <v>3612</v>
      </c>
      <c r="AE1456" s="1" t="str">
        <f t="shared" si="111"/>
        <v>6165 2</v>
      </c>
      <c r="AF1456" s="5" t="str">
        <f t="shared" ref="AF1456:AF1487" si="113">MID(AD1456,FIND("(",AD1456)+1,FIND(")",AD1456)-FIND("(",AD1456)-1)</f>
        <v>430</v>
      </c>
      <c r="AG1456" s="1" t="str">
        <f t="shared" si="110"/>
        <v/>
      </c>
    </row>
    <row r="1457" spans="1:33" x14ac:dyDescent="0.2">
      <c r="A1457" s="1" t="s">
        <v>3076</v>
      </c>
      <c r="B1457" s="1" t="s">
        <v>3606</v>
      </c>
      <c r="C1457" s="1">
        <v>6165</v>
      </c>
      <c r="D1457" s="1">
        <v>3</v>
      </c>
      <c r="F1457" s="1">
        <v>2023</v>
      </c>
      <c r="G1457" s="1" t="s">
        <v>236</v>
      </c>
      <c r="H1457" s="1">
        <v>608875</v>
      </c>
      <c r="I1457" s="1">
        <v>8</v>
      </c>
      <c r="J1457" s="1" t="s">
        <v>237</v>
      </c>
      <c r="K1457" s="1" t="s">
        <v>3607</v>
      </c>
      <c r="L1457" s="1" t="s">
        <v>3608</v>
      </c>
      <c r="M1457" s="1">
        <v>15</v>
      </c>
      <c r="N1457" s="1" t="s">
        <v>39</v>
      </c>
      <c r="O1457" s="1">
        <v>39.174700000000001</v>
      </c>
      <c r="P1457" s="1">
        <v>-111.02889999999999</v>
      </c>
      <c r="Q1457" s="1" t="s">
        <v>3258</v>
      </c>
      <c r="R1457" s="1" t="s">
        <v>41</v>
      </c>
      <c r="S1457" s="1" t="s">
        <v>42</v>
      </c>
      <c r="T1457" s="1" t="s">
        <v>89</v>
      </c>
      <c r="U1457" s="1" t="s">
        <v>55</v>
      </c>
      <c r="W1457" s="1" t="s">
        <v>241</v>
      </c>
      <c r="X1457" s="1" t="s">
        <v>289</v>
      </c>
      <c r="Y1457" s="1" t="s">
        <v>1357</v>
      </c>
      <c r="AA1457" s="3">
        <v>30468</v>
      </c>
      <c r="AB1457" s="1" t="s">
        <v>46</v>
      </c>
      <c r="AC1457" s="5">
        <v>5742</v>
      </c>
      <c r="AD1457" s="1" t="s">
        <v>3613</v>
      </c>
      <c r="AE1457" s="1" t="str">
        <f t="shared" si="111"/>
        <v>6165 3</v>
      </c>
      <c r="AF1457" s="5" t="str">
        <f t="shared" si="113"/>
        <v>460</v>
      </c>
      <c r="AG1457" s="1" t="str">
        <f t="shared" si="110"/>
        <v/>
      </c>
    </row>
    <row r="1458" spans="1:33" x14ac:dyDescent="0.2">
      <c r="A1458" s="1" t="s">
        <v>1071</v>
      </c>
      <c r="B1458" s="1" t="s">
        <v>3614</v>
      </c>
      <c r="C1458" s="1">
        <v>6166</v>
      </c>
      <c r="D1458" s="1" t="s">
        <v>1835</v>
      </c>
      <c r="E1458" s="1" t="s">
        <v>3097</v>
      </c>
      <c r="F1458" s="1">
        <v>2023</v>
      </c>
      <c r="G1458" s="1" t="s">
        <v>1005</v>
      </c>
      <c r="H1458" s="1" t="s">
        <v>1346</v>
      </c>
      <c r="I1458" s="1">
        <v>5</v>
      </c>
      <c r="J1458" s="1" t="s">
        <v>169</v>
      </c>
      <c r="K1458" s="1" t="s">
        <v>3615</v>
      </c>
      <c r="L1458" s="1" t="s">
        <v>3616</v>
      </c>
      <c r="M1458" s="1">
        <v>147</v>
      </c>
      <c r="N1458" s="1" t="s">
        <v>39</v>
      </c>
      <c r="O1458" s="1">
        <v>37.925600000000003</v>
      </c>
      <c r="P1458" s="1">
        <v>-87.037199999999999</v>
      </c>
      <c r="Q1458" s="1" t="s">
        <v>3617</v>
      </c>
      <c r="R1458" s="1" t="s">
        <v>41</v>
      </c>
      <c r="S1458" s="1" t="s">
        <v>211</v>
      </c>
      <c r="T1458" s="1" t="s">
        <v>89</v>
      </c>
      <c r="U1458" s="1" t="s">
        <v>55</v>
      </c>
      <c r="W1458" s="1" t="s">
        <v>1151</v>
      </c>
      <c r="X1458" s="1" t="s">
        <v>639</v>
      </c>
      <c r="Y1458" s="1" t="s">
        <v>58</v>
      </c>
      <c r="Z1458" s="1" t="s">
        <v>214</v>
      </c>
      <c r="AA1458" s="3">
        <v>31026</v>
      </c>
      <c r="AB1458" s="1" t="s">
        <v>46</v>
      </c>
      <c r="AC1458" s="5">
        <v>13400</v>
      </c>
      <c r="AD1458" s="1" t="s">
        <v>2784</v>
      </c>
      <c r="AE1458" s="1" t="str">
        <f t="shared" si="111"/>
        <v>6166 MB1</v>
      </c>
      <c r="AF1458" s="5" t="str">
        <f t="shared" si="113"/>
        <v>1300</v>
      </c>
      <c r="AG1458" s="1" t="str">
        <f t="shared" si="110"/>
        <v>Y</v>
      </c>
    </row>
    <row r="1459" spans="1:33" x14ac:dyDescent="0.2">
      <c r="A1459" s="1" t="s">
        <v>1071</v>
      </c>
      <c r="B1459" s="1" t="s">
        <v>3614</v>
      </c>
      <c r="C1459" s="1">
        <v>6166</v>
      </c>
      <c r="D1459" s="1" t="s">
        <v>1838</v>
      </c>
      <c r="E1459" s="1" t="s">
        <v>3097</v>
      </c>
      <c r="F1459" s="1">
        <v>2023</v>
      </c>
      <c r="G1459" s="1" t="s">
        <v>1005</v>
      </c>
      <c r="H1459" s="1" t="s">
        <v>1346</v>
      </c>
      <c r="I1459" s="1">
        <v>5</v>
      </c>
      <c r="J1459" s="1" t="s">
        <v>169</v>
      </c>
      <c r="K1459" s="1" t="s">
        <v>3615</v>
      </c>
      <c r="L1459" s="1" t="s">
        <v>3616</v>
      </c>
      <c r="M1459" s="1">
        <v>147</v>
      </c>
      <c r="N1459" s="1" t="s">
        <v>39</v>
      </c>
      <c r="O1459" s="1">
        <v>37.925600000000003</v>
      </c>
      <c r="P1459" s="1">
        <v>-87.037199999999999</v>
      </c>
      <c r="Q1459" s="1" t="s">
        <v>3618</v>
      </c>
      <c r="R1459" s="1" t="s">
        <v>41</v>
      </c>
      <c r="S1459" s="1" t="s">
        <v>211</v>
      </c>
      <c r="T1459" s="1" t="s">
        <v>89</v>
      </c>
      <c r="U1459" s="1" t="s">
        <v>55</v>
      </c>
      <c r="W1459" s="1" t="s">
        <v>1151</v>
      </c>
      <c r="X1459" s="1" t="s">
        <v>639</v>
      </c>
      <c r="Y1459" s="1" t="s">
        <v>58</v>
      </c>
      <c r="Z1459" s="1" t="s">
        <v>214</v>
      </c>
      <c r="AA1459" s="3">
        <v>32843</v>
      </c>
      <c r="AB1459" s="1" t="s">
        <v>46</v>
      </c>
      <c r="AC1459" s="5">
        <v>13400</v>
      </c>
      <c r="AD1459" s="1" t="s">
        <v>2785</v>
      </c>
      <c r="AE1459" s="1" t="str">
        <f t="shared" si="111"/>
        <v>6166 MB2</v>
      </c>
      <c r="AF1459" s="5" t="str">
        <f t="shared" si="113"/>
        <v>1300</v>
      </c>
      <c r="AG1459" s="1" t="str">
        <f t="shared" si="110"/>
        <v>Y</v>
      </c>
    </row>
    <row r="1460" spans="1:33" x14ac:dyDescent="0.2">
      <c r="A1460" s="1" t="s">
        <v>234</v>
      </c>
      <c r="B1460" s="1" t="s">
        <v>3619</v>
      </c>
      <c r="C1460" s="1">
        <v>6177</v>
      </c>
      <c r="D1460" s="1" t="s">
        <v>3620</v>
      </c>
      <c r="F1460" s="1">
        <v>2023</v>
      </c>
      <c r="G1460" s="1" t="s">
        <v>236</v>
      </c>
      <c r="H1460" s="1">
        <v>608572</v>
      </c>
      <c r="I1460" s="1">
        <v>9</v>
      </c>
      <c r="J1460" s="1" t="s">
        <v>237</v>
      </c>
      <c r="K1460" s="1" t="s">
        <v>3621</v>
      </c>
      <c r="L1460" s="1" t="s">
        <v>3622</v>
      </c>
      <c r="M1460" s="1">
        <v>1</v>
      </c>
      <c r="N1460" s="1" t="s">
        <v>39</v>
      </c>
      <c r="O1460" s="1">
        <v>34.577800000000003</v>
      </c>
      <c r="P1460" s="1">
        <v>-109.2717</v>
      </c>
      <c r="Q1460" s="1" t="s">
        <v>316</v>
      </c>
      <c r="R1460" s="1" t="s">
        <v>41</v>
      </c>
      <c r="S1460" s="1" t="s">
        <v>211</v>
      </c>
      <c r="T1460" s="1" t="s">
        <v>319</v>
      </c>
      <c r="U1460" s="1" t="s">
        <v>55</v>
      </c>
      <c r="V1460" s="1" t="s">
        <v>94</v>
      </c>
      <c r="W1460" s="1" t="s">
        <v>56</v>
      </c>
      <c r="X1460" s="1" t="s">
        <v>289</v>
      </c>
      <c r="Y1460" s="1" t="s">
        <v>58</v>
      </c>
      <c r="AA1460" s="3">
        <v>29190</v>
      </c>
      <c r="AB1460" s="1" t="s">
        <v>46</v>
      </c>
      <c r="AC1460" s="5">
        <v>4829.8999999999996</v>
      </c>
      <c r="AD1460" s="1" t="s">
        <v>3623</v>
      </c>
      <c r="AE1460" s="1" t="str">
        <f t="shared" si="111"/>
        <v>6177 U1B</v>
      </c>
      <c r="AF1460" s="5" t="str">
        <f t="shared" si="113"/>
        <v>410.9</v>
      </c>
      <c r="AG1460" s="1" t="str">
        <f t="shared" si="110"/>
        <v/>
      </c>
    </row>
    <row r="1461" spans="1:33" x14ac:dyDescent="0.2">
      <c r="A1461" s="1" t="s">
        <v>234</v>
      </c>
      <c r="B1461" s="1" t="s">
        <v>3619</v>
      </c>
      <c r="C1461" s="1">
        <v>6177</v>
      </c>
      <c r="D1461" s="1" t="s">
        <v>3624</v>
      </c>
      <c r="F1461" s="1">
        <v>2023</v>
      </c>
      <c r="G1461" s="1" t="s">
        <v>236</v>
      </c>
      <c r="H1461" s="1">
        <v>608572</v>
      </c>
      <c r="I1461" s="1">
        <v>9</v>
      </c>
      <c r="J1461" s="1" t="s">
        <v>237</v>
      </c>
      <c r="K1461" s="1" t="s">
        <v>3621</v>
      </c>
      <c r="L1461" s="1" t="s">
        <v>3622</v>
      </c>
      <c r="M1461" s="1">
        <v>1</v>
      </c>
      <c r="N1461" s="1" t="s">
        <v>39</v>
      </c>
      <c r="O1461" s="1">
        <v>34.577800000000003</v>
      </c>
      <c r="P1461" s="1">
        <v>-109.2717</v>
      </c>
      <c r="Q1461" s="1" t="s">
        <v>316</v>
      </c>
      <c r="R1461" s="1" t="s">
        <v>41</v>
      </c>
      <c r="S1461" s="1" t="s">
        <v>211</v>
      </c>
      <c r="T1461" s="1" t="s">
        <v>319</v>
      </c>
      <c r="U1461" s="1" t="s">
        <v>55</v>
      </c>
      <c r="V1461" s="1" t="s">
        <v>94</v>
      </c>
      <c r="W1461" s="1" t="s">
        <v>56</v>
      </c>
      <c r="X1461" s="1" t="s">
        <v>563</v>
      </c>
      <c r="Y1461" s="1" t="s">
        <v>58</v>
      </c>
      <c r="AA1461" s="3">
        <v>29495</v>
      </c>
      <c r="AB1461" s="1" t="s">
        <v>46</v>
      </c>
      <c r="AC1461" s="5">
        <v>4963</v>
      </c>
      <c r="AD1461" s="1" t="s">
        <v>3625</v>
      </c>
      <c r="AE1461" s="1" t="str">
        <f t="shared" si="111"/>
        <v>6177 U2B</v>
      </c>
      <c r="AF1461" s="5" t="str">
        <f t="shared" si="113"/>
        <v>410.9</v>
      </c>
      <c r="AG1461" s="1" t="str">
        <f t="shared" si="110"/>
        <v>Y</v>
      </c>
    </row>
    <row r="1462" spans="1:33" x14ac:dyDescent="0.2">
      <c r="A1462" s="1" t="s">
        <v>383</v>
      </c>
      <c r="B1462" s="1" t="s">
        <v>3626</v>
      </c>
      <c r="C1462" s="1">
        <v>6178</v>
      </c>
      <c r="D1462" s="1">
        <v>1</v>
      </c>
      <c r="F1462" s="1">
        <v>2023</v>
      </c>
      <c r="G1462" s="1" t="s">
        <v>386</v>
      </c>
      <c r="H1462" s="1">
        <v>603383</v>
      </c>
      <c r="I1462" s="1">
        <v>6</v>
      </c>
      <c r="J1462" s="1" t="s">
        <v>387</v>
      </c>
      <c r="K1462" s="1" t="s">
        <v>3627</v>
      </c>
      <c r="L1462" s="1" t="s">
        <v>3628</v>
      </c>
      <c r="M1462" s="1">
        <v>175</v>
      </c>
      <c r="N1462" s="1" t="s">
        <v>39</v>
      </c>
      <c r="O1462" s="1">
        <v>28.712800000000001</v>
      </c>
      <c r="P1462" s="1">
        <v>-97.214200000000005</v>
      </c>
      <c r="Q1462" s="1" t="s">
        <v>3629</v>
      </c>
      <c r="R1462" s="1" t="s">
        <v>41</v>
      </c>
      <c r="S1462" s="1" t="s">
        <v>211</v>
      </c>
      <c r="T1462" s="1" t="s">
        <v>43</v>
      </c>
      <c r="U1462" s="1" t="s">
        <v>55</v>
      </c>
      <c r="X1462" s="1" t="s">
        <v>213</v>
      </c>
      <c r="Y1462" s="1" t="s">
        <v>232</v>
      </c>
      <c r="Z1462" s="1" t="s">
        <v>937</v>
      </c>
      <c r="AA1462" s="3">
        <v>29402</v>
      </c>
      <c r="AB1462" s="1" t="s">
        <v>46</v>
      </c>
      <c r="AC1462" s="5">
        <v>7685</v>
      </c>
      <c r="AD1462" s="1" t="s">
        <v>3630</v>
      </c>
      <c r="AE1462" s="1" t="str">
        <f t="shared" si="111"/>
        <v>6178 1</v>
      </c>
      <c r="AF1462" s="5" t="str">
        <f t="shared" si="113"/>
        <v>632</v>
      </c>
      <c r="AG1462" s="1" t="str">
        <f t="shared" si="110"/>
        <v/>
      </c>
    </row>
    <row r="1463" spans="1:33" x14ac:dyDescent="0.2">
      <c r="A1463" s="1" t="s">
        <v>383</v>
      </c>
      <c r="B1463" s="1" t="s">
        <v>3631</v>
      </c>
      <c r="C1463" s="1">
        <v>6179</v>
      </c>
      <c r="D1463" s="1">
        <v>1</v>
      </c>
      <c r="F1463" s="1">
        <v>2023</v>
      </c>
      <c r="G1463" s="1" t="s">
        <v>386</v>
      </c>
      <c r="H1463" s="1">
        <v>605940</v>
      </c>
      <c r="I1463" s="1">
        <v>6</v>
      </c>
      <c r="J1463" s="1" t="s">
        <v>387</v>
      </c>
      <c r="K1463" s="1" t="s">
        <v>3632</v>
      </c>
      <c r="L1463" s="1" t="s">
        <v>3633</v>
      </c>
      <c r="M1463" s="1">
        <v>149</v>
      </c>
      <c r="N1463" s="1" t="s">
        <v>39</v>
      </c>
      <c r="O1463" s="1">
        <v>29.917200000000001</v>
      </c>
      <c r="P1463" s="1">
        <v>-96.750600000000006</v>
      </c>
      <c r="Q1463" s="1" t="s">
        <v>3634</v>
      </c>
      <c r="R1463" s="1" t="s">
        <v>41</v>
      </c>
      <c r="S1463" s="1" t="s">
        <v>211</v>
      </c>
      <c r="T1463" s="1" t="s">
        <v>43</v>
      </c>
      <c r="U1463" s="1" t="s">
        <v>55</v>
      </c>
      <c r="V1463" s="1" t="s">
        <v>3635</v>
      </c>
      <c r="W1463" s="1" t="s">
        <v>56</v>
      </c>
      <c r="X1463" s="1" t="s">
        <v>213</v>
      </c>
      <c r="Y1463" s="1" t="s">
        <v>58</v>
      </c>
      <c r="AA1463" s="3">
        <v>29007</v>
      </c>
      <c r="AB1463" s="1" t="s">
        <v>46</v>
      </c>
      <c r="AC1463" s="5">
        <v>8673.9</v>
      </c>
      <c r="AD1463" s="1" t="s">
        <v>3636</v>
      </c>
      <c r="AE1463" s="1" t="str">
        <f t="shared" si="111"/>
        <v>6179 1</v>
      </c>
      <c r="AF1463" s="5" t="str">
        <f t="shared" si="113"/>
        <v>615</v>
      </c>
      <c r="AG1463" s="1" t="str">
        <f t="shared" si="110"/>
        <v/>
      </c>
    </row>
    <row r="1464" spans="1:33" x14ac:dyDescent="0.2">
      <c r="A1464" s="1" t="s">
        <v>383</v>
      </c>
      <c r="B1464" s="1" t="s">
        <v>3631</v>
      </c>
      <c r="C1464" s="1">
        <v>6179</v>
      </c>
      <c r="D1464" s="1">
        <v>2</v>
      </c>
      <c r="F1464" s="1">
        <v>2023</v>
      </c>
      <c r="G1464" s="1" t="s">
        <v>386</v>
      </c>
      <c r="H1464" s="1">
        <v>605940</v>
      </c>
      <c r="I1464" s="1">
        <v>6</v>
      </c>
      <c r="J1464" s="1" t="s">
        <v>387</v>
      </c>
      <c r="K1464" s="1" t="s">
        <v>3632</v>
      </c>
      <c r="L1464" s="1" t="s">
        <v>3633</v>
      </c>
      <c r="M1464" s="1">
        <v>149</v>
      </c>
      <c r="N1464" s="1" t="s">
        <v>39</v>
      </c>
      <c r="O1464" s="1">
        <v>29.917200000000001</v>
      </c>
      <c r="P1464" s="1">
        <v>-96.750600000000006</v>
      </c>
      <c r="Q1464" s="1" t="s">
        <v>3634</v>
      </c>
      <c r="R1464" s="1" t="s">
        <v>41</v>
      </c>
      <c r="S1464" s="1" t="s">
        <v>211</v>
      </c>
      <c r="T1464" s="1" t="s">
        <v>43</v>
      </c>
      <c r="U1464" s="1" t="s">
        <v>55</v>
      </c>
      <c r="V1464" s="1" t="s">
        <v>3635</v>
      </c>
      <c r="W1464" s="1" t="s">
        <v>56</v>
      </c>
      <c r="X1464" s="1" t="s">
        <v>213</v>
      </c>
      <c r="Y1464" s="1" t="s">
        <v>58</v>
      </c>
      <c r="AA1464" s="3">
        <v>29362</v>
      </c>
      <c r="AB1464" s="1" t="s">
        <v>46</v>
      </c>
      <c r="AC1464" s="5">
        <v>8673.9</v>
      </c>
      <c r="AD1464" s="1" t="s">
        <v>3637</v>
      </c>
      <c r="AE1464" s="1" t="str">
        <f t="shared" si="111"/>
        <v>6179 2</v>
      </c>
      <c r="AF1464" s="5" t="str">
        <f t="shared" si="113"/>
        <v>615</v>
      </c>
      <c r="AG1464" s="1" t="str">
        <f t="shared" si="110"/>
        <v/>
      </c>
    </row>
    <row r="1465" spans="1:33" x14ac:dyDescent="0.2">
      <c r="A1465" s="1" t="s">
        <v>383</v>
      </c>
      <c r="B1465" s="1" t="s">
        <v>3631</v>
      </c>
      <c r="C1465" s="1">
        <v>6179</v>
      </c>
      <c r="D1465" s="1">
        <v>3</v>
      </c>
      <c r="F1465" s="1">
        <v>2023</v>
      </c>
      <c r="G1465" s="1" t="s">
        <v>337</v>
      </c>
      <c r="H1465" s="1">
        <v>605940</v>
      </c>
      <c r="I1465" s="1">
        <v>6</v>
      </c>
      <c r="J1465" s="1" t="s">
        <v>387</v>
      </c>
      <c r="K1465" s="1" t="s">
        <v>3632</v>
      </c>
      <c r="L1465" s="1" t="s">
        <v>3633</v>
      </c>
      <c r="M1465" s="1">
        <v>149</v>
      </c>
      <c r="N1465" s="1" t="s">
        <v>39</v>
      </c>
      <c r="O1465" s="1">
        <v>29.917200000000001</v>
      </c>
      <c r="P1465" s="1">
        <v>-96.750600000000006</v>
      </c>
      <c r="Q1465" s="1" t="s">
        <v>3028</v>
      </c>
      <c r="R1465" s="1" t="s">
        <v>41</v>
      </c>
      <c r="S1465" s="1" t="s">
        <v>211</v>
      </c>
      <c r="T1465" s="1" t="s">
        <v>43</v>
      </c>
      <c r="U1465" s="1" t="s">
        <v>55</v>
      </c>
      <c r="V1465" s="1" t="s">
        <v>3635</v>
      </c>
      <c r="W1465" s="1" t="s">
        <v>56</v>
      </c>
      <c r="X1465" s="1" t="s">
        <v>213</v>
      </c>
      <c r="Y1465" s="1" t="s">
        <v>58</v>
      </c>
      <c r="AA1465" s="3">
        <v>32262</v>
      </c>
      <c r="AB1465" s="1" t="s">
        <v>46</v>
      </c>
      <c r="AC1465" s="5">
        <v>6333.3</v>
      </c>
      <c r="AD1465" s="1" t="s">
        <v>3613</v>
      </c>
      <c r="AE1465" s="1" t="str">
        <f t="shared" si="111"/>
        <v>6179 3</v>
      </c>
      <c r="AF1465" s="5" t="str">
        <f t="shared" si="113"/>
        <v>460</v>
      </c>
      <c r="AG1465" s="1" t="str">
        <f t="shared" si="110"/>
        <v/>
      </c>
    </row>
    <row r="1466" spans="1:33" x14ac:dyDescent="0.2">
      <c r="A1466" s="1" t="s">
        <v>383</v>
      </c>
      <c r="B1466" s="1" t="s">
        <v>3638</v>
      </c>
      <c r="C1466" s="1">
        <v>6180</v>
      </c>
      <c r="D1466" s="1">
        <v>1</v>
      </c>
      <c r="F1466" s="1">
        <v>2023</v>
      </c>
      <c r="G1466" s="1" t="s">
        <v>337</v>
      </c>
      <c r="H1466" s="1">
        <v>603383</v>
      </c>
      <c r="I1466" s="1">
        <v>6</v>
      </c>
      <c r="J1466" s="1" t="s">
        <v>387</v>
      </c>
      <c r="K1466" s="1" t="s">
        <v>3639</v>
      </c>
      <c r="L1466" s="1" t="s">
        <v>3640</v>
      </c>
      <c r="M1466" s="1">
        <v>395</v>
      </c>
      <c r="N1466" s="1" t="s">
        <v>39</v>
      </c>
      <c r="O1466" s="1">
        <v>31.184999999999999</v>
      </c>
      <c r="P1466" s="1">
        <v>-96.485299999999995</v>
      </c>
      <c r="Q1466" s="1" t="s">
        <v>3641</v>
      </c>
      <c r="R1466" s="1" t="s">
        <v>41</v>
      </c>
      <c r="T1466" s="1" t="s">
        <v>43</v>
      </c>
      <c r="U1466" s="1" t="s">
        <v>55</v>
      </c>
      <c r="V1466" s="1" t="s">
        <v>44</v>
      </c>
      <c r="W1466" s="1" t="s">
        <v>56</v>
      </c>
      <c r="X1466" s="1" t="s">
        <v>855</v>
      </c>
      <c r="Y1466" s="1" t="s">
        <v>232</v>
      </c>
      <c r="AA1466" s="3">
        <v>40032</v>
      </c>
      <c r="AB1466" s="1" t="s">
        <v>46</v>
      </c>
      <c r="AC1466" s="5">
        <v>9940</v>
      </c>
      <c r="AD1466" s="1" t="s">
        <v>3642</v>
      </c>
      <c r="AE1466" s="1" t="str">
        <f t="shared" si="111"/>
        <v>6180 1</v>
      </c>
      <c r="AF1466" s="5" t="str">
        <f t="shared" si="113"/>
        <v>916.8</v>
      </c>
      <c r="AG1466" s="1" t="str">
        <f t="shared" si="110"/>
        <v>Y</v>
      </c>
    </row>
    <row r="1467" spans="1:33" x14ac:dyDescent="0.2">
      <c r="A1467" s="1" t="s">
        <v>383</v>
      </c>
      <c r="B1467" s="1" t="s">
        <v>3638</v>
      </c>
      <c r="C1467" s="1">
        <v>6180</v>
      </c>
      <c r="D1467" s="1">
        <v>2</v>
      </c>
      <c r="F1467" s="1">
        <v>2023</v>
      </c>
      <c r="G1467" s="1" t="s">
        <v>337</v>
      </c>
      <c r="H1467" s="1">
        <v>603383</v>
      </c>
      <c r="I1467" s="1">
        <v>6</v>
      </c>
      <c r="J1467" s="1" t="s">
        <v>387</v>
      </c>
      <c r="K1467" s="1" t="s">
        <v>3639</v>
      </c>
      <c r="L1467" s="1" t="s">
        <v>3640</v>
      </c>
      <c r="M1467" s="1">
        <v>395</v>
      </c>
      <c r="N1467" s="1" t="s">
        <v>39</v>
      </c>
      <c r="O1467" s="1">
        <v>31.184999999999999</v>
      </c>
      <c r="P1467" s="1">
        <v>-96.485299999999995</v>
      </c>
      <c r="Q1467" s="1" t="s">
        <v>3641</v>
      </c>
      <c r="R1467" s="1" t="s">
        <v>41</v>
      </c>
      <c r="T1467" s="1" t="s">
        <v>89</v>
      </c>
      <c r="U1467" s="1" t="s">
        <v>55</v>
      </c>
      <c r="V1467" s="1" t="s">
        <v>44</v>
      </c>
      <c r="W1467" s="1" t="s">
        <v>56</v>
      </c>
      <c r="X1467" s="1" t="s">
        <v>1192</v>
      </c>
      <c r="Y1467" s="1" t="s">
        <v>232</v>
      </c>
      <c r="AA1467" s="3">
        <v>40179</v>
      </c>
      <c r="AB1467" s="1" t="s">
        <v>46</v>
      </c>
      <c r="AC1467" s="5">
        <v>9835</v>
      </c>
      <c r="AD1467" s="1" t="s">
        <v>3643</v>
      </c>
      <c r="AE1467" s="1" t="str">
        <f t="shared" si="111"/>
        <v>6180 2</v>
      </c>
      <c r="AF1467" s="5" t="str">
        <f t="shared" si="113"/>
        <v>878.6</v>
      </c>
      <c r="AG1467" s="1" t="str">
        <f t="shared" si="110"/>
        <v>Y</v>
      </c>
    </row>
    <row r="1468" spans="1:33" x14ac:dyDescent="0.2">
      <c r="A1468" s="1" t="s">
        <v>383</v>
      </c>
      <c r="B1468" s="1" t="s">
        <v>3644</v>
      </c>
      <c r="C1468" s="1">
        <v>6183</v>
      </c>
      <c r="D1468" s="1" t="s">
        <v>3645</v>
      </c>
      <c r="F1468" s="1">
        <v>2023</v>
      </c>
      <c r="G1468" s="1" t="s">
        <v>337</v>
      </c>
      <c r="H1468" s="1">
        <v>609372</v>
      </c>
      <c r="I1468" s="1">
        <v>6</v>
      </c>
      <c r="J1468" s="1" t="s">
        <v>387</v>
      </c>
      <c r="K1468" s="1" t="s">
        <v>3646</v>
      </c>
      <c r="L1468" s="1" t="s">
        <v>3647</v>
      </c>
      <c r="M1468" s="1">
        <v>13</v>
      </c>
      <c r="N1468" s="1" t="s">
        <v>39</v>
      </c>
      <c r="O1468" s="1">
        <v>28.7044</v>
      </c>
      <c r="P1468" s="1">
        <v>-98.478099999999998</v>
      </c>
      <c r="Q1468" s="1" t="s">
        <v>3648</v>
      </c>
      <c r="R1468" s="1" t="s">
        <v>41</v>
      </c>
      <c r="S1468" s="1" t="s">
        <v>211</v>
      </c>
      <c r="T1468" s="1" t="s">
        <v>89</v>
      </c>
      <c r="U1468" s="1" t="s">
        <v>55</v>
      </c>
      <c r="W1468" s="1" t="s">
        <v>56</v>
      </c>
      <c r="X1468" s="1" t="s">
        <v>3649</v>
      </c>
      <c r="Y1468" s="1" t="s">
        <v>331</v>
      </c>
      <c r="AA1468" s="3">
        <v>29952</v>
      </c>
      <c r="AB1468" s="1" t="s">
        <v>46</v>
      </c>
      <c r="AC1468" s="5">
        <v>6815</v>
      </c>
      <c r="AD1468" s="1" t="s">
        <v>3650</v>
      </c>
      <c r="AE1468" s="1" t="str">
        <f t="shared" si="111"/>
        <v>6183 SM-1</v>
      </c>
      <c r="AF1468" s="5" t="str">
        <f t="shared" si="113"/>
        <v>410</v>
      </c>
      <c r="AG1468" s="1" t="str">
        <f t="shared" si="110"/>
        <v/>
      </c>
    </row>
    <row r="1469" spans="1:33" x14ac:dyDescent="0.2">
      <c r="A1469" s="1" t="s">
        <v>1426</v>
      </c>
      <c r="B1469" s="1" t="s">
        <v>3651</v>
      </c>
      <c r="C1469" s="1">
        <v>6190</v>
      </c>
      <c r="D1469" s="1">
        <v>1</v>
      </c>
      <c r="F1469" s="1">
        <v>2023</v>
      </c>
      <c r="G1469" s="1" t="s">
        <v>1428</v>
      </c>
      <c r="H1469" s="1">
        <v>610205</v>
      </c>
      <c r="I1469" s="1">
        <v>6</v>
      </c>
      <c r="J1469" s="1" t="s">
        <v>228</v>
      </c>
      <c r="K1469" s="1" t="s">
        <v>3652</v>
      </c>
      <c r="L1469" s="1" t="s">
        <v>3653</v>
      </c>
      <c r="M1469" s="1">
        <v>79</v>
      </c>
      <c r="N1469" s="1" t="s">
        <v>39</v>
      </c>
      <c r="O1469" s="1">
        <v>31.395</v>
      </c>
      <c r="P1469" s="1">
        <v>-92.716700000000003</v>
      </c>
      <c r="Q1469" s="1" t="s">
        <v>1448</v>
      </c>
      <c r="R1469" s="1" t="s">
        <v>41</v>
      </c>
      <c r="T1469" s="1" t="s">
        <v>89</v>
      </c>
      <c r="U1469" s="1" t="s">
        <v>44</v>
      </c>
      <c r="AA1469" s="3">
        <v>27546</v>
      </c>
      <c r="AB1469" s="1" t="s">
        <v>46</v>
      </c>
      <c r="AC1469" s="5">
        <v>5004</v>
      </c>
      <c r="AD1469" s="1" t="s">
        <v>3654</v>
      </c>
      <c r="AE1469" s="1" t="str">
        <f t="shared" si="111"/>
        <v>6190 1</v>
      </c>
      <c r="AF1469" s="5" t="str">
        <f t="shared" si="113"/>
        <v>445.5</v>
      </c>
      <c r="AG1469" s="1" t="str">
        <f t="shared" si="110"/>
        <v/>
      </c>
    </row>
    <row r="1470" spans="1:33" x14ac:dyDescent="0.2">
      <c r="A1470" s="1" t="s">
        <v>1426</v>
      </c>
      <c r="B1470" s="1" t="s">
        <v>3651</v>
      </c>
      <c r="C1470" s="1">
        <v>6190</v>
      </c>
      <c r="D1470" s="1">
        <v>2</v>
      </c>
      <c r="F1470" s="1">
        <v>2023</v>
      </c>
      <c r="G1470" s="1" t="s">
        <v>1440</v>
      </c>
      <c r="H1470" s="1">
        <v>610205</v>
      </c>
      <c r="I1470" s="1">
        <v>6</v>
      </c>
      <c r="J1470" s="1" t="s">
        <v>228</v>
      </c>
      <c r="K1470" s="1" t="s">
        <v>3652</v>
      </c>
      <c r="L1470" s="1" t="s">
        <v>3653</v>
      </c>
      <c r="M1470" s="1">
        <v>79</v>
      </c>
      <c r="N1470" s="1" t="s">
        <v>39</v>
      </c>
      <c r="O1470" s="1">
        <v>31.395</v>
      </c>
      <c r="P1470" s="1">
        <v>-92.716700000000003</v>
      </c>
      <c r="Q1470" s="1" t="s">
        <v>3655</v>
      </c>
      <c r="R1470" s="1" t="s">
        <v>41</v>
      </c>
      <c r="S1470" s="1" t="s">
        <v>211</v>
      </c>
      <c r="T1470" s="1" t="s">
        <v>89</v>
      </c>
      <c r="U1470" s="1" t="s">
        <v>55</v>
      </c>
      <c r="X1470" s="1" t="s">
        <v>1221</v>
      </c>
      <c r="Y1470" s="1" t="s">
        <v>123</v>
      </c>
      <c r="Z1470" s="1" t="s">
        <v>344</v>
      </c>
      <c r="AA1470" s="3">
        <v>30164</v>
      </c>
      <c r="AB1470" s="1" t="s">
        <v>46</v>
      </c>
      <c r="AC1470" s="5">
        <v>6534</v>
      </c>
      <c r="AD1470" s="1" t="s">
        <v>3656</v>
      </c>
      <c r="AE1470" s="1" t="str">
        <f t="shared" si="111"/>
        <v>6190 2</v>
      </c>
      <c r="AF1470" s="5" t="str">
        <f t="shared" si="113"/>
        <v>558</v>
      </c>
      <c r="AG1470" s="1" t="str">
        <f t="shared" si="110"/>
        <v>Y</v>
      </c>
    </row>
    <row r="1471" spans="1:33" x14ac:dyDescent="0.2">
      <c r="A1471" s="1" t="s">
        <v>1426</v>
      </c>
      <c r="B1471" s="1" t="s">
        <v>3651</v>
      </c>
      <c r="C1471" s="1">
        <v>6190</v>
      </c>
      <c r="D1471" s="2">
        <v>45352</v>
      </c>
      <c r="F1471" s="1">
        <v>2023</v>
      </c>
      <c r="G1471" s="1" t="s">
        <v>1440</v>
      </c>
      <c r="H1471" s="1">
        <v>610205</v>
      </c>
      <c r="I1471" s="1">
        <v>6</v>
      </c>
      <c r="J1471" s="1" t="s">
        <v>228</v>
      </c>
      <c r="K1471" s="1" t="s">
        <v>3652</v>
      </c>
      <c r="L1471" s="1" t="s">
        <v>3653</v>
      </c>
      <c r="M1471" s="1">
        <v>79</v>
      </c>
      <c r="N1471" s="1" t="s">
        <v>39</v>
      </c>
      <c r="O1471" s="1">
        <v>31.395</v>
      </c>
      <c r="P1471" s="1">
        <v>-92.716700000000003</v>
      </c>
      <c r="Q1471" s="1" t="s">
        <v>1448</v>
      </c>
      <c r="R1471" s="1" t="s">
        <v>41</v>
      </c>
      <c r="T1471" s="1" t="s">
        <v>885</v>
      </c>
      <c r="U1471" s="1" t="s">
        <v>2492</v>
      </c>
      <c r="V1471" s="1" t="s">
        <v>55</v>
      </c>
      <c r="W1471" s="1" t="s">
        <v>212</v>
      </c>
      <c r="X1471" s="1" t="s">
        <v>669</v>
      </c>
      <c r="Y1471" s="1" t="s">
        <v>232</v>
      </c>
      <c r="Z1471" s="1" t="s">
        <v>344</v>
      </c>
      <c r="AA1471" s="3">
        <v>40131</v>
      </c>
      <c r="AB1471" s="1" t="s">
        <v>46</v>
      </c>
      <c r="AC1471" s="5">
        <v>3750</v>
      </c>
      <c r="AD1471" s="1" t="s">
        <v>3657</v>
      </c>
      <c r="AE1471" s="1" t="str">
        <f t="shared" si="111"/>
        <v>6190 45352</v>
      </c>
      <c r="AF1471" s="5" t="str">
        <f t="shared" si="113"/>
        <v>703.8</v>
      </c>
      <c r="AG1471" s="1" t="str">
        <f t="shared" si="110"/>
        <v>Y</v>
      </c>
    </row>
    <row r="1472" spans="1:33" x14ac:dyDescent="0.2">
      <c r="A1472" s="1" t="s">
        <v>1426</v>
      </c>
      <c r="B1472" s="1" t="s">
        <v>3651</v>
      </c>
      <c r="C1472" s="1">
        <v>6190</v>
      </c>
      <c r="D1472" s="2">
        <v>45353</v>
      </c>
      <c r="F1472" s="1">
        <v>2023</v>
      </c>
      <c r="G1472" s="1" t="s">
        <v>1440</v>
      </c>
      <c r="H1472" s="1">
        <v>610205</v>
      </c>
      <c r="I1472" s="1">
        <v>6</v>
      </c>
      <c r="J1472" s="1" t="s">
        <v>228</v>
      </c>
      <c r="K1472" s="1" t="s">
        <v>3652</v>
      </c>
      <c r="L1472" s="1" t="s">
        <v>3653</v>
      </c>
      <c r="M1472" s="1">
        <v>79</v>
      </c>
      <c r="N1472" s="1" t="s">
        <v>39</v>
      </c>
      <c r="O1472" s="1">
        <v>31.395</v>
      </c>
      <c r="P1472" s="1">
        <v>-92.716700000000003</v>
      </c>
      <c r="Q1472" s="1" t="s">
        <v>1448</v>
      </c>
      <c r="R1472" s="1" t="s">
        <v>41</v>
      </c>
      <c r="T1472" s="1" t="s">
        <v>885</v>
      </c>
      <c r="U1472" s="1" t="s">
        <v>2492</v>
      </c>
      <c r="V1472" s="1" t="s">
        <v>55</v>
      </c>
      <c r="W1472" s="1" t="s">
        <v>212</v>
      </c>
      <c r="X1472" s="1" t="s">
        <v>669</v>
      </c>
      <c r="Y1472" s="1" t="s">
        <v>232</v>
      </c>
      <c r="Z1472" s="1" t="s">
        <v>344</v>
      </c>
      <c r="AA1472" s="3">
        <v>40122</v>
      </c>
      <c r="AB1472" s="1" t="s">
        <v>46</v>
      </c>
      <c r="AC1472" s="5">
        <v>3750</v>
      </c>
      <c r="AD1472" s="1" t="s">
        <v>3657</v>
      </c>
      <c r="AE1472" s="1" t="str">
        <f t="shared" si="111"/>
        <v>6190 45353</v>
      </c>
      <c r="AF1472" s="5" t="str">
        <f t="shared" si="113"/>
        <v>703.8</v>
      </c>
      <c r="AG1472" s="1" t="str">
        <f t="shared" si="110"/>
        <v>Y</v>
      </c>
    </row>
    <row r="1473" spans="1:33" x14ac:dyDescent="0.2">
      <c r="A1473" s="1" t="s">
        <v>383</v>
      </c>
      <c r="B1473" s="1" t="s">
        <v>3658</v>
      </c>
      <c r="C1473" s="1">
        <v>6193</v>
      </c>
      <c r="D1473" s="1" t="s">
        <v>3659</v>
      </c>
      <c r="F1473" s="1">
        <v>2023</v>
      </c>
      <c r="G1473" s="1" t="s">
        <v>386</v>
      </c>
      <c r="H1473" s="1">
        <v>606233</v>
      </c>
      <c r="I1473" s="1">
        <v>6</v>
      </c>
      <c r="J1473" s="1" t="s">
        <v>228</v>
      </c>
      <c r="K1473" s="1" t="s">
        <v>2971</v>
      </c>
      <c r="L1473" s="1" t="s">
        <v>2972</v>
      </c>
      <c r="M1473" s="1">
        <v>375</v>
      </c>
      <c r="N1473" s="1" t="s">
        <v>39</v>
      </c>
      <c r="O1473" s="1">
        <v>35.297199999999997</v>
      </c>
      <c r="P1473" s="1">
        <v>-101.7475</v>
      </c>
      <c r="Q1473" s="1" t="s">
        <v>2073</v>
      </c>
      <c r="R1473" s="1" t="s">
        <v>41</v>
      </c>
      <c r="S1473" s="1" t="s">
        <v>211</v>
      </c>
      <c r="T1473" s="1" t="s">
        <v>43</v>
      </c>
      <c r="U1473" s="1" t="s">
        <v>55</v>
      </c>
      <c r="V1473" s="1" t="s">
        <v>44</v>
      </c>
      <c r="X1473" s="1" t="s">
        <v>3660</v>
      </c>
      <c r="Y1473" s="1" t="s">
        <v>58</v>
      </c>
      <c r="Z1473" s="1" t="s">
        <v>214</v>
      </c>
      <c r="AA1473" s="3">
        <v>27942</v>
      </c>
      <c r="AB1473" s="1" t="s">
        <v>46</v>
      </c>
      <c r="AC1473" s="5">
        <v>4631</v>
      </c>
      <c r="AD1473" s="1" t="s">
        <v>3661</v>
      </c>
      <c r="AE1473" s="1" t="str">
        <f t="shared" si="111"/>
        <v>6193 061B</v>
      </c>
      <c r="AF1473" s="5" t="str">
        <f t="shared" si="113"/>
        <v>360</v>
      </c>
      <c r="AG1473" s="1" t="str">
        <f t="shared" si="110"/>
        <v/>
      </c>
    </row>
    <row r="1474" spans="1:33" x14ac:dyDescent="0.2">
      <c r="A1474" s="1" t="s">
        <v>383</v>
      </c>
      <c r="B1474" s="1" t="s">
        <v>3658</v>
      </c>
      <c r="C1474" s="1">
        <v>6193</v>
      </c>
      <c r="D1474" s="1" t="s">
        <v>3662</v>
      </c>
      <c r="F1474" s="1">
        <v>2023</v>
      </c>
      <c r="G1474" s="1" t="s">
        <v>386</v>
      </c>
      <c r="H1474" s="1">
        <v>606233</v>
      </c>
      <c r="I1474" s="1">
        <v>6</v>
      </c>
      <c r="J1474" s="1" t="s">
        <v>228</v>
      </c>
      <c r="K1474" s="1" t="s">
        <v>2971</v>
      </c>
      <c r="L1474" s="1" t="s">
        <v>2972</v>
      </c>
      <c r="M1474" s="1">
        <v>375</v>
      </c>
      <c r="N1474" s="1" t="s">
        <v>39</v>
      </c>
      <c r="O1474" s="1">
        <v>35.297199999999997</v>
      </c>
      <c r="P1474" s="1">
        <v>-101.7475</v>
      </c>
      <c r="Q1474" s="1" t="s">
        <v>2073</v>
      </c>
      <c r="R1474" s="1" t="s">
        <v>41</v>
      </c>
      <c r="S1474" s="1" t="s">
        <v>211</v>
      </c>
      <c r="T1474" s="1" t="s">
        <v>43</v>
      </c>
      <c r="U1474" s="1" t="s">
        <v>55</v>
      </c>
      <c r="V1474" s="1" t="s">
        <v>44</v>
      </c>
      <c r="X1474" s="1" t="s">
        <v>1226</v>
      </c>
      <c r="Y1474" s="1" t="s">
        <v>232</v>
      </c>
      <c r="Z1474" s="1" t="s">
        <v>214</v>
      </c>
      <c r="AA1474" s="3">
        <v>28611</v>
      </c>
      <c r="AB1474" s="1" t="s">
        <v>46</v>
      </c>
      <c r="AC1474" s="5">
        <v>4222</v>
      </c>
      <c r="AD1474" s="1" t="s">
        <v>3663</v>
      </c>
      <c r="AE1474" s="1" t="str">
        <f t="shared" si="111"/>
        <v>6193 062B</v>
      </c>
      <c r="AF1474" s="5" t="str">
        <f t="shared" si="113"/>
        <v>360</v>
      </c>
      <c r="AG1474" s="1" t="str">
        <f t="shared" ref="AG1474:AG1537" si="114">IF(ISNUMBER(SEARCH("selective", X1474)), "Y", "")</f>
        <v/>
      </c>
    </row>
    <row r="1475" spans="1:33" x14ac:dyDescent="0.2">
      <c r="A1475" s="1" t="s">
        <v>383</v>
      </c>
      <c r="B1475" s="1" t="s">
        <v>3658</v>
      </c>
      <c r="C1475" s="1">
        <v>6193</v>
      </c>
      <c r="D1475" s="1" t="s">
        <v>3664</v>
      </c>
      <c r="F1475" s="1">
        <v>2023</v>
      </c>
      <c r="G1475" s="1" t="s">
        <v>386</v>
      </c>
      <c r="H1475" s="1">
        <v>606233</v>
      </c>
      <c r="I1475" s="1">
        <v>6</v>
      </c>
      <c r="J1475" s="1" t="s">
        <v>228</v>
      </c>
      <c r="K1475" s="1" t="s">
        <v>2971</v>
      </c>
      <c r="L1475" s="1" t="s">
        <v>2972</v>
      </c>
      <c r="M1475" s="1">
        <v>375</v>
      </c>
      <c r="N1475" s="1" t="s">
        <v>39</v>
      </c>
      <c r="O1475" s="1">
        <v>35.297199999999997</v>
      </c>
      <c r="P1475" s="1">
        <v>-101.7475</v>
      </c>
      <c r="Q1475" s="1" t="s">
        <v>2073</v>
      </c>
      <c r="R1475" s="1" t="s">
        <v>41</v>
      </c>
      <c r="S1475" s="1" t="s">
        <v>211</v>
      </c>
      <c r="T1475" s="1" t="s">
        <v>43</v>
      </c>
      <c r="U1475" s="1" t="s">
        <v>55</v>
      </c>
      <c r="V1475" s="1" t="s">
        <v>44</v>
      </c>
      <c r="X1475" s="1" t="s">
        <v>1226</v>
      </c>
      <c r="Y1475" s="1" t="s">
        <v>232</v>
      </c>
      <c r="Z1475" s="1" t="s">
        <v>214</v>
      </c>
      <c r="AA1475" s="3">
        <v>29342</v>
      </c>
      <c r="AB1475" s="1" t="s">
        <v>46</v>
      </c>
      <c r="AC1475" s="5">
        <v>4397</v>
      </c>
      <c r="AD1475" s="1" t="s">
        <v>3665</v>
      </c>
      <c r="AE1475" s="1" t="str">
        <f t="shared" ref="AE1475:AE1538" si="115">C1475&amp;" "&amp;D1475</f>
        <v>6193 063B</v>
      </c>
      <c r="AF1475" s="5" t="str">
        <f t="shared" si="113"/>
        <v>360</v>
      </c>
      <c r="AG1475" s="1" t="str">
        <f t="shared" si="114"/>
        <v/>
      </c>
    </row>
    <row r="1476" spans="1:33" x14ac:dyDescent="0.2">
      <c r="A1476" s="1" t="s">
        <v>383</v>
      </c>
      <c r="B1476" s="1" t="s">
        <v>3666</v>
      </c>
      <c r="C1476" s="1">
        <v>6194</v>
      </c>
      <c r="D1476" s="1" t="s">
        <v>3667</v>
      </c>
      <c r="F1476" s="1">
        <v>2023</v>
      </c>
      <c r="G1476" s="1" t="s">
        <v>386</v>
      </c>
      <c r="H1476" s="1">
        <v>606233</v>
      </c>
      <c r="I1476" s="1">
        <v>6</v>
      </c>
      <c r="J1476" s="1" t="s">
        <v>228</v>
      </c>
      <c r="K1476" s="1" t="s">
        <v>2979</v>
      </c>
      <c r="L1476" s="1" t="s">
        <v>2980</v>
      </c>
      <c r="M1476" s="1">
        <v>279</v>
      </c>
      <c r="N1476" s="1" t="s">
        <v>39</v>
      </c>
      <c r="O1476" s="1">
        <v>34.184699999999999</v>
      </c>
      <c r="P1476" s="1">
        <v>-102.5686</v>
      </c>
      <c r="Q1476" s="1" t="s">
        <v>2073</v>
      </c>
      <c r="R1476" s="1" t="s">
        <v>41</v>
      </c>
      <c r="S1476" s="1" t="s">
        <v>211</v>
      </c>
      <c r="T1476" s="1" t="s">
        <v>43</v>
      </c>
      <c r="U1476" s="1" t="s">
        <v>55</v>
      </c>
      <c r="X1476" s="1" t="s">
        <v>3660</v>
      </c>
      <c r="Y1476" s="1" t="s">
        <v>232</v>
      </c>
      <c r="Z1476" s="1" t="s">
        <v>214</v>
      </c>
      <c r="AA1476" s="3">
        <v>30133</v>
      </c>
      <c r="AB1476" s="1" t="s">
        <v>46</v>
      </c>
      <c r="AC1476" s="5">
        <v>6331</v>
      </c>
      <c r="AD1476" s="1" t="s">
        <v>3525</v>
      </c>
      <c r="AE1476" s="1" t="str">
        <f t="shared" si="115"/>
        <v>6194 171B</v>
      </c>
      <c r="AF1476" s="5" t="str">
        <f t="shared" si="113"/>
        <v>568</v>
      </c>
      <c r="AG1476" s="1" t="str">
        <f t="shared" si="114"/>
        <v/>
      </c>
    </row>
    <row r="1477" spans="1:33" x14ac:dyDescent="0.2">
      <c r="A1477" s="1" t="s">
        <v>383</v>
      </c>
      <c r="B1477" s="1" t="s">
        <v>3666</v>
      </c>
      <c r="C1477" s="1">
        <v>6194</v>
      </c>
      <c r="D1477" s="1" t="s">
        <v>3668</v>
      </c>
      <c r="F1477" s="1">
        <v>2023</v>
      </c>
      <c r="G1477" s="1" t="s">
        <v>386</v>
      </c>
      <c r="H1477" s="1">
        <v>606233</v>
      </c>
      <c r="I1477" s="1">
        <v>6</v>
      </c>
      <c r="J1477" s="1" t="s">
        <v>228</v>
      </c>
      <c r="K1477" s="1" t="s">
        <v>2979</v>
      </c>
      <c r="L1477" s="1" t="s">
        <v>2980</v>
      </c>
      <c r="M1477" s="1">
        <v>279</v>
      </c>
      <c r="N1477" s="1" t="s">
        <v>39</v>
      </c>
      <c r="O1477" s="1">
        <v>34.184699999999999</v>
      </c>
      <c r="P1477" s="1">
        <v>-102.5686</v>
      </c>
      <c r="Q1477" s="1" t="s">
        <v>2073</v>
      </c>
      <c r="R1477" s="1" t="s">
        <v>41</v>
      </c>
      <c r="S1477" s="1" t="s">
        <v>211</v>
      </c>
      <c r="T1477" s="1" t="s">
        <v>43</v>
      </c>
      <c r="U1477" s="1" t="s">
        <v>55</v>
      </c>
      <c r="X1477" s="1" t="s">
        <v>3660</v>
      </c>
      <c r="Y1477" s="1" t="s">
        <v>232</v>
      </c>
      <c r="Z1477" s="1" t="s">
        <v>214</v>
      </c>
      <c r="AA1477" s="3">
        <v>31138</v>
      </c>
      <c r="AB1477" s="1" t="s">
        <v>46</v>
      </c>
      <c r="AC1477" s="5">
        <v>6454</v>
      </c>
      <c r="AD1477" s="1" t="s">
        <v>3526</v>
      </c>
      <c r="AE1477" s="1" t="str">
        <f t="shared" si="115"/>
        <v>6194 172B</v>
      </c>
      <c r="AF1477" s="5" t="str">
        <f t="shared" si="113"/>
        <v>568</v>
      </c>
      <c r="AG1477" s="1" t="str">
        <f t="shared" si="114"/>
        <v/>
      </c>
    </row>
    <row r="1478" spans="1:33" x14ac:dyDescent="0.2">
      <c r="A1478" s="1" t="s">
        <v>1755</v>
      </c>
      <c r="B1478" s="1" t="s">
        <v>3669</v>
      </c>
      <c r="C1478" s="1">
        <v>6195</v>
      </c>
      <c r="D1478" s="1">
        <v>1</v>
      </c>
      <c r="F1478" s="1">
        <v>2023</v>
      </c>
      <c r="G1478" s="1" t="s">
        <v>1188</v>
      </c>
      <c r="H1478" s="1">
        <v>500501</v>
      </c>
      <c r="I1478" s="1">
        <v>7</v>
      </c>
      <c r="J1478" s="1" t="s">
        <v>228</v>
      </c>
      <c r="K1478" s="1" t="s">
        <v>81</v>
      </c>
      <c r="L1478" s="1" t="s">
        <v>1823</v>
      </c>
      <c r="M1478" s="1">
        <v>77</v>
      </c>
      <c r="N1478" s="1" t="s">
        <v>39</v>
      </c>
      <c r="O1478" s="1">
        <v>37.151899999999998</v>
      </c>
      <c r="P1478" s="1">
        <v>-93.389200000000002</v>
      </c>
      <c r="Q1478" s="1" t="s">
        <v>1824</v>
      </c>
      <c r="R1478" s="1" t="s">
        <v>41</v>
      </c>
      <c r="S1478" s="1" t="s">
        <v>121</v>
      </c>
      <c r="T1478" s="1" t="s">
        <v>89</v>
      </c>
      <c r="U1478" s="1" t="s">
        <v>55</v>
      </c>
      <c r="V1478" s="1" t="s">
        <v>3670</v>
      </c>
      <c r="X1478" s="1" t="s">
        <v>3671</v>
      </c>
      <c r="Y1478" s="1" t="s">
        <v>232</v>
      </c>
      <c r="Z1478" s="1" t="s">
        <v>214</v>
      </c>
      <c r="AA1478" s="3">
        <v>27912</v>
      </c>
      <c r="AB1478" s="1" t="s">
        <v>46</v>
      </c>
      <c r="AC1478" s="5">
        <v>1990</v>
      </c>
      <c r="AD1478" s="1" t="s">
        <v>3672</v>
      </c>
      <c r="AE1478" s="1" t="str">
        <f t="shared" si="115"/>
        <v>6195 1</v>
      </c>
      <c r="AF1478" s="5" t="str">
        <f t="shared" si="113"/>
        <v>233</v>
      </c>
      <c r="AG1478" s="1" t="str">
        <f t="shared" si="114"/>
        <v>Y</v>
      </c>
    </row>
    <row r="1479" spans="1:33" x14ac:dyDescent="0.2">
      <c r="A1479" s="1" t="s">
        <v>1755</v>
      </c>
      <c r="B1479" s="1" t="s">
        <v>3669</v>
      </c>
      <c r="C1479" s="1">
        <v>6195</v>
      </c>
      <c r="D1479" s="1">
        <v>2</v>
      </c>
      <c r="F1479" s="1">
        <v>2023</v>
      </c>
      <c r="G1479" s="1" t="s">
        <v>1188</v>
      </c>
      <c r="H1479" s="1">
        <v>500501</v>
      </c>
      <c r="I1479" s="1">
        <v>7</v>
      </c>
      <c r="J1479" s="1" t="s">
        <v>228</v>
      </c>
      <c r="K1479" s="1" t="s">
        <v>81</v>
      </c>
      <c r="L1479" s="1" t="s">
        <v>1823</v>
      </c>
      <c r="M1479" s="1">
        <v>77</v>
      </c>
      <c r="N1479" s="1" t="s">
        <v>39</v>
      </c>
      <c r="O1479" s="1">
        <v>37.151899999999998</v>
      </c>
      <c r="P1479" s="1">
        <v>-93.389200000000002</v>
      </c>
      <c r="Q1479" s="1" t="s">
        <v>1824</v>
      </c>
      <c r="R1479" s="1" t="s">
        <v>41</v>
      </c>
      <c r="T1479" s="1" t="s">
        <v>89</v>
      </c>
      <c r="U1479" s="1" t="s">
        <v>55</v>
      </c>
      <c r="V1479" s="1" t="s">
        <v>3673</v>
      </c>
      <c r="W1479" s="1" t="s">
        <v>212</v>
      </c>
      <c r="X1479" s="1" t="s">
        <v>223</v>
      </c>
      <c r="Y1479" s="1" t="s">
        <v>232</v>
      </c>
      <c r="Z1479" s="1" t="s">
        <v>3674</v>
      </c>
      <c r="AA1479" s="3">
        <v>40483</v>
      </c>
      <c r="AB1479" s="1" t="s">
        <v>46</v>
      </c>
      <c r="AC1479" s="5">
        <v>2724</v>
      </c>
      <c r="AD1479" s="1" t="s">
        <v>3675</v>
      </c>
      <c r="AE1479" s="1" t="str">
        <f t="shared" si="115"/>
        <v>6195 2</v>
      </c>
      <c r="AF1479" s="5" t="str">
        <f t="shared" si="113"/>
        <v>310</v>
      </c>
      <c r="AG1479" s="1" t="str">
        <f t="shared" si="114"/>
        <v>Y</v>
      </c>
    </row>
    <row r="1480" spans="1:33" x14ac:dyDescent="0.2">
      <c r="A1480" s="1" t="s">
        <v>1755</v>
      </c>
      <c r="B1480" s="1" t="s">
        <v>3669</v>
      </c>
      <c r="C1480" s="1">
        <v>6195</v>
      </c>
      <c r="D1480" s="1" t="s">
        <v>3676</v>
      </c>
      <c r="F1480" s="1">
        <v>2023</v>
      </c>
      <c r="G1480" s="1" t="s">
        <v>1195</v>
      </c>
      <c r="H1480" s="1">
        <v>500501</v>
      </c>
      <c r="I1480" s="1">
        <v>7</v>
      </c>
      <c r="J1480" s="1" t="s">
        <v>228</v>
      </c>
      <c r="K1480" s="1" t="s">
        <v>81</v>
      </c>
      <c r="L1480" s="1" t="s">
        <v>1823</v>
      </c>
      <c r="M1480" s="1">
        <v>77</v>
      </c>
      <c r="N1480" s="1" t="s">
        <v>39</v>
      </c>
      <c r="O1480" s="1">
        <v>37.151899999999998</v>
      </c>
      <c r="P1480" s="1">
        <v>-93.389200000000002</v>
      </c>
      <c r="Q1480" s="1" t="s">
        <v>1824</v>
      </c>
      <c r="T1480" s="1" t="s">
        <v>93</v>
      </c>
      <c r="U1480" s="1" t="s">
        <v>284</v>
      </c>
      <c r="X1480" s="1" t="s">
        <v>95</v>
      </c>
      <c r="AA1480" s="3">
        <v>30303</v>
      </c>
      <c r="AB1480" s="1" t="s">
        <v>46</v>
      </c>
      <c r="AC1480" s="5">
        <v>376</v>
      </c>
      <c r="AD1480" s="1" t="s">
        <v>3677</v>
      </c>
      <c r="AE1480" s="1" t="str">
        <f t="shared" si="115"/>
        <v>6195 CT1A</v>
      </c>
      <c r="AF1480" s="5" t="str">
        <f t="shared" si="113"/>
        <v>57</v>
      </c>
      <c r="AG1480" s="1" t="str">
        <f t="shared" si="114"/>
        <v/>
      </c>
    </row>
    <row r="1481" spans="1:33" x14ac:dyDescent="0.2">
      <c r="A1481" s="1" t="s">
        <v>1755</v>
      </c>
      <c r="B1481" s="1" t="s">
        <v>3669</v>
      </c>
      <c r="C1481" s="1">
        <v>6195</v>
      </c>
      <c r="D1481" s="1" t="s">
        <v>3678</v>
      </c>
      <c r="F1481" s="1">
        <v>2023</v>
      </c>
      <c r="G1481" s="1" t="s">
        <v>1195</v>
      </c>
      <c r="H1481" s="1">
        <v>500501</v>
      </c>
      <c r="I1481" s="1">
        <v>7</v>
      </c>
      <c r="J1481" s="1" t="s">
        <v>228</v>
      </c>
      <c r="K1481" s="1" t="s">
        <v>81</v>
      </c>
      <c r="L1481" s="1" t="s">
        <v>1823</v>
      </c>
      <c r="M1481" s="1">
        <v>77</v>
      </c>
      <c r="N1481" s="1" t="s">
        <v>39</v>
      </c>
      <c r="O1481" s="1">
        <v>37.151899999999998</v>
      </c>
      <c r="P1481" s="1">
        <v>-93.389200000000002</v>
      </c>
      <c r="Q1481" s="1" t="s">
        <v>1824</v>
      </c>
      <c r="T1481" s="1" t="s">
        <v>93</v>
      </c>
      <c r="U1481" s="1" t="s">
        <v>284</v>
      </c>
      <c r="X1481" s="1" t="s">
        <v>95</v>
      </c>
      <c r="AA1481" s="3">
        <v>30303</v>
      </c>
      <c r="AB1481" s="1" t="s">
        <v>46</v>
      </c>
      <c r="AC1481" s="5">
        <v>376</v>
      </c>
      <c r="AD1481" s="1" t="s">
        <v>3677</v>
      </c>
      <c r="AE1481" s="1" t="str">
        <f t="shared" si="115"/>
        <v>6195 CT1B</v>
      </c>
      <c r="AF1481" s="5" t="str">
        <f t="shared" si="113"/>
        <v>57</v>
      </c>
      <c r="AG1481" s="1" t="str">
        <f t="shared" si="114"/>
        <v/>
      </c>
    </row>
    <row r="1482" spans="1:33" x14ac:dyDescent="0.2">
      <c r="A1482" s="1" t="s">
        <v>1755</v>
      </c>
      <c r="B1482" s="1" t="s">
        <v>3669</v>
      </c>
      <c r="C1482" s="1">
        <v>6195</v>
      </c>
      <c r="D1482" s="1" t="s">
        <v>1052</v>
      </c>
      <c r="F1482" s="1">
        <v>2023</v>
      </c>
      <c r="G1482" s="1" t="s">
        <v>1195</v>
      </c>
      <c r="H1482" s="1">
        <v>500501</v>
      </c>
      <c r="I1482" s="1">
        <v>7</v>
      </c>
      <c r="J1482" s="1" t="s">
        <v>228</v>
      </c>
      <c r="K1482" s="1" t="s">
        <v>81</v>
      </c>
      <c r="L1482" s="1" t="s">
        <v>1823</v>
      </c>
      <c r="M1482" s="1">
        <v>77</v>
      </c>
      <c r="N1482" s="1" t="s">
        <v>39</v>
      </c>
      <c r="O1482" s="1">
        <v>37.151899999999998</v>
      </c>
      <c r="P1482" s="1">
        <v>-93.389200000000002</v>
      </c>
      <c r="Q1482" s="1" t="s">
        <v>1824</v>
      </c>
      <c r="T1482" s="1" t="s">
        <v>93</v>
      </c>
      <c r="U1482" s="1" t="s">
        <v>284</v>
      </c>
      <c r="X1482" s="1" t="s">
        <v>95</v>
      </c>
      <c r="AA1482" s="3">
        <v>30303</v>
      </c>
      <c r="AB1482" s="1" t="s">
        <v>46</v>
      </c>
      <c r="AC1482" s="5">
        <v>376</v>
      </c>
      <c r="AD1482" s="1" t="s">
        <v>3679</v>
      </c>
      <c r="AE1482" s="1" t="str">
        <f t="shared" si="115"/>
        <v>6195 CT2A</v>
      </c>
      <c r="AF1482" s="5" t="str">
        <f t="shared" si="113"/>
        <v>51.6</v>
      </c>
      <c r="AG1482" s="1" t="str">
        <f t="shared" si="114"/>
        <v/>
      </c>
    </row>
    <row r="1483" spans="1:33" x14ac:dyDescent="0.2">
      <c r="A1483" s="1" t="s">
        <v>1755</v>
      </c>
      <c r="B1483" s="1" t="s">
        <v>3669</v>
      </c>
      <c r="C1483" s="1">
        <v>6195</v>
      </c>
      <c r="D1483" s="1" t="s">
        <v>1054</v>
      </c>
      <c r="F1483" s="1">
        <v>2023</v>
      </c>
      <c r="G1483" s="1" t="s">
        <v>1195</v>
      </c>
      <c r="H1483" s="1">
        <v>500501</v>
      </c>
      <c r="I1483" s="1">
        <v>7</v>
      </c>
      <c r="J1483" s="1" t="s">
        <v>228</v>
      </c>
      <c r="K1483" s="1" t="s">
        <v>81</v>
      </c>
      <c r="L1483" s="1" t="s">
        <v>1823</v>
      </c>
      <c r="M1483" s="1">
        <v>77</v>
      </c>
      <c r="N1483" s="1" t="s">
        <v>39</v>
      </c>
      <c r="O1483" s="1">
        <v>37.151899999999998</v>
      </c>
      <c r="P1483" s="1">
        <v>-93.389200000000002</v>
      </c>
      <c r="Q1483" s="1" t="s">
        <v>1824</v>
      </c>
      <c r="T1483" s="1" t="s">
        <v>93</v>
      </c>
      <c r="U1483" s="1" t="s">
        <v>284</v>
      </c>
      <c r="X1483" s="1" t="s">
        <v>95</v>
      </c>
      <c r="AA1483" s="3">
        <v>30303</v>
      </c>
      <c r="AB1483" s="1" t="s">
        <v>46</v>
      </c>
      <c r="AC1483" s="5">
        <v>376</v>
      </c>
      <c r="AD1483" s="1" t="s">
        <v>3679</v>
      </c>
      <c r="AE1483" s="1" t="str">
        <f t="shared" si="115"/>
        <v>6195 CT2B</v>
      </c>
      <c r="AF1483" s="5" t="str">
        <f t="shared" si="113"/>
        <v>51.6</v>
      </c>
      <c r="AG1483" s="1" t="str">
        <f t="shared" si="114"/>
        <v/>
      </c>
    </row>
    <row r="1484" spans="1:33" x14ac:dyDescent="0.2">
      <c r="A1484" s="1" t="s">
        <v>3253</v>
      </c>
      <c r="B1484" s="1" t="s">
        <v>3680</v>
      </c>
      <c r="C1484" s="1">
        <v>6204</v>
      </c>
      <c r="D1484" s="1">
        <v>1</v>
      </c>
      <c r="F1484" s="1">
        <v>2023</v>
      </c>
      <c r="G1484" s="1" t="s">
        <v>236</v>
      </c>
      <c r="H1484" s="1">
        <v>609771</v>
      </c>
      <c r="I1484" s="1">
        <v>8</v>
      </c>
      <c r="J1484" s="1" t="s">
        <v>207</v>
      </c>
      <c r="K1484" s="1" t="s">
        <v>3449</v>
      </c>
      <c r="L1484" s="1" t="s">
        <v>3681</v>
      </c>
      <c r="M1484" s="1">
        <v>31</v>
      </c>
      <c r="N1484" s="1" t="s">
        <v>39</v>
      </c>
      <c r="O1484" s="1">
        <v>42.110300000000002</v>
      </c>
      <c r="P1484" s="1">
        <v>-104.8828</v>
      </c>
      <c r="Q1484" s="1" t="s">
        <v>3682</v>
      </c>
      <c r="R1484" s="1" t="s">
        <v>41</v>
      </c>
      <c r="S1484" s="1" t="s">
        <v>211</v>
      </c>
      <c r="T1484" s="1" t="s">
        <v>89</v>
      </c>
      <c r="U1484" s="1" t="s">
        <v>55</v>
      </c>
      <c r="W1484" s="1" t="s">
        <v>56</v>
      </c>
      <c r="X1484" s="1" t="s">
        <v>3683</v>
      </c>
      <c r="Y1484" s="1" t="s">
        <v>58</v>
      </c>
      <c r="Z1484" s="1" t="s">
        <v>214</v>
      </c>
      <c r="AA1484" s="3">
        <v>29387</v>
      </c>
      <c r="AB1484" s="1" t="s">
        <v>46</v>
      </c>
      <c r="AC1484" s="5">
        <v>7540</v>
      </c>
      <c r="AD1484" s="1" t="s">
        <v>3684</v>
      </c>
      <c r="AE1484" s="1" t="str">
        <f t="shared" si="115"/>
        <v>6204 1</v>
      </c>
      <c r="AF1484" s="5" t="str">
        <f t="shared" si="113"/>
        <v>570</v>
      </c>
      <c r="AG1484" s="1" t="str">
        <f t="shared" si="114"/>
        <v>Y</v>
      </c>
    </row>
    <row r="1485" spans="1:33" x14ac:dyDescent="0.2">
      <c r="A1485" s="1" t="s">
        <v>3253</v>
      </c>
      <c r="B1485" s="1" t="s">
        <v>3680</v>
      </c>
      <c r="C1485" s="1">
        <v>6204</v>
      </c>
      <c r="D1485" s="1">
        <v>2</v>
      </c>
      <c r="F1485" s="1">
        <v>2023</v>
      </c>
      <c r="G1485" s="1" t="s">
        <v>236</v>
      </c>
      <c r="H1485" s="1">
        <v>609771</v>
      </c>
      <c r="I1485" s="1">
        <v>8</v>
      </c>
      <c r="J1485" s="1" t="s">
        <v>207</v>
      </c>
      <c r="K1485" s="1" t="s">
        <v>3449</v>
      </c>
      <c r="L1485" s="1" t="s">
        <v>3681</v>
      </c>
      <c r="M1485" s="1">
        <v>31</v>
      </c>
      <c r="N1485" s="1" t="s">
        <v>39</v>
      </c>
      <c r="O1485" s="1">
        <v>42.110300000000002</v>
      </c>
      <c r="P1485" s="1">
        <v>-104.8828</v>
      </c>
      <c r="Q1485" s="1" t="s">
        <v>3682</v>
      </c>
      <c r="R1485" s="1" t="s">
        <v>41</v>
      </c>
      <c r="S1485" s="1" t="s">
        <v>211</v>
      </c>
      <c r="T1485" s="1" t="s">
        <v>89</v>
      </c>
      <c r="U1485" s="1" t="s">
        <v>55</v>
      </c>
      <c r="W1485" s="1" t="s">
        <v>56</v>
      </c>
      <c r="X1485" s="1" t="s">
        <v>3685</v>
      </c>
      <c r="Y1485" s="1" t="s">
        <v>58</v>
      </c>
      <c r="Z1485" s="1" t="s">
        <v>214</v>
      </c>
      <c r="AA1485" s="3">
        <v>29752</v>
      </c>
      <c r="AB1485" s="1" t="s">
        <v>46</v>
      </c>
      <c r="AC1485" s="5">
        <v>7000</v>
      </c>
      <c r="AD1485" s="1" t="s">
        <v>3686</v>
      </c>
      <c r="AE1485" s="1" t="str">
        <f t="shared" si="115"/>
        <v>6204 2</v>
      </c>
      <c r="AF1485" s="5" t="str">
        <f t="shared" si="113"/>
        <v>570</v>
      </c>
      <c r="AG1485" s="1" t="str">
        <f t="shared" si="114"/>
        <v>Y</v>
      </c>
    </row>
    <row r="1486" spans="1:33" x14ac:dyDescent="0.2">
      <c r="A1486" s="1" t="s">
        <v>3253</v>
      </c>
      <c r="B1486" s="1" t="s">
        <v>3680</v>
      </c>
      <c r="C1486" s="1">
        <v>6204</v>
      </c>
      <c r="D1486" s="1">
        <v>3</v>
      </c>
      <c r="F1486" s="1">
        <v>2023</v>
      </c>
      <c r="G1486" s="1" t="s">
        <v>236</v>
      </c>
      <c r="H1486" s="1">
        <v>609771</v>
      </c>
      <c r="I1486" s="1">
        <v>8</v>
      </c>
      <c r="J1486" s="1" t="s">
        <v>207</v>
      </c>
      <c r="K1486" s="1" t="s">
        <v>3449</v>
      </c>
      <c r="L1486" s="1" t="s">
        <v>3681</v>
      </c>
      <c r="M1486" s="1">
        <v>31</v>
      </c>
      <c r="N1486" s="1" t="s">
        <v>39</v>
      </c>
      <c r="O1486" s="1">
        <v>42.110300000000002</v>
      </c>
      <c r="P1486" s="1">
        <v>-104.8828</v>
      </c>
      <c r="Q1486" s="1" t="s">
        <v>3682</v>
      </c>
      <c r="R1486" s="1" t="s">
        <v>41</v>
      </c>
      <c r="S1486" s="1" t="s">
        <v>211</v>
      </c>
      <c r="T1486" s="1" t="s">
        <v>89</v>
      </c>
      <c r="U1486" s="1" t="s">
        <v>55</v>
      </c>
      <c r="W1486" s="1" t="s">
        <v>212</v>
      </c>
      <c r="X1486" s="1" t="s">
        <v>3685</v>
      </c>
      <c r="Y1486" s="1" t="s">
        <v>58</v>
      </c>
      <c r="Z1486" s="1" t="s">
        <v>214</v>
      </c>
      <c r="AA1486" s="3">
        <v>30303</v>
      </c>
      <c r="AB1486" s="1" t="s">
        <v>46</v>
      </c>
      <c r="AC1486" s="5">
        <v>7750</v>
      </c>
      <c r="AD1486" s="1" t="s">
        <v>3687</v>
      </c>
      <c r="AE1486" s="1" t="str">
        <f t="shared" si="115"/>
        <v>6204 3</v>
      </c>
      <c r="AF1486" s="5" t="str">
        <f t="shared" si="113"/>
        <v>570</v>
      </c>
      <c r="AG1486" s="1" t="str">
        <f t="shared" si="114"/>
        <v>Y</v>
      </c>
    </row>
    <row r="1487" spans="1:33" x14ac:dyDescent="0.2">
      <c r="A1487" s="1" t="s">
        <v>1071</v>
      </c>
      <c r="B1487" s="1" t="s">
        <v>3688</v>
      </c>
      <c r="C1487" s="1">
        <v>6213</v>
      </c>
      <c r="D1487" s="1" t="s">
        <v>3689</v>
      </c>
      <c r="F1487" s="1">
        <v>2023</v>
      </c>
      <c r="G1487" s="1" t="s">
        <v>1005</v>
      </c>
      <c r="H1487" s="1">
        <v>610496</v>
      </c>
      <c r="I1487" s="1">
        <v>5</v>
      </c>
      <c r="J1487" s="1" t="s">
        <v>169</v>
      </c>
      <c r="K1487" s="1" t="s">
        <v>3690</v>
      </c>
      <c r="L1487" s="1" t="s">
        <v>3691</v>
      </c>
      <c r="M1487" s="1">
        <v>153</v>
      </c>
      <c r="N1487" s="1" t="s">
        <v>39</v>
      </c>
      <c r="O1487" s="1">
        <v>39.069400000000002</v>
      </c>
      <c r="P1487" s="1">
        <v>-87.510800000000003</v>
      </c>
      <c r="Q1487" s="1" t="s">
        <v>3692</v>
      </c>
      <c r="R1487" s="1" t="s">
        <v>41</v>
      </c>
      <c r="S1487" s="1" t="s">
        <v>211</v>
      </c>
      <c r="T1487" s="1" t="s">
        <v>319</v>
      </c>
      <c r="U1487" s="1" t="s">
        <v>55</v>
      </c>
      <c r="W1487" s="1" t="s">
        <v>56</v>
      </c>
      <c r="X1487" s="1" t="s">
        <v>297</v>
      </c>
      <c r="Y1487" s="1" t="s">
        <v>58</v>
      </c>
      <c r="Z1487" s="1" t="s">
        <v>344</v>
      </c>
      <c r="AA1487" s="3">
        <v>30560</v>
      </c>
      <c r="AB1487" s="1" t="s">
        <v>46</v>
      </c>
      <c r="AC1487" s="5">
        <v>5800</v>
      </c>
      <c r="AD1487" s="1" t="s">
        <v>3693</v>
      </c>
      <c r="AE1487" s="1" t="str">
        <f t="shared" si="115"/>
        <v>6213 1SG1</v>
      </c>
      <c r="AF1487" s="5" t="str">
        <f t="shared" si="113"/>
        <v>540</v>
      </c>
      <c r="AG1487" s="1" t="str">
        <f t="shared" si="114"/>
        <v>Y</v>
      </c>
    </row>
    <row r="1488" spans="1:33" x14ac:dyDescent="0.2">
      <c r="A1488" s="1" t="s">
        <v>1071</v>
      </c>
      <c r="B1488" s="1" t="s">
        <v>3688</v>
      </c>
      <c r="C1488" s="1">
        <v>6213</v>
      </c>
      <c r="D1488" s="1" t="s">
        <v>3694</v>
      </c>
      <c r="F1488" s="1">
        <v>2023</v>
      </c>
      <c r="G1488" s="1" t="s">
        <v>1005</v>
      </c>
      <c r="H1488" s="1">
        <v>610496</v>
      </c>
      <c r="I1488" s="1">
        <v>5</v>
      </c>
      <c r="J1488" s="1" t="s">
        <v>169</v>
      </c>
      <c r="K1488" s="1" t="s">
        <v>3690</v>
      </c>
      <c r="L1488" s="1" t="s">
        <v>3691</v>
      </c>
      <c r="M1488" s="1">
        <v>153</v>
      </c>
      <c r="N1488" s="1" t="s">
        <v>39</v>
      </c>
      <c r="O1488" s="1">
        <v>39.069400000000002</v>
      </c>
      <c r="P1488" s="1">
        <v>-87.510800000000003</v>
      </c>
      <c r="Q1488" s="1" t="s">
        <v>3692</v>
      </c>
      <c r="R1488" s="1" t="s">
        <v>41</v>
      </c>
      <c r="S1488" s="1" t="s">
        <v>211</v>
      </c>
      <c r="T1488" s="1" t="s">
        <v>319</v>
      </c>
      <c r="U1488" s="1" t="s">
        <v>55</v>
      </c>
      <c r="W1488" s="1" t="s">
        <v>56</v>
      </c>
      <c r="X1488" s="1" t="s">
        <v>297</v>
      </c>
      <c r="Y1488" s="1" t="s">
        <v>58</v>
      </c>
      <c r="Z1488" s="1" t="s">
        <v>344</v>
      </c>
      <c r="AA1488" s="3">
        <v>29983</v>
      </c>
      <c r="AB1488" s="1" t="s">
        <v>46</v>
      </c>
      <c r="AC1488" s="5">
        <v>7000</v>
      </c>
      <c r="AD1488" s="1" t="s">
        <v>3695</v>
      </c>
      <c r="AE1488" s="1" t="str">
        <f t="shared" si="115"/>
        <v>6213 2SG1</v>
      </c>
      <c r="AF1488" s="5" t="str">
        <f t="shared" ref="AF1488:AF1519" si="116">MID(AD1488,FIND("(",AD1488)+1,FIND(")",AD1488)-FIND("(",AD1488)-1)</f>
        <v>540</v>
      </c>
      <c r="AG1488" s="1" t="str">
        <f t="shared" si="114"/>
        <v>Y</v>
      </c>
    </row>
    <row r="1489" spans="1:33" x14ac:dyDescent="0.2">
      <c r="A1489" s="1" t="s">
        <v>1755</v>
      </c>
      <c r="B1489" s="1" t="s">
        <v>3696</v>
      </c>
      <c r="C1489" s="1">
        <v>6223</v>
      </c>
      <c r="D1489" s="1">
        <v>1</v>
      </c>
      <c r="F1489" s="1">
        <v>2023</v>
      </c>
      <c r="G1489" s="1" t="s">
        <v>1195</v>
      </c>
      <c r="H1489" s="1" t="s">
        <v>1274</v>
      </c>
      <c r="I1489" s="1">
        <v>7</v>
      </c>
      <c r="J1489" s="1" t="s">
        <v>228</v>
      </c>
      <c r="K1489" s="1" t="s">
        <v>3326</v>
      </c>
      <c r="L1489" s="1" t="s">
        <v>3697</v>
      </c>
      <c r="M1489" s="1">
        <v>97</v>
      </c>
      <c r="N1489" s="1" t="s">
        <v>39</v>
      </c>
      <c r="O1489" s="1">
        <v>37.138500000000001</v>
      </c>
      <c r="P1489" s="1">
        <v>-94.104100000000003</v>
      </c>
      <c r="Q1489" s="1" t="s">
        <v>1277</v>
      </c>
      <c r="T1489" s="1" t="s">
        <v>93</v>
      </c>
      <c r="U1489" s="1" t="s">
        <v>44</v>
      </c>
      <c r="V1489" s="1" t="s">
        <v>94</v>
      </c>
      <c r="X1489" s="1" t="s">
        <v>95</v>
      </c>
      <c r="AA1489" s="3">
        <v>28545</v>
      </c>
      <c r="AB1489" s="1" t="s">
        <v>46</v>
      </c>
      <c r="AC1489" s="5">
        <v>1336.9</v>
      </c>
      <c r="AD1489" s="1" t="s">
        <v>3698</v>
      </c>
      <c r="AE1489" s="1" t="str">
        <f t="shared" si="115"/>
        <v>6223 1</v>
      </c>
      <c r="AF1489" s="5" t="str">
        <f t="shared" si="116"/>
        <v>129</v>
      </c>
      <c r="AG1489" s="1" t="str">
        <f t="shared" si="114"/>
        <v/>
      </c>
    </row>
    <row r="1490" spans="1:33" x14ac:dyDescent="0.2">
      <c r="A1490" s="1" t="s">
        <v>1755</v>
      </c>
      <c r="B1490" s="1" t="s">
        <v>3696</v>
      </c>
      <c r="C1490" s="1">
        <v>6223</v>
      </c>
      <c r="D1490" s="1">
        <v>2</v>
      </c>
      <c r="F1490" s="1">
        <v>2023</v>
      </c>
      <c r="G1490" s="1" t="s">
        <v>1195</v>
      </c>
      <c r="H1490" s="1" t="s">
        <v>1274</v>
      </c>
      <c r="I1490" s="1">
        <v>7</v>
      </c>
      <c r="J1490" s="1" t="s">
        <v>228</v>
      </c>
      <c r="K1490" s="1" t="s">
        <v>3326</v>
      </c>
      <c r="L1490" s="1" t="s">
        <v>3697</v>
      </c>
      <c r="M1490" s="1">
        <v>97</v>
      </c>
      <c r="N1490" s="1" t="s">
        <v>39</v>
      </c>
      <c r="O1490" s="1">
        <v>37.138500000000001</v>
      </c>
      <c r="P1490" s="1">
        <v>-94.104100000000003</v>
      </c>
      <c r="Q1490" s="1" t="s">
        <v>1277</v>
      </c>
      <c r="T1490" s="1" t="s">
        <v>93</v>
      </c>
      <c r="U1490" s="1" t="s">
        <v>44</v>
      </c>
      <c r="V1490" s="1" t="s">
        <v>94</v>
      </c>
      <c r="X1490" s="1" t="s">
        <v>95</v>
      </c>
      <c r="AA1490" s="3">
        <v>29711</v>
      </c>
      <c r="AB1490" s="1" t="s">
        <v>46</v>
      </c>
      <c r="AC1490" s="5">
        <v>1352.6</v>
      </c>
      <c r="AD1490" s="1" t="s">
        <v>3699</v>
      </c>
      <c r="AE1490" s="1" t="str">
        <f t="shared" si="115"/>
        <v>6223 2</v>
      </c>
      <c r="AF1490" s="5" t="str">
        <f t="shared" si="116"/>
        <v>129</v>
      </c>
      <c r="AG1490" s="1" t="str">
        <f t="shared" si="114"/>
        <v/>
      </c>
    </row>
    <row r="1491" spans="1:33" x14ac:dyDescent="0.2">
      <c r="A1491" s="1" t="s">
        <v>1755</v>
      </c>
      <c r="B1491" s="1" t="s">
        <v>3696</v>
      </c>
      <c r="C1491" s="1">
        <v>6223</v>
      </c>
      <c r="D1491" s="1" t="s">
        <v>379</v>
      </c>
      <c r="F1491" s="1">
        <v>2023</v>
      </c>
      <c r="G1491" s="1" t="s">
        <v>1207</v>
      </c>
      <c r="H1491" s="1" t="s">
        <v>1274</v>
      </c>
      <c r="I1491" s="1">
        <v>7</v>
      </c>
      <c r="J1491" s="1" t="s">
        <v>228</v>
      </c>
      <c r="K1491" s="1" t="s">
        <v>3326</v>
      </c>
      <c r="L1491" s="1" t="s">
        <v>3697</v>
      </c>
      <c r="M1491" s="1">
        <v>97</v>
      </c>
      <c r="N1491" s="1" t="s">
        <v>39</v>
      </c>
      <c r="O1491" s="1">
        <v>37.138500000000001</v>
      </c>
      <c r="P1491" s="1">
        <v>-94.104100000000003</v>
      </c>
      <c r="Q1491" s="1" t="s">
        <v>1277</v>
      </c>
      <c r="R1491" s="1" t="s">
        <v>41</v>
      </c>
      <c r="T1491" s="1" t="s">
        <v>93</v>
      </c>
      <c r="U1491" s="1" t="s">
        <v>44</v>
      </c>
      <c r="V1491" s="1" t="s">
        <v>94</v>
      </c>
      <c r="X1491" s="1" t="s">
        <v>95</v>
      </c>
      <c r="AA1491" s="3">
        <v>37695</v>
      </c>
      <c r="AB1491" s="1" t="s">
        <v>46</v>
      </c>
      <c r="AC1491" s="5">
        <v>313</v>
      </c>
      <c r="AD1491" s="1" t="s">
        <v>3604</v>
      </c>
      <c r="AE1491" s="1" t="str">
        <f t="shared" si="115"/>
        <v>6223 3A</v>
      </c>
      <c r="AF1491" s="5" t="str">
        <f t="shared" si="116"/>
        <v>60.5</v>
      </c>
      <c r="AG1491" s="1" t="str">
        <f t="shared" si="114"/>
        <v/>
      </c>
    </row>
    <row r="1492" spans="1:33" x14ac:dyDescent="0.2">
      <c r="A1492" s="1" t="s">
        <v>1755</v>
      </c>
      <c r="B1492" s="1" t="s">
        <v>3696</v>
      </c>
      <c r="C1492" s="1">
        <v>6223</v>
      </c>
      <c r="D1492" s="1" t="s">
        <v>965</v>
      </c>
      <c r="F1492" s="1">
        <v>2023</v>
      </c>
      <c r="G1492" s="1" t="s">
        <v>1207</v>
      </c>
      <c r="H1492" s="1" t="s">
        <v>1274</v>
      </c>
      <c r="I1492" s="1">
        <v>7</v>
      </c>
      <c r="J1492" s="1" t="s">
        <v>228</v>
      </c>
      <c r="K1492" s="1" t="s">
        <v>3326</v>
      </c>
      <c r="L1492" s="1" t="s">
        <v>3697</v>
      </c>
      <c r="M1492" s="1">
        <v>97</v>
      </c>
      <c r="N1492" s="1" t="s">
        <v>39</v>
      </c>
      <c r="O1492" s="1">
        <v>37.138500000000001</v>
      </c>
      <c r="P1492" s="1">
        <v>-94.104100000000003</v>
      </c>
      <c r="Q1492" s="1" t="s">
        <v>1277</v>
      </c>
      <c r="R1492" s="1" t="s">
        <v>41</v>
      </c>
      <c r="T1492" s="1" t="s">
        <v>93</v>
      </c>
      <c r="U1492" s="1" t="s">
        <v>44</v>
      </c>
      <c r="V1492" s="1" t="s">
        <v>94</v>
      </c>
      <c r="X1492" s="1" t="s">
        <v>95</v>
      </c>
      <c r="AA1492" s="3">
        <v>37695</v>
      </c>
      <c r="AB1492" s="1" t="s">
        <v>46</v>
      </c>
      <c r="AC1492" s="5">
        <v>313</v>
      </c>
      <c r="AD1492" s="1" t="s">
        <v>3604</v>
      </c>
      <c r="AE1492" s="1" t="str">
        <f t="shared" si="115"/>
        <v>6223 3B</v>
      </c>
      <c r="AF1492" s="5" t="str">
        <f t="shared" si="116"/>
        <v>60.5</v>
      </c>
      <c r="AG1492" s="1" t="str">
        <f t="shared" si="114"/>
        <v/>
      </c>
    </row>
    <row r="1493" spans="1:33" x14ac:dyDescent="0.2">
      <c r="A1493" s="1" t="s">
        <v>1755</v>
      </c>
      <c r="B1493" s="1" t="s">
        <v>3696</v>
      </c>
      <c r="C1493" s="1">
        <v>6223</v>
      </c>
      <c r="D1493" s="1" t="s">
        <v>381</v>
      </c>
      <c r="F1493" s="1">
        <v>2023</v>
      </c>
      <c r="G1493" s="1" t="s">
        <v>1207</v>
      </c>
      <c r="H1493" s="1" t="s">
        <v>1274</v>
      </c>
      <c r="I1493" s="1">
        <v>7</v>
      </c>
      <c r="J1493" s="1" t="s">
        <v>228</v>
      </c>
      <c r="K1493" s="1" t="s">
        <v>3326</v>
      </c>
      <c r="L1493" s="1" t="s">
        <v>3697</v>
      </c>
      <c r="M1493" s="1">
        <v>97</v>
      </c>
      <c r="N1493" s="1" t="s">
        <v>39</v>
      </c>
      <c r="O1493" s="1">
        <v>37.138500000000001</v>
      </c>
      <c r="P1493" s="1">
        <v>-94.104100000000003</v>
      </c>
      <c r="Q1493" s="1" t="s">
        <v>1277</v>
      </c>
      <c r="R1493" s="1" t="s">
        <v>41</v>
      </c>
      <c r="T1493" s="1" t="s">
        <v>93</v>
      </c>
      <c r="U1493" s="1" t="s">
        <v>44</v>
      </c>
      <c r="V1493" s="1" t="s">
        <v>94</v>
      </c>
      <c r="X1493" s="1" t="s">
        <v>95</v>
      </c>
      <c r="AA1493" s="3">
        <v>37712</v>
      </c>
      <c r="AB1493" s="1" t="s">
        <v>46</v>
      </c>
      <c r="AC1493" s="5">
        <v>313</v>
      </c>
      <c r="AD1493" s="1" t="s">
        <v>991</v>
      </c>
      <c r="AE1493" s="1" t="str">
        <f t="shared" si="115"/>
        <v>6223 4A</v>
      </c>
      <c r="AF1493" s="5" t="str">
        <f t="shared" si="116"/>
        <v>60.5</v>
      </c>
      <c r="AG1493" s="1" t="str">
        <f t="shared" si="114"/>
        <v/>
      </c>
    </row>
    <row r="1494" spans="1:33" x14ac:dyDescent="0.2">
      <c r="A1494" s="1" t="s">
        <v>1755</v>
      </c>
      <c r="B1494" s="1" t="s">
        <v>3696</v>
      </c>
      <c r="C1494" s="1">
        <v>6223</v>
      </c>
      <c r="D1494" s="1" t="s">
        <v>815</v>
      </c>
      <c r="F1494" s="1">
        <v>2023</v>
      </c>
      <c r="G1494" s="1" t="s">
        <v>1207</v>
      </c>
      <c r="H1494" s="1" t="s">
        <v>1274</v>
      </c>
      <c r="I1494" s="1">
        <v>7</v>
      </c>
      <c r="J1494" s="1" t="s">
        <v>228</v>
      </c>
      <c r="K1494" s="1" t="s">
        <v>3326</v>
      </c>
      <c r="L1494" s="1" t="s">
        <v>3697</v>
      </c>
      <c r="M1494" s="1">
        <v>97</v>
      </c>
      <c r="N1494" s="1" t="s">
        <v>39</v>
      </c>
      <c r="O1494" s="1">
        <v>37.138500000000001</v>
      </c>
      <c r="P1494" s="1">
        <v>-94.104100000000003</v>
      </c>
      <c r="Q1494" s="1" t="s">
        <v>1277</v>
      </c>
      <c r="R1494" s="1" t="s">
        <v>41</v>
      </c>
      <c r="T1494" s="1" t="s">
        <v>93</v>
      </c>
      <c r="U1494" s="1" t="s">
        <v>44</v>
      </c>
      <c r="V1494" s="1" t="s">
        <v>94</v>
      </c>
      <c r="X1494" s="1" t="s">
        <v>95</v>
      </c>
      <c r="AA1494" s="3">
        <v>37712</v>
      </c>
      <c r="AB1494" s="1" t="s">
        <v>46</v>
      </c>
      <c r="AC1494" s="5">
        <v>315</v>
      </c>
      <c r="AD1494" s="1" t="s">
        <v>991</v>
      </c>
      <c r="AE1494" s="1" t="str">
        <f t="shared" si="115"/>
        <v>6223 4B</v>
      </c>
      <c r="AF1494" s="5" t="str">
        <f t="shared" si="116"/>
        <v>60.5</v>
      </c>
      <c r="AG1494" s="1" t="str">
        <f t="shared" si="114"/>
        <v/>
      </c>
    </row>
    <row r="1495" spans="1:33" x14ac:dyDescent="0.2">
      <c r="A1495" s="1" t="s">
        <v>383</v>
      </c>
      <c r="B1495" s="1" t="s">
        <v>3700</v>
      </c>
      <c r="C1495" s="1">
        <v>6243</v>
      </c>
      <c r="D1495" s="1">
        <v>1</v>
      </c>
      <c r="F1495" s="1">
        <v>2023</v>
      </c>
      <c r="G1495" s="1" t="s">
        <v>346</v>
      </c>
      <c r="H1495" s="1">
        <v>606822</v>
      </c>
      <c r="I1495" s="1">
        <v>6</v>
      </c>
      <c r="J1495" s="1" t="s">
        <v>387</v>
      </c>
      <c r="K1495" s="1" t="s">
        <v>3701</v>
      </c>
      <c r="L1495" s="1" t="s">
        <v>3702</v>
      </c>
      <c r="M1495" s="1">
        <v>41</v>
      </c>
      <c r="N1495" s="1" t="s">
        <v>39</v>
      </c>
      <c r="O1495" s="1">
        <v>30.721699999999998</v>
      </c>
      <c r="P1495" s="1">
        <v>-96.459900000000005</v>
      </c>
      <c r="Q1495" s="1" t="s">
        <v>3703</v>
      </c>
      <c r="R1495" s="1" t="s">
        <v>41</v>
      </c>
      <c r="T1495" s="1" t="s">
        <v>89</v>
      </c>
      <c r="U1495" s="1" t="s">
        <v>44</v>
      </c>
      <c r="V1495" s="1" t="s">
        <v>94</v>
      </c>
      <c r="X1495" s="1" t="s">
        <v>220</v>
      </c>
      <c r="AA1495" s="3">
        <v>28734</v>
      </c>
      <c r="AB1495" s="1" t="s">
        <v>46</v>
      </c>
      <c r="AC1495" s="5">
        <v>1300</v>
      </c>
      <c r="AD1495" s="1" t="s">
        <v>3704</v>
      </c>
      <c r="AE1495" s="1" t="str">
        <f t="shared" si="115"/>
        <v>6243 1</v>
      </c>
      <c r="AF1495" s="5" t="str">
        <f t="shared" si="116"/>
        <v>105</v>
      </c>
      <c r="AG1495" s="1" t="str">
        <f t="shared" si="114"/>
        <v/>
      </c>
    </row>
    <row r="1496" spans="1:33" x14ac:dyDescent="0.2">
      <c r="A1496" s="1" t="s">
        <v>383</v>
      </c>
      <c r="B1496" s="1" t="s">
        <v>3700</v>
      </c>
      <c r="C1496" s="1">
        <v>6243</v>
      </c>
      <c r="D1496" s="1">
        <v>2</v>
      </c>
      <c r="F1496" s="1">
        <v>2023</v>
      </c>
      <c r="G1496" s="1" t="s">
        <v>346</v>
      </c>
      <c r="H1496" s="1">
        <v>606822</v>
      </c>
      <c r="I1496" s="1">
        <v>6</v>
      </c>
      <c r="J1496" s="1" t="s">
        <v>387</v>
      </c>
      <c r="K1496" s="1" t="s">
        <v>3701</v>
      </c>
      <c r="L1496" s="1" t="s">
        <v>3702</v>
      </c>
      <c r="M1496" s="1">
        <v>41</v>
      </c>
      <c r="N1496" s="1" t="s">
        <v>39</v>
      </c>
      <c r="O1496" s="1">
        <v>30.721699999999998</v>
      </c>
      <c r="P1496" s="1">
        <v>-96.459900000000005</v>
      </c>
      <c r="Q1496" s="1" t="s">
        <v>3703</v>
      </c>
      <c r="R1496" s="1" t="s">
        <v>41</v>
      </c>
      <c r="T1496" s="1" t="s">
        <v>93</v>
      </c>
      <c r="U1496" s="1" t="s">
        <v>44</v>
      </c>
      <c r="X1496" s="1" t="s">
        <v>176</v>
      </c>
      <c r="AA1496" s="3">
        <v>37967</v>
      </c>
      <c r="AB1496" s="1" t="s">
        <v>46</v>
      </c>
      <c r="AC1496" s="5">
        <v>500</v>
      </c>
      <c r="AD1496" s="1" t="s">
        <v>3705</v>
      </c>
      <c r="AE1496" s="1" t="str">
        <f t="shared" si="115"/>
        <v>6243 2</v>
      </c>
      <c r="AF1496" s="5" t="str">
        <f t="shared" si="116"/>
        <v>50</v>
      </c>
      <c r="AG1496" s="1" t="str">
        <f t="shared" si="114"/>
        <v>Y</v>
      </c>
    </row>
    <row r="1497" spans="1:33" x14ac:dyDescent="0.2">
      <c r="A1497" s="1" t="s">
        <v>383</v>
      </c>
      <c r="B1497" s="1" t="s">
        <v>3700</v>
      </c>
      <c r="C1497" s="1">
        <v>6243</v>
      </c>
      <c r="D1497" s="1">
        <v>3</v>
      </c>
      <c r="F1497" s="1">
        <v>2023</v>
      </c>
      <c r="G1497" s="1" t="s">
        <v>346</v>
      </c>
      <c r="H1497" s="1">
        <v>606822</v>
      </c>
      <c r="I1497" s="1">
        <v>6</v>
      </c>
      <c r="J1497" s="1" t="s">
        <v>387</v>
      </c>
      <c r="K1497" s="1" t="s">
        <v>3701</v>
      </c>
      <c r="L1497" s="1" t="s">
        <v>3702</v>
      </c>
      <c r="M1497" s="1">
        <v>41</v>
      </c>
      <c r="N1497" s="1" t="s">
        <v>39</v>
      </c>
      <c r="O1497" s="1">
        <v>30.721699999999998</v>
      </c>
      <c r="P1497" s="1">
        <v>-96.459900000000005</v>
      </c>
      <c r="Q1497" s="1" t="s">
        <v>3703</v>
      </c>
      <c r="R1497" s="1" t="s">
        <v>41</v>
      </c>
      <c r="T1497" s="1" t="s">
        <v>93</v>
      </c>
      <c r="U1497" s="1" t="s">
        <v>44</v>
      </c>
      <c r="V1497" s="1" t="s">
        <v>94</v>
      </c>
      <c r="X1497" s="1" t="s">
        <v>176</v>
      </c>
      <c r="AA1497" s="3">
        <v>40197</v>
      </c>
      <c r="AB1497" s="1" t="s">
        <v>46</v>
      </c>
      <c r="AC1497" s="5">
        <v>932</v>
      </c>
      <c r="AD1497" s="1" t="s">
        <v>1206</v>
      </c>
      <c r="AE1497" s="1" t="str">
        <f t="shared" si="115"/>
        <v>6243 3</v>
      </c>
      <c r="AF1497" s="5" t="str">
        <f t="shared" si="116"/>
        <v>50</v>
      </c>
      <c r="AG1497" s="1" t="str">
        <f t="shared" si="114"/>
        <v>Y</v>
      </c>
    </row>
    <row r="1498" spans="1:33" x14ac:dyDescent="0.2">
      <c r="A1498" s="1" t="s">
        <v>516</v>
      </c>
      <c r="B1498" s="1" t="s">
        <v>3706</v>
      </c>
      <c r="C1498" s="1">
        <v>6248</v>
      </c>
      <c r="D1498" s="1">
        <v>1</v>
      </c>
      <c r="F1498" s="1">
        <v>2023</v>
      </c>
      <c r="G1498" s="1" t="s">
        <v>236</v>
      </c>
      <c r="H1498" s="1">
        <v>608791</v>
      </c>
      <c r="I1498" s="1">
        <v>8</v>
      </c>
      <c r="J1498" s="1" t="s">
        <v>237</v>
      </c>
      <c r="K1498" s="1" t="s">
        <v>1098</v>
      </c>
      <c r="L1498" s="1" t="s">
        <v>3707</v>
      </c>
      <c r="M1498" s="1">
        <v>87</v>
      </c>
      <c r="N1498" s="1" t="s">
        <v>39</v>
      </c>
      <c r="O1498" s="1">
        <v>40.221699999999998</v>
      </c>
      <c r="P1498" s="1">
        <v>-103.6803</v>
      </c>
      <c r="Q1498" s="1" t="s">
        <v>519</v>
      </c>
      <c r="R1498" s="1" t="s">
        <v>41</v>
      </c>
      <c r="S1498" s="1" t="s">
        <v>211</v>
      </c>
      <c r="T1498" s="1" t="s">
        <v>89</v>
      </c>
      <c r="U1498" s="1" t="s">
        <v>55</v>
      </c>
      <c r="V1498" s="1" t="s">
        <v>284</v>
      </c>
      <c r="W1498" s="1" t="s">
        <v>212</v>
      </c>
      <c r="X1498" s="1" t="s">
        <v>563</v>
      </c>
      <c r="Y1498" s="1" t="s">
        <v>232</v>
      </c>
      <c r="Z1498" s="1" t="s">
        <v>214</v>
      </c>
      <c r="AA1498" s="3">
        <v>29922</v>
      </c>
      <c r="AB1498" s="1" t="s">
        <v>46</v>
      </c>
      <c r="AC1498" s="5">
        <v>6700</v>
      </c>
      <c r="AD1498" s="1" t="s">
        <v>3708</v>
      </c>
      <c r="AE1498" s="1" t="str">
        <f t="shared" si="115"/>
        <v>6248 1</v>
      </c>
      <c r="AF1498" s="5" t="str">
        <f t="shared" si="116"/>
        <v>547</v>
      </c>
      <c r="AG1498" s="1" t="str">
        <f t="shared" si="114"/>
        <v>Y</v>
      </c>
    </row>
    <row r="1499" spans="1:33" x14ac:dyDescent="0.2">
      <c r="A1499" s="1" t="s">
        <v>291</v>
      </c>
      <c r="B1499" s="1" t="s">
        <v>3709</v>
      </c>
      <c r="C1499" s="1">
        <v>6249</v>
      </c>
      <c r="D1499" s="1">
        <v>1</v>
      </c>
      <c r="F1499" s="1">
        <v>2023</v>
      </c>
      <c r="G1499" s="1" t="s">
        <v>293</v>
      </c>
      <c r="H1499" s="1">
        <v>610491</v>
      </c>
      <c r="I1499" s="1">
        <v>4</v>
      </c>
      <c r="J1499" s="1" t="s">
        <v>36</v>
      </c>
      <c r="K1499" s="1" t="s">
        <v>3710</v>
      </c>
      <c r="L1499" s="1" t="s">
        <v>3711</v>
      </c>
      <c r="M1499" s="1">
        <v>43</v>
      </c>
      <c r="N1499" s="1" t="s">
        <v>39</v>
      </c>
      <c r="O1499" s="1">
        <v>33.330300000000001</v>
      </c>
      <c r="P1499" s="1">
        <v>-79.361099999999993</v>
      </c>
      <c r="Q1499" s="1" t="s">
        <v>296</v>
      </c>
      <c r="R1499" s="1" t="s">
        <v>41</v>
      </c>
      <c r="S1499" s="1" t="s">
        <v>42</v>
      </c>
      <c r="T1499" s="1" t="s">
        <v>89</v>
      </c>
      <c r="U1499" s="1" t="s">
        <v>55</v>
      </c>
      <c r="W1499" s="1" t="s">
        <v>56</v>
      </c>
      <c r="X1499" s="1" t="s">
        <v>563</v>
      </c>
      <c r="Y1499" s="1" t="s">
        <v>58</v>
      </c>
      <c r="AA1499" s="3">
        <v>27454</v>
      </c>
      <c r="AB1499" s="1" t="s">
        <v>46</v>
      </c>
      <c r="AC1499" s="5">
        <v>3224</v>
      </c>
      <c r="AD1499" s="1" t="s">
        <v>3712</v>
      </c>
      <c r="AE1499" s="1" t="str">
        <f t="shared" si="115"/>
        <v>6249 1</v>
      </c>
      <c r="AF1499" s="5" t="str">
        <f t="shared" si="116"/>
        <v>315</v>
      </c>
      <c r="AG1499" s="1" t="str">
        <f t="shared" si="114"/>
        <v>Y</v>
      </c>
    </row>
    <row r="1500" spans="1:33" x14ac:dyDescent="0.2">
      <c r="A1500" s="1" t="s">
        <v>291</v>
      </c>
      <c r="B1500" s="1" t="s">
        <v>3709</v>
      </c>
      <c r="C1500" s="1">
        <v>6249</v>
      </c>
      <c r="D1500" s="1">
        <v>2</v>
      </c>
      <c r="F1500" s="1">
        <v>2023</v>
      </c>
      <c r="G1500" s="1" t="s">
        <v>293</v>
      </c>
      <c r="H1500" s="1">
        <v>610491</v>
      </c>
      <c r="I1500" s="1">
        <v>4</v>
      </c>
      <c r="J1500" s="1" t="s">
        <v>36</v>
      </c>
      <c r="K1500" s="1" t="s">
        <v>3710</v>
      </c>
      <c r="L1500" s="1" t="s">
        <v>3711</v>
      </c>
      <c r="M1500" s="1">
        <v>43</v>
      </c>
      <c r="N1500" s="1" t="s">
        <v>39</v>
      </c>
      <c r="O1500" s="1">
        <v>33.330300000000001</v>
      </c>
      <c r="P1500" s="1">
        <v>-79.361099999999993</v>
      </c>
      <c r="Q1500" s="1" t="s">
        <v>296</v>
      </c>
      <c r="R1500" s="1" t="s">
        <v>41</v>
      </c>
      <c r="S1500" s="1" t="s">
        <v>42</v>
      </c>
      <c r="T1500" s="1" t="s">
        <v>319</v>
      </c>
      <c r="U1500" s="1" t="s">
        <v>55</v>
      </c>
      <c r="W1500" s="1" t="s">
        <v>56</v>
      </c>
      <c r="X1500" s="1" t="s">
        <v>1010</v>
      </c>
      <c r="Y1500" s="1" t="s">
        <v>58</v>
      </c>
      <c r="AA1500" s="3">
        <v>28307</v>
      </c>
      <c r="AB1500" s="1" t="s">
        <v>46</v>
      </c>
      <c r="AC1500" s="5">
        <v>3858</v>
      </c>
      <c r="AD1500" s="1" t="s">
        <v>3713</v>
      </c>
      <c r="AE1500" s="1" t="str">
        <f t="shared" si="115"/>
        <v>6249 2</v>
      </c>
      <c r="AF1500" s="5" t="str">
        <f t="shared" si="116"/>
        <v>315</v>
      </c>
      <c r="AG1500" s="1" t="str">
        <f t="shared" si="114"/>
        <v>Y</v>
      </c>
    </row>
    <row r="1501" spans="1:33" x14ac:dyDescent="0.2">
      <c r="A1501" s="1" t="s">
        <v>291</v>
      </c>
      <c r="B1501" s="1" t="s">
        <v>3709</v>
      </c>
      <c r="C1501" s="1">
        <v>6249</v>
      </c>
      <c r="D1501" s="1">
        <v>3</v>
      </c>
      <c r="F1501" s="1">
        <v>2023</v>
      </c>
      <c r="G1501" s="1" t="s">
        <v>293</v>
      </c>
      <c r="H1501" s="1">
        <v>610491</v>
      </c>
      <c r="I1501" s="1">
        <v>4</v>
      </c>
      <c r="J1501" s="1" t="s">
        <v>36</v>
      </c>
      <c r="K1501" s="1" t="s">
        <v>3710</v>
      </c>
      <c r="L1501" s="1" t="s">
        <v>3711</v>
      </c>
      <c r="M1501" s="1">
        <v>43</v>
      </c>
      <c r="N1501" s="1" t="s">
        <v>39</v>
      </c>
      <c r="O1501" s="1">
        <v>33.330300000000001</v>
      </c>
      <c r="P1501" s="1">
        <v>-79.361099999999993</v>
      </c>
      <c r="Q1501" s="1" t="s">
        <v>296</v>
      </c>
      <c r="R1501" s="1" t="s">
        <v>41</v>
      </c>
      <c r="S1501" s="1" t="s">
        <v>42</v>
      </c>
      <c r="T1501" s="1" t="s">
        <v>319</v>
      </c>
      <c r="U1501" s="1" t="s">
        <v>55</v>
      </c>
      <c r="W1501" s="1" t="s">
        <v>56</v>
      </c>
      <c r="X1501" s="1" t="s">
        <v>223</v>
      </c>
      <c r="Y1501" s="1" t="s">
        <v>58</v>
      </c>
      <c r="AA1501" s="3">
        <v>29342</v>
      </c>
      <c r="AB1501" s="1" t="s">
        <v>46</v>
      </c>
      <c r="AC1501" s="5">
        <v>3864</v>
      </c>
      <c r="AD1501" s="1" t="s">
        <v>3714</v>
      </c>
      <c r="AE1501" s="1" t="str">
        <f t="shared" si="115"/>
        <v>6249 3</v>
      </c>
      <c r="AF1501" s="5" t="str">
        <f t="shared" si="116"/>
        <v>315</v>
      </c>
      <c r="AG1501" s="1" t="str">
        <f t="shared" si="114"/>
        <v>Y</v>
      </c>
    </row>
    <row r="1502" spans="1:33" x14ac:dyDescent="0.2">
      <c r="A1502" s="1" t="s">
        <v>291</v>
      </c>
      <c r="B1502" s="1" t="s">
        <v>3709</v>
      </c>
      <c r="C1502" s="1">
        <v>6249</v>
      </c>
      <c r="D1502" s="1">
        <v>4</v>
      </c>
      <c r="F1502" s="1">
        <v>2023</v>
      </c>
      <c r="G1502" s="1" t="s">
        <v>293</v>
      </c>
      <c r="H1502" s="1">
        <v>610491</v>
      </c>
      <c r="I1502" s="1">
        <v>4</v>
      </c>
      <c r="J1502" s="1" t="s">
        <v>36</v>
      </c>
      <c r="K1502" s="1" t="s">
        <v>3710</v>
      </c>
      <c r="L1502" s="1" t="s">
        <v>3711</v>
      </c>
      <c r="M1502" s="1">
        <v>43</v>
      </c>
      <c r="N1502" s="1" t="s">
        <v>39</v>
      </c>
      <c r="O1502" s="1">
        <v>33.330300000000001</v>
      </c>
      <c r="P1502" s="1">
        <v>-79.361099999999993</v>
      </c>
      <c r="Q1502" s="1" t="s">
        <v>296</v>
      </c>
      <c r="R1502" s="1" t="s">
        <v>41</v>
      </c>
      <c r="S1502" s="1" t="s">
        <v>42</v>
      </c>
      <c r="T1502" s="1" t="s">
        <v>319</v>
      </c>
      <c r="U1502" s="1" t="s">
        <v>55</v>
      </c>
      <c r="W1502" s="1" t="s">
        <v>56</v>
      </c>
      <c r="X1502" s="1" t="s">
        <v>223</v>
      </c>
      <c r="Y1502" s="1" t="s">
        <v>58</v>
      </c>
      <c r="AA1502" s="3">
        <v>29891</v>
      </c>
      <c r="AB1502" s="1" t="s">
        <v>46</v>
      </c>
      <c r="AC1502" s="5">
        <v>3605</v>
      </c>
      <c r="AD1502" s="1" t="s">
        <v>3715</v>
      </c>
      <c r="AE1502" s="1" t="str">
        <f t="shared" si="115"/>
        <v>6249 4</v>
      </c>
      <c r="AF1502" s="5" t="str">
        <f t="shared" si="116"/>
        <v>315</v>
      </c>
      <c r="AG1502" s="1" t="str">
        <f t="shared" si="114"/>
        <v>Y</v>
      </c>
    </row>
    <row r="1503" spans="1:33" x14ac:dyDescent="0.2">
      <c r="A1503" s="1" t="s">
        <v>1153</v>
      </c>
      <c r="B1503" s="1" t="s">
        <v>3716</v>
      </c>
      <c r="C1503" s="1">
        <v>6250</v>
      </c>
      <c r="D1503" s="1" t="s">
        <v>372</v>
      </c>
      <c r="E1503" s="1" t="s">
        <v>3717</v>
      </c>
      <c r="F1503" s="1">
        <v>2023</v>
      </c>
      <c r="G1503" s="1" t="s">
        <v>2351</v>
      </c>
      <c r="H1503" s="1">
        <v>608414</v>
      </c>
      <c r="I1503" s="1">
        <v>4</v>
      </c>
      <c r="J1503" s="1" t="s">
        <v>36</v>
      </c>
      <c r="K1503" s="1" t="s">
        <v>2352</v>
      </c>
      <c r="L1503" s="1" t="s">
        <v>2353</v>
      </c>
      <c r="M1503" s="1">
        <v>145</v>
      </c>
      <c r="N1503" s="1" t="s">
        <v>39</v>
      </c>
      <c r="O1503" s="1">
        <v>36.527799999999999</v>
      </c>
      <c r="P1503" s="1">
        <v>-78.8917</v>
      </c>
      <c r="Q1503" s="1" t="s">
        <v>2361</v>
      </c>
      <c r="R1503" s="1" t="s">
        <v>41</v>
      </c>
      <c r="S1503" s="1" t="s">
        <v>42</v>
      </c>
      <c r="T1503" s="1" t="s">
        <v>89</v>
      </c>
      <c r="U1503" s="1" t="s">
        <v>55</v>
      </c>
      <c r="V1503" s="1" t="s">
        <v>94</v>
      </c>
      <c r="W1503" s="1" t="s">
        <v>241</v>
      </c>
      <c r="X1503" s="1" t="s">
        <v>639</v>
      </c>
      <c r="Y1503" s="1" t="s">
        <v>800</v>
      </c>
      <c r="AA1503" s="3">
        <v>30286</v>
      </c>
      <c r="AB1503" s="1" t="s">
        <v>46</v>
      </c>
      <c r="AC1503" s="5">
        <v>4900</v>
      </c>
      <c r="AD1503" s="1" t="s">
        <v>3718</v>
      </c>
      <c r="AE1503" s="1" t="str">
        <f t="shared" si="115"/>
        <v>6250 1A</v>
      </c>
      <c r="AF1503" s="5" t="str">
        <f t="shared" si="116"/>
        <v>735.8</v>
      </c>
      <c r="AG1503" s="1" t="str">
        <f t="shared" si="114"/>
        <v>Y</v>
      </c>
    </row>
    <row r="1504" spans="1:33" x14ac:dyDescent="0.2">
      <c r="A1504" s="1" t="s">
        <v>1153</v>
      </c>
      <c r="B1504" s="1" t="s">
        <v>3716</v>
      </c>
      <c r="C1504" s="1">
        <v>6250</v>
      </c>
      <c r="D1504" s="1" t="s">
        <v>1199</v>
      </c>
      <c r="E1504" s="1" t="s">
        <v>3717</v>
      </c>
      <c r="F1504" s="1">
        <v>2023</v>
      </c>
      <c r="G1504" s="1" t="s">
        <v>2351</v>
      </c>
      <c r="H1504" s="1">
        <v>608414</v>
      </c>
      <c r="I1504" s="1">
        <v>4</v>
      </c>
      <c r="J1504" s="1" t="s">
        <v>36</v>
      </c>
      <c r="K1504" s="1" t="s">
        <v>2352</v>
      </c>
      <c r="L1504" s="1" t="s">
        <v>2353</v>
      </c>
      <c r="M1504" s="1">
        <v>145</v>
      </c>
      <c r="N1504" s="1" t="s">
        <v>39</v>
      </c>
      <c r="O1504" s="1">
        <v>36.527799999999999</v>
      </c>
      <c r="P1504" s="1">
        <v>-78.8917</v>
      </c>
      <c r="Q1504" s="1" t="s">
        <v>2361</v>
      </c>
      <c r="R1504" s="1" t="s">
        <v>41</v>
      </c>
      <c r="S1504" s="1" t="s">
        <v>42</v>
      </c>
      <c r="T1504" s="1" t="s">
        <v>89</v>
      </c>
      <c r="U1504" s="1" t="s">
        <v>55</v>
      </c>
      <c r="V1504" s="1" t="s">
        <v>94</v>
      </c>
      <c r="W1504" s="1" t="s">
        <v>241</v>
      </c>
      <c r="X1504" s="1" t="s">
        <v>639</v>
      </c>
      <c r="Y1504" s="1" t="s">
        <v>800</v>
      </c>
      <c r="AA1504" s="3">
        <v>30286</v>
      </c>
      <c r="AB1504" s="1" t="s">
        <v>46</v>
      </c>
      <c r="AC1504" s="5">
        <v>4900</v>
      </c>
      <c r="AD1504" s="1" t="s">
        <v>3718</v>
      </c>
      <c r="AE1504" s="1" t="str">
        <f t="shared" si="115"/>
        <v>6250 1B</v>
      </c>
      <c r="AF1504" s="5" t="str">
        <f t="shared" si="116"/>
        <v>735.8</v>
      </c>
      <c r="AG1504" s="1" t="str">
        <f t="shared" si="114"/>
        <v>Y</v>
      </c>
    </row>
    <row r="1505" spans="1:33" x14ac:dyDescent="0.2">
      <c r="A1505" s="1" t="s">
        <v>3167</v>
      </c>
      <c r="B1505" s="1" t="s">
        <v>3719</v>
      </c>
      <c r="C1505" s="1">
        <v>6253</v>
      </c>
      <c r="D1505" s="1" t="s">
        <v>2903</v>
      </c>
      <c r="F1505" s="1">
        <v>2023</v>
      </c>
      <c r="G1505" s="1" t="s">
        <v>461</v>
      </c>
      <c r="H1505" s="1" t="s">
        <v>3193</v>
      </c>
      <c r="I1505" s="1">
        <v>5</v>
      </c>
      <c r="K1505" s="1" t="s">
        <v>196</v>
      </c>
      <c r="L1505" s="1" t="s">
        <v>3720</v>
      </c>
      <c r="M1505" s="1">
        <v>131</v>
      </c>
      <c r="N1505" s="1" t="s">
        <v>39</v>
      </c>
      <c r="O1505" s="1">
        <v>43.1952</v>
      </c>
      <c r="P1505" s="1">
        <v>-88.149600000000007</v>
      </c>
      <c r="Q1505" s="1" t="s">
        <v>3204</v>
      </c>
      <c r="R1505" s="1" t="s">
        <v>41</v>
      </c>
      <c r="T1505" s="1" t="s">
        <v>93</v>
      </c>
      <c r="U1505" s="1" t="s">
        <v>44</v>
      </c>
      <c r="V1505" s="1" t="s">
        <v>94</v>
      </c>
      <c r="X1505" s="1" t="s">
        <v>95</v>
      </c>
      <c r="AA1505" s="3">
        <v>36654</v>
      </c>
      <c r="AB1505" s="1" t="s">
        <v>46</v>
      </c>
      <c r="AC1505" s="5">
        <v>1219</v>
      </c>
      <c r="AD1505" s="1" t="s">
        <v>3721</v>
      </c>
      <c r="AE1505" s="1" t="str">
        <f t="shared" si="115"/>
        <v>6253 **5</v>
      </c>
      <c r="AF1505" s="5" t="str">
        <f t="shared" si="116"/>
        <v>85.4</v>
      </c>
      <c r="AG1505" s="1" t="str">
        <f t="shared" si="114"/>
        <v/>
      </c>
    </row>
    <row r="1506" spans="1:33" x14ac:dyDescent="0.2">
      <c r="A1506" s="1" t="s">
        <v>3167</v>
      </c>
      <c r="B1506" s="1" t="s">
        <v>3719</v>
      </c>
      <c r="C1506" s="1">
        <v>6253</v>
      </c>
      <c r="D1506" s="1" t="s">
        <v>3722</v>
      </c>
      <c r="F1506" s="1">
        <v>2023</v>
      </c>
      <c r="G1506" s="1" t="s">
        <v>1020</v>
      </c>
      <c r="H1506" s="1" t="s">
        <v>3193</v>
      </c>
      <c r="I1506" s="1">
        <v>5</v>
      </c>
      <c r="K1506" s="1" t="s">
        <v>196</v>
      </c>
      <c r="L1506" s="1" t="s">
        <v>3720</v>
      </c>
      <c r="M1506" s="1">
        <v>131</v>
      </c>
      <c r="N1506" s="1" t="s">
        <v>39</v>
      </c>
      <c r="O1506" s="1">
        <v>43.1952</v>
      </c>
      <c r="P1506" s="1">
        <v>-88.149600000000007</v>
      </c>
      <c r="Q1506" s="1" t="s">
        <v>3204</v>
      </c>
      <c r="T1506" s="1" t="s">
        <v>93</v>
      </c>
      <c r="U1506" s="1" t="s">
        <v>94</v>
      </c>
      <c r="AA1506" s="3">
        <v>28595</v>
      </c>
      <c r="AB1506" s="1" t="s">
        <v>46</v>
      </c>
      <c r="AC1506" s="5">
        <v>632</v>
      </c>
      <c r="AD1506" s="1" t="s">
        <v>3723</v>
      </c>
      <c r="AE1506" s="1" t="str">
        <f t="shared" si="115"/>
        <v>6253 P30</v>
      </c>
      <c r="AF1506" s="5" t="str">
        <f t="shared" si="116"/>
        <v>61.2</v>
      </c>
      <c r="AG1506" s="1" t="str">
        <f t="shared" si="114"/>
        <v/>
      </c>
    </row>
    <row r="1507" spans="1:33" x14ac:dyDescent="0.2">
      <c r="A1507" s="1" t="s">
        <v>3167</v>
      </c>
      <c r="B1507" s="1" t="s">
        <v>3719</v>
      </c>
      <c r="C1507" s="1">
        <v>6253</v>
      </c>
      <c r="D1507" s="1" t="s">
        <v>3724</v>
      </c>
      <c r="F1507" s="1">
        <v>2023</v>
      </c>
      <c r="G1507" s="1" t="s">
        <v>1020</v>
      </c>
      <c r="H1507" s="1" t="s">
        <v>3193</v>
      </c>
      <c r="I1507" s="1">
        <v>5</v>
      </c>
      <c r="K1507" s="1" t="s">
        <v>196</v>
      </c>
      <c r="L1507" s="1" t="s">
        <v>3720</v>
      </c>
      <c r="M1507" s="1">
        <v>131</v>
      </c>
      <c r="N1507" s="1" t="s">
        <v>39</v>
      </c>
      <c r="O1507" s="1">
        <v>43.1952</v>
      </c>
      <c r="P1507" s="1">
        <v>-88.149600000000007</v>
      </c>
      <c r="Q1507" s="1" t="s">
        <v>3204</v>
      </c>
      <c r="T1507" s="1" t="s">
        <v>93</v>
      </c>
      <c r="U1507" s="1" t="s">
        <v>94</v>
      </c>
      <c r="AA1507" s="3">
        <v>28583</v>
      </c>
      <c r="AB1507" s="1" t="s">
        <v>46</v>
      </c>
      <c r="AC1507" s="5">
        <v>632</v>
      </c>
      <c r="AD1507" s="1" t="s">
        <v>3723</v>
      </c>
      <c r="AE1507" s="1" t="str">
        <f t="shared" si="115"/>
        <v>6253 P31</v>
      </c>
      <c r="AF1507" s="5" t="str">
        <f t="shared" si="116"/>
        <v>61.2</v>
      </c>
      <c r="AG1507" s="1" t="str">
        <f t="shared" si="114"/>
        <v/>
      </c>
    </row>
    <row r="1508" spans="1:33" x14ac:dyDescent="0.2">
      <c r="A1508" s="1" t="s">
        <v>3167</v>
      </c>
      <c r="B1508" s="1" t="s">
        <v>3719</v>
      </c>
      <c r="C1508" s="1">
        <v>6253</v>
      </c>
      <c r="D1508" s="1" t="s">
        <v>3725</v>
      </c>
      <c r="F1508" s="1">
        <v>2023</v>
      </c>
      <c r="G1508" s="1" t="s">
        <v>1020</v>
      </c>
      <c r="H1508" s="1" t="s">
        <v>3193</v>
      </c>
      <c r="I1508" s="1">
        <v>5</v>
      </c>
      <c r="K1508" s="1" t="s">
        <v>196</v>
      </c>
      <c r="L1508" s="1" t="s">
        <v>3720</v>
      </c>
      <c r="M1508" s="1">
        <v>131</v>
      </c>
      <c r="N1508" s="1" t="s">
        <v>39</v>
      </c>
      <c r="O1508" s="1">
        <v>43.1952</v>
      </c>
      <c r="P1508" s="1">
        <v>-88.149600000000007</v>
      </c>
      <c r="Q1508" s="1" t="s">
        <v>3204</v>
      </c>
      <c r="T1508" s="1" t="s">
        <v>93</v>
      </c>
      <c r="U1508" s="1" t="s">
        <v>94</v>
      </c>
      <c r="AA1508" s="3">
        <v>28583</v>
      </c>
      <c r="AB1508" s="1" t="s">
        <v>46</v>
      </c>
      <c r="AC1508" s="5">
        <v>632</v>
      </c>
      <c r="AD1508" s="1" t="s">
        <v>3726</v>
      </c>
      <c r="AE1508" s="1" t="str">
        <f t="shared" si="115"/>
        <v>6253 P32</v>
      </c>
      <c r="AF1508" s="5" t="str">
        <f t="shared" si="116"/>
        <v>61.2</v>
      </c>
      <c r="AG1508" s="1" t="str">
        <f t="shared" si="114"/>
        <v/>
      </c>
    </row>
    <row r="1509" spans="1:33" x14ac:dyDescent="0.2">
      <c r="A1509" s="1" t="s">
        <v>3167</v>
      </c>
      <c r="B1509" s="1" t="s">
        <v>3719</v>
      </c>
      <c r="C1509" s="1">
        <v>6253</v>
      </c>
      <c r="D1509" s="1" t="s">
        <v>3727</v>
      </c>
      <c r="F1509" s="1">
        <v>2023</v>
      </c>
      <c r="G1509" s="1" t="s">
        <v>1020</v>
      </c>
      <c r="H1509" s="1" t="s">
        <v>3193</v>
      </c>
      <c r="I1509" s="1">
        <v>5</v>
      </c>
      <c r="K1509" s="1" t="s">
        <v>196</v>
      </c>
      <c r="L1509" s="1" t="s">
        <v>3720</v>
      </c>
      <c r="M1509" s="1">
        <v>131</v>
      </c>
      <c r="N1509" s="1" t="s">
        <v>39</v>
      </c>
      <c r="O1509" s="1">
        <v>43.1952</v>
      </c>
      <c r="P1509" s="1">
        <v>-88.149600000000007</v>
      </c>
      <c r="Q1509" s="1" t="s">
        <v>3204</v>
      </c>
      <c r="T1509" s="1" t="s">
        <v>93</v>
      </c>
      <c r="U1509" s="1" t="s">
        <v>94</v>
      </c>
      <c r="AA1509" s="3">
        <v>28570</v>
      </c>
      <c r="AB1509" s="1" t="s">
        <v>46</v>
      </c>
      <c r="AC1509" s="5">
        <v>632</v>
      </c>
      <c r="AD1509" s="1" t="s">
        <v>3726</v>
      </c>
      <c r="AE1509" s="1" t="str">
        <f t="shared" si="115"/>
        <v>6253 P33</v>
      </c>
      <c r="AF1509" s="5" t="str">
        <f t="shared" si="116"/>
        <v>61.2</v>
      </c>
      <c r="AG1509" s="1" t="str">
        <f t="shared" si="114"/>
        <v/>
      </c>
    </row>
    <row r="1510" spans="1:33" x14ac:dyDescent="0.2">
      <c r="A1510" s="1" t="s">
        <v>3167</v>
      </c>
      <c r="B1510" s="1" t="s">
        <v>3719</v>
      </c>
      <c r="C1510" s="1">
        <v>6253</v>
      </c>
      <c r="D1510" s="1" t="s">
        <v>3728</v>
      </c>
      <c r="F1510" s="1">
        <v>2023</v>
      </c>
      <c r="G1510" s="1" t="s">
        <v>1020</v>
      </c>
      <c r="H1510" s="1" t="s">
        <v>3193</v>
      </c>
      <c r="I1510" s="1">
        <v>5</v>
      </c>
      <c r="K1510" s="1" t="s">
        <v>196</v>
      </c>
      <c r="L1510" s="1" t="s">
        <v>3720</v>
      </c>
      <c r="M1510" s="1">
        <v>131</v>
      </c>
      <c r="N1510" s="1" t="s">
        <v>39</v>
      </c>
      <c r="O1510" s="1">
        <v>43.1952</v>
      </c>
      <c r="P1510" s="1">
        <v>-88.149600000000007</v>
      </c>
      <c r="Q1510" s="1" t="s">
        <v>3204</v>
      </c>
      <c r="T1510" s="1" t="s">
        <v>93</v>
      </c>
      <c r="U1510" s="1" t="s">
        <v>94</v>
      </c>
      <c r="AA1510" s="3">
        <v>28570</v>
      </c>
      <c r="AB1510" s="1" t="s">
        <v>46</v>
      </c>
      <c r="AC1510" s="5">
        <v>632</v>
      </c>
      <c r="AD1510" s="1" t="s">
        <v>3729</v>
      </c>
      <c r="AE1510" s="1" t="str">
        <f t="shared" si="115"/>
        <v>6253 P34</v>
      </c>
      <c r="AF1510" s="5" t="str">
        <f t="shared" si="116"/>
        <v>61.2</v>
      </c>
      <c r="AG1510" s="1" t="str">
        <f t="shared" si="114"/>
        <v/>
      </c>
    </row>
    <row r="1511" spans="1:33" x14ac:dyDescent="0.2">
      <c r="A1511" s="1" t="s">
        <v>3167</v>
      </c>
      <c r="B1511" s="1" t="s">
        <v>3719</v>
      </c>
      <c r="C1511" s="1">
        <v>6253</v>
      </c>
      <c r="D1511" s="1" t="s">
        <v>3730</v>
      </c>
      <c r="F1511" s="1">
        <v>2023</v>
      </c>
      <c r="G1511" s="1" t="s">
        <v>1020</v>
      </c>
      <c r="H1511" s="1" t="s">
        <v>3193</v>
      </c>
      <c r="I1511" s="1">
        <v>5</v>
      </c>
      <c r="K1511" s="1" t="s">
        <v>196</v>
      </c>
      <c r="L1511" s="1" t="s">
        <v>3720</v>
      </c>
      <c r="M1511" s="1">
        <v>131</v>
      </c>
      <c r="N1511" s="1" t="s">
        <v>39</v>
      </c>
      <c r="O1511" s="1">
        <v>43.1952</v>
      </c>
      <c r="P1511" s="1">
        <v>-88.149600000000007</v>
      </c>
      <c r="Q1511" s="1" t="s">
        <v>3204</v>
      </c>
      <c r="T1511" s="1" t="s">
        <v>93</v>
      </c>
      <c r="U1511" s="1" t="s">
        <v>94</v>
      </c>
      <c r="AA1511" s="3">
        <v>28570</v>
      </c>
      <c r="AB1511" s="1" t="s">
        <v>46</v>
      </c>
      <c r="AC1511" s="5">
        <v>632</v>
      </c>
      <c r="AD1511" s="1" t="s">
        <v>3729</v>
      </c>
      <c r="AE1511" s="1" t="str">
        <f t="shared" si="115"/>
        <v>6253 P35</v>
      </c>
      <c r="AF1511" s="5" t="str">
        <f t="shared" si="116"/>
        <v>61.2</v>
      </c>
      <c r="AG1511" s="1" t="str">
        <f t="shared" si="114"/>
        <v/>
      </c>
    </row>
    <row r="1512" spans="1:33" x14ac:dyDescent="0.2">
      <c r="A1512" s="1" t="s">
        <v>3167</v>
      </c>
      <c r="B1512" s="1" t="s">
        <v>3719</v>
      </c>
      <c r="C1512" s="1">
        <v>6253</v>
      </c>
      <c r="D1512" s="1" t="s">
        <v>3731</v>
      </c>
      <c r="F1512" s="1">
        <v>2023</v>
      </c>
      <c r="G1512" s="1" t="s">
        <v>1020</v>
      </c>
      <c r="H1512" s="1" t="s">
        <v>3193</v>
      </c>
      <c r="I1512" s="1">
        <v>5</v>
      </c>
      <c r="K1512" s="1" t="s">
        <v>196</v>
      </c>
      <c r="L1512" s="1" t="s">
        <v>3720</v>
      </c>
      <c r="M1512" s="1">
        <v>131</v>
      </c>
      <c r="N1512" s="1" t="s">
        <v>39</v>
      </c>
      <c r="O1512" s="1">
        <v>43.1952</v>
      </c>
      <c r="P1512" s="1">
        <v>-88.149600000000007</v>
      </c>
      <c r="Q1512" s="1" t="s">
        <v>3204</v>
      </c>
      <c r="T1512" s="1" t="s">
        <v>93</v>
      </c>
      <c r="U1512" s="1" t="s">
        <v>94</v>
      </c>
      <c r="AA1512" s="3">
        <v>28570</v>
      </c>
      <c r="AB1512" s="1" t="s">
        <v>46</v>
      </c>
      <c r="AC1512" s="5">
        <v>632</v>
      </c>
      <c r="AD1512" s="1" t="s">
        <v>3732</v>
      </c>
      <c r="AE1512" s="1" t="str">
        <f t="shared" si="115"/>
        <v>6253 P36</v>
      </c>
      <c r="AF1512" s="5" t="str">
        <f t="shared" si="116"/>
        <v>61.2</v>
      </c>
      <c r="AG1512" s="1" t="str">
        <f t="shared" si="114"/>
        <v/>
      </c>
    </row>
    <row r="1513" spans="1:33" x14ac:dyDescent="0.2">
      <c r="A1513" s="1" t="s">
        <v>3167</v>
      </c>
      <c r="B1513" s="1" t="s">
        <v>3719</v>
      </c>
      <c r="C1513" s="1">
        <v>6253</v>
      </c>
      <c r="D1513" s="1" t="s">
        <v>3733</v>
      </c>
      <c r="F1513" s="1">
        <v>2023</v>
      </c>
      <c r="G1513" s="1" t="s">
        <v>1020</v>
      </c>
      <c r="H1513" s="1" t="s">
        <v>3193</v>
      </c>
      <c r="I1513" s="1">
        <v>5</v>
      </c>
      <c r="K1513" s="1" t="s">
        <v>196</v>
      </c>
      <c r="L1513" s="1" t="s">
        <v>3720</v>
      </c>
      <c r="M1513" s="1">
        <v>131</v>
      </c>
      <c r="N1513" s="1" t="s">
        <v>39</v>
      </c>
      <c r="O1513" s="1">
        <v>43.1952</v>
      </c>
      <c r="P1513" s="1">
        <v>-88.149600000000007</v>
      </c>
      <c r="Q1513" s="1" t="s">
        <v>3204</v>
      </c>
      <c r="T1513" s="1" t="s">
        <v>93</v>
      </c>
      <c r="U1513" s="1" t="s">
        <v>94</v>
      </c>
      <c r="AA1513" s="3">
        <v>28570</v>
      </c>
      <c r="AB1513" s="1" t="s">
        <v>46</v>
      </c>
      <c r="AC1513" s="5">
        <v>632</v>
      </c>
      <c r="AD1513" s="1" t="s">
        <v>3732</v>
      </c>
      <c r="AE1513" s="1" t="str">
        <f t="shared" si="115"/>
        <v>6253 P37</v>
      </c>
      <c r="AF1513" s="5" t="str">
        <f t="shared" si="116"/>
        <v>61.2</v>
      </c>
      <c r="AG1513" s="1" t="str">
        <f t="shared" si="114"/>
        <v/>
      </c>
    </row>
    <row r="1514" spans="1:33" x14ac:dyDescent="0.2">
      <c r="A1514" s="1" t="s">
        <v>1186</v>
      </c>
      <c r="B1514" s="1" t="s">
        <v>3734</v>
      </c>
      <c r="C1514" s="1">
        <v>6254</v>
      </c>
      <c r="D1514" s="1">
        <v>1</v>
      </c>
      <c r="F1514" s="1">
        <v>2023</v>
      </c>
      <c r="G1514" s="1" t="s">
        <v>1188</v>
      </c>
      <c r="H1514" s="1">
        <v>608055</v>
      </c>
      <c r="I1514" s="1">
        <v>7</v>
      </c>
      <c r="J1514" s="1" t="s">
        <v>207</v>
      </c>
      <c r="K1514" s="1" t="s">
        <v>3735</v>
      </c>
      <c r="L1514" s="1" t="s">
        <v>3736</v>
      </c>
      <c r="M1514" s="1">
        <v>179</v>
      </c>
      <c r="N1514" s="1" t="s">
        <v>39</v>
      </c>
      <c r="O1514" s="1">
        <v>41.0961</v>
      </c>
      <c r="P1514" s="1">
        <v>-92.555599999999998</v>
      </c>
      <c r="Q1514" s="1" t="s">
        <v>3737</v>
      </c>
      <c r="R1514" s="1" t="s">
        <v>41</v>
      </c>
      <c r="S1514" s="1" t="s">
        <v>211</v>
      </c>
      <c r="T1514" s="1" t="s">
        <v>43</v>
      </c>
      <c r="U1514" s="1" t="s">
        <v>55</v>
      </c>
      <c r="W1514" s="1" t="s">
        <v>212</v>
      </c>
      <c r="X1514" s="1" t="s">
        <v>57</v>
      </c>
      <c r="Y1514" s="1" t="s">
        <v>3738</v>
      </c>
      <c r="Z1514" s="1" t="s">
        <v>937</v>
      </c>
      <c r="AA1514" s="3">
        <v>29711</v>
      </c>
      <c r="AB1514" s="1" t="s">
        <v>46</v>
      </c>
      <c r="AC1514" s="5">
        <v>10060</v>
      </c>
      <c r="AD1514" s="1" t="s">
        <v>3739</v>
      </c>
      <c r="AE1514" s="1" t="str">
        <f t="shared" si="115"/>
        <v>6254 1</v>
      </c>
      <c r="AF1514" s="5" t="str">
        <f t="shared" si="116"/>
        <v>726</v>
      </c>
      <c r="AG1514" s="1" t="str">
        <f t="shared" si="114"/>
        <v>Y</v>
      </c>
    </row>
    <row r="1515" spans="1:33" x14ac:dyDescent="0.2">
      <c r="A1515" s="1" t="s">
        <v>921</v>
      </c>
      <c r="B1515" s="1" t="s">
        <v>3740</v>
      </c>
      <c r="C1515" s="1">
        <v>6257</v>
      </c>
      <c r="D1515" s="1">
        <v>1</v>
      </c>
      <c r="E1515" s="1" t="s">
        <v>924</v>
      </c>
      <c r="F1515" s="1">
        <v>2023</v>
      </c>
      <c r="G1515" s="1" t="s">
        <v>925</v>
      </c>
      <c r="H1515" s="1" t="s">
        <v>926</v>
      </c>
      <c r="I1515" s="1">
        <v>4</v>
      </c>
      <c r="J1515" s="1" t="s">
        <v>36</v>
      </c>
      <c r="K1515" s="1" t="s">
        <v>1652</v>
      </c>
      <c r="L1515" s="1" t="s">
        <v>3741</v>
      </c>
      <c r="M1515" s="1">
        <v>207</v>
      </c>
      <c r="N1515" s="1" t="s">
        <v>39</v>
      </c>
      <c r="O1515" s="1">
        <v>33.058300000000003</v>
      </c>
      <c r="P1515" s="1">
        <v>-83.807199999999995</v>
      </c>
      <c r="Q1515" s="1" t="s">
        <v>3742</v>
      </c>
      <c r="R1515" s="1" t="s">
        <v>41</v>
      </c>
      <c r="S1515" s="1" t="s">
        <v>42</v>
      </c>
      <c r="T1515" s="1" t="s">
        <v>43</v>
      </c>
      <c r="U1515" s="1" t="s">
        <v>55</v>
      </c>
      <c r="W1515" s="1" t="s">
        <v>241</v>
      </c>
      <c r="X1515" s="1" t="s">
        <v>3671</v>
      </c>
      <c r="Y1515" s="1" t="s">
        <v>123</v>
      </c>
      <c r="Z1515" s="1" t="s">
        <v>214</v>
      </c>
      <c r="AA1515" s="3">
        <v>30029</v>
      </c>
      <c r="AB1515" s="1" t="s">
        <v>46</v>
      </c>
      <c r="AC1515" s="5">
        <v>10200</v>
      </c>
      <c r="AD1515" s="1" t="s">
        <v>3743</v>
      </c>
      <c r="AE1515" s="1" t="str">
        <f t="shared" si="115"/>
        <v>6257 1</v>
      </c>
      <c r="AF1515" s="5" t="str">
        <f t="shared" si="116"/>
        <v>891</v>
      </c>
      <c r="AG1515" s="1" t="str">
        <f t="shared" si="114"/>
        <v>Y</v>
      </c>
    </row>
    <row r="1516" spans="1:33" x14ac:dyDescent="0.2">
      <c r="A1516" s="1" t="s">
        <v>921</v>
      </c>
      <c r="B1516" s="1" t="s">
        <v>3740</v>
      </c>
      <c r="C1516" s="1">
        <v>6257</v>
      </c>
      <c r="D1516" s="1">
        <v>2</v>
      </c>
      <c r="E1516" s="1" t="s">
        <v>933</v>
      </c>
      <c r="F1516" s="1">
        <v>2023</v>
      </c>
      <c r="G1516" s="1" t="s">
        <v>925</v>
      </c>
      <c r="H1516" s="1" t="s">
        <v>926</v>
      </c>
      <c r="I1516" s="1">
        <v>4</v>
      </c>
      <c r="J1516" s="1" t="s">
        <v>36</v>
      </c>
      <c r="K1516" s="1" t="s">
        <v>1652</v>
      </c>
      <c r="L1516" s="1" t="s">
        <v>3741</v>
      </c>
      <c r="M1516" s="1">
        <v>207</v>
      </c>
      <c r="N1516" s="1" t="s">
        <v>39</v>
      </c>
      <c r="O1516" s="1">
        <v>33.058300000000003</v>
      </c>
      <c r="P1516" s="1">
        <v>-83.807199999999995</v>
      </c>
      <c r="Q1516" s="1" t="s">
        <v>3742</v>
      </c>
      <c r="R1516" s="1" t="s">
        <v>41</v>
      </c>
      <c r="S1516" s="1" t="s">
        <v>42</v>
      </c>
      <c r="T1516" s="1" t="s">
        <v>43</v>
      </c>
      <c r="U1516" s="1" t="s">
        <v>55</v>
      </c>
      <c r="W1516" s="1" t="s">
        <v>241</v>
      </c>
      <c r="X1516" s="1" t="s">
        <v>3671</v>
      </c>
      <c r="Y1516" s="1" t="s">
        <v>123</v>
      </c>
      <c r="Z1516" s="1" t="s">
        <v>214</v>
      </c>
      <c r="AA1516" s="3">
        <v>30713</v>
      </c>
      <c r="AB1516" s="1" t="s">
        <v>46</v>
      </c>
      <c r="AC1516" s="5">
        <v>10200</v>
      </c>
      <c r="AD1516" s="1" t="s">
        <v>3744</v>
      </c>
      <c r="AE1516" s="1" t="str">
        <f t="shared" si="115"/>
        <v>6257 2</v>
      </c>
      <c r="AF1516" s="5" t="str">
        <f t="shared" si="116"/>
        <v>891</v>
      </c>
      <c r="AG1516" s="1" t="str">
        <f t="shared" si="114"/>
        <v>Y</v>
      </c>
    </row>
    <row r="1517" spans="1:33" x14ac:dyDescent="0.2">
      <c r="A1517" s="1" t="s">
        <v>921</v>
      </c>
      <c r="B1517" s="1" t="s">
        <v>3740</v>
      </c>
      <c r="C1517" s="1">
        <v>6257</v>
      </c>
      <c r="D1517" s="1">
        <v>3</v>
      </c>
      <c r="E1517" s="1" t="s">
        <v>936</v>
      </c>
      <c r="F1517" s="1">
        <v>2023</v>
      </c>
      <c r="G1517" s="1" t="s">
        <v>925</v>
      </c>
      <c r="H1517" s="1" t="s">
        <v>926</v>
      </c>
      <c r="I1517" s="1">
        <v>4</v>
      </c>
      <c r="J1517" s="1" t="s">
        <v>36</v>
      </c>
      <c r="K1517" s="1" t="s">
        <v>1652</v>
      </c>
      <c r="L1517" s="1" t="s">
        <v>3741</v>
      </c>
      <c r="M1517" s="1">
        <v>207</v>
      </c>
      <c r="N1517" s="1" t="s">
        <v>39</v>
      </c>
      <c r="O1517" s="1">
        <v>33.058300000000003</v>
      </c>
      <c r="P1517" s="1">
        <v>-83.807199999999995</v>
      </c>
      <c r="Q1517" s="1" t="s">
        <v>929</v>
      </c>
      <c r="R1517" s="1" t="s">
        <v>41</v>
      </c>
      <c r="S1517" s="1" t="s">
        <v>121</v>
      </c>
      <c r="T1517" s="1" t="s">
        <v>43</v>
      </c>
      <c r="U1517" s="1" t="s">
        <v>55</v>
      </c>
      <c r="W1517" s="1" t="s">
        <v>241</v>
      </c>
      <c r="X1517" s="1" t="s">
        <v>3671</v>
      </c>
      <c r="Y1517" s="1" t="s">
        <v>123</v>
      </c>
      <c r="Z1517" s="1" t="s">
        <v>214</v>
      </c>
      <c r="AA1517" s="3">
        <v>31778</v>
      </c>
      <c r="AB1517" s="1" t="s">
        <v>46</v>
      </c>
      <c r="AC1517" s="5">
        <v>11000</v>
      </c>
      <c r="AD1517" s="1" t="s">
        <v>3745</v>
      </c>
      <c r="AE1517" s="1" t="str">
        <f t="shared" si="115"/>
        <v>6257 3</v>
      </c>
      <c r="AF1517" s="5" t="str">
        <f t="shared" si="116"/>
        <v>891</v>
      </c>
      <c r="AG1517" s="1" t="str">
        <f t="shared" si="114"/>
        <v>Y</v>
      </c>
    </row>
    <row r="1518" spans="1:33" x14ac:dyDescent="0.2">
      <c r="A1518" s="1" t="s">
        <v>921</v>
      </c>
      <c r="B1518" s="1" t="s">
        <v>3746</v>
      </c>
      <c r="C1518" s="1">
        <v>6258</v>
      </c>
      <c r="D1518" s="1" t="s">
        <v>372</v>
      </c>
      <c r="F1518" s="1">
        <v>2023</v>
      </c>
      <c r="G1518" s="1" t="s">
        <v>944</v>
      </c>
      <c r="H1518" s="1" t="s">
        <v>3747</v>
      </c>
      <c r="I1518" s="1">
        <v>4</v>
      </c>
      <c r="K1518" s="1" t="s">
        <v>3748</v>
      </c>
      <c r="L1518" s="1" t="s">
        <v>3749</v>
      </c>
      <c r="M1518" s="1">
        <v>33</v>
      </c>
      <c r="N1518" s="1" t="s">
        <v>39</v>
      </c>
      <c r="O1518" s="1">
        <v>33.137999999999998</v>
      </c>
      <c r="P1518" s="1">
        <v>-81.748000000000005</v>
      </c>
      <c r="Q1518" s="1" t="s">
        <v>3750</v>
      </c>
      <c r="T1518" s="1" t="s">
        <v>93</v>
      </c>
      <c r="U1518" s="1" t="s">
        <v>94</v>
      </c>
      <c r="AA1518" s="3">
        <v>26634</v>
      </c>
      <c r="AB1518" s="1" t="s">
        <v>46</v>
      </c>
      <c r="AC1518" s="5">
        <v>840</v>
      </c>
      <c r="AD1518" s="1" t="s">
        <v>3751</v>
      </c>
      <c r="AE1518" s="1" t="str">
        <f t="shared" si="115"/>
        <v>6258 1A</v>
      </c>
      <c r="AF1518" s="5" t="str">
        <f t="shared" si="116"/>
        <v>60.5</v>
      </c>
      <c r="AG1518" s="1" t="str">
        <f t="shared" si="114"/>
        <v/>
      </c>
    </row>
    <row r="1519" spans="1:33" x14ac:dyDescent="0.2">
      <c r="A1519" s="1" t="s">
        <v>921</v>
      </c>
      <c r="B1519" s="1" t="s">
        <v>3746</v>
      </c>
      <c r="C1519" s="1">
        <v>6258</v>
      </c>
      <c r="D1519" s="1" t="s">
        <v>1199</v>
      </c>
      <c r="F1519" s="1">
        <v>2023</v>
      </c>
      <c r="G1519" s="1" t="s">
        <v>944</v>
      </c>
      <c r="H1519" s="1" t="s">
        <v>3747</v>
      </c>
      <c r="I1519" s="1">
        <v>4</v>
      </c>
      <c r="K1519" s="1" t="s">
        <v>3748</v>
      </c>
      <c r="L1519" s="1" t="s">
        <v>3749</v>
      </c>
      <c r="M1519" s="1">
        <v>33</v>
      </c>
      <c r="N1519" s="1" t="s">
        <v>39</v>
      </c>
      <c r="O1519" s="1">
        <v>33.137999999999998</v>
      </c>
      <c r="P1519" s="1">
        <v>-81.748000000000005</v>
      </c>
      <c r="Q1519" s="1" t="s">
        <v>3750</v>
      </c>
      <c r="T1519" s="1" t="s">
        <v>93</v>
      </c>
      <c r="U1519" s="1" t="s">
        <v>94</v>
      </c>
      <c r="AA1519" s="3">
        <v>26634</v>
      </c>
      <c r="AB1519" s="1" t="s">
        <v>46</v>
      </c>
      <c r="AC1519" s="5">
        <v>840</v>
      </c>
      <c r="AD1519" s="1" t="s">
        <v>3752</v>
      </c>
      <c r="AE1519" s="1" t="str">
        <f t="shared" si="115"/>
        <v>6258 1B</v>
      </c>
      <c r="AF1519" s="5" t="str">
        <f t="shared" si="116"/>
        <v>60.5</v>
      </c>
      <c r="AG1519" s="1" t="str">
        <f t="shared" si="114"/>
        <v/>
      </c>
    </row>
    <row r="1520" spans="1:33" x14ac:dyDescent="0.2">
      <c r="A1520" s="1" t="s">
        <v>921</v>
      </c>
      <c r="B1520" s="1" t="s">
        <v>3746</v>
      </c>
      <c r="C1520" s="1">
        <v>6258</v>
      </c>
      <c r="D1520" s="1" t="s">
        <v>3753</v>
      </c>
      <c r="F1520" s="1">
        <v>2023</v>
      </c>
      <c r="G1520" s="1" t="s">
        <v>944</v>
      </c>
      <c r="H1520" s="1" t="s">
        <v>3747</v>
      </c>
      <c r="I1520" s="1">
        <v>4</v>
      </c>
      <c r="K1520" s="1" t="s">
        <v>3748</v>
      </c>
      <c r="L1520" s="1" t="s">
        <v>3749</v>
      </c>
      <c r="M1520" s="1">
        <v>33</v>
      </c>
      <c r="N1520" s="1" t="s">
        <v>39</v>
      </c>
      <c r="O1520" s="1">
        <v>33.137999999999998</v>
      </c>
      <c r="P1520" s="1">
        <v>-81.748000000000005</v>
      </c>
      <c r="Q1520" s="1" t="s">
        <v>3750</v>
      </c>
      <c r="T1520" s="1" t="s">
        <v>93</v>
      </c>
      <c r="U1520" s="1" t="s">
        <v>94</v>
      </c>
      <c r="AA1520" s="3">
        <v>26696</v>
      </c>
      <c r="AB1520" s="1" t="s">
        <v>46</v>
      </c>
      <c r="AC1520" s="5">
        <v>840</v>
      </c>
      <c r="AD1520" s="1" t="s">
        <v>3754</v>
      </c>
      <c r="AE1520" s="1" t="str">
        <f t="shared" si="115"/>
        <v>6258 1C</v>
      </c>
      <c r="AF1520" s="5" t="str">
        <f t="shared" ref="AF1520:AF1524" si="117">MID(AD1520,FIND("(",AD1520)+1,FIND(")",AD1520)-FIND("(",AD1520)-1)</f>
        <v>60.5</v>
      </c>
      <c r="AG1520" s="1" t="str">
        <f t="shared" si="114"/>
        <v/>
      </c>
    </row>
    <row r="1521" spans="1:33" x14ac:dyDescent="0.2">
      <c r="A1521" s="1" t="s">
        <v>921</v>
      </c>
      <c r="B1521" s="1" t="s">
        <v>3746</v>
      </c>
      <c r="C1521" s="1">
        <v>6258</v>
      </c>
      <c r="D1521" s="1" t="s">
        <v>3755</v>
      </c>
      <c r="F1521" s="1">
        <v>2023</v>
      </c>
      <c r="G1521" s="1" t="s">
        <v>944</v>
      </c>
      <c r="H1521" s="1" t="s">
        <v>3747</v>
      </c>
      <c r="I1521" s="1">
        <v>4</v>
      </c>
      <c r="K1521" s="1" t="s">
        <v>3748</v>
      </c>
      <c r="L1521" s="1" t="s">
        <v>3749</v>
      </c>
      <c r="M1521" s="1">
        <v>33</v>
      </c>
      <c r="N1521" s="1" t="s">
        <v>39</v>
      </c>
      <c r="O1521" s="1">
        <v>33.137999999999998</v>
      </c>
      <c r="P1521" s="1">
        <v>-81.748000000000005</v>
      </c>
      <c r="Q1521" s="1" t="s">
        <v>3750</v>
      </c>
      <c r="T1521" s="1" t="s">
        <v>93</v>
      </c>
      <c r="U1521" s="1" t="s">
        <v>94</v>
      </c>
      <c r="AA1521" s="3">
        <v>26696</v>
      </c>
      <c r="AB1521" s="1" t="s">
        <v>46</v>
      </c>
      <c r="AC1521" s="5">
        <v>840</v>
      </c>
      <c r="AD1521" s="1" t="s">
        <v>3756</v>
      </c>
      <c r="AE1521" s="1" t="str">
        <f t="shared" si="115"/>
        <v>6258 1D</v>
      </c>
      <c r="AF1521" s="5" t="str">
        <f t="shared" si="117"/>
        <v>60.5</v>
      </c>
      <c r="AG1521" s="1" t="str">
        <f t="shared" si="114"/>
        <v/>
      </c>
    </row>
    <row r="1522" spans="1:33" x14ac:dyDescent="0.2">
      <c r="A1522" s="1" t="s">
        <v>921</v>
      </c>
      <c r="B1522" s="1" t="s">
        <v>3746</v>
      </c>
      <c r="C1522" s="1">
        <v>6258</v>
      </c>
      <c r="D1522" s="1" t="s">
        <v>3757</v>
      </c>
      <c r="F1522" s="1">
        <v>2023</v>
      </c>
      <c r="G1522" s="1" t="s">
        <v>944</v>
      </c>
      <c r="H1522" s="1" t="s">
        <v>3747</v>
      </c>
      <c r="I1522" s="1">
        <v>4</v>
      </c>
      <c r="K1522" s="1" t="s">
        <v>3748</v>
      </c>
      <c r="L1522" s="1" t="s">
        <v>3749</v>
      </c>
      <c r="M1522" s="1">
        <v>33</v>
      </c>
      <c r="N1522" s="1" t="s">
        <v>39</v>
      </c>
      <c r="O1522" s="1">
        <v>33.137999999999998</v>
      </c>
      <c r="P1522" s="1">
        <v>-81.748000000000005</v>
      </c>
      <c r="Q1522" s="1" t="s">
        <v>3750</v>
      </c>
      <c r="T1522" s="1" t="s">
        <v>93</v>
      </c>
      <c r="U1522" s="1" t="s">
        <v>94</v>
      </c>
      <c r="AA1522" s="3">
        <v>26755</v>
      </c>
      <c r="AB1522" s="1" t="s">
        <v>46</v>
      </c>
      <c r="AC1522" s="5">
        <v>840</v>
      </c>
      <c r="AD1522" s="1" t="s">
        <v>3758</v>
      </c>
      <c r="AE1522" s="1" t="str">
        <f t="shared" si="115"/>
        <v>6258 1E</v>
      </c>
      <c r="AF1522" s="5" t="str">
        <f t="shared" si="117"/>
        <v>60.5</v>
      </c>
      <c r="AG1522" s="1" t="str">
        <f t="shared" si="114"/>
        <v/>
      </c>
    </row>
    <row r="1523" spans="1:33" x14ac:dyDescent="0.2">
      <c r="A1523" s="1" t="s">
        <v>921</v>
      </c>
      <c r="B1523" s="1" t="s">
        <v>3746</v>
      </c>
      <c r="C1523" s="1">
        <v>6258</v>
      </c>
      <c r="D1523" s="1" t="s">
        <v>3759</v>
      </c>
      <c r="F1523" s="1">
        <v>2023</v>
      </c>
      <c r="G1523" s="1" t="s">
        <v>944</v>
      </c>
      <c r="H1523" s="1" t="s">
        <v>3747</v>
      </c>
      <c r="I1523" s="1">
        <v>4</v>
      </c>
      <c r="K1523" s="1" t="s">
        <v>3748</v>
      </c>
      <c r="L1523" s="1" t="s">
        <v>3749</v>
      </c>
      <c r="M1523" s="1">
        <v>33</v>
      </c>
      <c r="N1523" s="1" t="s">
        <v>39</v>
      </c>
      <c r="O1523" s="1">
        <v>33.137999999999998</v>
      </c>
      <c r="P1523" s="1">
        <v>-81.748000000000005</v>
      </c>
      <c r="Q1523" s="1" t="s">
        <v>3750</v>
      </c>
      <c r="T1523" s="1" t="s">
        <v>93</v>
      </c>
      <c r="U1523" s="1" t="s">
        <v>94</v>
      </c>
      <c r="AA1523" s="3">
        <v>26755</v>
      </c>
      <c r="AB1523" s="1" t="s">
        <v>46</v>
      </c>
      <c r="AC1523" s="5">
        <v>840</v>
      </c>
      <c r="AD1523" s="1" t="s">
        <v>3760</v>
      </c>
      <c r="AE1523" s="1" t="str">
        <f t="shared" si="115"/>
        <v>6258 1F</v>
      </c>
      <c r="AF1523" s="5" t="str">
        <f t="shared" si="117"/>
        <v>60.5</v>
      </c>
      <c r="AG1523" s="1" t="str">
        <f t="shared" si="114"/>
        <v/>
      </c>
    </row>
    <row r="1524" spans="1:33" x14ac:dyDescent="0.2">
      <c r="A1524" s="1" t="s">
        <v>3140</v>
      </c>
      <c r="B1524" s="1" t="s">
        <v>3761</v>
      </c>
      <c r="C1524" s="1">
        <v>6264</v>
      </c>
      <c r="D1524" s="1">
        <v>1</v>
      </c>
      <c r="F1524" s="1">
        <v>2023</v>
      </c>
      <c r="G1524" s="1" t="s">
        <v>1353</v>
      </c>
      <c r="H1524" s="1" t="s">
        <v>1346</v>
      </c>
      <c r="I1524" s="1">
        <v>3</v>
      </c>
      <c r="J1524" s="1" t="s">
        <v>169</v>
      </c>
      <c r="K1524" s="1" t="s">
        <v>3368</v>
      </c>
      <c r="L1524" s="1" t="s">
        <v>3762</v>
      </c>
      <c r="M1524" s="1">
        <v>53</v>
      </c>
      <c r="N1524" s="1" t="s">
        <v>39</v>
      </c>
      <c r="O1524" s="1">
        <v>38.979399999999998</v>
      </c>
      <c r="P1524" s="1">
        <v>-81.934399999999997</v>
      </c>
      <c r="Q1524" s="1" t="s">
        <v>3100</v>
      </c>
      <c r="R1524" s="1" t="s">
        <v>41</v>
      </c>
      <c r="S1524" s="1" t="s">
        <v>211</v>
      </c>
      <c r="T1524" s="1" t="s">
        <v>89</v>
      </c>
      <c r="U1524" s="1" t="s">
        <v>55</v>
      </c>
      <c r="W1524" s="1" t="s">
        <v>56</v>
      </c>
      <c r="X1524" s="1" t="s">
        <v>639</v>
      </c>
      <c r="Y1524" s="1" t="s">
        <v>58</v>
      </c>
      <c r="AA1524" s="3">
        <v>29479</v>
      </c>
      <c r="AB1524" s="1" t="s">
        <v>46</v>
      </c>
      <c r="AC1524" s="5">
        <v>11960</v>
      </c>
      <c r="AD1524" s="1" t="s">
        <v>2784</v>
      </c>
      <c r="AE1524" s="1" t="str">
        <f t="shared" si="115"/>
        <v>6264 1</v>
      </c>
      <c r="AF1524" s="5" t="str">
        <f t="shared" si="117"/>
        <v>1300</v>
      </c>
      <c r="AG1524" s="1" t="str">
        <f t="shared" si="114"/>
        <v>Y</v>
      </c>
    </row>
    <row r="1525" spans="1:33" x14ac:dyDescent="0.2">
      <c r="A1525" s="1" t="s">
        <v>1663</v>
      </c>
      <c r="B1525" s="1" t="s">
        <v>3763</v>
      </c>
      <c r="C1525" s="1">
        <v>6358</v>
      </c>
      <c r="D1525" s="1">
        <v>1</v>
      </c>
      <c r="F1525" s="1">
        <v>2023</v>
      </c>
      <c r="G1525" s="1" t="s">
        <v>1666</v>
      </c>
      <c r="H1525" s="1">
        <v>610341</v>
      </c>
      <c r="I1525" s="1">
        <v>5</v>
      </c>
      <c r="K1525" s="1" t="s">
        <v>3764</v>
      </c>
      <c r="L1525" s="1" t="s">
        <v>3765</v>
      </c>
      <c r="M1525" s="1">
        <v>85</v>
      </c>
      <c r="N1525" s="1" t="s">
        <v>39</v>
      </c>
      <c r="O1525" s="1">
        <v>44.8889</v>
      </c>
      <c r="P1525" s="1">
        <v>-94.35</v>
      </c>
      <c r="Q1525" s="1" t="s">
        <v>3766</v>
      </c>
      <c r="R1525" s="1" t="s">
        <v>41</v>
      </c>
      <c r="T1525" s="1" t="s">
        <v>71</v>
      </c>
      <c r="U1525" s="1" t="s">
        <v>44</v>
      </c>
      <c r="X1525" s="1" t="s">
        <v>95</v>
      </c>
      <c r="AA1525" s="3">
        <v>34639</v>
      </c>
      <c r="AB1525" s="1" t="s">
        <v>46</v>
      </c>
      <c r="AC1525" s="5">
        <v>530</v>
      </c>
      <c r="AD1525" s="1" t="s">
        <v>3767</v>
      </c>
      <c r="AE1525" s="1" t="str">
        <f t="shared" si="115"/>
        <v>6358 1</v>
      </c>
      <c r="AF1525" s="14">
        <f>MID(AD1525,FIND("(",AD1525)+1,FIND(")",AD1525)-FIND("(",AD1525)-1)+11.5</f>
        <v>65.5</v>
      </c>
      <c r="AG1525" s="1" t="str">
        <f t="shared" si="114"/>
        <v/>
      </c>
    </row>
    <row r="1526" spans="1:33" x14ac:dyDescent="0.2">
      <c r="A1526" s="1" t="s">
        <v>203</v>
      </c>
      <c r="B1526" s="1" t="s">
        <v>3768</v>
      </c>
      <c r="C1526" s="1">
        <v>6373</v>
      </c>
      <c r="D1526" s="1">
        <v>1</v>
      </c>
      <c r="F1526" s="1">
        <v>2023</v>
      </c>
      <c r="G1526" s="1" t="s">
        <v>1696</v>
      </c>
      <c r="H1526" s="1">
        <v>608164</v>
      </c>
      <c r="I1526" s="1">
        <v>7</v>
      </c>
      <c r="K1526" s="1" t="s">
        <v>1865</v>
      </c>
      <c r="L1526" s="1" t="s">
        <v>1866</v>
      </c>
      <c r="M1526" s="1">
        <v>109</v>
      </c>
      <c r="N1526" s="1" t="s">
        <v>39</v>
      </c>
      <c r="O1526" s="1">
        <v>40.7316</v>
      </c>
      <c r="P1526" s="1">
        <v>-96.736400000000003</v>
      </c>
      <c r="Q1526" s="1" t="s">
        <v>1867</v>
      </c>
      <c r="T1526" s="1" t="s">
        <v>93</v>
      </c>
      <c r="U1526" s="1" t="s">
        <v>44</v>
      </c>
      <c r="V1526" s="1" t="s">
        <v>94</v>
      </c>
      <c r="X1526" s="1" t="s">
        <v>95</v>
      </c>
      <c r="AA1526" s="3">
        <v>27546</v>
      </c>
      <c r="AB1526" s="1" t="s">
        <v>46</v>
      </c>
      <c r="AC1526" s="5">
        <v>860</v>
      </c>
      <c r="AD1526" s="1" t="s">
        <v>3769</v>
      </c>
      <c r="AE1526" s="1" t="str">
        <f t="shared" si="115"/>
        <v>6373 1</v>
      </c>
      <c r="AF1526" s="5" t="str">
        <f t="shared" ref="AF1526:AF1571" si="118">MID(AD1526,FIND("(",AD1526)+1,FIND(")",AD1526)-FIND("(",AD1526)-1)</f>
        <v>72.4</v>
      </c>
      <c r="AG1526" s="1" t="str">
        <f t="shared" si="114"/>
        <v/>
      </c>
    </row>
    <row r="1527" spans="1:33" x14ac:dyDescent="0.2">
      <c r="A1527" s="1" t="s">
        <v>203</v>
      </c>
      <c r="B1527" s="1" t="s">
        <v>3768</v>
      </c>
      <c r="C1527" s="1">
        <v>6373</v>
      </c>
      <c r="D1527" s="1">
        <v>2</v>
      </c>
      <c r="F1527" s="1">
        <v>2023</v>
      </c>
      <c r="G1527" s="1" t="s">
        <v>1666</v>
      </c>
      <c r="H1527" s="1">
        <v>608164</v>
      </c>
      <c r="I1527" s="1">
        <v>7</v>
      </c>
      <c r="K1527" s="1" t="s">
        <v>1865</v>
      </c>
      <c r="L1527" s="1" t="s">
        <v>1866</v>
      </c>
      <c r="M1527" s="1">
        <v>109</v>
      </c>
      <c r="N1527" s="1" t="s">
        <v>39</v>
      </c>
      <c r="O1527" s="1">
        <v>40.7316</v>
      </c>
      <c r="P1527" s="1">
        <v>-96.736400000000003</v>
      </c>
      <c r="Q1527" s="1" t="s">
        <v>1867</v>
      </c>
      <c r="R1527" s="1" t="s">
        <v>41</v>
      </c>
      <c r="T1527" s="1" t="s">
        <v>93</v>
      </c>
      <c r="U1527" s="1" t="s">
        <v>44</v>
      </c>
      <c r="V1527" s="1" t="s">
        <v>94</v>
      </c>
      <c r="X1527" s="1" t="s">
        <v>183</v>
      </c>
      <c r="AA1527" s="3">
        <v>35395</v>
      </c>
      <c r="AB1527" s="1" t="s">
        <v>46</v>
      </c>
      <c r="AC1527" s="5">
        <v>882</v>
      </c>
      <c r="AD1527" s="1" t="s">
        <v>3770</v>
      </c>
      <c r="AE1527" s="1" t="str">
        <f t="shared" si="115"/>
        <v>6373 2</v>
      </c>
      <c r="AF1527" s="5" t="str">
        <f t="shared" si="118"/>
        <v>95.4</v>
      </c>
      <c r="AG1527" s="1" t="str">
        <f t="shared" si="114"/>
        <v/>
      </c>
    </row>
    <row r="1528" spans="1:33" x14ac:dyDescent="0.2">
      <c r="A1528" s="1" t="s">
        <v>203</v>
      </c>
      <c r="B1528" s="1" t="s">
        <v>3768</v>
      </c>
      <c r="C1528" s="1">
        <v>6373</v>
      </c>
      <c r="D1528" s="1">
        <v>3</v>
      </c>
      <c r="F1528" s="1">
        <v>2023</v>
      </c>
      <c r="G1528" s="1" t="s">
        <v>1666</v>
      </c>
      <c r="H1528" s="1">
        <v>608164</v>
      </c>
      <c r="I1528" s="1">
        <v>7</v>
      </c>
      <c r="K1528" s="1" t="s">
        <v>1865</v>
      </c>
      <c r="L1528" s="1" t="s">
        <v>1866</v>
      </c>
      <c r="M1528" s="1">
        <v>109</v>
      </c>
      <c r="N1528" s="1" t="s">
        <v>39</v>
      </c>
      <c r="O1528" s="1">
        <v>40.7316</v>
      </c>
      <c r="P1528" s="1">
        <v>-96.736400000000003</v>
      </c>
      <c r="Q1528" s="1" t="s">
        <v>1867</v>
      </c>
      <c r="R1528" s="1" t="s">
        <v>41</v>
      </c>
      <c r="T1528" s="1" t="s">
        <v>93</v>
      </c>
      <c r="U1528" s="1" t="s">
        <v>44</v>
      </c>
      <c r="V1528" s="1" t="s">
        <v>94</v>
      </c>
      <c r="X1528" s="1" t="s">
        <v>183</v>
      </c>
      <c r="AA1528" s="3">
        <v>36976</v>
      </c>
      <c r="AB1528" s="1" t="s">
        <v>46</v>
      </c>
      <c r="AC1528" s="5">
        <v>1037</v>
      </c>
      <c r="AD1528" s="1" t="s">
        <v>3771</v>
      </c>
      <c r="AE1528" s="1" t="str">
        <f t="shared" si="115"/>
        <v>6373 3</v>
      </c>
      <c r="AF1528" s="5" t="str">
        <f t="shared" si="118"/>
        <v>95.4</v>
      </c>
      <c r="AG1528" s="1" t="str">
        <f t="shared" si="114"/>
        <v/>
      </c>
    </row>
    <row r="1529" spans="1:33" x14ac:dyDescent="0.2">
      <c r="A1529" s="1" t="s">
        <v>1186</v>
      </c>
      <c r="B1529" s="1" t="s">
        <v>3772</v>
      </c>
      <c r="C1529" s="1">
        <v>6463</v>
      </c>
      <c r="D1529" s="1" t="s">
        <v>1102</v>
      </c>
      <c r="F1529" s="1">
        <v>2023</v>
      </c>
      <c r="G1529" s="1" t="s">
        <v>1207</v>
      </c>
      <c r="H1529" s="1">
        <v>602968</v>
      </c>
      <c r="I1529" s="1">
        <v>7</v>
      </c>
      <c r="J1529" s="1" t="s">
        <v>207</v>
      </c>
      <c r="K1529" s="1" t="s">
        <v>1229</v>
      </c>
      <c r="L1529" s="1" t="s">
        <v>1230</v>
      </c>
      <c r="M1529" s="1">
        <v>169</v>
      </c>
      <c r="N1529" s="1" t="s">
        <v>39</v>
      </c>
      <c r="O1529" s="1">
        <v>42.026899999999998</v>
      </c>
      <c r="P1529" s="1">
        <v>-93.582800000000006</v>
      </c>
      <c r="Q1529" s="1" t="s">
        <v>1231</v>
      </c>
      <c r="R1529" s="1" t="s">
        <v>41</v>
      </c>
      <c r="T1529" s="1" t="s">
        <v>93</v>
      </c>
      <c r="U1529" s="1" t="s">
        <v>94</v>
      </c>
      <c r="X1529" s="1" t="s">
        <v>95</v>
      </c>
      <c r="AA1529" s="3">
        <v>38515</v>
      </c>
      <c r="AB1529" s="1" t="s">
        <v>46</v>
      </c>
      <c r="AC1529" s="5">
        <v>313</v>
      </c>
      <c r="AD1529" s="1" t="s">
        <v>3773</v>
      </c>
      <c r="AE1529" s="1" t="str">
        <f t="shared" si="115"/>
        <v>6463 GT2</v>
      </c>
      <c r="AF1529" s="5" t="str">
        <f t="shared" si="118"/>
        <v>57.4</v>
      </c>
      <c r="AG1529" s="1" t="str">
        <f t="shared" si="114"/>
        <v/>
      </c>
    </row>
    <row r="1530" spans="1:33" x14ac:dyDescent="0.2">
      <c r="A1530" s="1" t="s">
        <v>2411</v>
      </c>
      <c r="B1530" s="1" t="s">
        <v>3774</v>
      </c>
      <c r="C1530" s="1">
        <v>6469</v>
      </c>
      <c r="D1530" s="1" t="s">
        <v>866</v>
      </c>
      <c r="F1530" s="1">
        <v>2023</v>
      </c>
      <c r="G1530" s="1" t="s">
        <v>236</v>
      </c>
      <c r="H1530" s="1">
        <v>609771</v>
      </c>
      <c r="I1530" s="1">
        <v>8</v>
      </c>
      <c r="J1530" s="1" t="s">
        <v>207</v>
      </c>
      <c r="K1530" s="1" t="s">
        <v>1354</v>
      </c>
      <c r="L1530" s="1" t="s">
        <v>2417</v>
      </c>
      <c r="M1530" s="1">
        <v>57</v>
      </c>
      <c r="N1530" s="1" t="s">
        <v>39</v>
      </c>
      <c r="O1530" s="1">
        <v>47.371400000000001</v>
      </c>
      <c r="P1530" s="1">
        <v>-101.8344</v>
      </c>
      <c r="Q1530" s="1" t="s">
        <v>2418</v>
      </c>
      <c r="R1530" s="1" t="s">
        <v>41</v>
      </c>
      <c r="S1530" s="1" t="s">
        <v>211</v>
      </c>
      <c r="T1530" s="1" t="s">
        <v>43</v>
      </c>
      <c r="U1530" s="1" t="s">
        <v>55</v>
      </c>
      <c r="W1530" s="1" t="s">
        <v>212</v>
      </c>
      <c r="X1530" s="1" t="s">
        <v>213</v>
      </c>
      <c r="Y1530" s="1" t="s">
        <v>232</v>
      </c>
      <c r="Z1530" s="1" t="s">
        <v>3775</v>
      </c>
      <c r="AA1530" s="3">
        <v>30864</v>
      </c>
      <c r="AB1530" s="1" t="s">
        <v>46</v>
      </c>
      <c r="AC1530" s="5">
        <v>6275</v>
      </c>
      <c r="AD1530" s="1" t="s">
        <v>3776</v>
      </c>
      <c r="AE1530" s="1" t="str">
        <f t="shared" si="115"/>
        <v>6469 B1</v>
      </c>
      <c r="AF1530" s="5" t="str">
        <f t="shared" si="118"/>
        <v>435</v>
      </c>
      <c r="AG1530" s="1" t="str">
        <f t="shared" si="114"/>
        <v/>
      </c>
    </row>
    <row r="1531" spans="1:33" x14ac:dyDescent="0.2">
      <c r="A1531" s="1" t="s">
        <v>2411</v>
      </c>
      <c r="B1531" s="1" t="s">
        <v>3774</v>
      </c>
      <c r="C1531" s="1">
        <v>6469</v>
      </c>
      <c r="D1531" s="1" t="s">
        <v>871</v>
      </c>
      <c r="F1531" s="1">
        <v>2023</v>
      </c>
      <c r="G1531" s="1" t="s">
        <v>236</v>
      </c>
      <c r="H1531" s="1">
        <v>609771</v>
      </c>
      <c r="I1531" s="1">
        <v>8</v>
      </c>
      <c r="J1531" s="1" t="s">
        <v>207</v>
      </c>
      <c r="K1531" s="1" t="s">
        <v>1354</v>
      </c>
      <c r="L1531" s="1" t="s">
        <v>2417</v>
      </c>
      <c r="M1531" s="1">
        <v>57</v>
      </c>
      <c r="N1531" s="1" t="s">
        <v>39</v>
      </c>
      <c r="O1531" s="1">
        <v>47.371400000000001</v>
      </c>
      <c r="P1531" s="1">
        <v>-101.8344</v>
      </c>
      <c r="Q1531" s="1" t="s">
        <v>2418</v>
      </c>
      <c r="R1531" s="1" t="s">
        <v>41</v>
      </c>
      <c r="S1531" s="1" t="s">
        <v>211</v>
      </c>
      <c r="T1531" s="1" t="s">
        <v>43</v>
      </c>
      <c r="U1531" s="1" t="s">
        <v>55</v>
      </c>
      <c r="W1531" s="1" t="s">
        <v>212</v>
      </c>
      <c r="X1531" s="1" t="s">
        <v>213</v>
      </c>
      <c r="Y1531" s="1" t="s">
        <v>232</v>
      </c>
      <c r="Z1531" s="1" t="s">
        <v>3775</v>
      </c>
      <c r="AA1531" s="3">
        <v>31564</v>
      </c>
      <c r="AB1531" s="1" t="s">
        <v>46</v>
      </c>
      <c r="AC1531" s="5">
        <v>6275</v>
      </c>
      <c r="AD1531" s="1" t="s">
        <v>3777</v>
      </c>
      <c r="AE1531" s="1" t="str">
        <f t="shared" si="115"/>
        <v>6469 B2</v>
      </c>
      <c r="AF1531" s="5" t="str">
        <f t="shared" si="118"/>
        <v>435</v>
      </c>
      <c r="AG1531" s="1" t="str">
        <f t="shared" si="114"/>
        <v/>
      </c>
    </row>
    <row r="1532" spans="1:33" x14ac:dyDescent="0.2">
      <c r="A1532" s="1" t="s">
        <v>3076</v>
      </c>
      <c r="B1532" s="1" t="s">
        <v>3778</v>
      </c>
      <c r="C1532" s="1">
        <v>6481</v>
      </c>
      <c r="D1532" s="1" t="s">
        <v>3779</v>
      </c>
      <c r="F1532" s="1">
        <v>2023</v>
      </c>
      <c r="G1532" s="1" t="s">
        <v>236</v>
      </c>
      <c r="H1532" s="1">
        <v>609567</v>
      </c>
      <c r="I1532" s="1">
        <v>8</v>
      </c>
      <c r="J1532" s="1" t="s">
        <v>237</v>
      </c>
      <c r="K1532" s="1" t="s">
        <v>3780</v>
      </c>
      <c r="L1532" s="1" t="s">
        <v>3781</v>
      </c>
      <c r="M1532" s="1">
        <v>27</v>
      </c>
      <c r="N1532" s="1" t="s">
        <v>39</v>
      </c>
      <c r="O1532" s="1">
        <v>39.503500000000003</v>
      </c>
      <c r="P1532" s="1">
        <v>-112.58110000000001</v>
      </c>
      <c r="Q1532" s="1" t="s">
        <v>3782</v>
      </c>
      <c r="R1532" s="1" t="s">
        <v>41</v>
      </c>
      <c r="S1532" s="1" t="s">
        <v>211</v>
      </c>
      <c r="T1532" s="1" t="s">
        <v>89</v>
      </c>
      <c r="U1532" s="1" t="s">
        <v>55</v>
      </c>
      <c r="W1532" s="1" t="s">
        <v>56</v>
      </c>
      <c r="X1532" s="1" t="s">
        <v>90</v>
      </c>
      <c r="Y1532" s="1" t="s">
        <v>232</v>
      </c>
      <c r="AA1532" s="3">
        <v>31594</v>
      </c>
      <c r="AB1532" s="1" t="s">
        <v>46</v>
      </c>
      <c r="AC1532" s="5">
        <v>10274</v>
      </c>
      <c r="AD1532" s="1" t="s">
        <v>3783</v>
      </c>
      <c r="AE1532" s="1" t="str">
        <f t="shared" si="115"/>
        <v>6481 1SGA</v>
      </c>
      <c r="AF1532" s="5" t="str">
        <f t="shared" si="118"/>
        <v>820</v>
      </c>
      <c r="AG1532" s="1" t="str">
        <f t="shared" si="114"/>
        <v/>
      </c>
    </row>
    <row r="1533" spans="1:33" x14ac:dyDescent="0.2">
      <c r="A1533" s="1" t="s">
        <v>3076</v>
      </c>
      <c r="B1533" s="1" t="s">
        <v>3778</v>
      </c>
      <c r="C1533" s="1">
        <v>6481</v>
      </c>
      <c r="D1533" s="1" t="s">
        <v>3784</v>
      </c>
      <c r="F1533" s="1">
        <v>2023</v>
      </c>
      <c r="G1533" s="1" t="s">
        <v>236</v>
      </c>
      <c r="H1533" s="1">
        <v>609567</v>
      </c>
      <c r="I1533" s="1">
        <v>8</v>
      </c>
      <c r="J1533" s="1" t="s">
        <v>237</v>
      </c>
      <c r="K1533" s="1" t="s">
        <v>3780</v>
      </c>
      <c r="L1533" s="1" t="s">
        <v>3781</v>
      </c>
      <c r="M1533" s="1">
        <v>27</v>
      </c>
      <c r="N1533" s="1" t="s">
        <v>39</v>
      </c>
      <c r="O1533" s="1">
        <v>39.503500000000003</v>
      </c>
      <c r="P1533" s="1">
        <v>-112.58110000000001</v>
      </c>
      <c r="Q1533" s="1" t="s">
        <v>3782</v>
      </c>
      <c r="R1533" s="1" t="s">
        <v>41</v>
      </c>
      <c r="S1533" s="1" t="s">
        <v>211</v>
      </c>
      <c r="T1533" s="1" t="s">
        <v>89</v>
      </c>
      <c r="U1533" s="1" t="s">
        <v>55</v>
      </c>
      <c r="W1533" s="1" t="s">
        <v>56</v>
      </c>
      <c r="X1533" s="1" t="s">
        <v>90</v>
      </c>
      <c r="Y1533" s="1" t="s">
        <v>232</v>
      </c>
      <c r="AA1533" s="3">
        <v>31959</v>
      </c>
      <c r="AB1533" s="1" t="s">
        <v>46</v>
      </c>
      <c r="AC1533" s="5">
        <v>10474</v>
      </c>
      <c r="AD1533" s="1" t="s">
        <v>3785</v>
      </c>
      <c r="AE1533" s="1" t="str">
        <f t="shared" si="115"/>
        <v>6481 2SGA</v>
      </c>
      <c r="AF1533" s="5" t="str">
        <f t="shared" si="118"/>
        <v>820</v>
      </c>
      <c r="AG1533" s="1" t="str">
        <f t="shared" si="114"/>
        <v/>
      </c>
    </row>
    <row r="1534" spans="1:33" x14ac:dyDescent="0.2">
      <c r="A1534" s="1" t="s">
        <v>304</v>
      </c>
      <c r="B1534" s="1" t="s">
        <v>3786</v>
      </c>
      <c r="C1534" s="1">
        <v>6584</v>
      </c>
      <c r="D1534" s="1" t="s">
        <v>103</v>
      </c>
      <c r="F1534" s="1">
        <v>2023</v>
      </c>
      <c r="G1534" s="1" t="s">
        <v>247</v>
      </c>
      <c r="H1534" s="1">
        <v>605043</v>
      </c>
      <c r="I1534" s="1">
        <v>4</v>
      </c>
      <c r="J1534" s="1" t="s">
        <v>36</v>
      </c>
      <c r="K1534" s="1" t="s">
        <v>1652</v>
      </c>
      <c r="L1534" s="1" t="s">
        <v>3787</v>
      </c>
      <c r="M1534" s="1">
        <v>87</v>
      </c>
      <c r="N1534" s="1" t="s">
        <v>39</v>
      </c>
      <c r="O1534" s="1">
        <v>24.563600000000001</v>
      </c>
      <c r="P1534" s="1">
        <v>-81.734200000000001</v>
      </c>
      <c r="Q1534" s="1" t="s">
        <v>3788</v>
      </c>
      <c r="R1534" s="1" t="s">
        <v>41</v>
      </c>
      <c r="T1534" s="1" t="s">
        <v>93</v>
      </c>
      <c r="U1534" s="1" t="s">
        <v>94</v>
      </c>
      <c r="X1534" s="1" t="s">
        <v>95</v>
      </c>
      <c r="AA1534" s="3">
        <v>38896</v>
      </c>
      <c r="AB1534" s="1" t="s">
        <v>46</v>
      </c>
      <c r="AC1534" s="5">
        <v>484</v>
      </c>
      <c r="AD1534" s="1" t="s">
        <v>3789</v>
      </c>
      <c r="AE1534" s="1" t="str">
        <f t="shared" si="115"/>
        <v>6584 CT4</v>
      </c>
      <c r="AF1534" s="5" t="str">
        <f t="shared" si="118"/>
        <v>42</v>
      </c>
      <c r="AG1534" s="1" t="str">
        <f t="shared" si="114"/>
        <v/>
      </c>
    </row>
    <row r="1535" spans="1:33" x14ac:dyDescent="0.2">
      <c r="A1535" s="1" t="s">
        <v>577</v>
      </c>
      <c r="B1535" s="1" t="s">
        <v>3790</v>
      </c>
      <c r="C1535" s="1">
        <v>6635</v>
      </c>
      <c r="D1535" s="1" t="s">
        <v>3791</v>
      </c>
      <c r="F1535" s="1">
        <v>2023</v>
      </c>
      <c r="G1535" s="1" t="s">
        <v>579</v>
      </c>
      <c r="H1535" s="1" t="s">
        <v>3792</v>
      </c>
      <c r="I1535" s="1">
        <v>1</v>
      </c>
      <c r="J1535" s="1" t="s">
        <v>580</v>
      </c>
      <c r="K1535" s="1" t="s">
        <v>581</v>
      </c>
      <c r="L1535" s="1" t="s">
        <v>582</v>
      </c>
      <c r="M1535" s="1">
        <v>9</v>
      </c>
      <c r="N1535" s="1" t="s">
        <v>39</v>
      </c>
      <c r="O1535" s="1">
        <v>41.448500000000003</v>
      </c>
      <c r="P1535" s="1">
        <v>-72.834000000000003</v>
      </c>
      <c r="Q1535" s="1" t="s">
        <v>3793</v>
      </c>
      <c r="R1535" s="1" t="s">
        <v>41</v>
      </c>
      <c r="T1535" s="1" t="s">
        <v>93</v>
      </c>
      <c r="U1535" s="1" t="s">
        <v>44</v>
      </c>
      <c r="V1535" s="1" t="s">
        <v>94</v>
      </c>
      <c r="X1535" s="1" t="s">
        <v>183</v>
      </c>
      <c r="AA1535" s="3">
        <v>39319</v>
      </c>
      <c r="AB1535" s="1" t="s">
        <v>46</v>
      </c>
      <c r="AC1535" s="5">
        <v>1560</v>
      </c>
      <c r="AD1535" s="1" t="s">
        <v>3794</v>
      </c>
      <c r="AE1535" s="1" t="str">
        <f t="shared" si="115"/>
        <v>6635 AP-1</v>
      </c>
      <c r="AF1535" s="5" t="str">
        <f t="shared" si="118"/>
        <v>84</v>
      </c>
      <c r="AG1535" s="1" t="str">
        <f t="shared" si="114"/>
        <v/>
      </c>
    </row>
    <row r="1536" spans="1:33" x14ac:dyDescent="0.2">
      <c r="A1536" s="1" t="s">
        <v>165</v>
      </c>
      <c r="B1536" s="1" t="s">
        <v>3795</v>
      </c>
      <c r="C1536" s="1">
        <v>6639</v>
      </c>
      <c r="D1536" s="1" t="s">
        <v>3796</v>
      </c>
      <c r="F1536" s="1">
        <v>2023</v>
      </c>
      <c r="G1536" s="1" t="s">
        <v>1353</v>
      </c>
      <c r="H1536" s="1">
        <v>606335</v>
      </c>
      <c r="I1536" s="1">
        <v>4</v>
      </c>
      <c r="J1536" s="1" t="s">
        <v>169</v>
      </c>
      <c r="K1536" s="1" t="s">
        <v>1416</v>
      </c>
      <c r="L1536" s="1" t="s">
        <v>1417</v>
      </c>
      <c r="M1536" s="1">
        <v>233</v>
      </c>
      <c r="N1536" s="1" t="s">
        <v>39</v>
      </c>
      <c r="O1536" s="1">
        <v>37.646700000000003</v>
      </c>
      <c r="P1536" s="1">
        <v>-87.500600000000006</v>
      </c>
      <c r="Q1536" s="1" t="s">
        <v>1418</v>
      </c>
      <c r="R1536" s="1" t="s">
        <v>41</v>
      </c>
      <c r="S1536" s="1" t="s">
        <v>121</v>
      </c>
      <c r="T1536" s="1" t="s">
        <v>89</v>
      </c>
      <c r="U1536" s="1" t="s">
        <v>44</v>
      </c>
      <c r="AA1536" s="3">
        <v>29140</v>
      </c>
      <c r="AB1536" s="1" t="s">
        <v>46</v>
      </c>
      <c r="AC1536" s="5">
        <v>3000</v>
      </c>
      <c r="AD1536" s="1" t="s">
        <v>3797</v>
      </c>
      <c r="AE1536" s="1" t="str">
        <f t="shared" si="115"/>
        <v>6639 G1</v>
      </c>
      <c r="AF1536" s="5" t="str">
        <f t="shared" si="118"/>
        <v>263.7</v>
      </c>
      <c r="AG1536" s="1" t="str">
        <f t="shared" si="114"/>
        <v/>
      </c>
    </row>
    <row r="1537" spans="1:33" x14ac:dyDescent="0.2">
      <c r="A1537" s="1" t="s">
        <v>165</v>
      </c>
      <c r="B1537" s="1" t="s">
        <v>3795</v>
      </c>
      <c r="C1537" s="1">
        <v>6639</v>
      </c>
      <c r="D1537" s="1" t="s">
        <v>3798</v>
      </c>
      <c r="F1537" s="1">
        <v>2023</v>
      </c>
      <c r="G1537" s="1" t="s">
        <v>1353</v>
      </c>
      <c r="H1537" s="1">
        <v>606335</v>
      </c>
      <c r="I1537" s="1">
        <v>4</v>
      </c>
      <c r="J1537" s="1" t="s">
        <v>169</v>
      </c>
      <c r="K1537" s="1" t="s">
        <v>1416</v>
      </c>
      <c r="L1537" s="1" t="s">
        <v>1417</v>
      </c>
      <c r="M1537" s="1">
        <v>233</v>
      </c>
      <c r="N1537" s="1" t="s">
        <v>39</v>
      </c>
      <c r="O1537" s="1">
        <v>37.646700000000003</v>
      </c>
      <c r="P1537" s="1">
        <v>-87.500600000000006</v>
      </c>
      <c r="Q1537" s="1" t="s">
        <v>1418</v>
      </c>
      <c r="R1537" s="1" t="s">
        <v>41</v>
      </c>
      <c r="S1537" s="1" t="s">
        <v>121</v>
      </c>
      <c r="T1537" s="1" t="s">
        <v>89</v>
      </c>
      <c r="U1537" s="1" t="s">
        <v>44</v>
      </c>
      <c r="AA1537" s="3">
        <v>29526</v>
      </c>
      <c r="AB1537" s="1" t="s">
        <v>46</v>
      </c>
      <c r="AC1537" s="5">
        <v>3000</v>
      </c>
      <c r="AD1537" s="1" t="s">
        <v>3799</v>
      </c>
      <c r="AE1537" s="1" t="str">
        <f t="shared" si="115"/>
        <v>6639 G2</v>
      </c>
      <c r="AF1537" s="5" t="str">
        <f t="shared" si="118"/>
        <v>263.7</v>
      </c>
      <c r="AG1537" s="1" t="str">
        <f t="shared" si="114"/>
        <v/>
      </c>
    </row>
    <row r="1538" spans="1:33" x14ac:dyDescent="0.2">
      <c r="A1538" s="1" t="s">
        <v>348</v>
      </c>
      <c r="B1538" s="1" t="s">
        <v>3800</v>
      </c>
      <c r="C1538" s="1">
        <v>6641</v>
      </c>
      <c r="D1538" s="1">
        <v>1</v>
      </c>
      <c r="F1538" s="1">
        <v>2023</v>
      </c>
      <c r="G1538" s="1" t="s">
        <v>337</v>
      </c>
      <c r="H1538" s="1" t="s">
        <v>350</v>
      </c>
      <c r="I1538" s="1">
        <v>6</v>
      </c>
      <c r="J1538" s="1" t="s">
        <v>228</v>
      </c>
      <c r="K1538" s="1" t="s">
        <v>3801</v>
      </c>
      <c r="L1538" s="1" t="s">
        <v>3802</v>
      </c>
      <c r="M1538" s="1">
        <v>63</v>
      </c>
      <c r="N1538" s="1" t="s">
        <v>39</v>
      </c>
      <c r="O1538" s="1">
        <v>35.673299999999998</v>
      </c>
      <c r="P1538" s="1">
        <v>-91.408299999999997</v>
      </c>
      <c r="Q1538" s="1" t="s">
        <v>3803</v>
      </c>
      <c r="R1538" s="1" t="s">
        <v>41</v>
      </c>
      <c r="S1538" s="1" t="s">
        <v>211</v>
      </c>
      <c r="T1538" s="1" t="s">
        <v>43</v>
      </c>
      <c r="U1538" s="1" t="s">
        <v>55</v>
      </c>
      <c r="V1538" s="1" t="s">
        <v>173</v>
      </c>
      <c r="X1538" s="1" t="s">
        <v>242</v>
      </c>
      <c r="Y1538" s="1" t="s">
        <v>58</v>
      </c>
      <c r="Z1538" s="1" t="s">
        <v>937</v>
      </c>
      <c r="AA1538" s="3">
        <v>30334</v>
      </c>
      <c r="AB1538" s="1" t="s">
        <v>46</v>
      </c>
      <c r="AC1538" s="5">
        <v>9900</v>
      </c>
      <c r="AD1538" s="1" t="s">
        <v>3319</v>
      </c>
      <c r="AE1538" s="1" t="str">
        <f t="shared" si="115"/>
        <v>6641 1</v>
      </c>
      <c r="AF1538" s="5" t="str">
        <f t="shared" si="118"/>
        <v>850</v>
      </c>
      <c r="AG1538" s="1" t="str">
        <f t="shared" ref="AG1538:AG1601" si="119">IF(ISNUMBER(SEARCH("selective", X1538)), "Y", "")</f>
        <v/>
      </c>
    </row>
    <row r="1539" spans="1:33" x14ac:dyDescent="0.2">
      <c r="A1539" s="1" t="s">
        <v>348</v>
      </c>
      <c r="B1539" s="1" t="s">
        <v>3800</v>
      </c>
      <c r="C1539" s="1">
        <v>6641</v>
      </c>
      <c r="D1539" s="1">
        <v>2</v>
      </c>
      <c r="F1539" s="1">
        <v>2023</v>
      </c>
      <c r="G1539" s="1" t="s">
        <v>337</v>
      </c>
      <c r="H1539" s="1" t="s">
        <v>350</v>
      </c>
      <c r="I1539" s="1">
        <v>6</v>
      </c>
      <c r="J1539" s="1" t="s">
        <v>228</v>
      </c>
      <c r="K1539" s="1" t="s">
        <v>3801</v>
      </c>
      <c r="L1539" s="1" t="s">
        <v>3802</v>
      </c>
      <c r="M1539" s="1">
        <v>63</v>
      </c>
      <c r="N1539" s="1" t="s">
        <v>39</v>
      </c>
      <c r="O1539" s="1">
        <v>35.673299999999998</v>
      </c>
      <c r="P1539" s="1">
        <v>-91.408299999999997</v>
      </c>
      <c r="Q1539" s="1" t="s">
        <v>3803</v>
      </c>
      <c r="R1539" s="1" t="s">
        <v>41</v>
      </c>
      <c r="S1539" s="1" t="s">
        <v>211</v>
      </c>
      <c r="T1539" s="1" t="s">
        <v>43</v>
      </c>
      <c r="U1539" s="1" t="s">
        <v>55</v>
      </c>
      <c r="V1539" s="1" t="s">
        <v>173</v>
      </c>
      <c r="X1539" s="1" t="s">
        <v>242</v>
      </c>
      <c r="Y1539" s="1" t="s">
        <v>58</v>
      </c>
      <c r="Z1539" s="1" t="s">
        <v>937</v>
      </c>
      <c r="AA1539" s="3">
        <v>31022</v>
      </c>
      <c r="AB1539" s="1" t="s">
        <v>46</v>
      </c>
      <c r="AC1539" s="5">
        <v>10480</v>
      </c>
      <c r="AD1539" s="1" t="s">
        <v>3320</v>
      </c>
      <c r="AE1539" s="1" t="str">
        <f t="shared" ref="AE1539:AE1602" si="120">C1539&amp;" "&amp;D1539</f>
        <v>6641 2</v>
      </c>
      <c r="AF1539" s="5" t="str">
        <f t="shared" si="118"/>
        <v>850</v>
      </c>
      <c r="AG1539" s="1" t="str">
        <f t="shared" si="119"/>
        <v/>
      </c>
    </row>
    <row r="1540" spans="1:33" x14ac:dyDescent="0.2">
      <c r="A1540" s="1" t="s">
        <v>1755</v>
      </c>
      <c r="B1540" s="1" t="s">
        <v>3804</v>
      </c>
      <c r="C1540" s="1">
        <v>6650</v>
      </c>
      <c r="D1540" s="1" t="s">
        <v>993</v>
      </c>
      <c r="F1540" s="1">
        <v>2023</v>
      </c>
      <c r="G1540" s="1" t="s">
        <v>1195</v>
      </c>
      <c r="H1540" s="1">
        <v>607655</v>
      </c>
      <c r="I1540" s="1">
        <v>7</v>
      </c>
      <c r="K1540" s="1" t="s">
        <v>3805</v>
      </c>
      <c r="L1540" s="1" t="s">
        <v>3806</v>
      </c>
      <c r="M1540" s="1">
        <v>7</v>
      </c>
      <c r="N1540" s="1" t="s">
        <v>39</v>
      </c>
      <c r="O1540" s="1">
        <v>39.148099999999999</v>
      </c>
      <c r="P1540" s="1">
        <v>-91.830600000000004</v>
      </c>
      <c r="Q1540" s="1" t="s">
        <v>1046</v>
      </c>
      <c r="T1540" s="1" t="s">
        <v>93</v>
      </c>
      <c r="U1540" s="1" t="s">
        <v>94</v>
      </c>
      <c r="AA1540" s="3">
        <v>28368</v>
      </c>
      <c r="AB1540" s="1" t="s">
        <v>46</v>
      </c>
      <c r="AC1540" s="5">
        <v>891</v>
      </c>
      <c r="AD1540" s="1" t="s">
        <v>3081</v>
      </c>
      <c r="AE1540" s="1" t="str">
        <f t="shared" si="120"/>
        <v>6650 CT01</v>
      </c>
      <c r="AF1540" s="5" t="str">
        <f t="shared" si="118"/>
        <v>69</v>
      </c>
      <c r="AG1540" s="1" t="str">
        <f t="shared" si="119"/>
        <v/>
      </c>
    </row>
    <row r="1541" spans="1:33" x14ac:dyDescent="0.2">
      <c r="A1541" s="1" t="s">
        <v>1755</v>
      </c>
      <c r="B1541" s="1" t="s">
        <v>3807</v>
      </c>
      <c r="C1541" s="1">
        <v>6651</v>
      </c>
      <c r="D1541" s="1" t="s">
        <v>993</v>
      </c>
      <c r="F1541" s="1">
        <v>2023</v>
      </c>
      <c r="G1541" s="1" t="s">
        <v>1195</v>
      </c>
      <c r="H1541" s="1">
        <v>607655</v>
      </c>
      <c r="I1541" s="1">
        <v>7</v>
      </c>
      <c r="K1541" s="1" t="s">
        <v>1037</v>
      </c>
      <c r="L1541" s="1" t="s">
        <v>1836</v>
      </c>
      <c r="M1541" s="1">
        <v>175</v>
      </c>
      <c r="N1541" s="1" t="s">
        <v>39</v>
      </c>
      <c r="O1541" s="1">
        <v>39.424399999999999</v>
      </c>
      <c r="P1541" s="1">
        <v>-92.483699999999999</v>
      </c>
      <c r="Q1541" s="1" t="s">
        <v>1046</v>
      </c>
      <c r="T1541" s="1" t="s">
        <v>93</v>
      </c>
      <c r="U1541" s="1" t="s">
        <v>94</v>
      </c>
      <c r="AA1541" s="3">
        <v>28379</v>
      </c>
      <c r="AB1541" s="1" t="s">
        <v>46</v>
      </c>
      <c r="AC1541" s="5">
        <v>891</v>
      </c>
      <c r="AD1541" s="1" t="s">
        <v>3081</v>
      </c>
      <c r="AE1541" s="1" t="str">
        <f t="shared" si="120"/>
        <v>6651 CT01</v>
      </c>
      <c r="AF1541" s="5" t="str">
        <f t="shared" si="118"/>
        <v>69</v>
      </c>
      <c r="AG1541" s="1" t="str">
        <f t="shared" si="119"/>
        <v/>
      </c>
    </row>
    <row r="1542" spans="1:33" x14ac:dyDescent="0.2">
      <c r="A1542" s="1" t="s">
        <v>1755</v>
      </c>
      <c r="B1542" s="1" t="s">
        <v>3808</v>
      </c>
      <c r="C1542" s="1">
        <v>6652</v>
      </c>
      <c r="D1542" s="1" t="s">
        <v>993</v>
      </c>
      <c r="F1542" s="1">
        <v>2023</v>
      </c>
      <c r="G1542" s="1" t="s">
        <v>1195</v>
      </c>
      <c r="H1542" s="1">
        <v>607655</v>
      </c>
      <c r="I1542" s="1">
        <v>7</v>
      </c>
      <c r="K1542" s="1" t="s">
        <v>1773</v>
      </c>
      <c r="L1542" s="1" t="s">
        <v>1774</v>
      </c>
      <c r="M1542" s="1">
        <v>51</v>
      </c>
      <c r="N1542" s="1" t="s">
        <v>39</v>
      </c>
      <c r="O1542" s="1">
        <v>38.555300000000003</v>
      </c>
      <c r="P1542" s="1">
        <v>-92.102000000000004</v>
      </c>
      <c r="Q1542" s="1" t="s">
        <v>1046</v>
      </c>
      <c r="T1542" s="1" t="s">
        <v>93</v>
      </c>
      <c r="U1542" s="1" t="s">
        <v>94</v>
      </c>
      <c r="AA1542" s="3">
        <v>28400</v>
      </c>
      <c r="AB1542" s="1" t="s">
        <v>46</v>
      </c>
      <c r="AC1542" s="5">
        <v>891</v>
      </c>
      <c r="AD1542" s="1" t="s">
        <v>3081</v>
      </c>
      <c r="AE1542" s="1" t="str">
        <f t="shared" si="120"/>
        <v>6652 CT01</v>
      </c>
      <c r="AF1542" s="5" t="str">
        <f t="shared" si="118"/>
        <v>69</v>
      </c>
      <c r="AG1542" s="1" t="str">
        <f t="shared" si="119"/>
        <v/>
      </c>
    </row>
    <row r="1543" spans="1:33" x14ac:dyDescent="0.2">
      <c r="A1543" s="1" t="s">
        <v>1186</v>
      </c>
      <c r="B1543" s="1" t="s">
        <v>3809</v>
      </c>
      <c r="C1543" s="1">
        <v>6664</v>
      </c>
      <c r="D1543" s="1">
        <v>101</v>
      </c>
      <c r="F1543" s="1">
        <v>2023</v>
      </c>
      <c r="G1543" s="1" t="s">
        <v>1188</v>
      </c>
      <c r="H1543" s="1" t="s">
        <v>1210</v>
      </c>
      <c r="I1543" s="1">
        <v>7</v>
      </c>
      <c r="J1543" s="1" t="s">
        <v>207</v>
      </c>
      <c r="K1543" s="1" t="s">
        <v>3810</v>
      </c>
      <c r="L1543" s="1" t="s">
        <v>3811</v>
      </c>
      <c r="M1543" s="1">
        <v>115</v>
      </c>
      <c r="N1543" s="1" t="s">
        <v>39</v>
      </c>
      <c r="O1543" s="1">
        <v>41.315300000000001</v>
      </c>
      <c r="P1543" s="1">
        <v>-91.093599999999995</v>
      </c>
      <c r="Q1543" s="1" t="s">
        <v>3812</v>
      </c>
      <c r="R1543" s="1" t="s">
        <v>41</v>
      </c>
      <c r="S1543" s="1" t="s">
        <v>211</v>
      </c>
      <c r="T1543" s="1" t="s">
        <v>89</v>
      </c>
      <c r="U1543" s="1" t="s">
        <v>55</v>
      </c>
      <c r="W1543" s="1" t="s">
        <v>212</v>
      </c>
      <c r="X1543" s="1" t="s">
        <v>289</v>
      </c>
      <c r="Y1543" s="1" t="s">
        <v>232</v>
      </c>
      <c r="Z1543" s="1" t="s">
        <v>214</v>
      </c>
      <c r="AA1543" s="3">
        <v>30602</v>
      </c>
      <c r="AB1543" s="1" t="s">
        <v>46</v>
      </c>
      <c r="AC1543" s="5">
        <v>8000</v>
      </c>
      <c r="AD1543" s="1" t="s">
        <v>3813</v>
      </c>
      <c r="AE1543" s="1" t="str">
        <f t="shared" si="120"/>
        <v>6664 101</v>
      </c>
      <c r="AF1543" s="5" t="str">
        <f t="shared" si="118"/>
        <v>738</v>
      </c>
      <c r="AG1543" s="1" t="str">
        <f t="shared" si="119"/>
        <v/>
      </c>
    </row>
    <row r="1544" spans="1:33" x14ac:dyDescent="0.2">
      <c r="A1544" s="1" t="s">
        <v>1071</v>
      </c>
      <c r="B1544" s="1" t="s">
        <v>3814</v>
      </c>
      <c r="C1544" s="1">
        <v>6705</v>
      </c>
      <c r="D1544" s="1">
        <v>4</v>
      </c>
      <c r="F1544" s="1">
        <v>2023</v>
      </c>
      <c r="G1544" s="1" t="s">
        <v>1005</v>
      </c>
      <c r="H1544" s="1">
        <v>608228</v>
      </c>
      <c r="I1544" s="1">
        <v>5</v>
      </c>
      <c r="J1544" s="1" t="s">
        <v>169</v>
      </c>
      <c r="K1544" s="1" t="s">
        <v>1146</v>
      </c>
      <c r="L1544" s="1" t="s">
        <v>1147</v>
      </c>
      <c r="M1544" s="1">
        <v>173</v>
      </c>
      <c r="N1544" s="1" t="s">
        <v>3815</v>
      </c>
      <c r="O1544" s="1">
        <v>37.914999999999999</v>
      </c>
      <c r="P1544" s="1">
        <v>-87.332800000000006</v>
      </c>
      <c r="Q1544" s="1" t="s">
        <v>3816</v>
      </c>
      <c r="R1544" s="1" t="s">
        <v>120</v>
      </c>
      <c r="S1544" s="1" t="s">
        <v>85</v>
      </c>
      <c r="T1544" s="1" t="s">
        <v>86</v>
      </c>
      <c r="U1544" s="1" t="s">
        <v>55</v>
      </c>
      <c r="W1544" s="1" t="s">
        <v>241</v>
      </c>
      <c r="X1544" s="1" t="s">
        <v>1633</v>
      </c>
      <c r="Y1544" s="1" t="s">
        <v>58</v>
      </c>
      <c r="Z1544" s="1" t="s">
        <v>937</v>
      </c>
      <c r="AA1544" s="3">
        <v>25842</v>
      </c>
      <c r="AB1544" s="1" t="s">
        <v>46</v>
      </c>
      <c r="AC1544" s="5">
        <v>4455.2</v>
      </c>
      <c r="AD1544" s="1" t="s">
        <v>3817</v>
      </c>
      <c r="AE1544" s="1" t="str">
        <f t="shared" si="120"/>
        <v>6705 4</v>
      </c>
      <c r="AF1544" s="5" t="str">
        <f t="shared" si="118"/>
        <v>323</v>
      </c>
      <c r="AG1544" s="1" t="str">
        <f t="shared" si="119"/>
        <v>Y</v>
      </c>
    </row>
    <row r="1545" spans="1:33" x14ac:dyDescent="0.2">
      <c r="A1545" s="1" t="s">
        <v>1663</v>
      </c>
      <c r="B1545" s="1" t="s">
        <v>3818</v>
      </c>
      <c r="C1545" s="1">
        <v>6741</v>
      </c>
      <c r="D1545" s="1">
        <v>1</v>
      </c>
      <c r="F1545" s="1">
        <v>2023</v>
      </c>
      <c r="G1545" s="1" t="s">
        <v>1696</v>
      </c>
      <c r="H1545" s="1">
        <v>607684</v>
      </c>
      <c r="I1545" s="1">
        <v>5</v>
      </c>
      <c r="J1545" s="1" t="s">
        <v>207</v>
      </c>
      <c r="K1545" s="1" t="s">
        <v>3819</v>
      </c>
      <c r="L1545" s="1" t="s">
        <v>3820</v>
      </c>
      <c r="M1545" s="1">
        <v>115</v>
      </c>
      <c r="N1545" s="1" t="s">
        <v>39</v>
      </c>
      <c r="O1545" s="1">
        <v>45.805399999999999</v>
      </c>
      <c r="P1545" s="1">
        <v>-92.971800000000002</v>
      </c>
      <c r="Q1545" s="1" t="s">
        <v>1720</v>
      </c>
      <c r="T1545" s="1" t="s">
        <v>93</v>
      </c>
      <c r="U1545" s="1" t="s">
        <v>94</v>
      </c>
      <c r="AA1545" s="3">
        <v>28588</v>
      </c>
      <c r="AB1545" s="1" t="s">
        <v>46</v>
      </c>
      <c r="AC1545" s="5">
        <v>363.3</v>
      </c>
      <c r="AD1545" s="1" t="s">
        <v>3821</v>
      </c>
      <c r="AE1545" s="1" t="str">
        <f t="shared" si="120"/>
        <v>6741 1</v>
      </c>
      <c r="AF1545" s="5" t="str">
        <f t="shared" si="118"/>
        <v>29.3</v>
      </c>
      <c r="AG1545" s="1" t="str">
        <f t="shared" si="119"/>
        <v/>
      </c>
    </row>
    <row r="1546" spans="1:33" x14ac:dyDescent="0.2">
      <c r="A1546" s="1" t="s">
        <v>516</v>
      </c>
      <c r="B1546" s="1" t="s">
        <v>3822</v>
      </c>
      <c r="C1546" s="1">
        <v>6761</v>
      </c>
      <c r="D1546" s="1">
        <v>101</v>
      </c>
      <c r="F1546" s="1">
        <v>2023</v>
      </c>
      <c r="G1546" s="1" t="s">
        <v>236</v>
      </c>
      <c r="H1546" s="1">
        <v>610410</v>
      </c>
      <c r="I1546" s="1">
        <v>8</v>
      </c>
      <c r="J1546" s="1" t="s">
        <v>237</v>
      </c>
      <c r="K1546" s="1" t="s">
        <v>3823</v>
      </c>
      <c r="L1546" s="1" t="s">
        <v>3824</v>
      </c>
      <c r="M1546" s="1">
        <v>69</v>
      </c>
      <c r="N1546" s="1" t="s">
        <v>39</v>
      </c>
      <c r="O1546" s="1">
        <v>40.8611</v>
      </c>
      <c r="P1546" s="1">
        <v>-105.0206</v>
      </c>
      <c r="Q1546" s="1" t="s">
        <v>3825</v>
      </c>
      <c r="R1546" s="1" t="s">
        <v>41</v>
      </c>
      <c r="S1546" s="1" t="s">
        <v>211</v>
      </c>
      <c r="T1546" s="1" t="s">
        <v>43</v>
      </c>
      <c r="U1546" s="1" t="s">
        <v>55</v>
      </c>
      <c r="W1546" s="1" t="s">
        <v>212</v>
      </c>
      <c r="X1546" s="1" t="s">
        <v>213</v>
      </c>
      <c r="Y1546" s="1" t="s">
        <v>232</v>
      </c>
      <c r="Z1546" s="1" t="s">
        <v>214</v>
      </c>
      <c r="AA1546" s="3">
        <v>30773</v>
      </c>
      <c r="AB1546" s="1" t="s">
        <v>46</v>
      </c>
      <c r="AC1546" s="5">
        <v>3500</v>
      </c>
      <c r="AD1546" s="1" t="s">
        <v>3826</v>
      </c>
      <c r="AE1546" s="1" t="str">
        <f t="shared" si="120"/>
        <v>6761 101</v>
      </c>
      <c r="AF1546" s="5" t="str">
        <f t="shared" si="118"/>
        <v>305</v>
      </c>
      <c r="AG1546" s="1" t="str">
        <f t="shared" si="119"/>
        <v/>
      </c>
    </row>
    <row r="1547" spans="1:33" x14ac:dyDescent="0.2">
      <c r="A1547" s="1" t="s">
        <v>516</v>
      </c>
      <c r="B1547" s="1" t="s">
        <v>3822</v>
      </c>
      <c r="C1547" s="1">
        <v>6761</v>
      </c>
      <c r="D1547" s="1" t="s">
        <v>3087</v>
      </c>
      <c r="F1547" s="1">
        <v>2023</v>
      </c>
      <c r="G1547" s="1" t="s">
        <v>247</v>
      </c>
      <c r="H1547" s="1">
        <v>610410</v>
      </c>
      <c r="I1547" s="1">
        <v>8</v>
      </c>
      <c r="J1547" s="1" t="s">
        <v>237</v>
      </c>
      <c r="K1547" s="1" t="s">
        <v>3823</v>
      </c>
      <c r="L1547" s="1" t="s">
        <v>3824</v>
      </c>
      <c r="M1547" s="1">
        <v>69</v>
      </c>
      <c r="N1547" s="1" t="s">
        <v>39</v>
      </c>
      <c r="O1547" s="1">
        <v>40.8611</v>
      </c>
      <c r="P1547" s="1">
        <v>-105.0206</v>
      </c>
      <c r="Q1547" s="1" t="s">
        <v>3825</v>
      </c>
      <c r="R1547" s="1" t="s">
        <v>41</v>
      </c>
      <c r="T1547" s="1" t="s">
        <v>93</v>
      </c>
      <c r="U1547" s="1" t="s">
        <v>44</v>
      </c>
      <c r="X1547" s="1" t="s">
        <v>140</v>
      </c>
      <c r="AA1547" s="3">
        <v>37414</v>
      </c>
      <c r="AB1547" s="1" t="s">
        <v>46</v>
      </c>
      <c r="AC1547" s="5">
        <v>950</v>
      </c>
      <c r="AD1547" s="1" t="s">
        <v>3827</v>
      </c>
      <c r="AE1547" s="1" t="str">
        <f t="shared" si="120"/>
        <v>6761 A</v>
      </c>
      <c r="AF1547" s="5" t="str">
        <f t="shared" si="118"/>
        <v>82</v>
      </c>
      <c r="AG1547" s="1" t="str">
        <f t="shared" si="119"/>
        <v/>
      </c>
    </row>
    <row r="1548" spans="1:33" x14ac:dyDescent="0.2">
      <c r="A1548" s="1" t="s">
        <v>516</v>
      </c>
      <c r="B1548" s="1" t="s">
        <v>3822</v>
      </c>
      <c r="C1548" s="1">
        <v>6761</v>
      </c>
      <c r="D1548" s="1" t="s">
        <v>3091</v>
      </c>
      <c r="F1548" s="1">
        <v>2023</v>
      </c>
      <c r="G1548" s="1" t="s">
        <v>247</v>
      </c>
      <c r="H1548" s="1">
        <v>610410</v>
      </c>
      <c r="I1548" s="1">
        <v>8</v>
      </c>
      <c r="J1548" s="1" t="s">
        <v>237</v>
      </c>
      <c r="K1548" s="1" t="s">
        <v>3823</v>
      </c>
      <c r="L1548" s="1" t="s">
        <v>3824</v>
      </c>
      <c r="M1548" s="1">
        <v>69</v>
      </c>
      <c r="N1548" s="1" t="s">
        <v>39</v>
      </c>
      <c r="O1548" s="1">
        <v>40.8611</v>
      </c>
      <c r="P1548" s="1">
        <v>-105.0206</v>
      </c>
      <c r="Q1548" s="1" t="s">
        <v>3825</v>
      </c>
      <c r="R1548" s="1" t="s">
        <v>41</v>
      </c>
      <c r="T1548" s="1" t="s">
        <v>93</v>
      </c>
      <c r="U1548" s="1" t="s">
        <v>44</v>
      </c>
      <c r="X1548" s="1" t="s">
        <v>140</v>
      </c>
      <c r="AA1548" s="3">
        <v>37492</v>
      </c>
      <c r="AB1548" s="1" t="s">
        <v>46</v>
      </c>
      <c r="AC1548" s="5">
        <v>950</v>
      </c>
      <c r="AD1548" s="1" t="s">
        <v>3828</v>
      </c>
      <c r="AE1548" s="1" t="str">
        <f t="shared" si="120"/>
        <v>6761 B</v>
      </c>
      <c r="AF1548" s="5" t="str">
        <f t="shared" si="118"/>
        <v>82</v>
      </c>
      <c r="AG1548" s="1" t="str">
        <f t="shared" si="119"/>
        <v/>
      </c>
    </row>
    <row r="1549" spans="1:33" x14ac:dyDescent="0.2">
      <c r="A1549" s="1" t="s">
        <v>516</v>
      </c>
      <c r="B1549" s="1" t="s">
        <v>3822</v>
      </c>
      <c r="C1549" s="1">
        <v>6761</v>
      </c>
      <c r="D1549" s="1" t="s">
        <v>3829</v>
      </c>
      <c r="F1549" s="1">
        <v>2023</v>
      </c>
      <c r="G1549" s="1" t="s">
        <v>247</v>
      </c>
      <c r="H1549" s="1">
        <v>610410</v>
      </c>
      <c r="I1549" s="1">
        <v>8</v>
      </c>
      <c r="J1549" s="1" t="s">
        <v>237</v>
      </c>
      <c r="K1549" s="1" t="s">
        <v>3823</v>
      </c>
      <c r="L1549" s="1" t="s">
        <v>3824</v>
      </c>
      <c r="M1549" s="1">
        <v>69</v>
      </c>
      <c r="N1549" s="1" t="s">
        <v>39</v>
      </c>
      <c r="O1549" s="1">
        <v>40.8611</v>
      </c>
      <c r="P1549" s="1">
        <v>-105.0206</v>
      </c>
      <c r="Q1549" s="1" t="s">
        <v>3825</v>
      </c>
      <c r="R1549" s="1" t="s">
        <v>41</v>
      </c>
      <c r="T1549" s="1" t="s">
        <v>93</v>
      </c>
      <c r="U1549" s="1" t="s">
        <v>44</v>
      </c>
      <c r="X1549" s="1" t="s">
        <v>140</v>
      </c>
      <c r="AA1549" s="3">
        <v>37530</v>
      </c>
      <c r="AB1549" s="1" t="s">
        <v>46</v>
      </c>
      <c r="AC1549" s="5">
        <v>950</v>
      </c>
      <c r="AD1549" s="1" t="s">
        <v>3830</v>
      </c>
      <c r="AE1549" s="1" t="str">
        <f t="shared" si="120"/>
        <v>6761 C</v>
      </c>
      <c r="AF1549" s="5" t="str">
        <f t="shared" si="118"/>
        <v>82</v>
      </c>
      <c r="AG1549" s="1" t="str">
        <f t="shared" si="119"/>
        <v/>
      </c>
    </row>
    <row r="1550" spans="1:33" x14ac:dyDescent="0.2">
      <c r="A1550" s="1" t="s">
        <v>516</v>
      </c>
      <c r="B1550" s="1" t="s">
        <v>3822</v>
      </c>
      <c r="C1550" s="1">
        <v>6761</v>
      </c>
      <c r="D1550" s="1" t="s">
        <v>3831</v>
      </c>
      <c r="F1550" s="1">
        <v>2023</v>
      </c>
      <c r="G1550" s="1" t="s">
        <v>247</v>
      </c>
      <c r="H1550" s="1">
        <v>610410</v>
      </c>
      <c r="I1550" s="1">
        <v>8</v>
      </c>
      <c r="J1550" s="1" t="s">
        <v>237</v>
      </c>
      <c r="K1550" s="1" t="s">
        <v>3823</v>
      </c>
      <c r="L1550" s="1" t="s">
        <v>3824</v>
      </c>
      <c r="M1550" s="1">
        <v>69</v>
      </c>
      <c r="N1550" s="1" t="s">
        <v>39</v>
      </c>
      <c r="O1550" s="1">
        <v>40.8611</v>
      </c>
      <c r="P1550" s="1">
        <v>-105.0206</v>
      </c>
      <c r="Q1550" s="1" t="s">
        <v>3825</v>
      </c>
      <c r="R1550" s="1" t="s">
        <v>41</v>
      </c>
      <c r="T1550" s="1" t="s">
        <v>93</v>
      </c>
      <c r="U1550" s="1" t="s">
        <v>44</v>
      </c>
      <c r="X1550" s="1" t="s">
        <v>140</v>
      </c>
      <c r="AA1550" s="3">
        <v>38141</v>
      </c>
      <c r="AB1550" s="1" t="s">
        <v>46</v>
      </c>
      <c r="AC1550" s="5">
        <v>950</v>
      </c>
      <c r="AD1550" s="1" t="s">
        <v>3832</v>
      </c>
      <c r="AE1550" s="1" t="str">
        <f t="shared" si="120"/>
        <v>6761 D</v>
      </c>
      <c r="AF1550" s="5" t="str">
        <f t="shared" si="118"/>
        <v>82</v>
      </c>
      <c r="AG1550" s="1" t="str">
        <f t="shared" si="119"/>
        <v/>
      </c>
    </row>
    <row r="1551" spans="1:33" x14ac:dyDescent="0.2">
      <c r="A1551" s="1" t="s">
        <v>516</v>
      </c>
      <c r="B1551" s="1" t="s">
        <v>3822</v>
      </c>
      <c r="C1551" s="1">
        <v>6761</v>
      </c>
      <c r="D1551" s="1" t="s">
        <v>3833</v>
      </c>
      <c r="F1551" s="1">
        <v>2023</v>
      </c>
      <c r="G1551" s="1" t="s">
        <v>247</v>
      </c>
      <c r="H1551" s="1">
        <v>610410</v>
      </c>
      <c r="I1551" s="1">
        <v>8</v>
      </c>
      <c r="J1551" s="1" t="s">
        <v>237</v>
      </c>
      <c r="K1551" s="1" t="s">
        <v>3823</v>
      </c>
      <c r="L1551" s="1" t="s">
        <v>3824</v>
      </c>
      <c r="M1551" s="1">
        <v>69</v>
      </c>
      <c r="N1551" s="1" t="s">
        <v>39</v>
      </c>
      <c r="O1551" s="1">
        <v>40.8611</v>
      </c>
      <c r="P1551" s="1">
        <v>-105.0206</v>
      </c>
      <c r="Q1551" s="1" t="s">
        <v>3825</v>
      </c>
      <c r="R1551" s="1" t="s">
        <v>41</v>
      </c>
      <c r="T1551" s="1" t="s">
        <v>93</v>
      </c>
      <c r="U1551" s="1" t="s">
        <v>44</v>
      </c>
      <c r="X1551" s="1" t="s">
        <v>140</v>
      </c>
      <c r="AA1551" s="3">
        <v>39607</v>
      </c>
      <c r="AB1551" s="1" t="s">
        <v>46</v>
      </c>
      <c r="AC1551" s="5">
        <v>1700</v>
      </c>
      <c r="AD1551" s="1" t="s">
        <v>3834</v>
      </c>
      <c r="AE1551" s="1" t="str">
        <f t="shared" si="120"/>
        <v>6761 F</v>
      </c>
      <c r="AF1551" s="5" t="str">
        <f t="shared" si="118"/>
        <v>150</v>
      </c>
      <c r="AG1551" s="1" t="str">
        <f t="shared" si="119"/>
        <v/>
      </c>
    </row>
    <row r="1552" spans="1:33" x14ac:dyDescent="0.2">
      <c r="A1552" s="1" t="s">
        <v>1755</v>
      </c>
      <c r="B1552" s="1" t="s">
        <v>3835</v>
      </c>
      <c r="C1552" s="1">
        <v>6768</v>
      </c>
      <c r="D1552" s="1">
        <v>1</v>
      </c>
      <c r="F1552" s="1">
        <v>2023</v>
      </c>
      <c r="G1552" s="1" t="s">
        <v>1188</v>
      </c>
      <c r="H1552" s="1">
        <v>607376</v>
      </c>
      <c r="I1552" s="1">
        <v>7</v>
      </c>
      <c r="J1552" s="1" t="s">
        <v>228</v>
      </c>
      <c r="K1552" s="1" t="s">
        <v>3836</v>
      </c>
      <c r="L1552" s="1" t="s">
        <v>3837</v>
      </c>
      <c r="M1552" s="1">
        <v>201</v>
      </c>
      <c r="N1552" s="1" t="s">
        <v>39</v>
      </c>
      <c r="O1552" s="1">
        <v>36.879100000000001</v>
      </c>
      <c r="P1552" s="1">
        <v>-89.620900000000006</v>
      </c>
      <c r="Q1552" s="1" t="s">
        <v>3838</v>
      </c>
      <c r="R1552" s="1" t="s">
        <v>41</v>
      </c>
      <c r="S1552" s="1" t="s">
        <v>211</v>
      </c>
      <c r="T1552" s="1" t="s">
        <v>89</v>
      </c>
      <c r="U1552" s="1" t="s">
        <v>55</v>
      </c>
      <c r="V1552" s="1" t="s">
        <v>1292</v>
      </c>
      <c r="X1552" s="1" t="s">
        <v>90</v>
      </c>
      <c r="Y1552" s="1" t="s">
        <v>58</v>
      </c>
      <c r="Z1552" s="1" t="s">
        <v>1109</v>
      </c>
      <c r="AA1552" s="3">
        <v>29830</v>
      </c>
      <c r="AB1552" s="1" t="s">
        <v>46</v>
      </c>
      <c r="AC1552" s="5">
        <v>2856</v>
      </c>
      <c r="AD1552" s="1" t="s">
        <v>3447</v>
      </c>
      <c r="AE1552" s="1" t="str">
        <f t="shared" si="120"/>
        <v>6768 1</v>
      </c>
      <c r="AF1552" s="5" t="str">
        <f t="shared" si="118"/>
        <v>261</v>
      </c>
      <c r="AG1552" s="1" t="str">
        <f t="shared" si="119"/>
        <v/>
      </c>
    </row>
    <row r="1553" spans="1:33" x14ac:dyDescent="0.2">
      <c r="A1553" s="1" t="s">
        <v>335</v>
      </c>
      <c r="B1553" s="1" t="s">
        <v>3839</v>
      </c>
      <c r="C1553" s="1">
        <v>6772</v>
      </c>
      <c r="D1553" s="1">
        <v>1</v>
      </c>
      <c r="F1553" s="1">
        <v>2023</v>
      </c>
      <c r="G1553" s="1" t="s">
        <v>337</v>
      </c>
      <c r="H1553" s="1">
        <v>607703</v>
      </c>
      <c r="I1553" s="1">
        <v>6</v>
      </c>
      <c r="J1553" s="1" t="s">
        <v>228</v>
      </c>
      <c r="K1553" s="1" t="s">
        <v>3840</v>
      </c>
      <c r="L1553" s="1" t="s">
        <v>3841</v>
      </c>
      <c r="M1553" s="1">
        <v>23</v>
      </c>
      <c r="N1553" s="1" t="s">
        <v>39</v>
      </c>
      <c r="O1553" s="1">
        <v>34.015799999999999</v>
      </c>
      <c r="P1553" s="1">
        <v>-95.320599999999999</v>
      </c>
      <c r="Q1553" s="1" t="s">
        <v>2570</v>
      </c>
      <c r="R1553" s="1" t="s">
        <v>41</v>
      </c>
      <c r="S1553" s="1" t="s">
        <v>42</v>
      </c>
      <c r="T1553" s="1" t="s">
        <v>89</v>
      </c>
      <c r="U1553" s="1" t="s">
        <v>55</v>
      </c>
      <c r="V1553" s="1" t="s">
        <v>94</v>
      </c>
      <c r="X1553" s="1" t="s">
        <v>289</v>
      </c>
      <c r="Y1553" s="1" t="s">
        <v>58</v>
      </c>
      <c r="Z1553" s="1" t="s">
        <v>937</v>
      </c>
      <c r="AA1553" s="3">
        <v>30042</v>
      </c>
      <c r="AB1553" s="1" t="s">
        <v>46</v>
      </c>
      <c r="AC1553" s="5">
        <v>6450</v>
      </c>
      <c r="AD1553" s="1" t="s">
        <v>3842</v>
      </c>
      <c r="AE1553" s="1" t="str">
        <f t="shared" si="120"/>
        <v>6772 1</v>
      </c>
      <c r="AF1553" s="5" t="str">
        <f t="shared" si="118"/>
        <v>475</v>
      </c>
      <c r="AG1553" s="1" t="str">
        <f t="shared" si="119"/>
        <v/>
      </c>
    </row>
    <row r="1554" spans="1:33" x14ac:dyDescent="0.2">
      <c r="A1554" s="1" t="s">
        <v>1980</v>
      </c>
      <c r="B1554" s="1" t="s">
        <v>3843</v>
      </c>
      <c r="C1554" s="1">
        <v>6776</v>
      </c>
      <c r="D1554" s="1">
        <v>2001</v>
      </c>
      <c r="F1554" s="1">
        <v>2023</v>
      </c>
      <c r="G1554" s="1" t="s">
        <v>1528</v>
      </c>
      <c r="H1554" s="1">
        <v>609493</v>
      </c>
      <c r="I1554" s="1">
        <v>2</v>
      </c>
      <c r="K1554" s="1" t="s">
        <v>1158</v>
      </c>
      <c r="L1554" s="1" t="s">
        <v>1982</v>
      </c>
      <c r="M1554" s="1">
        <v>11</v>
      </c>
      <c r="N1554" s="1" t="s">
        <v>39</v>
      </c>
      <c r="O1554" s="1">
        <v>39.490299999999998</v>
      </c>
      <c r="P1554" s="1">
        <v>-75.048599999999993</v>
      </c>
      <c r="Q1554" s="1" t="s">
        <v>2053</v>
      </c>
      <c r="T1554" s="1" t="s">
        <v>93</v>
      </c>
      <c r="U1554" s="1" t="s">
        <v>94</v>
      </c>
      <c r="X1554" s="1" t="s">
        <v>176</v>
      </c>
      <c r="AA1554" s="3">
        <v>26451</v>
      </c>
      <c r="AB1554" s="1" t="s">
        <v>46</v>
      </c>
      <c r="AC1554" s="5">
        <v>485</v>
      </c>
      <c r="AD1554" s="1" t="s">
        <v>1868</v>
      </c>
      <c r="AE1554" s="1" t="str">
        <f t="shared" si="120"/>
        <v>6776 2001</v>
      </c>
      <c r="AF1554" s="5" t="str">
        <f t="shared" si="118"/>
        <v>27</v>
      </c>
      <c r="AG1554" s="1" t="str">
        <f t="shared" si="119"/>
        <v>Y</v>
      </c>
    </row>
    <row r="1555" spans="1:33" x14ac:dyDescent="0.2">
      <c r="A1555" s="1" t="s">
        <v>165</v>
      </c>
      <c r="B1555" s="1" t="s">
        <v>3844</v>
      </c>
      <c r="C1555" s="1">
        <v>6823</v>
      </c>
      <c r="D1555" s="1" t="s">
        <v>3845</v>
      </c>
      <c r="F1555" s="1">
        <v>2023</v>
      </c>
      <c r="G1555" s="1" t="s">
        <v>1353</v>
      </c>
      <c r="H1555" s="1">
        <v>606335</v>
      </c>
      <c r="I1555" s="1">
        <v>4</v>
      </c>
      <c r="J1555" s="1" t="s">
        <v>169</v>
      </c>
      <c r="K1555" s="1" t="s">
        <v>3846</v>
      </c>
      <c r="L1555" s="1" t="s">
        <v>3847</v>
      </c>
      <c r="M1555" s="1">
        <v>183</v>
      </c>
      <c r="N1555" s="1" t="s">
        <v>39</v>
      </c>
      <c r="O1555" s="1">
        <v>37.4497</v>
      </c>
      <c r="P1555" s="1">
        <v>-87.080299999999994</v>
      </c>
      <c r="Q1555" s="1" t="s">
        <v>1418</v>
      </c>
      <c r="R1555" s="1" t="s">
        <v>41</v>
      </c>
      <c r="S1555" s="1" t="s">
        <v>211</v>
      </c>
      <c r="T1555" s="1" t="s">
        <v>89</v>
      </c>
      <c r="U1555" s="1" t="s">
        <v>55</v>
      </c>
      <c r="W1555" s="1" t="s">
        <v>56</v>
      </c>
      <c r="X1555" s="1" t="s">
        <v>3306</v>
      </c>
      <c r="Y1555" s="1" t="s">
        <v>58</v>
      </c>
      <c r="AA1555" s="3">
        <v>30926</v>
      </c>
      <c r="AB1555" s="1" t="s">
        <v>46</v>
      </c>
      <c r="AC1555" s="5">
        <v>6099</v>
      </c>
      <c r="AD1555" s="1" t="s">
        <v>3848</v>
      </c>
      <c r="AE1555" s="1" t="str">
        <f t="shared" si="120"/>
        <v>6823 W1</v>
      </c>
      <c r="AF1555" s="5" t="str">
        <f t="shared" si="118"/>
        <v>509.5</v>
      </c>
      <c r="AG1555" s="1" t="str">
        <f t="shared" si="119"/>
        <v>Y</v>
      </c>
    </row>
    <row r="1556" spans="1:33" x14ac:dyDescent="0.2">
      <c r="A1556" s="1" t="s">
        <v>1663</v>
      </c>
      <c r="B1556" s="1" t="s">
        <v>3849</v>
      </c>
      <c r="C1556" s="1">
        <v>6824</v>
      </c>
      <c r="D1556" s="1">
        <v>1</v>
      </c>
      <c r="F1556" s="1">
        <v>2023</v>
      </c>
      <c r="G1556" s="1" t="s">
        <v>1696</v>
      </c>
      <c r="H1556" s="1">
        <v>607684</v>
      </c>
      <c r="I1556" s="1">
        <v>5</v>
      </c>
      <c r="J1556" s="1" t="s">
        <v>207</v>
      </c>
      <c r="K1556" s="1" t="s">
        <v>3850</v>
      </c>
      <c r="L1556" s="1" t="s">
        <v>3851</v>
      </c>
      <c r="M1556" s="1">
        <v>19</v>
      </c>
      <c r="N1556" s="1" t="s">
        <v>39</v>
      </c>
      <c r="O1556" s="1">
        <v>44.905000000000001</v>
      </c>
      <c r="P1556" s="1">
        <v>-93.820999999999998</v>
      </c>
      <c r="Q1556" s="1" t="s">
        <v>1720</v>
      </c>
      <c r="T1556" s="1" t="s">
        <v>93</v>
      </c>
      <c r="U1556" s="1" t="s">
        <v>94</v>
      </c>
      <c r="AA1556" s="3">
        <v>28611</v>
      </c>
      <c r="AB1556" s="1" t="s">
        <v>46</v>
      </c>
      <c r="AC1556" s="5">
        <v>291.89999999999998</v>
      </c>
      <c r="AD1556" s="1" t="s">
        <v>3723</v>
      </c>
      <c r="AE1556" s="1" t="str">
        <f t="shared" si="120"/>
        <v>6824 1</v>
      </c>
      <c r="AF1556" s="5" t="str">
        <f t="shared" si="118"/>
        <v>61.2</v>
      </c>
      <c r="AG1556" s="1" t="str">
        <f t="shared" si="119"/>
        <v/>
      </c>
    </row>
    <row r="1557" spans="1:33" x14ac:dyDescent="0.2">
      <c r="A1557" s="1" t="s">
        <v>1663</v>
      </c>
      <c r="B1557" s="1" t="s">
        <v>3849</v>
      </c>
      <c r="C1557" s="1">
        <v>6824</v>
      </c>
      <c r="D1557" s="1">
        <v>2</v>
      </c>
      <c r="F1557" s="1">
        <v>2023</v>
      </c>
      <c r="G1557" s="1" t="s">
        <v>1696</v>
      </c>
      <c r="H1557" s="1">
        <v>607684</v>
      </c>
      <c r="I1557" s="1">
        <v>5</v>
      </c>
      <c r="J1557" s="1" t="s">
        <v>207</v>
      </c>
      <c r="K1557" s="1" t="s">
        <v>3850</v>
      </c>
      <c r="L1557" s="1" t="s">
        <v>3851</v>
      </c>
      <c r="M1557" s="1">
        <v>19</v>
      </c>
      <c r="N1557" s="1" t="s">
        <v>39</v>
      </c>
      <c r="O1557" s="1">
        <v>44.905000000000001</v>
      </c>
      <c r="P1557" s="1">
        <v>-93.820999999999998</v>
      </c>
      <c r="Q1557" s="1" t="s">
        <v>1720</v>
      </c>
      <c r="T1557" s="1" t="s">
        <v>93</v>
      </c>
      <c r="U1557" s="1" t="s">
        <v>94</v>
      </c>
      <c r="AA1557" s="3">
        <v>28611</v>
      </c>
      <c r="AB1557" s="1" t="s">
        <v>46</v>
      </c>
      <c r="AC1557" s="5">
        <v>291.89999999999998</v>
      </c>
      <c r="AD1557" s="1" t="s">
        <v>3723</v>
      </c>
      <c r="AE1557" s="1" t="str">
        <f t="shared" si="120"/>
        <v>6824 2</v>
      </c>
      <c r="AF1557" s="5" t="str">
        <f t="shared" si="118"/>
        <v>61.2</v>
      </c>
      <c r="AG1557" s="1" t="str">
        <f t="shared" si="119"/>
        <v/>
      </c>
    </row>
    <row r="1558" spans="1:33" x14ac:dyDescent="0.2">
      <c r="A1558" s="1" t="s">
        <v>225</v>
      </c>
      <c r="B1558" s="1" t="s">
        <v>3852</v>
      </c>
      <c r="C1558" s="1">
        <v>7013</v>
      </c>
      <c r="D1558" s="1">
        <v>4</v>
      </c>
      <c r="F1558" s="1">
        <v>2023</v>
      </c>
      <c r="G1558" s="1" t="s">
        <v>35</v>
      </c>
      <c r="H1558" s="1">
        <v>607418</v>
      </c>
      <c r="I1558" s="1">
        <v>7</v>
      </c>
      <c r="J1558" s="1" t="s">
        <v>228</v>
      </c>
      <c r="K1558" s="1" t="s">
        <v>3853</v>
      </c>
      <c r="L1558" s="1" t="s">
        <v>3854</v>
      </c>
      <c r="M1558" s="1">
        <v>35</v>
      </c>
      <c r="N1558" s="1" t="s">
        <v>39</v>
      </c>
      <c r="O1558" s="1">
        <v>37.2376</v>
      </c>
      <c r="P1558" s="1">
        <v>-96.9619</v>
      </c>
      <c r="Q1558" s="1" t="s">
        <v>3855</v>
      </c>
      <c r="R1558" s="1" t="s">
        <v>41</v>
      </c>
      <c r="T1558" s="1" t="s">
        <v>89</v>
      </c>
      <c r="U1558" s="1" t="s">
        <v>44</v>
      </c>
      <c r="AA1558" s="3">
        <v>25659</v>
      </c>
      <c r="AB1558" s="1" t="s">
        <v>46</v>
      </c>
      <c r="AC1558" s="5">
        <v>356</v>
      </c>
      <c r="AD1558" s="1" t="s">
        <v>3856</v>
      </c>
      <c r="AE1558" s="1" t="str">
        <f t="shared" si="120"/>
        <v>7013 4</v>
      </c>
      <c r="AF1558" s="5" t="str">
        <f t="shared" si="118"/>
        <v>26.5</v>
      </c>
      <c r="AG1558" s="1" t="str">
        <f t="shared" si="119"/>
        <v/>
      </c>
    </row>
    <row r="1559" spans="1:33" x14ac:dyDescent="0.2">
      <c r="A1559" s="1" t="s">
        <v>383</v>
      </c>
      <c r="B1559" s="1" t="s">
        <v>3857</v>
      </c>
      <c r="C1559" s="1">
        <v>7030</v>
      </c>
      <c r="D1559" s="1" t="s">
        <v>3858</v>
      </c>
      <c r="F1559" s="1">
        <v>2023</v>
      </c>
      <c r="G1559" s="1" t="s">
        <v>337</v>
      </c>
      <c r="H1559" s="1" t="s">
        <v>3859</v>
      </c>
      <c r="I1559" s="1">
        <v>6</v>
      </c>
      <c r="J1559" s="1" t="s">
        <v>387</v>
      </c>
      <c r="K1559" s="1" t="s">
        <v>3639</v>
      </c>
      <c r="L1559" s="1" t="s">
        <v>3640</v>
      </c>
      <c r="M1559" s="1">
        <v>395</v>
      </c>
      <c r="N1559" s="1" t="s">
        <v>39</v>
      </c>
      <c r="O1559" s="1">
        <v>31.0932</v>
      </c>
      <c r="P1559" s="1">
        <v>-96.6965</v>
      </c>
      <c r="Q1559" s="1" t="s">
        <v>3860</v>
      </c>
      <c r="R1559" s="1" t="s">
        <v>41</v>
      </c>
      <c r="T1559" s="1" t="s">
        <v>885</v>
      </c>
      <c r="U1559" s="1" t="s">
        <v>55</v>
      </c>
      <c r="W1559" s="1" t="s">
        <v>1069</v>
      </c>
      <c r="X1559" s="1" t="s">
        <v>669</v>
      </c>
      <c r="Y1559" s="1" t="s">
        <v>232</v>
      </c>
      <c r="Z1559" s="1" t="s">
        <v>344</v>
      </c>
      <c r="AA1559" s="3">
        <v>33117</v>
      </c>
      <c r="AB1559" s="1" t="s">
        <v>46</v>
      </c>
      <c r="AC1559" s="5">
        <v>2188</v>
      </c>
      <c r="AD1559" s="1" t="s">
        <v>3861</v>
      </c>
      <c r="AE1559" s="1" t="str">
        <f t="shared" si="120"/>
        <v>7030 U1</v>
      </c>
      <c r="AF1559" s="5" t="str">
        <f t="shared" si="118"/>
        <v>174.6</v>
      </c>
      <c r="AG1559" s="1" t="str">
        <f t="shared" si="119"/>
        <v>Y</v>
      </c>
    </row>
    <row r="1560" spans="1:33" x14ac:dyDescent="0.2">
      <c r="A1560" s="1" t="s">
        <v>383</v>
      </c>
      <c r="B1560" s="1" t="s">
        <v>3857</v>
      </c>
      <c r="C1560" s="1">
        <v>7030</v>
      </c>
      <c r="D1560" s="1" t="s">
        <v>3862</v>
      </c>
      <c r="F1560" s="1">
        <v>2023</v>
      </c>
      <c r="G1560" s="1" t="s">
        <v>337</v>
      </c>
      <c r="H1560" s="1" t="s">
        <v>3859</v>
      </c>
      <c r="I1560" s="1">
        <v>6</v>
      </c>
      <c r="J1560" s="1" t="s">
        <v>387</v>
      </c>
      <c r="K1560" s="1" t="s">
        <v>3639</v>
      </c>
      <c r="L1560" s="1" t="s">
        <v>3640</v>
      </c>
      <c r="M1560" s="1">
        <v>395</v>
      </c>
      <c r="N1560" s="1" t="s">
        <v>39</v>
      </c>
      <c r="O1560" s="1">
        <v>31.0932</v>
      </c>
      <c r="P1560" s="1">
        <v>-96.6965</v>
      </c>
      <c r="Q1560" s="1" t="s">
        <v>3860</v>
      </c>
      <c r="R1560" s="1" t="s">
        <v>41</v>
      </c>
      <c r="T1560" s="1" t="s">
        <v>885</v>
      </c>
      <c r="U1560" s="1" t="s">
        <v>55</v>
      </c>
      <c r="W1560" s="1" t="s">
        <v>1069</v>
      </c>
      <c r="X1560" s="1" t="s">
        <v>669</v>
      </c>
      <c r="Y1560" s="1" t="s">
        <v>232</v>
      </c>
      <c r="Z1560" s="1" t="s">
        <v>344</v>
      </c>
      <c r="AA1560" s="3">
        <v>33512</v>
      </c>
      <c r="AB1560" s="1" t="s">
        <v>46</v>
      </c>
      <c r="AC1560" s="5">
        <v>2047</v>
      </c>
      <c r="AD1560" s="1" t="s">
        <v>3863</v>
      </c>
      <c r="AE1560" s="1" t="str">
        <f t="shared" si="120"/>
        <v>7030 U2</v>
      </c>
      <c r="AF1560" s="5" t="str">
        <f t="shared" si="118"/>
        <v>174.6</v>
      </c>
      <c r="AG1560" s="1" t="str">
        <f t="shared" si="119"/>
        <v>Y</v>
      </c>
    </row>
    <row r="1561" spans="1:33" x14ac:dyDescent="0.2">
      <c r="A1561" s="1" t="s">
        <v>3095</v>
      </c>
      <c r="B1561" s="1" t="s">
        <v>3864</v>
      </c>
      <c r="C1561" s="1">
        <v>7032</v>
      </c>
      <c r="D1561" s="1">
        <v>3</v>
      </c>
      <c r="E1561" s="1" t="s">
        <v>1798</v>
      </c>
      <c r="F1561" s="1">
        <v>2023</v>
      </c>
      <c r="G1561" s="1" t="s">
        <v>1528</v>
      </c>
      <c r="H1561" s="1">
        <v>1525</v>
      </c>
      <c r="I1561" s="1">
        <v>3</v>
      </c>
      <c r="K1561" s="1" t="s">
        <v>3865</v>
      </c>
      <c r="L1561" s="1" t="s">
        <v>3866</v>
      </c>
      <c r="M1561" s="1">
        <v>181</v>
      </c>
      <c r="N1561" s="1" t="s">
        <v>39</v>
      </c>
      <c r="O1561" s="1">
        <v>37.157499999999999</v>
      </c>
      <c r="P1561" s="1">
        <v>-76.691100000000006</v>
      </c>
      <c r="Q1561" s="1" t="s">
        <v>3112</v>
      </c>
      <c r="T1561" s="1" t="s">
        <v>93</v>
      </c>
      <c r="U1561" s="1" t="s">
        <v>44</v>
      </c>
      <c r="V1561" s="1" t="s">
        <v>94</v>
      </c>
      <c r="X1561" s="1" t="s">
        <v>95</v>
      </c>
      <c r="AA1561" s="3">
        <v>32797</v>
      </c>
      <c r="AB1561" s="1" t="s">
        <v>46</v>
      </c>
      <c r="AC1561" s="5">
        <v>1308</v>
      </c>
      <c r="AD1561" s="1" t="s">
        <v>3867</v>
      </c>
      <c r="AE1561" s="1" t="str">
        <f t="shared" si="120"/>
        <v>7032 3</v>
      </c>
      <c r="AF1561" s="5" t="str">
        <f t="shared" si="118"/>
        <v>92</v>
      </c>
      <c r="AG1561" s="1" t="str">
        <f t="shared" si="119"/>
        <v/>
      </c>
    </row>
    <row r="1562" spans="1:33" x14ac:dyDescent="0.2">
      <c r="A1562" s="1" t="s">
        <v>3095</v>
      </c>
      <c r="B1562" s="1" t="s">
        <v>3864</v>
      </c>
      <c r="C1562" s="1">
        <v>7032</v>
      </c>
      <c r="D1562" s="1">
        <v>4</v>
      </c>
      <c r="E1562" s="1" t="s">
        <v>1798</v>
      </c>
      <c r="F1562" s="1">
        <v>2023</v>
      </c>
      <c r="G1562" s="1" t="s">
        <v>1528</v>
      </c>
      <c r="H1562" s="1">
        <v>1525</v>
      </c>
      <c r="I1562" s="1">
        <v>3</v>
      </c>
      <c r="K1562" s="1" t="s">
        <v>3865</v>
      </c>
      <c r="L1562" s="1" t="s">
        <v>3866</v>
      </c>
      <c r="M1562" s="1">
        <v>181</v>
      </c>
      <c r="N1562" s="1" t="s">
        <v>39</v>
      </c>
      <c r="O1562" s="1">
        <v>37.157499999999999</v>
      </c>
      <c r="P1562" s="1">
        <v>-76.691100000000006</v>
      </c>
      <c r="Q1562" s="1" t="s">
        <v>3112</v>
      </c>
      <c r="T1562" s="1" t="s">
        <v>93</v>
      </c>
      <c r="U1562" s="1" t="s">
        <v>44</v>
      </c>
      <c r="V1562" s="1" t="s">
        <v>94</v>
      </c>
      <c r="X1562" s="1" t="s">
        <v>95</v>
      </c>
      <c r="AA1562" s="3">
        <v>32699</v>
      </c>
      <c r="AB1562" s="1" t="s">
        <v>46</v>
      </c>
      <c r="AC1562" s="5">
        <v>1308</v>
      </c>
      <c r="AD1562" s="1" t="s">
        <v>3868</v>
      </c>
      <c r="AE1562" s="1" t="str">
        <f t="shared" si="120"/>
        <v>7032 4</v>
      </c>
      <c r="AF1562" s="5" t="str">
        <f t="shared" si="118"/>
        <v>92</v>
      </c>
      <c r="AG1562" s="1" t="str">
        <f t="shared" si="119"/>
        <v/>
      </c>
    </row>
    <row r="1563" spans="1:33" x14ac:dyDescent="0.2">
      <c r="A1563" s="1" t="s">
        <v>3095</v>
      </c>
      <c r="B1563" s="1" t="s">
        <v>3864</v>
      </c>
      <c r="C1563" s="1">
        <v>7032</v>
      </c>
      <c r="D1563" s="1">
        <v>5</v>
      </c>
      <c r="E1563" s="1" t="s">
        <v>1798</v>
      </c>
      <c r="F1563" s="1">
        <v>2023</v>
      </c>
      <c r="G1563" s="1" t="s">
        <v>1528</v>
      </c>
      <c r="H1563" s="1">
        <v>1525</v>
      </c>
      <c r="I1563" s="1">
        <v>3</v>
      </c>
      <c r="K1563" s="1" t="s">
        <v>3865</v>
      </c>
      <c r="L1563" s="1" t="s">
        <v>3866</v>
      </c>
      <c r="M1563" s="1">
        <v>181</v>
      </c>
      <c r="N1563" s="1" t="s">
        <v>39</v>
      </c>
      <c r="O1563" s="1">
        <v>37.157499999999999</v>
      </c>
      <c r="P1563" s="1">
        <v>-76.691100000000006</v>
      </c>
      <c r="Q1563" s="1" t="s">
        <v>3112</v>
      </c>
      <c r="T1563" s="1" t="s">
        <v>93</v>
      </c>
      <c r="U1563" s="1" t="s">
        <v>44</v>
      </c>
      <c r="V1563" s="1" t="s">
        <v>94</v>
      </c>
      <c r="X1563" s="1" t="s">
        <v>95</v>
      </c>
      <c r="AA1563" s="3">
        <v>32710</v>
      </c>
      <c r="AB1563" s="1" t="s">
        <v>46</v>
      </c>
      <c r="AC1563" s="5">
        <v>1308</v>
      </c>
      <c r="AD1563" s="1" t="s">
        <v>3869</v>
      </c>
      <c r="AE1563" s="1" t="str">
        <f t="shared" si="120"/>
        <v>7032 5</v>
      </c>
      <c r="AF1563" s="5" t="str">
        <f t="shared" si="118"/>
        <v>92</v>
      </c>
      <c r="AG1563" s="1" t="str">
        <f t="shared" si="119"/>
        <v/>
      </c>
    </row>
    <row r="1564" spans="1:33" x14ac:dyDescent="0.2">
      <c r="A1564" s="1" t="s">
        <v>3095</v>
      </c>
      <c r="B1564" s="1" t="s">
        <v>3864</v>
      </c>
      <c r="C1564" s="1">
        <v>7032</v>
      </c>
      <c r="D1564" s="1">
        <v>6</v>
      </c>
      <c r="E1564" s="1" t="s">
        <v>1798</v>
      </c>
      <c r="F1564" s="1">
        <v>2023</v>
      </c>
      <c r="G1564" s="1" t="s">
        <v>1528</v>
      </c>
      <c r="H1564" s="1">
        <v>1525</v>
      </c>
      <c r="I1564" s="1">
        <v>3</v>
      </c>
      <c r="K1564" s="1" t="s">
        <v>3865</v>
      </c>
      <c r="L1564" s="1" t="s">
        <v>3866</v>
      </c>
      <c r="M1564" s="1">
        <v>181</v>
      </c>
      <c r="N1564" s="1" t="s">
        <v>39</v>
      </c>
      <c r="O1564" s="1">
        <v>37.157499999999999</v>
      </c>
      <c r="P1564" s="1">
        <v>-76.691100000000006</v>
      </c>
      <c r="Q1564" s="1" t="s">
        <v>3112</v>
      </c>
      <c r="T1564" s="1" t="s">
        <v>93</v>
      </c>
      <c r="U1564" s="1" t="s">
        <v>44</v>
      </c>
      <c r="V1564" s="1" t="s">
        <v>94</v>
      </c>
      <c r="X1564" s="1" t="s">
        <v>95</v>
      </c>
      <c r="AA1564" s="3">
        <v>32829</v>
      </c>
      <c r="AB1564" s="1" t="s">
        <v>46</v>
      </c>
      <c r="AC1564" s="5">
        <v>1308</v>
      </c>
      <c r="AD1564" s="1" t="s">
        <v>3870</v>
      </c>
      <c r="AE1564" s="1" t="str">
        <f t="shared" si="120"/>
        <v>7032 6</v>
      </c>
      <c r="AF1564" s="5" t="str">
        <f t="shared" si="118"/>
        <v>92</v>
      </c>
      <c r="AG1564" s="1" t="str">
        <f t="shared" si="119"/>
        <v/>
      </c>
    </row>
    <row r="1565" spans="1:33" x14ac:dyDescent="0.2">
      <c r="A1565" s="1" t="s">
        <v>32</v>
      </c>
      <c r="B1565" s="1" t="s">
        <v>3871</v>
      </c>
      <c r="C1565" s="1">
        <v>7063</v>
      </c>
      <c r="D1565" s="1" t="s">
        <v>3872</v>
      </c>
      <c r="F1565" s="1">
        <v>2023</v>
      </c>
      <c r="G1565" s="1" t="s">
        <v>35</v>
      </c>
      <c r="H1565" s="1">
        <v>609045</v>
      </c>
      <c r="I1565" s="1">
        <v>4</v>
      </c>
      <c r="K1565" s="1" t="s">
        <v>196</v>
      </c>
      <c r="L1565" s="1" t="s">
        <v>197</v>
      </c>
      <c r="M1565" s="1">
        <v>129</v>
      </c>
      <c r="N1565" s="1" t="s">
        <v>39</v>
      </c>
      <c r="O1565" s="1">
        <v>31.2546</v>
      </c>
      <c r="P1565" s="1">
        <v>-88.029899999999998</v>
      </c>
      <c r="Q1565" s="1" t="s">
        <v>198</v>
      </c>
      <c r="R1565" s="1" t="s">
        <v>41</v>
      </c>
      <c r="T1565" s="1" t="s">
        <v>3873</v>
      </c>
      <c r="U1565" s="1" t="s">
        <v>44</v>
      </c>
      <c r="AA1565" s="3">
        <v>33390</v>
      </c>
      <c r="AB1565" s="1" t="s">
        <v>46</v>
      </c>
      <c r="AC1565" s="5">
        <v>850</v>
      </c>
      <c r="AD1565" s="1" t="s">
        <v>3874</v>
      </c>
      <c r="AE1565" s="1" t="str">
        <f t="shared" si="120"/>
        <v>7063 **1</v>
      </c>
      <c r="AF1565" s="5" t="str">
        <f t="shared" si="118"/>
        <v>110</v>
      </c>
      <c r="AG1565" s="1" t="str">
        <f t="shared" si="119"/>
        <v/>
      </c>
    </row>
    <row r="1566" spans="1:33" x14ac:dyDescent="0.2">
      <c r="A1566" s="1" t="s">
        <v>32</v>
      </c>
      <c r="B1566" s="1" t="s">
        <v>3871</v>
      </c>
      <c r="C1566" s="1">
        <v>7063</v>
      </c>
      <c r="D1566" s="1" t="s">
        <v>3875</v>
      </c>
      <c r="F1566" s="1">
        <v>2023</v>
      </c>
      <c r="G1566" s="1" t="s">
        <v>35</v>
      </c>
      <c r="H1566" s="1">
        <v>609045</v>
      </c>
      <c r="I1566" s="1">
        <v>4</v>
      </c>
      <c r="K1566" s="1" t="s">
        <v>196</v>
      </c>
      <c r="L1566" s="1" t="s">
        <v>197</v>
      </c>
      <c r="M1566" s="1">
        <v>129</v>
      </c>
      <c r="N1566" s="1" t="s">
        <v>39</v>
      </c>
      <c r="O1566" s="1">
        <v>31.2546</v>
      </c>
      <c r="P1566" s="1">
        <v>-88.029899999999998</v>
      </c>
      <c r="Q1566" s="1" t="s">
        <v>198</v>
      </c>
      <c r="R1566" s="1" t="s">
        <v>41</v>
      </c>
      <c r="T1566" s="1" t="s">
        <v>93</v>
      </c>
      <c r="U1566" s="1" t="s">
        <v>44</v>
      </c>
      <c r="V1566" s="1" t="s">
        <v>94</v>
      </c>
      <c r="X1566" s="1" t="s">
        <v>183</v>
      </c>
      <c r="AA1566" s="3">
        <v>35964</v>
      </c>
      <c r="AB1566" s="1" t="s">
        <v>46</v>
      </c>
      <c r="AC1566" s="5">
        <v>1423</v>
      </c>
      <c r="AD1566" s="1" t="s">
        <v>3019</v>
      </c>
      <c r="AE1566" s="1" t="str">
        <f t="shared" si="120"/>
        <v>7063 **2</v>
      </c>
      <c r="AF1566" s="5" t="str">
        <f t="shared" si="118"/>
        <v>113</v>
      </c>
      <c r="AG1566" s="1" t="str">
        <f t="shared" si="119"/>
        <v/>
      </c>
    </row>
    <row r="1567" spans="1:33" x14ac:dyDescent="0.2">
      <c r="A1567" s="1" t="s">
        <v>32</v>
      </c>
      <c r="B1567" s="1" t="s">
        <v>3871</v>
      </c>
      <c r="C1567" s="1">
        <v>7063</v>
      </c>
      <c r="D1567" s="1" t="s">
        <v>3876</v>
      </c>
      <c r="F1567" s="1">
        <v>2023</v>
      </c>
      <c r="G1567" s="1" t="s">
        <v>35</v>
      </c>
      <c r="H1567" s="1">
        <v>609045</v>
      </c>
      <c r="I1567" s="1">
        <v>4</v>
      </c>
      <c r="K1567" s="1" t="s">
        <v>196</v>
      </c>
      <c r="L1567" s="1" t="s">
        <v>197</v>
      </c>
      <c r="M1567" s="1">
        <v>129</v>
      </c>
      <c r="N1567" s="1" t="s">
        <v>39</v>
      </c>
      <c r="O1567" s="1">
        <v>31.2546</v>
      </c>
      <c r="P1567" s="1">
        <v>-88.029899999999998</v>
      </c>
      <c r="Q1567" s="1" t="s">
        <v>198</v>
      </c>
      <c r="R1567" s="1" t="s">
        <v>41</v>
      </c>
      <c r="T1567" s="1" t="s">
        <v>93</v>
      </c>
      <c r="U1567" s="1" t="s">
        <v>44</v>
      </c>
      <c r="V1567" s="1" t="s">
        <v>94</v>
      </c>
      <c r="X1567" s="1" t="s">
        <v>183</v>
      </c>
      <c r="AA1567" s="3">
        <v>35974</v>
      </c>
      <c r="AB1567" s="1" t="s">
        <v>46</v>
      </c>
      <c r="AC1567" s="5">
        <v>1423</v>
      </c>
      <c r="AD1567" s="1" t="s">
        <v>3877</v>
      </c>
      <c r="AE1567" s="1" t="str">
        <f t="shared" si="120"/>
        <v>7063 **3</v>
      </c>
      <c r="AF1567" s="5" t="str">
        <f t="shared" si="118"/>
        <v>113</v>
      </c>
      <c r="AG1567" s="1" t="str">
        <f t="shared" si="119"/>
        <v/>
      </c>
    </row>
    <row r="1568" spans="1:33" x14ac:dyDescent="0.2">
      <c r="A1568" s="1" t="s">
        <v>32</v>
      </c>
      <c r="B1568" s="1" t="s">
        <v>3871</v>
      </c>
      <c r="C1568" s="1">
        <v>7063</v>
      </c>
      <c r="D1568" s="1" t="s">
        <v>569</v>
      </c>
      <c r="F1568" s="1">
        <v>2023</v>
      </c>
      <c r="G1568" s="1" t="s">
        <v>35</v>
      </c>
      <c r="H1568" s="1">
        <v>609045</v>
      </c>
      <c r="I1568" s="1">
        <v>4</v>
      </c>
      <c r="K1568" s="1" t="s">
        <v>196</v>
      </c>
      <c r="L1568" s="1" t="s">
        <v>197</v>
      </c>
      <c r="M1568" s="1">
        <v>129</v>
      </c>
      <c r="N1568" s="1" t="s">
        <v>39</v>
      </c>
      <c r="O1568" s="1">
        <v>31.2546</v>
      </c>
      <c r="P1568" s="1">
        <v>-88.029899999999998</v>
      </c>
      <c r="Q1568" s="1" t="s">
        <v>198</v>
      </c>
      <c r="R1568" s="1" t="s">
        <v>41</v>
      </c>
      <c r="T1568" s="1" t="s">
        <v>93</v>
      </c>
      <c r="U1568" s="1" t="s">
        <v>44</v>
      </c>
      <c r="X1568" s="1" t="s">
        <v>140</v>
      </c>
      <c r="AA1568" s="3">
        <v>40416</v>
      </c>
      <c r="AB1568" s="1" t="s">
        <v>46</v>
      </c>
      <c r="AC1568" s="5">
        <v>2200</v>
      </c>
      <c r="AD1568" s="1" t="s">
        <v>2568</v>
      </c>
      <c r="AE1568" s="1" t="str">
        <f t="shared" si="120"/>
        <v>7063 **4</v>
      </c>
      <c r="AF1568" s="5" t="str">
        <f t="shared" si="118"/>
        <v>170</v>
      </c>
      <c r="AG1568" s="1" t="str">
        <f t="shared" si="119"/>
        <v/>
      </c>
    </row>
    <row r="1569" spans="1:33" x14ac:dyDescent="0.2">
      <c r="A1569" s="1" t="s">
        <v>32</v>
      </c>
      <c r="B1569" s="1" t="s">
        <v>3871</v>
      </c>
      <c r="C1569" s="1">
        <v>7063</v>
      </c>
      <c r="D1569" s="1" t="s">
        <v>2903</v>
      </c>
      <c r="F1569" s="1">
        <v>2023</v>
      </c>
      <c r="G1569" s="1" t="s">
        <v>35</v>
      </c>
      <c r="H1569" s="1">
        <v>609045</v>
      </c>
      <c r="I1569" s="1">
        <v>4</v>
      </c>
      <c r="K1569" s="1" t="s">
        <v>196</v>
      </c>
      <c r="L1569" s="1" t="s">
        <v>197</v>
      </c>
      <c r="M1569" s="1">
        <v>129</v>
      </c>
      <c r="N1569" s="1" t="s">
        <v>39</v>
      </c>
      <c r="O1569" s="1">
        <v>31.2546</v>
      </c>
      <c r="P1569" s="1">
        <v>-88.029899999999998</v>
      </c>
      <c r="Q1569" s="1" t="s">
        <v>198</v>
      </c>
      <c r="R1569" s="1" t="s">
        <v>41</v>
      </c>
      <c r="T1569" s="1" t="s">
        <v>93</v>
      </c>
      <c r="U1569" s="1" t="s">
        <v>44</v>
      </c>
      <c r="X1569" s="1" t="s">
        <v>140</v>
      </c>
      <c r="AA1569" s="3">
        <v>40429</v>
      </c>
      <c r="AB1569" s="1" t="s">
        <v>46</v>
      </c>
      <c r="AC1569" s="5">
        <v>2200</v>
      </c>
      <c r="AD1569" s="1" t="s">
        <v>3878</v>
      </c>
      <c r="AE1569" s="1" t="str">
        <f t="shared" si="120"/>
        <v>7063 **5</v>
      </c>
      <c r="AF1569" s="5" t="str">
        <f t="shared" si="118"/>
        <v>170</v>
      </c>
      <c r="AG1569" s="1" t="str">
        <f t="shared" si="119"/>
        <v/>
      </c>
    </row>
    <row r="1570" spans="1:33" x14ac:dyDescent="0.2">
      <c r="A1570" s="1" t="s">
        <v>1903</v>
      </c>
      <c r="B1570" s="1" t="s">
        <v>3879</v>
      </c>
      <c r="C1570" s="1">
        <v>7082</v>
      </c>
      <c r="D1570" s="1" t="s">
        <v>3876</v>
      </c>
      <c r="F1570" s="1">
        <v>2023</v>
      </c>
      <c r="G1570" s="1" t="s">
        <v>247</v>
      </c>
      <c r="H1570" s="1">
        <v>610268</v>
      </c>
      <c r="I1570" s="1">
        <v>9</v>
      </c>
      <c r="K1570" s="1" t="s">
        <v>170</v>
      </c>
      <c r="L1570" s="1" t="s">
        <v>1906</v>
      </c>
      <c r="M1570" s="1">
        <v>3</v>
      </c>
      <c r="N1570" s="1" t="s">
        <v>39</v>
      </c>
      <c r="O1570" s="1">
        <v>36.424999999999997</v>
      </c>
      <c r="P1570" s="1">
        <v>-114.9</v>
      </c>
      <c r="Q1570" s="1" t="s">
        <v>1907</v>
      </c>
      <c r="R1570" s="1" t="s">
        <v>41</v>
      </c>
      <c r="T1570" s="1" t="s">
        <v>93</v>
      </c>
      <c r="U1570" s="1" t="s">
        <v>44</v>
      </c>
      <c r="X1570" s="1" t="s">
        <v>183</v>
      </c>
      <c r="AA1570" s="3">
        <v>34905</v>
      </c>
      <c r="AB1570" s="1" t="s">
        <v>46</v>
      </c>
      <c r="AC1570" s="5">
        <v>960</v>
      </c>
      <c r="AD1570" s="1" t="s">
        <v>3880</v>
      </c>
      <c r="AE1570" s="1" t="str">
        <f t="shared" si="120"/>
        <v>7082 **3</v>
      </c>
      <c r="AF1570" s="5" t="str">
        <f t="shared" si="118"/>
        <v>78</v>
      </c>
      <c r="AG1570" s="1" t="str">
        <f t="shared" si="119"/>
        <v/>
      </c>
    </row>
    <row r="1571" spans="1:33" x14ac:dyDescent="0.2">
      <c r="A1571" s="1" t="s">
        <v>1903</v>
      </c>
      <c r="B1571" s="1" t="s">
        <v>3879</v>
      </c>
      <c r="C1571" s="1">
        <v>7082</v>
      </c>
      <c r="D1571" s="1" t="s">
        <v>569</v>
      </c>
      <c r="F1571" s="1">
        <v>2023</v>
      </c>
      <c r="G1571" s="1" t="s">
        <v>247</v>
      </c>
      <c r="H1571" s="1">
        <v>610268</v>
      </c>
      <c r="I1571" s="1">
        <v>9</v>
      </c>
      <c r="K1571" s="1" t="s">
        <v>170</v>
      </c>
      <c r="L1571" s="1" t="s">
        <v>1906</v>
      </c>
      <c r="M1571" s="1">
        <v>3</v>
      </c>
      <c r="N1571" s="1" t="s">
        <v>39</v>
      </c>
      <c r="O1571" s="1">
        <v>36.424999999999997</v>
      </c>
      <c r="P1571" s="1">
        <v>-114.9</v>
      </c>
      <c r="Q1571" s="1" t="s">
        <v>1907</v>
      </c>
      <c r="R1571" s="1" t="s">
        <v>41</v>
      </c>
      <c r="T1571" s="1" t="s">
        <v>93</v>
      </c>
      <c r="U1571" s="1" t="s">
        <v>44</v>
      </c>
      <c r="X1571" s="1" t="s">
        <v>140</v>
      </c>
      <c r="AA1571" s="3">
        <v>38811</v>
      </c>
      <c r="AB1571" s="1" t="s">
        <v>46</v>
      </c>
      <c r="AC1571" s="5">
        <v>1060</v>
      </c>
      <c r="AD1571" s="1" t="s">
        <v>1957</v>
      </c>
      <c r="AE1571" s="1" t="str">
        <f t="shared" si="120"/>
        <v>7082 **4</v>
      </c>
      <c r="AF1571" s="5" t="str">
        <f t="shared" si="118"/>
        <v>85</v>
      </c>
      <c r="AG1571" s="1" t="str">
        <f t="shared" si="119"/>
        <v/>
      </c>
    </row>
    <row r="1572" spans="1:33" x14ac:dyDescent="0.2">
      <c r="A1572" s="1" t="s">
        <v>1903</v>
      </c>
      <c r="B1572" s="1" t="s">
        <v>3879</v>
      </c>
      <c r="C1572" s="1">
        <v>7082</v>
      </c>
      <c r="D1572" s="1" t="s">
        <v>2903</v>
      </c>
      <c r="F1572" s="1">
        <v>2023</v>
      </c>
      <c r="G1572" s="1" t="s">
        <v>247</v>
      </c>
      <c r="H1572" s="1">
        <v>610268</v>
      </c>
      <c r="I1572" s="1">
        <v>9</v>
      </c>
      <c r="K1572" s="1" t="s">
        <v>170</v>
      </c>
      <c r="L1572" s="1" t="s">
        <v>1906</v>
      </c>
      <c r="M1572" s="1">
        <v>3</v>
      </c>
      <c r="N1572" s="1" t="s">
        <v>39</v>
      </c>
      <c r="O1572" s="1">
        <v>36.424999999999997</v>
      </c>
      <c r="P1572" s="1">
        <v>-114.9</v>
      </c>
      <c r="Q1572" s="1" t="s">
        <v>1907</v>
      </c>
      <c r="R1572" s="1" t="s">
        <v>41</v>
      </c>
      <c r="T1572" s="1" t="s">
        <v>71</v>
      </c>
      <c r="U1572" s="1" t="s">
        <v>44</v>
      </c>
      <c r="X1572" s="1" t="s">
        <v>64</v>
      </c>
      <c r="AA1572" s="3">
        <v>40566</v>
      </c>
      <c r="AB1572" s="1" t="s">
        <v>46</v>
      </c>
      <c r="AC1572" s="5">
        <v>2100</v>
      </c>
      <c r="AD1572" s="1" t="s">
        <v>3881</v>
      </c>
      <c r="AE1572" s="1" t="str">
        <f t="shared" si="120"/>
        <v>7082 **5</v>
      </c>
      <c r="AF1572" s="14">
        <f>AF1573</f>
        <v>279.25</v>
      </c>
      <c r="AG1572" s="1" t="str">
        <f t="shared" si="119"/>
        <v>Y</v>
      </c>
    </row>
    <row r="1573" spans="1:33" x14ac:dyDescent="0.2">
      <c r="A1573" s="1" t="s">
        <v>1903</v>
      </c>
      <c r="B1573" s="1" t="s">
        <v>3879</v>
      </c>
      <c r="C1573" s="1">
        <v>7082</v>
      </c>
      <c r="D1573" s="1" t="s">
        <v>3882</v>
      </c>
      <c r="F1573" s="1">
        <v>2023</v>
      </c>
      <c r="G1573" s="1" t="s">
        <v>247</v>
      </c>
      <c r="H1573" s="1">
        <v>610268</v>
      </c>
      <c r="I1573" s="1">
        <v>9</v>
      </c>
      <c r="K1573" s="1" t="s">
        <v>170</v>
      </c>
      <c r="L1573" s="1" t="s">
        <v>1906</v>
      </c>
      <c r="M1573" s="1">
        <v>3</v>
      </c>
      <c r="N1573" s="1" t="s">
        <v>39</v>
      </c>
      <c r="O1573" s="1">
        <v>36.424999999999997</v>
      </c>
      <c r="P1573" s="1">
        <v>-114.9</v>
      </c>
      <c r="Q1573" s="1" t="s">
        <v>1907</v>
      </c>
      <c r="R1573" s="1" t="s">
        <v>41</v>
      </c>
      <c r="T1573" s="1" t="s">
        <v>71</v>
      </c>
      <c r="U1573" s="1" t="s">
        <v>44</v>
      </c>
      <c r="X1573" s="1" t="s">
        <v>64</v>
      </c>
      <c r="AA1573" s="3">
        <v>40576</v>
      </c>
      <c r="AB1573" s="1" t="s">
        <v>46</v>
      </c>
      <c r="AC1573" s="5">
        <v>2100</v>
      </c>
      <c r="AD1573" s="1" t="s">
        <v>3883</v>
      </c>
      <c r="AE1573" s="1" t="str">
        <f t="shared" si="120"/>
        <v>7082 **6</v>
      </c>
      <c r="AF1573" s="14">
        <f>MID(AD1573,FIND("(",AD1573)+1,FIND(")",AD1573)-FIND("(",AD1573)-1)+223.5/2</f>
        <v>279.25</v>
      </c>
      <c r="AG1573" s="1" t="str">
        <f t="shared" si="119"/>
        <v>Y</v>
      </c>
    </row>
    <row r="1574" spans="1:33" x14ac:dyDescent="0.2">
      <c r="A1574" s="1" t="s">
        <v>383</v>
      </c>
      <c r="B1574" s="1" t="s">
        <v>3884</v>
      </c>
      <c r="C1574" s="1">
        <v>7097</v>
      </c>
      <c r="D1574" s="1" t="s">
        <v>3872</v>
      </c>
      <c r="F1574" s="1">
        <v>2023</v>
      </c>
      <c r="G1574" s="1" t="s">
        <v>337</v>
      </c>
      <c r="H1574" s="1">
        <v>604200</v>
      </c>
      <c r="I1574" s="1">
        <v>6</v>
      </c>
      <c r="J1574" s="1" t="s">
        <v>387</v>
      </c>
      <c r="K1574" s="1" t="s">
        <v>3036</v>
      </c>
      <c r="L1574" s="1" t="s">
        <v>3037</v>
      </c>
      <c r="M1574" s="1">
        <v>29</v>
      </c>
      <c r="N1574" s="1" t="s">
        <v>39</v>
      </c>
      <c r="O1574" s="1">
        <v>29.309100000000001</v>
      </c>
      <c r="P1574" s="1">
        <v>-98.320499999999996</v>
      </c>
      <c r="Q1574" s="1" t="s">
        <v>3038</v>
      </c>
      <c r="R1574" s="1" t="s">
        <v>41</v>
      </c>
      <c r="S1574" s="1" t="s">
        <v>211</v>
      </c>
      <c r="T1574" s="1" t="s">
        <v>43</v>
      </c>
      <c r="U1574" s="1" t="s">
        <v>55</v>
      </c>
      <c r="W1574" s="1" t="s">
        <v>56</v>
      </c>
      <c r="X1574" s="1" t="s">
        <v>213</v>
      </c>
      <c r="Y1574" s="1" t="s">
        <v>232</v>
      </c>
      <c r="AA1574" s="3">
        <v>33948</v>
      </c>
      <c r="AB1574" s="1" t="s">
        <v>46</v>
      </c>
      <c r="AC1574" s="5">
        <v>6366</v>
      </c>
      <c r="AD1574" s="1" t="s">
        <v>3885</v>
      </c>
      <c r="AE1574" s="1" t="str">
        <f t="shared" si="120"/>
        <v>7097 **1</v>
      </c>
      <c r="AF1574" s="5" t="str">
        <f t="shared" ref="AF1574:AF1585" si="121">MID(AD1574,FIND("(",AD1574)+1,FIND(")",AD1574)-FIND("(",AD1574)-1)</f>
        <v>546</v>
      </c>
      <c r="AG1574" s="1" t="str">
        <f t="shared" si="119"/>
        <v/>
      </c>
    </row>
    <row r="1575" spans="1:33" x14ac:dyDescent="0.2">
      <c r="A1575" s="1" t="s">
        <v>383</v>
      </c>
      <c r="B1575" s="1" t="s">
        <v>3884</v>
      </c>
      <c r="C1575" s="1">
        <v>7097</v>
      </c>
      <c r="D1575" s="1" t="s">
        <v>3875</v>
      </c>
      <c r="F1575" s="1">
        <v>2023</v>
      </c>
      <c r="G1575" s="1" t="s">
        <v>337</v>
      </c>
      <c r="H1575" s="1">
        <v>604200</v>
      </c>
      <c r="I1575" s="1">
        <v>6</v>
      </c>
      <c r="J1575" s="1" t="s">
        <v>387</v>
      </c>
      <c r="K1575" s="1" t="s">
        <v>3036</v>
      </c>
      <c r="L1575" s="1" t="s">
        <v>3037</v>
      </c>
      <c r="M1575" s="1">
        <v>29</v>
      </c>
      <c r="N1575" s="1" t="s">
        <v>39</v>
      </c>
      <c r="O1575" s="1">
        <v>29.309100000000001</v>
      </c>
      <c r="P1575" s="1">
        <v>-98.320499999999996</v>
      </c>
      <c r="Q1575" s="1" t="s">
        <v>3038</v>
      </c>
      <c r="R1575" s="1" t="s">
        <v>41</v>
      </c>
      <c r="T1575" s="1" t="s">
        <v>43</v>
      </c>
      <c r="U1575" s="1" t="s">
        <v>55</v>
      </c>
      <c r="W1575" s="1" t="s">
        <v>56</v>
      </c>
      <c r="X1575" s="1" t="s">
        <v>223</v>
      </c>
      <c r="Y1575" s="1" t="s">
        <v>232</v>
      </c>
      <c r="AA1575" s="3">
        <v>40139</v>
      </c>
      <c r="AB1575" s="1" t="s">
        <v>46</v>
      </c>
      <c r="AC1575" s="5">
        <v>9727.9</v>
      </c>
      <c r="AD1575" s="1" t="s">
        <v>3469</v>
      </c>
      <c r="AE1575" s="1" t="str">
        <f t="shared" si="120"/>
        <v>7097 **2</v>
      </c>
      <c r="AF1575" s="5" t="str">
        <f t="shared" si="121"/>
        <v>750</v>
      </c>
      <c r="AG1575" s="1" t="str">
        <f t="shared" si="119"/>
        <v>Y</v>
      </c>
    </row>
    <row r="1576" spans="1:33" x14ac:dyDescent="0.2">
      <c r="A1576" s="1" t="s">
        <v>1980</v>
      </c>
      <c r="B1576" s="1" t="s">
        <v>3886</v>
      </c>
      <c r="C1576" s="1">
        <v>7138</v>
      </c>
      <c r="D1576" s="1">
        <v>2001</v>
      </c>
      <c r="E1576" s="1" t="s">
        <v>3887</v>
      </c>
      <c r="F1576" s="1">
        <v>2023</v>
      </c>
      <c r="G1576" s="1" t="s">
        <v>1528</v>
      </c>
      <c r="H1576" s="1" t="s">
        <v>3792</v>
      </c>
      <c r="I1576" s="1">
        <v>2</v>
      </c>
      <c r="K1576" s="1" t="s">
        <v>3888</v>
      </c>
      <c r="L1576" s="1" t="s">
        <v>3889</v>
      </c>
      <c r="M1576" s="1">
        <v>29</v>
      </c>
      <c r="N1576" s="1" t="s">
        <v>39</v>
      </c>
      <c r="O1576" s="1">
        <v>39.815399999999997</v>
      </c>
      <c r="P1576" s="1">
        <v>-74.209800000000001</v>
      </c>
      <c r="Q1576" s="1" t="s">
        <v>3890</v>
      </c>
      <c r="T1576" s="1" t="s">
        <v>93</v>
      </c>
      <c r="U1576" s="1" t="s">
        <v>94</v>
      </c>
      <c r="V1576" s="1" t="s">
        <v>44</v>
      </c>
      <c r="X1576" s="1" t="s">
        <v>95</v>
      </c>
      <c r="AA1576" s="3">
        <v>32509</v>
      </c>
      <c r="AB1576" s="1" t="s">
        <v>46</v>
      </c>
      <c r="AC1576" s="5">
        <v>550</v>
      </c>
      <c r="AD1576" s="1" t="s">
        <v>3891</v>
      </c>
      <c r="AE1576" s="1" t="str">
        <f t="shared" si="120"/>
        <v>7138 2001</v>
      </c>
      <c r="AF1576" s="5" t="str">
        <f t="shared" si="121"/>
        <v>38.4</v>
      </c>
      <c r="AG1576" s="1" t="str">
        <f t="shared" si="119"/>
        <v/>
      </c>
    </row>
    <row r="1577" spans="1:33" x14ac:dyDescent="0.2">
      <c r="A1577" s="1" t="s">
        <v>1980</v>
      </c>
      <c r="B1577" s="1" t="s">
        <v>3886</v>
      </c>
      <c r="C1577" s="1">
        <v>7138</v>
      </c>
      <c r="D1577" s="1">
        <v>3001</v>
      </c>
      <c r="E1577" s="1" t="s">
        <v>3887</v>
      </c>
      <c r="F1577" s="1">
        <v>2023</v>
      </c>
      <c r="G1577" s="1" t="s">
        <v>1528</v>
      </c>
      <c r="H1577" s="1" t="s">
        <v>3792</v>
      </c>
      <c r="I1577" s="1">
        <v>2</v>
      </c>
      <c r="K1577" s="1" t="s">
        <v>3888</v>
      </c>
      <c r="L1577" s="1" t="s">
        <v>3889</v>
      </c>
      <c r="M1577" s="1">
        <v>29</v>
      </c>
      <c r="N1577" s="1" t="s">
        <v>39</v>
      </c>
      <c r="O1577" s="1">
        <v>39.815399999999997</v>
      </c>
      <c r="P1577" s="1">
        <v>-74.209800000000001</v>
      </c>
      <c r="Q1577" s="1" t="s">
        <v>3890</v>
      </c>
      <c r="T1577" s="1" t="s">
        <v>93</v>
      </c>
      <c r="U1577" s="1" t="s">
        <v>94</v>
      </c>
      <c r="V1577" s="1" t="s">
        <v>44</v>
      </c>
      <c r="X1577" s="1" t="s">
        <v>183</v>
      </c>
      <c r="AA1577" s="3">
        <v>32509</v>
      </c>
      <c r="AB1577" s="1" t="s">
        <v>46</v>
      </c>
      <c r="AC1577" s="5">
        <v>550</v>
      </c>
      <c r="AD1577" s="1" t="s">
        <v>3892</v>
      </c>
      <c r="AE1577" s="1" t="str">
        <f t="shared" si="120"/>
        <v>7138 3001</v>
      </c>
      <c r="AF1577" s="5" t="str">
        <f t="shared" si="121"/>
        <v>38.4</v>
      </c>
      <c r="AG1577" s="1" t="str">
        <f t="shared" si="119"/>
        <v/>
      </c>
    </row>
    <row r="1578" spans="1:33" x14ac:dyDescent="0.2">
      <c r="A1578" s="1" t="s">
        <v>1186</v>
      </c>
      <c r="B1578" s="1" t="s">
        <v>3893</v>
      </c>
      <c r="C1578" s="1">
        <v>7145</v>
      </c>
      <c r="D1578" s="1">
        <v>1</v>
      </c>
      <c r="F1578" s="1">
        <v>2023</v>
      </c>
      <c r="G1578" s="1" t="s">
        <v>1195</v>
      </c>
      <c r="H1578" s="1" t="s">
        <v>1210</v>
      </c>
      <c r="I1578" s="1">
        <v>7</v>
      </c>
      <c r="J1578" s="1" t="s">
        <v>207</v>
      </c>
      <c r="K1578" s="1" t="s">
        <v>896</v>
      </c>
      <c r="L1578" s="1" t="s">
        <v>3894</v>
      </c>
      <c r="M1578" s="1">
        <v>153</v>
      </c>
      <c r="N1578" s="1" t="s">
        <v>39</v>
      </c>
      <c r="O1578" s="1">
        <v>41.557200000000002</v>
      </c>
      <c r="P1578" s="1">
        <v>-93.524199999999993</v>
      </c>
      <c r="Q1578" s="1" t="s">
        <v>3440</v>
      </c>
      <c r="T1578" s="1" t="s">
        <v>93</v>
      </c>
      <c r="U1578" s="1" t="s">
        <v>44</v>
      </c>
      <c r="V1578" s="1" t="s">
        <v>94</v>
      </c>
      <c r="X1578" s="1" t="s">
        <v>95</v>
      </c>
      <c r="AA1578" s="3">
        <v>33032</v>
      </c>
      <c r="AB1578" s="1" t="s">
        <v>46</v>
      </c>
      <c r="AC1578" s="5">
        <v>506.8</v>
      </c>
      <c r="AD1578" s="1" t="s">
        <v>3895</v>
      </c>
      <c r="AE1578" s="1" t="str">
        <f t="shared" si="120"/>
        <v>7145 1</v>
      </c>
      <c r="AF1578" s="5" t="str">
        <f t="shared" si="121"/>
        <v>46.4</v>
      </c>
      <c r="AG1578" s="1" t="str">
        <f t="shared" si="119"/>
        <v/>
      </c>
    </row>
    <row r="1579" spans="1:33" x14ac:dyDescent="0.2">
      <c r="A1579" s="1" t="s">
        <v>1186</v>
      </c>
      <c r="B1579" s="1" t="s">
        <v>3893</v>
      </c>
      <c r="C1579" s="1">
        <v>7145</v>
      </c>
      <c r="D1579" s="1">
        <v>2</v>
      </c>
      <c r="F1579" s="1">
        <v>2023</v>
      </c>
      <c r="G1579" s="1" t="s">
        <v>1195</v>
      </c>
      <c r="H1579" s="1" t="s">
        <v>1210</v>
      </c>
      <c r="I1579" s="1">
        <v>7</v>
      </c>
      <c r="J1579" s="1" t="s">
        <v>207</v>
      </c>
      <c r="K1579" s="1" t="s">
        <v>896</v>
      </c>
      <c r="L1579" s="1" t="s">
        <v>3894</v>
      </c>
      <c r="M1579" s="1">
        <v>153</v>
      </c>
      <c r="N1579" s="1" t="s">
        <v>39</v>
      </c>
      <c r="O1579" s="1">
        <v>41.557200000000002</v>
      </c>
      <c r="P1579" s="1">
        <v>-93.524199999999993</v>
      </c>
      <c r="Q1579" s="1" t="s">
        <v>3440</v>
      </c>
      <c r="T1579" s="1" t="s">
        <v>93</v>
      </c>
      <c r="U1579" s="1" t="s">
        <v>44</v>
      </c>
      <c r="V1579" s="1" t="s">
        <v>94</v>
      </c>
      <c r="X1579" s="1" t="s">
        <v>95</v>
      </c>
      <c r="AA1579" s="3">
        <v>33032</v>
      </c>
      <c r="AB1579" s="1" t="s">
        <v>46</v>
      </c>
      <c r="AC1579" s="5">
        <v>506.8</v>
      </c>
      <c r="AD1579" s="1" t="s">
        <v>3896</v>
      </c>
      <c r="AE1579" s="1" t="str">
        <f t="shared" si="120"/>
        <v>7145 2</v>
      </c>
      <c r="AF1579" s="5" t="str">
        <f t="shared" si="121"/>
        <v>46.4</v>
      </c>
      <c r="AG1579" s="1" t="str">
        <f t="shared" si="119"/>
        <v/>
      </c>
    </row>
    <row r="1580" spans="1:33" x14ac:dyDescent="0.2">
      <c r="A1580" s="1" t="s">
        <v>1186</v>
      </c>
      <c r="B1580" s="1" t="s">
        <v>3893</v>
      </c>
      <c r="C1580" s="1">
        <v>7145</v>
      </c>
      <c r="D1580" s="1">
        <v>3</v>
      </c>
      <c r="F1580" s="1">
        <v>2023</v>
      </c>
      <c r="G1580" s="1" t="s">
        <v>1207</v>
      </c>
      <c r="H1580" s="1" t="s">
        <v>1210</v>
      </c>
      <c r="I1580" s="1">
        <v>7</v>
      </c>
      <c r="J1580" s="1" t="s">
        <v>207</v>
      </c>
      <c r="K1580" s="1" t="s">
        <v>896</v>
      </c>
      <c r="L1580" s="1" t="s">
        <v>3894</v>
      </c>
      <c r="M1580" s="1">
        <v>153</v>
      </c>
      <c r="N1580" s="1" t="s">
        <v>39</v>
      </c>
      <c r="O1580" s="1">
        <v>41.557200000000002</v>
      </c>
      <c r="P1580" s="1">
        <v>-93.524199999999993</v>
      </c>
      <c r="Q1580" s="1" t="s">
        <v>3440</v>
      </c>
      <c r="R1580" s="1" t="s">
        <v>41</v>
      </c>
      <c r="T1580" s="1" t="s">
        <v>93</v>
      </c>
      <c r="U1580" s="1" t="s">
        <v>44</v>
      </c>
      <c r="V1580" s="1" t="s">
        <v>94</v>
      </c>
      <c r="X1580" s="1" t="s">
        <v>95</v>
      </c>
      <c r="AA1580" s="3">
        <v>34510</v>
      </c>
      <c r="AB1580" s="1" t="s">
        <v>46</v>
      </c>
      <c r="AC1580" s="5">
        <v>1387</v>
      </c>
      <c r="AD1580" s="1" t="s">
        <v>3897</v>
      </c>
      <c r="AE1580" s="1" t="str">
        <f t="shared" si="120"/>
        <v>7145 3</v>
      </c>
      <c r="AF1580" s="5" t="str">
        <f t="shared" si="121"/>
        <v>97</v>
      </c>
      <c r="AG1580" s="1" t="str">
        <f t="shared" si="119"/>
        <v/>
      </c>
    </row>
    <row r="1581" spans="1:33" x14ac:dyDescent="0.2">
      <c r="A1581" s="1" t="s">
        <v>2089</v>
      </c>
      <c r="B1581" s="1" t="s">
        <v>3898</v>
      </c>
      <c r="C1581" s="1">
        <v>7146</v>
      </c>
      <c r="D1581" s="1" t="s">
        <v>3899</v>
      </c>
      <c r="F1581" s="1">
        <v>2023</v>
      </c>
      <c r="G1581" s="1" t="s">
        <v>1528</v>
      </c>
      <c r="H1581" s="1">
        <v>606257</v>
      </c>
      <c r="I1581" s="1">
        <v>2</v>
      </c>
      <c r="K1581" s="1" t="s">
        <v>2257</v>
      </c>
      <c r="L1581" s="1" t="s">
        <v>2258</v>
      </c>
      <c r="M1581" s="1">
        <v>103</v>
      </c>
      <c r="N1581" s="1" t="s">
        <v>39</v>
      </c>
      <c r="O1581" s="1">
        <v>40.956899999999997</v>
      </c>
      <c r="P1581" s="1">
        <v>-72.877399999999994</v>
      </c>
      <c r="Q1581" s="1" t="s">
        <v>2224</v>
      </c>
      <c r="T1581" s="1" t="s">
        <v>93</v>
      </c>
      <c r="U1581" s="1" t="s">
        <v>94</v>
      </c>
      <c r="X1581" s="1" t="s">
        <v>3900</v>
      </c>
      <c r="AA1581" s="3">
        <v>32690</v>
      </c>
      <c r="AB1581" s="1" t="s">
        <v>46</v>
      </c>
      <c r="AC1581" s="5">
        <v>1164</v>
      </c>
      <c r="AD1581" s="1" t="s">
        <v>3901</v>
      </c>
      <c r="AE1581" s="1" t="str">
        <f t="shared" si="120"/>
        <v>7146 UGT007</v>
      </c>
      <c r="AF1581" s="5" t="str">
        <f t="shared" si="121"/>
        <v>79.5</v>
      </c>
      <c r="AG1581" s="1" t="str">
        <f t="shared" si="119"/>
        <v/>
      </c>
    </row>
    <row r="1582" spans="1:33" x14ac:dyDescent="0.2">
      <c r="A1582" s="1" t="s">
        <v>2089</v>
      </c>
      <c r="B1582" s="1" t="s">
        <v>3898</v>
      </c>
      <c r="C1582" s="1">
        <v>7146</v>
      </c>
      <c r="D1582" s="1" t="s">
        <v>3902</v>
      </c>
      <c r="F1582" s="1">
        <v>2023</v>
      </c>
      <c r="G1582" s="1" t="s">
        <v>1528</v>
      </c>
      <c r="H1582" s="1">
        <v>606257</v>
      </c>
      <c r="I1582" s="1">
        <v>2</v>
      </c>
      <c r="K1582" s="1" t="s">
        <v>2257</v>
      </c>
      <c r="L1582" s="1" t="s">
        <v>2258</v>
      </c>
      <c r="M1582" s="1">
        <v>103</v>
      </c>
      <c r="N1582" s="1" t="s">
        <v>39</v>
      </c>
      <c r="O1582" s="1">
        <v>40.956899999999997</v>
      </c>
      <c r="P1582" s="1">
        <v>-72.877399999999994</v>
      </c>
      <c r="Q1582" s="1" t="s">
        <v>2224</v>
      </c>
      <c r="T1582" s="1" t="s">
        <v>93</v>
      </c>
      <c r="U1582" s="1" t="s">
        <v>94</v>
      </c>
      <c r="X1582" s="1" t="s">
        <v>3900</v>
      </c>
      <c r="AA1582" s="3">
        <v>32690</v>
      </c>
      <c r="AB1582" s="1" t="s">
        <v>46</v>
      </c>
      <c r="AC1582" s="5">
        <v>1164</v>
      </c>
      <c r="AD1582" s="1" t="s">
        <v>3903</v>
      </c>
      <c r="AE1582" s="1" t="str">
        <f t="shared" si="120"/>
        <v>7146 UGT008</v>
      </c>
      <c r="AF1582" s="5" t="str">
        <f t="shared" si="121"/>
        <v>79.5</v>
      </c>
      <c r="AG1582" s="1" t="str">
        <f t="shared" si="119"/>
        <v/>
      </c>
    </row>
    <row r="1583" spans="1:33" x14ac:dyDescent="0.2">
      <c r="A1583" s="1" t="s">
        <v>2089</v>
      </c>
      <c r="B1583" s="1" t="s">
        <v>3898</v>
      </c>
      <c r="C1583" s="1">
        <v>7146</v>
      </c>
      <c r="D1583" s="1" t="s">
        <v>3904</v>
      </c>
      <c r="F1583" s="1">
        <v>2023</v>
      </c>
      <c r="G1583" s="1" t="s">
        <v>1528</v>
      </c>
      <c r="H1583" s="1">
        <v>606257</v>
      </c>
      <c r="I1583" s="1">
        <v>2</v>
      </c>
      <c r="K1583" s="1" t="s">
        <v>2257</v>
      </c>
      <c r="L1583" s="1" t="s">
        <v>2258</v>
      </c>
      <c r="M1583" s="1">
        <v>103</v>
      </c>
      <c r="N1583" s="1" t="s">
        <v>39</v>
      </c>
      <c r="O1583" s="1">
        <v>40.956899999999997</v>
      </c>
      <c r="P1583" s="1">
        <v>-72.877399999999994</v>
      </c>
      <c r="Q1583" s="1" t="s">
        <v>2224</v>
      </c>
      <c r="T1583" s="1" t="s">
        <v>93</v>
      </c>
      <c r="U1583" s="1" t="s">
        <v>94</v>
      </c>
      <c r="X1583" s="1" t="s">
        <v>3900</v>
      </c>
      <c r="AA1583" s="3">
        <v>32690</v>
      </c>
      <c r="AB1583" s="1" t="s">
        <v>46</v>
      </c>
      <c r="AC1583" s="5">
        <v>1164</v>
      </c>
      <c r="AD1583" s="1" t="s">
        <v>3905</v>
      </c>
      <c r="AE1583" s="1" t="str">
        <f t="shared" si="120"/>
        <v>7146 UGT009</v>
      </c>
      <c r="AF1583" s="5" t="str">
        <f t="shared" si="121"/>
        <v>79.5</v>
      </c>
      <c r="AG1583" s="1" t="str">
        <f t="shared" si="119"/>
        <v/>
      </c>
    </row>
    <row r="1584" spans="1:33" x14ac:dyDescent="0.2">
      <c r="A1584" s="1" t="s">
        <v>2089</v>
      </c>
      <c r="B1584" s="1" t="s">
        <v>3898</v>
      </c>
      <c r="C1584" s="1">
        <v>7146</v>
      </c>
      <c r="D1584" s="1" t="s">
        <v>3906</v>
      </c>
      <c r="E1584" s="1" t="s">
        <v>1330</v>
      </c>
      <c r="F1584" s="1">
        <v>2023</v>
      </c>
      <c r="G1584" s="1" t="s">
        <v>1528</v>
      </c>
      <c r="H1584" s="1">
        <v>606257</v>
      </c>
      <c r="I1584" s="1">
        <v>2</v>
      </c>
      <c r="K1584" s="1" t="s">
        <v>2257</v>
      </c>
      <c r="L1584" s="1" t="s">
        <v>2258</v>
      </c>
      <c r="M1584" s="1">
        <v>103</v>
      </c>
      <c r="N1584" s="1" t="s">
        <v>39</v>
      </c>
      <c r="O1584" s="1">
        <v>40.956899999999997</v>
      </c>
      <c r="P1584" s="1">
        <v>-72.877399999999994</v>
      </c>
      <c r="Q1584" s="1" t="s">
        <v>2224</v>
      </c>
      <c r="T1584" s="1" t="s">
        <v>93</v>
      </c>
      <c r="U1584" s="1" t="s">
        <v>94</v>
      </c>
      <c r="AA1584" s="3">
        <v>26115</v>
      </c>
      <c r="AB1584" s="1" t="s">
        <v>46</v>
      </c>
      <c r="AC1584" s="5">
        <v>686</v>
      </c>
      <c r="AD1584" s="1" t="s">
        <v>3907</v>
      </c>
      <c r="AE1584" s="1" t="str">
        <f t="shared" si="120"/>
        <v>7146 UGT013</v>
      </c>
      <c r="AF1584" s="5" t="str">
        <f t="shared" si="121"/>
        <v>52.9</v>
      </c>
      <c r="AG1584" s="1" t="str">
        <f t="shared" si="119"/>
        <v/>
      </c>
    </row>
    <row r="1585" spans="1:33" x14ac:dyDescent="0.2">
      <c r="A1585" s="1" t="s">
        <v>2089</v>
      </c>
      <c r="B1585" s="1" t="s">
        <v>3898</v>
      </c>
      <c r="C1585" s="1">
        <v>7146</v>
      </c>
      <c r="D1585" s="1" t="s">
        <v>3908</v>
      </c>
      <c r="E1585" s="1" t="s">
        <v>1330</v>
      </c>
      <c r="F1585" s="1">
        <v>2023</v>
      </c>
      <c r="G1585" s="1" t="s">
        <v>617</v>
      </c>
      <c r="H1585" s="1">
        <v>606257</v>
      </c>
      <c r="I1585" s="1">
        <v>2</v>
      </c>
      <c r="K1585" s="1" t="s">
        <v>2257</v>
      </c>
      <c r="L1585" s="1" t="s">
        <v>2258</v>
      </c>
      <c r="M1585" s="1">
        <v>103</v>
      </c>
      <c r="N1585" s="1" t="s">
        <v>39</v>
      </c>
      <c r="O1585" s="1">
        <v>40.956899999999997</v>
      </c>
      <c r="P1585" s="1">
        <v>-72.877399999999994</v>
      </c>
      <c r="Q1585" s="1" t="s">
        <v>2224</v>
      </c>
      <c r="T1585" s="1" t="s">
        <v>93</v>
      </c>
      <c r="U1585" s="1" t="s">
        <v>94</v>
      </c>
      <c r="AA1585" s="3">
        <v>30864</v>
      </c>
      <c r="AB1585" s="1" t="s">
        <v>46</v>
      </c>
      <c r="AC1585" s="5">
        <v>266</v>
      </c>
      <c r="AD1585" s="1" t="s">
        <v>2220</v>
      </c>
      <c r="AE1585" s="1" t="str">
        <f t="shared" si="120"/>
        <v>7146 UGT014</v>
      </c>
      <c r="AF1585" s="5" t="str">
        <f t="shared" si="121"/>
        <v>18.6</v>
      </c>
      <c r="AG1585" s="1" t="str">
        <f t="shared" si="119"/>
        <v/>
      </c>
    </row>
    <row r="1586" spans="1:33" x14ac:dyDescent="0.2">
      <c r="A1586" s="1" t="s">
        <v>660</v>
      </c>
      <c r="B1586" s="1" t="s">
        <v>3909</v>
      </c>
      <c r="C1586" s="1">
        <v>7153</v>
      </c>
      <c r="D1586" s="1">
        <v>1</v>
      </c>
      <c r="F1586" s="1">
        <v>2023</v>
      </c>
      <c r="G1586" s="1" t="s">
        <v>617</v>
      </c>
      <c r="H1586" s="1">
        <v>605947</v>
      </c>
      <c r="I1586" s="1">
        <v>3</v>
      </c>
      <c r="K1586" s="1" t="s">
        <v>662</v>
      </c>
      <c r="L1586" s="1" t="s">
        <v>663</v>
      </c>
      <c r="M1586" s="1">
        <v>3</v>
      </c>
      <c r="N1586" s="1" t="s">
        <v>39</v>
      </c>
      <c r="O1586" s="1">
        <v>39.743600000000001</v>
      </c>
      <c r="P1586" s="1">
        <v>-75.507199999999997</v>
      </c>
      <c r="Q1586" s="1" t="s">
        <v>664</v>
      </c>
      <c r="T1586" s="1" t="s">
        <v>71</v>
      </c>
      <c r="U1586" s="1" t="s">
        <v>44</v>
      </c>
      <c r="V1586" s="1" t="s">
        <v>94</v>
      </c>
      <c r="X1586" s="1" t="s">
        <v>3910</v>
      </c>
      <c r="AA1586" s="3">
        <v>32690</v>
      </c>
      <c r="AB1586" s="1" t="s">
        <v>46</v>
      </c>
      <c r="AC1586" s="5">
        <v>1751</v>
      </c>
      <c r="AD1586" s="1" t="s">
        <v>3911</v>
      </c>
      <c r="AE1586" s="1" t="str">
        <f t="shared" si="120"/>
        <v>7153 1</v>
      </c>
      <c r="AF1586" s="14">
        <f>MID(AD1586,FIND("(",AD1586)+1,FIND(")",AD1586)-FIND("(",AD1586)-1)+207/3</f>
        <v>172.5</v>
      </c>
      <c r="AG1586" s="1" t="str">
        <f t="shared" si="119"/>
        <v/>
      </c>
    </row>
    <row r="1587" spans="1:33" x14ac:dyDescent="0.2">
      <c r="A1587" s="1" t="s">
        <v>660</v>
      </c>
      <c r="B1587" s="1" t="s">
        <v>3909</v>
      </c>
      <c r="C1587" s="1">
        <v>7153</v>
      </c>
      <c r="D1587" s="1">
        <v>2</v>
      </c>
      <c r="F1587" s="1">
        <v>2023</v>
      </c>
      <c r="G1587" s="1" t="s">
        <v>617</v>
      </c>
      <c r="H1587" s="1">
        <v>605947</v>
      </c>
      <c r="I1587" s="1">
        <v>3</v>
      </c>
      <c r="K1587" s="1" t="s">
        <v>662</v>
      </c>
      <c r="L1587" s="1" t="s">
        <v>663</v>
      </c>
      <c r="M1587" s="1">
        <v>3</v>
      </c>
      <c r="N1587" s="1" t="s">
        <v>39</v>
      </c>
      <c r="O1587" s="1">
        <v>39.743600000000001</v>
      </c>
      <c r="P1587" s="1">
        <v>-75.507199999999997</v>
      </c>
      <c r="Q1587" s="1" t="s">
        <v>664</v>
      </c>
      <c r="T1587" s="1" t="s">
        <v>71</v>
      </c>
      <c r="U1587" s="1" t="s">
        <v>44</v>
      </c>
      <c r="V1587" s="1" t="s">
        <v>94</v>
      </c>
      <c r="X1587" s="1" t="s">
        <v>3910</v>
      </c>
      <c r="AA1587" s="3">
        <v>32629</v>
      </c>
      <c r="AB1587" s="1" t="s">
        <v>46</v>
      </c>
      <c r="AC1587" s="5">
        <v>1751</v>
      </c>
      <c r="AD1587" s="1" t="s">
        <v>3912</v>
      </c>
      <c r="AE1587" s="1" t="str">
        <f t="shared" si="120"/>
        <v>7153 2</v>
      </c>
      <c r="AF1587" s="14">
        <f>AF1586</f>
        <v>172.5</v>
      </c>
      <c r="AG1587" s="1" t="str">
        <f t="shared" si="119"/>
        <v/>
      </c>
    </row>
    <row r="1588" spans="1:33" x14ac:dyDescent="0.2">
      <c r="A1588" s="1" t="s">
        <v>660</v>
      </c>
      <c r="B1588" s="1" t="s">
        <v>3909</v>
      </c>
      <c r="C1588" s="1">
        <v>7153</v>
      </c>
      <c r="D1588" s="1">
        <v>5</v>
      </c>
      <c r="F1588" s="1">
        <v>2023</v>
      </c>
      <c r="G1588" s="1" t="s">
        <v>579</v>
      </c>
      <c r="H1588" s="1">
        <v>605947</v>
      </c>
      <c r="I1588" s="1">
        <v>3</v>
      </c>
      <c r="K1588" s="1" t="s">
        <v>662</v>
      </c>
      <c r="L1588" s="1" t="s">
        <v>663</v>
      </c>
      <c r="M1588" s="1">
        <v>3</v>
      </c>
      <c r="N1588" s="1" t="s">
        <v>39</v>
      </c>
      <c r="O1588" s="1">
        <v>39.743600000000001</v>
      </c>
      <c r="P1588" s="1">
        <v>-75.507199999999997</v>
      </c>
      <c r="Q1588" s="1" t="s">
        <v>664</v>
      </c>
      <c r="R1588" s="1" t="s">
        <v>41</v>
      </c>
      <c r="T1588" s="1" t="s">
        <v>71</v>
      </c>
      <c r="U1588" s="1" t="s">
        <v>44</v>
      </c>
      <c r="V1588" s="1" t="s">
        <v>94</v>
      </c>
      <c r="X1588" s="1" t="s">
        <v>3913</v>
      </c>
      <c r="AA1588" s="3">
        <v>36982</v>
      </c>
      <c r="AB1588" s="1" t="s">
        <v>46</v>
      </c>
      <c r="AC1588" s="5">
        <v>1751</v>
      </c>
      <c r="AD1588" s="1" t="s">
        <v>3914</v>
      </c>
      <c r="AE1588" s="1" t="str">
        <f t="shared" si="120"/>
        <v>7153 5</v>
      </c>
      <c r="AF1588" s="14">
        <f>AF1589</f>
        <v>220.66666666666669</v>
      </c>
      <c r="AG1588" s="1" t="str">
        <f t="shared" si="119"/>
        <v>Y</v>
      </c>
    </row>
    <row r="1589" spans="1:33" x14ac:dyDescent="0.2">
      <c r="A1589" s="1" t="s">
        <v>660</v>
      </c>
      <c r="B1589" s="1" t="s">
        <v>3909</v>
      </c>
      <c r="C1589" s="1">
        <v>7153</v>
      </c>
      <c r="D1589" s="1">
        <v>6</v>
      </c>
      <c r="F1589" s="1">
        <v>2023</v>
      </c>
      <c r="G1589" s="1" t="s">
        <v>579</v>
      </c>
      <c r="H1589" s="1">
        <v>605947</v>
      </c>
      <c r="I1589" s="1">
        <v>3</v>
      </c>
      <c r="K1589" s="1" t="s">
        <v>662</v>
      </c>
      <c r="L1589" s="1" t="s">
        <v>663</v>
      </c>
      <c r="M1589" s="1">
        <v>3</v>
      </c>
      <c r="N1589" s="1" t="s">
        <v>39</v>
      </c>
      <c r="O1589" s="1">
        <v>39.743600000000001</v>
      </c>
      <c r="P1589" s="1">
        <v>-75.507199999999997</v>
      </c>
      <c r="Q1589" s="1" t="s">
        <v>664</v>
      </c>
      <c r="R1589" s="1" t="s">
        <v>41</v>
      </c>
      <c r="T1589" s="1" t="s">
        <v>71</v>
      </c>
      <c r="U1589" s="1" t="s">
        <v>44</v>
      </c>
      <c r="V1589" s="1" t="s">
        <v>94</v>
      </c>
      <c r="X1589" s="1" t="s">
        <v>3913</v>
      </c>
      <c r="AA1589" s="3">
        <v>36982</v>
      </c>
      <c r="AB1589" s="1" t="s">
        <v>46</v>
      </c>
      <c r="AC1589" s="5">
        <v>1751</v>
      </c>
      <c r="AD1589" s="1" t="s">
        <v>3915</v>
      </c>
      <c r="AE1589" s="1" t="str">
        <f t="shared" si="120"/>
        <v>7153 6</v>
      </c>
      <c r="AF1589" s="14">
        <f>MID(AD1589,FIND("(",AD1589)+1,FIND(")",AD1589)-FIND("(",AD1589)-1)+230/3</f>
        <v>220.66666666666669</v>
      </c>
      <c r="AG1589" s="1" t="str">
        <f t="shared" si="119"/>
        <v>Y</v>
      </c>
    </row>
    <row r="1590" spans="1:33" x14ac:dyDescent="0.2">
      <c r="A1590" s="1" t="s">
        <v>660</v>
      </c>
      <c r="B1590" s="1" t="s">
        <v>3909</v>
      </c>
      <c r="C1590" s="1">
        <v>7153</v>
      </c>
      <c r="D1590" s="1">
        <v>7</v>
      </c>
      <c r="F1590" s="1">
        <v>2023</v>
      </c>
      <c r="G1590" s="1" t="s">
        <v>579</v>
      </c>
      <c r="H1590" s="1">
        <v>605947</v>
      </c>
      <c r="I1590" s="1">
        <v>3</v>
      </c>
      <c r="K1590" s="1" t="s">
        <v>662</v>
      </c>
      <c r="L1590" s="1" t="s">
        <v>663</v>
      </c>
      <c r="M1590" s="1">
        <v>3</v>
      </c>
      <c r="N1590" s="1" t="s">
        <v>39</v>
      </c>
      <c r="O1590" s="1">
        <v>39.743600000000001</v>
      </c>
      <c r="P1590" s="1">
        <v>-75.507199999999997</v>
      </c>
      <c r="Q1590" s="1" t="s">
        <v>664</v>
      </c>
      <c r="R1590" s="1" t="s">
        <v>41</v>
      </c>
      <c r="T1590" s="1" t="s">
        <v>71</v>
      </c>
      <c r="U1590" s="1" t="s">
        <v>44</v>
      </c>
      <c r="V1590" s="1" t="s">
        <v>94</v>
      </c>
      <c r="X1590" s="1" t="s">
        <v>3913</v>
      </c>
      <c r="AA1590" s="3">
        <v>36982</v>
      </c>
      <c r="AB1590" s="1" t="s">
        <v>46</v>
      </c>
      <c r="AC1590" s="5">
        <v>2045</v>
      </c>
      <c r="AD1590" s="1" t="s">
        <v>3916</v>
      </c>
      <c r="AE1590" s="1" t="str">
        <f t="shared" si="120"/>
        <v>7153 7</v>
      </c>
      <c r="AF1590" s="14">
        <f>AF1589</f>
        <v>220.66666666666669</v>
      </c>
      <c r="AG1590" s="1" t="str">
        <f t="shared" si="119"/>
        <v>Y</v>
      </c>
    </row>
    <row r="1591" spans="1:33" x14ac:dyDescent="0.2">
      <c r="A1591" s="1" t="s">
        <v>660</v>
      </c>
      <c r="B1591" s="1" t="s">
        <v>3909</v>
      </c>
      <c r="C1591" s="1">
        <v>7153</v>
      </c>
      <c r="D1591" s="1" t="s">
        <v>3876</v>
      </c>
      <c r="F1591" s="1">
        <v>2023</v>
      </c>
      <c r="G1591" s="1" t="s">
        <v>579</v>
      </c>
      <c r="H1591" s="1">
        <v>605947</v>
      </c>
      <c r="I1591" s="1">
        <v>3</v>
      </c>
      <c r="K1591" s="1" t="s">
        <v>662</v>
      </c>
      <c r="L1591" s="1" t="s">
        <v>663</v>
      </c>
      <c r="M1591" s="1">
        <v>3</v>
      </c>
      <c r="N1591" s="1" t="s">
        <v>39</v>
      </c>
      <c r="O1591" s="1">
        <v>39.743600000000001</v>
      </c>
      <c r="P1591" s="1">
        <v>-75.507199999999997</v>
      </c>
      <c r="Q1591" s="1" t="s">
        <v>664</v>
      </c>
      <c r="R1591" s="1" t="s">
        <v>41</v>
      </c>
      <c r="T1591" s="1" t="s">
        <v>71</v>
      </c>
      <c r="U1591" s="1" t="s">
        <v>44</v>
      </c>
      <c r="V1591" s="1" t="s">
        <v>94</v>
      </c>
      <c r="X1591" s="1" t="s">
        <v>3910</v>
      </c>
      <c r="AA1591" s="3">
        <v>32874</v>
      </c>
      <c r="AB1591" s="1" t="s">
        <v>46</v>
      </c>
      <c r="AC1591" s="5">
        <v>1751</v>
      </c>
      <c r="AD1591" s="1" t="s">
        <v>3917</v>
      </c>
      <c r="AE1591" s="1" t="str">
        <f t="shared" si="120"/>
        <v>7153 **3</v>
      </c>
      <c r="AF1591" s="14">
        <f>AF1586</f>
        <v>172.5</v>
      </c>
      <c r="AG1591" s="1" t="str">
        <f t="shared" si="119"/>
        <v/>
      </c>
    </row>
    <row r="1592" spans="1:33" x14ac:dyDescent="0.2">
      <c r="A1592" s="1" t="s">
        <v>1186</v>
      </c>
      <c r="B1592" s="1" t="s">
        <v>3918</v>
      </c>
      <c r="C1592" s="1">
        <v>7155</v>
      </c>
      <c r="D1592" s="1" t="s">
        <v>3872</v>
      </c>
      <c r="F1592" s="1">
        <v>2023</v>
      </c>
      <c r="G1592" s="1" t="s">
        <v>1207</v>
      </c>
      <c r="H1592" s="1">
        <v>608055</v>
      </c>
      <c r="I1592" s="1">
        <v>7</v>
      </c>
      <c r="J1592" s="1" t="s">
        <v>207</v>
      </c>
      <c r="K1592" s="1" t="s">
        <v>3919</v>
      </c>
      <c r="L1592" s="1" t="s">
        <v>3920</v>
      </c>
      <c r="M1592" s="1">
        <v>33</v>
      </c>
      <c r="N1592" s="1" t="s">
        <v>39</v>
      </c>
      <c r="O1592" s="1">
        <v>43.248100000000001</v>
      </c>
      <c r="P1592" s="1">
        <v>-93.204599999999999</v>
      </c>
      <c r="Q1592" s="1" t="s">
        <v>1191</v>
      </c>
      <c r="R1592" s="1" t="s">
        <v>41</v>
      </c>
      <c r="T1592" s="1" t="s">
        <v>93</v>
      </c>
      <c r="U1592" s="1" t="s">
        <v>94</v>
      </c>
      <c r="X1592" s="1" t="s">
        <v>95</v>
      </c>
      <c r="AA1592" s="3">
        <v>33359</v>
      </c>
      <c r="AB1592" s="1" t="s">
        <v>46</v>
      </c>
      <c r="AC1592" s="5">
        <v>632</v>
      </c>
      <c r="AD1592" s="1" t="s">
        <v>3921</v>
      </c>
      <c r="AE1592" s="1" t="str">
        <f t="shared" si="120"/>
        <v>7155 **1</v>
      </c>
      <c r="AF1592" s="5" t="str">
        <f t="shared" ref="AF1592:AF1617" si="122">MID(AD1592,FIND("(",AD1592)+1,FIND(")",AD1592)-FIND("(",AD1592)-1)</f>
        <v>41.4</v>
      </c>
      <c r="AG1592" s="1" t="str">
        <f t="shared" si="119"/>
        <v/>
      </c>
    </row>
    <row r="1593" spans="1:33" x14ac:dyDescent="0.2">
      <c r="A1593" s="1" t="s">
        <v>1186</v>
      </c>
      <c r="B1593" s="1" t="s">
        <v>3918</v>
      </c>
      <c r="C1593" s="1">
        <v>7155</v>
      </c>
      <c r="D1593" s="1" t="s">
        <v>3875</v>
      </c>
      <c r="F1593" s="1">
        <v>2023</v>
      </c>
      <c r="G1593" s="1" t="s">
        <v>1207</v>
      </c>
      <c r="H1593" s="1">
        <v>608055</v>
      </c>
      <c r="I1593" s="1">
        <v>7</v>
      </c>
      <c r="J1593" s="1" t="s">
        <v>207</v>
      </c>
      <c r="K1593" s="1" t="s">
        <v>3919</v>
      </c>
      <c r="L1593" s="1" t="s">
        <v>3920</v>
      </c>
      <c r="M1593" s="1">
        <v>33</v>
      </c>
      <c r="N1593" s="1" t="s">
        <v>39</v>
      </c>
      <c r="O1593" s="1">
        <v>43.248100000000001</v>
      </c>
      <c r="P1593" s="1">
        <v>-93.204599999999999</v>
      </c>
      <c r="Q1593" s="1" t="s">
        <v>1191</v>
      </c>
      <c r="R1593" s="1" t="s">
        <v>41</v>
      </c>
      <c r="T1593" s="1" t="s">
        <v>93</v>
      </c>
      <c r="U1593" s="1" t="s">
        <v>94</v>
      </c>
      <c r="X1593" s="1" t="s">
        <v>95</v>
      </c>
      <c r="AA1593" s="3">
        <v>33359</v>
      </c>
      <c r="AB1593" s="1" t="s">
        <v>46</v>
      </c>
      <c r="AC1593" s="5">
        <v>611.70000000000005</v>
      </c>
      <c r="AD1593" s="1" t="s">
        <v>3922</v>
      </c>
      <c r="AE1593" s="1" t="str">
        <f t="shared" si="120"/>
        <v>7155 **2</v>
      </c>
      <c r="AF1593" s="5" t="str">
        <f t="shared" si="122"/>
        <v>41.4</v>
      </c>
      <c r="AG1593" s="1" t="str">
        <f t="shared" si="119"/>
        <v/>
      </c>
    </row>
    <row r="1594" spans="1:33" x14ac:dyDescent="0.2">
      <c r="A1594" s="1" t="s">
        <v>2430</v>
      </c>
      <c r="B1594" s="1" t="s">
        <v>3923</v>
      </c>
      <c r="C1594" s="1">
        <v>7158</v>
      </c>
      <c r="D1594" s="1" t="s">
        <v>1822</v>
      </c>
      <c r="F1594" s="1">
        <v>2023</v>
      </c>
      <c r="G1594" s="1" t="s">
        <v>461</v>
      </c>
      <c r="H1594" s="1">
        <v>609289</v>
      </c>
      <c r="I1594" s="1">
        <v>5</v>
      </c>
      <c r="J1594" s="1" t="s">
        <v>169</v>
      </c>
      <c r="K1594" s="1" t="s">
        <v>2439</v>
      </c>
      <c r="L1594" s="1" t="s">
        <v>2440</v>
      </c>
      <c r="M1594" s="1">
        <v>17</v>
      </c>
      <c r="N1594" s="1" t="s">
        <v>39</v>
      </c>
      <c r="O1594" s="1">
        <v>39.449199999999998</v>
      </c>
      <c r="P1594" s="1">
        <v>-84.461100000000002</v>
      </c>
      <c r="Q1594" s="1" t="s">
        <v>3333</v>
      </c>
      <c r="R1594" s="1" t="s">
        <v>41</v>
      </c>
      <c r="T1594" s="1" t="s">
        <v>93</v>
      </c>
      <c r="U1594" s="1" t="s">
        <v>44</v>
      </c>
      <c r="V1594" s="1" t="s">
        <v>94</v>
      </c>
      <c r="X1594" s="1" t="s">
        <v>95</v>
      </c>
      <c r="AA1594" s="3">
        <v>34120</v>
      </c>
      <c r="AB1594" s="1" t="s">
        <v>46</v>
      </c>
      <c r="AC1594" s="5">
        <v>1314</v>
      </c>
      <c r="AD1594" s="1" t="s">
        <v>3924</v>
      </c>
      <c r="AE1594" s="1" t="str">
        <f t="shared" si="120"/>
        <v>7158 **GT1</v>
      </c>
      <c r="AF1594" s="5" t="str">
        <f t="shared" si="122"/>
        <v>81.6</v>
      </c>
      <c r="AG1594" s="1" t="str">
        <f t="shared" si="119"/>
        <v/>
      </c>
    </row>
    <row r="1595" spans="1:33" x14ac:dyDescent="0.2">
      <c r="A1595" s="1" t="s">
        <v>2430</v>
      </c>
      <c r="B1595" s="1" t="s">
        <v>3923</v>
      </c>
      <c r="C1595" s="1">
        <v>7158</v>
      </c>
      <c r="D1595" s="1" t="s">
        <v>1826</v>
      </c>
      <c r="F1595" s="1">
        <v>2023</v>
      </c>
      <c r="G1595" s="1" t="s">
        <v>461</v>
      </c>
      <c r="H1595" s="1">
        <v>609289</v>
      </c>
      <c r="I1595" s="1">
        <v>5</v>
      </c>
      <c r="J1595" s="1" t="s">
        <v>169</v>
      </c>
      <c r="K1595" s="1" t="s">
        <v>2439</v>
      </c>
      <c r="L1595" s="1" t="s">
        <v>2440</v>
      </c>
      <c r="M1595" s="1">
        <v>17</v>
      </c>
      <c r="N1595" s="1" t="s">
        <v>39</v>
      </c>
      <c r="O1595" s="1">
        <v>39.449199999999998</v>
      </c>
      <c r="P1595" s="1">
        <v>-84.461100000000002</v>
      </c>
      <c r="Q1595" s="1" t="s">
        <v>3333</v>
      </c>
      <c r="R1595" s="1" t="s">
        <v>41</v>
      </c>
      <c r="T1595" s="1" t="s">
        <v>93</v>
      </c>
      <c r="U1595" s="1" t="s">
        <v>44</v>
      </c>
      <c r="V1595" s="1" t="s">
        <v>94</v>
      </c>
      <c r="X1595" s="1" t="s">
        <v>95</v>
      </c>
      <c r="AA1595" s="3">
        <v>33816</v>
      </c>
      <c r="AB1595" s="1" t="s">
        <v>46</v>
      </c>
      <c r="AC1595" s="5">
        <v>1314</v>
      </c>
      <c r="AD1595" s="1" t="s">
        <v>3925</v>
      </c>
      <c r="AE1595" s="1" t="str">
        <f t="shared" si="120"/>
        <v>7158 **GT2</v>
      </c>
      <c r="AF1595" s="5" t="str">
        <f t="shared" si="122"/>
        <v>81.6</v>
      </c>
      <c r="AG1595" s="1" t="str">
        <f t="shared" si="119"/>
        <v/>
      </c>
    </row>
    <row r="1596" spans="1:33" x14ac:dyDescent="0.2">
      <c r="A1596" s="1" t="s">
        <v>2430</v>
      </c>
      <c r="B1596" s="1" t="s">
        <v>3923</v>
      </c>
      <c r="C1596" s="1">
        <v>7158</v>
      </c>
      <c r="D1596" s="1" t="s">
        <v>1543</v>
      </c>
      <c r="F1596" s="1">
        <v>2023</v>
      </c>
      <c r="G1596" s="1" t="s">
        <v>461</v>
      </c>
      <c r="H1596" s="1">
        <v>609289</v>
      </c>
      <c r="I1596" s="1">
        <v>5</v>
      </c>
      <c r="J1596" s="1" t="s">
        <v>169</v>
      </c>
      <c r="K1596" s="1" t="s">
        <v>2439</v>
      </c>
      <c r="L1596" s="1" t="s">
        <v>2440</v>
      </c>
      <c r="M1596" s="1">
        <v>17</v>
      </c>
      <c r="N1596" s="1" t="s">
        <v>39</v>
      </c>
      <c r="O1596" s="1">
        <v>39.449199999999998</v>
      </c>
      <c r="P1596" s="1">
        <v>-84.461100000000002</v>
      </c>
      <c r="Q1596" s="1" t="s">
        <v>3333</v>
      </c>
      <c r="R1596" s="1" t="s">
        <v>41</v>
      </c>
      <c r="T1596" s="1" t="s">
        <v>93</v>
      </c>
      <c r="U1596" s="1" t="s">
        <v>44</v>
      </c>
      <c r="V1596" s="1" t="s">
        <v>94</v>
      </c>
      <c r="X1596" s="1" t="s">
        <v>95</v>
      </c>
      <c r="AA1596" s="3">
        <v>33755</v>
      </c>
      <c r="AB1596" s="1" t="s">
        <v>46</v>
      </c>
      <c r="AC1596" s="5">
        <v>1314</v>
      </c>
      <c r="AD1596" s="1" t="s">
        <v>3926</v>
      </c>
      <c r="AE1596" s="1" t="str">
        <f t="shared" si="120"/>
        <v>7158 **GT3</v>
      </c>
      <c r="AF1596" s="5" t="str">
        <f t="shared" si="122"/>
        <v>81.6</v>
      </c>
      <c r="AG1596" s="1" t="str">
        <f t="shared" si="119"/>
        <v/>
      </c>
    </row>
    <row r="1597" spans="1:33" x14ac:dyDescent="0.2">
      <c r="A1597" s="1" t="s">
        <v>2430</v>
      </c>
      <c r="B1597" s="1" t="s">
        <v>3923</v>
      </c>
      <c r="C1597" s="1">
        <v>7158</v>
      </c>
      <c r="D1597" s="1" t="s">
        <v>1545</v>
      </c>
      <c r="F1597" s="1">
        <v>2023</v>
      </c>
      <c r="G1597" s="1" t="s">
        <v>461</v>
      </c>
      <c r="H1597" s="1">
        <v>609289</v>
      </c>
      <c r="I1597" s="1">
        <v>5</v>
      </c>
      <c r="J1597" s="1" t="s">
        <v>169</v>
      </c>
      <c r="K1597" s="1" t="s">
        <v>2439</v>
      </c>
      <c r="L1597" s="1" t="s">
        <v>2440</v>
      </c>
      <c r="M1597" s="1">
        <v>17</v>
      </c>
      <c r="N1597" s="1" t="s">
        <v>39</v>
      </c>
      <c r="O1597" s="1">
        <v>39.449199999999998</v>
      </c>
      <c r="P1597" s="1">
        <v>-84.461100000000002</v>
      </c>
      <c r="Q1597" s="1" t="s">
        <v>3333</v>
      </c>
      <c r="R1597" s="1" t="s">
        <v>41</v>
      </c>
      <c r="T1597" s="1" t="s">
        <v>93</v>
      </c>
      <c r="U1597" s="1" t="s">
        <v>44</v>
      </c>
      <c r="V1597" s="1" t="s">
        <v>94</v>
      </c>
      <c r="X1597" s="1" t="s">
        <v>95</v>
      </c>
      <c r="AA1597" s="3">
        <v>33816</v>
      </c>
      <c r="AB1597" s="1" t="s">
        <v>46</v>
      </c>
      <c r="AC1597" s="5">
        <v>3200</v>
      </c>
      <c r="AD1597" s="1" t="s">
        <v>3927</v>
      </c>
      <c r="AE1597" s="1" t="str">
        <f t="shared" si="120"/>
        <v>7158 **GT4</v>
      </c>
      <c r="AF1597" s="5" t="str">
        <f t="shared" si="122"/>
        <v>81.6</v>
      </c>
      <c r="AG1597" s="1" t="str">
        <f t="shared" si="119"/>
        <v/>
      </c>
    </row>
    <row r="1598" spans="1:33" x14ac:dyDescent="0.2">
      <c r="A1598" s="1" t="s">
        <v>2430</v>
      </c>
      <c r="B1598" s="1" t="s">
        <v>3923</v>
      </c>
      <c r="C1598" s="1">
        <v>7158</v>
      </c>
      <c r="D1598" s="1" t="s">
        <v>1547</v>
      </c>
      <c r="F1598" s="1">
        <v>2023</v>
      </c>
      <c r="G1598" s="1" t="s">
        <v>461</v>
      </c>
      <c r="H1598" s="1">
        <v>609289</v>
      </c>
      <c r="I1598" s="1">
        <v>5</v>
      </c>
      <c r="J1598" s="1" t="s">
        <v>169</v>
      </c>
      <c r="K1598" s="1" t="s">
        <v>2439</v>
      </c>
      <c r="L1598" s="1" t="s">
        <v>2440</v>
      </c>
      <c r="M1598" s="1">
        <v>17</v>
      </c>
      <c r="N1598" s="1" t="s">
        <v>39</v>
      </c>
      <c r="O1598" s="1">
        <v>39.449199999999998</v>
      </c>
      <c r="P1598" s="1">
        <v>-84.461100000000002</v>
      </c>
      <c r="Q1598" s="1" t="s">
        <v>3333</v>
      </c>
      <c r="R1598" s="1" t="s">
        <v>41</v>
      </c>
      <c r="T1598" s="1" t="s">
        <v>93</v>
      </c>
      <c r="U1598" s="1" t="s">
        <v>44</v>
      </c>
      <c r="V1598" s="1" t="s">
        <v>94</v>
      </c>
      <c r="X1598" s="1" t="s">
        <v>95</v>
      </c>
      <c r="AA1598" s="3">
        <v>33755</v>
      </c>
      <c r="AB1598" s="1" t="s">
        <v>46</v>
      </c>
      <c r="AC1598" s="5">
        <v>1314</v>
      </c>
      <c r="AD1598" s="1" t="s">
        <v>3928</v>
      </c>
      <c r="AE1598" s="1" t="str">
        <f t="shared" si="120"/>
        <v>7158 **GT5</v>
      </c>
      <c r="AF1598" s="5" t="str">
        <f t="shared" si="122"/>
        <v>81.6</v>
      </c>
      <c r="AG1598" s="1" t="str">
        <f t="shared" si="119"/>
        <v/>
      </c>
    </row>
    <row r="1599" spans="1:33" x14ac:dyDescent="0.2">
      <c r="A1599" s="1" t="s">
        <v>2430</v>
      </c>
      <c r="B1599" s="1" t="s">
        <v>3923</v>
      </c>
      <c r="C1599" s="1">
        <v>7158</v>
      </c>
      <c r="D1599" s="1" t="s">
        <v>1549</v>
      </c>
      <c r="F1599" s="1">
        <v>2023</v>
      </c>
      <c r="G1599" s="1" t="s">
        <v>461</v>
      </c>
      <c r="H1599" s="1">
        <v>609289</v>
      </c>
      <c r="I1599" s="1">
        <v>5</v>
      </c>
      <c r="J1599" s="1" t="s">
        <v>169</v>
      </c>
      <c r="K1599" s="1" t="s">
        <v>2439</v>
      </c>
      <c r="L1599" s="1" t="s">
        <v>2440</v>
      </c>
      <c r="M1599" s="1">
        <v>17</v>
      </c>
      <c r="N1599" s="1" t="s">
        <v>39</v>
      </c>
      <c r="O1599" s="1">
        <v>39.449199999999998</v>
      </c>
      <c r="P1599" s="1">
        <v>-84.461100000000002</v>
      </c>
      <c r="Q1599" s="1" t="s">
        <v>3333</v>
      </c>
      <c r="R1599" s="1" t="s">
        <v>41</v>
      </c>
      <c r="T1599" s="1" t="s">
        <v>93</v>
      </c>
      <c r="U1599" s="1" t="s">
        <v>44</v>
      </c>
      <c r="V1599" s="1" t="s">
        <v>94</v>
      </c>
      <c r="X1599" s="1" t="s">
        <v>95</v>
      </c>
      <c r="AA1599" s="3">
        <v>33755</v>
      </c>
      <c r="AB1599" s="1" t="s">
        <v>46</v>
      </c>
      <c r="AC1599" s="5">
        <v>1314</v>
      </c>
      <c r="AD1599" s="1" t="s">
        <v>3929</v>
      </c>
      <c r="AE1599" s="1" t="str">
        <f t="shared" si="120"/>
        <v>7158 **GT6</v>
      </c>
      <c r="AF1599" s="5" t="str">
        <f t="shared" si="122"/>
        <v>81.6</v>
      </c>
      <c r="AG1599" s="1" t="str">
        <f t="shared" si="119"/>
        <v/>
      </c>
    </row>
    <row r="1600" spans="1:33" x14ac:dyDescent="0.2">
      <c r="A1600" s="1" t="s">
        <v>3167</v>
      </c>
      <c r="B1600" s="1" t="s">
        <v>3930</v>
      </c>
      <c r="C1600" s="1">
        <v>7159</v>
      </c>
      <c r="D1600" s="1" t="s">
        <v>3872</v>
      </c>
      <c r="F1600" s="1">
        <v>2023</v>
      </c>
      <c r="G1600" s="1" t="s">
        <v>461</v>
      </c>
      <c r="H1600" s="1" t="s">
        <v>3193</v>
      </c>
      <c r="I1600" s="1">
        <v>5</v>
      </c>
      <c r="J1600" s="1" t="s">
        <v>462</v>
      </c>
      <c r="K1600" s="1" t="s">
        <v>1074</v>
      </c>
      <c r="L1600" s="1" t="s">
        <v>3931</v>
      </c>
      <c r="M1600" s="1">
        <v>55</v>
      </c>
      <c r="N1600" s="1" t="s">
        <v>39</v>
      </c>
      <c r="O1600" s="1">
        <v>43.166899999999998</v>
      </c>
      <c r="P1600" s="1">
        <v>-88.69</v>
      </c>
      <c r="Q1600" s="1" t="s">
        <v>3204</v>
      </c>
      <c r="R1600" s="1" t="s">
        <v>41</v>
      </c>
      <c r="T1600" s="1" t="s">
        <v>93</v>
      </c>
      <c r="U1600" s="1" t="s">
        <v>44</v>
      </c>
      <c r="V1600" s="1" t="s">
        <v>94</v>
      </c>
      <c r="X1600" s="1" t="s">
        <v>95</v>
      </c>
      <c r="AA1600" s="3">
        <v>34157</v>
      </c>
      <c r="AB1600" s="1" t="s">
        <v>46</v>
      </c>
      <c r="AC1600" s="5">
        <v>1282</v>
      </c>
      <c r="AD1600" s="1" t="s">
        <v>3932</v>
      </c>
      <c r="AE1600" s="1" t="str">
        <f t="shared" si="120"/>
        <v>7159 **1</v>
      </c>
      <c r="AF1600" s="5" t="str">
        <f t="shared" si="122"/>
        <v>95.4</v>
      </c>
      <c r="AG1600" s="1" t="str">
        <f t="shared" si="119"/>
        <v/>
      </c>
    </row>
    <row r="1601" spans="1:33" x14ac:dyDescent="0.2">
      <c r="A1601" s="1" t="s">
        <v>3167</v>
      </c>
      <c r="B1601" s="1" t="s">
        <v>3930</v>
      </c>
      <c r="C1601" s="1">
        <v>7159</v>
      </c>
      <c r="D1601" s="1" t="s">
        <v>3875</v>
      </c>
      <c r="F1601" s="1">
        <v>2023</v>
      </c>
      <c r="G1601" s="1" t="s">
        <v>461</v>
      </c>
      <c r="H1601" s="1" t="s">
        <v>3193</v>
      </c>
      <c r="I1601" s="1">
        <v>5</v>
      </c>
      <c r="J1601" s="1" t="s">
        <v>462</v>
      </c>
      <c r="K1601" s="1" t="s">
        <v>1074</v>
      </c>
      <c r="L1601" s="1" t="s">
        <v>3931</v>
      </c>
      <c r="M1601" s="1">
        <v>55</v>
      </c>
      <c r="N1601" s="1" t="s">
        <v>39</v>
      </c>
      <c r="O1601" s="1">
        <v>43.166899999999998</v>
      </c>
      <c r="P1601" s="1">
        <v>-88.69</v>
      </c>
      <c r="Q1601" s="1" t="s">
        <v>3204</v>
      </c>
      <c r="R1601" s="1" t="s">
        <v>41</v>
      </c>
      <c r="T1601" s="1" t="s">
        <v>93</v>
      </c>
      <c r="U1601" s="1" t="s">
        <v>44</v>
      </c>
      <c r="V1601" s="1" t="s">
        <v>94</v>
      </c>
      <c r="X1601" s="1" t="s">
        <v>95</v>
      </c>
      <c r="AA1601" s="3">
        <v>34157</v>
      </c>
      <c r="AB1601" s="1" t="s">
        <v>46</v>
      </c>
      <c r="AC1601" s="5">
        <v>1282</v>
      </c>
      <c r="AD1601" s="1" t="s">
        <v>3770</v>
      </c>
      <c r="AE1601" s="1" t="str">
        <f t="shared" si="120"/>
        <v>7159 **2</v>
      </c>
      <c r="AF1601" s="5" t="str">
        <f t="shared" si="122"/>
        <v>95.4</v>
      </c>
      <c r="AG1601" s="1" t="str">
        <f t="shared" si="119"/>
        <v/>
      </c>
    </row>
    <row r="1602" spans="1:33" x14ac:dyDescent="0.2">
      <c r="A1602" s="1" t="s">
        <v>3167</v>
      </c>
      <c r="B1602" s="1" t="s">
        <v>3930</v>
      </c>
      <c r="C1602" s="1">
        <v>7159</v>
      </c>
      <c r="D1602" s="1" t="s">
        <v>3876</v>
      </c>
      <c r="F1602" s="1">
        <v>2023</v>
      </c>
      <c r="G1602" s="1" t="s">
        <v>461</v>
      </c>
      <c r="H1602" s="1" t="s">
        <v>3193</v>
      </c>
      <c r="I1602" s="1">
        <v>5</v>
      </c>
      <c r="J1602" s="1" t="s">
        <v>462</v>
      </c>
      <c r="K1602" s="1" t="s">
        <v>1074</v>
      </c>
      <c r="L1602" s="1" t="s">
        <v>3931</v>
      </c>
      <c r="M1602" s="1">
        <v>55</v>
      </c>
      <c r="N1602" s="1" t="s">
        <v>39</v>
      </c>
      <c r="O1602" s="1">
        <v>43.166899999999998</v>
      </c>
      <c r="P1602" s="1">
        <v>-88.69</v>
      </c>
      <c r="Q1602" s="1" t="s">
        <v>3204</v>
      </c>
      <c r="R1602" s="1" t="s">
        <v>41</v>
      </c>
      <c r="T1602" s="1" t="s">
        <v>93</v>
      </c>
      <c r="U1602" s="1" t="s">
        <v>44</v>
      </c>
      <c r="V1602" s="1" t="s">
        <v>94</v>
      </c>
      <c r="X1602" s="1" t="s">
        <v>95</v>
      </c>
      <c r="AA1602" s="3">
        <v>34478</v>
      </c>
      <c r="AB1602" s="1" t="s">
        <v>46</v>
      </c>
      <c r="AC1602" s="5">
        <v>1282</v>
      </c>
      <c r="AD1602" s="1" t="s">
        <v>3771</v>
      </c>
      <c r="AE1602" s="1" t="str">
        <f t="shared" si="120"/>
        <v>7159 **3</v>
      </c>
      <c r="AF1602" s="5" t="str">
        <f t="shared" si="122"/>
        <v>95.4</v>
      </c>
      <c r="AG1602" s="1" t="str">
        <f t="shared" ref="AG1602:AG1665" si="123">IF(ISNUMBER(SEARCH("selective", X1602)), "Y", "")</f>
        <v/>
      </c>
    </row>
    <row r="1603" spans="1:33" x14ac:dyDescent="0.2">
      <c r="A1603" s="1" t="s">
        <v>3167</v>
      </c>
      <c r="B1603" s="1" t="s">
        <v>3930</v>
      </c>
      <c r="C1603" s="1">
        <v>7159</v>
      </c>
      <c r="D1603" s="1" t="s">
        <v>569</v>
      </c>
      <c r="F1603" s="1">
        <v>2023</v>
      </c>
      <c r="G1603" s="1" t="s">
        <v>461</v>
      </c>
      <c r="H1603" s="1" t="s">
        <v>3193</v>
      </c>
      <c r="I1603" s="1">
        <v>5</v>
      </c>
      <c r="J1603" s="1" t="s">
        <v>462</v>
      </c>
      <c r="K1603" s="1" t="s">
        <v>1074</v>
      </c>
      <c r="L1603" s="1" t="s">
        <v>3931</v>
      </c>
      <c r="M1603" s="1">
        <v>55</v>
      </c>
      <c r="N1603" s="1" t="s">
        <v>39</v>
      </c>
      <c r="O1603" s="1">
        <v>43.166899999999998</v>
      </c>
      <c r="P1603" s="1">
        <v>-88.69</v>
      </c>
      <c r="Q1603" s="1" t="s">
        <v>3204</v>
      </c>
      <c r="R1603" s="1" t="s">
        <v>41</v>
      </c>
      <c r="T1603" s="1" t="s">
        <v>93</v>
      </c>
      <c r="U1603" s="1" t="s">
        <v>44</v>
      </c>
      <c r="V1603" s="1" t="s">
        <v>94</v>
      </c>
      <c r="X1603" s="1" t="s">
        <v>95</v>
      </c>
      <c r="AA1603" s="3">
        <v>34479</v>
      </c>
      <c r="AB1603" s="1" t="s">
        <v>46</v>
      </c>
      <c r="AC1603" s="5">
        <v>1282</v>
      </c>
      <c r="AD1603" s="1" t="s">
        <v>3933</v>
      </c>
      <c r="AE1603" s="1" t="str">
        <f t="shared" ref="AE1603:AE1666" si="124">C1603&amp;" "&amp;D1603</f>
        <v>7159 **4</v>
      </c>
      <c r="AF1603" s="5" t="str">
        <f t="shared" si="122"/>
        <v>95.4</v>
      </c>
      <c r="AG1603" s="1" t="str">
        <f t="shared" si="123"/>
        <v/>
      </c>
    </row>
    <row r="1604" spans="1:33" x14ac:dyDescent="0.2">
      <c r="A1604" s="1" t="s">
        <v>3167</v>
      </c>
      <c r="B1604" s="1" t="s">
        <v>3934</v>
      </c>
      <c r="C1604" s="1">
        <v>7203</v>
      </c>
      <c r="D1604" s="1" t="s">
        <v>3935</v>
      </c>
      <c r="F1604" s="1">
        <v>2023</v>
      </c>
      <c r="G1604" s="1" t="s">
        <v>461</v>
      </c>
      <c r="H1604" s="1">
        <v>608055</v>
      </c>
      <c r="I1604" s="1">
        <v>5</v>
      </c>
      <c r="J1604" s="1" t="s">
        <v>462</v>
      </c>
      <c r="K1604" s="1" t="s">
        <v>3936</v>
      </c>
      <c r="L1604" s="1" t="s">
        <v>3937</v>
      </c>
      <c r="M1604" s="1">
        <v>39</v>
      </c>
      <c r="N1604" s="1" t="s">
        <v>39</v>
      </c>
      <c r="O1604" s="1">
        <v>43.735300000000002</v>
      </c>
      <c r="P1604" s="1">
        <v>-88.496799999999993</v>
      </c>
      <c r="Q1604" s="1" t="s">
        <v>3938</v>
      </c>
      <c r="R1604" s="1" t="s">
        <v>41</v>
      </c>
      <c r="T1604" s="1" t="s">
        <v>93</v>
      </c>
      <c r="U1604" s="1" t="s">
        <v>44</v>
      </c>
      <c r="X1604" s="1" t="s">
        <v>95</v>
      </c>
      <c r="AA1604" s="3">
        <v>34099</v>
      </c>
      <c r="AB1604" s="1" t="s">
        <v>46</v>
      </c>
      <c r="AC1604" s="5">
        <v>1332</v>
      </c>
      <c r="AD1604" s="1" t="s">
        <v>3939</v>
      </c>
      <c r="AE1604" s="1" t="str">
        <f t="shared" si="124"/>
        <v>7203 **CT1</v>
      </c>
      <c r="AF1604" s="5" t="str">
        <f t="shared" si="122"/>
        <v>86</v>
      </c>
      <c r="AG1604" s="1" t="str">
        <f t="shared" si="123"/>
        <v/>
      </c>
    </row>
    <row r="1605" spans="1:33" x14ac:dyDescent="0.2">
      <c r="A1605" s="1" t="s">
        <v>3167</v>
      </c>
      <c r="B1605" s="1" t="s">
        <v>3934</v>
      </c>
      <c r="C1605" s="1">
        <v>7203</v>
      </c>
      <c r="D1605" s="1" t="s">
        <v>3940</v>
      </c>
      <c r="F1605" s="1">
        <v>2023</v>
      </c>
      <c r="G1605" s="1" t="s">
        <v>461</v>
      </c>
      <c r="H1605" s="1">
        <v>608055</v>
      </c>
      <c r="I1605" s="1">
        <v>5</v>
      </c>
      <c r="J1605" s="1" t="s">
        <v>462</v>
      </c>
      <c r="K1605" s="1" t="s">
        <v>3936</v>
      </c>
      <c r="L1605" s="1" t="s">
        <v>3937</v>
      </c>
      <c r="M1605" s="1">
        <v>39</v>
      </c>
      <c r="N1605" s="1" t="s">
        <v>39</v>
      </c>
      <c r="O1605" s="1">
        <v>43.735300000000002</v>
      </c>
      <c r="P1605" s="1">
        <v>-88.496799999999993</v>
      </c>
      <c r="Q1605" s="1" t="s">
        <v>3214</v>
      </c>
      <c r="R1605" s="1" t="s">
        <v>41</v>
      </c>
      <c r="T1605" s="1" t="s">
        <v>93</v>
      </c>
      <c r="U1605" s="1" t="s">
        <v>44</v>
      </c>
      <c r="X1605" s="1" t="s">
        <v>95</v>
      </c>
      <c r="AA1605" s="3">
        <v>34564</v>
      </c>
      <c r="AB1605" s="1" t="s">
        <v>46</v>
      </c>
      <c r="AC1605" s="5">
        <v>1332</v>
      </c>
      <c r="AD1605" s="1" t="s">
        <v>3941</v>
      </c>
      <c r="AE1605" s="1" t="str">
        <f t="shared" si="124"/>
        <v>7203 **CT2</v>
      </c>
      <c r="AF1605" s="5" t="str">
        <f t="shared" si="122"/>
        <v>86</v>
      </c>
      <c r="AG1605" s="1" t="str">
        <f t="shared" si="123"/>
        <v/>
      </c>
    </row>
    <row r="1606" spans="1:33" x14ac:dyDescent="0.2">
      <c r="A1606" s="1" t="s">
        <v>3167</v>
      </c>
      <c r="B1606" s="1" t="s">
        <v>3934</v>
      </c>
      <c r="C1606" s="1">
        <v>7203</v>
      </c>
      <c r="D1606" s="1" t="s">
        <v>3942</v>
      </c>
      <c r="F1606" s="1">
        <v>2023</v>
      </c>
      <c r="G1606" s="1" t="s">
        <v>461</v>
      </c>
      <c r="H1606" s="1">
        <v>608055</v>
      </c>
      <c r="I1606" s="1">
        <v>5</v>
      </c>
      <c r="J1606" s="1" t="s">
        <v>462</v>
      </c>
      <c r="K1606" s="1" t="s">
        <v>3936</v>
      </c>
      <c r="L1606" s="1" t="s">
        <v>3937</v>
      </c>
      <c r="M1606" s="1">
        <v>39</v>
      </c>
      <c r="N1606" s="1" t="s">
        <v>39</v>
      </c>
      <c r="O1606" s="1">
        <v>43.735300000000002</v>
      </c>
      <c r="P1606" s="1">
        <v>-88.496799999999993</v>
      </c>
      <c r="Q1606" s="1" t="s">
        <v>3214</v>
      </c>
      <c r="R1606" s="1" t="s">
        <v>41</v>
      </c>
      <c r="T1606" s="1" t="s">
        <v>93</v>
      </c>
      <c r="U1606" s="1" t="s">
        <v>44</v>
      </c>
      <c r="X1606" s="1" t="s">
        <v>95</v>
      </c>
      <c r="AA1606" s="3">
        <v>34564</v>
      </c>
      <c r="AB1606" s="1" t="s">
        <v>46</v>
      </c>
      <c r="AC1606" s="5">
        <v>1332</v>
      </c>
      <c r="AD1606" s="1" t="s">
        <v>3943</v>
      </c>
      <c r="AE1606" s="1" t="str">
        <f t="shared" si="124"/>
        <v>7203 **CT3</v>
      </c>
      <c r="AF1606" s="5" t="str">
        <f t="shared" si="122"/>
        <v>86</v>
      </c>
      <c r="AG1606" s="1" t="str">
        <f t="shared" si="123"/>
        <v/>
      </c>
    </row>
    <row r="1607" spans="1:33" x14ac:dyDescent="0.2">
      <c r="A1607" s="1" t="s">
        <v>3167</v>
      </c>
      <c r="B1607" s="1" t="s">
        <v>3934</v>
      </c>
      <c r="C1607" s="1">
        <v>7203</v>
      </c>
      <c r="D1607" s="1" t="s">
        <v>3944</v>
      </c>
      <c r="F1607" s="1">
        <v>2023</v>
      </c>
      <c r="G1607" s="1" t="s">
        <v>461</v>
      </c>
      <c r="H1607" s="1">
        <v>608055</v>
      </c>
      <c r="I1607" s="1">
        <v>5</v>
      </c>
      <c r="J1607" s="1" t="s">
        <v>462</v>
      </c>
      <c r="K1607" s="1" t="s">
        <v>3936</v>
      </c>
      <c r="L1607" s="1" t="s">
        <v>3937</v>
      </c>
      <c r="M1607" s="1">
        <v>39</v>
      </c>
      <c r="N1607" s="1" t="s">
        <v>39</v>
      </c>
      <c r="O1607" s="1">
        <v>43.735300000000002</v>
      </c>
      <c r="P1607" s="1">
        <v>-88.496799999999993</v>
      </c>
      <c r="Q1607" s="1" t="s">
        <v>3938</v>
      </c>
      <c r="R1607" s="1" t="s">
        <v>41</v>
      </c>
      <c r="T1607" s="1" t="s">
        <v>93</v>
      </c>
      <c r="U1607" s="1" t="s">
        <v>44</v>
      </c>
      <c r="X1607" s="1" t="s">
        <v>95</v>
      </c>
      <c r="AA1607" s="3">
        <v>35217</v>
      </c>
      <c r="AB1607" s="1" t="s">
        <v>46</v>
      </c>
      <c r="AC1607" s="5">
        <v>1332</v>
      </c>
      <c r="AD1607" s="1" t="s">
        <v>3945</v>
      </c>
      <c r="AE1607" s="1" t="str">
        <f t="shared" si="124"/>
        <v>7203 **CT4</v>
      </c>
      <c r="AF1607" s="5" t="str">
        <f t="shared" si="122"/>
        <v>86</v>
      </c>
      <c r="AG1607" s="1" t="str">
        <f t="shared" si="123"/>
        <v/>
      </c>
    </row>
    <row r="1608" spans="1:33" x14ac:dyDescent="0.2">
      <c r="A1608" s="1" t="s">
        <v>291</v>
      </c>
      <c r="B1608" s="1" t="s">
        <v>3946</v>
      </c>
      <c r="C1608" s="1">
        <v>7210</v>
      </c>
      <c r="D1608" s="1" t="s">
        <v>3947</v>
      </c>
      <c r="F1608" s="1">
        <v>2023</v>
      </c>
      <c r="G1608" s="1" t="s">
        <v>293</v>
      </c>
      <c r="H1608" s="1">
        <v>609991</v>
      </c>
      <c r="I1608" s="1">
        <v>4</v>
      </c>
      <c r="J1608" s="1" t="s">
        <v>36</v>
      </c>
      <c r="K1608" s="1" t="s">
        <v>3948</v>
      </c>
      <c r="L1608" s="1" t="s">
        <v>3949</v>
      </c>
      <c r="M1608" s="1">
        <v>75</v>
      </c>
      <c r="N1608" s="1" t="s">
        <v>39</v>
      </c>
      <c r="O1608" s="1">
        <v>33.364199999999997</v>
      </c>
      <c r="P1608" s="1">
        <v>-81.03</v>
      </c>
      <c r="Q1608" s="1" t="s">
        <v>2707</v>
      </c>
      <c r="R1608" s="1" t="s">
        <v>41</v>
      </c>
      <c r="S1608" s="1" t="s">
        <v>42</v>
      </c>
      <c r="T1608" s="1" t="s">
        <v>43</v>
      </c>
      <c r="U1608" s="1" t="s">
        <v>44</v>
      </c>
      <c r="V1608" s="1" t="s">
        <v>55</v>
      </c>
      <c r="W1608" s="1" t="s">
        <v>212</v>
      </c>
      <c r="X1608" s="1" t="s">
        <v>3950</v>
      </c>
      <c r="Y1608" s="1" t="s">
        <v>232</v>
      </c>
      <c r="AA1608" s="3">
        <v>35125</v>
      </c>
      <c r="AB1608" s="1" t="s">
        <v>46</v>
      </c>
      <c r="AC1608" s="5">
        <v>4850</v>
      </c>
      <c r="AD1608" s="1" t="s">
        <v>3951</v>
      </c>
      <c r="AE1608" s="1" t="str">
        <f t="shared" si="124"/>
        <v>7210 COP1</v>
      </c>
      <c r="AF1608" s="5" t="str">
        <f t="shared" si="122"/>
        <v>417.4</v>
      </c>
      <c r="AG1608" s="1" t="str">
        <f t="shared" si="123"/>
        <v>Y</v>
      </c>
    </row>
    <row r="1609" spans="1:33" x14ac:dyDescent="0.2">
      <c r="A1609" s="1" t="s">
        <v>3095</v>
      </c>
      <c r="B1609" s="1" t="s">
        <v>3952</v>
      </c>
      <c r="C1609" s="1">
        <v>7212</v>
      </c>
      <c r="D1609" s="1">
        <v>1</v>
      </c>
      <c r="E1609" s="1" t="s">
        <v>1798</v>
      </c>
      <c r="F1609" s="1">
        <v>2023</v>
      </c>
      <c r="G1609" s="1" t="s">
        <v>1528</v>
      </c>
      <c r="H1609" s="1">
        <v>1525</v>
      </c>
      <c r="I1609" s="1">
        <v>3</v>
      </c>
      <c r="K1609" s="1" t="s">
        <v>3953</v>
      </c>
      <c r="L1609" s="1" t="s">
        <v>3954</v>
      </c>
      <c r="M1609" s="1">
        <v>87</v>
      </c>
      <c r="N1609" s="1" t="s">
        <v>39</v>
      </c>
      <c r="O1609" s="1">
        <v>37.497799999999998</v>
      </c>
      <c r="P1609" s="1">
        <v>-77.367999999999995</v>
      </c>
      <c r="Q1609" s="1" t="s">
        <v>3112</v>
      </c>
      <c r="T1609" s="1" t="s">
        <v>93</v>
      </c>
      <c r="U1609" s="1" t="s">
        <v>44</v>
      </c>
      <c r="V1609" s="1" t="s">
        <v>94</v>
      </c>
      <c r="X1609" s="1" t="s">
        <v>95</v>
      </c>
      <c r="AA1609" s="3">
        <v>32994</v>
      </c>
      <c r="AB1609" s="1" t="s">
        <v>46</v>
      </c>
      <c r="AC1609" s="5">
        <v>1308</v>
      </c>
      <c r="AD1609" s="1" t="s">
        <v>3955</v>
      </c>
      <c r="AE1609" s="1" t="str">
        <f t="shared" si="124"/>
        <v>7212 1</v>
      </c>
      <c r="AF1609" s="5" t="str">
        <f t="shared" si="122"/>
        <v>92.1</v>
      </c>
      <c r="AG1609" s="1" t="str">
        <f t="shared" si="123"/>
        <v/>
      </c>
    </row>
    <row r="1610" spans="1:33" x14ac:dyDescent="0.2">
      <c r="A1610" s="1" t="s">
        <v>3095</v>
      </c>
      <c r="B1610" s="1" t="s">
        <v>3952</v>
      </c>
      <c r="C1610" s="1">
        <v>7212</v>
      </c>
      <c r="D1610" s="1">
        <v>2</v>
      </c>
      <c r="E1610" s="1" t="s">
        <v>1798</v>
      </c>
      <c r="F1610" s="1">
        <v>2023</v>
      </c>
      <c r="G1610" s="1" t="s">
        <v>1528</v>
      </c>
      <c r="H1610" s="1">
        <v>1525</v>
      </c>
      <c r="I1610" s="1">
        <v>3</v>
      </c>
      <c r="K1610" s="1" t="s">
        <v>3953</v>
      </c>
      <c r="L1610" s="1" t="s">
        <v>3954</v>
      </c>
      <c r="M1610" s="1">
        <v>87</v>
      </c>
      <c r="N1610" s="1" t="s">
        <v>39</v>
      </c>
      <c r="O1610" s="1">
        <v>37.497799999999998</v>
      </c>
      <c r="P1610" s="1">
        <v>-77.367999999999995</v>
      </c>
      <c r="Q1610" s="1" t="s">
        <v>3112</v>
      </c>
      <c r="T1610" s="1" t="s">
        <v>93</v>
      </c>
      <c r="U1610" s="1" t="s">
        <v>44</v>
      </c>
      <c r="V1610" s="1" t="s">
        <v>94</v>
      </c>
      <c r="X1610" s="1" t="s">
        <v>95</v>
      </c>
      <c r="AA1610" s="3">
        <v>32998</v>
      </c>
      <c r="AB1610" s="1" t="s">
        <v>46</v>
      </c>
      <c r="AC1610" s="5">
        <v>1308</v>
      </c>
      <c r="AD1610" s="1" t="s">
        <v>3956</v>
      </c>
      <c r="AE1610" s="1" t="str">
        <f t="shared" si="124"/>
        <v>7212 2</v>
      </c>
      <c r="AF1610" s="5" t="str">
        <f t="shared" si="122"/>
        <v>92.1</v>
      </c>
      <c r="AG1610" s="1" t="str">
        <f t="shared" si="123"/>
        <v/>
      </c>
    </row>
    <row r="1611" spans="1:33" x14ac:dyDescent="0.2">
      <c r="A1611" s="1" t="s">
        <v>3095</v>
      </c>
      <c r="B1611" s="1" t="s">
        <v>3952</v>
      </c>
      <c r="C1611" s="1">
        <v>7212</v>
      </c>
      <c r="D1611" s="1">
        <v>3</v>
      </c>
      <c r="E1611" s="1" t="s">
        <v>1798</v>
      </c>
      <c r="F1611" s="1">
        <v>2023</v>
      </c>
      <c r="G1611" s="1" t="s">
        <v>1528</v>
      </c>
      <c r="H1611" s="1">
        <v>1525</v>
      </c>
      <c r="I1611" s="1">
        <v>3</v>
      </c>
      <c r="K1611" s="1" t="s">
        <v>3953</v>
      </c>
      <c r="L1611" s="1" t="s">
        <v>3954</v>
      </c>
      <c r="M1611" s="1">
        <v>87</v>
      </c>
      <c r="N1611" s="1" t="s">
        <v>39</v>
      </c>
      <c r="O1611" s="1">
        <v>37.497799999999998</v>
      </c>
      <c r="P1611" s="1">
        <v>-77.367999999999995</v>
      </c>
      <c r="Q1611" s="1" t="s">
        <v>3112</v>
      </c>
      <c r="T1611" s="1" t="s">
        <v>93</v>
      </c>
      <c r="U1611" s="1" t="s">
        <v>44</v>
      </c>
      <c r="V1611" s="1" t="s">
        <v>94</v>
      </c>
      <c r="X1611" s="1" t="s">
        <v>95</v>
      </c>
      <c r="AA1611" s="3">
        <v>32965</v>
      </c>
      <c r="AB1611" s="1" t="s">
        <v>46</v>
      </c>
      <c r="AC1611" s="5">
        <v>1308</v>
      </c>
      <c r="AD1611" s="1" t="s">
        <v>3957</v>
      </c>
      <c r="AE1611" s="1" t="str">
        <f t="shared" si="124"/>
        <v>7212 3</v>
      </c>
      <c r="AF1611" s="5" t="str">
        <f t="shared" si="122"/>
        <v>92.1</v>
      </c>
      <c r="AG1611" s="1" t="str">
        <f t="shared" si="123"/>
        <v/>
      </c>
    </row>
    <row r="1612" spans="1:33" x14ac:dyDescent="0.2">
      <c r="A1612" s="1" t="s">
        <v>3095</v>
      </c>
      <c r="B1612" s="1" t="s">
        <v>3952</v>
      </c>
      <c r="C1612" s="1">
        <v>7212</v>
      </c>
      <c r="D1612" s="1">
        <v>4</v>
      </c>
      <c r="E1612" s="1" t="s">
        <v>1798</v>
      </c>
      <c r="F1612" s="1">
        <v>2023</v>
      </c>
      <c r="G1612" s="1" t="s">
        <v>1528</v>
      </c>
      <c r="H1612" s="1">
        <v>1525</v>
      </c>
      <c r="I1612" s="1">
        <v>3</v>
      </c>
      <c r="K1612" s="1" t="s">
        <v>3953</v>
      </c>
      <c r="L1612" s="1" t="s">
        <v>3954</v>
      </c>
      <c r="M1612" s="1">
        <v>87</v>
      </c>
      <c r="N1612" s="1" t="s">
        <v>39</v>
      </c>
      <c r="O1612" s="1">
        <v>37.497799999999998</v>
      </c>
      <c r="P1612" s="1">
        <v>-77.367999999999995</v>
      </c>
      <c r="Q1612" s="1" t="s">
        <v>3112</v>
      </c>
      <c r="T1612" s="1" t="s">
        <v>93</v>
      </c>
      <c r="U1612" s="1" t="s">
        <v>44</v>
      </c>
      <c r="V1612" s="1" t="s">
        <v>94</v>
      </c>
      <c r="X1612" s="1" t="s">
        <v>95</v>
      </c>
      <c r="AA1612" s="3">
        <v>32965</v>
      </c>
      <c r="AB1612" s="1" t="s">
        <v>46</v>
      </c>
      <c r="AC1612" s="5">
        <v>1308</v>
      </c>
      <c r="AD1612" s="1" t="s">
        <v>3958</v>
      </c>
      <c r="AE1612" s="1" t="str">
        <f t="shared" si="124"/>
        <v>7212 4</v>
      </c>
      <c r="AF1612" s="5" t="str">
        <f t="shared" si="122"/>
        <v>92.1</v>
      </c>
      <c r="AG1612" s="1" t="str">
        <f t="shared" si="123"/>
        <v/>
      </c>
    </row>
    <row r="1613" spans="1:33" x14ac:dyDescent="0.2">
      <c r="A1613" s="1" t="s">
        <v>3095</v>
      </c>
      <c r="B1613" s="1" t="s">
        <v>3959</v>
      </c>
      <c r="C1613" s="1">
        <v>7213</v>
      </c>
      <c r="D1613" s="1">
        <v>1</v>
      </c>
      <c r="F1613" s="1">
        <v>2023</v>
      </c>
      <c r="G1613" s="1" t="s">
        <v>682</v>
      </c>
      <c r="H1613" s="1">
        <v>1525</v>
      </c>
      <c r="I1613" s="1">
        <v>3</v>
      </c>
      <c r="J1613" s="1" t="s">
        <v>36</v>
      </c>
      <c r="K1613" s="1" t="s">
        <v>3960</v>
      </c>
      <c r="L1613" s="1" t="s">
        <v>3961</v>
      </c>
      <c r="M1613" s="1">
        <v>83</v>
      </c>
      <c r="N1613" s="1" t="s">
        <v>39</v>
      </c>
      <c r="O1613" s="1">
        <v>36.869199999999999</v>
      </c>
      <c r="P1613" s="1">
        <v>-78.704599999999999</v>
      </c>
      <c r="Q1613" s="1" t="s">
        <v>3962</v>
      </c>
      <c r="R1613" s="1" t="s">
        <v>41</v>
      </c>
      <c r="S1613" s="1" t="s">
        <v>42</v>
      </c>
      <c r="T1613" s="1" t="s">
        <v>43</v>
      </c>
      <c r="U1613" s="1" t="s">
        <v>55</v>
      </c>
      <c r="W1613" s="1" t="s">
        <v>56</v>
      </c>
      <c r="X1613" s="1" t="s">
        <v>3963</v>
      </c>
      <c r="Y1613" s="1" t="s">
        <v>1310</v>
      </c>
      <c r="AA1613" s="3">
        <v>34703</v>
      </c>
      <c r="AB1613" s="1" t="s">
        <v>46</v>
      </c>
      <c r="AC1613" s="5">
        <v>5173</v>
      </c>
      <c r="AD1613" s="1" t="s">
        <v>3964</v>
      </c>
      <c r="AE1613" s="1" t="str">
        <f t="shared" si="124"/>
        <v>7213 1</v>
      </c>
      <c r="AF1613" s="5" t="str">
        <f t="shared" si="122"/>
        <v>424</v>
      </c>
      <c r="AG1613" s="1" t="str">
        <f t="shared" si="123"/>
        <v>Y</v>
      </c>
    </row>
    <row r="1614" spans="1:33" x14ac:dyDescent="0.2">
      <c r="A1614" s="1" t="s">
        <v>3095</v>
      </c>
      <c r="B1614" s="1" t="s">
        <v>3959</v>
      </c>
      <c r="C1614" s="1">
        <v>7213</v>
      </c>
      <c r="D1614" s="1">
        <v>2</v>
      </c>
      <c r="F1614" s="1">
        <v>2023</v>
      </c>
      <c r="G1614" s="1" t="s">
        <v>682</v>
      </c>
      <c r="H1614" s="1">
        <v>1525</v>
      </c>
      <c r="I1614" s="1">
        <v>3</v>
      </c>
      <c r="J1614" s="1" t="s">
        <v>36</v>
      </c>
      <c r="K1614" s="1" t="s">
        <v>3960</v>
      </c>
      <c r="L1614" s="1" t="s">
        <v>3961</v>
      </c>
      <c r="M1614" s="1">
        <v>83</v>
      </c>
      <c r="N1614" s="1" t="s">
        <v>39</v>
      </c>
      <c r="O1614" s="1">
        <v>36.869199999999999</v>
      </c>
      <c r="P1614" s="1">
        <v>-78.704599999999999</v>
      </c>
      <c r="Q1614" s="1" t="s">
        <v>3962</v>
      </c>
      <c r="R1614" s="1" t="s">
        <v>41</v>
      </c>
      <c r="S1614" s="1" t="s">
        <v>42</v>
      </c>
      <c r="T1614" s="1" t="s">
        <v>43</v>
      </c>
      <c r="U1614" s="1" t="s">
        <v>55</v>
      </c>
      <c r="W1614" s="1" t="s">
        <v>56</v>
      </c>
      <c r="X1614" s="1" t="s">
        <v>3963</v>
      </c>
      <c r="Y1614" s="1" t="s">
        <v>1310</v>
      </c>
      <c r="AA1614" s="3">
        <v>35050</v>
      </c>
      <c r="AB1614" s="1" t="s">
        <v>46</v>
      </c>
      <c r="AC1614" s="5">
        <v>5173</v>
      </c>
      <c r="AD1614" s="1" t="s">
        <v>3965</v>
      </c>
      <c r="AE1614" s="1" t="str">
        <f t="shared" si="124"/>
        <v>7213 2</v>
      </c>
      <c r="AF1614" s="5" t="str">
        <f t="shared" si="122"/>
        <v>424</v>
      </c>
      <c r="AG1614" s="1" t="str">
        <f t="shared" si="123"/>
        <v>Y</v>
      </c>
    </row>
    <row r="1615" spans="1:33" x14ac:dyDescent="0.2">
      <c r="A1615" s="1" t="s">
        <v>2750</v>
      </c>
      <c r="B1615" s="1" t="s">
        <v>3966</v>
      </c>
      <c r="C1615" s="1">
        <v>7237</v>
      </c>
      <c r="D1615" s="1">
        <v>2</v>
      </c>
      <c r="F1615" s="1">
        <v>2023</v>
      </c>
      <c r="G1615" s="1" t="s">
        <v>247</v>
      </c>
      <c r="H1615" s="1">
        <v>608123</v>
      </c>
      <c r="I1615" s="1">
        <v>8</v>
      </c>
      <c r="J1615" s="1" t="s">
        <v>207</v>
      </c>
      <c r="K1615" s="1" t="s">
        <v>3967</v>
      </c>
      <c r="L1615" s="1" t="s">
        <v>3968</v>
      </c>
      <c r="M1615" s="1">
        <v>99</v>
      </c>
      <c r="N1615" s="1" t="s">
        <v>39</v>
      </c>
      <c r="O1615" s="1">
        <v>43.603299999999997</v>
      </c>
      <c r="P1615" s="1">
        <v>-96.636899999999997</v>
      </c>
      <c r="Q1615" s="1" t="s">
        <v>1686</v>
      </c>
      <c r="R1615" s="1" t="s">
        <v>41</v>
      </c>
      <c r="T1615" s="1" t="s">
        <v>93</v>
      </c>
      <c r="U1615" s="1" t="s">
        <v>44</v>
      </c>
      <c r="V1615" s="1" t="s">
        <v>94</v>
      </c>
      <c r="X1615" s="1" t="s">
        <v>95</v>
      </c>
      <c r="AA1615" s="3">
        <v>34600</v>
      </c>
      <c r="AB1615" s="1" t="s">
        <v>46</v>
      </c>
      <c r="AC1615" s="5">
        <v>1622</v>
      </c>
      <c r="AD1615" s="1" t="s">
        <v>3704</v>
      </c>
      <c r="AE1615" s="1" t="str">
        <f t="shared" si="124"/>
        <v>7237 2</v>
      </c>
      <c r="AF1615" s="5" t="str">
        <f t="shared" si="122"/>
        <v>105</v>
      </c>
      <c r="AG1615" s="1" t="str">
        <f t="shared" si="123"/>
        <v/>
      </c>
    </row>
    <row r="1616" spans="1:33" x14ac:dyDescent="0.2">
      <c r="A1616" s="1" t="s">
        <v>2750</v>
      </c>
      <c r="B1616" s="1" t="s">
        <v>3966</v>
      </c>
      <c r="C1616" s="1">
        <v>7237</v>
      </c>
      <c r="D1616" s="1">
        <v>3</v>
      </c>
      <c r="F1616" s="1">
        <v>2023</v>
      </c>
      <c r="G1616" s="1" t="s">
        <v>247</v>
      </c>
      <c r="H1616" s="1">
        <v>608123</v>
      </c>
      <c r="I1616" s="1">
        <v>8</v>
      </c>
      <c r="J1616" s="1" t="s">
        <v>207</v>
      </c>
      <c r="K1616" s="1" t="s">
        <v>3967</v>
      </c>
      <c r="L1616" s="1" t="s">
        <v>3968</v>
      </c>
      <c r="M1616" s="1">
        <v>99</v>
      </c>
      <c r="N1616" s="1" t="s">
        <v>39</v>
      </c>
      <c r="O1616" s="1">
        <v>43.603299999999997</v>
      </c>
      <c r="P1616" s="1">
        <v>-96.636899999999997</v>
      </c>
      <c r="Q1616" s="1" t="s">
        <v>1686</v>
      </c>
      <c r="R1616" s="1" t="s">
        <v>41</v>
      </c>
      <c r="T1616" s="1" t="s">
        <v>93</v>
      </c>
      <c r="U1616" s="1" t="s">
        <v>44</v>
      </c>
      <c r="V1616" s="1" t="s">
        <v>94</v>
      </c>
      <c r="X1616" s="1" t="s">
        <v>95</v>
      </c>
      <c r="AA1616" s="3">
        <v>34600</v>
      </c>
      <c r="AB1616" s="1" t="s">
        <v>46</v>
      </c>
      <c r="AC1616" s="5">
        <v>1629</v>
      </c>
      <c r="AD1616" s="1" t="s">
        <v>3969</v>
      </c>
      <c r="AE1616" s="1" t="str">
        <f t="shared" si="124"/>
        <v>7237 3</v>
      </c>
      <c r="AF1616" s="5" t="str">
        <f t="shared" si="122"/>
        <v>105</v>
      </c>
      <c r="AG1616" s="1" t="str">
        <f t="shared" si="123"/>
        <v/>
      </c>
    </row>
    <row r="1617" spans="1:33" x14ac:dyDescent="0.2">
      <c r="A1617" s="1" t="s">
        <v>2750</v>
      </c>
      <c r="B1617" s="1" t="s">
        <v>3966</v>
      </c>
      <c r="C1617" s="1">
        <v>7237</v>
      </c>
      <c r="D1617" s="1">
        <v>4</v>
      </c>
      <c r="F1617" s="1">
        <v>2023</v>
      </c>
      <c r="G1617" s="1" t="s">
        <v>247</v>
      </c>
      <c r="H1617" s="1">
        <v>608123</v>
      </c>
      <c r="I1617" s="1">
        <v>8</v>
      </c>
      <c r="J1617" s="1" t="s">
        <v>207</v>
      </c>
      <c r="K1617" s="1" t="s">
        <v>3967</v>
      </c>
      <c r="L1617" s="1" t="s">
        <v>3968</v>
      </c>
      <c r="M1617" s="1">
        <v>99</v>
      </c>
      <c r="N1617" s="1" t="s">
        <v>39</v>
      </c>
      <c r="O1617" s="1">
        <v>43.603299999999997</v>
      </c>
      <c r="P1617" s="1">
        <v>-96.636899999999997</v>
      </c>
      <c r="Q1617" s="1" t="s">
        <v>1686</v>
      </c>
      <c r="R1617" s="1" t="s">
        <v>41</v>
      </c>
      <c r="T1617" s="1" t="s">
        <v>93</v>
      </c>
      <c r="U1617" s="1" t="s">
        <v>44</v>
      </c>
      <c r="X1617" s="1" t="s">
        <v>140</v>
      </c>
      <c r="AA1617" s="3">
        <v>38443</v>
      </c>
      <c r="AB1617" s="1" t="s">
        <v>46</v>
      </c>
      <c r="AC1617" s="5">
        <v>1960</v>
      </c>
      <c r="AD1617" s="1" t="s">
        <v>3970</v>
      </c>
      <c r="AE1617" s="1" t="str">
        <f t="shared" si="124"/>
        <v>7237 4</v>
      </c>
      <c r="AF1617" s="5" t="str">
        <f t="shared" si="122"/>
        <v>195.7</v>
      </c>
      <c r="AG1617" s="1" t="str">
        <f t="shared" si="123"/>
        <v/>
      </c>
    </row>
    <row r="1618" spans="1:33" x14ac:dyDescent="0.2">
      <c r="A1618" s="1" t="s">
        <v>304</v>
      </c>
      <c r="B1618" s="1" t="s">
        <v>3971</v>
      </c>
      <c r="C1618" s="1">
        <v>7238</v>
      </c>
      <c r="D1618" s="1">
        <v>2</v>
      </c>
      <c r="F1618" s="1">
        <v>2023</v>
      </c>
      <c r="G1618" s="1" t="s">
        <v>247</v>
      </c>
      <c r="H1618" s="1" t="s">
        <v>3972</v>
      </c>
      <c r="I1618" s="1">
        <v>4</v>
      </c>
      <c r="J1618" s="1" t="s">
        <v>796</v>
      </c>
      <c r="K1618" s="1" t="s">
        <v>3973</v>
      </c>
      <c r="L1618" s="1" t="s">
        <v>3974</v>
      </c>
      <c r="M1618" s="1">
        <v>97</v>
      </c>
      <c r="N1618" s="1" t="s">
        <v>39</v>
      </c>
      <c r="O1618" s="1">
        <v>28.276399999999999</v>
      </c>
      <c r="P1618" s="1">
        <v>-81.533000000000001</v>
      </c>
      <c r="Q1618" s="1" t="s">
        <v>3975</v>
      </c>
      <c r="R1618" s="1" t="s">
        <v>41</v>
      </c>
      <c r="T1618" s="1" t="s">
        <v>71</v>
      </c>
      <c r="U1618" s="1" t="s">
        <v>44</v>
      </c>
      <c r="V1618" s="1" t="s">
        <v>94</v>
      </c>
      <c r="X1618" s="1" t="s">
        <v>183</v>
      </c>
      <c r="AA1618" s="3">
        <v>34881</v>
      </c>
      <c r="AB1618" s="1" t="s">
        <v>46</v>
      </c>
      <c r="AC1618" s="5">
        <v>987</v>
      </c>
      <c r="AD1618" s="1" t="s">
        <v>3976</v>
      </c>
      <c r="AE1618" s="1" t="str">
        <f t="shared" si="124"/>
        <v>7238 2</v>
      </c>
      <c r="AF1618" s="14">
        <f>MID(AD1618,FIND("(",AD1618)+1,FIND(")",AD1618)-FIND("(",AD1618)-1)+40</f>
        <v>120</v>
      </c>
      <c r="AG1618" s="1" t="str">
        <f t="shared" si="123"/>
        <v/>
      </c>
    </row>
    <row r="1619" spans="1:33" x14ac:dyDescent="0.2">
      <c r="A1619" s="1" t="s">
        <v>304</v>
      </c>
      <c r="B1619" s="1" t="s">
        <v>3971</v>
      </c>
      <c r="C1619" s="1">
        <v>7238</v>
      </c>
      <c r="D1619" s="1">
        <v>3</v>
      </c>
      <c r="F1619" s="1">
        <v>2023</v>
      </c>
      <c r="G1619" s="1" t="s">
        <v>247</v>
      </c>
      <c r="H1619" s="1" t="s">
        <v>3972</v>
      </c>
      <c r="I1619" s="1">
        <v>4</v>
      </c>
      <c r="J1619" s="1" t="s">
        <v>796</v>
      </c>
      <c r="K1619" s="1" t="s">
        <v>3973</v>
      </c>
      <c r="L1619" s="1" t="s">
        <v>3974</v>
      </c>
      <c r="M1619" s="1">
        <v>97</v>
      </c>
      <c r="N1619" s="1" t="s">
        <v>39</v>
      </c>
      <c r="O1619" s="1">
        <v>28.276399999999999</v>
      </c>
      <c r="P1619" s="1">
        <v>-81.533000000000001</v>
      </c>
      <c r="Q1619" s="1" t="s">
        <v>3975</v>
      </c>
      <c r="R1619" s="1" t="s">
        <v>41</v>
      </c>
      <c r="T1619" s="1" t="s">
        <v>71</v>
      </c>
      <c r="U1619" s="1" t="s">
        <v>44</v>
      </c>
      <c r="V1619" s="1" t="s">
        <v>94</v>
      </c>
      <c r="X1619" s="1" t="s">
        <v>643</v>
      </c>
      <c r="AA1619" s="3">
        <v>36917</v>
      </c>
      <c r="AB1619" s="1" t="s">
        <v>46</v>
      </c>
      <c r="AC1619" s="5">
        <v>2076</v>
      </c>
      <c r="AD1619" s="1" t="s">
        <v>3977</v>
      </c>
      <c r="AE1619" s="1" t="str">
        <f t="shared" si="124"/>
        <v>7238 3</v>
      </c>
      <c r="AF1619" s="14">
        <f>MID(AD1619,FIND("(",AD1619)+1,FIND(")",AD1619)-FIND("(",AD1619)-1)+167.5</f>
        <v>250</v>
      </c>
      <c r="AG1619" s="1" t="str">
        <f t="shared" si="123"/>
        <v>Y</v>
      </c>
    </row>
    <row r="1620" spans="1:33" x14ac:dyDescent="0.2">
      <c r="A1620" s="1" t="s">
        <v>304</v>
      </c>
      <c r="B1620" s="1" t="s">
        <v>3971</v>
      </c>
      <c r="C1620" s="1">
        <v>7238</v>
      </c>
      <c r="D1620" s="1">
        <v>4</v>
      </c>
      <c r="F1620" s="1">
        <v>2023</v>
      </c>
      <c r="G1620" s="1" t="s">
        <v>247</v>
      </c>
      <c r="H1620" s="1" t="s">
        <v>3972</v>
      </c>
      <c r="I1620" s="1">
        <v>4</v>
      </c>
      <c r="J1620" s="1" t="s">
        <v>796</v>
      </c>
      <c r="K1620" s="1" t="s">
        <v>3973</v>
      </c>
      <c r="L1620" s="1" t="s">
        <v>3974</v>
      </c>
      <c r="M1620" s="1">
        <v>97</v>
      </c>
      <c r="N1620" s="1" t="s">
        <v>39</v>
      </c>
      <c r="O1620" s="1">
        <v>28.276399999999999</v>
      </c>
      <c r="P1620" s="1">
        <v>-81.533000000000001</v>
      </c>
      <c r="Q1620" s="1" t="s">
        <v>3975</v>
      </c>
      <c r="R1620" s="1" t="s">
        <v>41</v>
      </c>
      <c r="T1620" s="1" t="s">
        <v>71</v>
      </c>
      <c r="U1620" s="1" t="s">
        <v>44</v>
      </c>
      <c r="X1620" s="1" t="s">
        <v>223</v>
      </c>
      <c r="AA1620" s="3">
        <v>40581</v>
      </c>
      <c r="AB1620" s="1" t="s">
        <v>46</v>
      </c>
      <c r="AC1620" s="5">
        <v>2560</v>
      </c>
      <c r="AD1620" s="1" t="s">
        <v>3978</v>
      </c>
      <c r="AE1620" s="1" t="str">
        <f t="shared" si="124"/>
        <v>7238 4</v>
      </c>
      <c r="AF1620" s="14">
        <f>MID(AD1620,FIND("(",AD1620)+1,FIND(")",AD1620)-FIND("(",AD1620)-1)+143/5</f>
        <v>208.6</v>
      </c>
      <c r="AG1620" s="1" t="str">
        <f t="shared" si="123"/>
        <v>Y</v>
      </c>
    </row>
    <row r="1621" spans="1:33" x14ac:dyDescent="0.2">
      <c r="A1621" s="1" t="s">
        <v>304</v>
      </c>
      <c r="B1621" s="1" t="s">
        <v>3971</v>
      </c>
      <c r="C1621" s="1">
        <v>7238</v>
      </c>
      <c r="D1621" s="1" t="s">
        <v>3872</v>
      </c>
      <c r="F1621" s="1">
        <v>2023</v>
      </c>
      <c r="G1621" s="1" t="s">
        <v>247</v>
      </c>
      <c r="H1621" s="1" t="s">
        <v>3972</v>
      </c>
      <c r="I1621" s="1">
        <v>4</v>
      </c>
      <c r="J1621" s="1" t="s">
        <v>796</v>
      </c>
      <c r="K1621" s="1" t="s">
        <v>3973</v>
      </c>
      <c r="L1621" s="1" t="s">
        <v>3974</v>
      </c>
      <c r="M1621" s="1">
        <v>97</v>
      </c>
      <c r="N1621" s="1" t="s">
        <v>39</v>
      </c>
      <c r="O1621" s="1">
        <v>28.276399999999999</v>
      </c>
      <c r="P1621" s="1">
        <v>-81.533000000000001</v>
      </c>
      <c r="Q1621" s="1" t="s">
        <v>3975</v>
      </c>
      <c r="R1621" s="1" t="s">
        <v>41</v>
      </c>
      <c r="T1621" s="1" t="s">
        <v>93</v>
      </c>
      <c r="U1621" s="1" t="s">
        <v>44</v>
      </c>
      <c r="V1621" s="1" t="s">
        <v>94</v>
      </c>
      <c r="X1621" s="1" t="s">
        <v>183</v>
      </c>
      <c r="AA1621" s="3">
        <v>34782</v>
      </c>
      <c r="AB1621" s="1" t="s">
        <v>46</v>
      </c>
      <c r="AC1621" s="5">
        <v>435</v>
      </c>
      <c r="AD1621" s="1" t="s">
        <v>659</v>
      </c>
      <c r="AE1621" s="1" t="str">
        <f t="shared" si="124"/>
        <v>7238 **1</v>
      </c>
      <c r="AF1621" s="5" t="str">
        <f>MID(AD1621,FIND("(",AD1621)+1,FIND(")",AD1621)-FIND("(",AD1621)-1)</f>
        <v>50</v>
      </c>
      <c r="AG1621" s="1" t="str">
        <f t="shared" si="123"/>
        <v/>
      </c>
    </row>
    <row r="1622" spans="1:33" x14ac:dyDescent="0.2">
      <c r="A1622" s="1" t="s">
        <v>304</v>
      </c>
      <c r="B1622" s="1" t="s">
        <v>3979</v>
      </c>
      <c r="C1622" s="1">
        <v>7242</v>
      </c>
      <c r="D1622" s="1" t="s">
        <v>3872</v>
      </c>
      <c r="F1622" s="1">
        <v>2023</v>
      </c>
      <c r="G1622" s="1" t="s">
        <v>236</v>
      </c>
      <c r="H1622" s="1">
        <v>602607</v>
      </c>
      <c r="I1622" s="1">
        <v>4</v>
      </c>
      <c r="J1622" s="1" t="s">
        <v>796</v>
      </c>
      <c r="K1622" s="1" t="s">
        <v>896</v>
      </c>
      <c r="L1622" s="1" t="s">
        <v>897</v>
      </c>
      <c r="M1622" s="1">
        <v>105</v>
      </c>
      <c r="N1622" s="1" t="s">
        <v>39</v>
      </c>
      <c r="O1622" s="1">
        <v>27.7286</v>
      </c>
      <c r="P1622" s="1">
        <v>-81.989699999999999</v>
      </c>
      <c r="Q1622" s="1" t="s">
        <v>847</v>
      </c>
      <c r="R1622" s="1" t="s">
        <v>41</v>
      </c>
      <c r="T1622" s="1" t="s">
        <v>1132</v>
      </c>
      <c r="U1622" s="1" t="s">
        <v>44</v>
      </c>
      <c r="V1622" s="1" t="s">
        <v>288</v>
      </c>
      <c r="X1622" s="1" t="s">
        <v>454</v>
      </c>
      <c r="AA1622" s="3">
        <v>35281</v>
      </c>
      <c r="AB1622" s="1" t="s">
        <v>46</v>
      </c>
      <c r="AC1622" s="5">
        <v>2100</v>
      </c>
      <c r="AD1622" s="1" t="s">
        <v>3980</v>
      </c>
      <c r="AE1622" s="1" t="str">
        <f t="shared" si="124"/>
        <v>7242 **1</v>
      </c>
      <c r="AF1622" s="14">
        <f>MID(AD1622,FIND("(",AD1622)+1,FIND(")",AD1622)-FIND("(",AD1622)-1)+133.4</f>
        <v>323.39999999999998</v>
      </c>
      <c r="AG1622" s="1" t="str">
        <f t="shared" si="123"/>
        <v/>
      </c>
    </row>
    <row r="1623" spans="1:33" x14ac:dyDescent="0.2">
      <c r="A1623" s="1" t="s">
        <v>304</v>
      </c>
      <c r="B1623" s="1" t="s">
        <v>3979</v>
      </c>
      <c r="C1623" s="1">
        <v>7242</v>
      </c>
      <c r="D1623" s="1" t="s">
        <v>3875</v>
      </c>
      <c r="F1623" s="1">
        <v>2023</v>
      </c>
      <c r="G1623" s="1" t="s">
        <v>247</v>
      </c>
      <c r="H1623" s="1">
        <v>602607</v>
      </c>
      <c r="I1623" s="1">
        <v>4</v>
      </c>
      <c r="J1623" s="1" t="s">
        <v>796</v>
      </c>
      <c r="K1623" s="1" t="s">
        <v>896</v>
      </c>
      <c r="L1623" s="1" t="s">
        <v>897</v>
      </c>
      <c r="M1623" s="1">
        <v>105</v>
      </c>
      <c r="N1623" s="1" t="s">
        <v>39</v>
      </c>
      <c r="O1623" s="1">
        <v>27.7286</v>
      </c>
      <c r="P1623" s="1">
        <v>-81.989699999999999</v>
      </c>
      <c r="Q1623" s="1" t="s">
        <v>847</v>
      </c>
      <c r="R1623" s="1" t="s">
        <v>41</v>
      </c>
      <c r="T1623" s="1" t="s">
        <v>71</v>
      </c>
      <c r="U1623" s="1" t="s">
        <v>44</v>
      </c>
      <c r="V1623" s="1" t="s">
        <v>94</v>
      </c>
      <c r="X1623" s="1" t="s">
        <v>3404</v>
      </c>
      <c r="AA1623" s="3">
        <v>36702</v>
      </c>
      <c r="AB1623" s="1" t="s">
        <v>46</v>
      </c>
      <c r="AC1623" s="5">
        <v>2215</v>
      </c>
      <c r="AD1623" s="1" t="s">
        <v>3981</v>
      </c>
      <c r="AE1623" s="1" t="str">
        <f t="shared" si="124"/>
        <v>7242 **2</v>
      </c>
      <c r="AF1623" s="14">
        <f>AF1626</f>
        <v>280.75</v>
      </c>
      <c r="AG1623" s="1" t="str">
        <f t="shared" si="123"/>
        <v>Y</v>
      </c>
    </row>
    <row r="1624" spans="1:33" x14ac:dyDescent="0.2">
      <c r="A1624" s="1" t="s">
        <v>304</v>
      </c>
      <c r="B1624" s="1" t="s">
        <v>3979</v>
      </c>
      <c r="C1624" s="1">
        <v>7242</v>
      </c>
      <c r="D1624" s="1" t="s">
        <v>3876</v>
      </c>
      <c r="F1624" s="1">
        <v>2023</v>
      </c>
      <c r="G1624" s="1" t="s">
        <v>247</v>
      </c>
      <c r="H1624" s="1">
        <v>602607</v>
      </c>
      <c r="I1624" s="1">
        <v>4</v>
      </c>
      <c r="J1624" s="1" t="s">
        <v>796</v>
      </c>
      <c r="K1624" s="1" t="s">
        <v>896</v>
      </c>
      <c r="L1624" s="1" t="s">
        <v>897</v>
      </c>
      <c r="M1624" s="1">
        <v>105</v>
      </c>
      <c r="N1624" s="1" t="s">
        <v>39</v>
      </c>
      <c r="O1624" s="1">
        <v>27.7286</v>
      </c>
      <c r="P1624" s="1">
        <v>-81.989699999999999</v>
      </c>
      <c r="Q1624" s="1" t="s">
        <v>847</v>
      </c>
      <c r="R1624" s="1" t="s">
        <v>41</v>
      </c>
      <c r="T1624" s="1" t="s">
        <v>71</v>
      </c>
      <c r="U1624" s="1" t="s">
        <v>44</v>
      </c>
      <c r="V1624" s="1" t="s">
        <v>94</v>
      </c>
      <c r="X1624" s="1" t="s">
        <v>3404</v>
      </c>
      <c r="AA1624" s="3">
        <v>37370</v>
      </c>
      <c r="AB1624" s="1" t="s">
        <v>46</v>
      </c>
      <c r="AC1624" s="5">
        <v>2215</v>
      </c>
      <c r="AD1624" s="1" t="s">
        <v>3982</v>
      </c>
      <c r="AE1624" s="1" t="str">
        <f t="shared" si="124"/>
        <v>7242 **3</v>
      </c>
      <c r="AF1624" s="14">
        <f>AF1626</f>
        <v>280.75</v>
      </c>
      <c r="AG1624" s="1" t="str">
        <f t="shared" si="123"/>
        <v>Y</v>
      </c>
    </row>
    <row r="1625" spans="1:33" x14ac:dyDescent="0.2">
      <c r="A1625" s="1" t="s">
        <v>304</v>
      </c>
      <c r="B1625" s="1" t="s">
        <v>3979</v>
      </c>
      <c r="C1625" s="1">
        <v>7242</v>
      </c>
      <c r="D1625" s="1" t="s">
        <v>569</v>
      </c>
      <c r="F1625" s="1">
        <v>2023</v>
      </c>
      <c r="G1625" s="1" t="s">
        <v>247</v>
      </c>
      <c r="H1625" s="1">
        <v>602607</v>
      </c>
      <c r="I1625" s="1">
        <v>4</v>
      </c>
      <c r="J1625" s="1" t="s">
        <v>796</v>
      </c>
      <c r="K1625" s="1" t="s">
        <v>896</v>
      </c>
      <c r="L1625" s="1" t="s">
        <v>897</v>
      </c>
      <c r="M1625" s="1">
        <v>105</v>
      </c>
      <c r="N1625" s="1" t="s">
        <v>39</v>
      </c>
      <c r="O1625" s="1">
        <v>27.7286</v>
      </c>
      <c r="P1625" s="1">
        <v>-81.989699999999999</v>
      </c>
      <c r="Q1625" s="1" t="s">
        <v>847</v>
      </c>
      <c r="R1625" s="1" t="s">
        <v>41</v>
      </c>
      <c r="T1625" s="1" t="s">
        <v>71</v>
      </c>
      <c r="U1625" s="1" t="s">
        <v>44</v>
      </c>
      <c r="X1625" s="1" t="s">
        <v>858</v>
      </c>
      <c r="AA1625" s="3">
        <v>39136</v>
      </c>
      <c r="AB1625" s="1" t="s">
        <v>46</v>
      </c>
      <c r="AC1625" s="5">
        <v>2215</v>
      </c>
      <c r="AD1625" s="1" t="s">
        <v>3983</v>
      </c>
      <c r="AE1625" s="1" t="str">
        <f t="shared" si="124"/>
        <v>7242 **4</v>
      </c>
      <c r="AF1625" s="14">
        <f>AF1626</f>
        <v>280.75</v>
      </c>
      <c r="AG1625" s="1" t="str">
        <f t="shared" si="123"/>
        <v>Y</v>
      </c>
    </row>
    <row r="1626" spans="1:33" x14ac:dyDescent="0.2">
      <c r="A1626" s="1" t="s">
        <v>304</v>
      </c>
      <c r="B1626" s="1" t="s">
        <v>3979</v>
      </c>
      <c r="C1626" s="1">
        <v>7242</v>
      </c>
      <c r="D1626" s="1" t="s">
        <v>2903</v>
      </c>
      <c r="F1626" s="1">
        <v>2023</v>
      </c>
      <c r="G1626" s="1" t="s">
        <v>247</v>
      </c>
      <c r="H1626" s="1">
        <v>602607</v>
      </c>
      <c r="I1626" s="1">
        <v>4</v>
      </c>
      <c r="J1626" s="1" t="s">
        <v>796</v>
      </c>
      <c r="K1626" s="1" t="s">
        <v>896</v>
      </c>
      <c r="L1626" s="1" t="s">
        <v>897</v>
      </c>
      <c r="M1626" s="1">
        <v>105</v>
      </c>
      <c r="N1626" s="1" t="s">
        <v>39</v>
      </c>
      <c r="O1626" s="1">
        <v>27.7286</v>
      </c>
      <c r="P1626" s="1">
        <v>-81.989699999999999</v>
      </c>
      <c r="Q1626" s="1" t="s">
        <v>847</v>
      </c>
      <c r="R1626" s="1" t="s">
        <v>41</v>
      </c>
      <c r="T1626" s="1" t="s">
        <v>71</v>
      </c>
      <c r="U1626" s="1" t="s">
        <v>44</v>
      </c>
      <c r="X1626" s="1" t="s">
        <v>858</v>
      </c>
      <c r="AA1626" s="3">
        <v>39174</v>
      </c>
      <c r="AB1626" s="1" t="s">
        <v>46</v>
      </c>
      <c r="AC1626" s="5">
        <v>2215</v>
      </c>
      <c r="AD1626" s="1" t="s">
        <v>3984</v>
      </c>
      <c r="AE1626" s="1" t="str">
        <f t="shared" si="124"/>
        <v>7242 **5</v>
      </c>
      <c r="AF1626" s="14">
        <f>MID(AD1626,FIND("(",AD1626)+1,FIND(")",AD1626)-FIND("(",AD1626)-1)+463/4</f>
        <v>280.75</v>
      </c>
      <c r="AG1626" s="1" t="str">
        <f t="shared" si="123"/>
        <v>Y</v>
      </c>
    </row>
    <row r="1627" spans="1:33" x14ac:dyDescent="0.2">
      <c r="A1627" s="1" t="s">
        <v>304</v>
      </c>
      <c r="B1627" s="1" t="s">
        <v>3985</v>
      </c>
      <c r="C1627" s="1">
        <v>7254</v>
      </c>
      <c r="D1627" s="1">
        <v>32432</v>
      </c>
      <c r="F1627" s="1">
        <v>2023</v>
      </c>
      <c r="G1627" s="1" t="s">
        <v>247</v>
      </c>
      <c r="H1627" s="1">
        <v>609927</v>
      </c>
      <c r="I1627" s="1">
        <v>4</v>
      </c>
      <c r="K1627" s="1" t="s">
        <v>418</v>
      </c>
      <c r="L1627" s="1" t="s">
        <v>634</v>
      </c>
      <c r="M1627" s="1">
        <v>95</v>
      </c>
      <c r="N1627" s="1" t="s">
        <v>1680</v>
      </c>
      <c r="O1627" s="1">
        <v>28.427199999999999</v>
      </c>
      <c r="P1627" s="1">
        <v>-81.580299999999994</v>
      </c>
      <c r="Q1627" s="1" t="s">
        <v>3986</v>
      </c>
      <c r="R1627" s="1" t="s">
        <v>41</v>
      </c>
      <c r="T1627" s="1" t="s">
        <v>71</v>
      </c>
      <c r="U1627" s="1" t="s">
        <v>44</v>
      </c>
      <c r="V1627" s="1" t="s">
        <v>94</v>
      </c>
      <c r="X1627" s="1" t="s">
        <v>95</v>
      </c>
      <c r="AA1627" s="3">
        <v>32568</v>
      </c>
      <c r="AB1627" s="1" t="s">
        <v>46</v>
      </c>
      <c r="AC1627" s="5">
        <v>505</v>
      </c>
      <c r="AD1627" s="1" t="s">
        <v>3987</v>
      </c>
      <c r="AE1627" s="1" t="str">
        <f t="shared" si="124"/>
        <v>7254 32432</v>
      </c>
      <c r="AF1627" s="14">
        <f>MID(AD1627,FIND("(",AD1627)+1,FIND(")",AD1627)-FIND("(",AD1627)-1)+8.5</f>
        <v>70</v>
      </c>
      <c r="AG1627" s="1" t="str">
        <f t="shared" si="123"/>
        <v/>
      </c>
    </row>
    <row r="1628" spans="1:33" x14ac:dyDescent="0.2">
      <c r="A1628" s="1" t="s">
        <v>1621</v>
      </c>
      <c r="B1628" s="1" t="s">
        <v>3988</v>
      </c>
      <c r="C1628" s="1">
        <v>7258</v>
      </c>
      <c r="D1628" s="1">
        <v>9</v>
      </c>
      <c r="F1628" s="1">
        <v>2023</v>
      </c>
      <c r="G1628" s="1" t="s">
        <v>461</v>
      </c>
      <c r="H1628" s="1">
        <v>609153</v>
      </c>
      <c r="I1628" s="1">
        <v>5</v>
      </c>
      <c r="K1628" s="1" t="s">
        <v>3989</v>
      </c>
      <c r="L1628" s="1" t="s">
        <v>3990</v>
      </c>
      <c r="M1628" s="1">
        <v>5</v>
      </c>
      <c r="N1628" s="1" t="s">
        <v>39</v>
      </c>
      <c r="O1628" s="1">
        <v>42.755299999999998</v>
      </c>
      <c r="P1628" s="1">
        <v>-86.085300000000004</v>
      </c>
      <c r="Q1628" s="1" t="s">
        <v>3991</v>
      </c>
      <c r="R1628" s="1" t="s">
        <v>41</v>
      </c>
      <c r="T1628" s="1" t="s">
        <v>93</v>
      </c>
      <c r="U1628" s="1" t="s">
        <v>44</v>
      </c>
      <c r="X1628" s="1" t="s">
        <v>140</v>
      </c>
      <c r="AA1628" s="3">
        <v>36637</v>
      </c>
      <c r="AB1628" s="1" t="s">
        <v>46</v>
      </c>
      <c r="AC1628" s="5">
        <v>975</v>
      </c>
      <c r="AD1628" s="1" t="s">
        <v>3992</v>
      </c>
      <c r="AE1628" s="1" t="str">
        <f t="shared" si="124"/>
        <v>7258 9</v>
      </c>
      <c r="AF1628" s="5" t="str">
        <f>MID(AD1628,FIND("(",AD1628)+1,FIND(")",AD1628)-FIND("(",AD1628)-1)</f>
        <v>83.5</v>
      </c>
      <c r="AG1628" s="1" t="str">
        <f t="shared" si="123"/>
        <v/>
      </c>
    </row>
    <row r="1629" spans="1:33" x14ac:dyDescent="0.2">
      <c r="A1629" s="1" t="s">
        <v>1621</v>
      </c>
      <c r="B1629" s="1" t="s">
        <v>3988</v>
      </c>
      <c r="C1629" s="1">
        <v>7258</v>
      </c>
      <c r="D1629" s="1" t="s">
        <v>3415</v>
      </c>
      <c r="F1629" s="1">
        <v>2023</v>
      </c>
      <c r="G1629" s="1" t="s">
        <v>461</v>
      </c>
      <c r="H1629" s="1">
        <v>609153</v>
      </c>
      <c r="I1629" s="1">
        <v>5</v>
      </c>
      <c r="K1629" s="1" t="s">
        <v>3989</v>
      </c>
      <c r="L1629" s="1" t="s">
        <v>3990</v>
      </c>
      <c r="M1629" s="1">
        <v>5</v>
      </c>
      <c r="N1629" s="1" t="s">
        <v>39</v>
      </c>
      <c r="O1629" s="1">
        <v>42.755299999999998</v>
      </c>
      <c r="P1629" s="1">
        <v>-86.085300000000004</v>
      </c>
      <c r="Q1629" s="1" t="s">
        <v>3991</v>
      </c>
      <c r="R1629" s="1" t="s">
        <v>41</v>
      </c>
      <c r="T1629" s="1" t="s">
        <v>93</v>
      </c>
      <c r="U1629" s="1" t="s">
        <v>44</v>
      </c>
      <c r="V1629" s="1" t="s">
        <v>94</v>
      </c>
      <c r="X1629" s="1" t="s">
        <v>95</v>
      </c>
      <c r="AA1629" s="3">
        <v>33725</v>
      </c>
      <c r="AB1629" s="1" t="s">
        <v>46</v>
      </c>
      <c r="AC1629" s="5">
        <v>484</v>
      </c>
      <c r="AD1629" s="1" t="s">
        <v>3993</v>
      </c>
      <c r="AE1629" s="1" t="str">
        <f t="shared" si="124"/>
        <v>7258 **7</v>
      </c>
      <c r="AF1629" s="5" t="str">
        <f>MID(AD1629,FIND("(",AD1629)+1,FIND(")",AD1629)-FIND("(",AD1629)-1)</f>
        <v>39.1</v>
      </c>
      <c r="AG1629" s="1" t="str">
        <f t="shared" si="123"/>
        <v/>
      </c>
    </row>
    <row r="1630" spans="1:33" x14ac:dyDescent="0.2">
      <c r="A1630" s="1" t="s">
        <v>1621</v>
      </c>
      <c r="B1630" s="1" t="s">
        <v>3988</v>
      </c>
      <c r="C1630" s="1">
        <v>7258</v>
      </c>
      <c r="D1630" s="1" t="s">
        <v>894</v>
      </c>
      <c r="F1630" s="1">
        <v>2023</v>
      </c>
      <c r="G1630" s="1" t="s">
        <v>461</v>
      </c>
      <c r="H1630" s="1">
        <v>609153</v>
      </c>
      <c r="I1630" s="1">
        <v>5</v>
      </c>
      <c r="K1630" s="1" t="s">
        <v>3989</v>
      </c>
      <c r="L1630" s="1" t="s">
        <v>3990</v>
      </c>
      <c r="M1630" s="1">
        <v>5</v>
      </c>
      <c r="N1630" s="1" t="s">
        <v>39</v>
      </c>
      <c r="O1630" s="1">
        <v>42.755299999999998</v>
      </c>
      <c r="P1630" s="1">
        <v>-86.085300000000004</v>
      </c>
      <c r="Q1630" s="1" t="s">
        <v>3991</v>
      </c>
      <c r="R1630" s="1" t="s">
        <v>41</v>
      </c>
      <c r="T1630" s="1" t="s">
        <v>93</v>
      </c>
      <c r="U1630" s="1" t="s">
        <v>44</v>
      </c>
      <c r="V1630" s="1" t="s">
        <v>94</v>
      </c>
      <c r="X1630" s="1" t="s">
        <v>95</v>
      </c>
      <c r="AA1630" s="3">
        <v>33756</v>
      </c>
      <c r="AB1630" s="1" t="s">
        <v>46</v>
      </c>
      <c r="AC1630" s="5">
        <v>484</v>
      </c>
      <c r="AD1630" s="1" t="s">
        <v>3994</v>
      </c>
      <c r="AE1630" s="1" t="str">
        <f t="shared" si="124"/>
        <v>7258 **8</v>
      </c>
      <c r="AF1630" s="5" t="str">
        <f>MID(AD1630,FIND("(",AD1630)+1,FIND(")",AD1630)-FIND("(",AD1630)-1)</f>
        <v>39.1</v>
      </c>
      <c r="AG1630" s="1" t="str">
        <f t="shared" si="123"/>
        <v/>
      </c>
    </row>
    <row r="1631" spans="1:33" x14ac:dyDescent="0.2">
      <c r="A1631" s="1" t="s">
        <v>370</v>
      </c>
      <c r="B1631" s="1" t="s">
        <v>3995</v>
      </c>
      <c r="C1631" s="1">
        <v>7266</v>
      </c>
      <c r="D1631" s="1">
        <v>1</v>
      </c>
      <c r="F1631" s="1">
        <v>2023</v>
      </c>
      <c r="G1631" s="1" t="s">
        <v>247</v>
      </c>
      <c r="H1631" s="1">
        <v>609951</v>
      </c>
      <c r="I1631" s="1">
        <v>9</v>
      </c>
      <c r="K1631" s="1" t="s">
        <v>3996</v>
      </c>
      <c r="L1631" s="1" t="s">
        <v>3997</v>
      </c>
      <c r="M1631" s="1">
        <v>99</v>
      </c>
      <c r="N1631" s="1" t="s">
        <v>39</v>
      </c>
      <c r="O1631" s="1">
        <v>37.652799999999999</v>
      </c>
      <c r="P1631" s="1">
        <v>-121.0172</v>
      </c>
      <c r="Q1631" s="1" t="s">
        <v>3998</v>
      </c>
      <c r="R1631" s="1" t="s">
        <v>41</v>
      </c>
      <c r="T1631" s="1" t="s">
        <v>93</v>
      </c>
      <c r="U1631" s="1" t="s">
        <v>44</v>
      </c>
      <c r="V1631" s="1" t="s">
        <v>94</v>
      </c>
      <c r="X1631" s="1" t="s">
        <v>3999</v>
      </c>
      <c r="AA1631" s="3">
        <v>34306</v>
      </c>
      <c r="AB1631" s="1" t="s">
        <v>46</v>
      </c>
      <c r="AC1631" s="5">
        <v>525</v>
      </c>
      <c r="AD1631" s="1" t="s">
        <v>4000</v>
      </c>
      <c r="AE1631" s="1" t="str">
        <f t="shared" si="124"/>
        <v>7266 1</v>
      </c>
      <c r="AF1631" s="5" t="str">
        <f>MID(AD1631,FIND("(",AD1631)+1,FIND(")",AD1631)-FIND("(",AD1631)-1)</f>
        <v>50.4</v>
      </c>
      <c r="AG1631" s="1" t="str">
        <f t="shared" si="123"/>
        <v>Y</v>
      </c>
    </row>
    <row r="1632" spans="1:33" x14ac:dyDescent="0.2">
      <c r="A1632" s="1" t="s">
        <v>370</v>
      </c>
      <c r="B1632" s="1" t="s">
        <v>3995</v>
      </c>
      <c r="C1632" s="1">
        <v>7266</v>
      </c>
      <c r="D1632" s="1">
        <v>2</v>
      </c>
      <c r="F1632" s="1">
        <v>2023</v>
      </c>
      <c r="G1632" s="1" t="s">
        <v>247</v>
      </c>
      <c r="H1632" s="1">
        <v>609951</v>
      </c>
      <c r="I1632" s="1">
        <v>9</v>
      </c>
      <c r="K1632" s="1" t="s">
        <v>3996</v>
      </c>
      <c r="L1632" s="1" t="s">
        <v>3997</v>
      </c>
      <c r="M1632" s="1">
        <v>99</v>
      </c>
      <c r="N1632" s="1" t="s">
        <v>39</v>
      </c>
      <c r="O1632" s="1">
        <v>37.652799999999999</v>
      </c>
      <c r="P1632" s="1">
        <v>-121.0172</v>
      </c>
      <c r="Q1632" s="1" t="s">
        <v>3998</v>
      </c>
      <c r="R1632" s="1" t="s">
        <v>41</v>
      </c>
      <c r="T1632" s="1" t="s">
        <v>71</v>
      </c>
      <c r="U1632" s="1" t="s">
        <v>44</v>
      </c>
      <c r="X1632" s="1" t="s">
        <v>176</v>
      </c>
      <c r="AA1632" s="3">
        <v>37778</v>
      </c>
      <c r="AB1632" s="1" t="s">
        <v>46</v>
      </c>
      <c r="AC1632" s="5">
        <v>525</v>
      </c>
      <c r="AD1632" s="1" t="s">
        <v>4001</v>
      </c>
      <c r="AE1632" s="1" t="str">
        <f t="shared" si="124"/>
        <v>7266 2</v>
      </c>
      <c r="AF1632" s="14">
        <f>MID(AD1632,FIND("(",AD1632)+1,FIND(")",AD1632)-FIND("(",AD1632)-1)+60.49</f>
        <v>98.22</v>
      </c>
      <c r="AG1632" s="1" t="str">
        <f t="shared" si="123"/>
        <v>Y</v>
      </c>
    </row>
    <row r="1633" spans="1:33" x14ac:dyDescent="0.2">
      <c r="A1633" s="1" t="s">
        <v>3167</v>
      </c>
      <c r="B1633" s="1" t="s">
        <v>4002</v>
      </c>
      <c r="C1633" s="1">
        <v>7270</v>
      </c>
      <c r="D1633" s="1" t="s">
        <v>3872</v>
      </c>
      <c r="F1633" s="1">
        <v>2023</v>
      </c>
      <c r="G1633" s="1" t="s">
        <v>461</v>
      </c>
      <c r="H1633" s="1" t="s">
        <v>3193</v>
      </c>
      <c r="I1633" s="1">
        <v>5</v>
      </c>
      <c r="J1633" s="1" t="s">
        <v>462</v>
      </c>
      <c r="K1633" s="1" t="s">
        <v>4003</v>
      </c>
      <c r="L1633" s="1" t="s">
        <v>4004</v>
      </c>
      <c r="M1633" s="1">
        <v>59</v>
      </c>
      <c r="N1633" s="1" t="s">
        <v>39</v>
      </c>
      <c r="O1633" s="1">
        <v>42.665799999999997</v>
      </c>
      <c r="P1633" s="1">
        <v>-88.013099999999994</v>
      </c>
      <c r="Q1633" s="1" t="s">
        <v>3204</v>
      </c>
      <c r="R1633" s="1" t="s">
        <v>41</v>
      </c>
      <c r="T1633" s="1" t="s">
        <v>93</v>
      </c>
      <c r="U1633" s="1" t="s">
        <v>44</v>
      </c>
      <c r="X1633" s="1" t="s">
        <v>95</v>
      </c>
      <c r="AA1633" s="3">
        <v>34768</v>
      </c>
      <c r="AB1633" s="1" t="s">
        <v>46</v>
      </c>
      <c r="AC1633" s="5">
        <v>1282</v>
      </c>
      <c r="AD1633" s="1" t="s">
        <v>3932</v>
      </c>
      <c r="AE1633" s="1" t="str">
        <f t="shared" si="124"/>
        <v>7270 **1</v>
      </c>
      <c r="AF1633" s="5" t="str">
        <f t="shared" ref="AF1633:AF1655" si="125">MID(AD1633,FIND("(",AD1633)+1,FIND(")",AD1633)-FIND("(",AD1633)-1)</f>
        <v>95.4</v>
      </c>
      <c r="AG1633" s="1" t="str">
        <f t="shared" si="123"/>
        <v/>
      </c>
    </row>
    <row r="1634" spans="1:33" x14ac:dyDescent="0.2">
      <c r="A1634" s="1" t="s">
        <v>3167</v>
      </c>
      <c r="B1634" s="1" t="s">
        <v>4002</v>
      </c>
      <c r="C1634" s="1">
        <v>7270</v>
      </c>
      <c r="D1634" s="1" t="s">
        <v>3875</v>
      </c>
      <c r="F1634" s="1">
        <v>2023</v>
      </c>
      <c r="G1634" s="1" t="s">
        <v>461</v>
      </c>
      <c r="H1634" s="1" t="s">
        <v>3193</v>
      </c>
      <c r="I1634" s="1">
        <v>5</v>
      </c>
      <c r="J1634" s="1" t="s">
        <v>462</v>
      </c>
      <c r="K1634" s="1" t="s">
        <v>4003</v>
      </c>
      <c r="L1634" s="1" t="s">
        <v>4004</v>
      </c>
      <c r="M1634" s="1">
        <v>59</v>
      </c>
      <c r="N1634" s="1" t="s">
        <v>39</v>
      </c>
      <c r="O1634" s="1">
        <v>42.665799999999997</v>
      </c>
      <c r="P1634" s="1">
        <v>-88.013099999999994</v>
      </c>
      <c r="Q1634" s="1" t="s">
        <v>3204</v>
      </c>
      <c r="R1634" s="1" t="s">
        <v>41</v>
      </c>
      <c r="T1634" s="1" t="s">
        <v>93</v>
      </c>
      <c r="U1634" s="1" t="s">
        <v>44</v>
      </c>
      <c r="X1634" s="1" t="s">
        <v>95</v>
      </c>
      <c r="AA1634" s="3">
        <v>34778</v>
      </c>
      <c r="AB1634" s="1" t="s">
        <v>46</v>
      </c>
      <c r="AC1634" s="5">
        <v>1282</v>
      </c>
      <c r="AD1634" s="1" t="s">
        <v>3770</v>
      </c>
      <c r="AE1634" s="1" t="str">
        <f t="shared" si="124"/>
        <v>7270 **2</v>
      </c>
      <c r="AF1634" s="5" t="str">
        <f t="shared" si="125"/>
        <v>95.4</v>
      </c>
      <c r="AG1634" s="1" t="str">
        <f t="shared" si="123"/>
        <v/>
      </c>
    </row>
    <row r="1635" spans="1:33" x14ac:dyDescent="0.2">
      <c r="A1635" s="1" t="s">
        <v>3167</v>
      </c>
      <c r="B1635" s="1" t="s">
        <v>4002</v>
      </c>
      <c r="C1635" s="1">
        <v>7270</v>
      </c>
      <c r="D1635" s="1" t="s">
        <v>3876</v>
      </c>
      <c r="F1635" s="1">
        <v>2023</v>
      </c>
      <c r="G1635" s="1" t="s">
        <v>461</v>
      </c>
      <c r="H1635" s="1" t="s">
        <v>3193</v>
      </c>
      <c r="I1635" s="1">
        <v>5</v>
      </c>
      <c r="J1635" s="1" t="s">
        <v>462</v>
      </c>
      <c r="K1635" s="1" t="s">
        <v>4003</v>
      </c>
      <c r="L1635" s="1" t="s">
        <v>4004</v>
      </c>
      <c r="M1635" s="1">
        <v>59</v>
      </c>
      <c r="N1635" s="1" t="s">
        <v>39</v>
      </c>
      <c r="O1635" s="1">
        <v>42.665799999999997</v>
      </c>
      <c r="P1635" s="1">
        <v>-88.013099999999994</v>
      </c>
      <c r="Q1635" s="1" t="s">
        <v>3204</v>
      </c>
      <c r="R1635" s="1" t="s">
        <v>41</v>
      </c>
      <c r="T1635" s="1" t="s">
        <v>93</v>
      </c>
      <c r="U1635" s="1" t="s">
        <v>44</v>
      </c>
      <c r="X1635" s="1" t="s">
        <v>95</v>
      </c>
      <c r="AA1635" s="3">
        <v>34871</v>
      </c>
      <c r="AB1635" s="1" t="s">
        <v>46</v>
      </c>
      <c r="AC1635" s="5">
        <v>1282</v>
      </c>
      <c r="AD1635" s="1" t="s">
        <v>3771</v>
      </c>
      <c r="AE1635" s="1" t="str">
        <f t="shared" si="124"/>
        <v>7270 **3</v>
      </c>
      <c r="AF1635" s="5" t="str">
        <f t="shared" si="125"/>
        <v>95.4</v>
      </c>
      <c r="AG1635" s="1" t="str">
        <f t="shared" si="123"/>
        <v/>
      </c>
    </row>
    <row r="1636" spans="1:33" x14ac:dyDescent="0.2">
      <c r="A1636" s="1" t="s">
        <v>3167</v>
      </c>
      <c r="B1636" s="1" t="s">
        <v>4002</v>
      </c>
      <c r="C1636" s="1">
        <v>7270</v>
      </c>
      <c r="D1636" s="1" t="s">
        <v>569</v>
      </c>
      <c r="F1636" s="1">
        <v>2023</v>
      </c>
      <c r="G1636" s="1" t="s">
        <v>461</v>
      </c>
      <c r="H1636" s="1" t="s">
        <v>3193</v>
      </c>
      <c r="I1636" s="1">
        <v>5</v>
      </c>
      <c r="J1636" s="1" t="s">
        <v>462</v>
      </c>
      <c r="K1636" s="1" t="s">
        <v>4003</v>
      </c>
      <c r="L1636" s="1" t="s">
        <v>4004</v>
      </c>
      <c r="M1636" s="1">
        <v>59</v>
      </c>
      <c r="N1636" s="1" t="s">
        <v>39</v>
      </c>
      <c r="O1636" s="1">
        <v>42.665799999999997</v>
      </c>
      <c r="P1636" s="1">
        <v>-88.013099999999994</v>
      </c>
      <c r="Q1636" s="1" t="s">
        <v>3204</v>
      </c>
      <c r="R1636" s="1" t="s">
        <v>41</v>
      </c>
      <c r="T1636" s="1" t="s">
        <v>93</v>
      </c>
      <c r="U1636" s="1" t="s">
        <v>44</v>
      </c>
      <c r="X1636" s="1" t="s">
        <v>95</v>
      </c>
      <c r="AA1636" s="3">
        <v>34871</v>
      </c>
      <c r="AB1636" s="1" t="s">
        <v>46</v>
      </c>
      <c r="AC1636" s="5">
        <v>1282</v>
      </c>
      <c r="AD1636" s="1" t="s">
        <v>3933</v>
      </c>
      <c r="AE1636" s="1" t="str">
        <f t="shared" si="124"/>
        <v>7270 **4</v>
      </c>
      <c r="AF1636" s="5" t="str">
        <f t="shared" si="125"/>
        <v>95.4</v>
      </c>
      <c r="AG1636" s="1" t="str">
        <f t="shared" si="123"/>
        <v/>
      </c>
    </row>
    <row r="1637" spans="1:33" x14ac:dyDescent="0.2">
      <c r="A1637" s="1" t="s">
        <v>1153</v>
      </c>
      <c r="B1637" s="1" t="s">
        <v>4005</v>
      </c>
      <c r="C1637" s="1">
        <v>7277</v>
      </c>
      <c r="D1637" s="1">
        <v>1</v>
      </c>
      <c r="F1637" s="1">
        <v>2023</v>
      </c>
      <c r="G1637" s="1" t="s">
        <v>2319</v>
      </c>
      <c r="H1637" s="1" t="s">
        <v>2320</v>
      </c>
      <c r="I1637" s="1">
        <v>4</v>
      </c>
      <c r="K1637" s="1" t="s">
        <v>3267</v>
      </c>
      <c r="L1637" s="1" t="s">
        <v>4006</v>
      </c>
      <c r="M1637" s="1">
        <v>109</v>
      </c>
      <c r="N1637" s="1" t="s">
        <v>39</v>
      </c>
      <c r="O1637" s="1">
        <v>35.431699999999999</v>
      </c>
      <c r="P1637" s="1">
        <v>-81.034700000000001</v>
      </c>
      <c r="Q1637" s="1" t="s">
        <v>4007</v>
      </c>
      <c r="R1637" s="1" t="s">
        <v>41</v>
      </c>
      <c r="T1637" s="1" t="s">
        <v>93</v>
      </c>
      <c r="U1637" s="1" t="s">
        <v>94</v>
      </c>
      <c r="V1637" s="1" t="s">
        <v>284</v>
      </c>
      <c r="X1637" s="1" t="s">
        <v>95</v>
      </c>
      <c r="AA1637" s="3">
        <v>34824</v>
      </c>
      <c r="AB1637" s="1" t="s">
        <v>46</v>
      </c>
      <c r="AC1637" s="5">
        <v>1446</v>
      </c>
      <c r="AD1637" s="1" t="s">
        <v>4008</v>
      </c>
      <c r="AE1637" s="1" t="str">
        <f t="shared" si="124"/>
        <v>7277 1</v>
      </c>
      <c r="AF1637" s="5" t="str">
        <f t="shared" si="125"/>
        <v>102</v>
      </c>
      <c r="AG1637" s="1" t="str">
        <f t="shared" si="123"/>
        <v/>
      </c>
    </row>
    <row r="1638" spans="1:33" x14ac:dyDescent="0.2">
      <c r="A1638" s="1" t="s">
        <v>1153</v>
      </c>
      <c r="B1638" s="1" t="s">
        <v>4005</v>
      </c>
      <c r="C1638" s="1">
        <v>7277</v>
      </c>
      <c r="D1638" s="1">
        <v>2</v>
      </c>
      <c r="F1638" s="1">
        <v>2023</v>
      </c>
      <c r="G1638" s="1" t="s">
        <v>2319</v>
      </c>
      <c r="H1638" s="1" t="s">
        <v>2320</v>
      </c>
      <c r="I1638" s="1">
        <v>4</v>
      </c>
      <c r="K1638" s="1" t="s">
        <v>3267</v>
      </c>
      <c r="L1638" s="1" t="s">
        <v>4006</v>
      </c>
      <c r="M1638" s="1">
        <v>109</v>
      </c>
      <c r="N1638" s="1" t="s">
        <v>39</v>
      </c>
      <c r="O1638" s="1">
        <v>35.431699999999999</v>
      </c>
      <c r="P1638" s="1">
        <v>-81.034700000000001</v>
      </c>
      <c r="Q1638" s="1" t="s">
        <v>4007</v>
      </c>
      <c r="R1638" s="1" t="s">
        <v>41</v>
      </c>
      <c r="T1638" s="1" t="s">
        <v>93</v>
      </c>
      <c r="U1638" s="1" t="s">
        <v>94</v>
      </c>
      <c r="V1638" s="1" t="s">
        <v>284</v>
      </c>
      <c r="X1638" s="1" t="s">
        <v>95</v>
      </c>
      <c r="AA1638" s="3">
        <v>34824</v>
      </c>
      <c r="AB1638" s="1" t="s">
        <v>46</v>
      </c>
      <c r="AC1638" s="5">
        <v>1446</v>
      </c>
      <c r="AD1638" s="1" t="s">
        <v>4009</v>
      </c>
      <c r="AE1638" s="1" t="str">
        <f t="shared" si="124"/>
        <v>7277 2</v>
      </c>
      <c r="AF1638" s="5" t="str">
        <f t="shared" si="125"/>
        <v>102</v>
      </c>
      <c r="AG1638" s="1" t="str">
        <f t="shared" si="123"/>
        <v/>
      </c>
    </row>
    <row r="1639" spans="1:33" x14ac:dyDescent="0.2">
      <c r="A1639" s="1" t="s">
        <v>1153</v>
      </c>
      <c r="B1639" s="1" t="s">
        <v>4005</v>
      </c>
      <c r="C1639" s="1">
        <v>7277</v>
      </c>
      <c r="D1639" s="1">
        <v>3</v>
      </c>
      <c r="F1639" s="1">
        <v>2023</v>
      </c>
      <c r="G1639" s="1" t="s">
        <v>2319</v>
      </c>
      <c r="H1639" s="1" t="s">
        <v>2320</v>
      </c>
      <c r="I1639" s="1">
        <v>4</v>
      </c>
      <c r="K1639" s="1" t="s">
        <v>3267</v>
      </c>
      <c r="L1639" s="1" t="s">
        <v>4006</v>
      </c>
      <c r="M1639" s="1">
        <v>109</v>
      </c>
      <c r="N1639" s="1" t="s">
        <v>39</v>
      </c>
      <c r="O1639" s="1">
        <v>35.431699999999999</v>
      </c>
      <c r="P1639" s="1">
        <v>-81.034700000000001</v>
      </c>
      <c r="Q1639" s="1" t="s">
        <v>4007</v>
      </c>
      <c r="R1639" s="1" t="s">
        <v>41</v>
      </c>
      <c r="T1639" s="1" t="s">
        <v>93</v>
      </c>
      <c r="U1639" s="1" t="s">
        <v>94</v>
      </c>
      <c r="V1639" s="1" t="s">
        <v>284</v>
      </c>
      <c r="X1639" s="1" t="s">
        <v>95</v>
      </c>
      <c r="AA1639" s="3">
        <v>34851</v>
      </c>
      <c r="AB1639" s="1" t="s">
        <v>46</v>
      </c>
      <c r="AC1639" s="5">
        <v>1446</v>
      </c>
      <c r="AD1639" s="1" t="s">
        <v>4010</v>
      </c>
      <c r="AE1639" s="1" t="str">
        <f t="shared" si="124"/>
        <v>7277 3</v>
      </c>
      <c r="AF1639" s="5" t="str">
        <f t="shared" si="125"/>
        <v>102</v>
      </c>
      <c r="AG1639" s="1" t="str">
        <f t="shared" si="123"/>
        <v/>
      </c>
    </row>
    <row r="1640" spans="1:33" x14ac:dyDescent="0.2">
      <c r="A1640" s="1" t="s">
        <v>1153</v>
      </c>
      <c r="B1640" s="1" t="s">
        <v>4005</v>
      </c>
      <c r="C1640" s="1">
        <v>7277</v>
      </c>
      <c r="D1640" s="1">
        <v>4</v>
      </c>
      <c r="F1640" s="1">
        <v>2023</v>
      </c>
      <c r="G1640" s="1" t="s">
        <v>2319</v>
      </c>
      <c r="H1640" s="1" t="s">
        <v>2320</v>
      </c>
      <c r="I1640" s="1">
        <v>4</v>
      </c>
      <c r="K1640" s="1" t="s">
        <v>3267</v>
      </c>
      <c r="L1640" s="1" t="s">
        <v>4006</v>
      </c>
      <c r="M1640" s="1">
        <v>109</v>
      </c>
      <c r="N1640" s="1" t="s">
        <v>39</v>
      </c>
      <c r="O1640" s="1">
        <v>35.431699999999999</v>
      </c>
      <c r="P1640" s="1">
        <v>-81.034700000000001</v>
      </c>
      <c r="Q1640" s="1" t="s">
        <v>4007</v>
      </c>
      <c r="R1640" s="1" t="s">
        <v>41</v>
      </c>
      <c r="T1640" s="1" t="s">
        <v>93</v>
      </c>
      <c r="U1640" s="1" t="s">
        <v>94</v>
      </c>
      <c r="V1640" s="1" t="s">
        <v>284</v>
      </c>
      <c r="X1640" s="1" t="s">
        <v>95</v>
      </c>
      <c r="AA1640" s="3">
        <v>34851</v>
      </c>
      <c r="AB1640" s="1" t="s">
        <v>46</v>
      </c>
      <c r="AC1640" s="5">
        <v>1446</v>
      </c>
      <c r="AD1640" s="1" t="s">
        <v>4011</v>
      </c>
      <c r="AE1640" s="1" t="str">
        <f t="shared" si="124"/>
        <v>7277 4</v>
      </c>
      <c r="AF1640" s="5" t="str">
        <f t="shared" si="125"/>
        <v>102</v>
      </c>
      <c r="AG1640" s="1" t="str">
        <f t="shared" si="123"/>
        <v/>
      </c>
    </row>
    <row r="1641" spans="1:33" x14ac:dyDescent="0.2">
      <c r="A1641" s="1" t="s">
        <v>1153</v>
      </c>
      <c r="B1641" s="1" t="s">
        <v>4005</v>
      </c>
      <c r="C1641" s="1">
        <v>7277</v>
      </c>
      <c r="D1641" s="1">
        <v>5</v>
      </c>
      <c r="F1641" s="1">
        <v>2023</v>
      </c>
      <c r="G1641" s="1" t="s">
        <v>2319</v>
      </c>
      <c r="H1641" s="1" t="s">
        <v>2320</v>
      </c>
      <c r="I1641" s="1">
        <v>4</v>
      </c>
      <c r="K1641" s="1" t="s">
        <v>3267</v>
      </c>
      <c r="L1641" s="1" t="s">
        <v>4006</v>
      </c>
      <c r="M1641" s="1">
        <v>109</v>
      </c>
      <c r="N1641" s="1" t="s">
        <v>39</v>
      </c>
      <c r="O1641" s="1">
        <v>35.431699999999999</v>
      </c>
      <c r="P1641" s="1">
        <v>-81.034700000000001</v>
      </c>
      <c r="Q1641" s="1" t="s">
        <v>4007</v>
      </c>
      <c r="R1641" s="1" t="s">
        <v>41</v>
      </c>
      <c r="T1641" s="1" t="s">
        <v>93</v>
      </c>
      <c r="U1641" s="1" t="s">
        <v>94</v>
      </c>
      <c r="V1641" s="1" t="s">
        <v>284</v>
      </c>
      <c r="X1641" s="1" t="s">
        <v>95</v>
      </c>
      <c r="AA1641" s="3">
        <v>34898</v>
      </c>
      <c r="AB1641" s="1" t="s">
        <v>46</v>
      </c>
      <c r="AC1641" s="5">
        <v>1446</v>
      </c>
      <c r="AD1641" s="1" t="s">
        <v>4012</v>
      </c>
      <c r="AE1641" s="1" t="str">
        <f t="shared" si="124"/>
        <v>7277 5</v>
      </c>
      <c r="AF1641" s="5" t="str">
        <f t="shared" si="125"/>
        <v>102</v>
      </c>
      <c r="AG1641" s="1" t="str">
        <f t="shared" si="123"/>
        <v/>
      </c>
    </row>
    <row r="1642" spans="1:33" x14ac:dyDescent="0.2">
      <c r="A1642" s="1" t="s">
        <v>1153</v>
      </c>
      <c r="B1642" s="1" t="s">
        <v>4005</v>
      </c>
      <c r="C1642" s="1">
        <v>7277</v>
      </c>
      <c r="D1642" s="1">
        <v>6</v>
      </c>
      <c r="F1642" s="1">
        <v>2023</v>
      </c>
      <c r="G1642" s="1" t="s">
        <v>2319</v>
      </c>
      <c r="H1642" s="1" t="s">
        <v>2320</v>
      </c>
      <c r="I1642" s="1">
        <v>4</v>
      </c>
      <c r="K1642" s="1" t="s">
        <v>3267</v>
      </c>
      <c r="L1642" s="1" t="s">
        <v>4006</v>
      </c>
      <c r="M1642" s="1">
        <v>109</v>
      </c>
      <c r="N1642" s="1" t="s">
        <v>39</v>
      </c>
      <c r="O1642" s="1">
        <v>35.431699999999999</v>
      </c>
      <c r="P1642" s="1">
        <v>-81.034700000000001</v>
      </c>
      <c r="Q1642" s="1" t="s">
        <v>4007</v>
      </c>
      <c r="R1642" s="1" t="s">
        <v>41</v>
      </c>
      <c r="T1642" s="1" t="s">
        <v>93</v>
      </c>
      <c r="U1642" s="1" t="s">
        <v>94</v>
      </c>
      <c r="V1642" s="1" t="s">
        <v>284</v>
      </c>
      <c r="X1642" s="1" t="s">
        <v>95</v>
      </c>
      <c r="AA1642" s="3">
        <v>34898</v>
      </c>
      <c r="AB1642" s="1" t="s">
        <v>46</v>
      </c>
      <c r="AC1642" s="5">
        <v>1446</v>
      </c>
      <c r="AD1642" s="1" t="s">
        <v>4013</v>
      </c>
      <c r="AE1642" s="1" t="str">
        <f t="shared" si="124"/>
        <v>7277 6</v>
      </c>
      <c r="AF1642" s="5" t="str">
        <f t="shared" si="125"/>
        <v>102</v>
      </c>
      <c r="AG1642" s="1" t="str">
        <f t="shared" si="123"/>
        <v/>
      </c>
    </row>
    <row r="1643" spans="1:33" x14ac:dyDescent="0.2">
      <c r="A1643" s="1" t="s">
        <v>1153</v>
      </c>
      <c r="B1643" s="1" t="s">
        <v>4005</v>
      </c>
      <c r="C1643" s="1">
        <v>7277</v>
      </c>
      <c r="D1643" s="1">
        <v>7</v>
      </c>
      <c r="F1643" s="1">
        <v>2023</v>
      </c>
      <c r="G1643" s="1" t="s">
        <v>2319</v>
      </c>
      <c r="H1643" s="1" t="s">
        <v>2320</v>
      </c>
      <c r="I1643" s="1">
        <v>4</v>
      </c>
      <c r="K1643" s="1" t="s">
        <v>3267</v>
      </c>
      <c r="L1643" s="1" t="s">
        <v>4006</v>
      </c>
      <c r="M1643" s="1">
        <v>109</v>
      </c>
      <c r="N1643" s="1" t="s">
        <v>39</v>
      </c>
      <c r="O1643" s="1">
        <v>35.431699999999999</v>
      </c>
      <c r="P1643" s="1">
        <v>-81.034700000000001</v>
      </c>
      <c r="Q1643" s="1" t="s">
        <v>4007</v>
      </c>
      <c r="R1643" s="1" t="s">
        <v>41</v>
      </c>
      <c r="T1643" s="1" t="s">
        <v>93</v>
      </c>
      <c r="U1643" s="1" t="s">
        <v>94</v>
      </c>
      <c r="V1643" s="1" t="s">
        <v>284</v>
      </c>
      <c r="X1643" s="1" t="s">
        <v>95</v>
      </c>
      <c r="AA1643" s="3">
        <v>34943</v>
      </c>
      <c r="AB1643" s="1" t="s">
        <v>46</v>
      </c>
      <c r="AC1643" s="5">
        <v>1446</v>
      </c>
      <c r="AD1643" s="1" t="s">
        <v>4014</v>
      </c>
      <c r="AE1643" s="1" t="str">
        <f t="shared" si="124"/>
        <v>7277 7</v>
      </c>
      <c r="AF1643" s="5" t="str">
        <f t="shared" si="125"/>
        <v>102</v>
      </c>
      <c r="AG1643" s="1" t="str">
        <f t="shared" si="123"/>
        <v/>
      </c>
    </row>
    <row r="1644" spans="1:33" x14ac:dyDescent="0.2">
      <c r="A1644" s="1" t="s">
        <v>1153</v>
      </c>
      <c r="B1644" s="1" t="s">
        <v>4005</v>
      </c>
      <c r="C1644" s="1">
        <v>7277</v>
      </c>
      <c r="D1644" s="1">
        <v>8</v>
      </c>
      <c r="F1644" s="1">
        <v>2023</v>
      </c>
      <c r="G1644" s="1" t="s">
        <v>2319</v>
      </c>
      <c r="H1644" s="1" t="s">
        <v>2320</v>
      </c>
      <c r="I1644" s="1">
        <v>4</v>
      </c>
      <c r="K1644" s="1" t="s">
        <v>3267</v>
      </c>
      <c r="L1644" s="1" t="s">
        <v>4006</v>
      </c>
      <c r="M1644" s="1">
        <v>109</v>
      </c>
      <c r="N1644" s="1" t="s">
        <v>39</v>
      </c>
      <c r="O1644" s="1">
        <v>35.431699999999999</v>
      </c>
      <c r="P1644" s="1">
        <v>-81.034700000000001</v>
      </c>
      <c r="Q1644" s="1" t="s">
        <v>4007</v>
      </c>
      <c r="R1644" s="1" t="s">
        <v>41</v>
      </c>
      <c r="T1644" s="1" t="s">
        <v>93</v>
      </c>
      <c r="U1644" s="1" t="s">
        <v>94</v>
      </c>
      <c r="V1644" s="1" t="s">
        <v>284</v>
      </c>
      <c r="X1644" s="1" t="s">
        <v>95</v>
      </c>
      <c r="AA1644" s="3">
        <v>34943</v>
      </c>
      <c r="AB1644" s="1" t="s">
        <v>46</v>
      </c>
      <c r="AC1644" s="5">
        <v>1446</v>
      </c>
      <c r="AD1644" s="1" t="s">
        <v>4015</v>
      </c>
      <c r="AE1644" s="1" t="str">
        <f t="shared" si="124"/>
        <v>7277 8</v>
      </c>
      <c r="AF1644" s="5" t="str">
        <f t="shared" si="125"/>
        <v>102</v>
      </c>
      <c r="AG1644" s="1" t="str">
        <f t="shared" si="123"/>
        <v/>
      </c>
    </row>
    <row r="1645" spans="1:33" x14ac:dyDescent="0.2">
      <c r="A1645" s="1" t="s">
        <v>1153</v>
      </c>
      <c r="B1645" s="1" t="s">
        <v>4005</v>
      </c>
      <c r="C1645" s="1">
        <v>7277</v>
      </c>
      <c r="D1645" s="1">
        <v>9</v>
      </c>
      <c r="F1645" s="1">
        <v>2023</v>
      </c>
      <c r="G1645" s="1" t="s">
        <v>2319</v>
      </c>
      <c r="H1645" s="1" t="s">
        <v>2320</v>
      </c>
      <c r="I1645" s="1">
        <v>4</v>
      </c>
      <c r="K1645" s="1" t="s">
        <v>3267</v>
      </c>
      <c r="L1645" s="1" t="s">
        <v>4006</v>
      </c>
      <c r="M1645" s="1">
        <v>109</v>
      </c>
      <c r="N1645" s="1" t="s">
        <v>39</v>
      </c>
      <c r="O1645" s="1">
        <v>35.431699999999999</v>
      </c>
      <c r="P1645" s="1">
        <v>-81.034700000000001</v>
      </c>
      <c r="Q1645" s="1" t="s">
        <v>4007</v>
      </c>
      <c r="R1645" s="1" t="s">
        <v>41</v>
      </c>
      <c r="T1645" s="1" t="s">
        <v>93</v>
      </c>
      <c r="U1645" s="1" t="s">
        <v>94</v>
      </c>
      <c r="V1645" s="1" t="s">
        <v>284</v>
      </c>
      <c r="X1645" s="1" t="s">
        <v>95</v>
      </c>
      <c r="AA1645" s="3">
        <v>35004</v>
      </c>
      <c r="AB1645" s="1" t="s">
        <v>46</v>
      </c>
      <c r="AC1645" s="5">
        <v>1446</v>
      </c>
      <c r="AD1645" s="1" t="s">
        <v>4016</v>
      </c>
      <c r="AE1645" s="1" t="str">
        <f t="shared" si="124"/>
        <v>7277 9</v>
      </c>
      <c r="AF1645" s="5" t="str">
        <f t="shared" si="125"/>
        <v>102</v>
      </c>
      <c r="AG1645" s="1" t="str">
        <f t="shared" si="123"/>
        <v/>
      </c>
    </row>
    <row r="1646" spans="1:33" x14ac:dyDescent="0.2">
      <c r="A1646" s="1" t="s">
        <v>1153</v>
      </c>
      <c r="B1646" s="1" t="s">
        <v>4005</v>
      </c>
      <c r="C1646" s="1">
        <v>7277</v>
      </c>
      <c r="D1646" s="1">
        <v>10</v>
      </c>
      <c r="F1646" s="1">
        <v>2023</v>
      </c>
      <c r="G1646" s="1" t="s">
        <v>2319</v>
      </c>
      <c r="H1646" s="1" t="s">
        <v>2320</v>
      </c>
      <c r="I1646" s="1">
        <v>4</v>
      </c>
      <c r="K1646" s="1" t="s">
        <v>3267</v>
      </c>
      <c r="L1646" s="1" t="s">
        <v>4006</v>
      </c>
      <c r="M1646" s="1">
        <v>109</v>
      </c>
      <c r="N1646" s="1" t="s">
        <v>39</v>
      </c>
      <c r="O1646" s="1">
        <v>35.431699999999999</v>
      </c>
      <c r="P1646" s="1">
        <v>-81.034700000000001</v>
      </c>
      <c r="Q1646" s="1" t="s">
        <v>4007</v>
      </c>
      <c r="R1646" s="1" t="s">
        <v>41</v>
      </c>
      <c r="T1646" s="1" t="s">
        <v>93</v>
      </c>
      <c r="U1646" s="1" t="s">
        <v>94</v>
      </c>
      <c r="V1646" s="1" t="s">
        <v>284</v>
      </c>
      <c r="X1646" s="1" t="s">
        <v>95</v>
      </c>
      <c r="AA1646" s="3">
        <v>35004</v>
      </c>
      <c r="AB1646" s="1" t="s">
        <v>46</v>
      </c>
      <c r="AC1646" s="5">
        <v>1446</v>
      </c>
      <c r="AD1646" s="1" t="s">
        <v>4017</v>
      </c>
      <c r="AE1646" s="1" t="str">
        <f t="shared" si="124"/>
        <v>7277 10</v>
      </c>
      <c r="AF1646" s="5" t="str">
        <f t="shared" si="125"/>
        <v>102</v>
      </c>
      <c r="AG1646" s="1" t="str">
        <f t="shared" si="123"/>
        <v/>
      </c>
    </row>
    <row r="1647" spans="1:33" x14ac:dyDescent="0.2">
      <c r="A1647" s="1" t="s">
        <v>1153</v>
      </c>
      <c r="B1647" s="1" t="s">
        <v>4005</v>
      </c>
      <c r="C1647" s="1">
        <v>7277</v>
      </c>
      <c r="D1647" s="1">
        <v>11</v>
      </c>
      <c r="F1647" s="1">
        <v>2023</v>
      </c>
      <c r="G1647" s="1" t="s">
        <v>2319</v>
      </c>
      <c r="H1647" s="1" t="s">
        <v>2320</v>
      </c>
      <c r="I1647" s="1">
        <v>4</v>
      </c>
      <c r="K1647" s="1" t="s">
        <v>3267</v>
      </c>
      <c r="L1647" s="1" t="s">
        <v>4006</v>
      </c>
      <c r="M1647" s="1">
        <v>109</v>
      </c>
      <c r="N1647" s="1" t="s">
        <v>39</v>
      </c>
      <c r="O1647" s="1">
        <v>35.431699999999999</v>
      </c>
      <c r="P1647" s="1">
        <v>-81.034700000000001</v>
      </c>
      <c r="Q1647" s="1" t="s">
        <v>4007</v>
      </c>
      <c r="R1647" s="1" t="s">
        <v>41</v>
      </c>
      <c r="T1647" s="1" t="s">
        <v>93</v>
      </c>
      <c r="U1647" s="1" t="s">
        <v>94</v>
      </c>
      <c r="V1647" s="1" t="s">
        <v>284</v>
      </c>
      <c r="X1647" s="1" t="s">
        <v>95</v>
      </c>
      <c r="AA1647" s="3">
        <v>35004</v>
      </c>
      <c r="AB1647" s="1" t="s">
        <v>46</v>
      </c>
      <c r="AC1647" s="5">
        <v>1446</v>
      </c>
      <c r="AD1647" s="1" t="s">
        <v>4018</v>
      </c>
      <c r="AE1647" s="1" t="str">
        <f t="shared" si="124"/>
        <v>7277 11</v>
      </c>
      <c r="AF1647" s="5" t="str">
        <f t="shared" si="125"/>
        <v>102</v>
      </c>
      <c r="AG1647" s="1" t="str">
        <f t="shared" si="123"/>
        <v/>
      </c>
    </row>
    <row r="1648" spans="1:33" x14ac:dyDescent="0.2">
      <c r="A1648" s="1" t="s">
        <v>1153</v>
      </c>
      <c r="B1648" s="1" t="s">
        <v>4005</v>
      </c>
      <c r="C1648" s="1">
        <v>7277</v>
      </c>
      <c r="D1648" s="1">
        <v>12</v>
      </c>
      <c r="F1648" s="1">
        <v>2023</v>
      </c>
      <c r="G1648" s="1" t="s">
        <v>2319</v>
      </c>
      <c r="H1648" s="1" t="s">
        <v>2320</v>
      </c>
      <c r="I1648" s="1">
        <v>4</v>
      </c>
      <c r="K1648" s="1" t="s">
        <v>3267</v>
      </c>
      <c r="L1648" s="1" t="s">
        <v>4006</v>
      </c>
      <c r="M1648" s="1">
        <v>109</v>
      </c>
      <c r="N1648" s="1" t="s">
        <v>39</v>
      </c>
      <c r="O1648" s="1">
        <v>35.431699999999999</v>
      </c>
      <c r="P1648" s="1">
        <v>-81.034700000000001</v>
      </c>
      <c r="Q1648" s="1" t="s">
        <v>4007</v>
      </c>
      <c r="R1648" s="1" t="s">
        <v>41</v>
      </c>
      <c r="T1648" s="1" t="s">
        <v>93</v>
      </c>
      <c r="U1648" s="1" t="s">
        <v>94</v>
      </c>
      <c r="V1648" s="1" t="s">
        <v>284</v>
      </c>
      <c r="X1648" s="1" t="s">
        <v>95</v>
      </c>
      <c r="AA1648" s="3">
        <v>35034</v>
      </c>
      <c r="AB1648" s="1" t="s">
        <v>46</v>
      </c>
      <c r="AC1648" s="5">
        <v>1446</v>
      </c>
      <c r="AD1648" s="1" t="s">
        <v>4019</v>
      </c>
      <c r="AE1648" s="1" t="str">
        <f t="shared" si="124"/>
        <v>7277 12</v>
      </c>
      <c r="AF1648" s="5" t="str">
        <f t="shared" si="125"/>
        <v>102</v>
      </c>
      <c r="AG1648" s="1" t="str">
        <f t="shared" si="123"/>
        <v/>
      </c>
    </row>
    <row r="1649" spans="1:33" x14ac:dyDescent="0.2">
      <c r="A1649" s="1" t="s">
        <v>1153</v>
      </c>
      <c r="B1649" s="1" t="s">
        <v>4005</v>
      </c>
      <c r="C1649" s="1">
        <v>7277</v>
      </c>
      <c r="D1649" s="1">
        <v>13</v>
      </c>
      <c r="F1649" s="1">
        <v>2023</v>
      </c>
      <c r="G1649" s="1" t="s">
        <v>2319</v>
      </c>
      <c r="H1649" s="1" t="s">
        <v>2320</v>
      </c>
      <c r="I1649" s="1">
        <v>4</v>
      </c>
      <c r="K1649" s="1" t="s">
        <v>3267</v>
      </c>
      <c r="L1649" s="1" t="s">
        <v>4006</v>
      </c>
      <c r="M1649" s="1">
        <v>109</v>
      </c>
      <c r="N1649" s="1" t="s">
        <v>39</v>
      </c>
      <c r="O1649" s="1">
        <v>35.431699999999999</v>
      </c>
      <c r="P1649" s="1">
        <v>-81.034700000000001</v>
      </c>
      <c r="Q1649" s="1" t="s">
        <v>4007</v>
      </c>
      <c r="R1649" s="1" t="s">
        <v>41</v>
      </c>
      <c r="T1649" s="1" t="s">
        <v>93</v>
      </c>
      <c r="U1649" s="1" t="s">
        <v>94</v>
      </c>
      <c r="V1649" s="1" t="s">
        <v>284</v>
      </c>
      <c r="X1649" s="1" t="s">
        <v>95</v>
      </c>
      <c r="AA1649" s="3">
        <v>35096</v>
      </c>
      <c r="AB1649" s="1" t="s">
        <v>46</v>
      </c>
      <c r="AC1649" s="5">
        <v>1446</v>
      </c>
      <c r="AD1649" s="1" t="s">
        <v>4020</v>
      </c>
      <c r="AE1649" s="1" t="str">
        <f t="shared" si="124"/>
        <v>7277 13</v>
      </c>
      <c r="AF1649" s="5" t="str">
        <f t="shared" si="125"/>
        <v>102</v>
      </c>
      <c r="AG1649" s="1" t="str">
        <f t="shared" si="123"/>
        <v/>
      </c>
    </row>
    <row r="1650" spans="1:33" x14ac:dyDescent="0.2">
      <c r="A1650" s="1" t="s">
        <v>1153</v>
      </c>
      <c r="B1650" s="1" t="s">
        <v>4005</v>
      </c>
      <c r="C1650" s="1">
        <v>7277</v>
      </c>
      <c r="D1650" s="1">
        <v>14</v>
      </c>
      <c r="F1650" s="1">
        <v>2023</v>
      </c>
      <c r="G1650" s="1" t="s">
        <v>2319</v>
      </c>
      <c r="H1650" s="1" t="s">
        <v>2320</v>
      </c>
      <c r="I1650" s="1">
        <v>4</v>
      </c>
      <c r="K1650" s="1" t="s">
        <v>3267</v>
      </c>
      <c r="L1650" s="1" t="s">
        <v>4006</v>
      </c>
      <c r="M1650" s="1">
        <v>109</v>
      </c>
      <c r="N1650" s="1" t="s">
        <v>39</v>
      </c>
      <c r="O1650" s="1">
        <v>35.431699999999999</v>
      </c>
      <c r="P1650" s="1">
        <v>-81.034700000000001</v>
      </c>
      <c r="Q1650" s="1" t="s">
        <v>4007</v>
      </c>
      <c r="R1650" s="1" t="s">
        <v>41</v>
      </c>
      <c r="T1650" s="1" t="s">
        <v>93</v>
      </c>
      <c r="U1650" s="1" t="s">
        <v>94</v>
      </c>
      <c r="V1650" s="1" t="s">
        <v>284</v>
      </c>
      <c r="X1650" s="1" t="s">
        <v>95</v>
      </c>
      <c r="AA1650" s="3">
        <v>35096</v>
      </c>
      <c r="AB1650" s="1" t="s">
        <v>46</v>
      </c>
      <c r="AC1650" s="5">
        <v>1446</v>
      </c>
      <c r="AD1650" s="1" t="s">
        <v>4021</v>
      </c>
      <c r="AE1650" s="1" t="str">
        <f t="shared" si="124"/>
        <v>7277 14</v>
      </c>
      <c r="AF1650" s="5" t="str">
        <f t="shared" si="125"/>
        <v>102</v>
      </c>
      <c r="AG1650" s="1" t="str">
        <f t="shared" si="123"/>
        <v/>
      </c>
    </row>
    <row r="1651" spans="1:33" x14ac:dyDescent="0.2">
      <c r="A1651" s="1" t="s">
        <v>1153</v>
      </c>
      <c r="B1651" s="1" t="s">
        <v>4005</v>
      </c>
      <c r="C1651" s="1">
        <v>7277</v>
      </c>
      <c r="D1651" s="1">
        <v>15</v>
      </c>
      <c r="F1651" s="1">
        <v>2023</v>
      </c>
      <c r="G1651" s="1" t="s">
        <v>2319</v>
      </c>
      <c r="H1651" s="1" t="s">
        <v>2320</v>
      </c>
      <c r="I1651" s="1">
        <v>4</v>
      </c>
      <c r="K1651" s="1" t="s">
        <v>3267</v>
      </c>
      <c r="L1651" s="1" t="s">
        <v>4006</v>
      </c>
      <c r="M1651" s="1">
        <v>109</v>
      </c>
      <c r="N1651" s="1" t="s">
        <v>39</v>
      </c>
      <c r="O1651" s="1">
        <v>35.431699999999999</v>
      </c>
      <c r="P1651" s="1">
        <v>-81.034700000000001</v>
      </c>
      <c r="Q1651" s="1" t="s">
        <v>4007</v>
      </c>
      <c r="R1651" s="1" t="s">
        <v>41</v>
      </c>
      <c r="T1651" s="1" t="s">
        <v>93</v>
      </c>
      <c r="U1651" s="1" t="s">
        <v>94</v>
      </c>
      <c r="V1651" s="1" t="s">
        <v>284</v>
      </c>
      <c r="X1651" s="1" t="s">
        <v>95</v>
      </c>
      <c r="AA1651" s="3">
        <v>35125</v>
      </c>
      <c r="AB1651" s="1" t="s">
        <v>46</v>
      </c>
      <c r="AC1651" s="5">
        <v>1446</v>
      </c>
      <c r="AD1651" s="1" t="s">
        <v>4022</v>
      </c>
      <c r="AE1651" s="1" t="str">
        <f t="shared" si="124"/>
        <v>7277 15</v>
      </c>
      <c r="AF1651" s="5" t="str">
        <f t="shared" si="125"/>
        <v>102</v>
      </c>
      <c r="AG1651" s="1" t="str">
        <f t="shared" si="123"/>
        <v/>
      </c>
    </row>
    <row r="1652" spans="1:33" x14ac:dyDescent="0.2">
      <c r="A1652" s="1" t="s">
        <v>1153</v>
      </c>
      <c r="B1652" s="1" t="s">
        <v>4005</v>
      </c>
      <c r="C1652" s="1">
        <v>7277</v>
      </c>
      <c r="D1652" s="1">
        <v>16</v>
      </c>
      <c r="F1652" s="1">
        <v>2023</v>
      </c>
      <c r="G1652" s="1" t="s">
        <v>2319</v>
      </c>
      <c r="H1652" s="1" t="s">
        <v>2320</v>
      </c>
      <c r="I1652" s="1">
        <v>4</v>
      </c>
      <c r="K1652" s="1" t="s">
        <v>3267</v>
      </c>
      <c r="L1652" s="1" t="s">
        <v>4006</v>
      </c>
      <c r="M1652" s="1">
        <v>109</v>
      </c>
      <c r="N1652" s="1" t="s">
        <v>39</v>
      </c>
      <c r="O1652" s="1">
        <v>35.431699999999999</v>
      </c>
      <c r="P1652" s="1">
        <v>-81.034700000000001</v>
      </c>
      <c r="Q1652" s="1" t="s">
        <v>4007</v>
      </c>
      <c r="R1652" s="1" t="s">
        <v>41</v>
      </c>
      <c r="T1652" s="1" t="s">
        <v>93</v>
      </c>
      <c r="U1652" s="1" t="s">
        <v>94</v>
      </c>
      <c r="V1652" s="1" t="s">
        <v>284</v>
      </c>
      <c r="X1652" s="1" t="s">
        <v>95</v>
      </c>
      <c r="AA1652" s="3">
        <v>35125</v>
      </c>
      <c r="AB1652" s="1" t="s">
        <v>46</v>
      </c>
      <c r="AC1652" s="5">
        <v>1446</v>
      </c>
      <c r="AD1652" s="1" t="s">
        <v>4023</v>
      </c>
      <c r="AE1652" s="1" t="str">
        <f t="shared" si="124"/>
        <v>7277 16</v>
      </c>
      <c r="AF1652" s="5" t="str">
        <f t="shared" si="125"/>
        <v>102</v>
      </c>
      <c r="AG1652" s="1" t="str">
        <f t="shared" si="123"/>
        <v/>
      </c>
    </row>
    <row r="1653" spans="1:33" x14ac:dyDescent="0.2">
      <c r="A1653" s="1" t="s">
        <v>1153</v>
      </c>
      <c r="B1653" s="1" t="s">
        <v>4005</v>
      </c>
      <c r="C1653" s="1">
        <v>7277</v>
      </c>
      <c r="D1653" s="1">
        <v>17</v>
      </c>
      <c r="F1653" s="1">
        <v>2023</v>
      </c>
      <c r="G1653" s="1" t="s">
        <v>2326</v>
      </c>
      <c r="H1653" s="1" t="s">
        <v>2320</v>
      </c>
      <c r="I1653" s="1">
        <v>4</v>
      </c>
      <c r="K1653" s="1" t="s">
        <v>3267</v>
      </c>
      <c r="L1653" s="1" t="s">
        <v>4006</v>
      </c>
      <c r="M1653" s="1">
        <v>109</v>
      </c>
      <c r="N1653" s="1" t="s">
        <v>39</v>
      </c>
      <c r="O1653" s="1">
        <v>35.431699999999999</v>
      </c>
      <c r="P1653" s="1">
        <v>-81.034700000000001</v>
      </c>
      <c r="Q1653" s="1" t="s">
        <v>4007</v>
      </c>
      <c r="R1653" s="1" t="s">
        <v>41</v>
      </c>
      <c r="T1653" s="1" t="s">
        <v>93</v>
      </c>
      <c r="U1653" s="1" t="s">
        <v>284</v>
      </c>
      <c r="V1653" s="1" t="s">
        <v>94</v>
      </c>
      <c r="X1653" s="1" t="s">
        <v>64</v>
      </c>
      <c r="AA1653" s="3">
        <v>43959</v>
      </c>
      <c r="AB1653" s="1" t="s">
        <v>46</v>
      </c>
      <c r="AC1653" s="5">
        <v>3915</v>
      </c>
      <c r="AD1653" s="1" t="s">
        <v>4024</v>
      </c>
      <c r="AE1653" s="1" t="str">
        <f t="shared" si="124"/>
        <v>7277 17</v>
      </c>
      <c r="AF1653" s="5" t="str">
        <f t="shared" si="125"/>
        <v>571</v>
      </c>
      <c r="AG1653" s="1" t="str">
        <f t="shared" si="123"/>
        <v>Y</v>
      </c>
    </row>
    <row r="1654" spans="1:33" x14ac:dyDescent="0.2">
      <c r="A1654" s="1" t="s">
        <v>1980</v>
      </c>
      <c r="B1654" s="1" t="s">
        <v>4025</v>
      </c>
      <c r="C1654" s="1">
        <v>7288</v>
      </c>
      <c r="D1654" s="1">
        <v>1</v>
      </c>
      <c r="F1654" s="1">
        <v>2023</v>
      </c>
      <c r="G1654" s="1" t="s">
        <v>1515</v>
      </c>
      <c r="H1654" s="1">
        <v>1277</v>
      </c>
      <c r="I1654" s="1">
        <v>2</v>
      </c>
      <c r="J1654" s="1" t="s">
        <v>668</v>
      </c>
      <c r="K1654" s="1" t="s">
        <v>1158</v>
      </c>
      <c r="L1654" s="1" t="s">
        <v>1982</v>
      </c>
      <c r="M1654" s="1">
        <v>11</v>
      </c>
      <c r="N1654" s="1" t="s">
        <v>39</v>
      </c>
      <c r="O1654" s="1">
        <v>39.451000000000001</v>
      </c>
      <c r="P1654" s="1">
        <v>-75.0578</v>
      </c>
      <c r="Q1654" s="1" t="s">
        <v>1983</v>
      </c>
      <c r="R1654" s="1" t="s">
        <v>41</v>
      </c>
      <c r="T1654" s="1" t="s">
        <v>93</v>
      </c>
      <c r="U1654" s="1" t="s">
        <v>44</v>
      </c>
      <c r="V1654" s="1" t="s">
        <v>94</v>
      </c>
      <c r="X1654" s="1" t="s">
        <v>95</v>
      </c>
      <c r="AA1654" s="3">
        <v>33359</v>
      </c>
      <c r="AB1654" s="1" t="s">
        <v>46</v>
      </c>
      <c r="AC1654" s="5">
        <v>1210</v>
      </c>
      <c r="AD1654" s="1" t="s">
        <v>4026</v>
      </c>
      <c r="AE1654" s="1" t="str">
        <f t="shared" si="124"/>
        <v>7288 1</v>
      </c>
      <c r="AF1654" s="5" t="str">
        <f t="shared" si="125"/>
        <v>112.8</v>
      </c>
      <c r="AG1654" s="1" t="str">
        <f t="shared" si="123"/>
        <v/>
      </c>
    </row>
    <row r="1655" spans="1:33" x14ac:dyDescent="0.2">
      <c r="A1655" s="1" t="s">
        <v>1755</v>
      </c>
      <c r="B1655" s="1" t="s">
        <v>4027</v>
      </c>
      <c r="C1655" s="1">
        <v>7296</v>
      </c>
      <c r="D1655" s="1">
        <v>1</v>
      </c>
      <c r="F1655" s="1">
        <v>2023</v>
      </c>
      <c r="G1655" s="1" t="s">
        <v>1207</v>
      </c>
      <c r="H1655" s="1" t="s">
        <v>1274</v>
      </c>
      <c r="I1655" s="1">
        <v>7</v>
      </c>
      <c r="K1655" s="1" t="s">
        <v>3326</v>
      </c>
      <c r="L1655" s="1" t="s">
        <v>3697</v>
      </c>
      <c r="M1655" s="1">
        <v>97</v>
      </c>
      <c r="N1655" s="1" t="s">
        <v>39</v>
      </c>
      <c r="O1655" s="1">
        <v>37.065899999999999</v>
      </c>
      <c r="P1655" s="1">
        <v>-94.614000000000004</v>
      </c>
      <c r="Q1655" s="1" t="s">
        <v>1277</v>
      </c>
      <c r="R1655" s="1" t="s">
        <v>41</v>
      </c>
      <c r="T1655" s="1" t="s">
        <v>93</v>
      </c>
      <c r="U1655" s="1" t="s">
        <v>44</v>
      </c>
      <c r="V1655" s="1" t="s">
        <v>94</v>
      </c>
      <c r="X1655" s="1" t="s">
        <v>183</v>
      </c>
      <c r="AA1655" s="3">
        <v>36526</v>
      </c>
      <c r="AB1655" s="1" t="s">
        <v>46</v>
      </c>
      <c r="AC1655" s="5">
        <v>1350</v>
      </c>
      <c r="AD1655" s="1" t="s">
        <v>4028</v>
      </c>
      <c r="AE1655" s="1" t="str">
        <f t="shared" si="124"/>
        <v>7296 1</v>
      </c>
      <c r="AF1655" s="5" t="str">
        <f t="shared" si="125"/>
        <v>123</v>
      </c>
      <c r="AG1655" s="1" t="str">
        <f t="shared" si="123"/>
        <v/>
      </c>
    </row>
    <row r="1656" spans="1:33" x14ac:dyDescent="0.2">
      <c r="A1656" s="1" t="s">
        <v>1755</v>
      </c>
      <c r="B1656" s="1" t="s">
        <v>4027</v>
      </c>
      <c r="C1656" s="1">
        <v>7296</v>
      </c>
      <c r="D1656" s="2">
        <v>45323</v>
      </c>
      <c r="F1656" s="1">
        <v>2023</v>
      </c>
      <c r="G1656" s="1" t="s">
        <v>1207</v>
      </c>
      <c r="H1656" s="1" t="s">
        <v>1274</v>
      </c>
      <c r="I1656" s="1">
        <v>7</v>
      </c>
      <c r="K1656" s="1" t="s">
        <v>3326</v>
      </c>
      <c r="L1656" s="1" t="s">
        <v>3697</v>
      </c>
      <c r="M1656" s="1">
        <v>97</v>
      </c>
      <c r="N1656" s="1" t="s">
        <v>39</v>
      </c>
      <c r="O1656" s="1">
        <v>37.065899999999999</v>
      </c>
      <c r="P1656" s="1">
        <v>-94.614000000000004</v>
      </c>
      <c r="Q1656" s="1" t="s">
        <v>4029</v>
      </c>
      <c r="R1656" s="1" t="s">
        <v>41</v>
      </c>
      <c r="T1656" s="1" t="s">
        <v>71</v>
      </c>
      <c r="U1656" s="1" t="s">
        <v>44</v>
      </c>
      <c r="X1656" s="1" t="s">
        <v>223</v>
      </c>
      <c r="AA1656" s="3">
        <v>36770</v>
      </c>
      <c r="AB1656" s="1" t="s">
        <v>46</v>
      </c>
      <c r="AC1656" s="5">
        <v>2045</v>
      </c>
      <c r="AD1656" s="1" t="s">
        <v>4030</v>
      </c>
      <c r="AE1656" s="1" t="str">
        <f t="shared" si="124"/>
        <v>7296 45323</v>
      </c>
      <c r="AF1656" s="14">
        <f>MID(AD1656,FIND("(",AD1656)+1,FIND(")",AD1656)-FIND("(",AD1656)-1)+206.5/2</f>
        <v>284.25</v>
      </c>
      <c r="AG1656" s="1" t="str">
        <f t="shared" si="123"/>
        <v>Y</v>
      </c>
    </row>
    <row r="1657" spans="1:33" x14ac:dyDescent="0.2">
      <c r="A1657" s="1" t="s">
        <v>1755</v>
      </c>
      <c r="B1657" s="1" t="s">
        <v>4027</v>
      </c>
      <c r="C1657" s="1">
        <v>7296</v>
      </c>
      <c r="D1657" s="2">
        <v>45324</v>
      </c>
      <c r="F1657" s="1">
        <v>2023</v>
      </c>
      <c r="G1657" s="1" t="s">
        <v>1207</v>
      </c>
      <c r="H1657" s="1" t="s">
        <v>1274</v>
      </c>
      <c r="I1657" s="1">
        <v>7</v>
      </c>
      <c r="K1657" s="1" t="s">
        <v>3326</v>
      </c>
      <c r="L1657" s="1" t="s">
        <v>3697</v>
      </c>
      <c r="M1657" s="1">
        <v>97</v>
      </c>
      <c r="N1657" s="1" t="s">
        <v>39</v>
      </c>
      <c r="O1657" s="1">
        <v>37.065899999999999</v>
      </c>
      <c r="P1657" s="1">
        <v>-94.614000000000004</v>
      </c>
      <c r="Q1657" s="1" t="s">
        <v>4029</v>
      </c>
      <c r="R1657" s="1" t="s">
        <v>41</v>
      </c>
      <c r="T1657" s="1" t="s">
        <v>71</v>
      </c>
      <c r="U1657" s="1" t="s">
        <v>44</v>
      </c>
      <c r="X1657" s="1" t="s">
        <v>223</v>
      </c>
      <c r="AA1657" s="3">
        <v>36526</v>
      </c>
      <c r="AB1657" s="1" t="s">
        <v>46</v>
      </c>
      <c r="AC1657" s="5">
        <v>2045</v>
      </c>
      <c r="AD1657" s="1" t="s">
        <v>4031</v>
      </c>
      <c r="AE1657" s="1" t="str">
        <f t="shared" si="124"/>
        <v>7296 45324</v>
      </c>
      <c r="AF1657" s="14">
        <f>AF1656</f>
        <v>284.25</v>
      </c>
      <c r="AG1657" s="1" t="str">
        <f t="shared" si="123"/>
        <v>Y</v>
      </c>
    </row>
    <row r="1658" spans="1:33" x14ac:dyDescent="0.2">
      <c r="A1658" s="1" t="s">
        <v>304</v>
      </c>
      <c r="B1658" s="1" t="s">
        <v>4032</v>
      </c>
      <c r="C1658" s="1">
        <v>7302</v>
      </c>
      <c r="D1658" s="1" t="s">
        <v>372</v>
      </c>
      <c r="F1658" s="1">
        <v>2023</v>
      </c>
      <c r="G1658" s="1" t="s">
        <v>247</v>
      </c>
      <c r="H1658" s="1">
        <v>610088</v>
      </c>
      <c r="I1658" s="1">
        <v>4</v>
      </c>
      <c r="J1658" s="1" t="s">
        <v>796</v>
      </c>
      <c r="K1658" s="1" t="s">
        <v>896</v>
      </c>
      <c r="L1658" s="1" t="s">
        <v>897</v>
      </c>
      <c r="M1658" s="1">
        <v>105</v>
      </c>
      <c r="N1658" s="1" t="s">
        <v>39</v>
      </c>
      <c r="O1658" s="1">
        <v>27.788599999999999</v>
      </c>
      <c r="P1658" s="1">
        <v>-81.869399999999999</v>
      </c>
      <c r="Q1658" s="1" t="s">
        <v>799</v>
      </c>
      <c r="R1658" s="1" t="s">
        <v>41</v>
      </c>
      <c r="T1658" s="1" t="s">
        <v>71</v>
      </c>
      <c r="U1658" s="1" t="s">
        <v>44</v>
      </c>
      <c r="V1658" s="1" t="s">
        <v>94</v>
      </c>
      <c r="X1658" s="1" t="s">
        <v>64</v>
      </c>
      <c r="AA1658" s="3">
        <v>36020</v>
      </c>
      <c r="AB1658" s="1" t="s">
        <v>46</v>
      </c>
      <c r="AC1658" s="5">
        <v>2050</v>
      </c>
      <c r="AD1658" s="1" t="s">
        <v>4033</v>
      </c>
      <c r="AE1658" s="1" t="str">
        <f t="shared" si="124"/>
        <v>7302 1A</v>
      </c>
      <c r="AF1658" s="14">
        <f>AF1659</f>
        <v>273.3</v>
      </c>
      <c r="AG1658" s="1" t="str">
        <f t="shared" si="123"/>
        <v>Y</v>
      </c>
    </row>
    <row r="1659" spans="1:33" x14ac:dyDescent="0.2">
      <c r="A1659" s="1" t="s">
        <v>304</v>
      </c>
      <c r="B1659" s="1" t="s">
        <v>4032</v>
      </c>
      <c r="C1659" s="1">
        <v>7302</v>
      </c>
      <c r="D1659" s="1" t="s">
        <v>1199</v>
      </c>
      <c r="F1659" s="1">
        <v>2023</v>
      </c>
      <c r="G1659" s="1" t="s">
        <v>247</v>
      </c>
      <c r="H1659" s="1">
        <v>610088</v>
      </c>
      <c r="I1659" s="1">
        <v>4</v>
      </c>
      <c r="J1659" s="1" t="s">
        <v>796</v>
      </c>
      <c r="K1659" s="1" t="s">
        <v>896</v>
      </c>
      <c r="L1659" s="1" t="s">
        <v>897</v>
      </c>
      <c r="M1659" s="1">
        <v>105</v>
      </c>
      <c r="N1659" s="1" t="s">
        <v>39</v>
      </c>
      <c r="O1659" s="1">
        <v>27.788599999999999</v>
      </c>
      <c r="P1659" s="1">
        <v>-81.869399999999999</v>
      </c>
      <c r="Q1659" s="1" t="s">
        <v>799</v>
      </c>
      <c r="R1659" s="1" t="s">
        <v>41</v>
      </c>
      <c r="T1659" s="1" t="s">
        <v>71</v>
      </c>
      <c r="U1659" s="1" t="s">
        <v>44</v>
      </c>
      <c r="V1659" s="1" t="s">
        <v>94</v>
      </c>
      <c r="X1659" s="1" t="s">
        <v>64</v>
      </c>
      <c r="AA1659" s="3">
        <v>36016</v>
      </c>
      <c r="AB1659" s="1" t="s">
        <v>46</v>
      </c>
      <c r="AC1659" s="5">
        <v>2050</v>
      </c>
      <c r="AD1659" s="1" t="s">
        <v>4034</v>
      </c>
      <c r="AE1659" s="1" t="str">
        <f t="shared" si="124"/>
        <v>7302 1B</v>
      </c>
      <c r="AF1659" s="14">
        <f>MID(AD1659,FIND("(",AD1659)+1,FIND(")",AD1659)-FIND("(",AD1659)-1)+199.8/2</f>
        <v>273.3</v>
      </c>
      <c r="AG1659" s="1" t="str">
        <f t="shared" si="123"/>
        <v>Y</v>
      </c>
    </row>
    <row r="1660" spans="1:33" x14ac:dyDescent="0.2">
      <c r="A1660" s="1" t="s">
        <v>304</v>
      </c>
      <c r="B1660" s="1" t="s">
        <v>4032</v>
      </c>
      <c r="C1660" s="1">
        <v>7302</v>
      </c>
      <c r="D1660" s="1" t="s">
        <v>377</v>
      </c>
      <c r="F1660" s="1">
        <v>2023</v>
      </c>
      <c r="G1660" s="1" t="s">
        <v>247</v>
      </c>
      <c r="H1660" s="1">
        <v>610088</v>
      </c>
      <c r="I1660" s="1">
        <v>4</v>
      </c>
      <c r="J1660" s="1" t="s">
        <v>796</v>
      </c>
      <c r="K1660" s="1" t="s">
        <v>896</v>
      </c>
      <c r="L1660" s="1" t="s">
        <v>897</v>
      </c>
      <c r="M1660" s="1">
        <v>105</v>
      </c>
      <c r="N1660" s="1" t="s">
        <v>39</v>
      </c>
      <c r="O1660" s="1">
        <v>27.788599999999999</v>
      </c>
      <c r="P1660" s="1">
        <v>-81.869399999999999</v>
      </c>
      <c r="Q1660" s="1" t="s">
        <v>799</v>
      </c>
      <c r="R1660" s="1" t="s">
        <v>41</v>
      </c>
      <c r="T1660" s="1" t="s">
        <v>71</v>
      </c>
      <c r="U1660" s="1" t="s">
        <v>44</v>
      </c>
      <c r="V1660" s="1" t="s">
        <v>94</v>
      </c>
      <c r="X1660" s="1" t="s">
        <v>643</v>
      </c>
      <c r="AA1660" s="3">
        <v>37850</v>
      </c>
      <c r="AB1660" s="1" t="s">
        <v>46</v>
      </c>
      <c r="AC1660" s="5">
        <v>2100</v>
      </c>
      <c r="AD1660" s="1" t="s">
        <v>4035</v>
      </c>
      <c r="AE1660" s="1" t="str">
        <f t="shared" si="124"/>
        <v>7302 2A</v>
      </c>
      <c r="AF1660" s="14">
        <f>AF1661</f>
        <v>285</v>
      </c>
      <c r="AG1660" s="1" t="str">
        <f t="shared" si="123"/>
        <v>Y</v>
      </c>
    </row>
    <row r="1661" spans="1:33" x14ac:dyDescent="0.2">
      <c r="A1661" s="1" t="s">
        <v>304</v>
      </c>
      <c r="B1661" s="1" t="s">
        <v>4032</v>
      </c>
      <c r="C1661" s="1">
        <v>7302</v>
      </c>
      <c r="D1661" s="1" t="s">
        <v>1201</v>
      </c>
      <c r="F1661" s="1">
        <v>2023</v>
      </c>
      <c r="G1661" s="1" t="s">
        <v>247</v>
      </c>
      <c r="H1661" s="1">
        <v>610088</v>
      </c>
      <c r="I1661" s="1">
        <v>4</v>
      </c>
      <c r="J1661" s="1" t="s">
        <v>796</v>
      </c>
      <c r="K1661" s="1" t="s">
        <v>896</v>
      </c>
      <c r="L1661" s="1" t="s">
        <v>897</v>
      </c>
      <c r="M1661" s="1">
        <v>105</v>
      </c>
      <c r="N1661" s="1" t="s">
        <v>39</v>
      </c>
      <c r="O1661" s="1">
        <v>27.788599999999999</v>
      </c>
      <c r="P1661" s="1">
        <v>-81.869399999999999</v>
      </c>
      <c r="Q1661" s="1" t="s">
        <v>799</v>
      </c>
      <c r="R1661" s="1" t="s">
        <v>41</v>
      </c>
      <c r="T1661" s="1" t="s">
        <v>71</v>
      </c>
      <c r="U1661" s="1" t="s">
        <v>44</v>
      </c>
      <c r="V1661" s="1" t="s">
        <v>94</v>
      </c>
      <c r="X1661" s="1" t="s">
        <v>643</v>
      </c>
      <c r="AA1661" s="3">
        <v>37852</v>
      </c>
      <c r="AB1661" s="1" t="s">
        <v>46</v>
      </c>
      <c r="AC1661" s="5">
        <v>2100</v>
      </c>
      <c r="AD1661" s="1" t="s">
        <v>4036</v>
      </c>
      <c r="AE1661" s="1" t="str">
        <f t="shared" si="124"/>
        <v>7302 2B</v>
      </c>
      <c r="AF1661" s="14">
        <f>MID(AD1661,FIND("(",AD1661)+1,FIND(")",AD1661)-FIND("(",AD1661)-1)+190/2</f>
        <v>285</v>
      </c>
      <c r="AG1661" s="1" t="str">
        <f t="shared" si="123"/>
        <v>Y</v>
      </c>
    </row>
    <row r="1662" spans="1:33" x14ac:dyDescent="0.2">
      <c r="A1662" s="1" t="s">
        <v>304</v>
      </c>
      <c r="B1662" s="1" t="s">
        <v>4032</v>
      </c>
      <c r="C1662" s="1">
        <v>7302</v>
      </c>
      <c r="D1662" s="1" t="s">
        <v>379</v>
      </c>
      <c r="F1662" s="1">
        <v>2023</v>
      </c>
      <c r="G1662" s="1" t="s">
        <v>247</v>
      </c>
      <c r="H1662" s="1">
        <v>610088</v>
      </c>
      <c r="I1662" s="1">
        <v>4</v>
      </c>
      <c r="J1662" s="1" t="s">
        <v>796</v>
      </c>
      <c r="K1662" s="1" t="s">
        <v>896</v>
      </c>
      <c r="L1662" s="1" t="s">
        <v>897</v>
      </c>
      <c r="M1662" s="1">
        <v>105</v>
      </c>
      <c r="N1662" s="1" t="s">
        <v>39</v>
      </c>
      <c r="O1662" s="1">
        <v>27.788599999999999</v>
      </c>
      <c r="P1662" s="1">
        <v>-81.869399999999999</v>
      </c>
      <c r="Q1662" s="1" t="s">
        <v>799</v>
      </c>
      <c r="R1662" s="1" t="s">
        <v>41</v>
      </c>
      <c r="T1662" s="1" t="s">
        <v>71</v>
      </c>
      <c r="U1662" s="1" t="s">
        <v>44</v>
      </c>
      <c r="V1662" s="1" t="s">
        <v>94</v>
      </c>
      <c r="X1662" s="1" t="s">
        <v>643</v>
      </c>
      <c r="AA1662" s="3">
        <v>38575</v>
      </c>
      <c r="AB1662" s="1" t="s">
        <v>46</v>
      </c>
      <c r="AC1662" s="5">
        <v>2155</v>
      </c>
      <c r="AD1662" s="1" t="s">
        <v>4037</v>
      </c>
      <c r="AE1662" s="1" t="str">
        <f t="shared" si="124"/>
        <v>7302 3A</v>
      </c>
      <c r="AF1662" s="14">
        <f>AF1663</f>
        <v>302</v>
      </c>
      <c r="AG1662" s="1" t="str">
        <f t="shared" si="123"/>
        <v>Y</v>
      </c>
    </row>
    <row r="1663" spans="1:33" x14ac:dyDescent="0.2">
      <c r="A1663" s="1" t="s">
        <v>304</v>
      </c>
      <c r="B1663" s="1" t="s">
        <v>4032</v>
      </c>
      <c r="C1663" s="1">
        <v>7302</v>
      </c>
      <c r="D1663" s="1" t="s">
        <v>965</v>
      </c>
      <c r="F1663" s="1">
        <v>2023</v>
      </c>
      <c r="G1663" s="1" t="s">
        <v>247</v>
      </c>
      <c r="H1663" s="1">
        <v>610088</v>
      </c>
      <c r="I1663" s="1">
        <v>4</v>
      </c>
      <c r="J1663" s="1" t="s">
        <v>796</v>
      </c>
      <c r="K1663" s="1" t="s">
        <v>896</v>
      </c>
      <c r="L1663" s="1" t="s">
        <v>897</v>
      </c>
      <c r="M1663" s="1">
        <v>105</v>
      </c>
      <c r="N1663" s="1" t="s">
        <v>39</v>
      </c>
      <c r="O1663" s="1">
        <v>27.788599999999999</v>
      </c>
      <c r="P1663" s="1">
        <v>-81.869399999999999</v>
      </c>
      <c r="Q1663" s="1" t="s">
        <v>799</v>
      </c>
      <c r="R1663" s="1" t="s">
        <v>41</v>
      </c>
      <c r="T1663" s="1" t="s">
        <v>71</v>
      </c>
      <c r="U1663" s="1" t="s">
        <v>44</v>
      </c>
      <c r="V1663" s="1" t="s">
        <v>94</v>
      </c>
      <c r="X1663" s="1" t="s">
        <v>643</v>
      </c>
      <c r="AA1663" s="3">
        <v>38576</v>
      </c>
      <c r="AB1663" s="1" t="s">
        <v>46</v>
      </c>
      <c r="AC1663" s="5">
        <v>2155</v>
      </c>
      <c r="AD1663" s="1" t="s">
        <v>4038</v>
      </c>
      <c r="AE1663" s="1" t="str">
        <f t="shared" si="124"/>
        <v>7302 3B</v>
      </c>
      <c r="AF1663" s="14">
        <f>MID(AD1663,FIND("(",AD1663)+1,FIND(")",AD1663)-FIND("(",AD1663)-1)+190/2</f>
        <v>302</v>
      </c>
      <c r="AG1663" s="1" t="str">
        <f t="shared" si="123"/>
        <v>Y</v>
      </c>
    </row>
    <row r="1664" spans="1:33" x14ac:dyDescent="0.2">
      <c r="A1664" s="1" t="s">
        <v>304</v>
      </c>
      <c r="B1664" s="1" t="s">
        <v>4032</v>
      </c>
      <c r="C1664" s="1">
        <v>7302</v>
      </c>
      <c r="D1664" s="1" t="s">
        <v>381</v>
      </c>
      <c r="F1664" s="1">
        <v>2023</v>
      </c>
      <c r="G1664" s="1" t="s">
        <v>247</v>
      </c>
      <c r="H1664" s="1">
        <v>610088</v>
      </c>
      <c r="I1664" s="1">
        <v>4</v>
      </c>
      <c r="J1664" s="1" t="s">
        <v>796</v>
      </c>
      <c r="K1664" s="1" t="s">
        <v>896</v>
      </c>
      <c r="L1664" s="1" t="s">
        <v>897</v>
      </c>
      <c r="M1664" s="1">
        <v>105</v>
      </c>
      <c r="N1664" s="1" t="s">
        <v>39</v>
      </c>
      <c r="O1664" s="1">
        <v>27.788599999999999</v>
      </c>
      <c r="P1664" s="1">
        <v>-81.869399999999999</v>
      </c>
      <c r="Q1664" s="1" t="s">
        <v>799</v>
      </c>
      <c r="R1664" s="1" t="s">
        <v>41</v>
      </c>
      <c r="T1664" s="1" t="s">
        <v>71</v>
      </c>
      <c r="U1664" s="1" t="s">
        <v>44</v>
      </c>
      <c r="V1664" s="1" t="s">
        <v>94</v>
      </c>
      <c r="X1664" s="1" t="s">
        <v>643</v>
      </c>
      <c r="AA1664" s="3">
        <v>39334</v>
      </c>
      <c r="AB1664" s="1" t="s">
        <v>46</v>
      </c>
      <c r="AC1664" s="5">
        <v>2122</v>
      </c>
      <c r="AD1664" s="1" t="s">
        <v>4039</v>
      </c>
      <c r="AE1664" s="1" t="str">
        <f t="shared" si="124"/>
        <v>7302 4A</v>
      </c>
      <c r="AF1664" s="14">
        <f>MID(AD1664,FIND("(",AD1664)+1,FIND(")",AD1664)-FIND("(",AD1664)-1)+190/2</f>
        <v>265</v>
      </c>
      <c r="AG1664" s="1" t="str">
        <f t="shared" si="123"/>
        <v>Y</v>
      </c>
    </row>
    <row r="1665" spans="1:33" x14ac:dyDescent="0.2">
      <c r="A1665" s="1" t="s">
        <v>304</v>
      </c>
      <c r="B1665" s="1" t="s">
        <v>4032</v>
      </c>
      <c r="C1665" s="1">
        <v>7302</v>
      </c>
      <c r="D1665" s="1" t="s">
        <v>815</v>
      </c>
      <c r="F1665" s="1">
        <v>2023</v>
      </c>
      <c r="G1665" s="1" t="s">
        <v>247</v>
      </c>
      <c r="H1665" s="1">
        <v>610088</v>
      </c>
      <c r="I1665" s="1">
        <v>4</v>
      </c>
      <c r="J1665" s="1" t="s">
        <v>796</v>
      </c>
      <c r="K1665" s="1" t="s">
        <v>896</v>
      </c>
      <c r="L1665" s="1" t="s">
        <v>897</v>
      </c>
      <c r="M1665" s="1">
        <v>105</v>
      </c>
      <c r="N1665" s="1" t="s">
        <v>39</v>
      </c>
      <c r="O1665" s="1">
        <v>27.788599999999999</v>
      </c>
      <c r="P1665" s="1">
        <v>-81.869399999999999</v>
      </c>
      <c r="Q1665" s="1" t="s">
        <v>799</v>
      </c>
      <c r="R1665" s="1" t="s">
        <v>41</v>
      </c>
      <c r="T1665" s="1" t="s">
        <v>71</v>
      </c>
      <c r="U1665" s="1" t="s">
        <v>44</v>
      </c>
      <c r="V1665" s="1" t="s">
        <v>94</v>
      </c>
      <c r="X1665" s="1" t="s">
        <v>643</v>
      </c>
      <c r="AA1665" s="3">
        <v>39331</v>
      </c>
      <c r="AB1665" s="1" t="s">
        <v>46</v>
      </c>
      <c r="AC1665" s="5">
        <v>2122</v>
      </c>
      <c r="AD1665" s="1" t="s">
        <v>4040</v>
      </c>
      <c r="AE1665" s="1" t="str">
        <f t="shared" si="124"/>
        <v>7302 4B</v>
      </c>
      <c r="AF1665" s="14">
        <f>AF1664</f>
        <v>265</v>
      </c>
      <c r="AG1665" s="1" t="str">
        <f t="shared" si="123"/>
        <v>Y</v>
      </c>
    </row>
    <row r="1666" spans="1:33" x14ac:dyDescent="0.2">
      <c r="A1666" s="1" t="s">
        <v>370</v>
      </c>
      <c r="B1666" s="1" t="s">
        <v>4041</v>
      </c>
      <c r="C1666" s="1">
        <v>7307</v>
      </c>
      <c r="D1666" s="1">
        <v>5</v>
      </c>
      <c r="F1666" s="1">
        <v>2023</v>
      </c>
      <c r="G1666" s="1" t="s">
        <v>247</v>
      </c>
      <c r="H1666" s="1">
        <v>608776</v>
      </c>
      <c r="I1666" s="1">
        <v>9</v>
      </c>
      <c r="K1666" s="1" t="s">
        <v>4042</v>
      </c>
      <c r="L1666" s="1" t="s">
        <v>4043</v>
      </c>
      <c r="M1666" s="1">
        <v>89</v>
      </c>
      <c r="N1666" s="1" t="s">
        <v>39</v>
      </c>
      <c r="O1666" s="1">
        <v>40.508299999999998</v>
      </c>
      <c r="P1666" s="1">
        <v>-122.42529999999999</v>
      </c>
      <c r="Q1666" s="1" t="s">
        <v>4044</v>
      </c>
      <c r="R1666" s="1" t="s">
        <v>41</v>
      </c>
      <c r="T1666" s="1" t="s">
        <v>71</v>
      </c>
      <c r="U1666" s="1" t="s">
        <v>44</v>
      </c>
      <c r="X1666" s="1" t="s">
        <v>454</v>
      </c>
      <c r="AA1666" s="3">
        <v>37408</v>
      </c>
      <c r="AB1666" s="1" t="s">
        <v>46</v>
      </c>
      <c r="AC1666" s="5">
        <v>508.5</v>
      </c>
      <c r="AD1666" s="1" t="s">
        <v>1978</v>
      </c>
      <c r="AE1666" s="1" t="str">
        <f t="shared" si="124"/>
        <v>7307 5</v>
      </c>
      <c r="AF1666" s="5" t="str">
        <f>MID(AD1666,FIND("(",AD1666)+1,FIND(")",AD1666)-FIND("(",AD1666)-1)</f>
        <v>50</v>
      </c>
      <c r="AG1666" s="1" t="str">
        <f t="shared" ref="AG1666:AG1729" si="126">IF(ISNUMBER(SEARCH("selective", X1666)), "Y", "")</f>
        <v/>
      </c>
    </row>
    <row r="1667" spans="1:33" x14ac:dyDescent="0.2">
      <c r="A1667" s="1" t="s">
        <v>370</v>
      </c>
      <c r="B1667" s="1" t="s">
        <v>4041</v>
      </c>
      <c r="C1667" s="1">
        <v>7307</v>
      </c>
      <c r="D1667" s="1">
        <v>6</v>
      </c>
      <c r="F1667" s="1">
        <v>2023</v>
      </c>
      <c r="G1667" s="1" t="s">
        <v>247</v>
      </c>
      <c r="H1667" s="1">
        <v>608776</v>
      </c>
      <c r="I1667" s="1">
        <v>9</v>
      </c>
      <c r="K1667" s="1" t="s">
        <v>4042</v>
      </c>
      <c r="L1667" s="1" t="s">
        <v>4043</v>
      </c>
      <c r="M1667" s="1">
        <v>89</v>
      </c>
      <c r="N1667" s="1" t="s">
        <v>39</v>
      </c>
      <c r="O1667" s="1">
        <v>40.508299999999998</v>
      </c>
      <c r="P1667" s="1">
        <v>-122.42529999999999</v>
      </c>
      <c r="Q1667" s="1" t="s">
        <v>4044</v>
      </c>
      <c r="R1667" s="1" t="s">
        <v>41</v>
      </c>
      <c r="T1667" s="1" t="s">
        <v>93</v>
      </c>
      <c r="U1667" s="1" t="s">
        <v>44</v>
      </c>
      <c r="X1667" s="1" t="s">
        <v>454</v>
      </c>
      <c r="AA1667" s="3">
        <v>40494</v>
      </c>
      <c r="AB1667" s="1" t="s">
        <v>46</v>
      </c>
      <c r="AC1667" s="5">
        <v>508</v>
      </c>
      <c r="AD1667" s="1" t="s">
        <v>1979</v>
      </c>
      <c r="AE1667" s="1" t="str">
        <f t="shared" ref="AE1667:AE1730" si="127">C1667&amp;" "&amp;D1667</f>
        <v>7307 6</v>
      </c>
      <c r="AF1667" s="5" t="str">
        <f>MID(AD1667,FIND("(",AD1667)+1,FIND(")",AD1667)-FIND("(",AD1667)-1)</f>
        <v>50</v>
      </c>
      <c r="AG1667" s="1" t="str">
        <f t="shared" si="126"/>
        <v/>
      </c>
    </row>
    <row r="1668" spans="1:33" x14ac:dyDescent="0.2">
      <c r="A1668" s="1" t="s">
        <v>2089</v>
      </c>
      <c r="B1668" s="1" t="s">
        <v>4045</v>
      </c>
      <c r="C1668" s="1">
        <v>7314</v>
      </c>
      <c r="D1668" s="1">
        <v>1</v>
      </c>
      <c r="F1668" s="1">
        <v>2023</v>
      </c>
      <c r="G1668" s="1" t="s">
        <v>1515</v>
      </c>
      <c r="H1668" s="1">
        <v>605253</v>
      </c>
      <c r="I1668" s="1">
        <v>2</v>
      </c>
      <c r="J1668" s="1" t="s">
        <v>580</v>
      </c>
      <c r="K1668" s="1" t="s">
        <v>2257</v>
      </c>
      <c r="L1668" s="1" t="s">
        <v>2258</v>
      </c>
      <c r="M1668" s="1">
        <v>103</v>
      </c>
      <c r="N1668" s="1" t="s">
        <v>39</v>
      </c>
      <c r="O1668" s="1">
        <v>40.815300000000001</v>
      </c>
      <c r="P1668" s="1">
        <v>-73.064400000000006</v>
      </c>
      <c r="Q1668" s="1" t="s">
        <v>4046</v>
      </c>
      <c r="R1668" s="1" t="s">
        <v>41</v>
      </c>
      <c r="T1668" s="1" t="s">
        <v>71</v>
      </c>
      <c r="U1668" s="1" t="s">
        <v>44</v>
      </c>
      <c r="V1668" s="1" t="s">
        <v>94</v>
      </c>
      <c r="X1668" s="1" t="s">
        <v>140</v>
      </c>
      <c r="AA1668" s="3">
        <v>34425</v>
      </c>
      <c r="AB1668" s="1" t="s">
        <v>46</v>
      </c>
      <c r="AC1668" s="5">
        <v>1325</v>
      </c>
      <c r="AD1668" s="1" t="s">
        <v>4047</v>
      </c>
      <c r="AE1668" s="1" t="str">
        <f t="shared" si="127"/>
        <v>7314 1</v>
      </c>
      <c r="AF1668" s="14">
        <f>MID(AD1668,FIND("(",AD1668)+1,FIND(")",AD1668)-FIND("(",AD1668)-1)+56</f>
        <v>164</v>
      </c>
      <c r="AG1668" s="1" t="str">
        <f t="shared" si="126"/>
        <v/>
      </c>
    </row>
    <row r="1669" spans="1:33" x14ac:dyDescent="0.2">
      <c r="A1669" s="1" t="s">
        <v>370</v>
      </c>
      <c r="B1669" s="1" t="s">
        <v>4048</v>
      </c>
      <c r="C1669" s="1">
        <v>7315</v>
      </c>
      <c r="D1669" s="1">
        <v>1</v>
      </c>
      <c r="F1669" s="1">
        <v>2023</v>
      </c>
      <c r="G1669" s="1" t="s">
        <v>247</v>
      </c>
      <c r="H1669" s="1">
        <v>609358</v>
      </c>
      <c r="I1669" s="1">
        <v>9</v>
      </c>
      <c r="J1669" s="1" t="s">
        <v>237</v>
      </c>
      <c r="K1669" s="1" t="s">
        <v>3996</v>
      </c>
      <c r="L1669" s="1" t="s">
        <v>3997</v>
      </c>
      <c r="M1669" s="1">
        <v>99</v>
      </c>
      <c r="N1669" s="1" t="s">
        <v>39</v>
      </c>
      <c r="O1669" s="1">
        <v>37.573900000000002</v>
      </c>
      <c r="P1669" s="1">
        <v>-120.9854</v>
      </c>
      <c r="Q1669" s="1" t="s">
        <v>4049</v>
      </c>
      <c r="R1669" s="1" t="s">
        <v>41</v>
      </c>
      <c r="T1669" s="1" t="s">
        <v>93</v>
      </c>
      <c r="U1669" s="1" t="s">
        <v>44</v>
      </c>
      <c r="X1669" s="1" t="s">
        <v>4050</v>
      </c>
      <c r="AA1669" s="3">
        <v>35163</v>
      </c>
      <c r="AB1669" s="1" t="s">
        <v>46</v>
      </c>
      <c r="AC1669" s="5">
        <v>459</v>
      </c>
      <c r="AD1669" s="1" t="s">
        <v>4051</v>
      </c>
      <c r="AE1669" s="1" t="str">
        <f t="shared" si="127"/>
        <v>7315 1</v>
      </c>
      <c r="AF1669" s="5" t="str">
        <f t="shared" ref="AF1669:AF1684" si="128">MID(AD1669,FIND("(",AD1669)+1,FIND(")",AD1669)-FIND("(",AD1669)-1)</f>
        <v>55</v>
      </c>
      <c r="AG1669" s="1" t="str">
        <f t="shared" si="126"/>
        <v>Y</v>
      </c>
    </row>
    <row r="1670" spans="1:33" x14ac:dyDescent="0.2">
      <c r="A1670" s="1" t="s">
        <v>370</v>
      </c>
      <c r="B1670" s="1" t="s">
        <v>4048</v>
      </c>
      <c r="C1670" s="1">
        <v>7315</v>
      </c>
      <c r="D1670" s="1">
        <v>2</v>
      </c>
      <c r="F1670" s="1">
        <v>2023</v>
      </c>
      <c r="G1670" s="1" t="s">
        <v>247</v>
      </c>
      <c r="H1670" s="1">
        <v>609358</v>
      </c>
      <c r="I1670" s="1">
        <v>9</v>
      </c>
      <c r="J1670" s="1" t="s">
        <v>237</v>
      </c>
      <c r="K1670" s="1" t="s">
        <v>3996</v>
      </c>
      <c r="L1670" s="1" t="s">
        <v>3997</v>
      </c>
      <c r="M1670" s="1">
        <v>99</v>
      </c>
      <c r="N1670" s="1" t="s">
        <v>39</v>
      </c>
      <c r="O1670" s="1">
        <v>37.573900000000002</v>
      </c>
      <c r="P1670" s="1">
        <v>-120.9854</v>
      </c>
      <c r="Q1670" s="1" t="s">
        <v>4049</v>
      </c>
      <c r="R1670" s="1" t="s">
        <v>41</v>
      </c>
      <c r="T1670" s="1" t="s">
        <v>93</v>
      </c>
      <c r="U1670" s="1" t="s">
        <v>44</v>
      </c>
      <c r="X1670" s="1" t="s">
        <v>176</v>
      </c>
      <c r="AA1670" s="3">
        <v>41040</v>
      </c>
      <c r="AB1670" s="1" t="s">
        <v>46</v>
      </c>
      <c r="AC1670" s="5">
        <v>501.1</v>
      </c>
      <c r="AD1670" s="1" t="s">
        <v>4052</v>
      </c>
      <c r="AE1670" s="1" t="str">
        <f t="shared" si="127"/>
        <v>7315 2</v>
      </c>
      <c r="AF1670" s="5" t="str">
        <f t="shared" si="128"/>
        <v>54</v>
      </c>
      <c r="AG1670" s="1" t="str">
        <f t="shared" si="126"/>
        <v>Y</v>
      </c>
    </row>
    <row r="1671" spans="1:33" x14ac:dyDescent="0.2">
      <c r="A1671" s="1" t="s">
        <v>370</v>
      </c>
      <c r="B1671" s="1" t="s">
        <v>4048</v>
      </c>
      <c r="C1671" s="1">
        <v>7315</v>
      </c>
      <c r="D1671" s="1">
        <v>3</v>
      </c>
      <c r="F1671" s="1">
        <v>2023</v>
      </c>
      <c r="G1671" s="1" t="s">
        <v>247</v>
      </c>
      <c r="H1671" s="1">
        <v>609358</v>
      </c>
      <c r="I1671" s="1">
        <v>9</v>
      </c>
      <c r="J1671" s="1" t="s">
        <v>237</v>
      </c>
      <c r="K1671" s="1" t="s">
        <v>3996</v>
      </c>
      <c r="L1671" s="1" t="s">
        <v>3997</v>
      </c>
      <c r="M1671" s="1">
        <v>99</v>
      </c>
      <c r="N1671" s="1" t="s">
        <v>39</v>
      </c>
      <c r="O1671" s="1">
        <v>37.573900000000002</v>
      </c>
      <c r="P1671" s="1">
        <v>-120.9854</v>
      </c>
      <c r="Q1671" s="1" t="s">
        <v>4049</v>
      </c>
      <c r="R1671" s="1" t="s">
        <v>41</v>
      </c>
      <c r="T1671" s="1" t="s">
        <v>93</v>
      </c>
      <c r="U1671" s="1" t="s">
        <v>44</v>
      </c>
      <c r="X1671" s="1" t="s">
        <v>176</v>
      </c>
      <c r="AA1671" s="3">
        <v>41032</v>
      </c>
      <c r="AB1671" s="1" t="s">
        <v>46</v>
      </c>
      <c r="AC1671" s="5">
        <v>501.1</v>
      </c>
      <c r="AD1671" s="1" t="s">
        <v>4053</v>
      </c>
      <c r="AE1671" s="1" t="str">
        <f t="shared" si="127"/>
        <v>7315 3</v>
      </c>
      <c r="AF1671" s="5" t="str">
        <f t="shared" si="128"/>
        <v>54</v>
      </c>
      <c r="AG1671" s="1" t="str">
        <f t="shared" si="126"/>
        <v>Y</v>
      </c>
    </row>
    <row r="1672" spans="1:33" x14ac:dyDescent="0.2">
      <c r="A1672" s="1" t="s">
        <v>370</v>
      </c>
      <c r="B1672" s="1" t="s">
        <v>4048</v>
      </c>
      <c r="C1672" s="1">
        <v>7315</v>
      </c>
      <c r="D1672" s="1">
        <v>4</v>
      </c>
      <c r="F1672" s="1">
        <v>2023</v>
      </c>
      <c r="G1672" s="1" t="s">
        <v>247</v>
      </c>
      <c r="H1672" s="1">
        <v>609358</v>
      </c>
      <c r="I1672" s="1">
        <v>9</v>
      </c>
      <c r="J1672" s="1" t="s">
        <v>237</v>
      </c>
      <c r="K1672" s="1" t="s">
        <v>3996</v>
      </c>
      <c r="L1672" s="1" t="s">
        <v>3997</v>
      </c>
      <c r="M1672" s="1">
        <v>99</v>
      </c>
      <c r="N1672" s="1" t="s">
        <v>39</v>
      </c>
      <c r="O1672" s="1">
        <v>37.573900000000002</v>
      </c>
      <c r="P1672" s="1">
        <v>-120.9854</v>
      </c>
      <c r="Q1672" s="1" t="s">
        <v>4049</v>
      </c>
      <c r="R1672" s="1" t="s">
        <v>41</v>
      </c>
      <c r="T1672" s="1" t="s">
        <v>93</v>
      </c>
      <c r="U1672" s="1" t="s">
        <v>44</v>
      </c>
      <c r="X1672" s="1" t="s">
        <v>176</v>
      </c>
      <c r="AA1672" s="3">
        <v>41028</v>
      </c>
      <c r="AB1672" s="1" t="s">
        <v>46</v>
      </c>
      <c r="AC1672" s="5">
        <v>501.1</v>
      </c>
      <c r="AD1672" s="1" t="s">
        <v>4054</v>
      </c>
      <c r="AE1672" s="1" t="str">
        <f t="shared" si="127"/>
        <v>7315 4</v>
      </c>
      <c r="AF1672" s="5" t="str">
        <f t="shared" si="128"/>
        <v>54</v>
      </c>
      <c r="AG1672" s="1" t="str">
        <f t="shared" si="126"/>
        <v>Y</v>
      </c>
    </row>
    <row r="1673" spans="1:33" x14ac:dyDescent="0.2">
      <c r="A1673" s="1" t="s">
        <v>660</v>
      </c>
      <c r="B1673" s="1" t="s">
        <v>4055</v>
      </c>
      <c r="C1673" s="1">
        <v>7318</v>
      </c>
      <c r="D1673" s="1" t="s">
        <v>4056</v>
      </c>
      <c r="F1673" s="1">
        <v>2023</v>
      </c>
      <c r="G1673" s="1" t="s">
        <v>579</v>
      </c>
      <c r="H1673" s="1">
        <v>609861</v>
      </c>
      <c r="I1673" s="1">
        <v>3</v>
      </c>
      <c r="J1673" s="1" t="s">
        <v>668</v>
      </c>
      <c r="K1673" s="1" t="s">
        <v>4057</v>
      </c>
      <c r="L1673" s="1" t="s">
        <v>4058</v>
      </c>
      <c r="M1673" s="1">
        <v>1</v>
      </c>
      <c r="N1673" s="1" t="s">
        <v>39</v>
      </c>
      <c r="O1673" s="1">
        <v>39.15</v>
      </c>
      <c r="P1673" s="1">
        <v>-75.546599999999998</v>
      </c>
      <c r="Q1673" s="1" t="s">
        <v>4059</v>
      </c>
      <c r="R1673" s="1" t="s">
        <v>41</v>
      </c>
      <c r="T1673" s="1" t="s">
        <v>93</v>
      </c>
      <c r="U1673" s="1" t="s">
        <v>44</v>
      </c>
      <c r="V1673" s="1" t="s">
        <v>94</v>
      </c>
      <c r="X1673" s="1" t="s">
        <v>95</v>
      </c>
      <c r="AA1673" s="3">
        <v>33390</v>
      </c>
      <c r="AB1673" s="1" t="s">
        <v>46</v>
      </c>
      <c r="AC1673" s="5">
        <v>572</v>
      </c>
      <c r="AD1673" s="1" t="s">
        <v>4060</v>
      </c>
      <c r="AE1673" s="1" t="str">
        <f t="shared" si="127"/>
        <v>7318 **11</v>
      </c>
      <c r="AF1673" s="5" t="str">
        <f t="shared" si="128"/>
        <v>45.1</v>
      </c>
      <c r="AG1673" s="1" t="str">
        <f t="shared" si="126"/>
        <v/>
      </c>
    </row>
    <row r="1674" spans="1:33" x14ac:dyDescent="0.2">
      <c r="A1674" s="1" t="s">
        <v>383</v>
      </c>
      <c r="B1674" s="1" t="s">
        <v>4061</v>
      </c>
      <c r="C1674" s="1">
        <v>7325</v>
      </c>
      <c r="D1674" s="1" t="s">
        <v>4062</v>
      </c>
      <c r="E1674" s="1" t="s">
        <v>1156</v>
      </c>
      <c r="F1674" s="1">
        <v>2023</v>
      </c>
      <c r="G1674" s="1" t="s">
        <v>346</v>
      </c>
      <c r="H1674" s="1">
        <v>602998</v>
      </c>
      <c r="I1674" s="1">
        <v>6</v>
      </c>
      <c r="J1674" s="1" t="s">
        <v>387</v>
      </c>
      <c r="K1674" s="1" t="s">
        <v>4063</v>
      </c>
      <c r="L1674" s="1" t="s">
        <v>4064</v>
      </c>
      <c r="M1674" s="1">
        <v>201</v>
      </c>
      <c r="N1674" s="1" t="s">
        <v>39</v>
      </c>
      <c r="O1674" s="1">
        <v>29.6967</v>
      </c>
      <c r="P1674" s="1">
        <v>-95.0411</v>
      </c>
      <c r="Q1674" s="1" t="s">
        <v>390</v>
      </c>
      <c r="R1674" s="1" t="s">
        <v>41</v>
      </c>
      <c r="T1674" s="1" t="s">
        <v>93</v>
      </c>
      <c r="U1674" s="1" t="s">
        <v>44</v>
      </c>
      <c r="X1674" s="1" t="s">
        <v>183</v>
      </c>
      <c r="AA1674" s="3">
        <v>34810</v>
      </c>
      <c r="AB1674" s="1" t="s">
        <v>46</v>
      </c>
      <c r="AC1674" s="5">
        <v>2000</v>
      </c>
      <c r="AD1674" s="1" t="s">
        <v>4065</v>
      </c>
      <c r="AE1674" s="1" t="str">
        <f t="shared" si="127"/>
        <v>7325 SJS1</v>
      </c>
      <c r="AF1674" s="5" t="str">
        <f t="shared" si="128"/>
        <v>88.2</v>
      </c>
      <c r="AG1674" s="1" t="str">
        <f t="shared" si="126"/>
        <v/>
      </c>
    </row>
    <row r="1675" spans="1:33" x14ac:dyDescent="0.2">
      <c r="A1675" s="1" t="s">
        <v>383</v>
      </c>
      <c r="B1675" s="1" t="s">
        <v>4061</v>
      </c>
      <c r="C1675" s="1">
        <v>7325</v>
      </c>
      <c r="D1675" s="1" t="s">
        <v>4066</v>
      </c>
      <c r="E1675" s="1" t="s">
        <v>1156</v>
      </c>
      <c r="F1675" s="1">
        <v>2023</v>
      </c>
      <c r="G1675" s="1" t="s">
        <v>346</v>
      </c>
      <c r="H1675" s="1">
        <v>602998</v>
      </c>
      <c r="I1675" s="1">
        <v>6</v>
      </c>
      <c r="J1675" s="1" t="s">
        <v>387</v>
      </c>
      <c r="K1675" s="1" t="s">
        <v>4063</v>
      </c>
      <c r="L1675" s="1" t="s">
        <v>4064</v>
      </c>
      <c r="M1675" s="1">
        <v>201</v>
      </c>
      <c r="N1675" s="1" t="s">
        <v>39</v>
      </c>
      <c r="O1675" s="1">
        <v>29.6967</v>
      </c>
      <c r="P1675" s="1">
        <v>-95.0411</v>
      </c>
      <c r="Q1675" s="1" t="s">
        <v>390</v>
      </c>
      <c r="R1675" s="1" t="s">
        <v>41</v>
      </c>
      <c r="T1675" s="1" t="s">
        <v>93</v>
      </c>
      <c r="U1675" s="1" t="s">
        <v>44</v>
      </c>
      <c r="X1675" s="1" t="s">
        <v>183</v>
      </c>
      <c r="AA1675" s="3">
        <v>34810</v>
      </c>
      <c r="AB1675" s="1" t="s">
        <v>46</v>
      </c>
      <c r="AC1675" s="5">
        <v>2000</v>
      </c>
      <c r="AD1675" s="1" t="s">
        <v>4067</v>
      </c>
      <c r="AE1675" s="1" t="str">
        <f t="shared" si="127"/>
        <v>7325 SJS2</v>
      </c>
      <c r="AF1675" s="5" t="str">
        <f t="shared" si="128"/>
        <v>88.2</v>
      </c>
      <c r="AG1675" s="1" t="str">
        <f t="shared" si="126"/>
        <v/>
      </c>
    </row>
    <row r="1676" spans="1:33" x14ac:dyDescent="0.2">
      <c r="A1676" s="1" t="s">
        <v>1071</v>
      </c>
      <c r="B1676" s="1" t="s">
        <v>4068</v>
      </c>
      <c r="C1676" s="1">
        <v>7335</v>
      </c>
      <c r="D1676" s="1" t="s">
        <v>4069</v>
      </c>
      <c r="F1676" s="1">
        <v>2023</v>
      </c>
      <c r="G1676" s="1" t="s">
        <v>461</v>
      </c>
      <c r="H1676" s="1" t="s">
        <v>4070</v>
      </c>
      <c r="I1676" s="1">
        <v>5</v>
      </c>
      <c r="K1676" s="1" t="s">
        <v>1178</v>
      </c>
      <c r="L1676" s="1" t="s">
        <v>1179</v>
      </c>
      <c r="M1676" s="1">
        <v>177</v>
      </c>
      <c r="N1676" s="1" t="s">
        <v>39</v>
      </c>
      <c r="O1676" s="1">
        <v>39.838299999999997</v>
      </c>
      <c r="P1676" s="1">
        <v>-84.966499999999996</v>
      </c>
      <c r="Q1676" s="1" t="s">
        <v>4071</v>
      </c>
      <c r="R1676" s="1" t="s">
        <v>41</v>
      </c>
      <c r="T1676" s="1" t="s">
        <v>93</v>
      </c>
      <c r="U1676" s="1" t="s">
        <v>44</v>
      </c>
      <c r="V1676" s="1" t="s">
        <v>94</v>
      </c>
      <c r="X1676" s="1" t="s">
        <v>95</v>
      </c>
      <c r="AA1676" s="3">
        <v>33725</v>
      </c>
      <c r="AB1676" s="1" t="s">
        <v>46</v>
      </c>
      <c r="AC1676" s="5">
        <v>560</v>
      </c>
      <c r="AD1676" s="1" t="s">
        <v>4072</v>
      </c>
      <c r="AE1676" s="1" t="str">
        <f t="shared" si="127"/>
        <v>7335 RCT1</v>
      </c>
      <c r="AF1676" s="5" t="str">
        <f t="shared" si="128"/>
        <v>38.7</v>
      </c>
      <c r="AG1676" s="1" t="str">
        <f t="shared" si="126"/>
        <v/>
      </c>
    </row>
    <row r="1677" spans="1:33" x14ac:dyDescent="0.2">
      <c r="A1677" s="1" t="s">
        <v>1071</v>
      </c>
      <c r="B1677" s="1" t="s">
        <v>4068</v>
      </c>
      <c r="C1677" s="1">
        <v>7335</v>
      </c>
      <c r="D1677" s="1" t="s">
        <v>4073</v>
      </c>
      <c r="F1677" s="1">
        <v>2023</v>
      </c>
      <c r="G1677" s="1" t="s">
        <v>461</v>
      </c>
      <c r="H1677" s="1" t="s">
        <v>4070</v>
      </c>
      <c r="I1677" s="1">
        <v>5</v>
      </c>
      <c r="K1677" s="1" t="s">
        <v>1178</v>
      </c>
      <c r="L1677" s="1" t="s">
        <v>1179</v>
      </c>
      <c r="M1677" s="1">
        <v>177</v>
      </c>
      <c r="N1677" s="1" t="s">
        <v>39</v>
      </c>
      <c r="O1677" s="1">
        <v>39.838299999999997</v>
      </c>
      <c r="P1677" s="1">
        <v>-84.966499999999996</v>
      </c>
      <c r="Q1677" s="1" t="s">
        <v>4071</v>
      </c>
      <c r="R1677" s="1" t="s">
        <v>41</v>
      </c>
      <c r="T1677" s="1" t="s">
        <v>93</v>
      </c>
      <c r="U1677" s="1" t="s">
        <v>44</v>
      </c>
      <c r="V1677" s="1" t="s">
        <v>94</v>
      </c>
      <c r="X1677" s="1" t="s">
        <v>95</v>
      </c>
      <c r="AA1677" s="3">
        <v>33725</v>
      </c>
      <c r="AB1677" s="1" t="s">
        <v>46</v>
      </c>
      <c r="AC1677" s="5">
        <v>560</v>
      </c>
      <c r="AD1677" s="1" t="s">
        <v>4074</v>
      </c>
      <c r="AE1677" s="1" t="str">
        <f t="shared" si="127"/>
        <v>7335 RCT2</v>
      </c>
      <c r="AF1677" s="5" t="str">
        <f t="shared" si="128"/>
        <v>38.7</v>
      </c>
      <c r="AG1677" s="1" t="str">
        <f t="shared" si="126"/>
        <v/>
      </c>
    </row>
    <row r="1678" spans="1:33" x14ac:dyDescent="0.2">
      <c r="A1678" s="1" t="s">
        <v>1071</v>
      </c>
      <c r="B1678" s="1" t="s">
        <v>4075</v>
      </c>
      <c r="C1678" s="1">
        <v>7336</v>
      </c>
      <c r="D1678" s="1" t="s">
        <v>4076</v>
      </c>
      <c r="F1678" s="1">
        <v>2023</v>
      </c>
      <c r="G1678" s="1" t="s">
        <v>461</v>
      </c>
      <c r="H1678" s="1" t="s">
        <v>4070</v>
      </c>
      <c r="I1678" s="1">
        <v>5</v>
      </c>
      <c r="J1678" s="1" t="s">
        <v>169</v>
      </c>
      <c r="K1678" s="1" t="s">
        <v>1044</v>
      </c>
      <c r="L1678" s="1" t="s">
        <v>4077</v>
      </c>
      <c r="M1678" s="1">
        <v>95</v>
      </c>
      <c r="N1678" s="1" t="s">
        <v>39</v>
      </c>
      <c r="O1678" s="1">
        <v>40.052900000000001</v>
      </c>
      <c r="P1678" s="1">
        <v>-85.738900000000001</v>
      </c>
      <c r="Q1678" s="1" t="s">
        <v>4071</v>
      </c>
      <c r="R1678" s="1" t="s">
        <v>41</v>
      </c>
      <c r="T1678" s="1" t="s">
        <v>93</v>
      </c>
      <c r="U1678" s="1" t="s">
        <v>44</v>
      </c>
      <c r="V1678" s="1" t="s">
        <v>94</v>
      </c>
      <c r="X1678" s="1" t="s">
        <v>95</v>
      </c>
      <c r="AA1678" s="3">
        <v>33756</v>
      </c>
      <c r="AB1678" s="1" t="s">
        <v>46</v>
      </c>
      <c r="AC1678" s="5">
        <v>560</v>
      </c>
      <c r="AD1678" s="1" t="s">
        <v>4078</v>
      </c>
      <c r="AE1678" s="1" t="str">
        <f t="shared" si="127"/>
        <v>7336 ACT1</v>
      </c>
      <c r="AF1678" s="5" t="str">
        <f t="shared" si="128"/>
        <v>38.7</v>
      </c>
      <c r="AG1678" s="1" t="str">
        <f t="shared" si="126"/>
        <v/>
      </c>
    </row>
    <row r="1679" spans="1:33" x14ac:dyDescent="0.2">
      <c r="A1679" s="1" t="s">
        <v>1071</v>
      </c>
      <c r="B1679" s="1" t="s">
        <v>4075</v>
      </c>
      <c r="C1679" s="1">
        <v>7336</v>
      </c>
      <c r="D1679" s="1" t="s">
        <v>4079</v>
      </c>
      <c r="F1679" s="1">
        <v>2023</v>
      </c>
      <c r="G1679" s="1" t="s">
        <v>461</v>
      </c>
      <c r="H1679" s="1" t="s">
        <v>4070</v>
      </c>
      <c r="I1679" s="1">
        <v>5</v>
      </c>
      <c r="J1679" s="1" t="s">
        <v>169</v>
      </c>
      <c r="K1679" s="1" t="s">
        <v>1044</v>
      </c>
      <c r="L1679" s="1" t="s">
        <v>4077</v>
      </c>
      <c r="M1679" s="1">
        <v>95</v>
      </c>
      <c r="N1679" s="1" t="s">
        <v>39</v>
      </c>
      <c r="O1679" s="1">
        <v>40.052900000000001</v>
      </c>
      <c r="P1679" s="1">
        <v>-85.738900000000001</v>
      </c>
      <c r="Q1679" s="1" t="s">
        <v>4071</v>
      </c>
      <c r="R1679" s="1" t="s">
        <v>41</v>
      </c>
      <c r="T1679" s="1" t="s">
        <v>93</v>
      </c>
      <c r="U1679" s="1" t="s">
        <v>44</v>
      </c>
      <c r="V1679" s="1" t="s">
        <v>94</v>
      </c>
      <c r="X1679" s="1" t="s">
        <v>95</v>
      </c>
      <c r="AA1679" s="3">
        <v>33878</v>
      </c>
      <c r="AB1679" s="1" t="s">
        <v>46</v>
      </c>
      <c r="AC1679" s="5">
        <v>560</v>
      </c>
      <c r="AD1679" s="1" t="s">
        <v>4080</v>
      </c>
      <c r="AE1679" s="1" t="str">
        <f t="shared" si="127"/>
        <v>7336 ACT2</v>
      </c>
      <c r="AF1679" s="5" t="str">
        <f t="shared" si="128"/>
        <v>38.7</v>
      </c>
      <c r="AG1679" s="1" t="str">
        <f t="shared" si="126"/>
        <v/>
      </c>
    </row>
    <row r="1680" spans="1:33" x14ac:dyDescent="0.2">
      <c r="A1680" s="1" t="s">
        <v>1071</v>
      </c>
      <c r="B1680" s="1" t="s">
        <v>4075</v>
      </c>
      <c r="C1680" s="1">
        <v>7336</v>
      </c>
      <c r="D1680" s="1" t="s">
        <v>4081</v>
      </c>
      <c r="F1680" s="1">
        <v>2023</v>
      </c>
      <c r="G1680" s="1" t="s">
        <v>461</v>
      </c>
      <c r="H1680" s="1" t="s">
        <v>4070</v>
      </c>
      <c r="I1680" s="1">
        <v>5</v>
      </c>
      <c r="J1680" s="1" t="s">
        <v>169</v>
      </c>
      <c r="K1680" s="1" t="s">
        <v>1044</v>
      </c>
      <c r="L1680" s="1" t="s">
        <v>4077</v>
      </c>
      <c r="M1680" s="1">
        <v>95</v>
      </c>
      <c r="N1680" s="1" t="s">
        <v>39</v>
      </c>
      <c r="O1680" s="1">
        <v>40.052900000000001</v>
      </c>
      <c r="P1680" s="1">
        <v>-85.738900000000001</v>
      </c>
      <c r="Q1680" s="1" t="s">
        <v>4071</v>
      </c>
      <c r="R1680" s="1" t="s">
        <v>41</v>
      </c>
      <c r="T1680" s="1" t="s">
        <v>93</v>
      </c>
      <c r="U1680" s="1" t="s">
        <v>44</v>
      </c>
      <c r="V1680" s="1" t="s">
        <v>94</v>
      </c>
      <c r="X1680" s="1" t="s">
        <v>183</v>
      </c>
      <c r="AA1680" s="3">
        <v>38055</v>
      </c>
      <c r="AB1680" s="1" t="s">
        <v>46</v>
      </c>
      <c r="AC1680" s="5">
        <v>1103.8</v>
      </c>
      <c r="AD1680" s="1" t="s">
        <v>4082</v>
      </c>
      <c r="AE1680" s="1" t="str">
        <f t="shared" si="127"/>
        <v>7336 ACT3</v>
      </c>
      <c r="AF1680" s="5" t="str">
        <f t="shared" si="128"/>
        <v>84</v>
      </c>
      <c r="AG1680" s="1" t="str">
        <f t="shared" si="126"/>
        <v/>
      </c>
    </row>
    <row r="1681" spans="1:33" x14ac:dyDescent="0.2">
      <c r="A1681" s="1" t="s">
        <v>1186</v>
      </c>
      <c r="B1681" s="1" t="s">
        <v>4083</v>
      </c>
      <c r="C1681" s="1">
        <v>7343</v>
      </c>
      <c r="D1681" s="1">
        <v>4</v>
      </c>
      <c r="F1681" s="1">
        <v>2023</v>
      </c>
      <c r="G1681" s="1" t="s">
        <v>1188</v>
      </c>
      <c r="H1681" s="1" t="s">
        <v>1210</v>
      </c>
      <c r="I1681" s="1">
        <v>7</v>
      </c>
      <c r="J1681" s="1" t="s">
        <v>207</v>
      </c>
      <c r="K1681" s="1" t="s">
        <v>1218</v>
      </c>
      <c r="L1681" s="1" t="s">
        <v>1219</v>
      </c>
      <c r="M1681" s="1">
        <v>193</v>
      </c>
      <c r="N1681" s="1" t="s">
        <v>39</v>
      </c>
      <c r="O1681" s="1">
        <v>42.302199999999999</v>
      </c>
      <c r="P1681" s="1">
        <v>-96.362200000000001</v>
      </c>
      <c r="Q1681" s="1" t="s">
        <v>4084</v>
      </c>
      <c r="R1681" s="1" t="s">
        <v>41</v>
      </c>
      <c r="S1681" s="1" t="s">
        <v>211</v>
      </c>
      <c r="T1681" s="1" t="s">
        <v>89</v>
      </c>
      <c r="U1681" s="1" t="s">
        <v>55</v>
      </c>
      <c r="V1681" s="1" t="s">
        <v>94</v>
      </c>
      <c r="W1681" s="1" t="s">
        <v>212</v>
      </c>
      <c r="X1681" s="1" t="s">
        <v>1221</v>
      </c>
      <c r="Y1681" s="1" t="s">
        <v>123</v>
      </c>
      <c r="AA1681" s="3">
        <v>29037</v>
      </c>
      <c r="AB1681" s="1" t="s">
        <v>46</v>
      </c>
      <c r="AC1681" s="5">
        <v>7400</v>
      </c>
      <c r="AD1681" s="1" t="s">
        <v>4085</v>
      </c>
      <c r="AE1681" s="1" t="str">
        <f t="shared" si="127"/>
        <v>7343 4</v>
      </c>
      <c r="AF1681" s="5" t="str">
        <f t="shared" si="128"/>
        <v>639.9</v>
      </c>
      <c r="AG1681" s="1" t="str">
        <f t="shared" si="126"/>
        <v>Y</v>
      </c>
    </row>
    <row r="1682" spans="1:33" x14ac:dyDescent="0.2">
      <c r="A1682" s="1" t="s">
        <v>304</v>
      </c>
      <c r="B1682" s="1" t="s">
        <v>4086</v>
      </c>
      <c r="C1682" s="1">
        <v>7345</v>
      </c>
      <c r="D1682" s="1">
        <v>1</v>
      </c>
      <c r="F1682" s="1">
        <v>2023</v>
      </c>
      <c r="G1682" s="1" t="s">
        <v>247</v>
      </c>
      <c r="H1682" s="1">
        <v>610088</v>
      </c>
      <c r="I1682" s="1">
        <v>4</v>
      </c>
      <c r="J1682" s="1" t="s">
        <v>796</v>
      </c>
      <c r="K1682" s="1" t="s">
        <v>867</v>
      </c>
      <c r="L1682" s="1" t="s">
        <v>868</v>
      </c>
      <c r="M1682" s="1">
        <v>1</v>
      </c>
      <c r="N1682" s="1" t="s">
        <v>1680</v>
      </c>
      <c r="O1682" s="1">
        <v>29.639700000000001</v>
      </c>
      <c r="P1682" s="1">
        <v>-82.348600000000005</v>
      </c>
      <c r="Q1682" s="1" t="s">
        <v>799</v>
      </c>
      <c r="R1682" s="1" t="s">
        <v>41</v>
      </c>
      <c r="T1682" s="1" t="s">
        <v>71</v>
      </c>
      <c r="U1682" s="1" t="s">
        <v>44</v>
      </c>
      <c r="X1682" s="1" t="s">
        <v>1606</v>
      </c>
      <c r="AA1682" s="3">
        <v>34320</v>
      </c>
      <c r="AB1682" s="1" t="s">
        <v>46</v>
      </c>
      <c r="AC1682" s="5">
        <v>586</v>
      </c>
      <c r="AD1682" s="1" t="s">
        <v>4087</v>
      </c>
      <c r="AE1682" s="1" t="str">
        <f t="shared" si="127"/>
        <v>7345 1</v>
      </c>
      <c r="AF1682" s="5" t="str">
        <f t="shared" si="128"/>
        <v>43</v>
      </c>
      <c r="AG1682" s="1" t="str">
        <f t="shared" si="126"/>
        <v/>
      </c>
    </row>
    <row r="1683" spans="1:33" x14ac:dyDescent="0.2">
      <c r="A1683" s="1" t="s">
        <v>921</v>
      </c>
      <c r="B1683" s="1" t="s">
        <v>4088</v>
      </c>
      <c r="C1683" s="1">
        <v>7348</v>
      </c>
      <c r="D1683" s="1" t="s">
        <v>311</v>
      </c>
      <c r="F1683" s="1">
        <v>2023</v>
      </c>
      <c r="G1683" s="1" t="s">
        <v>952</v>
      </c>
      <c r="H1683" s="1" t="s">
        <v>926</v>
      </c>
      <c r="I1683" s="1">
        <v>4</v>
      </c>
      <c r="J1683" s="1" t="s">
        <v>36</v>
      </c>
      <c r="K1683" s="1" t="s">
        <v>4089</v>
      </c>
      <c r="L1683" s="1" t="s">
        <v>4090</v>
      </c>
      <c r="M1683" s="1">
        <v>153</v>
      </c>
      <c r="N1683" s="1" t="s">
        <v>39</v>
      </c>
      <c r="O1683" s="1">
        <v>32.580599999999997</v>
      </c>
      <c r="P1683" s="1">
        <v>-83.583100000000002</v>
      </c>
      <c r="Q1683" s="1" t="s">
        <v>929</v>
      </c>
      <c r="R1683" s="1" t="s">
        <v>41</v>
      </c>
      <c r="T1683" s="1" t="s">
        <v>93</v>
      </c>
      <c r="U1683" s="1" t="s">
        <v>44</v>
      </c>
      <c r="V1683" s="1" t="s">
        <v>94</v>
      </c>
      <c r="X1683" s="1" t="s">
        <v>95</v>
      </c>
      <c r="AA1683" s="3">
        <v>34836</v>
      </c>
      <c r="AB1683" s="1" t="s">
        <v>46</v>
      </c>
      <c r="AC1683" s="5">
        <v>1155</v>
      </c>
      <c r="AD1683" s="1" t="s">
        <v>4091</v>
      </c>
      <c r="AE1683" s="1" t="str">
        <f t="shared" si="127"/>
        <v>7348 CT1</v>
      </c>
      <c r="AF1683" s="5" t="str">
        <f t="shared" si="128"/>
        <v>91.9</v>
      </c>
      <c r="AG1683" s="1" t="str">
        <f t="shared" si="126"/>
        <v/>
      </c>
    </row>
    <row r="1684" spans="1:33" x14ac:dyDescent="0.2">
      <c r="A1684" s="1" t="s">
        <v>921</v>
      </c>
      <c r="B1684" s="1" t="s">
        <v>4088</v>
      </c>
      <c r="C1684" s="1">
        <v>7348</v>
      </c>
      <c r="D1684" s="1" t="s">
        <v>98</v>
      </c>
      <c r="F1684" s="1">
        <v>2023</v>
      </c>
      <c r="G1684" s="1" t="s">
        <v>952</v>
      </c>
      <c r="H1684" s="1" t="s">
        <v>926</v>
      </c>
      <c r="I1684" s="1">
        <v>4</v>
      </c>
      <c r="J1684" s="1" t="s">
        <v>36</v>
      </c>
      <c r="K1684" s="1" t="s">
        <v>4089</v>
      </c>
      <c r="L1684" s="1" t="s">
        <v>4090</v>
      </c>
      <c r="M1684" s="1">
        <v>153</v>
      </c>
      <c r="N1684" s="1" t="s">
        <v>39</v>
      </c>
      <c r="O1684" s="1">
        <v>32.580599999999997</v>
      </c>
      <c r="P1684" s="1">
        <v>-83.583100000000002</v>
      </c>
      <c r="Q1684" s="1" t="s">
        <v>929</v>
      </c>
      <c r="R1684" s="1" t="s">
        <v>41</v>
      </c>
      <c r="T1684" s="1" t="s">
        <v>93</v>
      </c>
      <c r="U1684" s="1" t="s">
        <v>44</v>
      </c>
      <c r="V1684" s="1" t="s">
        <v>94</v>
      </c>
      <c r="X1684" s="1" t="s">
        <v>95</v>
      </c>
      <c r="AA1684" s="3">
        <v>34843</v>
      </c>
      <c r="AB1684" s="1" t="s">
        <v>46</v>
      </c>
      <c r="AC1684" s="5">
        <v>1155</v>
      </c>
      <c r="AD1684" s="1" t="s">
        <v>4092</v>
      </c>
      <c r="AE1684" s="1" t="str">
        <f t="shared" si="127"/>
        <v>7348 CT2</v>
      </c>
      <c r="AF1684" s="5" t="str">
        <f t="shared" si="128"/>
        <v>91.9</v>
      </c>
      <c r="AG1684" s="1" t="str">
        <f t="shared" si="126"/>
        <v/>
      </c>
    </row>
    <row r="1685" spans="1:33" x14ac:dyDescent="0.2">
      <c r="A1685" s="1" t="s">
        <v>4093</v>
      </c>
      <c r="B1685" s="1" t="s">
        <v>4094</v>
      </c>
      <c r="C1685" s="1">
        <v>7350</v>
      </c>
      <c r="D1685" s="1" t="s">
        <v>1129</v>
      </c>
      <c r="F1685" s="1">
        <v>2023</v>
      </c>
      <c r="G1685" s="1" t="s">
        <v>247</v>
      </c>
      <c r="H1685" s="1" t="s">
        <v>4095</v>
      </c>
      <c r="I1685" s="1">
        <v>10</v>
      </c>
      <c r="K1685" s="1" t="s">
        <v>4096</v>
      </c>
      <c r="L1685" s="1" t="s">
        <v>4097</v>
      </c>
      <c r="M1685" s="1">
        <v>49</v>
      </c>
      <c r="N1685" s="1" t="s">
        <v>39</v>
      </c>
      <c r="O1685" s="1">
        <v>45.848599999999998</v>
      </c>
      <c r="P1685" s="1">
        <v>-119.67440000000001</v>
      </c>
      <c r="Q1685" s="1" t="s">
        <v>4098</v>
      </c>
      <c r="R1685" s="1" t="s">
        <v>41</v>
      </c>
      <c r="T1685" s="1" t="s">
        <v>71</v>
      </c>
      <c r="U1685" s="1" t="s">
        <v>44</v>
      </c>
      <c r="V1685" s="1" t="s">
        <v>94</v>
      </c>
      <c r="X1685" s="1" t="s">
        <v>4099</v>
      </c>
      <c r="AA1685" s="3">
        <v>35029</v>
      </c>
      <c r="AB1685" s="1" t="s">
        <v>46</v>
      </c>
      <c r="AC1685" s="5">
        <v>2000</v>
      </c>
      <c r="AD1685" s="1" t="s">
        <v>4100</v>
      </c>
      <c r="AE1685" s="1" t="str">
        <f t="shared" si="127"/>
        <v>7350 CTG1</v>
      </c>
      <c r="AF1685" s="14">
        <f>MID(AD1685,FIND("(",AD1685)+1,FIND(")",AD1685)-FIND("(",AD1685)-1)+185.8</f>
        <v>266.39999999999998</v>
      </c>
      <c r="AG1685" s="1" t="str">
        <f t="shared" si="126"/>
        <v>Y</v>
      </c>
    </row>
    <row r="1686" spans="1:33" x14ac:dyDescent="0.2">
      <c r="A1686" s="1" t="s">
        <v>4093</v>
      </c>
      <c r="B1686" s="1" t="s">
        <v>4094</v>
      </c>
      <c r="C1686" s="1">
        <v>7350</v>
      </c>
      <c r="D1686" s="1" t="s">
        <v>1135</v>
      </c>
      <c r="F1686" s="1">
        <v>2023</v>
      </c>
      <c r="G1686" s="1" t="s">
        <v>247</v>
      </c>
      <c r="H1686" s="1" t="s">
        <v>4095</v>
      </c>
      <c r="I1686" s="1">
        <v>10</v>
      </c>
      <c r="K1686" s="1" t="s">
        <v>4096</v>
      </c>
      <c r="L1686" s="1" t="s">
        <v>4097</v>
      </c>
      <c r="M1686" s="1">
        <v>49</v>
      </c>
      <c r="N1686" s="1" t="s">
        <v>39</v>
      </c>
      <c r="O1686" s="1">
        <v>45.848599999999998</v>
      </c>
      <c r="P1686" s="1">
        <v>-119.67440000000001</v>
      </c>
      <c r="Q1686" s="1" t="s">
        <v>4101</v>
      </c>
      <c r="R1686" s="1" t="s">
        <v>41</v>
      </c>
      <c r="T1686" s="1" t="s">
        <v>71</v>
      </c>
      <c r="U1686" s="1" t="s">
        <v>44</v>
      </c>
      <c r="X1686" s="1" t="s">
        <v>64</v>
      </c>
      <c r="AA1686" s="3">
        <v>37775</v>
      </c>
      <c r="AB1686" s="1" t="s">
        <v>46</v>
      </c>
      <c r="AC1686" s="5">
        <v>2250</v>
      </c>
      <c r="AD1686" s="1" t="s">
        <v>4102</v>
      </c>
      <c r="AE1686" s="1" t="str">
        <f t="shared" si="127"/>
        <v>7350 CTG2</v>
      </c>
      <c r="AF1686" s="14">
        <f>MID(AD1686,FIND("(",AD1686)+1,FIND(")",AD1686)-FIND("(",AD1686)-1)+117</f>
        <v>287</v>
      </c>
      <c r="AG1686" s="1" t="str">
        <f t="shared" si="126"/>
        <v>Y</v>
      </c>
    </row>
    <row r="1687" spans="1:33" x14ac:dyDescent="0.2">
      <c r="A1687" s="1" t="s">
        <v>304</v>
      </c>
      <c r="B1687" s="1" t="s">
        <v>4103</v>
      </c>
      <c r="C1687" s="1">
        <v>7380</v>
      </c>
      <c r="D1687" s="1">
        <v>1</v>
      </c>
      <c r="F1687" s="1">
        <v>2023</v>
      </c>
      <c r="G1687" s="1" t="s">
        <v>247</v>
      </c>
      <c r="H1687" s="1">
        <v>609539</v>
      </c>
      <c r="I1687" s="1">
        <v>4</v>
      </c>
      <c r="K1687" s="1" t="s">
        <v>4104</v>
      </c>
      <c r="L1687" s="1" t="s">
        <v>4105</v>
      </c>
      <c r="M1687" s="1">
        <v>49</v>
      </c>
      <c r="N1687" s="1" t="s">
        <v>39</v>
      </c>
      <c r="O1687" s="1">
        <v>27.6417</v>
      </c>
      <c r="P1687" s="1">
        <v>-81.962500000000006</v>
      </c>
      <c r="Q1687" s="1" t="s">
        <v>308</v>
      </c>
      <c r="R1687" s="1" t="s">
        <v>41</v>
      </c>
      <c r="T1687" s="1" t="s">
        <v>71</v>
      </c>
      <c r="U1687" s="1" t="s">
        <v>44</v>
      </c>
      <c r="V1687" s="1" t="s">
        <v>94</v>
      </c>
      <c r="X1687" s="1" t="s">
        <v>643</v>
      </c>
      <c r="AA1687" s="3">
        <v>37147</v>
      </c>
      <c r="AB1687" s="1" t="s">
        <v>46</v>
      </c>
      <c r="AC1687" s="5">
        <v>2235</v>
      </c>
      <c r="AD1687" s="1" t="s">
        <v>4106</v>
      </c>
      <c r="AE1687" s="1" t="str">
        <f t="shared" si="127"/>
        <v>7380 1</v>
      </c>
      <c r="AF1687" s="14">
        <f>MID(AD1687,FIND("(",AD1687)+1,FIND(")",AD1687)-FIND("(",AD1687)-1)+189/2</f>
        <v>252</v>
      </c>
      <c r="AG1687" s="1" t="str">
        <f t="shared" si="126"/>
        <v>Y</v>
      </c>
    </row>
    <row r="1688" spans="1:33" x14ac:dyDescent="0.2">
      <c r="A1688" s="1" t="s">
        <v>304</v>
      </c>
      <c r="B1688" s="1" t="s">
        <v>4103</v>
      </c>
      <c r="C1688" s="1">
        <v>7380</v>
      </c>
      <c r="D1688" s="1">
        <v>2</v>
      </c>
      <c r="F1688" s="1">
        <v>2023</v>
      </c>
      <c r="G1688" s="1" t="s">
        <v>247</v>
      </c>
      <c r="H1688" s="1">
        <v>609539</v>
      </c>
      <c r="I1688" s="1">
        <v>4</v>
      </c>
      <c r="K1688" s="1" t="s">
        <v>4104</v>
      </c>
      <c r="L1688" s="1" t="s">
        <v>4105</v>
      </c>
      <c r="M1688" s="1">
        <v>49</v>
      </c>
      <c r="N1688" s="1" t="s">
        <v>39</v>
      </c>
      <c r="O1688" s="1">
        <v>27.6417</v>
      </c>
      <c r="P1688" s="1">
        <v>-81.962500000000006</v>
      </c>
      <c r="Q1688" s="1" t="s">
        <v>308</v>
      </c>
      <c r="R1688" s="1" t="s">
        <v>41</v>
      </c>
      <c r="T1688" s="1" t="s">
        <v>71</v>
      </c>
      <c r="U1688" s="1" t="s">
        <v>44</v>
      </c>
      <c r="V1688" s="1" t="s">
        <v>94</v>
      </c>
      <c r="X1688" s="1" t="s">
        <v>643</v>
      </c>
      <c r="AA1688" s="3">
        <v>37150</v>
      </c>
      <c r="AB1688" s="1" t="s">
        <v>46</v>
      </c>
      <c r="AC1688" s="5">
        <v>2235</v>
      </c>
      <c r="AD1688" s="1" t="s">
        <v>4107</v>
      </c>
      <c r="AE1688" s="1" t="str">
        <f t="shared" si="127"/>
        <v>7380 2</v>
      </c>
      <c r="AF1688" s="14">
        <f>AF1687</f>
        <v>252</v>
      </c>
      <c r="AG1688" s="1" t="str">
        <f t="shared" si="126"/>
        <v>Y</v>
      </c>
    </row>
    <row r="1689" spans="1:33" x14ac:dyDescent="0.2">
      <c r="A1689" s="1" t="s">
        <v>304</v>
      </c>
      <c r="B1689" s="1" t="s">
        <v>4103</v>
      </c>
      <c r="C1689" s="1">
        <v>7380</v>
      </c>
      <c r="D1689" s="1" t="s">
        <v>381</v>
      </c>
      <c r="F1689" s="1">
        <v>2023</v>
      </c>
      <c r="G1689" s="1" t="s">
        <v>247</v>
      </c>
      <c r="H1689" s="1">
        <v>609539</v>
      </c>
      <c r="I1689" s="1">
        <v>4</v>
      </c>
      <c r="K1689" s="1" t="s">
        <v>4104</v>
      </c>
      <c r="L1689" s="1" t="s">
        <v>4105</v>
      </c>
      <c r="M1689" s="1">
        <v>49</v>
      </c>
      <c r="N1689" s="1" t="s">
        <v>39</v>
      </c>
      <c r="O1689" s="1">
        <v>27.6417</v>
      </c>
      <c r="P1689" s="1">
        <v>-81.962500000000006</v>
      </c>
      <c r="Q1689" s="1" t="s">
        <v>308</v>
      </c>
      <c r="R1689" s="1" t="s">
        <v>41</v>
      </c>
      <c r="T1689" s="1" t="s">
        <v>93</v>
      </c>
      <c r="U1689" s="1" t="s">
        <v>44</v>
      </c>
      <c r="V1689" s="1" t="s">
        <v>94</v>
      </c>
      <c r="X1689" s="1" t="s">
        <v>183</v>
      </c>
      <c r="AA1689" s="3">
        <v>38964</v>
      </c>
      <c r="AB1689" s="1" t="s">
        <v>46</v>
      </c>
      <c r="AC1689" s="5">
        <v>572</v>
      </c>
      <c r="AD1689" s="1" t="s">
        <v>2535</v>
      </c>
      <c r="AE1689" s="1" t="str">
        <f t="shared" si="127"/>
        <v>7380 4A</v>
      </c>
      <c r="AF1689" s="5" t="str">
        <f t="shared" ref="AF1689:AF1705" si="129">MID(AD1689,FIND("(",AD1689)+1,FIND(")",AD1689)-FIND("(",AD1689)-1)</f>
        <v>60</v>
      </c>
      <c r="AG1689" s="1" t="str">
        <f t="shared" si="126"/>
        <v/>
      </c>
    </row>
    <row r="1690" spans="1:33" x14ac:dyDescent="0.2">
      <c r="A1690" s="1" t="s">
        <v>304</v>
      </c>
      <c r="B1690" s="1" t="s">
        <v>4103</v>
      </c>
      <c r="C1690" s="1">
        <v>7380</v>
      </c>
      <c r="D1690" s="1" t="s">
        <v>815</v>
      </c>
      <c r="F1690" s="1">
        <v>2023</v>
      </c>
      <c r="G1690" s="1" t="s">
        <v>247</v>
      </c>
      <c r="H1690" s="1">
        <v>609539</v>
      </c>
      <c r="I1690" s="1">
        <v>4</v>
      </c>
      <c r="K1690" s="1" t="s">
        <v>4104</v>
      </c>
      <c r="L1690" s="1" t="s">
        <v>4105</v>
      </c>
      <c r="M1690" s="1">
        <v>49</v>
      </c>
      <c r="N1690" s="1" t="s">
        <v>39</v>
      </c>
      <c r="O1690" s="1">
        <v>27.6417</v>
      </c>
      <c r="P1690" s="1">
        <v>-81.962500000000006</v>
      </c>
      <c r="Q1690" s="1" t="s">
        <v>308</v>
      </c>
      <c r="R1690" s="1" t="s">
        <v>41</v>
      </c>
      <c r="T1690" s="1" t="s">
        <v>93</v>
      </c>
      <c r="U1690" s="1" t="s">
        <v>44</v>
      </c>
      <c r="V1690" s="1" t="s">
        <v>94</v>
      </c>
      <c r="X1690" s="1" t="s">
        <v>183</v>
      </c>
      <c r="AA1690" s="3">
        <v>38964</v>
      </c>
      <c r="AB1690" s="1" t="s">
        <v>46</v>
      </c>
      <c r="AC1690" s="5">
        <v>572</v>
      </c>
      <c r="AD1690" s="1" t="s">
        <v>2535</v>
      </c>
      <c r="AE1690" s="1" t="str">
        <f t="shared" si="127"/>
        <v>7380 4B</v>
      </c>
      <c r="AF1690" s="5" t="str">
        <f t="shared" si="129"/>
        <v>60</v>
      </c>
      <c r="AG1690" s="1" t="str">
        <f t="shared" si="126"/>
        <v/>
      </c>
    </row>
    <row r="1691" spans="1:33" x14ac:dyDescent="0.2">
      <c r="A1691" s="1" t="s">
        <v>304</v>
      </c>
      <c r="B1691" s="1" t="s">
        <v>4103</v>
      </c>
      <c r="C1691" s="1">
        <v>7380</v>
      </c>
      <c r="D1691" s="1" t="s">
        <v>955</v>
      </c>
      <c r="F1691" s="1">
        <v>2023</v>
      </c>
      <c r="G1691" s="1" t="s">
        <v>247</v>
      </c>
      <c r="H1691" s="1">
        <v>609539</v>
      </c>
      <c r="I1691" s="1">
        <v>4</v>
      </c>
      <c r="K1691" s="1" t="s">
        <v>4104</v>
      </c>
      <c r="L1691" s="1" t="s">
        <v>4105</v>
      </c>
      <c r="M1691" s="1">
        <v>49</v>
      </c>
      <c r="N1691" s="1" t="s">
        <v>39</v>
      </c>
      <c r="O1691" s="1">
        <v>27.6417</v>
      </c>
      <c r="P1691" s="1">
        <v>-81.962500000000006</v>
      </c>
      <c r="Q1691" s="1" t="s">
        <v>308</v>
      </c>
      <c r="R1691" s="1" t="s">
        <v>41</v>
      </c>
      <c r="T1691" s="1" t="s">
        <v>93</v>
      </c>
      <c r="U1691" s="1" t="s">
        <v>44</v>
      </c>
      <c r="V1691" s="1" t="s">
        <v>94</v>
      </c>
      <c r="X1691" s="1" t="s">
        <v>183</v>
      </c>
      <c r="AA1691" s="3">
        <v>38961</v>
      </c>
      <c r="AB1691" s="1" t="s">
        <v>46</v>
      </c>
      <c r="AC1691" s="5">
        <v>572</v>
      </c>
      <c r="AD1691" s="1" t="s">
        <v>2523</v>
      </c>
      <c r="AE1691" s="1" t="str">
        <f t="shared" si="127"/>
        <v>7380 5A</v>
      </c>
      <c r="AF1691" s="5" t="str">
        <f t="shared" si="129"/>
        <v>60</v>
      </c>
      <c r="AG1691" s="1" t="str">
        <f t="shared" si="126"/>
        <v/>
      </c>
    </row>
    <row r="1692" spans="1:33" x14ac:dyDescent="0.2">
      <c r="A1692" s="1" t="s">
        <v>304</v>
      </c>
      <c r="B1692" s="1" t="s">
        <v>4103</v>
      </c>
      <c r="C1692" s="1">
        <v>7380</v>
      </c>
      <c r="D1692" s="1" t="s">
        <v>957</v>
      </c>
      <c r="F1692" s="1">
        <v>2023</v>
      </c>
      <c r="G1692" s="1" t="s">
        <v>247</v>
      </c>
      <c r="H1692" s="1">
        <v>609539</v>
      </c>
      <c r="I1692" s="1">
        <v>4</v>
      </c>
      <c r="K1692" s="1" t="s">
        <v>4104</v>
      </c>
      <c r="L1692" s="1" t="s">
        <v>4105</v>
      </c>
      <c r="M1692" s="1">
        <v>49</v>
      </c>
      <c r="N1692" s="1" t="s">
        <v>39</v>
      </c>
      <c r="O1692" s="1">
        <v>27.6417</v>
      </c>
      <c r="P1692" s="1">
        <v>-81.962500000000006</v>
      </c>
      <c r="Q1692" s="1" t="s">
        <v>308</v>
      </c>
      <c r="R1692" s="1" t="s">
        <v>41</v>
      </c>
      <c r="T1692" s="1" t="s">
        <v>93</v>
      </c>
      <c r="U1692" s="1" t="s">
        <v>44</v>
      </c>
      <c r="V1692" s="1" t="s">
        <v>94</v>
      </c>
      <c r="X1692" s="1" t="s">
        <v>183</v>
      </c>
      <c r="AA1692" s="3">
        <v>38961</v>
      </c>
      <c r="AB1692" s="1" t="s">
        <v>46</v>
      </c>
      <c r="AC1692" s="5">
        <v>572</v>
      </c>
      <c r="AD1692" s="1" t="s">
        <v>2523</v>
      </c>
      <c r="AE1692" s="1" t="str">
        <f t="shared" si="127"/>
        <v>7380 5B</v>
      </c>
      <c r="AF1692" s="5" t="str">
        <f t="shared" si="129"/>
        <v>60</v>
      </c>
      <c r="AG1692" s="1" t="str">
        <f t="shared" si="126"/>
        <v/>
      </c>
    </row>
    <row r="1693" spans="1:33" x14ac:dyDescent="0.2">
      <c r="A1693" s="1" t="s">
        <v>304</v>
      </c>
      <c r="B1693" s="1" t="s">
        <v>4103</v>
      </c>
      <c r="C1693" s="1">
        <v>7380</v>
      </c>
      <c r="D1693" s="1" t="s">
        <v>70</v>
      </c>
      <c r="F1693" s="1">
        <v>2023</v>
      </c>
      <c r="G1693" s="1" t="s">
        <v>247</v>
      </c>
      <c r="H1693" s="1">
        <v>609539</v>
      </c>
      <c r="I1693" s="1">
        <v>4</v>
      </c>
      <c r="K1693" s="1" t="s">
        <v>4104</v>
      </c>
      <c r="L1693" s="1" t="s">
        <v>4105</v>
      </c>
      <c r="M1693" s="1">
        <v>49</v>
      </c>
      <c r="N1693" s="1" t="s">
        <v>39</v>
      </c>
      <c r="O1693" s="1">
        <v>27.6417</v>
      </c>
      <c r="P1693" s="1">
        <v>-81.962500000000006</v>
      </c>
      <c r="Q1693" s="1" t="s">
        <v>308</v>
      </c>
      <c r="R1693" s="1" t="s">
        <v>41</v>
      </c>
      <c r="T1693" s="1" t="s">
        <v>93</v>
      </c>
      <c r="U1693" s="1" t="s">
        <v>44</v>
      </c>
      <c r="V1693" s="1" t="s">
        <v>94</v>
      </c>
      <c r="X1693" s="1" t="s">
        <v>183</v>
      </c>
      <c r="AA1693" s="3">
        <v>38939</v>
      </c>
      <c r="AB1693" s="1" t="s">
        <v>46</v>
      </c>
      <c r="AC1693" s="5">
        <v>572</v>
      </c>
      <c r="AD1693" s="1" t="s">
        <v>2525</v>
      </c>
      <c r="AE1693" s="1" t="str">
        <f t="shared" si="127"/>
        <v>7380 6A</v>
      </c>
      <c r="AF1693" s="5" t="str">
        <f t="shared" si="129"/>
        <v>60</v>
      </c>
      <c r="AG1693" s="1" t="str">
        <f t="shared" si="126"/>
        <v/>
      </c>
    </row>
    <row r="1694" spans="1:33" x14ac:dyDescent="0.2">
      <c r="A1694" s="1" t="s">
        <v>304</v>
      </c>
      <c r="B1694" s="1" t="s">
        <v>4103</v>
      </c>
      <c r="C1694" s="1">
        <v>7380</v>
      </c>
      <c r="D1694" s="1" t="s">
        <v>73</v>
      </c>
      <c r="F1694" s="1">
        <v>2023</v>
      </c>
      <c r="G1694" s="1" t="s">
        <v>247</v>
      </c>
      <c r="H1694" s="1">
        <v>609539</v>
      </c>
      <c r="I1694" s="1">
        <v>4</v>
      </c>
      <c r="K1694" s="1" t="s">
        <v>4104</v>
      </c>
      <c r="L1694" s="1" t="s">
        <v>4105</v>
      </c>
      <c r="M1694" s="1">
        <v>49</v>
      </c>
      <c r="N1694" s="1" t="s">
        <v>39</v>
      </c>
      <c r="O1694" s="1">
        <v>27.6417</v>
      </c>
      <c r="P1694" s="1">
        <v>-81.962500000000006</v>
      </c>
      <c r="Q1694" s="1" t="s">
        <v>308</v>
      </c>
      <c r="R1694" s="1" t="s">
        <v>41</v>
      </c>
      <c r="T1694" s="1" t="s">
        <v>93</v>
      </c>
      <c r="U1694" s="1" t="s">
        <v>44</v>
      </c>
      <c r="V1694" s="1" t="s">
        <v>94</v>
      </c>
      <c r="X1694" s="1" t="s">
        <v>183</v>
      </c>
      <c r="AA1694" s="3">
        <v>38939</v>
      </c>
      <c r="AB1694" s="1" t="s">
        <v>46</v>
      </c>
      <c r="AC1694" s="5">
        <v>572</v>
      </c>
      <c r="AD1694" s="1" t="s">
        <v>2525</v>
      </c>
      <c r="AE1694" s="1" t="str">
        <f t="shared" si="127"/>
        <v>7380 6B</v>
      </c>
      <c r="AF1694" s="5" t="str">
        <f t="shared" si="129"/>
        <v>60</v>
      </c>
      <c r="AG1694" s="1" t="str">
        <f t="shared" si="126"/>
        <v/>
      </c>
    </row>
    <row r="1695" spans="1:33" x14ac:dyDescent="0.2">
      <c r="A1695" s="1" t="s">
        <v>304</v>
      </c>
      <c r="B1695" s="1" t="s">
        <v>4103</v>
      </c>
      <c r="C1695" s="1">
        <v>7380</v>
      </c>
      <c r="D1695" s="1" t="s">
        <v>75</v>
      </c>
      <c r="F1695" s="1">
        <v>2023</v>
      </c>
      <c r="G1695" s="1" t="s">
        <v>247</v>
      </c>
      <c r="H1695" s="1">
        <v>609539</v>
      </c>
      <c r="I1695" s="1">
        <v>4</v>
      </c>
      <c r="K1695" s="1" t="s">
        <v>4104</v>
      </c>
      <c r="L1695" s="1" t="s">
        <v>4105</v>
      </c>
      <c r="M1695" s="1">
        <v>49</v>
      </c>
      <c r="N1695" s="1" t="s">
        <v>39</v>
      </c>
      <c r="O1695" s="1">
        <v>27.6417</v>
      </c>
      <c r="P1695" s="1">
        <v>-81.962500000000006</v>
      </c>
      <c r="Q1695" s="1" t="s">
        <v>308</v>
      </c>
      <c r="R1695" s="1" t="s">
        <v>41</v>
      </c>
      <c r="T1695" s="1" t="s">
        <v>93</v>
      </c>
      <c r="U1695" s="1" t="s">
        <v>44</v>
      </c>
      <c r="V1695" s="1" t="s">
        <v>94</v>
      </c>
      <c r="X1695" s="1" t="s">
        <v>183</v>
      </c>
      <c r="AA1695" s="3">
        <v>38938</v>
      </c>
      <c r="AB1695" s="1" t="s">
        <v>46</v>
      </c>
      <c r="AC1695" s="5">
        <v>572</v>
      </c>
      <c r="AD1695" s="1" t="s">
        <v>2527</v>
      </c>
      <c r="AE1695" s="1" t="str">
        <f t="shared" si="127"/>
        <v>7380 7A</v>
      </c>
      <c r="AF1695" s="5" t="str">
        <f t="shared" si="129"/>
        <v>60</v>
      </c>
      <c r="AG1695" s="1" t="str">
        <f t="shared" si="126"/>
        <v/>
      </c>
    </row>
    <row r="1696" spans="1:33" x14ac:dyDescent="0.2">
      <c r="A1696" s="1" t="s">
        <v>304</v>
      </c>
      <c r="B1696" s="1" t="s">
        <v>4103</v>
      </c>
      <c r="C1696" s="1">
        <v>7380</v>
      </c>
      <c r="D1696" s="1" t="s">
        <v>78</v>
      </c>
      <c r="F1696" s="1">
        <v>2023</v>
      </c>
      <c r="G1696" s="1" t="s">
        <v>247</v>
      </c>
      <c r="H1696" s="1">
        <v>609539</v>
      </c>
      <c r="I1696" s="1">
        <v>4</v>
      </c>
      <c r="K1696" s="1" t="s">
        <v>4104</v>
      </c>
      <c r="L1696" s="1" t="s">
        <v>4105</v>
      </c>
      <c r="M1696" s="1">
        <v>49</v>
      </c>
      <c r="N1696" s="1" t="s">
        <v>39</v>
      </c>
      <c r="O1696" s="1">
        <v>27.6417</v>
      </c>
      <c r="P1696" s="1">
        <v>-81.962500000000006</v>
      </c>
      <c r="Q1696" s="1" t="s">
        <v>308</v>
      </c>
      <c r="R1696" s="1" t="s">
        <v>41</v>
      </c>
      <c r="T1696" s="1" t="s">
        <v>93</v>
      </c>
      <c r="U1696" s="1" t="s">
        <v>44</v>
      </c>
      <c r="V1696" s="1" t="s">
        <v>94</v>
      </c>
      <c r="X1696" s="1" t="s">
        <v>183</v>
      </c>
      <c r="AA1696" s="3">
        <v>38938</v>
      </c>
      <c r="AB1696" s="1" t="s">
        <v>46</v>
      </c>
      <c r="AC1696" s="5">
        <v>572</v>
      </c>
      <c r="AD1696" s="1" t="s">
        <v>2527</v>
      </c>
      <c r="AE1696" s="1" t="str">
        <f t="shared" si="127"/>
        <v>7380 7B</v>
      </c>
      <c r="AF1696" s="5" t="str">
        <f t="shared" si="129"/>
        <v>60</v>
      </c>
      <c r="AG1696" s="1" t="str">
        <f t="shared" si="126"/>
        <v/>
      </c>
    </row>
    <row r="1697" spans="1:33" x14ac:dyDescent="0.2">
      <c r="A1697" s="1" t="s">
        <v>304</v>
      </c>
      <c r="B1697" s="1" t="s">
        <v>4103</v>
      </c>
      <c r="C1697" s="1">
        <v>7380</v>
      </c>
      <c r="D1697" s="1" t="s">
        <v>830</v>
      </c>
      <c r="F1697" s="1">
        <v>2023</v>
      </c>
      <c r="G1697" s="1" t="s">
        <v>247</v>
      </c>
      <c r="H1697" s="1">
        <v>609539</v>
      </c>
      <c r="I1697" s="1">
        <v>4</v>
      </c>
      <c r="K1697" s="1" t="s">
        <v>4104</v>
      </c>
      <c r="L1697" s="1" t="s">
        <v>4105</v>
      </c>
      <c r="M1697" s="1">
        <v>49</v>
      </c>
      <c r="N1697" s="1" t="s">
        <v>39</v>
      </c>
      <c r="O1697" s="1">
        <v>27.6417</v>
      </c>
      <c r="P1697" s="1">
        <v>-81.962500000000006</v>
      </c>
      <c r="Q1697" s="1" t="s">
        <v>308</v>
      </c>
      <c r="R1697" s="1" t="s">
        <v>41</v>
      </c>
      <c r="T1697" s="1" t="s">
        <v>93</v>
      </c>
      <c r="U1697" s="1" t="s">
        <v>44</v>
      </c>
      <c r="V1697" s="1" t="s">
        <v>94</v>
      </c>
      <c r="X1697" s="1" t="s">
        <v>183</v>
      </c>
      <c r="AA1697" s="3">
        <v>38971</v>
      </c>
      <c r="AB1697" s="1" t="s">
        <v>46</v>
      </c>
      <c r="AC1697" s="5">
        <v>572</v>
      </c>
      <c r="AD1697" s="1" t="s">
        <v>4108</v>
      </c>
      <c r="AE1697" s="1" t="str">
        <f t="shared" si="127"/>
        <v>7380 8A</v>
      </c>
      <c r="AF1697" s="5" t="str">
        <f t="shared" si="129"/>
        <v>60</v>
      </c>
      <c r="AG1697" s="1" t="str">
        <f t="shared" si="126"/>
        <v/>
      </c>
    </row>
    <row r="1698" spans="1:33" x14ac:dyDescent="0.2">
      <c r="A1698" s="1" t="s">
        <v>304</v>
      </c>
      <c r="B1698" s="1" t="s">
        <v>4103</v>
      </c>
      <c r="C1698" s="1">
        <v>7380</v>
      </c>
      <c r="D1698" s="1" t="s">
        <v>832</v>
      </c>
      <c r="F1698" s="1">
        <v>2023</v>
      </c>
      <c r="G1698" s="1" t="s">
        <v>247</v>
      </c>
      <c r="H1698" s="1">
        <v>609539</v>
      </c>
      <c r="I1698" s="1">
        <v>4</v>
      </c>
      <c r="K1698" s="1" t="s">
        <v>4104</v>
      </c>
      <c r="L1698" s="1" t="s">
        <v>4105</v>
      </c>
      <c r="M1698" s="1">
        <v>49</v>
      </c>
      <c r="N1698" s="1" t="s">
        <v>39</v>
      </c>
      <c r="O1698" s="1">
        <v>27.6417</v>
      </c>
      <c r="P1698" s="1">
        <v>-81.962500000000006</v>
      </c>
      <c r="Q1698" s="1" t="s">
        <v>308</v>
      </c>
      <c r="R1698" s="1" t="s">
        <v>41</v>
      </c>
      <c r="T1698" s="1" t="s">
        <v>93</v>
      </c>
      <c r="U1698" s="1" t="s">
        <v>44</v>
      </c>
      <c r="V1698" s="1" t="s">
        <v>94</v>
      </c>
      <c r="X1698" s="1" t="s">
        <v>183</v>
      </c>
      <c r="AA1698" s="3">
        <v>38971</v>
      </c>
      <c r="AB1698" s="1" t="s">
        <v>46</v>
      </c>
      <c r="AC1698" s="5">
        <v>572</v>
      </c>
      <c r="AD1698" s="1" t="s">
        <v>4108</v>
      </c>
      <c r="AE1698" s="1" t="str">
        <f t="shared" si="127"/>
        <v>7380 8B</v>
      </c>
      <c r="AF1698" s="5" t="str">
        <f t="shared" si="129"/>
        <v>60</v>
      </c>
      <c r="AG1698" s="1" t="str">
        <f t="shared" si="126"/>
        <v/>
      </c>
    </row>
    <row r="1699" spans="1:33" x14ac:dyDescent="0.2">
      <c r="A1699" s="1" t="s">
        <v>458</v>
      </c>
      <c r="B1699" s="1" t="s">
        <v>4109</v>
      </c>
      <c r="C1699" s="1">
        <v>7425</v>
      </c>
      <c r="D1699" s="1">
        <v>1</v>
      </c>
      <c r="F1699" s="1">
        <v>2023</v>
      </c>
      <c r="G1699" s="1" t="s">
        <v>461</v>
      </c>
      <c r="H1699" s="1">
        <v>602221</v>
      </c>
      <c r="I1699" s="1">
        <v>5</v>
      </c>
      <c r="K1699" s="1" t="s">
        <v>1056</v>
      </c>
      <c r="L1699" s="1" t="s">
        <v>1057</v>
      </c>
      <c r="M1699" s="1">
        <v>167</v>
      </c>
      <c r="N1699" s="1" t="s">
        <v>39</v>
      </c>
      <c r="O1699" s="1">
        <v>39.823300000000003</v>
      </c>
      <c r="P1699" s="1">
        <v>-89.588800000000006</v>
      </c>
      <c r="Q1699" s="1" t="s">
        <v>1058</v>
      </c>
      <c r="R1699" s="1" t="s">
        <v>41</v>
      </c>
      <c r="T1699" s="1" t="s">
        <v>93</v>
      </c>
      <c r="U1699" s="1" t="s">
        <v>44</v>
      </c>
      <c r="V1699" s="1" t="s">
        <v>94</v>
      </c>
      <c r="X1699" s="1" t="s">
        <v>95</v>
      </c>
      <c r="AA1699" s="3">
        <v>35674</v>
      </c>
      <c r="AB1699" s="1" t="s">
        <v>46</v>
      </c>
      <c r="AC1699" s="5">
        <v>1370</v>
      </c>
      <c r="AD1699" s="1" t="s">
        <v>4110</v>
      </c>
      <c r="AE1699" s="1" t="str">
        <f t="shared" si="127"/>
        <v>7425 1</v>
      </c>
      <c r="AF1699" s="5" t="str">
        <f t="shared" si="129"/>
        <v>138.6</v>
      </c>
      <c r="AG1699" s="1" t="str">
        <f t="shared" si="126"/>
        <v/>
      </c>
    </row>
    <row r="1700" spans="1:33" x14ac:dyDescent="0.2">
      <c r="A1700" s="1" t="s">
        <v>370</v>
      </c>
      <c r="B1700" s="1" t="s">
        <v>4111</v>
      </c>
      <c r="C1700" s="1">
        <v>7449</v>
      </c>
      <c r="D1700" s="1" t="s">
        <v>4112</v>
      </c>
      <c r="F1700" s="1">
        <v>2023</v>
      </c>
      <c r="G1700" s="1" t="s">
        <v>247</v>
      </c>
      <c r="H1700" s="1" t="s">
        <v>4113</v>
      </c>
      <c r="I1700" s="1">
        <v>9</v>
      </c>
      <c r="K1700" s="1" t="s">
        <v>4114</v>
      </c>
      <c r="L1700" s="1" t="s">
        <v>4115</v>
      </c>
      <c r="M1700" s="1">
        <v>77</v>
      </c>
      <c r="N1700" s="1" t="s">
        <v>39</v>
      </c>
      <c r="O1700" s="1">
        <v>38.088000000000001</v>
      </c>
      <c r="P1700" s="1">
        <v>-121.3871</v>
      </c>
      <c r="Q1700" s="1" t="s">
        <v>4116</v>
      </c>
      <c r="R1700" s="1" t="s">
        <v>41</v>
      </c>
      <c r="T1700" s="1" t="s">
        <v>93</v>
      </c>
      <c r="U1700" s="1" t="s">
        <v>44</v>
      </c>
      <c r="X1700" s="1" t="s">
        <v>223</v>
      </c>
      <c r="AA1700" s="3">
        <v>35156</v>
      </c>
      <c r="AB1700" s="1" t="s">
        <v>46</v>
      </c>
      <c r="AC1700" s="5">
        <v>463</v>
      </c>
      <c r="AD1700" s="1" t="s">
        <v>4117</v>
      </c>
      <c r="AE1700" s="1" t="str">
        <f t="shared" si="127"/>
        <v>7449 NA1</v>
      </c>
      <c r="AF1700" s="5" t="str">
        <f t="shared" si="129"/>
        <v>50</v>
      </c>
      <c r="AG1700" s="1" t="str">
        <f t="shared" si="126"/>
        <v>Y</v>
      </c>
    </row>
    <row r="1701" spans="1:33" x14ac:dyDescent="0.2">
      <c r="A1701" s="1" t="s">
        <v>4118</v>
      </c>
      <c r="B1701" s="1" t="s">
        <v>4119</v>
      </c>
      <c r="C1701" s="1">
        <v>7456</v>
      </c>
      <c r="D1701" s="1">
        <v>1</v>
      </c>
      <c r="F1701" s="1">
        <v>2023</v>
      </c>
      <c r="G1701" s="1" t="s">
        <v>247</v>
      </c>
      <c r="H1701" s="1">
        <v>609357</v>
      </c>
      <c r="I1701" s="1">
        <v>10</v>
      </c>
      <c r="J1701" s="1" t="s">
        <v>237</v>
      </c>
      <c r="K1701" s="1" t="s">
        <v>4120</v>
      </c>
      <c r="L1701" s="1" t="s">
        <v>4121</v>
      </c>
      <c r="M1701" s="1">
        <v>55</v>
      </c>
      <c r="N1701" s="1" t="s">
        <v>39</v>
      </c>
      <c r="O1701" s="1">
        <v>47.803400000000003</v>
      </c>
      <c r="P1701" s="1">
        <v>-116.869</v>
      </c>
      <c r="Q1701" s="1" t="s">
        <v>4122</v>
      </c>
      <c r="R1701" s="1" t="s">
        <v>41</v>
      </c>
      <c r="T1701" s="1" t="s">
        <v>93</v>
      </c>
      <c r="U1701" s="1" t="s">
        <v>44</v>
      </c>
      <c r="X1701" s="1" t="s">
        <v>140</v>
      </c>
      <c r="AA1701" s="3">
        <v>34700</v>
      </c>
      <c r="AB1701" s="1" t="s">
        <v>46</v>
      </c>
      <c r="AC1701" s="5">
        <v>1200</v>
      </c>
      <c r="AD1701" s="1" t="s">
        <v>4123</v>
      </c>
      <c r="AE1701" s="1" t="str">
        <f t="shared" si="127"/>
        <v>7456 1</v>
      </c>
      <c r="AF1701" s="5" t="str">
        <f t="shared" si="129"/>
        <v>83.5</v>
      </c>
      <c r="AG1701" s="1" t="str">
        <f t="shared" si="126"/>
        <v/>
      </c>
    </row>
    <row r="1702" spans="1:33" x14ac:dyDescent="0.2">
      <c r="A1702" s="1" t="s">
        <v>4118</v>
      </c>
      <c r="B1702" s="1" t="s">
        <v>4119</v>
      </c>
      <c r="C1702" s="1">
        <v>7456</v>
      </c>
      <c r="D1702" s="1">
        <v>2</v>
      </c>
      <c r="F1702" s="1">
        <v>2023</v>
      </c>
      <c r="G1702" s="1" t="s">
        <v>247</v>
      </c>
      <c r="H1702" s="1">
        <v>609357</v>
      </c>
      <c r="I1702" s="1">
        <v>10</v>
      </c>
      <c r="J1702" s="1" t="s">
        <v>237</v>
      </c>
      <c r="K1702" s="1" t="s">
        <v>4120</v>
      </c>
      <c r="L1702" s="1" t="s">
        <v>4121</v>
      </c>
      <c r="M1702" s="1">
        <v>55</v>
      </c>
      <c r="N1702" s="1" t="s">
        <v>39</v>
      </c>
      <c r="O1702" s="1">
        <v>47.803400000000003</v>
      </c>
      <c r="P1702" s="1">
        <v>-116.869</v>
      </c>
      <c r="Q1702" s="1" t="s">
        <v>4122</v>
      </c>
      <c r="R1702" s="1" t="s">
        <v>41</v>
      </c>
      <c r="T1702" s="1" t="s">
        <v>93</v>
      </c>
      <c r="U1702" s="1" t="s">
        <v>44</v>
      </c>
      <c r="X1702" s="1" t="s">
        <v>140</v>
      </c>
      <c r="AA1702" s="3">
        <v>34700</v>
      </c>
      <c r="AB1702" s="1" t="s">
        <v>46</v>
      </c>
      <c r="AC1702" s="5">
        <v>1200</v>
      </c>
      <c r="AD1702" s="1" t="s">
        <v>4124</v>
      </c>
      <c r="AE1702" s="1" t="str">
        <f t="shared" si="127"/>
        <v>7456 2</v>
      </c>
      <c r="AF1702" s="5" t="str">
        <f t="shared" si="129"/>
        <v>83.5</v>
      </c>
      <c r="AG1702" s="1" t="str">
        <f t="shared" si="126"/>
        <v/>
      </c>
    </row>
    <row r="1703" spans="1:33" x14ac:dyDescent="0.2">
      <c r="A1703" s="1" t="s">
        <v>3253</v>
      </c>
      <c r="B1703" s="1" t="s">
        <v>4125</v>
      </c>
      <c r="C1703" s="1">
        <v>7504</v>
      </c>
      <c r="D1703" s="1">
        <v>1</v>
      </c>
      <c r="F1703" s="1">
        <v>2023</v>
      </c>
      <c r="G1703" s="1" t="s">
        <v>236</v>
      </c>
      <c r="H1703" s="1" t="s">
        <v>4126</v>
      </c>
      <c r="I1703" s="1">
        <v>8</v>
      </c>
      <c r="J1703" s="1" t="s">
        <v>237</v>
      </c>
      <c r="K1703" s="1" t="s">
        <v>3539</v>
      </c>
      <c r="L1703" s="1" t="s">
        <v>3540</v>
      </c>
      <c r="M1703" s="1">
        <v>5</v>
      </c>
      <c r="N1703" s="1" t="s">
        <v>39</v>
      </c>
      <c r="O1703" s="1">
        <v>44.285299999999999</v>
      </c>
      <c r="P1703" s="1">
        <v>-105.3841</v>
      </c>
      <c r="Q1703" s="1" t="s">
        <v>4127</v>
      </c>
      <c r="R1703" s="1" t="s">
        <v>41</v>
      </c>
      <c r="T1703" s="1" t="s">
        <v>89</v>
      </c>
      <c r="U1703" s="1" t="s">
        <v>55</v>
      </c>
      <c r="W1703" s="1" t="s">
        <v>212</v>
      </c>
      <c r="X1703" s="1" t="s">
        <v>289</v>
      </c>
      <c r="Y1703" s="1" t="s">
        <v>58</v>
      </c>
      <c r="Z1703" s="1" t="s">
        <v>3674</v>
      </c>
      <c r="AA1703" s="3">
        <v>34865</v>
      </c>
      <c r="AB1703" s="1" t="s">
        <v>46</v>
      </c>
      <c r="AC1703" s="5">
        <v>1300</v>
      </c>
      <c r="AD1703" s="1" t="s">
        <v>1149</v>
      </c>
      <c r="AE1703" s="1" t="str">
        <f t="shared" si="127"/>
        <v>7504 1</v>
      </c>
      <c r="AF1703" s="5" t="str">
        <f t="shared" si="129"/>
        <v>100</v>
      </c>
      <c r="AG1703" s="1" t="str">
        <f t="shared" si="126"/>
        <v/>
      </c>
    </row>
    <row r="1704" spans="1:33" x14ac:dyDescent="0.2">
      <c r="A1704" s="1" t="s">
        <v>3253</v>
      </c>
      <c r="B1704" s="1" t="s">
        <v>4125</v>
      </c>
      <c r="C1704" s="1">
        <v>7504</v>
      </c>
      <c r="D1704" s="1" t="s">
        <v>311</v>
      </c>
      <c r="F1704" s="1">
        <v>2023</v>
      </c>
      <c r="G1704" s="1" t="s">
        <v>247</v>
      </c>
      <c r="H1704" s="1" t="s">
        <v>4126</v>
      </c>
      <c r="I1704" s="1">
        <v>8</v>
      </c>
      <c r="J1704" s="1" t="s">
        <v>237</v>
      </c>
      <c r="K1704" s="1" t="s">
        <v>3539</v>
      </c>
      <c r="L1704" s="1" t="s">
        <v>3540</v>
      </c>
      <c r="M1704" s="1">
        <v>5</v>
      </c>
      <c r="N1704" s="1" t="s">
        <v>39</v>
      </c>
      <c r="O1704" s="1">
        <v>44.285299999999999</v>
      </c>
      <c r="P1704" s="1">
        <v>-105.3841</v>
      </c>
      <c r="Q1704" s="1" t="s">
        <v>4127</v>
      </c>
      <c r="R1704" s="1" t="s">
        <v>41</v>
      </c>
      <c r="T1704" s="1" t="s">
        <v>93</v>
      </c>
      <c r="U1704" s="1" t="s">
        <v>44</v>
      </c>
      <c r="X1704" s="1" t="s">
        <v>140</v>
      </c>
      <c r="AA1704" s="3">
        <v>36692</v>
      </c>
      <c r="AB1704" s="1" t="s">
        <v>46</v>
      </c>
      <c r="AC1704" s="5">
        <v>393</v>
      </c>
      <c r="AD1704" s="1" t="s">
        <v>1802</v>
      </c>
      <c r="AE1704" s="1" t="str">
        <f t="shared" si="127"/>
        <v>7504 CT1</v>
      </c>
      <c r="AF1704" s="5" t="str">
        <f t="shared" si="129"/>
        <v>40</v>
      </c>
      <c r="AG1704" s="1" t="str">
        <f t="shared" si="126"/>
        <v/>
      </c>
    </row>
    <row r="1705" spans="1:33" x14ac:dyDescent="0.2">
      <c r="A1705" s="1" t="s">
        <v>225</v>
      </c>
      <c r="B1705" s="1" t="s">
        <v>4128</v>
      </c>
      <c r="C1705" s="1">
        <v>7515</v>
      </c>
      <c r="D1705" s="1">
        <v>1</v>
      </c>
      <c r="F1705" s="1">
        <v>2023</v>
      </c>
      <c r="G1705" s="1" t="s">
        <v>35</v>
      </c>
      <c r="H1705" s="1">
        <v>610198</v>
      </c>
      <c r="I1705" s="1">
        <v>7</v>
      </c>
      <c r="J1705" s="1" t="s">
        <v>228</v>
      </c>
      <c r="K1705" s="1" t="s">
        <v>1331</v>
      </c>
      <c r="L1705" s="1" t="s">
        <v>1332</v>
      </c>
      <c r="M1705" s="1">
        <v>113</v>
      </c>
      <c r="N1705" s="1" t="s">
        <v>39</v>
      </c>
      <c r="O1705" s="1">
        <v>38.386400000000002</v>
      </c>
      <c r="P1705" s="1">
        <v>-97.61</v>
      </c>
      <c r="Q1705" s="1" t="s">
        <v>1333</v>
      </c>
      <c r="R1705" s="1" t="s">
        <v>41</v>
      </c>
      <c r="T1705" s="1" t="s">
        <v>93</v>
      </c>
      <c r="U1705" s="1" t="s">
        <v>44</v>
      </c>
      <c r="V1705" s="1" t="s">
        <v>94</v>
      </c>
      <c r="X1705" s="1" t="s">
        <v>95</v>
      </c>
      <c r="AA1705" s="3">
        <v>36097</v>
      </c>
      <c r="AB1705" s="1" t="s">
        <v>46</v>
      </c>
      <c r="AC1705" s="5">
        <v>1200</v>
      </c>
      <c r="AD1705" s="1" t="s">
        <v>4129</v>
      </c>
      <c r="AE1705" s="1" t="str">
        <f t="shared" si="127"/>
        <v>7515 1</v>
      </c>
      <c r="AF1705" s="5" t="str">
        <f t="shared" si="129"/>
        <v>115.6</v>
      </c>
      <c r="AG1705" s="1" t="str">
        <f t="shared" si="126"/>
        <v/>
      </c>
    </row>
    <row r="1706" spans="1:33" x14ac:dyDescent="0.2">
      <c r="A1706" s="1" t="s">
        <v>370</v>
      </c>
      <c r="B1706" s="1" t="s">
        <v>4130</v>
      </c>
      <c r="C1706" s="1">
        <v>7527</v>
      </c>
      <c r="D1706" s="1">
        <v>1</v>
      </c>
      <c r="F1706" s="1">
        <v>2023</v>
      </c>
      <c r="G1706" s="1" t="s">
        <v>247</v>
      </c>
      <c r="H1706" s="1">
        <v>610159</v>
      </c>
      <c r="I1706" s="1">
        <v>9</v>
      </c>
      <c r="K1706" s="1" t="s">
        <v>4131</v>
      </c>
      <c r="L1706" s="1" t="s">
        <v>4132</v>
      </c>
      <c r="M1706" s="1">
        <v>67</v>
      </c>
      <c r="N1706" s="1" t="s">
        <v>1680</v>
      </c>
      <c r="O1706" s="1">
        <v>38.446100000000001</v>
      </c>
      <c r="P1706" s="1">
        <v>-121.4614</v>
      </c>
      <c r="Q1706" s="1" t="s">
        <v>4133</v>
      </c>
      <c r="R1706" s="1" t="s">
        <v>41</v>
      </c>
      <c r="T1706" s="1" t="s">
        <v>71</v>
      </c>
      <c r="U1706" s="1" t="s">
        <v>284</v>
      </c>
      <c r="V1706" s="1" t="s">
        <v>288</v>
      </c>
      <c r="X1706" s="1" t="s">
        <v>176</v>
      </c>
      <c r="AA1706" s="3">
        <v>34983</v>
      </c>
      <c r="AB1706" s="1" t="s">
        <v>46</v>
      </c>
      <c r="AC1706" s="5">
        <v>599</v>
      </c>
      <c r="AD1706" s="1" t="s">
        <v>4134</v>
      </c>
      <c r="AE1706" s="1" t="str">
        <f t="shared" si="127"/>
        <v>7527 1</v>
      </c>
      <c r="AF1706" s="14">
        <f>MID(AD1706,FIND("(",AD1706)+1,FIND(")",AD1706)-FIND("(",AD1706)-1)+17.5</f>
        <v>71.5</v>
      </c>
      <c r="AG1706" s="1" t="str">
        <f t="shared" si="126"/>
        <v>Y</v>
      </c>
    </row>
    <row r="1707" spans="1:33" x14ac:dyDescent="0.2">
      <c r="A1707" s="1" t="s">
        <v>370</v>
      </c>
      <c r="B1707" s="1" t="s">
        <v>4130</v>
      </c>
      <c r="C1707" s="1">
        <v>7527</v>
      </c>
      <c r="D1707" s="1">
        <v>2</v>
      </c>
      <c r="F1707" s="1">
        <v>2023</v>
      </c>
      <c r="G1707" s="1" t="s">
        <v>247</v>
      </c>
      <c r="H1707" s="1">
        <v>610159</v>
      </c>
      <c r="I1707" s="1">
        <v>9</v>
      </c>
      <c r="K1707" s="1" t="s">
        <v>4131</v>
      </c>
      <c r="L1707" s="1" t="s">
        <v>4132</v>
      </c>
      <c r="M1707" s="1">
        <v>67</v>
      </c>
      <c r="N1707" s="1" t="s">
        <v>1680</v>
      </c>
      <c r="O1707" s="1">
        <v>38.446100000000001</v>
      </c>
      <c r="P1707" s="1">
        <v>-121.4614</v>
      </c>
      <c r="Q1707" s="1" t="s">
        <v>4133</v>
      </c>
      <c r="R1707" s="1" t="s">
        <v>41</v>
      </c>
      <c r="T1707" s="1" t="s">
        <v>93</v>
      </c>
      <c r="U1707" s="1" t="s">
        <v>284</v>
      </c>
      <c r="X1707" s="1" t="s">
        <v>176</v>
      </c>
      <c r="AA1707" s="3">
        <v>34983</v>
      </c>
      <c r="AB1707" s="1" t="s">
        <v>46</v>
      </c>
      <c r="AC1707" s="5">
        <v>450</v>
      </c>
      <c r="AD1707" s="1" t="s">
        <v>4135</v>
      </c>
      <c r="AE1707" s="1" t="str">
        <f t="shared" si="127"/>
        <v>7527 2</v>
      </c>
      <c r="AF1707" s="5" t="str">
        <f>MID(AD1707,FIND("(",AD1707)+1,FIND(")",AD1707)-FIND("(",AD1707)-1)</f>
        <v>54</v>
      </c>
      <c r="AG1707" s="1" t="str">
        <f t="shared" si="126"/>
        <v>Y</v>
      </c>
    </row>
    <row r="1708" spans="1:33" x14ac:dyDescent="0.2">
      <c r="A1708" s="1" t="s">
        <v>370</v>
      </c>
      <c r="B1708" s="1" t="s">
        <v>4136</v>
      </c>
      <c r="C1708" s="1">
        <v>7551</v>
      </c>
      <c r="D1708" s="1" t="s">
        <v>372</v>
      </c>
      <c r="F1708" s="1">
        <v>2023</v>
      </c>
      <c r="G1708" s="1" t="s">
        <v>247</v>
      </c>
      <c r="H1708" s="1">
        <v>610159</v>
      </c>
      <c r="I1708" s="1">
        <v>9</v>
      </c>
      <c r="K1708" s="1" t="s">
        <v>4131</v>
      </c>
      <c r="L1708" s="1" t="s">
        <v>4132</v>
      </c>
      <c r="M1708" s="1">
        <v>67</v>
      </c>
      <c r="N1708" s="1" t="s">
        <v>1680</v>
      </c>
      <c r="O1708" s="1">
        <v>38.5306</v>
      </c>
      <c r="P1708" s="1">
        <v>-121.399</v>
      </c>
      <c r="Q1708" s="1" t="s">
        <v>4133</v>
      </c>
      <c r="R1708" s="1" t="s">
        <v>41</v>
      </c>
      <c r="T1708" s="1" t="s">
        <v>71</v>
      </c>
      <c r="U1708" s="1" t="s">
        <v>44</v>
      </c>
      <c r="X1708" s="1" t="s">
        <v>223</v>
      </c>
      <c r="AA1708" s="3">
        <v>35527</v>
      </c>
      <c r="AB1708" s="1" t="s">
        <v>46</v>
      </c>
      <c r="AC1708" s="5">
        <v>583</v>
      </c>
      <c r="AD1708" s="1" t="s">
        <v>4137</v>
      </c>
      <c r="AE1708" s="1" t="str">
        <f t="shared" si="127"/>
        <v>7551 1A</v>
      </c>
      <c r="AF1708" s="14">
        <f>MID(AD1708,FIND("(",AD1708)+1,FIND(")",AD1708)-FIND("(",AD1708)-1)+49.9/2</f>
        <v>74.849999999999994</v>
      </c>
      <c r="AG1708" s="1" t="str">
        <f t="shared" si="126"/>
        <v>Y</v>
      </c>
    </row>
    <row r="1709" spans="1:33" x14ac:dyDescent="0.2">
      <c r="A1709" s="1" t="s">
        <v>370</v>
      </c>
      <c r="B1709" s="1" t="s">
        <v>4136</v>
      </c>
      <c r="C1709" s="1">
        <v>7551</v>
      </c>
      <c r="D1709" s="1" t="s">
        <v>1199</v>
      </c>
      <c r="F1709" s="1">
        <v>2023</v>
      </c>
      <c r="G1709" s="1" t="s">
        <v>247</v>
      </c>
      <c r="H1709" s="1">
        <v>610159</v>
      </c>
      <c r="I1709" s="1">
        <v>9</v>
      </c>
      <c r="K1709" s="1" t="s">
        <v>4131</v>
      </c>
      <c r="L1709" s="1" t="s">
        <v>4132</v>
      </c>
      <c r="M1709" s="1">
        <v>67</v>
      </c>
      <c r="N1709" s="1" t="s">
        <v>1680</v>
      </c>
      <c r="O1709" s="1">
        <v>38.5306</v>
      </c>
      <c r="P1709" s="1">
        <v>-121.399</v>
      </c>
      <c r="Q1709" s="1" t="s">
        <v>4133</v>
      </c>
      <c r="R1709" s="1" t="s">
        <v>41</v>
      </c>
      <c r="T1709" s="1" t="s">
        <v>71</v>
      </c>
      <c r="U1709" s="1" t="s">
        <v>44</v>
      </c>
      <c r="X1709" s="1" t="s">
        <v>223</v>
      </c>
      <c r="AA1709" s="3">
        <v>35527</v>
      </c>
      <c r="AB1709" s="1" t="s">
        <v>46</v>
      </c>
      <c r="AC1709" s="5">
        <v>583</v>
      </c>
      <c r="AD1709" s="1" t="s">
        <v>4138</v>
      </c>
      <c r="AE1709" s="1" t="str">
        <f t="shared" si="127"/>
        <v>7551 1B</v>
      </c>
      <c r="AF1709" s="14">
        <f>AF1708</f>
        <v>74.849999999999994</v>
      </c>
      <c r="AG1709" s="1" t="str">
        <f t="shared" si="126"/>
        <v>Y</v>
      </c>
    </row>
    <row r="1710" spans="1:33" x14ac:dyDescent="0.2">
      <c r="A1710" s="1" t="s">
        <v>370</v>
      </c>
      <c r="B1710" s="1" t="s">
        <v>4136</v>
      </c>
      <c r="C1710" s="1">
        <v>7551</v>
      </c>
      <c r="D1710" s="1" t="s">
        <v>3753</v>
      </c>
      <c r="F1710" s="1">
        <v>2023</v>
      </c>
      <c r="G1710" s="1" t="s">
        <v>247</v>
      </c>
      <c r="H1710" s="1">
        <v>610159</v>
      </c>
      <c r="I1710" s="1">
        <v>9</v>
      </c>
      <c r="K1710" s="1" t="s">
        <v>4131</v>
      </c>
      <c r="L1710" s="1" t="s">
        <v>4132</v>
      </c>
      <c r="M1710" s="1">
        <v>67</v>
      </c>
      <c r="N1710" s="1" t="s">
        <v>1680</v>
      </c>
      <c r="O1710" s="1">
        <v>38.5306</v>
      </c>
      <c r="P1710" s="1">
        <v>-121.399</v>
      </c>
      <c r="Q1710" s="1" t="s">
        <v>4133</v>
      </c>
      <c r="R1710" s="1" t="s">
        <v>41</v>
      </c>
      <c r="T1710" s="1" t="s">
        <v>93</v>
      </c>
      <c r="U1710" s="1" t="s">
        <v>44</v>
      </c>
      <c r="X1710" s="1" t="s">
        <v>223</v>
      </c>
      <c r="AA1710" s="3">
        <v>36951</v>
      </c>
      <c r="AB1710" s="1" t="s">
        <v>46</v>
      </c>
      <c r="AC1710" s="5">
        <v>500</v>
      </c>
      <c r="AD1710" s="1" t="s">
        <v>4139</v>
      </c>
      <c r="AE1710" s="1" t="str">
        <f t="shared" si="127"/>
        <v>7551 1C</v>
      </c>
      <c r="AF1710" s="5" t="str">
        <f>MID(AD1710,FIND("(",AD1710)+1,FIND(")",AD1710)-FIND("(",AD1710)-1)</f>
        <v>44</v>
      </c>
      <c r="AG1710" s="1" t="str">
        <f t="shared" si="126"/>
        <v>Y</v>
      </c>
    </row>
    <row r="1711" spans="1:33" x14ac:dyDescent="0.2">
      <c r="A1711" s="1" t="s">
        <v>370</v>
      </c>
      <c r="B1711" s="1" t="s">
        <v>4140</v>
      </c>
      <c r="C1711" s="1">
        <v>7552</v>
      </c>
      <c r="D1711" s="1">
        <v>1</v>
      </c>
      <c r="F1711" s="1">
        <v>2023</v>
      </c>
      <c r="G1711" s="1" t="s">
        <v>247</v>
      </c>
      <c r="H1711" s="1">
        <v>610159</v>
      </c>
      <c r="I1711" s="1">
        <v>9</v>
      </c>
      <c r="K1711" s="1" t="s">
        <v>4131</v>
      </c>
      <c r="L1711" s="1" t="s">
        <v>4132</v>
      </c>
      <c r="M1711" s="1">
        <v>67</v>
      </c>
      <c r="N1711" s="1" t="s">
        <v>1680</v>
      </c>
      <c r="O1711" s="1">
        <v>38.511000000000003</v>
      </c>
      <c r="P1711" s="1">
        <v>-121.4735</v>
      </c>
      <c r="Q1711" s="1" t="s">
        <v>4133</v>
      </c>
      <c r="R1711" s="1" t="s">
        <v>41</v>
      </c>
      <c r="T1711" s="1" t="s">
        <v>71</v>
      </c>
      <c r="U1711" s="1" t="s">
        <v>44</v>
      </c>
      <c r="X1711" s="1" t="s">
        <v>223</v>
      </c>
      <c r="AA1711" s="3">
        <v>35652</v>
      </c>
      <c r="AB1711" s="1" t="s">
        <v>46</v>
      </c>
      <c r="AC1711" s="5">
        <v>1610</v>
      </c>
      <c r="AD1711" s="1" t="s">
        <v>4141</v>
      </c>
      <c r="AE1711" s="1" t="str">
        <f t="shared" si="127"/>
        <v>7552 1</v>
      </c>
      <c r="AF1711" s="14">
        <f>MID(AD1711,FIND("(",AD1711)+1,FIND(")",AD1711)-FIND("(",AD1711)-1)+55.3</f>
        <v>174.1</v>
      </c>
      <c r="AG1711" s="1" t="str">
        <f t="shared" si="126"/>
        <v>Y</v>
      </c>
    </row>
    <row r="1712" spans="1:33" x14ac:dyDescent="0.2">
      <c r="A1712" s="1" t="s">
        <v>1755</v>
      </c>
      <c r="B1712" s="1" t="s">
        <v>4142</v>
      </c>
      <c r="C1712" s="1">
        <v>7604</v>
      </c>
      <c r="D1712" s="1">
        <v>1</v>
      </c>
      <c r="F1712" s="1">
        <v>2023</v>
      </c>
      <c r="G1712" s="1" t="s">
        <v>1207</v>
      </c>
      <c r="H1712" s="1">
        <v>606546</v>
      </c>
      <c r="I1712" s="1">
        <v>7</v>
      </c>
      <c r="K1712" s="1" t="s">
        <v>4143</v>
      </c>
      <c r="L1712" s="1" t="s">
        <v>4144</v>
      </c>
      <c r="M1712" s="1">
        <v>69</v>
      </c>
      <c r="N1712" s="1" t="s">
        <v>39</v>
      </c>
      <c r="O1712" s="1">
        <v>36.5852</v>
      </c>
      <c r="P1712" s="1">
        <v>-90.177899999999994</v>
      </c>
      <c r="Q1712" s="1" t="s">
        <v>4145</v>
      </c>
      <c r="R1712" s="1" t="s">
        <v>41</v>
      </c>
      <c r="T1712" s="1" t="s">
        <v>71</v>
      </c>
      <c r="U1712" s="1" t="s">
        <v>44</v>
      </c>
      <c r="X1712" s="1" t="s">
        <v>64</v>
      </c>
      <c r="AA1712" s="3">
        <v>36365</v>
      </c>
      <c r="AB1712" s="1" t="s">
        <v>46</v>
      </c>
      <c r="AC1712" s="5">
        <v>1920</v>
      </c>
      <c r="AD1712" s="1" t="s">
        <v>4146</v>
      </c>
      <c r="AE1712" s="1" t="str">
        <f t="shared" si="127"/>
        <v>7604 1</v>
      </c>
      <c r="AF1712" s="5" t="str">
        <f>MID(AD1712,FIND("(",AD1712)+1,FIND(")",AD1712)-FIND("(",AD1712)-1)</f>
        <v>289</v>
      </c>
      <c r="AG1712" s="1" t="str">
        <f t="shared" si="126"/>
        <v>Y</v>
      </c>
    </row>
    <row r="1713" spans="1:33" x14ac:dyDescent="0.2">
      <c r="A1713" s="1" t="s">
        <v>1755</v>
      </c>
      <c r="B1713" s="1" t="s">
        <v>4142</v>
      </c>
      <c r="C1713" s="1">
        <v>7604</v>
      </c>
      <c r="D1713" s="1">
        <v>2</v>
      </c>
      <c r="F1713" s="1">
        <v>2023</v>
      </c>
      <c r="G1713" s="1" t="s">
        <v>1207</v>
      </c>
      <c r="H1713" s="1">
        <v>606546</v>
      </c>
      <c r="I1713" s="1">
        <v>7</v>
      </c>
      <c r="K1713" s="1" t="s">
        <v>4143</v>
      </c>
      <c r="L1713" s="1" t="s">
        <v>4144</v>
      </c>
      <c r="M1713" s="1">
        <v>69</v>
      </c>
      <c r="N1713" s="1" t="s">
        <v>39</v>
      </c>
      <c r="O1713" s="1">
        <v>36.5852</v>
      </c>
      <c r="P1713" s="1">
        <v>-90.177899999999994</v>
      </c>
      <c r="Q1713" s="1" t="s">
        <v>4145</v>
      </c>
      <c r="R1713" s="1" t="s">
        <v>41</v>
      </c>
      <c r="T1713" s="1" t="s">
        <v>71</v>
      </c>
      <c r="U1713" s="1" t="s">
        <v>44</v>
      </c>
      <c r="X1713" s="1" t="s">
        <v>64</v>
      </c>
      <c r="AA1713" s="3">
        <v>36923</v>
      </c>
      <c r="AB1713" s="1" t="s">
        <v>46</v>
      </c>
      <c r="AC1713" s="5">
        <v>2053.6999999999998</v>
      </c>
      <c r="AD1713" s="1" t="s">
        <v>4147</v>
      </c>
      <c r="AE1713" s="1" t="str">
        <f t="shared" si="127"/>
        <v>7604 2</v>
      </c>
      <c r="AF1713" s="5" t="str">
        <f>MID(AD1713,FIND("(",AD1713)+1,FIND(")",AD1713)-FIND("(",AD1713)-1)</f>
        <v>289</v>
      </c>
      <c r="AG1713" s="1" t="str">
        <f t="shared" si="126"/>
        <v>Y</v>
      </c>
    </row>
    <row r="1714" spans="1:33" x14ac:dyDescent="0.2">
      <c r="A1714" s="1" t="s">
        <v>690</v>
      </c>
      <c r="B1714" s="1" t="s">
        <v>4148</v>
      </c>
      <c r="C1714" s="1">
        <v>7605</v>
      </c>
      <c r="D1714" s="1">
        <v>1</v>
      </c>
      <c r="F1714" s="1">
        <v>2023</v>
      </c>
      <c r="G1714" s="1" t="s">
        <v>247</v>
      </c>
      <c r="H1714" s="1">
        <v>889</v>
      </c>
      <c r="I1714" s="1">
        <v>10</v>
      </c>
      <c r="K1714" s="1" t="s">
        <v>170</v>
      </c>
      <c r="L1714" s="1" t="s">
        <v>4149</v>
      </c>
      <c r="M1714" s="1">
        <v>11</v>
      </c>
      <c r="N1714" s="1" t="s">
        <v>39</v>
      </c>
      <c r="O1714" s="1">
        <v>45.65</v>
      </c>
      <c r="P1714" s="1">
        <v>-122.7231</v>
      </c>
      <c r="Q1714" s="1" t="s">
        <v>4150</v>
      </c>
      <c r="R1714" s="1" t="s">
        <v>41</v>
      </c>
      <c r="T1714" s="1" t="s">
        <v>71</v>
      </c>
      <c r="U1714" s="1" t="s">
        <v>284</v>
      </c>
      <c r="X1714" s="1" t="s">
        <v>223</v>
      </c>
      <c r="AA1714" s="3">
        <v>35772</v>
      </c>
      <c r="AB1714" s="1" t="s">
        <v>46</v>
      </c>
      <c r="AC1714" s="5">
        <v>1985</v>
      </c>
      <c r="AD1714" s="1" t="s">
        <v>2961</v>
      </c>
      <c r="AE1714" s="1" t="str">
        <f t="shared" si="127"/>
        <v>7605 1</v>
      </c>
      <c r="AF1714" s="5" t="str">
        <f>MID(AD1714,FIND("(",AD1714)+1,FIND(")",AD1714)-FIND("(",AD1714)-1)</f>
        <v>248</v>
      </c>
      <c r="AG1714" s="1" t="str">
        <f t="shared" si="126"/>
        <v>Y</v>
      </c>
    </row>
    <row r="1715" spans="1:33" x14ac:dyDescent="0.2">
      <c r="A1715" s="1" t="s">
        <v>32</v>
      </c>
      <c r="B1715" s="1" t="s">
        <v>4151</v>
      </c>
      <c r="C1715" s="1">
        <v>7697</v>
      </c>
      <c r="D1715" s="1" t="s">
        <v>194</v>
      </c>
      <c r="F1715" s="1">
        <v>2023</v>
      </c>
      <c r="G1715" s="1" t="s">
        <v>35</v>
      </c>
      <c r="H1715" s="1">
        <v>605449</v>
      </c>
      <c r="I1715" s="1">
        <v>4</v>
      </c>
      <c r="K1715" s="1" t="s">
        <v>196</v>
      </c>
      <c r="L1715" s="1" t="s">
        <v>197</v>
      </c>
      <c r="M1715" s="1">
        <v>129</v>
      </c>
      <c r="N1715" s="1" t="s">
        <v>1680</v>
      </c>
      <c r="O1715" s="1">
        <v>31.264199999999999</v>
      </c>
      <c r="P1715" s="1">
        <v>-88.002700000000004</v>
      </c>
      <c r="Q1715" s="1" t="s">
        <v>40</v>
      </c>
      <c r="R1715" s="1" t="s">
        <v>41</v>
      </c>
      <c r="T1715" s="1" t="s">
        <v>71</v>
      </c>
      <c r="U1715" s="1" t="s">
        <v>44</v>
      </c>
      <c r="V1715" s="1" t="s">
        <v>1432</v>
      </c>
      <c r="X1715" s="1" t="s">
        <v>140</v>
      </c>
      <c r="AA1715" s="3">
        <v>36202</v>
      </c>
      <c r="AB1715" s="1" t="s">
        <v>46</v>
      </c>
      <c r="AC1715" s="5">
        <v>1400</v>
      </c>
      <c r="AD1715" s="1" t="s">
        <v>4152</v>
      </c>
      <c r="AE1715" s="1" t="str">
        <f t="shared" si="127"/>
        <v>7697 CC1</v>
      </c>
      <c r="AF1715" s="14">
        <f>MID(AD1715,FIND("(",AD1715)+1,FIND(")",AD1715)-FIND("(",AD1715)-1)+39.7</f>
        <v>109</v>
      </c>
      <c r="AG1715" s="1" t="str">
        <f t="shared" si="126"/>
        <v/>
      </c>
    </row>
    <row r="1716" spans="1:33" x14ac:dyDescent="0.2">
      <c r="A1716" s="1" t="s">
        <v>32</v>
      </c>
      <c r="B1716" s="1" t="s">
        <v>4153</v>
      </c>
      <c r="C1716" s="1">
        <v>7698</v>
      </c>
      <c r="D1716" s="1" t="s">
        <v>194</v>
      </c>
      <c r="F1716" s="1">
        <v>2023</v>
      </c>
      <c r="G1716" s="1" t="s">
        <v>35</v>
      </c>
      <c r="H1716" s="1">
        <v>608868</v>
      </c>
      <c r="I1716" s="1">
        <v>4</v>
      </c>
      <c r="K1716" s="1" t="s">
        <v>4154</v>
      </c>
      <c r="L1716" s="1" t="s">
        <v>4155</v>
      </c>
      <c r="M1716" s="1">
        <v>85</v>
      </c>
      <c r="N1716" s="1" t="s">
        <v>1680</v>
      </c>
      <c r="O1716" s="1">
        <v>32.310200000000002</v>
      </c>
      <c r="P1716" s="1">
        <v>-86.524199999999993</v>
      </c>
      <c r="Q1716" s="1" t="s">
        <v>4156</v>
      </c>
      <c r="R1716" s="1" t="s">
        <v>41</v>
      </c>
      <c r="T1716" s="1" t="s">
        <v>71</v>
      </c>
      <c r="U1716" s="1" t="s">
        <v>44</v>
      </c>
      <c r="V1716" s="1" t="s">
        <v>1432</v>
      </c>
      <c r="X1716" s="1" t="s">
        <v>140</v>
      </c>
      <c r="AA1716" s="3">
        <v>36296</v>
      </c>
      <c r="AB1716" s="1" t="s">
        <v>46</v>
      </c>
      <c r="AC1716" s="5">
        <v>1365</v>
      </c>
      <c r="AD1716" s="1" t="s">
        <v>4157</v>
      </c>
      <c r="AE1716" s="1" t="str">
        <f t="shared" si="127"/>
        <v>7698 CC1</v>
      </c>
      <c r="AF1716" s="14">
        <f>MID(AD1716,FIND("(",AD1716)+1,FIND(")",AD1716)-FIND("(",AD1716)-1)+14.8</f>
        <v>97</v>
      </c>
      <c r="AG1716" s="1" t="str">
        <f t="shared" si="126"/>
        <v/>
      </c>
    </row>
    <row r="1717" spans="1:33" x14ac:dyDescent="0.2">
      <c r="A1717" s="1" t="s">
        <v>304</v>
      </c>
      <c r="B1717" s="1" t="s">
        <v>4158</v>
      </c>
      <c r="C1717" s="1">
        <v>7699</v>
      </c>
      <c r="D1717" s="1">
        <v>1</v>
      </c>
      <c r="F1717" s="1">
        <v>2023</v>
      </c>
      <c r="G1717" s="1" t="s">
        <v>247</v>
      </c>
      <c r="H1717" s="1">
        <v>610088</v>
      </c>
      <c r="I1717" s="1">
        <v>4</v>
      </c>
      <c r="J1717" s="1" t="s">
        <v>796</v>
      </c>
      <c r="K1717" s="1" t="s">
        <v>896</v>
      </c>
      <c r="L1717" s="1" t="s">
        <v>897</v>
      </c>
      <c r="M1717" s="1">
        <v>105</v>
      </c>
      <c r="N1717" s="1" t="s">
        <v>1680</v>
      </c>
      <c r="O1717" s="1">
        <v>27.744700000000002</v>
      </c>
      <c r="P1717" s="1">
        <v>-81.849999999999994</v>
      </c>
      <c r="Q1717" s="1" t="s">
        <v>799</v>
      </c>
      <c r="R1717" s="1" t="s">
        <v>41</v>
      </c>
      <c r="T1717" s="1" t="s">
        <v>71</v>
      </c>
      <c r="U1717" s="1" t="s">
        <v>44</v>
      </c>
      <c r="X1717" s="1" t="s">
        <v>140</v>
      </c>
      <c r="AA1717" s="3">
        <v>35625</v>
      </c>
      <c r="AB1717" s="1" t="s">
        <v>46</v>
      </c>
      <c r="AC1717" s="5">
        <v>1850</v>
      </c>
      <c r="AD1717" s="1" t="s">
        <v>4159</v>
      </c>
      <c r="AE1717" s="1" t="str">
        <f t="shared" si="127"/>
        <v>7699 1</v>
      </c>
      <c r="AF1717" s="14">
        <f>MID(AD1717,FIND("(",AD1717)+1,FIND(")",AD1717)-FIND("(",AD1717)-1)+195.3</f>
        <v>278.20000000000005</v>
      </c>
      <c r="AG1717" s="1" t="str">
        <f t="shared" si="126"/>
        <v/>
      </c>
    </row>
    <row r="1718" spans="1:33" x14ac:dyDescent="0.2">
      <c r="A1718" s="1" t="s">
        <v>32</v>
      </c>
      <c r="B1718" s="1" t="s">
        <v>4160</v>
      </c>
      <c r="C1718" s="1">
        <v>7710</v>
      </c>
      <c r="D1718" s="1" t="s">
        <v>372</v>
      </c>
      <c r="F1718" s="1">
        <v>2023</v>
      </c>
      <c r="G1718" s="1" t="s">
        <v>35</v>
      </c>
      <c r="H1718" s="1" t="s">
        <v>4161</v>
      </c>
      <c r="I1718" s="1">
        <v>4</v>
      </c>
      <c r="K1718" s="1" t="s">
        <v>710</v>
      </c>
      <c r="L1718" s="1" t="s">
        <v>4162</v>
      </c>
      <c r="M1718" s="1">
        <v>81</v>
      </c>
      <c r="N1718" s="1" t="s">
        <v>39</v>
      </c>
      <c r="O1718" s="1">
        <v>32.609400000000001</v>
      </c>
      <c r="P1718" s="1">
        <v>-85.096100000000007</v>
      </c>
      <c r="Q1718" s="1" t="s">
        <v>4163</v>
      </c>
      <c r="R1718" s="1" t="s">
        <v>41</v>
      </c>
      <c r="T1718" s="1" t="s">
        <v>71</v>
      </c>
      <c r="U1718" s="1" t="s">
        <v>44</v>
      </c>
      <c r="X1718" s="1" t="s">
        <v>64</v>
      </c>
      <c r="AA1718" s="3">
        <v>37232</v>
      </c>
      <c r="AB1718" s="1" t="s">
        <v>46</v>
      </c>
      <c r="AC1718" s="5">
        <v>2600</v>
      </c>
      <c r="AD1718" s="1" t="s">
        <v>4164</v>
      </c>
      <c r="AE1718" s="1" t="str">
        <f t="shared" si="127"/>
        <v>7710 1A</v>
      </c>
      <c r="AF1718" s="14">
        <f>MID(AD1718,FIND("(",AD1718)+1,FIND(")",AD1718)-FIND("(",AD1718)-1)+213.3/2</f>
        <v>309.75</v>
      </c>
      <c r="AG1718" s="1" t="str">
        <f t="shared" si="126"/>
        <v>Y</v>
      </c>
    </row>
    <row r="1719" spans="1:33" x14ac:dyDescent="0.2">
      <c r="A1719" s="1" t="s">
        <v>32</v>
      </c>
      <c r="B1719" s="1" t="s">
        <v>4160</v>
      </c>
      <c r="C1719" s="1">
        <v>7710</v>
      </c>
      <c r="D1719" s="1" t="s">
        <v>1199</v>
      </c>
      <c r="F1719" s="1">
        <v>2023</v>
      </c>
      <c r="G1719" s="1" t="s">
        <v>35</v>
      </c>
      <c r="H1719" s="1" t="s">
        <v>4161</v>
      </c>
      <c r="I1719" s="1">
        <v>4</v>
      </c>
      <c r="K1719" s="1" t="s">
        <v>710</v>
      </c>
      <c r="L1719" s="1" t="s">
        <v>4162</v>
      </c>
      <c r="M1719" s="1">
        <v>81</v>
      </c>
      <c r="N1719" s="1" t="s">
        <v>39</v>
      </c>
      <c r="O1719" s="1">
        <v>32.609400000000001</v>
      </c>
      <c r="P1719" s="1">
        <v>-85.096100000000007</v>
      </c>
      <c r="Q1719" s="1" t="s">
        <v>4163</v>
      </c>
      <c r="R1719" s="1" t="s">
        <v>41</v>
      </c>
      <c r="T1719" s="1" t="s">
        <v>71</v>
      </c>
      <c r="U1719" s="1" t="s">
        <v>44</v>
      </c>
      <c r="X1719" s="1" t="s">
        <v>64</v>
      </c>
      <c r="AA1719" s="3">
        <v>37233</v>
      </c>
      <c r="AB1719" s="1" t="s">
        <v>46</v>
      </c>
      <c r="AC1719" s="5">
        <v>2600</v>
      </c>
      <c r="AD1719" s="1" t="s">
        <v>4165</v>
      </c>
      <c r="AE1719" s="1" t="str">
        <f t="shared" si="127"/>
        <v>7710 1B</v>
      </c>
      <c r="AF1719" s="14">
        <f>AF1718</f>
        <v>309.75</v>
      </c>
      <c r="AG1719" s="1" t="str">
        <f t="shared" si="126"/>
        <v>Y</v>
      </c>
    </row>
    <row r="1720" spans="1:33" x14ac:dyDescent="0.2">
      <c r="A1720" s="1" t="s">
        <v>32</v>
      </c>
      <c r="B1720" s="1" t="s">
        <v>4160</v>
      </c>
      <c r="C1720" s="1">
        <v>7710</v>
      </c>
      <c r="D1720" s="1" t="s">
        <v>377</v>
      </c>
      <c r="F1720" s="1">
        <v>2023</v>
      </c>
      <c r="G1720" s="1" t="s">
        <v>35</v>
      </c>
      <c r="H1720" s="1" t="s">
        <v>4161</v>
      </c>
      <c r="I1720" s="1">
        <v>4</v>
      </c>
      <c r="K1720" s="1" t="s">
        <v>710</v>
      </c>
      <c r="L1720" s="1" t="s">
        <v>4162</v>
      </c>
      <c r="M1720" s="1">
        <v>81</v>
      </c>
      <c r="N1720" s="1" t="s">
        <v>39</v>
      </c>
      <c r="O1720" s="1">
        <v>32.609400000000001</v>
      </c>
      <c r="P1720" s="1">
        <v>-85.096100000000007</v>
      </c>
      <c r="Q1720" s="1" t="s">
        <v>4163</v>
      </c>
      <c r="R1720" s="1" t="s">
        <v>41</v>
      </c>
      <c r="T1720" s="1" t="s">
        <v>71</v>
      </c>
      <c r="U1720" s="1" t="s">
        <v>44</v>
      </c>
      <c r="X1720" s="1" t="s">
        <v>64</v>
      </c>
      <c r="AA1720" s="3">
        <v>37630</v>
      </c>
      <c r="AB1720" s="1" t="s">
        <v>46</v>
      </c>
      <c r="AC1720" s="5">
        <v>2600</v>
      </c>
      <c r="AD1720" s="1" t="s">
        <v>4166</v>
      </c>
      <c r="AE1720" s="1" t="str">
        <f t="shared" si="127"/>
        <v>7710 2A</v>
      </c>
      <c r="AF1720" s="14">
        <f>AF1721</f>
        <v>344.04999999999995</v>
      </c>
      <c r="AG1720" s="1" t="str">
        <f t="shared" si="126"/>
        <v>Y</v>
      </c>
    </row>
    <row r="1721" spans="1:33" x14ac:dyDescent="0.2">
      <c r="A1721" s="1" t="s">
        <v>32</v>
      </c>
      <c r="B1721" s="1" t="s">
        <v>4160</v>
      </c>
      <c r="C1721" s="1">
        <v>7710</v>
      </c>
      <c r="D1721" s="1" t="s">
        <v>1201</v>
      </c>
      <c r="F1721" s="1">
        <v>2023</v>
      </c>
      <c r="G1721" s="1" t="s">
        <v>35</v>
      </c>
      <c r="H1721" s="1" t="s">
        <v>4161</v>
      </c>
      <c r="I1721" s="1">
        <v>4</v>
      </c>
      <c r="K1721" s="1" t="s">
        <v>710</v>
      </c>
      <c r="L1721" s="1" t="s">
        <v>4162</v>
      </c>
      <c r="M1721" s="1">
        <v>81</v>
      </c>
      <c r="N1721" s="1" t="s">
        <v>39</v>
      </c>
      <c r="O1721" s="1">
        <v>32.609400000000001</v>
      </c>
      <c r="P1721" s="1">
        <v>-85.096100000000007</v>
      </c>
      <c r="Q1721" s="1" t="s">
        <v>4163</v>
      </c>
      <c r="R1721" s="1" t="s">
        <v>41</v>
      </c>
      <c r="T1721" s="1" t="s">
        <v>71</v>
      </c>
      <c r="U1721" s="1" t="s">
        <v>44</v>
      </c>
      <c r="X1721" s="1" t="s">
        <v>64</v>
      </c>
      <c r="AA1721" s="3">
        <v>37636</v>
      </c>
      <c r="AB1721" s="1" t="s">
        <v>46</v>
      </c>
      <c r="AC1721" s="5">
        <v>2600</v>
      </c>
      <c r="AD1721" s="1" t="s">
        <v>4167</v>
      </c>
      <c r="AE1721" s="1" t="str">
        <f t="shared" si="127"/>
        <v>7710 2B</v>
      </c>
      <c r="AF1721" s="14">
        <f>MID(AD1721,FIND("(",AD1721)+1,FIND(")",AD1721)-FIND("(",AD1721)-1)+281.9/2</f>
        <v>344.04999999999995</v>
      </c>
      <c r="AG1721" s="1" t="str">
        <f t="shared" si="126"/>
        <v>Y</v>
      </c>
    </row>
    <row r="1722" spans="1:33" x14ac:dyDescent="0.2">
      <c r="A1722" s="1" t="s">
        <v>32</v>
      </c>
      <c r="B1722" s="1" t="s">
        <v>4160</v>
      </c>
      <c r="C1722" s="1">
        <v>7710</v>
      </c>
      <c r="D1722" s="1" t="s">
        <v>379</v>
      </c>
      <c r="F1722" s="1">
        <v>2023</v>
      </c>
      <c r="G1722" s="1" t="s">
        <v>35</v>
      </c>
      <c r="H1722" s="1" t="s">
        <v>4161</v>
      </c>
      <c r="I1722" s="1">
        <v>4</v>
      </c>
      <c r="K1722" s="1" t="s">
        <v>710</v>
      </c>
      <c r="L1722" s="1" t="s">
        <v>4162</v>
      </c>
      <c r="M1722" s="1">
        <v>81</v>
      </c>
      <c r="N1722" s="1" t="s">
        <v>39</v>
      </c>
      <c r="O1722" s="1">
        <v>32.609400000000001</v>
      </c>
      <c r="P1722" s="1">
        <v>-85.096100000000007</v>
      </c>
      <c r="Q1722" s="1" t="s">
        <v>4163</v>
      </c>
      <c r="R1722" s="1" t="s">
        <v>41</v>
      </c>
      <c r="T1722" s="1" t="s">
        <v>71</v>
      </c>
      <c r="U1722" s="1" t="s">
        <v>44</v>
      </c>
      <c r="X1722" s="1" t="s">
        <v>64</v>
      </c>
      <c r="AA1722" s="3">
        <v>39458</v>
      </c>
      <c r="AB1722" s="1" t="s">
        <v>46</v>
      </c>
      <c r="AC1722" s="5">
        <v>2600</v>
      </c>
      <c r="AD1722" s="1" t="s">
        <v>4168</v>
      </c>
      <c r="AE1722" s="1" t="str">
        <f t="shared" si="127"/>
        <v>7710 3A</v>
      </c>
      <c r="AF1722" s="14">
        <f>AF1723</f>
        <v>344.04999999999995</v>
      </c>
      <c r="AG1722" s="1" t="str">
        <f t="shared" si="126"/>
        <v>Y</v>
      </c>
    </row>
    <row r="1723" spans="1:33" x14ac:dyDescent="0.2">
      <c r="A1723" s="1" t="s">
        <v>32</v>
      </c>
      <c r="B1723" s="1" t="s">
        <v>4160</v>
      </c>
      <c r="C1723" s="1">
        <v>7710</v>
      </c>
      <c r="D1723" s="1" t="s">
        <v>965</v>
      </c>
      <c r="F1723" s="1">
        <v>2023</v>
      </c>
      <c r="G1723" s="1" t="s">
        <v>35</v>
      </c>
      <c r="H1723" s="1" t="s">
        <v>4161</v>
      </c>
      <c r="I1723" s="1">
        <v>4</v>
      </c>
      <c r="K1723" s="1" t="s">
        <v>710</v>
      </c>
      <c r="L1723" s="1" t="s">
        <v>4162</v>
      </c>
      <c r="M1723" s="1">
        <v>81</v>
      </c>
      <c r="N1723" s="1" t="s">
        <v>39</v>
      </c>
      <c r="O1723" s="1">
        <v>32.609400000000001</v>
      </c>
      <c r="P1723" s="1">
        <v>-85.096100000000007</v>
      </c>
      <c r="Q1723" s="1" t="s">
        <v>4163</v>
      </c>
      <c r="R1723" s="1" t="s">
        <v>41</v>
      </c>
      <c r="T1723" s="1" t="s">
        <v>71</v>
      </c>
      <c r="U1723" s="1" t="s">
        <v>44</v>
      </c>
      <c r="X1723" s="1" t="s">
        <v>64</v>
      </c>
      <c r="AA1723" s="3">
        <v>39465</v>
      </c>
      <c r="AB1723" s="1" t="s">
        <v>46</v>
      </c>
      <c r="AC1723" s="5">
        <v>2600</v>
      </c>
      <c r="AD1723" s="1" t="s">
        <v>4169</v>
      </c>
      <c r="AE1723" s="1" t="str">
        <f t="shared" si="127"/>
        <v>7710 3B</v>
      </c>
      <c r="AF1723" s="14">
        <f>MID(AD1723,FIND("(",AD1723)+1,FIND(")",AD1723)-FIND("(",AD1723)-1)+281.9/2</f>
        <v>344.04999999999995</v>
      </c>
      <c r="AG1723" s="1" t="str">
        <f t="shared" si="126"/>
        <v>Y</v>
      </c>
    </row>
    <row r="1724" spans="1:33" x14ac:dyDescent="0.2">
      <c r="A1724" s="1" t="s">
        <v>32</v>
      </c>
      <c r="B1724" s="1" t="s">
        <v>4170</v>
      </c>
      <c r="C1724" s="1">
        <v>7721</v>
      </c>
      <c r="D1724" s="1" t="s">
        <v>194</v>
      </c>
      <c r="F1724" s="1">
        <v>2023</v>
      </c>
      <c r="G1724" s="1" t="s">
        <v>35</v>
      </c>
      <c r="H1724" s="1">
        <v>605449</v>
      </c>
      <c r="I1724" s="1">
        <v>4</v>
      </c>
      <c r="K1724" s="1" t="s">
        <v>37</v>
      </c>
      <c r="L1724" s="1" t="s">
        <v>38</v>
      </c>
      <c r="M1724" s="1">
        <v>97</v>
      </c>
      <c r="N1724" s="1" t="s">
        <v>1680</v>
      </c>
      <c r="O1724" s="1">
        <v>30.524799999999999</v>
      </c>
      <c r="P1724" s="1">
        <v>-88.128900000000002</v>
      </c>
      <c r="Q1724" s="1" t="s">
        <v>40</v>
      </c>
      <c r="R1724" s="1" t="s">
        <v>41</v>
      </c>
      <c r="T1724" s="1" t="s">
        <v>71</v>
      </c>
      <c r="U1724" s="1" t="s">
        <v>44</v>
      </c>
      <c r="X1724" s="1" t="s">
        <v>64</v>
      </c>
      <c r="AA1724" s="3">
        <v>36812</v>
      </c>
      <c r="AB1724" s="1" t="s">
        <v>46</v>
      </c>
      <c r="AC1724" s="5">
        <v>2500</v>
      </c>
      <c r="AD1724" s="1" t="s">
        <v>4171</v>
      </c>
      <c r="AE1724" s="1" t="str">
        <f t="shared" si="127"/>
        <v>7721 CC1</v>
      </c>
      <c r="AF1724" s="14">
        <f>MID(AD1724,FIND("(",AD1724)+1,FIND(")",AD1724)-FIND("(",AD1724)-1)+88.4</f>
        <v>317.39999999999998</v>
      </c>
      <c r="AG1724" s="1" t="str">
        <f t="shared" si="126"/>
        <v>Y</v>
      </c>
    </row>
    <row r="1725" spans="1:33" x14ac:dyDescent="0.2">
      <c r="A1725" s="1" t="s">
        <v>1755</v>
      </c>
      <c r="B1725" s="1" t="s">
        <v>4172</v>
      </c>
      <c r="C1725" s="1">
        <v>7749</v>
      </c>
      <c r="D1725" s="1">
        <v>1</v>
      </c>
      <c r="F1725" s="1">
        <v>2023</v>
      </c>
      <c r="G1725" s="1" t="s">
        <v>1207</v>
      </c>
      <c r="H1725" s="1">
        <v>606546</v>
      </c>
      <c r="I1725" s="1">
        <v>7</v>
      </c>
      <c r="K1725" s="1" t="s">
        <v>4173</v>
      </c>
      <c r="L1725" s="1" t="s">
        <v>4174</v>
      </c>
      <c r="M1725" s="1">
        <v>207</v>
      </c>
      <c r="N1725" s="1" t="s">
        <v>39</v>
      </c>
      <c r="O1725" s="1">
        <v>36.867800000000003</v>
      </c>
      <c r="P1725" s="1">
        <v>-89.839699999999993</v>
      </c>
      <c r="Q1725" s="1" t="s">
        <v>1831</v>
      </c>
      <c r="R1725" s="1" t="s">
        <v>41</v>
      </c>
      <c r="T1725" s="1" t="s">
        <v>93</v>
      </c>
      <c r="U1725" s="1" t="s">
        <v>44</v>
      </c>
      <c r="X1725" s="1" t="s">
        <v>140</v>
      </c>
      <c r="AA1725" s="3">
        <v>36333</v>
      </c>
      <c r="AB1725" s="1" t="s">
        <v>46</v>
      </c>
      <c r="AC1725" s="5">
        <v>1470.6</v>
      </c>
      <c r="AD1725" s="1" t="s">
        <v>4175</v>
      </c>
      <c r="AE1725" s="1" t="str">
        <f t="shared" si="127"/>
        <v>7749 1</v>
      </c>
      <c r="AF1725" s="5" t="str">
        <f>MID(AD1725,FIND("(",AD1725)+1,FIND(")",AD1725)-FIND("(",AD1725)-1)</f>
        <v>121.2</v>
      </c>
      <c r="AG1725" s="1" t="str">
        <f t="shared" si="126"/>
        <v/>
      </c>
    </row>
    <row r="1726" spans="1:33" x14ac:dyDescent="0.2">
      <c r="A1726" s="1" t="s">
        <v>1755</v>
      </c>
      <c r="B1726" s="1" t="s">
        <v>4176</v>
      </c>
      <c r="C1726" s="1">
        <v>7754</v>
      </c>
      <c r="D1726" s="1">
        <v>1</v>
      </c>
      <c r="F1726" s="1">
        <v>2023</v>
      </c>
      <c r="G1726" s="1" t="s">
        <v>1207</v>
      </c>
      <c r="H1726" s="1">
        <v>606546</v>
      </c>
      <c r="I1726" s="1">
        <v>7</v>
      </c>
      <c r="K1726" s="1" t="s">
        <v>4177</v>
      </c>
      <c r="L1726" s="1" t="s">
        <v>4178</v>
      </c>
      <c r="M1726" s="1">
        <v>147</v>
      </c>
      <c r="N1726" s="1" t="s">
        <v>39</v>
      </c>
      <c r="O1726" s="1">
        <v>40.287700000000001</v>
      </c>
      <c r="P1726" s="1">
        <v>-94.791300000000007</v>
      </c>
      <c r="Q1726" s="1" t="s">
        <v>1831</v>
      </c>
      <c r="R1726" s="1" t="s">
        <v>41</v>
      </c>
      <c r="T1726" s="1" t="s">
        <v>93</v>
      </c>
      <c r="U1726" s="1" t="s">
        <v>44</v>
      </c>
      <c r="X1726" s="1" t="s">
        <v>140</v>
      </c>
      <c r="AA1726" s="3">
        <v>36339</v>
      </c>
      <c r="AB1726" s="1" t="s">
        <v>46</v>
      </c>
      <c r="AC1726" s="5">
        <v>1300</v>
      </c>
      <c r="AD1726" s="1" t="s">
        <v>4179</v>
      </c>
      <c r="AE1726" s="1" t="str">
        <f t="shared" si="127"/>
        <v>7754 1</v>
      </c>
      <c r="AF1726" s="5" t="str">
        <f>MID(AD1726,FIND("(",AD1726)+1,FIND(")",AD1726)-FIND("(",AD1726)-1)</f>
        <v>103.7</v>
      </c>
      <c r="AG1726" s="1" t="str">
        <f t="shared" si="126"/>
        <v/>
      </c>
    </row>
    <row r="1727" spans="1:33" x14ac:dyDescent="0.2">
      <c r="A1727" s="1" t="s">
        <v>1755</v>
      </c>
      <c r="B1727" s="1" t="s">
        <v>4176</v>
      </c>
      <c r="C1727" s="1">
        <v>7754</v>
      </c>
      <c r="D1727" s="1">
        <v>2</v>
      </c>
      <c r="F1727" s="1">
        <v>2023</v>
      </c>
      <c r="G1727" s="1" t="s">
        <v>1207</v>
      </c>
      <c r="H1727" s="1">
        <v>606546</v>
      </c>
      <c r="I1727" s="1">
        <v>7</v>
      </c>
      <c r="K1727" s="1" t="s">
        <v>4177</v>
      </c>
      <c r="L1727" s="1" t="s">
        <v>4178</v>
      </c>
      <c r="M1727" s="1">
        <v>147</v>
      </c>
      <c r="N1727" s="1" t="s">
        <v>39</v>
      </c>
      <c r="O1727" s="1">
        <v>40.287700000000001</v>
      </c>
      <c r="P1727" s="1">
        <v>-94.791300000000007</v>
      </c>
      <c r="Q1727" s="1" t="s">
        <v>1831</v>
      </c>
      <c r="R1727" s="1" t="s">
        <v>41</v>
      </c>
      <c r="T1727" s="1" t="s">
        <v>93</v>
      </c>
      <c r="U1727" s="1" t="s">
        <v>44</v>
      </c>
      <c r="X1727" s="1" t="s">
        <v>140</v>
      </c>
      <c r="AA1727" s="3">
        <v>36348</v>
      </c>
      <c r="AB1727" s="1" t="s">
        <v>46</v>
      </c>
      <c r="AC1727" s="5">
        <v>1300</v>
      </c>
      <c r="AD1727" s="1" t="s">
        <v>4180</v>
      </c>
      <c r="AE1727" s="1" t="str">
        <f t="shared" si="127"/>
        <v>7754 2</v>
      </c>
      <c r="AF1727" s="5" t="str">
        <f>MID(AD1727,FIND("(",AD1727)+1,FIND(")",AD1727)-FIND("(",AD1727)-1)</f>
        <v>103.7</v>
      </c>
      <c r="AG1727" s="1" t="str">
        <f t="shared" si="126"/>
        <v/>
      </c>
    </row>
    <row r="1728" spans="1:33" x14ac:dyDescent="0.2">
      <c r="A1728" s="1" t="s">
        <v>335</v>
      </c>
      <c r="B1728" s="1" t="s">
        <v>4181</v>
      </c>
      <c r="C1728" s="1">
        <v>7757</v>
      </c>
      <c r="D1728" s="1">
        <v>1</v>
      </c>
      <c r="F1728" s="1">
        <v>2023</v>
      </c>
      <c r="G1728" s="1" t="s">
        <v>346</v>
      </c>
      <c r="H1728" s="1">
        <v>606546</v>
      </c>
      <c r="I1728" s="1">
        <v>6</v>
      </c>
      <c r="J1728" s="1" t="s">
        <v>228</v>
      </c>
      <c r="K1728" s="1" t="s">
        <v>338</v>
      </c>
      <c r="L1728" s="1" t="s">
        <v>339</v>
      </c>
      <c r="M1728" s="1">
        <v>97</v>
      </c>
      <c r="N1728" s="1" t="s">
        <v>39</v>
      </c>
      <c r="O1728" s="1">
        <v>36.220599999999997</v>
      </c>
      <c r="P1728" s="1">
        <v>-95.275599999999997</v>
      </c>
      <c r="Q1728" s="1" t="s">
        <v>1831</v>
      </c>
      <c r="R1728" s="1" t="s">
        <v>41</v>
      </c>
      <c r="T1728" s="1" t="s">
        <v>71</v>
      </c>
      <c r="U1728" s="1" t="s">
        <v>44</v>
      </c>
      <c r="X1728" s="1" t="s">
        <v>64</v>
      </c>
      <c r="AA1728" s="3">
        <v>36691</v>
      </c>
      <c r="AB1728" s="1" t="s">
        <v>46</v>
      </c>
      <c r="AC1728" s="5">
        <v>1783</v>
      </c>
      <c r="AD1728" s="1" t="s">
        <v>4182</v>
      </c>
      <c r="AE1728" s="1" t="str">
        <f t="shared" si="127"/>
        <v>7757 1</v>
      </c>
      <c r="AF1728" s="14">
        <f>MID(AD1728,FIND("(",AD1728)+1,FIND(")",AD1728)-FIND("(",AD1728)-1)+181.9/2</f>
        <v>266.55</v>
      </c>
      <c r="AG1728" s="1" t="str">
        <f t="shared" si="126"/>
        <v>Y</v>
      </c>
    </row>
    <row r="1729" spans="1:33" x14ac:dyDescent="0.2">
      <c r="A1729" s="1" t="s">
        <v>335</v>
      </c>
      <c r="B1729" s="1" t="s">
        <v>4181</v>
      </c>
      <c r="C1729" s="1">
        <v>7757</v>
      </c>
      <c r="D1729" s="1">
        <v>2</v>
      </c>
      <c r="F1729" s="1">
        <v>2023</v>
      </c>
      <c r="G1729" s="1" t="s">
        <v>346</v>
      </c>
      <c r="H1729" s="1">
        <v>606546</v>
      </c>
      <c r="I1729" s="1">
        <v>6</v>
      </c>
      <c r="J1729" s="1" t="s">
        <v>228</v>
      </c>
      <c r="K1729" s="1" t="s">
        <v>338</v>
      </c>
      <c r="L1729" s="1" t="s">
        <v>339</v>
      </c>
      <c r="M1729" s="1">
        <v>97</v>
      </c>
      <c r="N1729" s="1" t="s">
        <v>39</v>
      </c>
      <c r="O1729" s="1">
        <v>36.220599999999997</v>
      </c>
      <c r="P1729" s="1">
        <v>-95.275599999999997</v>
      </c>
      <c r="Q1729" s="1" t="s">
        <v>1831</v>
      </c>
      <c r="R1729" s="1" t="s">
        <v>41</v>
      </c>
      <c r="T1729" s="1" t="s">
        <v>71</v>
      </c>
      <c r="U1729" s="1" t="s">
        <v>44</v>
      </c>
      <c r="X1729" s="1" t="s">
        <v>64</v>
      </c>
      <c r="AA1729" s="3">
        <v>36691</v>
      </c>
      <c r="AB1729" s="1" t="s">
        <v>46</v>
      </c>
      <c r="AC1729" s="5">
        <v>1870.5</v>
      </c>
      <c r="AD1729" s="1" t="s">
        <v>4183</v>
      </c>
      <c r="AE1729" s="1" t="str">
        <f t="shared" si="127"/>
        <v>7757 2</v>
      </c>
      <c r="AF1729" s="14">
        <f>AF1728</f>
        <v>266.55</v>
      </c>
      <c r="AG1729" s="1" t="str">
        <f t="shared" si="126"/>
        <v>Y</v>
      </c>
    </row>
    <row r="1730" spans="1:33" x14ac:dyDescent="0.2">
      <c r="A1730" s="1" t="s">
        <v>335</v>
      </c>
      <c r="B1730" s="1" t="s">
        <v>4181</v>
      </c>
      <c r="C1730" s="1">
        <v>7757</v>
      </c>
      <c r="D1730" s="1">
        <v>3</v>
      </c>
      <c r="F1730" s="1">
        <v>2023</v>
      </c>
      <c r="G1730" s="1" t="s">
        <v>346</v>
      </c>
      <c r="H1730" s="1">
        <v>606546</v>
      </c>
      <c r="I1730" s="1">
        <v>6</v>
      </c>
      <c r="J1730" s="1" t="s">
        <v>228</v>
      </c>
      <c r="K1730" s="1" t="s">
        <v>338</v>
      </c>
      <c r="L1730" s="1" t="s">
        <v>339</v>
      </c>
      <c r="M1730" s="1">
        <v>97</v>
      </c>
      <c r="N1730" s="1" t="s">
        <v>39</v>
      </c>
      <c r="O1730" s="1">
        <v>36.220599999999997</v>
      </c>
      <c r="P1730" s="1">
        <v>-95.275599999999997</v>
      </c>
      <c r="Q1730" s="1" t="s">
        <v>1831</v>
      </c>
      <c r="R1730" s="1" t="s">
        <v>41</v>
      </c>
      <c r="T1730" s="1" t="s">
        <v>71</v>
      </c>
      <c r="U1730" s="1" t="s">
        <v>44</v>
      </c>
      <c r="X1730" s="1" t="s">
        <v>64</v>
      </c>
      <c r="AA1730" s="3">
        <v>40613</v>
      </c>
      <c r="AB1730" s="1" t="s">
        <v>46</v>
      </c>
      <c r="AC1730" s="5">
        <v>1882</v>
      </c>
      <c r="AD1730" s="1" t="s">
        <v>4184</v>
      </c>
      <c r="AE1730" s="1" t="str">
        <f t="shared" si="127"/>
        <v>7757 3</v>
      </c>
      <c r="AF1730" s="14">
        <f>AF1731</f>
        <v>266.45</v>
      </c>
      <c r="AG1730" s="1" t="str">
        <f t="shared" ref="AG1730:AG1793" si="130">IF(ISNUMBER(SEARCH("selective", X1730)), "Y", "")</f>
        <v>Y</v>
      </c>
    </row>
    <row r="1731" spans="1:33" x14ac:dyDescent="0.2">
      <c r="A1731" s="1" t="s">
        <v>335</v>
      </c>
      <c r="B1731" s="1" t="s">
        <v>4181</v>
      </c>
      <c r="C1731" s="1">
        <v>7757</v>
      </c>
      <c r="D1731" s="1">
        <v>4</v>
      </c>
      <c r="F1731" s="1">
        <v>2023</v>
      </c>
      <c r="G1731" s="1" t="s">
        <v>346</v>
      </c>
      <c r="H1731" s="1">
        <v>606546</v>
      </c>
      <c r="I1731" s="1">
        <v>6</v>
      </c>
      <c r="J1731" s="1" t="s">
        <v>228</v>
      </c>
      <c r="K1731" s="1" t="s">
        <v>338</v>
      </c>
      <c r="L1731" s="1" t="s">
        <v>339</v>
      </c>
      <c r="M1731" s="1">
        <v>97</v>
      </c>
      <c r="N1731" s="1" t="s">
        <v>39</v>
      </c>
      <c r="O1731" s="1">
        <v>36.220599999999997</v>
      </c>
      <c r="P1731" s="1">
        <v>-95.275599999999997</v>
      </c>
      <c r="Q1731" s="1" t="s">
        <v>1831</v>
      </c>
      <c r="R1731" s="1" t="s">
        <v>41</v>
      </c>
      <c r="T1731" s="1" t="s">
        <v>71</v>
      </c>
      <c r="U1731" s="1" t="s">
        <v>44</v>
      </c>
      <c r="X1731" s="1" t="s">
        <v>64</v>
      </c>
      <c r="AA1731" s="3">
        <v>40601</v>
      </c>
      <c r="AB1731" s="1" t="s">
        <v>46</v>
      </c>
      <c r="AC1731" s="5">
        <v>1882</v>
      </c>
      <c r="AD1731" s="1" t="s">
        <v>4185</v>
      </c>
      <c r="AE1731" s="1" t="str">
        <f t="shared" ref="AE1731:AE1794" si="131">C1731&amp;" "&amp;D1731</f>
        <v>7757 4</v>
      </c>
      <c r="AF1731" s="14">
        <f>MID(AD1731,FIND("(",AD1731)+1,FIND(")",AD1731)-FIND("(",AD1731)-1)+181.9/2</f>
        <v>266.45</v>
      </c>
      <c r="AG1731" s="1" t="str">
        <f t="shared" si="130"/>
        <v>Y</v>
      </c>
    </row>
    <row r="1732" spans="1:33" x14ac:dyDescent="0.2">
      <c r="A1732" s="1" t="s">
        <v>1071</v>
      </c>
      <c r="B1732" s="1" t="s">
        <v>4186</v>
      </c>
      <c r="C1732" s="1">
        <v>7759</v>
      </c>
      <c r="D1732" s="1" t="s">
        <v>280</v>
      </c>
      <c r="F1732" s="1">
        <v>2023</v>
      </c>
      <c r="G1732" s="1" t="s">
        <v>461</v>
      </c>
      <c r="H1732" s="1" t="s">
        <v>1086</v>
      </c>
      <c r="I1732" s="1">
        <v>5</v>
      </c>
      <c r="J1732" s="1" t="s">
        <v>169</v>
      </c>
      <c r="K1732" s="1" t="s">
        <v>1087</v>
      </c>
      <c r="L1732" s="1" t="s">
        <v>1088</v>
      </c>
      <c r="M1732" s="1">
        <v>97</v>
      </c>
      <c r="N1732" s="1" t="s">
        <v>39</v>
      </c>
      <c r="O1732" s="1">
        <v>39.902200000000001</v>
      </c>
      <c r="P1732" s="1">
        <v>-86.243899999999996</v>
      </c>
      <c r="Q1732" s="1" t="s">
        <v>1089</v>
      </c>
      <c r="R1732" s="1" t="s">
        <v>41</v>
      </c>
      <c r="T1732" s="1" t="s">
        <v>93</v>
      </c>
      <c r="U1732" s="1" t="s">
        <v>44</v>
      </c>
      <c r="X1732" s="1" t="s">
        <v>140</v>
      </c>
      <c r="AA1732" s="3">
        <v>36643</v>
      </c>
      <c r="AB1732" s="1" t="s">
        <v>46</v>
      </c>
      <c r="AC1732" s="5">
        <v>1100</v>
      </c>
      <c r="AD1732" s="1" t="s">
        <v>4187</v>
      </c>
      <c r="AE1732" s="1" t="str">
        <f t="shared" si="131"/>
        <v>7759 GT1</v>
      </c>
      <c r="AF1732" s="5" t="str">
        <f t="shared" ref="AF1732:AF1739" si="132">MID(AD1732,FIND("(",AD1732)+1,FIND(")",AD1732)-FIND("(",AD1732)-1)</f>
        <v>85.3</v>
      </c>
      <c r="AG1732" s="1" t="str">
        <f t="shared" si="130"/>
        <v/>
      </c>
    </row>
    <row r="1733" spans="1:33" x14ac:dyDescent="0.2">
      <c r="A1733" s="1" t="s">
        <v>1071</v>
      </c>
      <c r="B1733" s="1" t="s">
        <v>4186</v>
      </c>
      <c r="C1733" s="1">
        <v>7759</v>
      </c>
      <c r="D1733" s="1" t="s">
        <v>1102</v>
      </c>
      <c r="F1733" s="1">
        <v>2023</v>
      </c>
      <c r="G1733" s="1" t="s">
        <v>461</v>
      </c>
      <c r="H1733" s="1" t="s">
        <v>1086</v>
      </c>
      <c r="I1733" s="1">
        <v>5</v>
      </c>
      <c r="J1733" s="1" t="s">
        <v>169</v>
      </c>
      <c r="K1733" s="1" t="s">
        <v>1087</v>
      </c>
      <c r="L1733" s="1" t="s">
        <v>1088</v>
      </c>
      <c r="M1733" s="1">
        <v>97</v>
      </c>
      <c r="N1733" s="1" t="s">
        <v>39</v>
      </c>
      <c r="O1733" s="1">
        <v>39.902200000000001</v>
      </c>
      <c r="P1733" s="1">
        <v>-86.243899999999996</v>
      </c>
      <c r="Q1733" s="1" t="s">
        <v>1089</v>
      </c>
      <c r="R1733" s="1" t="s">
        <v>41</v>
      </c>
      <c r="T1733" s="1" t="s">
        <v>93</v>
      </c>
      <c r="U1733" s="1" t="s">
        <v>44</v>
      </c>
      <c r="X1733" s="1" t="s">
        <v>140</v>
      </c>
      <c r="AA1733" s="3">
        <v>36635</v>
      </c>
      <c r="AB1733" s="1" t="s">
        <v>46</v>
      </c>
      <c r="AC1733" s="5">
        <v>1100</v>
      </c>
      <c r="AD1733" s="1" t="s">
        <v>4188</v>
      </c>
      <c r="AE1733" s="1" t="str">
        <f t="shared" si="131"/>
        <v>7759 GT2</v>
      </c>
      <c r="AF1733" s="5" t="str">
        <f t="shared" si="132"/>
        <v>73.6</v>
      </c>
      <c r="AG1733" s="1" t="str">
        <f t="shared" si="130"/>
        <v/>
      </c>
    </row>
    <row r="1734" spans="1:33" x14ac:dyDescent="0.2">
      <c r="A1734" s="1" t="s">
        <v>1071</v>
      </c>
      <c r="B1734" s="1" t="s">
        <v>4186</v>
      </c>
      <c r="C1734" s="1">
        <v>7759</v>
      </c>
      <c r="D1734" s="1" t="s">
        <v>246</v>
      </c>
      <c r="F1734" s="1">
        <v>2023</v>
      </c>
      <c r="G1734" s="1" t="s">
        <v>461</v>
      </c>
      <c r="H1734" s="1" t="s">
        <v>1086</v>
      </c>
      <c r="I1734" s="1">
        <v>5</v>
      </c>
      <c r="J1734" s="1" t="s">
        <v>169</v>
      </c>
      <c r="K1734" s="1" t="s">
        <v>1087</v>
      </c>
      <c r="L1734" s="1" t="s">
        <v>1088</v>
      </c>
      <c r="M1734" s="1">
        <v>97</v>
      </c>
      <c r="N1734" s="1" t="s">
        <v>39</v>
      </c>
      <c r="O1734" s="1">
        <v>39.902200000000001</v>
      </c>
      <c r="P1734" s="1">
        <v>-86.243899999999996</v>
      </c>
      <c r="Q1734" s="1" t="s">
        <v>1089</v>
      </c>
      <c r="R1734" s="1" t="s">
        <v>41</v>
      </c>
      <c r="T1734" s="1" t="s">
        <v>93</v>
      </c>
      <c r="U1734" s="1" t="s">
        <v>44</v>
      </c>
      <c r="X1734" s="1" t="s">
        <v>140</v>
      </c>
      <c r="AA1734" s="3">
        <v>36651</v>
      </c>
      <c r="AB1734" s="1" t="s">
        <v>46</v>
      </c>
      <c r="AC1734" s="5">
        <v>1150</v>
      </c>
      <c r="AD1734" s="1" t="s">
        <v>4189</v>
      </c>
      <c r="AE1734" s="1" t="str">
        <f t="shared" si="131"/>
        <v>7759 GT3</v>
      </c>
      <c r="AF1734" s="5" t="str">
        <f t="shared" si="132"/>
        <v>73.6</v>
      </c>
      <c r="AG1734" s="1" t="str">
        <f t="shared" si="130"/>
        <v/>
      </c>
    </row>
    <row r="1735" spans="1:33" x14ac:dyDescent="0.2">
      <c r="A1735" s="1" t="s">
        <v>1071</v>
      </c>
      <c r="B1735" s="1" t="s">
        <v>4186</v>
      </c>
      <c r="C1735" s="1">
        <v>7759</v>
      </c>
      <c r="D1735" s="1" t="s">
        <v>251</v>
      </c>
      <c r="F1735" s="1">
        <v>2023</v>
      </c>
      <c r="G1735" s="1" t="s">
        <v>461</v>
      </c>
      <c r="H1735" s="1" t="s">
        <v>1086</v>
      </c>
      <c r="I1735" s="1">
        <v>5</v>
      </c>
      <c r="J1735" s="1" t="s">
        <v>169</v>
      </c>
      <c r="K1735" s="1" t="s">
        <v>1087</v>
      </c>
      <c r="L1735" s="1" t="s">
        <v>1088</v>
      </c>
      <c r="M1735" s="1">
        <v>97</v>
      </c>
      <c r="N1735" s="1" t="s">
        <v>39</v>
      </c>
      <c r="O1735" s="1">
        <v>39.902200000000001</v>
      </c>
      <c r="P1735" s="1">
        <v>-86.243899999999996</v>
      </c>
      <c r="Q1735" s="1" t="s">
        <v>1089</v>
      </c>
      <c r="R1735" s="1" t="s">
        <v>41</v>
      </c>
      <c r="T1735" s="1" t="s">
        <v>93</v>
      </c>
      <c r="U1735" s="1" t="s">
        <v>44</v>
      </c>
      <c r="X1735" s="1" t="s">
        <v>140</v>
      </c>
      <c r="AA1735" s="3">
        <v>36970</v>
      </c>
      <c r="AB1735" s="1" t="s">
        <v>46</v>
      </c>
      <c r="AC1735" s="5">
        <v>1150</v>
      </c>
      <c r="AD1735" s="1" t="s">
        <v>4190</v>
      </c>
      <c r="AE1735" s="1" t="str">
        <f t="shared" si="131"/>
        <v>7759 GT4</v>
      </c>
      <c r="AF1735" s="5" t="str">
        <f t="shared" si="132"/>
        <v>85.3</v>
      </c>
      <c r="AG1735" s="1" t="str">
        <f t="shared" si="130"/>
        <v/>
      </c>
    </row>
    <row r="1736" spans="1:33" x14ac:dyDescent="0.2">
      <c r="A1736" s="1" t="s">
        <v>458</v>
      </c>
      <c r="B1736" s="1" t="s">
        <v>4191</v>
      </c>
      <c r="C1736" s="1">
        <v>7760</v>
      </c>
      <c r="D1736" s="1">
        <v>1</v>
      </c>
      <c r="E1736" s="1" t="s">
        <v>3061</v>
      </c>
      <c r="F1736" s="1">
        <v>2023</v>
      </c>
      <c r="G1736" s="1" t="s">
        <v>461</v>
      </c>
      <c r="H1736" s="1" t="s">
        <v>4192</v>
      </c>
      <c r="I1736" s="1">
        <v>5</v>
      </c>
      <c r="K1736" s="1" t="s">
        <v>4193</v>
      </c>
      <c r="L1736" s="1" t="s">
        <v>4194</v>
      </c>
      <c r="M1736" s="1">
        <v>183</v>
      </c>
      <c r="N1736" s="1" t="s">
        <v>39</v>
      </c>
      <c r="O1736" s="1">
        <v>40.106299999999997</v>
      </c>
      <c r="P1736" s="1">
        <v>-87.653899999999993</v>
      </c>
      <c r="Q1736" s="1" t="s">
        <v>4195</v>
      </c>
      <c r="R1736" s="1" t="s">
        <v>41</v>
      </c>
      <c r="T1736" s="1" t="s">
        <v>93</v>
      </c>
      <c r="U1736" s="1" t="s">
        <v>44</v>
      </c>
      <c r="X1736" s="1" t="s">
        <v>95</v>
      </c>
      <c r="AA1736" s="3">
        <v>36285</v>
      </c>
      <c r="AB1736" s="1" t="s">
        <v>46</v>
      </c>
      <c r="AC1736" s="5">
        <v>630</v>
      </c>
      <c r="AD1736" s="1" t="s">
        <v>4196</v>
      </c>
      <c r="AE1736" s="1" t="str">
        <f t="shared" si="131"/>
        <v>7760 1</v>
      </c>
      <c r="AF1736" s="5" t="str">
        <f t="shared" si="132"/>
        <v>47</v>
      </c>
      <c r="AG1736" s="1" t="str">
        <f t="shared" si="130"/>
        <v/>
      </c>
    </row>
    <row r="1737" spans="1:33" x14ac:dyDescent="0.2">
      <c r="A1737" s="1" t="s">
        <v>458</v>
      </c>
      <c r="B1737" s="1" t="s">
        <v>4191</v>
      </c>
      <c r="C1737" s="1">
        <v>7760</v>
      </c>
      <c r="D1737" s="1">
        <v>2</v>
      </c>
      <c r="E1737" s="1" t="s">
        <v>3061</v>
      </c>
      <c r="F1737" s="1">
        <v>2023</v>
      </c>
      <c r="G1737" s="1" t="s">
        <v>461</v>
      </c>
      <c r="H1737" s="1" t="s">
        <v>4192</v>
      </c>
      <c r="I1737" s="1">
        <v>5</v>
      </c>
      <c r="K1737" s="1" t="s">
        <v>4193</v>
      </c>
      <c r="L1737" s="1" t="s">
        <v>4194</v>
      </c>
      <c r="M1737" s="1">
        <v>183</v>
      </c>
      <c r="N1737" s="1" t="s">
        <v>39</v>
      </c>
      <c r="O1737" s="1">
        <v>40.106299999999997</v>
      </c>
      <c r="P1737" s="1">
        <v>-87.653899999999993</v>
      </c>
      <c r="Q1737" s="1" t="s">
        <v>4195</v>
      </c>
      <c r="R1737" s="1" t="s">
        <v>41</v>
      </c>
      <c r="T1737" s="1" t="s">
        <v>93</v>
      </c>
      <c r="U1737" s="1" t="s">
        <v>44</v>
      </c>
      <c r="X1737" s="1" t="s">
        <v>95</v>
      </c>
      <c r="AA1737" s="3">
        <v>36299</v>
      </c>
      <c r="AB1737" s="1" t="s">
        <v>46</v>
      </c>
      <c r="AC1737" s="5">
        <v>630</v>
      </c>
      <c r="AD1737" s="1" t="s">
        <v>4197</v>
      </c>
      <c r="AE1737" s="1" t="str">
        <f t="shared" si="131"/>
        <v>7760 2</v>
      </c>
      <c r="AF1737" s="5" t="str">
        <f t="shared" si="132"/>
        <v>47</v>
      </c>
      <c r="AG1737" s="1" t="str">
        <f t="shared" si="130"/>
        <v/>
      </c>
    </row>
    <row r="1738" spans="1:33" x14ac:dyDescent="0.2">
      <c r="A1738" s="1" t="s">
        <v>458</v>
      </c>
      <c r="B1738" s="1" t="s">
        <v>4191</v>
      </c>
      <c r="C1738" s="1">
        <v>7760</v>
      </c>
      <c r="D1738" s="1">
        <v>3</v>
      </c>
      <c r="E1738" s="1" t="s">
        <v>3061</v>
      </c>
      <c r="F1738" s="1">
        <v>2023</v>
      </c>
      <c r="G1738" s="1" t="s">
        <v>461</v>
      </c>
      <c r="H1738" s="1" t="s">
        <v>4192</v>
      </c>
      <c r="I1738" s="1">
        <v>5</v>
      </c>
      <c r="K1738" s="1" t="s">
        <v>4193</v>
      </c>
      <c r="L1738" s="1" t="s">
        <v>4194</v>
      </c>
      <c r="M1738" s="1">
        <v>183</v>
      </c>
      <c r="N1738" s="1" t="s">
        <v>39</v>
      </c>
      <c r="O1738" s="1">
        <v>40.106299999999997</v>
      </c>
      <c r="P1738" s="1">
        <v>-87.653899999999993</v>
      </c>
      <c r="Q1738" s="1" t="s">
        <v>4195</v>
      </c>
      <c r="R1738" s="1" t="s">
        <v>41</v>
      </c>
      <c r="T1738" s="1" t="s">
        <v>93</v>
      </c>
      <c r="U1738" s="1" t="s">
        <v>44</v>
      </c>
      <c r="X1738" s="1" t="s">
        <v>95</v>
      </c>
      <c r="AA1738" s="3">
        <v>36304</v>
      </c>
      <c r="AB1738" s="1" t="s">
        <v>46</v>
      </c>
      <c r="AC1738" s="5">
        <v>630</v>
      </c>
      <c r="AD1738" s="1" t="s">
        <v>4198</v>
      </c>
      <c r="AE1738" s="1" t="str">
        <f t="shared" si="131"/>
        <v>7760 3</v>
      </c>
      <c r="AF1738" s="5" t="str">
        <f t="shared" si="132"/>
        <v>47</v>
      </c>
      <c r="AG1738" s="1" t="str">
        <f t="shared" si="130"/>
        <v/>
      </c>
    </row>
    <row r="1739" spans="1:33" x14ac:dyDescent="0.2">
      <c r="A1739" s="1" t="s">
        <v>458</v>
      </c>
      <c r="B1739" s="1" t="s">
        <v>4191</v>
      </c>
      <c r="C1739" s="1">
        <v>7760</v>
      </c>
      <c r="D1739" s="1">
        <v>4</v>
      </c>
      <c r="E1739" s="1" t="s">
        <v>3061</v>
      </c>
      <c r="F1739" s="1">
        <v>2023</v>
      </c>
      <c r="G1739" s="1" t="s">
        <v>461</v>
      </c>
      <c r="H1739" s="1" t="s">
        <v>4192</v>
      </c>
      <c r="I1739" s="1">
        <v>5</v>
      </c>
      <c r="K1739" s="1" t="s">
        <v>4193</v>
      </c>
      <c r="L1739" s="1" t="s">
        <v>4194</v>
      </c>
      <c r="M1739" s="1">
        <v>183</v>
      </c>
      <c r="N1739" s="1" t="s">
        <v>39</v>
      </c>
      <c r="O1739" s="1">
        <v>40.106299999999997</v>
      </c>
      <c r="P1739" s="1">
        <v>-87.653899999999993</v>
      </c>
      <c r="Q1739" s="1" t="s">
        <v>4195</v>
      </c>
      <c r="R1739" s="1" t="s">
        <v>41</v>
      </c>
      <c r="T1739" s="1" t="s">
        <v>93</v>
      </c>
      <c r="U1739" s="1" t="s">
        <v>44</v>
      </c>
      <c r="X1739" s="1" t="s">
        <v>95</v>
      </c>
      <c r="AA1739" s="3">
        <v>36320</v>
      </c>
      <c r="AB1739" s="1" t="s">
        <v>46</v>
      </c>
      <c r="AC1739" s="5">
        <v>630</v>
      </c>
      <c r="AD1739" s="1" t="s">
        <v>4199</v>
      </c>
      <c r="AE1739" s="1" t="str">
        <f t="shared" si="131"/>
        <v>7760 4</v>
      </c>
      <c r="AF1739" s="5" t="str">
        <f t="shared" si="132"/>
        <v>47</v>
      </c>
      <c r="AG1739" s="1" t="str">
        <f t="shared" si="130"/>
        <v/>
      </c>
    </row>
    <row r="1740" spans="1:33" x14ac:dyDescent="0.2">
      <c r="A1740" s="1" t="s">
        <v>383</v>
      </c>
      <c r="B1740" s="1" t="s">
        <v>4200</v>
      </c>
      <c r="C1740" s="1">
        <v>7762</v>
      </c>
      <c r="D1740" s="1" t="s">
        <v>4201</v>
      </c>
      <c r="F1740" s="1">
        <v>2023</v>
      </c>
      <c r="G1740" s="1" t="s">
        <v>346</v>
      </c>
      <c r="H1740" s="1">
        <v>610482</v>
      </c>
      <c r="I1740" s="1">
        <v>6</v>
      </c>
      <c r="K1740" s="1" t="s">
        <v>4202</v>
      </c>
      <c r="L1740" s="1" t="s">
        <v>4203</v>
      </c>
      <c r="M1740" s="1">
        <v>215</v>
      </c>
      <c r="N1740" s="1" t="s">
        <v>39</v>
      </c>
      <c r="O1740" s="1">
        <v>26.338899999999999</v>
      </c>
      <c r="P1740" s="1">
        <v>-98.1708</v>
      </c>
      <c r="Q1740" s="1" t="s">
        <v>4204</v>
      </c>
      <c r="R1740" s="1" t="s">
        <v>41</v>
      </c>
      <c r="T1740" s="1" t="s">
        <v>71</v>
      </c>
      <c r="U1740" s="1" t="s">
        <v>44</v>
      </c>
      <c r="X1740" s="1" t="s">
        <v>140</v>
      </c>
      <c r="AA1740" s="3">
        <v>36629</v>
      </c>
      <c r="AB1740" s="1" t="s">
        <v>46</v>
      </c>
      <c r="AC1740" s="5">
        <v>1950</v>
      </c>
      <c r="AD1740" s="1" t="s">
        <v>4205</v>
      </c>
      <c r="AE1740" s="1" t="str">
        <f t="shared" si="131"/>
        <v>7762 HRSG1</v>
      </c>
      <c r="AF1740" s="14">
        <f>AF1741</f>
        <v>323.5</v>
      </c>
      <c r="AG1740" s="1" t="str">
        <f t="shared" si="130"/>
        <v/>
      </c>
    </row>
    <row r="1741" spans="1:33" x14ac:dyDescent="0.2">
      <c r="A1741" s="1" t="s">
        <v>383</v>
      </c>
      <c r="B1741" s="1" t="s">
        <v>4200</v>
      </c>
      <c r="C1741" s="1">
        <v>7762</v>
      </c>
      <c r="D1741" s="1" t="s">
        <v>4206</v>
      </c>
      <c r="F1741" s="1">
        <v>2023</v>
      </c>
      <c r="G1741" s="1" t="s">
        <v>346</v>
      </c>
      <c r="H1741" s="1">
        <v>610482</v>
      </c>
      <c r="I1741" s="1">
        <v>6</v>
      </c>
      <c r="K1741" s="1" t="s">
        <v>4202</v>
      </c>
      <c r="L1741" s="1" t="s">
        <v>4203</v>
      </c>
      <c r="M1741" s="1">
        <v>215</v>
      </c>
      <c r="N1741" s="1" t="s">
        <v>39</v>
      </c>
      <c r="O1741" s="1">
        <v>26.338899999999999</v>
      </c>
      <c r="P1741" s="1">
        <v>-98.1708</v>
      </c>
      <c r="Q1741" s="1" t="s">
        <v>4204</v>
      </c>
      <c r="R1741" s="1" t="s">
        <v>41</v>
      </c>
      <c r="T1741" s="1" t="s">
        <v>71</v>
      </c>
      <c r="U1741" s="1" t="s">
        <v>44</v>
      </c>
      <c r="X1741" s="1" t="s">
        <v>140</v>
      </c>
      <c r="AA1741" s="3">
        <v>36644</v>
      </c>
      <c r="AB1741" s="1" t="s">
        <v>46</v>
      </c>
      <c r="AC1741" s="5">
        <v>1950</v>
      </c>
      <c r="AD1741" s="1" t="s">
        <v>4207</v>
      </c>
      <c r="AE1741" s="1" t="str">
        <f t="shared" si="131"/>
        <v>7762 HRSG2</v>
      </c>
      <c r="AF1741" s="14">
        <f>MID(AD1741,FIND("(",AD1741)+1,FIND(")",AD1741)-FIND("(",AD1741)-1)+233/2</f>
        <v>323.5</v>
      </c>
      <c r="AG1741" s="1" t="str">
        <f t="shared" si="130"/>
        <v/>
      </c>
    </row>
    <row r="1742" spans="1:33" x14ac:dyDescent="0.2">
      <c r="A1742" s="1" t="s">
        <v>1071</v>
      </c>
      <c r="B1742" s="1" t="s">
        <v>4208</v>
      </c>
      <c r="C1742" s="1">
        <v>7763</v>
      </c>
      <c r="D1742" s="1">
        <v>1</v>
      </c>
      <c r="F1742" s="1">
        <v>2023</v>
      </c>
      <c r="G1742" s="1" t="s">
        <v>461</v>
      </c>
      <c r="H1742" s="1">
        <v>609289</v>
      </c>
      <c r="I1742" s="1">
        <v>5</v>
      </c>
      <c r="K1742" s="1" t="s">
        <v>4209</v>
      </c>
      <c r="L1742" s="1" t="s">
        <v>4210</v>
      </c>
      <c r="M1742" s="1">
        <v>65</v>
      </c>
      <c r="N1742" s="1" t="s">
        <v>39</v>
      </c>
      <c r="O1742" s="1">
        <v>39.952800000000003</v>
      </c>
      <c r="P1742" s="1">
        <v>-85.503900000000002</v>
      </c>
      <c r="Q1742" s="1" t="s">
        <v>1124</v>
      </c>
      <c r="R1742" s="1" t="s">
        <v>41</v>
      </c>
      <c r="T1742" s="1" t="s">
        <v>93</v>
      </c>
      <c r="U1742" s="1" t="s">
        <v>44</v>
      </c>
      <c r="X1742" s="1" t="s">
        <v>95</v>
      </c>
      <c r="AA1742" s="3">
        <v>37089</v>
      </c>
      <c r="AB1742" s="1" t="s">
        <v>46</v>
      </c>
      <c r="AC1742" s="5">
        <v>700</v>
      </c>
      <c r="AD1742" s="1" t="s">
        <v>4211</v>
      </c>
      <c r="AE1742" s="1" t="str">
        <f t="shared" si="131"/>
        <v>7763 1</v>
      </c>
      <c r="AF1742" s="5" t="str">
        <f t="shared" ref="AF1742:AF1766" si="133">MID(AD1742,FIND("(",AD1742)+1,FIND(")",AD1742)-FIND("(",AD1742)-1)</f>
        <v>43</v>
      </c>
      <c r="AG1742" s="1" t="str">
        <f t="shared" si="130"/>
        <v/>
      </c>
    </row>
    <row r="1743" spans="1:33" x14ac:dyDescent="0.2">
      <c r="A1743" s="1" t="s">
        <v>1071</v>
      </c>
      <c r="B1743" s="1" t="s">
        <v>4208</v>
      </c>
      <c r="C1743" s="1">
        <v>7763</v>
      </c>
      <c r="D1743" s="1">
        <v>2</v>
      </c>
      <c r="F1743" s="1">
        <v>2023</v>
      </c>
      <c r="G1743" s="1" t="s">
        <v>461</v>
      </c>
      <c r="H1743" s="1">
        <v>609289</v>
      </c>
      <c r="I1743" s="1">
        <v>5</v>
      </c>
      <c r="K1743" s="1" t="s">
        <v>4209</v>
      </c>
      <c r="L1743" s="1" t="s">
        <v>4210</v>
      </c>
      <c r="M1743" s="1">
        <v>65</v>
      </c>
      <c r="N1743" s="1" t="s">
        <v>39</v>
      </c>
      <c r="O1743" s="1">
        <v>39.952800000000003</v>
      </c>
      <c r="P1743" s="1">
        <v>-85.503900000000002</v>
      </c>
      <c r="Q1743" s="1" t="s">
        <v>1124</v>
      </c>
      <c r="R1743" s="1" t="s">
        <v>41</v>
      </c>
      <c r="T1743" s="1" t="s">
        <v>93</v>
      </c>
      <c r="U1743" s="1" t="s">
        <v>44</v>
      </c>
      <c r="X1743" s="1" t="s">
        <v>95</v>
      </c>
      <c r="AA1743" s="3">
        <v>37103</v>
      </c>
      <c r="AB1743" s="1" t="s">
        <v>46</v>
      </c>
      <c r="AC1743" s="5">
        <v>705</v>
      </c>
      <c r="AD1743" s="1" t="s">
        <v>4212</v>
      </c>
      <c r="AE1743" s="1" t="str">
        <f t="shared" si="131"/>
        <v>7763 2</v>
      </c>
      <c r="AF1743" s="5" t="str">
        <f t="shared" si="133"/>
        <v>43</v>
      </c>
      <c r="AG1743" s="1" t="str">
        <f t="shared" si="130"/>
        <v/>
      </c>
    </row>
    <row r="1744" spans="1:33" x14ac:dyDescent="0.2">
      <c r="A1744" s="1" t="s">
        <v>1071</v>
      </c>
      <c r="B1744" s="1" t="s">
        <v>4208</v>
      </c>
      <c r="C1744" s="1">
        <v>7763</v>
      </c>
      <c r="D1744" s="1">
        <v>3</v>
      </c>
      <c r="F1744" s="1">
        <v>2023</v>
      </c>
      <c r="G1744" s="1" t="s">
        <v>461</v>
      </c>
      <c r="H1744" s="1">
        <v>609289</v>
      </c>
      <c r="I1744" s="1">
        <v>5</v>
      </c>
      <c r="K1744" s="1" t="s">
        <v>4209</v>
      </c>
      <c r="L1744" s="1" t="s">
        <v>4210</v>
      </c>
      <c r="M1744" s="1">
        <v>65</v>
      </c>
      <c r="N1744" s="1" t="s">
        <v>39</v>
      </c>
      <c r="O1744" s="1">
        <v>39.952800000000003</v>
      </c>
      <c r="P1744" s="1">
        <v>-85.503900000000002</v>
      </c>
      <c r="Q1744" s="1" t="s">
        <v>1124</v>
      </c>
      <c r="R1744" s="1" t="s">
        <v>41</v>
      </c>
      <c r="T1744" s="1" t="s">
        <v>93</v>
      </c>
      <c r="U1744" s="1" t="s">
        <v>44</v>
      </c>
      <c r="X1744" s="1" t="s">
        <v>95</v>
      </c>
      <c r="AA1744" s="3">
        <v>37121</v>
      </c>
      <c r="AB1744" s="1" t="s">
        <v>46</v>
      </c>
      <c r="AC1744" s="5">
        <v>675</v>
      </c>
      <c r="AD1744" s="1" t="s">
        <v>4213</v>
      </c>
      <c r="AE1744" s="1" t="str">
        <f t="shared" si="131"/>
        <v>7763 3</v>
      </c>
      <c r="AF1744" s="5" t="str">
        <f t="shared" si="133"/>
        <v>43</v>
      </c>
      <c r="AG1744" s="1" t="str">
        <f t="shared" si="130"/>
        <v/>
      </c>
    </row>
    <row r="1745" spans="1:33" x14ac:dyDescent="0.2">
      <c r="A1745" s="1" t="s">
        <v>921</v>
      </c>
      <c r="B1745" s="1" t="s">
        <v>4214</v>
      </c>
      <c r="C1745" s="1">
        <v>7764</v>
      </c>
      <c r="D1745" s="1">
        <v>1</v>
      </c>
      <c r="F1745" s="1">
        <v>2023</v>
      </c>
      <c r="G1745" s="1" t="s">
        <v>952</v>
      </c>
      <c r="H1745" s="1">
        <v>606323</v>
      </c>
      <c r="I1745" s="1">
        <v>4</v>
      </c>
      <c r="K1745" s="1" t="s">
        <v>4215</v>
      </c>
      <c r="L1745" s="1" t="s">
        <v>4216</v>
      </c>
      <c r="M1745" s="1">
        <v>297</v>
      </c>
      <c r="N1745" s="1" t="s">
        <v>39</v>
      </c>
      <c r="O1745" s="1">
        <v>33.812199999999997</v>
      </c>
      <c r="P1745" s="1">
        <v>-83.695400000000006</v>
      </c>
      <c r="Q1745" s="1" t="s">
        <v>4217</v>
      </c>
      <c r="R1745" s="1" t="s">
        <v>41</v>
      </c>
      <c r="T1745" s="1" t="s">
        <v>93</v>
      </c>
      <c r="U1745" s="1" t="s">
        <v>44</v>
      </c>
      <c r="V1745" s="1" t="s">
        <v>94</v>
      </c>
      <c r="X1745" s="1" t="s">
        <v>95</v>
      </c>
      <c r="AA1745" s="3">
        <v>36455</v>
      </c>
      <c r="AB1745" s="1" t="s">
        <v>46</v>
      </c>
      <c r="AC1745" s="5">
        <v>1980</v>
      </c>
      <c r="AD1745" s="1" t="s">
        <v>4218</v>
      </c>
      <c r="AE1745" s="1" t="str">
        <f t="shared" si="131"/>
        <v>7764 1</v>
      </c>
      <c r="AF1745" s="5" t="str">
        <f t="shared" si="133"/>
        <v>184</v>
      </c>
      <c r="AG1745" s="1" t="str">
        <f t="shared" si="130"/>
        <v/>
      </c>
    </row>
    <row r="1746" spans="1:33" x14ac:dyDescent="0.2">
      <c r="A1746" s="1" t="s">
        <v>921</v>
      </c>
      <c r="B1746" s="1" t="s">
        <v>4214</v>
      </c>
      <c r="C1746" s="1">
        <v>7764</v>
      </c>
      <c r="D1746" s="1">
        <v>2</v>
      </c>
      <c r="F1746" s="1">
        <v>2023</v>
      </c>
      <c r="G1746" s="1" t="s">
        <v>952</v>
      </c>
      <c r="H1746" s="1">
        <v>606323</v>
      </c>
      <c r="I1746" s="1">
        <v>4</v>
      </c>
      <c r="K1746" s="1" t="s">
        <v>4215</v>
      </c>
      <c r="L1746" s="1" t="s">
        <v>4216</v>
      </c>
      <c r="M1746" s="1">
        <v>297</v>
      </c>
      <c r="N1746" s="1" t="s">
        <v>39</v>
      </c>
      <c r="O1746" s="1">
        <v>33.812199999999997</v>
      </c>
      <c r="P1746" s="1">
        <v>-83.695400000000006</v>
      </c>
      <c r="Q1746" s="1" t="s">
        <v>4217</v>
      </c>
      <c r="R1746" s="1" t="s">
        <v>41</v>
      </c>
      <c r="T1746" s="1" t="s">
        <v>93</v>
      </c>
      <c r="U1746" s="1" t="s">
        <v>44</v>
      </c>
      <c r="V1746" s="1" t="s">
        <v>94</v>
      </c>
      <c r="X1746" s="1" t="s">
        <v>95</v>
      </c>
      <c r="AA1746" s="3">
        <v>36943</v>
      </c>
      <c r="AB1746" s="1" t="s">
        <v>46</v>
      </c>
      <c r="AC1746" s="5">
        <v>2030</v>
      </c>
      <c r="AD1746" s="1" t="s">
        <v>4219</v>
      </c>
      <c r="AE1746" s="1" t="str">
        <f t="shared" si="131"/>
        <v>7764 2</v>
      </c>
      <c r="AF1746" s="5" t="str">
        <f t="shared" si="133"/>
        <v>184</v>
      </c>
      <c r="AG1746" s="1" t="str">
        <f t="shared" si="130"/>
        <v/>
      </c>
    </row>
    <row r="1747" spans="1:33" x14ac:dyDescent="0.2">
      <c r="A1747" s="1" t="s">
        <v>921</v>
      </c>
      <c r="B1747" s="1" t="s">
        <v>4220</v>
      </c>
      <c r="C1747" s="1">
        <v>7765</v>
      </c>
      <c r="D1747" s="1">
        <v>1</v>
      </c>
      <c r="F1747" s="1">
        <v>2023</v>
      </c>
      <c r="G1747" s="1" t="s">
        <v>952</v>
      </c>
      <c r="H1747" s="1" t="s">
        <v>4161</v>
      </c>
      <c r="I1747" s="1">
        <v>4</v>
      </c>
      <c r="K1747" s="1" t="s">
        <v>994</v>
      </c>
      <c r="L1747" s="1" t="s">
        <v>4221</v>
      </c>
      <c r="M1747" s="1">
        <v>157</v>
      </c>
      <c r="N1747" s="1" t="s">
        <v>39</v>
      </c>
      <c r="O1747" s="1">
        <v>34.038600000000002</v>
      </c>
      <c r="P1747" s="1">
        <v>-83.397199999999998</v>
      </c>
      <c r="Q1747" s="1" t="s">
        <v>4222</v>
      </c>
      <c r="R1747" s="1" t="s">
        <v>41</v>
      </c>
      <c r="T1747" s="1" t="s">
        <v>93</v>
      </c>
      <c r="U1747" s="1" t="s">
        <v>44</v>
      </c>
      <c r="V1747" s="1" t="s">
        <v>94</v>
      </c>
      <c r="X1747" s="1" t="s">
        <v>183</v>
      </c>
      <c r="AA1747" s="3">
        <v>36662</v>
      </c>
      <c r="AB1747" s="1" t="s">
        <v>46</v>
      </c>
      <c r="AC1747" s="5">
        <v>1250</v>
      </c>
      <c r="AD1747" s="1" t="s">
        <v>4091</v>
      </c>
      <c r="AE1747" s="1" t="str">
        <f t="shared" si="131"/>
        <v>7765 1</v>
      </c>
      <c r="AF1747" s="5" t="str">
        <f t="shared" si="133"/>
        <v>91.9</v>
      </c>
      <c r="AG1747" s="1" t="str">
        <f t="shared" si="130"/>
        <v/>
      </c>
    </row>
    <row r="1748" spans="1:33" x14ac:dyDescent="0.2">
      <c r="A1748" s="1" t="s">
        <v>921</v>
      </c>
      <c r="B1748" s="1" t="s">
        <v>4220</v>
      </c>
      <c r="C1748" s="1">
        <v>7765</v>
      </c>
      <c r="D1748" s="1">
        <v>2</v>
      </c>
      <c r="F1748" s="1">
        <v>2023</v>
      </c>
      <c r="G1748" s="1" t="s">
        <v>952</v>
      </c>
      <c r="H1748" s="1" t="s">
        <v>4161</v>
      </c>
      <c r="I1748" s="1">
        <v>4</v>
      </c>
      <c r="K1748" s="1" t="s">
        <v>994</v>
      </c>
      <c r="L1748" s="1" t="s">
        <v>4221</v>
      </c>
      <c r="M1748" s="1">
        <v>157</v>
      </c>
      <c r="N1748" s="1" t="s">
        <v>39</v>
      </c>
      <c r="O1748" s="1">
        <v>34.038600000000002</v>
      </c>
      <c r="P1748" s="1">
        <v>-83.397199999999998</v>
      </c>
      <c r="Q1748" s="1" t="s">
        <v>4222</v>
      </c>
      <c r="R1748" s="1" t="s">
        <v>41</v>
      </c>
      <c r="T1748" s="1" t="s">
        <v>93</v>
      </c>
      <c r="U1748" s="1" t="s">
        <v>44</v>
      </c>
      <c r="V1748" s="1" t="s">
        <v>94</v>
      </c>
      <c r="X1748" s="1" t="s">
        <v>183</v>
      </c>
      <c r="AA1748" s="3">
        <v>36676</v>
      </c>
      <c r="AB1748" s="1" t="s">
        <v>46</v>
      </c>
      <c r="AC1748" s="5">
        <v>1250</v>
      </c>
      <c r="AD1748" s="1" t="s">
        <v>4092</v>
      </c>
      <c r="AE1748" s="1" t="str">
        <f t="shared" si="131"/>
        <v>7765 2</v>
      </c>
      <c r="AF1748" s="5" t="str">
        <f t="shared" si="133"/>
        <v>91.9</v>
      </c>
      <c r="AG1748" s="1" t="str">
        <f t="shared" si="130"/>
        <v/>
      </c>
    </row>
    <row r="1749" spans="1:33" x14ac:dyDescent="0.2">
      <c r="A1749" s="1" t="s">
        <v>921</v>
      </c>
      <c r="B1749" s="1" t="s">
        <v>4220</v>
      </c>
      <c r="C1749" s="1">
        <v>7765</v>
      </c>
      <c r="D1749" s="1">
        <v>3</v>
      </c>
      <c r="F1749" s="1">
        <v>2023</v>
      </c>
      <c r="G1749" s="1" t="s">
        <v>952</v>
      </c>
      <c r="H1749" s="1" t="s">
        <v>4161</v>
      </c>
      <c r="I1749" s="1">
        <v>4</v>
      </c>
      <c r="K1749" s="1" t="s">
        <v>994</v>
      </c>
      <c r="L1749" s="1" t="s">
        <v>4221</v>
      </c>
      <c r="M1749" s="1">
        <v>157</v>
      </c>
      <c r="N1749" s="1" t="s">
        <v>39</v>
      </c>
      <c r="O1749" s="1">
        <v>34.038600000000002</v>
      </c>
      <c r="P1749" s="1">
        <v>-83.397199999999998</v>
      </c>
      <c r="Q1749" s="1" t="s">
        <v>4222</v>
      </c>
      <c r="R1749" s="1" t="s">
        <v>41</v>
      </c>
      <c r="T1749" s="1" t="s">
        <v>93</v>
      </c>
      <c r="U1749" s="1" t="s">
        <v>44</v>
      </c>
      <c r="V1749" s="1" t="s">
        <v>94</v>
      </c>
      <c r="X1749" s="1" t="s">
        <v>183</v>
      </c>
      <c r="AA1749" s="3">
        <v>36668</v>
      </c>
      <c r="AB1749" s="1" t="s">
        <v>46</v>
      </c>
      <c r="AC1749" s="5">
        <v>1250</v>
      </c>
      <c r="AD1749" s="1" t="s">
        <v>4223</v>
      </c>
      <c r="AE1749" s="1" t="str">
        <f t="shared" si="131"/>
        <v>7765 3</v>
      </c>
      <c r="AF1749" s="5" t="str">
        <f t="shared" si="133"/>
        <v>91.9</v>
      </c>
      <c r="AG1749" s="1" t="str">
        <f t="shared" si="130"/>
        <v/>
      </c>
    </row>
    <row r="1750" spans="1:33" x14ac:dyDescent="0.2">
      <c r="A1750" s="1" t="s">
        <v>921</v>
      </c>
      <c r="B1750" s="1" t="s">
        <v>4220</v>
      </c>
      <c r="C1750" s="1">
        <v>7765</v>
      </c>
      <c r="D1750" s="1">
        <v>4</v>
      </c>
      <c r="F1750" s="1">
        <v>2023</v>
      </c>
      <c r="G1750" s="1" t="s">
        <v>952</v>
      </c>
      <c r="H1750" s="1" t="s">
        <v>4161</v>
      </c>
      <c r="I1750" s="1">
        <v>4</v>
      </c>
      <c r="K1750" s="1" t="s">
        <v>994</v>
      </c>
      <c r="L1750" s="1" t="s">
        <v>4221</v>
      </c>
      <c r="M1750" s="1">
        <v>157</v>
      </c>
      <c r="N1750" s="1" t="s">
        <v>39</v>
      </c>
      <c r="O1750" s="1">
        <v>34.038600000000002</v>
      </c>
      <c r="P1750" s="1">
        <v>-83.397199999999998</v>
      </c>
      <c r="Q1750" s="1" t="s">
        <v>4222</v>
      </c>
      <c r="R1750" s="1" t="s">
        <v>41</v>
      </c>
      <c r="T1750" s="1" t="s">
        <v>93</v>
      </c>
      <c r="U1750" s="1" t="s">
        <v>44</v>
      </c>
      <c r="V1750" s="1" t="s">
        <v>94</v>
      </c>
      <c r="X1750" s="1" t="s">
        <v>183</v>
      </c>
      <c r="AA1750" s="3">
        <v>36662</v>
      </c>
      <c r="AB1750" s="1" t="s">
        <v>46</v>
      </c>
      <c r="AC1750" s="5">
        <v>1250</v>
      </c>
      <c r="AD1750" s="1" t="s">
        <v>4224</v>
      </c>
      <c r="AE1750" s="1" t="str">
        <f t="shared" si="131"/>
        <v>7765 4</v>
      </c>
      <c r="AF1750" s="5" t="str">
        <f t="shared" si="133"/>
        <v>91.9</v>
      </c>
      <c r="AG1750" s="1" t="str">
        <f t="shared" si="130"/>
        <v/>
      </c>
    </row>
    <row r="1751" spans="1:33" x14ac:dyDescent="0.2">
      <c r="A1751" s="1" t="s">
        <v>921</v>
      </c>
      <c r="B1751" s="1" t="s">
        <v>4220</v>
      </c>
      <c r="C1751" s="1">
        <v>7765</v>
      </c>
      <c r="D1751" s="1">
        <v>5</v>
      </c>
      <c r="F1751" s="1">
        <v>2023</v>
      </c>
      <c r="G1751" s="1" t="s">
        <v>952</v>
      </c>
      <c r="H1751" s="1" t="s">
        <v>4161</v>
      </c>
      <c r="I1751" s="1">
        <v>4</v>
      </c>
      <c r="K1751" s="1" t="s">
        <v>994</v>
      </c>
      <c r="L1751" s="1" t="s">
        <v>4221</v>
      </c>
      <c r="M1751" s="1">
        <v>157</v>
      </c>
      <c r="N1751" s="1" t="s">
        <v>39</v>
      </c>
      <c r="O1751" s="1">
        <v>34.038600000000002</v>
      </c>
      <c r="P1751" s="1">
        <v>-83.397199999999998</v>
      </c>
      <c r="Q1751" s="1" t="s">
        <v>4222</v>
      </c>
      <c r="R1751" s="1" t="s">
        <v>41</v>
      </c>
      <c r="T1751" s="1" t="s">
        <v>93</v>
      </c>
      <c r="U1751" s="1" t="s">
        <v>44</v>
      </c>
      <c r="V1751" s="1" t="s">
        <v>94</v>
      </c>
      <c r="X1751" s="1" t="s">
        <v>183</v>
      </c>
      <c r="AA1751" s="3">
        <v>36672</v>
      </c>
      <c r="AB1751" s="1" t="s">
        <v>46</v>
      </c>
      <c r="AC1751" s="5">
        <v>1250</v>
      </c>
      <c r="AD1751" s="1" t="s">
        <v>4225</v>
      </c>
      <c r="AE1751" s="1" t="str">
        <f t="shared" si="131"/>
        <v>7765 5</v>
      </c>
      <c r="AF1751" s="5" t="str">
        <f t="shared" si="133"/>
        <v>91.9</v>
      </c>
      <c r="AG1751" s="1" t="str">
        <f t="shared" si="130"/>
        <v/>
      </c>
    </row>
    <row r="1752" spans="1:33" x14ac:dyDescent="0.2">
      <c r="A1752" s="1" t="s">
        <v>921</v>
      </c>
      <c r="B1752" s="1" t="s">
        <v>4220</v>
      </c>
      <c r="C1752" s="1">
        <v>7765</v>
      </c>
      <c r="D1752" s="1">
        <v>6</v>
      </c>
      <c r="F1752" s="1">
        <v>2023</v>
      </c>
      <c r="G1752" s="1" t="s">
        <v>952</v>
      </c>
      <c r="H1752" s="1" t="s">
        <v>4161</v>
      </c>
      <c r="I1752" s="1">
        <v>4</v>
      </c>
      <c r="K1752" s="1" t="s">
        <v>994</v>
      </c>
      <c r="L1752" s="1" t="s">
        <v>4221</v>
      </c>
      <c r="M1752" s="1">
        <v>157</v>
      </c>
      <c r="N1752" s="1" t="s">
        <v>39</v>
      </c>
      <c r="O1752" s="1">
        <v>34.038600000000002</v>
      </c>
      <c r="P1752" s="1">
        <v>-83.397199999999998</v>
      </c>
      <c r="Q1752" s="1" t="s">
        <v>4222</v>
      </c>
      <c r="R1752" s="1" t="s">
        <v>41</v>
      </c>
      <c r="T1752" s="1" t="s">
        <v>93</v>
      </c>
      <c r="U1752" s="1" t="s">
        <v>44</v>
      </c>
      <c r="V1752" s="1" t="s">
        <v>94</v>
      </c>
      <c r="X1752" s="1" t="s">
        <v>183</v>
      </c>
      <c r="AA1752" s="3">
        <v>36671</v>
      </c>
      <c r="AB1752" s="1" t="s">
        <v>46</v>
      </c>
      <c r="AC1752" s="5">
        <v>1250</v>
      </c>
      <c r="AD1752" s="1" t="s">
        <v>4226</v>
      </c>
      <c r="AE1752" s="1" t="str">
        <f t="shared" si="131"/>
        <v>7765 6</v>
      </c>
      <c r="AF1752" s="5" t="str">
        <f t="shared" si="133"/>
        <v>91.9</v>
      </c>
      <c r="AG1752" s="1" t="str">
        <f t="shared" si="130"/>
        <v/>
      </c>
    </row>
    <row r="1753" spans="1:33" x14ac:dyDescent="0.2">
      <c r="A1753" s="1" t="s">
        <v>921</v>
      </c>
      <c r="B1753" s="1" t="s">
        <v>4220</v>
      </c>
      <c r="C1753" s="1">
        <v>7765</v>
      </c>
      <c r="D1753" s="1">
        <v>7</v>
      </c>
      <c r="F1753" s="1">
        <v>2023</v>
      </c>
      <c r="G1753" s="1" t="s">
        <v>952</v>
      </c>
      <c r="H1753" s="1" t="s">
        <v>4161</v>
      </c>
      <c r="I1753" s="1">
        <v>4</v>
      </c>
      <c r="K1753" s="1" t="s">
        <v>994</v>
      </c>
      <c r="L1753" s="1" t="s">
        <v>4221</v>
      </c>
      <c r="M1753" s="1">
        <v>157</v>
      </c>
      <c r="N1753" s="1" t="s">
        <v>39</v>
      </c>
      <c r="O1753" s="1">
        <v>34.038600000000002</v>
      </c>
      <c r="P1753" s="1">
        <v>-83.397199999999998</v>
      </c>
      <c r="Q1753" s="1" t="s">
        <v>4222</v>
      </c>
      <c r="R1753" s="1" t="s">
        <v>41</v>
      </c>
      <c r="T1753" s="1" t="s">
        <v>93</v>
      </c>
      <c r="U1753" s="1" t="s">
        <v>44</v>
      </c>
      <c r="V1753" s="1" t="s">
        <v>94</v>
      </c>
      <c r="X1753" s="1" t="s">
        <v>183</v>
      </c>
      <c r="AA1753" s="3">
        <v>36683</v>
      </c>
      <c r="AB1753" s="1" t="s">
        <v>46</v>
      </c>
      <c r="AC1753" s="5">
        <v>1250</v>
      </c>
      <c r="AD1753" s="1" t="s">
        <v>4227</v>
      </c>
      <c r="AE1753" s="1" t="str">
        <f t="shared" si="131"/>
        <v>7765 7</v>
      </c>
      <c r="AF1753" s="5" t="str">
        <f t="shared" si="133"/>
        <v>91.9</v>
      </c>
      <c r="AG1753" s="1" t="str">
        <f t="shared" si="130"/>
        <v/>
      </c>
    </row>
    <row r="1754" spans="1:33" x14ac:dyDescent="0.2">
      <c r="A1754" s="1" t="s">
        <v>921</v>
      </c>
      <c r="B1754" s="1" t="s">
        <v>4220</v>
      </c>
      <c r="C1754" s="1">
        <v>7765</v>
      </c>
      <c r="D1754" s="1">
        <v>8</v>
      </c>
      <c r="F1754" s="1">
        <v>2023</v>
      </c>
      <c r="G1754" s="1" t="s">
        <v>952</v>
      </c>
      <c r="H1754" s="1" t="s">
        <v>4161</v>
      </c>
      <c r="I1754" s="1">
        <v>4</v>
      </c>
      <c r="K1754" s="1" t="s">
        <v>994</v>
      </c>
      <c r="L1754" s="1" t="s">
        <v>4221</v>
      </c>
      <c r="M1754" s="1">
        <v>157</v>
      </c>
      <c r="N1754" s="1" t="s">
        <v>39</v>
      </c>
      <c r="O1754" s="1">
        <v>34.038600000000002</v>
      </c>
      <c r="P1754" s="1">
        <v>-83.397199999999998</v>
      </c>
      <c r="Q1754" s="1" t="s">
        <v>4222</v>
      </c>
      <c r="R1754" s="1" t="s">
        <v>41</v>
      </c>
      <c r="T1754" s="1" t="s">
        <v>93</v>
      </c>
      <c r="U1754" s="1" t="s">
        <v>44</v>
      </c>
      <c r="V1754" s="1" t="s">
        <v>94</v>
      </c>
      <c r="X1754" s="1" t="s">
        <v>183</v>
      </c>
      <c r="AA1754" s="3">
        <v>36691</v>
      </c>
      <c r="AB1754" s="1" t="s">
        <v>46</v>
      </c>
      <c r="AC1754" s="5">
        <v>1250</v>
      </c>
      <c r="AD1754" s="1" t="s">
        <v>4228</v>
      </c>
      <c r="AE1754" s="1" t="str">
        <f t="shared" si="131"/>
        <v>7765 8</v>
      </c>
      <c r="AF1754" s="5" t="str">
        <f t="shared" si="133"/>
        <v>91.9</v>
      </c>
      <c r="AG1754" s="1" t="str">
        <f t="shared" si="130"/>
        <v/>
      </c>
    </row>
    <row r="1755" spans="1:33" x14ac:dyDescent="0.2">
      <c r="A1755" s="1" t="s">
        <v>921</v>
      </c>
      <c r="B1755" s="1" t="s">
        <v>4220</v>
      </c>
      <c r="C1755" s="1">
        <v>7765</v>
      </c>
      <c r="D1755" s="1">
        <v>9</v>
      </c>
      <c r="F1755" s="1">
        <v>2023</v>
      </c>
      <c r="G1755" s="1" t="s">
        <v>952</v>
      </c>
      <c r="H1755" s="1" t="s">
        <v>4161</v>
      </c>
      <c r="I1755" s="1">
        <v>4</v>
      </c>
      <c r="K1755" s="1" t="s">
        <v>994</v>
      </c>
      <c r="L1755" s="1" t="s">
        <v>4221</v>
      </c>
      <c r="M1755" s="1">
        <v>157</v>
      </c>
      <c r="N1755" s="1" t="s">
        <v>39</v>
      </c>
      <c r="O1755" s="1">
        <v>34.038600000000002</v>
      </c>
      <c r="P1755" s="1">
        <v>-83.397199999999998</v>
      </c>
      <c r="Q1755" s="1" t="s">
        <v>4222</v>
      </c>
      <c r="R1755" s="1" t="s">
        <v>41</v>
      </c>
      <c r="T1755" s="1" t="s">
        <v>93</v>
      </c>
      <c r="U1755" s="1" t="s">
        <v>44</v>
      </c>
      <c r="V1755" s="1" t="s">
        <v>94</v>
      </c>
      <c r="X1755" s="1" t="s">
        <v>183</v>
      </c>
      <c r="AA1755" s="3">
        <v>37036</v>
      </c>
      <c r="AB1755" s="1" t="s">
        <v>46</v>
      </c>
      <c r="AC1755" s="5">
        <v>1250</v>
      </c>
      <c r="AD1755" s="1" t="s">
        <v>4229</v>
      </c>
      <c r="AE1755" s="1" t="str">
        <f t="shared" si="131"/>
        <v>7765 9</v>
      </c>
      <c r="AF1755" s="5" t="str">
        <f t="shared" si="133"/>
        <v>91.9</v>
      </c>
      <c r="AG1755" s="1" t="str">
        <f t="shared" si="130"/>
        <v/>
      </c>
    </row>
    <row r="1756" spans="1:33" x14ac:dyDescent="0.2">
      <c r="A1756" s="1" t="s">
        <v>921</v>
      </c>
      <c r="B1756" s="1" t="s">
        <v>4220</v>
      </c>
      <c r="C1756" s="1">
        <v>7765</v>
      </c>
      <c r="D1756" s="1">
        <v>10</v>
      </c>
      <c r="F1756" s="1">
        <v>2023</v>
      </c>
      <c r="G1756" s="1" t="s">
        <v>952</v>
      </c>
      <c r="H1756" s="1" t="s">
        <v>4161</v>
      </c>
      <c r="I1756" s="1">
        <v>4</v>
      </c>
      <c r="K1756" s="1" t="s">
        <v>994</v>
      </c>
      <c r="L1756" s="1" t="s">
        <v>4221</v>
      </c>
      <c r="M1756" s="1">
        <v>157</v>
      </c>
      <c r="N1756" s="1" t="s">
        <v>39</v>
      </c>
      <c r="O1756" s="1">
        <v>34.038600000000002</v>
      </c>
      <c r="P1756" s="1">
        <v>-83.397199999999998</v>
      </c>
      <c r="Q1756" s="1" t="s">
        <v>4222</v>
      </c>
      <c r="R1756" s="1" t="s">
        <v>41</v>
      </c>
      <c r="T1756" s="1" t="s">
        <v>93</v>
      </c>
      <c r="U1756" s="1" t="s">
        <v>44</v>
      </c>
      <c r="V1756" s="1" t="s">
        <v>94</v>
      </c>
      <c r="X1756" s="1" t="s">
        <v>183</v>
      </c>
      <c r="AA1756" s="3">
        <v>37016</v>
      </c>
      <c r="AB1756" s="1" t="s">
        <v>46</v>
      </c>
      <c r="AC1756" s="5">
        <v>1250</v>
      </c>
      <c r="AD1756" s="1" t="s">
        <v>4230</v>
      </c>
      <c r="AE1756" s="1" t="str">
        <f t="shared" si="131"/>
        <v>7765 10</v>
      </c>
      <c r="AF1756" s="5" t="str">
        <f t="shared" si="133"/>
        <v>91.9</v>
      </c>
      <c r="AG1756" s="1" t="str">
        <f t="shared" si="130"/>
        <v/>
      </c>
    </row>
    <row r="1757" spans="1:33" x14ac:dyDescent="0.2">
      <c r="A1757" s="1" t="s">
        <v>921</v>
      </c>
      <c r="B1757" s="1" t="s">
        <v>4231</v>
      </c>
      <c r="C1757" s="1">
        <v>7768</v>
      </c>
      <c r="D1757" s="1" t="s">
        <v>98</v>
      </c>
      <c r="F1757" s="1">
        <v>2023</v>
      </c>
      <c r="G1757" s="1" t="s">
        <v>952</v>
      </c>
      <c r="H1757" s="1" t="s">
        <v>4232</v>
      </c>
      <c r="I1757" s="1">
        <v>4</v>
      </c>
      <c r="K1757" s="1" t="s">
        <v>4233</v>
      </c>
      <c r="L1757" s="1" t="s">
        <v>4234</v>
      </c>
      <c r="M1757" s="1">
        <v>205</v>
      </c>
      <c r="N1757" s="1" t="s">
        <v>39</v>
      </c>
      <c r="O1757" s="1">
        <v>31.386900000000001</v>
      </c>
      <c r="P1757" s="1">
        <v>-84.081400000000002</v>
      </c>
      <c r="Q1757" s="1" t="s">
        <v>4235</v>
      </c>
      <c r="R1757" s="1" t="s">
        <v>41</v>
      </c>
      <c r="T1757" s="1" t="s">
        <v>93</v>
      </c>
      <c r="U1757" s="1" t="s">
        <v>44</v>
      </c>
      <c r="V1757" s="1" t="s">
        <v>94</v>
      </c>
      <c r="X1757" s="1" t="s">
        <v>95</v>
      </c>
      <c r="AA1757" s="3">
        <v>36339</v>
      </c>
      <c r="AB1757" s="1" t="s">
        <v>46</v>
      </c>
      <c r="AC1757" s="5">
        <v>614</v>
      </c>
      <c r="AD1757" s="1" t="s">
        <v>4236</v>
      </c>
      <c r="AE1757" s="1" t="str">
        <f t="shared" si="131"/>
        <v>7768 CT2</v>
      </c>
      <c r="AF1757" s="5" t="str">
        <f t="shared" si="133"/>
        <v>60</v>
      </c>
      <c r="AG1757" s="1" t="str">
        <f t="shared" si="130"/>
        <v/>
      </c>
    </row>
    <row r="1758" spans="1:33" x14ac:dyDescent="0.2">
      <c r="A1758" s="1" t="s">
        <v>921</v>
      </c>
      <c r="B1758" s="1" t="s">
        <v>4231</v>
      </c>
      <c r="C1758" s="1">
        <v>7768</v>
      </c>
      <c r="D1758" s="1" t="s">
        <v>101</v>
      </c>
      <c r="F1758" s="1">
        <v>2023</v>
      </c>
      <c r="G1758" s="1" t="s">
        <v>952</v>
      </c>
      <c r="H1758" s="1" t="s">
        <v>4232</v>
      </c>
      <c r="I1758" s="1">
        <v>4</v>
      </c>
      <c r="K1758" s="1" t="s">
        <v>4233</v>
      </c>
      <c r="L1758" s="1" t="s">
        <v>4234</v>
      </c>
      <c r="M1758" s="1">
        <v>205</v>
      </c>
      <c r="N1758" s="1" t="s">
        <v>39</v>
      </c>
      <c r="O1758" s="1">
        <v>31.386900000000001</v>
      </c>
      <c r="P1758" s="1">
        <v>-84.081400000000002</v>
      </c>
      <c r="Q1758" s="1" t="s">
        <v>4235</v>
      </c>
      <c r="R1758" s="1" t="s">
        <v>41</v>
      </c>
      <c r="T1758" s="1" t="s">
        <v>93</v>
      </c>
      <c r="U1758" s="1" t="s">
        <v>44</v>
      </c>
      <c r="V1758" s="1" t="s">
        <v>94</v>
      </c>
      <c r="X1758" s="1" t="s">
        <v>95</v>
      </c>
      <c r="AA1758" s="3">
        <v>36361</v>
      </c>
      <c r="AB1758" s="1" t="s">
        <v>46</v>
      </c>
      <c r="AC1758" s="5">
        <v>614</v>
      </c>
      <c r="AD1758" s="1" t="s">
        <v>4237</v>
      </c>
      <c r="AE1758" s="1" t="str">
        <f t="shared" si="131"/>
        <v>7768 CT3</v>
      </c>
      <c r="AF1758" s="5" t="str">
        <f t="shared" si="133"/>
        <v>60</v>
      </c>
      <c r="AG1758" s="1" t="str">
        <f t="shared" si="130"/>
        <v/>
      </c>
    </row>
    <row r="1759" spans="1:33" x14ac:dyDescent="0.2">
      <c r="A1759" s="1" t="s">
        <v>2430</v>
      </c>
      <c r="B1759" s="1" t="s">
        <v>4238</v>
      </c>
      <c r="C1759" s="1">
        <v>7782</v>
      </c>
      <c r="D1759" s="1" t="s">
        <v>4239</v>
      </c>
      <c r="F1759" s="1">
        <v>2023</v>
      </c>
      <c r="G1759" s="1" t="s">
        <v>461</v>
      </c>
      <c r="H1759" s="1">
        <v>610414</v>
      </c>
      <c r="I1759" s="1">
        <v>5</v>
      </c>
      <c r="K1759" s="1" t="s">
        <v>2439</v>
      </c>
      <c r="L1759" s="1" t="s">
        <v>2440</v>
      </c>
      <c r="M1759" s="1">
        <v>17</v>
      </c>
      <c r="N1759" s="1" t="s">
        <v>39</v>
      </c>
      <c r="O1759" s="1">
        <v>39.352800000000002</v>
      </c>
      <c r="P1759" s="1">
        <v>-84.518299999999996</v>
      </c>
      <c r="Q1759" s="1" t="s">
        <v>4240</v>
      </c>
      <c r="R1759" s="1" t="s">
        <v>41</v>
      </c>
      <c r="T1759" s="1" t="s">
        <v>93</v>
      </c>
      <c r="U1759" s="1" t="s">
        <v>44</v>
      </c>
      <c r="X1759" s="1" t="s">
        <v>95</v>
      </c>
      <c r="AA1759" s="3">
        <v>36654</v>
      </c>
      <c r="AB1759" s="1" t="s">
        <v>46</v>
      </c>
      <c r="AC1759" s="5">
        <v>423</v>
      </c>
      <c r="AD1759" s="1" t="s">
        <v>4241</v>
      </c>
      <c r="AE1759" s="1" t="str">
        <f t="shared" si="131"/>
        <v>7782 P001</v>
      </c>
      <c r="AF1759" s="5" t="str">
        <f t="shared" si="133"/>
        <v>32</v>
      </c>
      <c r="AG1759" s="1" t="str">
        <f t="shared" si="130"/>
        <v/>
      </c>
    </row>
    <row r="1760" spans="1:33" x14ac:dyDescent="0.2">
      <c r="A1760" s="1" t="s">
        <v>2430</v>
      </c>
      <c r="B1760" s="1" t="s">
        <v>4242</v>
      </c>
      <c r="C1760" s="1">
        <v>7783</v>
      </c>
      <c r="D1760" s="1" t="s">
        <v>4239</v>
      </c>
      <c r="F1760" s="1">
        <v>2023</v>
      </c>
      <c r="G1760" s="1" t="s">
        <v>461</v>
      </c>
      <c r="H1760" s="1">
        <v>610414</v>
      </c>
      <c r="I1760" s="1">
        <v>5</v>
      </c>
      <c r="K1760" s="1" t="s">
        <v>4243</v>
      </c>
      <c r="L1760" s="1" t="s">
        <v>4244</v>
      </c>
      <c r="M1760" s="1">
        <v>173</v>
      </c>
      <c r="N1760" s="1" t="s">
        <v>39</v>
      </c>
      <c r="O1760" s="1">
        <v>41.388300000000001</v>
      </c>
      <c r="P1760" s="1">
        <v>-83.640600000000006</v>
      </c>
      <c r="Q1760" s="1" t="s">
        <v>4240</v>
      </c>
      <c r="R1760" s="1" t="s">
        <v>41</v>
      </c>
      <c r="T1760" s="1" t="s">
        <v>93</v>
      </c>
      <c r="U1760" s="1" t="s">
        <v>44</v>
      </c>
      <c r="X1760" s="1" t="s">
        <v>95</v>
      </c>
      <c r="AA1760" s="3">
        <v>36654</v>
      </c>
      <c r="AB1760" s="1" t="s">
        <v>46</v>
      </c>
      <c r="AC1760" s="5">
        <v>423</v>
      </c>
      <c r="AD1760" s="1" t="s">
        <v>4241</v>
      </c>
      <c r="AE1760" s="1" t="str">
        <f t="shared" si="131"/>
        <v>7783 P001</v>
      </c>
      <c r="AF1760" s="5" t="str">
        <f t="shared" si="133"/>
        <v>32</v>
      </c>
      <c r="AG1760" s="1" t="str">
        <f t="shared" si="130"/>
        <v/>
      </c>
    </row>
    <row r="1761" spans="1:33" x14ac:dyDescent="0.2">
      <c r="A1761" s="1" t="s">
        <v>3076</v>
      </c>
      <c r="B1761" s="1" t="s">
        <v>4245</v>
      </c>
      <c r="C1761" s="1">
        <v>7790</v>
      </c>
      <c r="D1761" s="2">
        <v>45292</v>
      </c>
      <c r="F1761" s="1">
        <v>2023</v>
      </c>
      <c r="G1761" s="1" t="s">
        <v>236</v>
      </c>
      <c r="H1761" s="1">
        <v>602400</v>
      </c>
      <c r="I1761" s="1">
        <v>8</v>
      </c>
      <c r="J1761" s="1" t="s">
        <v>237</v>
      </c>
      <c r="K1761" s="1" t="s">
        <v>4246</v>
      </c>
      <c r="L1761" s="1" t="s">
        <v>4247</v>
      </c>
      <c r="M1761" s="1">
        <v>47</v>
      </c>
      <c r="N1761" s="1" t="s">
        <v>39</v>
      </c>
      <c r="O1761" s="1">
        <v>40.086399999999998</v>
      </c>
      <c r="P1761" s="1">
        <v>-109.28440000000001</v>
      </c>
      <c r="Q1761" s="1" t="s">
        <v>4248</v>
      </c>
      <c r="R1761" s="1" t="s">
        <v>41</v>
      </c>
      <c r="S1761" s="1" t="s">
        <v>211</v>
      </c>
      <c r="T1761" s="1" t="s">
        <v>89</v>
      </c>
      <c r="U1761" s="1" t="s">
        <v>55</v>
      </c>
      <c r="V1761" s="1" t="s">
        <v>94</v>
      </c>
      <c r="W1761" s="1" t="s">
        <v>56</v>
      </c>
      <c r="X1761" s="1" t="s">
        <v>90</v>
      </c>
      <c r="Y1761" s="1" t="s">
        <v>232</v>
      </c>
      <c r="AA1761" s="3">
        <v>31382</v>
      </c>
      <c r="AB1761" s="1" t="s">
        <v>46</v>
      </c>
      <c r="AC1761" s="5">
        <v>5500</v>
      </c>
      <c r="AD1761" s="1" t="s">
        <v>2205</v>
      </c>
      <c r="AE1761" s="1" t="str">
        <f t="shared" si="131"/>
        <v>7790 45292</v>
      </c>
      <c r="AF1761" s="5" t="str">
        <f t="shared" si="133"/>
        <v>400</v>
      </c>
      <c r="AG1761" s="1" t="str">
        <f t="shared" si="130"/>
        <v/>
      </c>
    </row>
    <row r="1762" spans="1:33" x14ac:dyDescent="0.2">
      <c r="A1762" s="1" t="s">
        <v>1153</v>
      </c>
      <c r="B1762" s="1" t="s">
        <v>4249</v>
      </c>
      <c r="C1762" s="1">
        <v>7805</v>
      </c>
      <c r="D1762" s="1">
        <v>1</v>
      </c>
      <c r="F1762" s="1">
        <v>2023</v>
      </c>
      <c r="G1762" s="1" t="s">
        <v>2319</v>
      </c>
      <c r="H1762" s="1" t="s">
        <v>2320</v>
      </c>
      <c r="I1762" s="1">
        <v>4</v>
      </c>
      <c r="K1762" s="1" t="s">
        <v>2099</v>
      </c>
      <c r="L1762" s="1" t="s">
        <v>4250</v>
      </c>
      <c r="M1762" s="1">
        <v>153</v>
      </c>
      <c r="N1762" s="1" t="s">
        <v>39</v>
      </c>
      <c r="O1762" s="1">
        <v>34.842199999999998</v>
      </c>
      <c r="P1762" s="1">
        <v>-79.744399999999999</v>
      </c>
      <c r="Q1762" s="1" t="s">
        <v>2332</v>
      </c>
      <c r="R1762" s="1" t="s">
        <v>41</v>
      </c>
      <c r="T1762" s="1" t="s">
        <v>93</v>
      </c>
      <c r="U1762" s="1" t="s">
        <v>284</v>
      </c>
      <c r="V1762" s="1" t="s">
        <v>94</v>
      </c>
      <c r="X1762" s="1" t="s">
        <v>183</v>
      </c>
      <c r="AA1762" s="3">
        <v>36975</v>
      </c>
      <c r="AB1762" s="1" t="s">
        <v>46</v>
      </c>
      <c r="AC1762" s="5">
        <v>2100</v>
      </c>
      <c r="AD1762" s="1" t="s">
        <v>4251</v>
      </c>
      <c r="AE1762" s="1" t="str">
        <f t="shared" si="131"/>
        <v>7805 1</v>
      </c>
      <c r="AF1762" s="5" t="str">
        <f t="shared" si="133"/>
        <v>211.8</v>
      </c>
      <c r="AG1762" s="1" t="str">
        <f t="shared" si="130"/>
        <v/>
      </c>
    </row>
    <row r="1763" spans="1:33" x14ac:dyDescent="0.2">
      <c r="A1763" s="1" t="s">
        <v>1153</v>
      </c>
      <c r="B1763" s="1" t="s">
        <v>4249</v>
      </c>
      <c r="C1763" s="1">
        <v>7805</v>
      </c>
      <c r="D1763" s="1">
        <v>2</v>
      </c>
      <c r="F1763" s="1">
        <v>2023</v>
      </c>
      <c r="G1763" s="1" t="s">
        <v>2319</v>
      </c>
      <c r="H1763" s="1" t="s">
        <v>2320</v>
      </c>
      <c r="I1763" s="1">
        <v>4</v>
      </c>
      <c r="K1763" s="1" t="s">
        <v>2099</v>
      </c>
      <c r="L1763" s="1" t="s">
        <v>4250</v>
      </c>
      <c r="M1763" s="1">
        <v>153</v>
      </c>
      <c r="N1763" s="1" t="s">
        <v>39</v>
      </c>
      <c r="O1763" s="1">
        <v>34.842199999999998</v>
      </c>
      <c r="P1763" s="1">
        <v>-79.744399999999999</v>
      </c>
      <c r="Q1763" s="1" t="s">
        <v>2332</v>
      </c>
      <c r="R1763" s="1" t="s">
        <v>41</v>
      </c>
      <c r="T1763" s="1" t="s">
        <v>93</v>
      </c>
      <c r="U1763" s="1" t="s">
        <v>284</v>
      </c>
      <c r="V1763" s="1" t="s">
        <v>94</v>
      </c>
      <c r="X1763" s="1" t="s">
        <v>183</v>
      </c>
      <c r="AA1763" s="3">
        <v>36982</v>
      </c>
      <c r="AB1763" s="1" t="s">
        <v>46</v>
      </c>
      <c r="AC1763" s="5">
        <v>2100</v>
      </c>
      <c r="AD1763" s="1" t="s">
        <v>4252</v>
      </c>
      <c r="AE1763" s="1" t="str">
        <f t="shared" si="131"/>
        <v>7805 2</v>
      </c>
      <c r="AF1763" s="5" t="str">
        <f t="shared" si="133"/>
        <v>211.8</v>
      </c>
      <c r="AG1763" s="1" t="str">
        <f t="shared" si="130"/>
        <v/>
      </c>
    </row>
    <row r="1764" spans="1:33" x14ac:dyDescent="0.2">
      <c r="A1764" s="1" t="s">
        <v>1153</v>
      </c>
      <c r="B1764" s="1" t="s">
        <v>4249</v>
      </c>
      <c r="C1764" s="1">
        <v>7805</v>
      </c>
      <c r="D1764" s="1">
        <v>3</v>
      </c>
      <c r="F1764" s="1">
        <v>2023</v>
      </c>
      <c r="G1764" s="1" t="s">
        <v>2319</v>
      </c>
      <c r="H1764" s="1" t="s">
        <v>2320</v>
      </c>
      <c r="I1764" s="1">
        <v>4</v>
      </c>
      <c r="K1764" s="1" t="s">
        <v>2099</v>
      </c>
      <c r="L1764" s="1" t="s">
        <v>4250</v>
      </c>
      <c r="M1764" s="1">
        <v>153</v>
      </c>
      <c r="N1764" s="1" t="s">
        <v>39</v>
      </c>
      <c r="O1764" s="1">
        <v>34.842199999999998</v>
      </c>
      <c r="P1764" s="1">
        <v>-79.744399999999999</v>
      </c>
      <c r="Q1764" s="1" t="s">
        <v>2332</v>
      </c>
      <c r="R1764" s="1" t="s">
        <v>41</v>
      </c>
      <c r="T1764" s="1" t="s">
        <v>93</v>
      </c>
      <c r="U1764" s="1" t="s">
        <v>284</v>
      </c>
      <c r="V1764" s="1" t="s">
        <v>94</v>
      </c>
      <c r="X1764" s="1" t="s">
        <v>183</v>
      </c>
      <c r="AA1764" s="3">
        <v>36989</v>
      </c>
      <c r="AB1764" s="1" t="s">
        <v>46</v>
      </c>
      <c r="AC1764" s="5">
        <v>2100</v>
      </c>
      <c r="AD1764" s="1" t="s">
        <v>4253</v>
      </c>
      <c r="AE1764" s="1" t="str">
        <f t="shared" si="131"/>
        <v>7805 3</v>
      </c>
      <c r="AF1764" s="5" t="str">
        <f t="shared" si="133"/>
        <v>211.8</v>
      </c>
      <c r="AG1764" s="1" t="str">
        <f t="shared" si="130"/>
        <v/>
      </c>
    </row>
    <row r="1765" spans="1:33" x14ac:dyDescent="0.2">
      <c r="A1765" s="1" t="s">
        <v>1153</v>
      </c>
      <c r="B1765" s="1" t="s">
        <v>4249</v>
      </c>
      <c r="C1765" s="1">
        <v>7805</v>
      </c>
      <c r="D1765" s="1">
        <v>4</v>
      </c>
      <c r="F1765" s="1">
        <v>2023</v>
      </c>
      <c r="G1765" s="1" t="s">
        <v>2319</v>
      </c>
      <c r="H1765" s="1" t="s">
        <v>2320</v>
      </c>
      <c r="I1765" s="1">
        <v>4</v>
      </c>
      <c r="K1765" s="1" t="s">
        <v>2099</v>
      </c>
      <c r="L1765" s="1" t="s">
        <v>4250</v>
      </c>
      <c r="M1765" s="1">
        <v>153</v>
      </c>
      <c r="N1765" s="1" t="s">
        <v>39</v>
      </c>
      <c r="O1765" s="1">
        <v>34.842199999999998</v>
      </c>
      <c r="P1765" s="1">
        <v>-79.744399999999999</v>
      </c>
      <c r="Q1765" s="1" t="s">
        <v>2332</v>
      </c>
      <c r="R1765" s="1" t="s">
        <v>41</v>
      </c>
      <c r="T1765" s="1" t="s">
        <v>93</v>
      </c>
      <c r="U1765" s="1" t="s">
        <v>284</v>
      </c>
      <c r="V1765" s="1" t="s">
        <v>94</v>
      </c>
      <c r="X1765" s="1" t="s">
        <v>183</v>
      </c>
      <c r="AA1765" s="3">
        <v>36996</v>
      </c>
      <c r="AB1765" s="1" t="s">
        <v>46</v>
      </c>
      <c r="AC1765" s="5">
        <v>2100</v>
      </c>
      <c r="AD1765" s="1" t="s">
        <v>4254</v>
      </c>
      <c r="AE1765" s="1" t="str">
        <f t="shared" si="131"/>
        <v>7805 4</v>
      </c>
      <c r="AF1765" s="5" t="str">
        <f t="shared" si="133"/>
        <v>211.8</v>
      </c>
      <c r="AG1765" s="1" t="str">
        <f t="shared" si="130"/>
        <v/>
      </c>
    </row>
    <row r="1766" spans="1:33" x14ac:dyDescent="0.2">
      <c r="A1766" s="1" t="s">
        <v>1153</v>
      </c>
      <c r="B1766" s="1" t="s">
        <v>4249</v>
      </c>
      <c r="C1766" s="1">
        <v>7805</v>
      </c>
      <c r="D1766" s="1">
        <v>6</v>
      </c>
      <c r="F1766" s="1">
        <v>2023</v>
      </c>
      <c r="G1766" s="1" t="s">
        <v>2319</v>
      </c>
      <c r="H1766" s="1" t="s">
        <v>2320</v>
      </c>
      <c r="I1766" s="1">
        <v>4</v>
      </c>
      <c r="K1766" s="1" t="s">
        <v>2099</v>
      </c>
      <c r="L1766" s="1" t="s">
        <v>4250</v>
      </c>
      <c r="M1766" s="1">
        <v>153</v>
      </c>
      <c r="N1766" s="1" t="s">
        <v>39</v>
      </c>
      <c r="O1766" s="1">
        <v>34.842199999999998</v>
      </c>
      <c r="P1766" s="1">
        <v>-79.744399999999999</v>
      </c>
      <c r="Q1766" s="1" t="s">
        <v>2332</v>
      </c>
      <c r="R1766" s="1" t="s">
        <v>41</v>
      </c>
      <c r="T1766" s="1" t="s">
        <v>93</v>
      </c>
      <c r="U1766" s="1" t="s">
        <v>284</v>
      </c>
      <c r="V1766" s="1" t="s">
        <v>94</v>
      </c>
      <c r="X1766" s="1" t="s">
        <v>183</v>
      </c>
      <c r="AA1766" s="3">
        <v>37347</v>
      </c>
      <c r="AB1766" s="1" t="s">
        <v>46</v>
      </c>
      <c r="AC1766" s="5">
        <v>2100</v>
      </c>
      <c r="AD1766" s="1" t="s">
        <v>4255</v>
      </c>
      <c r="AE1766" s="1" t="str">
        <f t="shared" si="131"/>
        <v>7805 6</v>
      </c>
      <c r="AF1766" s="5" t="str">
        <f t="shared" si="133"/>
        <v>195.3</v>
      </c>
      <c r="AG1766" s="1" t="str">
        <f t="shared" si="130"/>
        <v/>
      </c>
    </row>
    <row r="1767" spans="1:33" x14ac:dyDescent="0.2">
      <c r="A1767" s="1" t="s">
        <v>1153</v>
      </c>
      <c r="B1767" s="1" t="s">
        <v>4249</v>
      </c>
      <c r="C1767" s="1">
        <v>7805</v>
      </c>
      <c r="D1767" s="1">
        <v>7</v>
      </c>
      <c r="F1767" s="1">
        <v>2023</v>
      </c>
      <c r="G1767" s="1" t="s">
        <v>2319</v>
      </c>
      <c r="H1767" s="1" t="s">
        <v>2320</v>
      </c>
      <c r="I1767" s="1">
        <v>4</v>
      </c>
      <c r="K1767" s="1" t="s">
        <v>2099</v>
      </c>
      <c r="L1767" s="1" t="s">
        <v>4250</v>
      </c>
      <c r="M1767" s="1">
        <v>153</v>
      </c>
      <c r="N1767" s="1" t="s">
        <v>39</v>
      </c>
      <c r="O1767" s="1">
        <v>34.842199999999998</v>
      </c>
      <c r="P1767" s="1">
        <v>-79.744399999999999</v>
      </c>
      <c r="Q1767" s="1" t="s">
        <v>2332</v>
      </c>
      <c r="R1767" s="1" t="s">
        <v>41</v>
      </c>
      <c r="T1767" s="1" t="s">
        <v>71</v>
      </c>
      <c r="U1767" s="1" t="s">
        <v>284</v>
      </c>
      <c r="V1767" s="1" t="s">
        <v>94</v>
      </c>
      <c r="X1767" s="1" t="s">
        <v>643</v>
      </c>
      <c r="AA1767" s="3">
        <v>37347</v>
      </c>
      <c r="AB1767" s="1" t="s">
        <v>46</v>
      </c>
      <c r="AC1767" s="5">
        <v>2015</v>
      </c>
      <c r="AD1767" s="1" t="s">
        <v>4256</v>
      </c>
      <c r="AE1767" s="1" t="str">
        <f t="shared" si="131"/>
        <v>7805 7</v>
      </c>
      <c r="AF1767" s="14">
        <f>MID(AD1767,FIND("(",AD1767)+1,FIND(")",AD1767)-FIND("(",AD1767)-1)+195.3/2</f>
        <v>292.95000000000005</v>
      </c>
      <c r="AG1767" s="1" t="str">
        <f t="shared" si="130"/>
        <v>Y</v>
      </c>
    </row>
    <row r="1768" spans="1:33" x14ac:dyDescent="0.2">
      <c r="A1768" s="1" t="s">
        <v>1153</v>
      </c>
      <c r="B1768" s="1" t="s">
        <v>4249</v>
      </c>
      <c r="C1768" s="1">
        <v>7805</v>
      </c>
      <c r="D1768" s="1">
        <v>8</v>
      </c>
      <c r="F1768" s="1">
        <v>2023</v>
      </c>
      <c r="G1768" s="1" t="s">
        <v>2319</v>
      </c>
      <c r="H1768" s="1" t="s">
        <v>2320</v>
      </c>
      <c r="I1768" s="1">
        <v>4</v>
      </c>
      <c r="K1768" s="1" t="s">
        <v>2099</v>
      </c>
      <c r="L1768" s="1" t="s">
        <v>4250</v>
      </c>
      <c r="M1768" s="1">
        <v>153</v>
      </c>
      <c r="N1768" s="1" t="s">
        <v>39</v>
      </c>
      <c r="O1768" s="1">
        <v>34.842199999999998</v>
      </c>
      <c r="P1768" s="1">
        <v>-79.744399999999999</v>
      </c>
      <c r="Q1768" s="1" t="s">
        <v>2332</v>
      </c>
      <c r="R1768" s="1" t="s">
        <v>41</v>
      </c>
      <c r="T1768" s="1" t="s">
        <v>71</v>
      </c>
      <c r="U1768" s="1" t="s">
        <v>284</v>
      </c>
      <c r="V1768" s="1" t="s">
        <v>94</v>
      </c>
      <c r="X1768" s="1" t="s">
        <v>643</v>
      </c>
      <c r="AA1768" s="3">
        <v>37347</v>
      </c>
      <c r="AB1768" s="1" t="s">
        <v>46</v>
      </c>
      <c r="AC1768" s="5">
        <v>2015</v>
      </c>
      <c r="AD1768" s="1" t="s">
        <v>4257</v>
      </c>
      <c r="AE1768" s="1" t="str">
        <f t="shared" si="131"/>
        <v>7805 8</v>
      </c>
      <c r="AF1768" s="14">
        <f>AF1767</f>
        <v>292.95000000000005</v>
      </c>
      <c r="AG1768" s="1" t="str">
        <f t="shared" si="130"/>
        <v>Y</v>
      </c>
    </row>
    <row r="1769" spans="1:33" x14ac:dyDescent="0.2">
      <c r="A1769" s="1" t="s">
        <v>1153</v>
      </c>
      <c r="B1769" s="1" t="s">
        <v>4249</v>
      </c>
      <c r="C1769" s="1">
        <v>7805</v>
      </c>
      <c r="D1769" s="1">
        <v>9</v>
      </c>
      <c r="F1769" s="1">
        <v>2023</v>
      </c>
      <c r="G1769" s="1" t="s">
        <v>2319</v>
      </c>
      <c r="H1769" s="1" t="s">
        <v>2320</v>
      </c>
      <c r="I1769" s="1">
        <v>4</v>
      </c>
      <c r="K1769" s="1" t="s">
        <v>2099</v>
      </c>
      <c r="L1769" s="1" t="s">
        <v>4250</v>
      </c>
      <c r="M1769" s="1">
        <v>153</v>
      </c>
      <c r="N1769" s="1" t="s">
        <v>39</v>
      </c>
      <c r="O1769" s="1">
        <v>34.842199999999998</v>
      </c>
      <c r="P1769" s="1">
        <v>-79.744399999999999</v>
      </c>
      <c r="Q1769" s="1" t="s">
        <v>2332</v>
      </c>
      <c r="R1769" s="1" t="s">
        <v>41</v>
      </c>
      <c r="T1769" s="1" t="s">
        <v>71</v>
      </c>
      <c r="U1769" s="1" t="s">
        <v>284</v>
      </c>
      <c r="V1769" s="1" t="s">
        <v>94</v>
      </c>
      <c r="X1769" s="1" t="s">
        <v>643</v>
      </c>
      <c r="AA1769" s="3">
        <v>40561</v>
      </c>
      <c r="AB1769" s="1" t="s">
        <v>46</v>
      </c>
      <c r="AC1769" s="5">
        <v>2540</v>
      </c>
      <c r="AD1769" s="1" t="s">
        <v>4258</v>
      </c>
      <c r="AE1769" s="1" t="str">
        <f t="shared" si="131"/>
        <v>7805 9</v>
      </c>
      <c r="AF1769" s="14">
        <f>MID(AD1769,FIND("(",AD1769)+1,FIND(")",AD1769)-FIND("(",AD1769)-1)+271/2</f>
        <v>364.5</v>
      </c>
      <c r="AG1769" s="1" t="str">
        <f t="shared" si="130"/>
        <v>Y</v>
      </c>
    </row>
    <row r="1770" spans="1:33" x14ac:dyDescent="0.2">
      <c r="A1770" s="1" t="s">
        <v>1153</v>
      </c>
      <c r="B1770" s="1" t="s">
        <v>4249</v>
      </c>
      <c r="C1770" s="1">
        <v>7805</v>
      </c>
      <c r="D1770" s="1">
        <v>10</v>
      </c>
      <c r="F1770" s="1">
        <v>2023</v>
      </c>
      <c r="G1770" s="1" t="s">
        <v>2319</v>
      </c>
      <c r="H1770" s="1" t="s">
        <v>2320</v>
      </c>
      <c r="I1770" s="1">
        <v>4</v>
      </c>
      <c r="K1770" s="1" t="s">
        <v>2099</v>
      </c>
      <c r="L1770" s="1" t="s">
        <v>4250</v>
      </c>
      <c r="M1770" s="1">
        <v>153</v>
      </c>
      <c r="N1770" s="1" t="s">
        <v>39</v>
      </c>
      <c r="O1770" s="1">
        <v>34.842199999999998</v>
      </c>
      <c r="P1770" s="1">
        <v>-79.744399999999999</v>
      </c>
      <c r="Q1770" s="1" t="s">
        <v>2332</v>
      </c>
      <c r="R1770" s="1" t="s">
        <v>41</v>
      </c>
      <c r="T1770" s="1" t="s">
        <v>71</v>
      </c>
      <c r="U1770" s="1" t="s">
        <v>284</v>
      </c>
      <c r="V1770" s="1" t="s">
        <v>94</v>
      </c>
      <c r="X1770" s="1" t="s">
        <v>643</v>
      </c>
      <c r="AA1770" s="3">
        <v>40560</v>
      </c>
      <c r="AB1770" s="1" t="s">
        <v>46</v>
      </c>
      <c r="AC1770" s="5">
        <v>2540</v>
      </c>
      <c r="AD1770" s="1" t="s">
        <v>4259</v>
      </c>
      <c r="AE1770" s="1" t="str">
        <f t="shared" si="131"/>
        <v>7805 10</v>
      </c>
      <c r="AF1770" s="14">
        <f>AF1769</f>
        <v>364.5</v>
      </c>
      <c r="AG1770" s="1" t="str">
        <f t="shared" si="130"/>
        <v>Y</v>
      </c>
    </row>
    <row r="1771" spans="1:33" x14ac:dyDescent="0.2">
      <c r="A1771" s="1" t="s">
        <v>921</v>
      </c>
      <c r="B1771" s="1" t="s">
        <v>4260</v>
      </c>
      <c r="C1771" s="1">
        <v>7813</v>
      </c>
      <c r="D1771" s="1">
        <v>1</v>
      </c>
      <c r="F1771" s="1">
        <v>2023</v>
      </c>
      <c r="G1771" s="1" t="s">
        <v>952</v>
      </c>
      <c r="H1771" s="1" t="s">
        <v>4261</v>
      </c>
      <c r="I1771" s="1">
        <v>4</v>
      </c>
      <c r="K1771" s="1" t="s">
        <v>896</v>
      </c>
      <c r="L1771" s="1" t="s">
        <v>4262</v>
      </c>
      <c r="M1771" s="1">
        <v>233</v>
      </c>
      <c r="N1771" s="1" t="s">
        <v>39</v>
      </c>
      <c r="O1771" s="1">
        <v>33.948599999999999</v>
      </c>
      <c r="P1771" s="1">
        <v>-85.276899999999998</v>
      </c>
      <c r="Q1771" s="1" t="s">
        <v>4263</v>
      </c>
      <c r="R1771" s="1" t="s">
        <v>41</v>
      </c>
      <c r="T1771" s="1" t="s">
        <v>93</v>
      </c>
      <c r="U1771" s="1" t="s">
        <v>44</v>
      </c>
      <c r="X1771" s="1" t="s">
        <v>140</v>
      </c>
      <c r="AA1771" s="3">
        <v>36685</v>
      </c>
      <c r="AB1771" s="1" t="s">
        <v>46</v>
      </c>
      <c r="AC1771" s="5">
        <v>1560</v>
      </c>
      <c r="AD1771" s="1" t="s">
        <v>4264</v>
      </c>
      <c r="AE1771" s="1" t="str">
        <f t="shared" si="131"/>
        <v>7813 1</v>
      </c>
      <c r="AF1771" s="5" t="str">
        <f t="shared" ref="AF1771:AF1782" si="134">MID(AD1771,FIND("(",AD1771)+1,FIND(")",AD1771)-FIND("(",AD1771)-1)</f>
        <v>121</v>
      </c>
      <c r="AG1771" s="1" t="str">
        <f t="shared" si="130"/>
        <v/>
      </c>
    </row>
    <row r="1772" spans="1:33" x14ac:dyDescent="0.2">
      <c r="A1772" s="1" t="s">
        <v>921</v>
      </c>
      <c r="B1772" s="1" t="s">
        <v>4260</v>
      </c>
      <c r="C1772" s="1">
        <v>7813</v>
      </c>
      <c r="D1772" s="1">
        <v>2</v>
      </c>
      <c r="F1772" s="1">
        <v>2023</v>
      </c>
      <c r="G1772" s="1" t="s">
        <v>952</v>
      </c>
      <c r="H1772" s="1" t="s">
        <v>4261</v>
      </c>
      <c r="I1772" s="1">
        <v>4</v>
      </c>
      <c r="K1772" s="1" t="s">
        <v>896</v>
      </c>
      <c r="L1772" s="1" t="s">
        <v>4262</v>
      </c>
      <c r="M1772" s="1">
        <v>233</v>
      </c>
      <c r="N1772" s="1" t="s">
        <v>39</v>
      </c>
      <c r="O1772" s="1">
        <v>33.948599999999999</v>
      </c>
      <c r="P1772" s="1">
        <v>-85.276899999999998</v>
      </c>
      <c r="Q1772" s="1" t="s">
        <v>4263</v>
      </c>
      <c r="R1772" s="1" t="s">
        <v>41</v>
      </c>
      <c r="T1772" s="1" t="s">
        <v>93</v>
      </c>
      <c r="U1772" s="1" t="s">
        <v>44</v>
      </c>
      <c r="X1772" s="1" t="s">
        <v>140</v>
      </c>
      <c r="AA1772" s="3">
        <v>36698</v>
      </c>
      <c r="AB1772" s="1" t="s">
        <v>46</v>
      </c>
      <c r="AC1772" s="5">
        <v>1335</v>
      </c>
      <c r="AD1772" s="1" t="s">
        <v>4265</v>
      </c>
      <c r="AE1772" s="1" t="str">
        <f t="shared" si="131"/>
        <v>7813 2</v>
      </c>
      <c r="AF1772" s="5" t="str">
        <f t="shared" si="134"/>
        <v>121</v>
      </c>
      <c r="AG1772" s="1" t="str">
        <f t="shared" si="130"/>
        <v/>
      </c>
    </row>
    <row r="1773" spans="1:33" x14ac:dyDescent="0.2">
      <c r="A1773" s="1" t="s">
        <v>921</v>
      </c>
      <c r="B1773" s="1" t="s">
        <v>4260</v>
      </c>
      <c r="C1773" s="1">
        <v>7813</v>
      </c>
      <c r="D1773" s="1">
        <v>3</v>
      </c>
      <c r="F1773" s="1">
        <v>2023</v>
      </c>
      <c r="G1773" s="1" t="s">
        <v>952</v>
      </c>
      <c r="H1773" s="1" t="s">
        <v>4261</v>
      </c>
      <c r="I1773" s="1">
        <v>4</v>
      </c>
      <c r="K1773" s="1" t="s">
        <v>896</v>
      </c>
      <c r="L1773" s="1" t="s">
        <v>4262</v>
      </c>
      <c r="M1773" s="1">
        <v>233</v>
      </c>
      <c r="N1773" s="1" t="s">
        <v>39</v>
      </c>
      <c r="O1773" s="1">
        <v>33.948599999999999</v>
      </c>
      <c r="P1773" s="1">
        <v>-85.276899999999998</v>
      </c>
      <c r="Q1773" s="1" t="s">
        <v>4263</v>
      </c>
      <c r="R1773" s="1" t="s">
        <v>41</v>
      </c>
      <c r="T1773" s="1" t="s">
        <v>93</v>
      </c>
      <c r="U1773" s="1" t="s">
        <v>44</v>
      </c>
      <c r="X1773" s="1" t="s">
        <v>140</v>
      </c>
      <c r="AA1773" s="3">
        <v>36765</v>
      </c>
      <c r="AB1773" s="1" t="s">
        <v>46</v>
      </c>
      <c r="AC1773" s="5">
        <v>1570</v>
      </c>
      <c r="AD1773" s="1" t="s">
        <v>4266</v>
      </c>
      <c r="AE1773" s="1" t="str">
        <f t="shared" si="131"/>
        <v>7813 3</v>
      </c>
      <c r="AF1773" s="5" t="str">
        <f t="shared" si="134"/>
        <v>164</v>
      </c>
      <c r="AG1773" s="1" t="str">
        <f t="shared" si="130"/>
        <v/>
      </c>
    </row>
    <row r="1774" spans="1:33" x14ac:dyDescent="0.2">
      <c r="A1774" s="1" t="s">
        <v>921</v>
      </c>
      <c r="B1774" s="1" t="s">
        <v>4260</v>
      </c>
      <c r="C1774" s="1">
        <v>7813</v>
      </c>
      <c r="D1774" s="1">
        <v>4</v>
      </c>
      <c r="F1774" s="1">
        <v>2023</v>
      </c>
      <c r="G1774" s="1" t="s">
        <v>952</v>
      </c>
      <c r="H1774" s="1" t="s">
        <v>4261</v>
      </c>
      <c r="I1774" s="1">
        <v>4</v>
      </c>
      <c r="K1774" s="1" t="s">
        <v>896</v>
      </c>
      <c r="L1774" s="1" t="s">
        <v>4262</v>
      </c>
      <c r="M1774" s="1">
        <v>233</v>
      </c>
      <c r="N1774" s="1" t="s">
        <v>39</v>
      </c>
      <c r="O1774" s="1">
        <v>33.948599999999999</v>
      </c>
      <c r="P1774" s="1">
        <v>-85.276899999999998</v>
      </c>
      <c r="Q1774" s="1" t="s">
        <v>4263</v>
      </c>
      <c r="R1774" s="1" t="s">
        <v>41</v>
      </c>
      <c r="T1774" s="1" t="s">
        <v>93</v>
      </c>
      <c r="U1774" s="1" t="s">
        <v>44</v>
      </c>
      <c r="X1774" s="1" t="s">
        <v>140</v>
      </c>
      <c r="AA1774" s="3">
        <v>36671</v>
      </c>
      <c r="AB1774" s="1" t="s">
        <v>46</v>
      </c>
      <c r="AC1774" s="5">
        <v>1606</v>
      </c>
      <c r="AD1774" s="1" t="s">
        <v>4267</v>
      </c>
      <c r="AE1774" s="1" t="str">
        <f t="shared" si="131"/>
        <v>7813 4</v>
      </c>
      <c r="AF1774" s="5" t="str">
        <f t="shared" si="134"/>
        <v>164</v>
      </c>
      <c r="AG1774" s="1" t="str">
        <f t="shared" si="130"/>
        <v/>
      </c>
    </row>
    <row r="1775" spans="1:33" x14ac:dyDescent="0.2">
      <c r="A1775" s="1" t="s">
        <v>458</v>
      </c>
      <c r="B1775" s="1" t="s">
        <v>4268</v>
      </c>
      <c r="C1775" s="1">
        <v>7818</v>
      </c>
      <c r="D1775" s="1" t="s">
        <v>4076</v>
      </c>
      <c r="F1775" s="1">
        <v>2023</v>
      </c>
      <c r="G1775" s="1" t="s">
        <v>1020</v>
      </c>
      <c r="H1775" s="1" t="s">
        <v>4269</v>
      </c>
      <c r="I1775" s="1">
        <v>5</v>
      </c>
      <c r="J1775" s="1" t="s">
        <v>36</v>
      </c>
      <c r="K1775" s="1" t="s">
        <v>3836</v>
      </c>
      <c r="L1775" s="1" t="s">
        <v>4270</v>
      </c>
      <c r="M1775" s="1">
        <v>171</v>
      </c>
      <c r="N1775" s="1" t="s">
        <v>39</v>
      </c>
      <c r="O1775" s="1">
        <v>39.569699999999997</v>
      </c>
      <c r="P1775" s="1">
        <v>-90.436199999999999</v>
      </c>
      <c r="Q1775" s="1" t="s">
        <v>4271</v>
      </c>
      <c r="T1775" s="1" t="s">
        <v>93</v>
      </c>
      <c r="U1775" s="1" t="s">
        <v>44</v>
      </c>
      <c r="X1775" s="1" t="s">
        <v>95</v>
      </c>
      <c r="AA1775" s="3">
        <v>36312</v>
      </c>
      <c r="AB1775" s="1" t="s">
        <v>46</v>
      </c>
      <c r="AC1775" s="5">
        <v>473</v>
      </c>
      <c r="AD1775" s="1" t="s">
        <v>4272</v>
      </c>
      <c r="AE1775" s="1" t="str">
        <f t="shared" si="131"/>
        <v>7818 ACT1</v>
      </c>
      <c r="AF1775" s="5" t="str">
        <f t="shared" si="134"/>
        <v>30</v>
      </c>
      <c r="AG1775" s="1" t="str">
        <f t="shared" si="130"/>
        <v/>
      </c>
    </row>
    <row r="1776" spans="1:33" x14ac:dyDescent="0.2">
      <c r="A1776" s="1" t="s">
        <v>458</v>
      </c>
      <c r="B1776" s="1" t="s">
        <v>4268</v>
      </c>
      <c r="C1776" s="1">
        <v>7818</v>
      </c>
      <c r="D1776" s="1" t="s">
        <v>4079</v>
      </c>
      <c r="F1776" s="1">
        <v>2023</v>
      </c>
      <c r="G1776" s="1" t="s">
        <v>1020</v>
      </c>
      <c r="H1776" s="1" t="s">
        <v>4269</v>
      </c>
      <c r="I1776" s="1">
        <v>5</v>
      </c>
      <c r="J1776" s="1" t="s">
        <v>36</v>
      </c>
      <c r="K1776" s="1" t="s">
        <v>3836</v>
      </c>
      <c r="L1776" s="1" t="s">
        <v>4270</v>
      </c>
      <c r="M1776" s="1">
        <v>171</v>
      </c>
      <c r="N1776" s="1" t="s">
        <v>39</v>
      </c>
      <c r="O1776" s="1">
        <v>39.569699999999997</v>
      </c>
      <c r="P1776" s="1">
        <v>-90.436199999999999</v>
      </c>
      <c r="Q1776" s="1" t="s">
        <v>4271</v>
      </c>
      <c r="T1776" s="1" t="s">
        <v>93</v>
      </c>
      <c r="U1776" s="1" t="s">
        <v>44</v>
      </c>
      <c r="X1776" s="1" t="s">
        <v>95</v>
      </c>
      <c r="AA1776" s="3">
        <v>36312</v>
      </c>
      <c r="AB1776" s="1" t="s">
        <v>46</v>
      </c>
      <c r="AC1776" s="5">
        <v>460</v>
      </c>
      <c r="AD1776" s="1" t="s">
        <v>4273</v>
      </c>
      <c r="AE1776" s="1" t="str">
        <f t="shared" si="131"/>
        <v>7818 ACT2</v>
      </c>
      <c r="AF1776" s="5" t="str">
        <f t="shared" si="134"/>
        <v>30</v>
      </c>
      <c r="AG1776" s="1" t="str">
        <f t="shared" si="130"/>
        <v/>
      </c>
    </row>
    <row r="1777" spans="1:33" x14ac:dyDescent="0.2">
      <c r="A1777" s="1" t="s">
        <v>458</v>
      </c>
      <c r="B1777" s="1" t="s">
        <v>4268</v>
      </c>
      <c r="C1777" s="1">
        <v>7818</v>
      </c>
      <c r="D1777" s="1" t="s">
        <v>4274</v>
      </c>
      <c r="F1777" s="1">
        <v>2023</v>
      </c>
      <c r="G1777" s="1" t="s">
        <v>1020</v>
      </c>
      <c r="H1777" s="1" t="s">
        <v>4269</v>
      </c>
      <c r="I1777" s="1">
        <v>5</v>
      </c>
      <c r="J1777" s="1" t="s">
        <v>36</v>
      </c>
      <c r="K1777" s="1" t="s">
        <v>3836</v>
      </c>
      <c r="L1777" s="1" t="s">
        <v>4270</v>
      </c>
      <c r="M1777" s="1">
        <v>171</v>
      </c>
      <c r="N1777" s="1" t="s">
        <v>39</v>
      </c>
      <c r="O1777" s="1">
        <v>39.569699999999997</v>
      </c>
      <c r="P1777" s="1">
        <v>-90.436199999999999</v>
      </c>
      <c r="Q1777" s="1" t="s">
        <v>4271</v>
      </c>
      <c r="T1777" s="1" t="s">
        <v>93</v>
      </c>
      <c r="U1777" s="1" t="s">
        <v>44</v>
      </c>
      <c r="AA1777" s="3">
        <v>36312</v>
      </c>
      <c r="AB1777" s="1" t="s">
        <v>46</v>
      </c>
      <c r="AC1777" s="5">
        <v>430</v>
      </c>
      <c r="AD1777" s="1" t="s">
        <v>4275</v>
      </c>
      <c r="AE1777" s="1" t="str">
        <f t="shared" si="131"/>
        <v>7818 ACT5</v>
      </c>
      <c r="AF1777" s="5" t="str">
        <f t="shared" si="134"/>
        <v>25</v>
      </c>
      <c r="AG1777" s="1" t="str">
        <f t="shared" si="130"/>
        <v/>
      </c>
    </row>
    <row r="1778" spans="1:33" x14ac:dyDescent="0.2">
      <c r="A1778" s="1" t="s">
        <v>458</v>
      </c>
      <c r="B1778" s="1" t="s">
        <v>4268</v>
      </c>
      <c r="C1778" s="1">
        <v>7818</v>
      </c>
      <c r="D1778" s="1" t="s">
        <v>4276</v>
      </c>
      <c r="F1778" s="1">
        <v>2023</v>
      </c>
      <c r="G1778" s="1" t="s">
        <v>461</v>
      </c>
      <c r="H1778" s="1" t="s">
        <v>4269</v>
      </c>
      <c r="I1778" s="1">
        <v>5</v>
      </c>
      <c r="J1778" s="1" t="s">
        <v>36</v>
      </c>
      <c r="K1778" s="1" t="s">
        <v>3836</v>
      </c>
      <c r="L1778" s="1" t="s">
        <v>4270</v>
      </c>
      <c r="M1778" s="1">
        <v>171</v>
      </c>
      <c r="N1778" s="1" t="s">
        <v>39</v>
      </c>
      <c r="O1778" s="1">
        <v>39.569699999999997</v>
      </c>
      <c r="P1778" s="1">
        <v>-90.436199999999999</v>
      </c>
      <c r="Q1778" s="1" t="s">
        <v>4271</v>
      </c>
      <c r="R1778" s="1" t="s">
        <v>41</v>
      </c>
      <c r="T1778" s="1" t="s">
        <v>93</v>
      </c>
      <c r="U1778" s="1" t="s">
        <v>44</v>
      </c>
      <c r="V1778" s="1" t="s">
        <v>94</v>
      </c>
      <c r="X1778" s="1" t="s">
        <v>95</v>
      </c>
      <c r="AA1778" s="3">
        <v>42717</v>
      </c>
      <c r="AB1778" s="1" t="s">
        <v>46</v>
      </c>
      <c r="AC1778" s="5">
        <v>487</v>
      </c>
      <c r="AD1778" s="1" t="s">
        <v>4277</v>
      </c>
      <c r="AE1778" s="1" t="str">
        <f t="shared" si="131"/>
        <v>7818 ACT6</v>
      </c>
      <c r="AF1778" s="5" t="str">
        <f t="shared" si="134"/>
        <v>48</v>
      </c>
      <c r="AG1778" s="1" t="str">
        <f t="shared" si="130"/>
        <v/>
      </c>
    </row>
    <row r="1779" spans="1:33" x14ac:dyDescent="0.2">
      <c r="A1779" s="1" t="s">
        <v>348</v>
      </c>
      <c r="B1779" s="1" t="s">
        <v>4278</v>
      </c>
      <c r="C1779" s="1">
        <v>7825</v>
      </c>
      <c r="D1779" s="1" t="s">
        <v>311</v>
      </c>
      <c r="F1779" s="1">
        <v>2023</v>
      </c>
      <c r="G1779" s="1" t="s">
        <v>346</v>
      </c>
      <c r="H1779" s="1" t="s">
        <v>356</v>
      </c>
      <c r="I1779" s="1">
        <v>6</v>
      </c>
      <c r="K1779" s="1" t="s">
        <v>4279</v>
      </c>
      <c r="L1779" s="1" t="s">
        <v>4280</v>
      </c>
      <c r="M1779" s="1">
        <v>57</v>
      </c>
      <c r="N1779" s="1" t="s">
        <v>39</v>
      </c>
      <c r="O1779" s="1">
        <v>33.609400000000001</v>
      </c>
      <c r="P1779" s="1">
        <v>-93.792400000000001</v>
      </c>
      <c r="Q1779" s="1" t="s">
        <v>359</v>
      </c>
      <c r="R1779" s="1" t="s">
        <v>41</v>
      </c>
      <c r="T1779" s="1" t="s">
        <v>93</v>
      </c>
      <c r="U1779" s="1" t="s">
        <v>44</v>
      </c>
      <c r="X1779" s="1" t="s">
        <v>140</v>
      </c>
      <c r="AA1779" s="3">
        <v>37002</v>
      </c>
      <c r="AB1779" s="1" t="s">
        <v>46</v>
      </c>
      <c r="AC1779" s="5">
        <v>1692</v>
      </c>
      <c r="AD1779" s="1" t="s">
        <v>4281</v>
      </c>
      <c r="AE1779" s="1" t="str">
        <f t="shared" si="131"/>
        <v>7825 CT1</v>
      </c>
      <c r="AF1779" s="5" t="str">
        <f t="shared" si="134"/>
        <v>153</v>
      </c>
      <c r="AG1779" s="1" t="str">
        <f t="shared" si="130"/>
        <v/>
      </c>
    </row>
    <row r="1780" spans="1:33" x14ac:dyDescent="0.2">
      <c r="A1780" s="1" t="s">
        <v>1153</v>
      </c>
      <c r="B1780" s="1" t="s">
        <v>4282</v>
      </c>
      <c r="C1780" s="1">
        <v>7826</v>
      </c>
      <c r="D1780" s="1">
        <v>1</v>
      </c>
      <c r="F1780" s="1">
        <v>2023</v>
      </c>
      <c r="G1780" s="1" t="s">
        <v>2319</v>
      </c>
      <c r="H1780" s="1" t="s">
        <v>4161</v>
      </c>
      <c r="I1780" s="1">
        <v>4</v>
      </c>
      <c r="K1780" s="1" t="s">
        <v>2388</v>
      </c>
      <c r="L1780" s="1" t="s">
        <v>2389</v>
      </c>
      <c r="M1780" s="1">
        <v>159</v>
      </c>
      <c r="N1780" s="1" t="s">
        <v>39</v>
      </c>
      <c r="O1780" s="1">
        <v>35.732500000000002</v>
      </c>
      <c r="P1780" s="1">
        <v>-80.601900000000001</v>
      </c>
      <c r="Q1780" s="1" t="s">
        <v>4283</v>
      </c>
      <c r="R1780" s="1" t="s">
        <v>41</v>
      </c>
      <c r="T1780" s="1" t="s">
        <v>93</v>
      </c>
      <c r="U1780" s="1" t="s">
        <v>44</v>
      </c>
      <c r="V1780" s="1" t="s">
        <v>94</v>
      </c>
      <c r="X1780" s="1" t="s">
        <v>183</v>
      </c>
      <c r="AA1780" s="3">
        <v>37026</v>
      </c>
      <c r="AB1780" s="1" t="s">
        <v>46</v>
      </c>
      <c r="AC1780" s="5">
        <v>1962</v>
      </c>
      <c r="AD1780" s="1" t="s">
        <v>4284</v>
      </c>
      <c r="AE1780" s="1" t="str">
        <f t="shared" si="131"/>
        <v>7826 1</v>
      </c>
      <c r="AF1780" s="5" t="str">
        <f t="shared" si="134"/>
        <v>161.8</v>
      </c>
      <c r="AG1780" s="1" t="str">
        <f t="shared" si="130"/>
        <v/>
      </c>
    </row>
    <row r="1781" spans="1:33" x14ac:dyDescent="0.2">
      <c r="A1781" s="1" t="s">
        <v>1153</v>
      </c>
      <c r="B1781" s="1" t="s">
        <v>4282</v>
      </c>
      <c r="C1781" s="1">
        <v>7826</v>
      </c>
      <c r="D1781" s="1">
        <v>2</v>
      </c>
      <c r="F1781" s="1">
        <v>2023</v>
      </c>
      <c r="G1781" s="1" t="s">
        <v>2319</v>
      </c>
      <c r="H1781" s="1" t="s">
        <v>4161</v>
      </c>
      <c r="I1781" s="1">
        <v>4</v>
      </c>
      <c r="K1781" s="1" t="s">
        <v>2388</v>
      </c>
      <c r="L1781" s="1" t="s">
        <v>2389</v>
      </c>
      <c r="M1781" s="1">
        <v>159</v>
      </c>
      <c r="N1781" s="1" t="s">
        <v>39</v>
      </c>
      <c r="O1781" s="1">
        <v>35.732500000000002</v>
      </c>
      <c r="P1781" s="1">
        <v>-80.601900000000001</v>
      </c>
      <c r="Q1781" s="1" t="s">
        <v>4283</v>
      </c>
      <c r="R1781" s="1" t="s">
        <v>41</v>
      </c>
      <c r="T1781" s="1" t="s">
        <v>93</v>
      </c>
      <c r="U1781" s="1" t="s">
        <v>44</v>
      </c>
      <c r="V1781" s="1" t="s">
        <v>94</v>
      </c>
      <c r="X1781" s="1" t="s">
        <v>183</v>
      </c>
      <c r="AA1781" s="3">
        <v>37022</v>
      </c>
      <c r="AB1781" s="1" t="s">
        <v>46</v>
      </c>
      <c r="AC1781" s="5">
        <v>1960</v>
      </c>
      <c r="AD1781" s="1" t="s">
        <v>4285</v>
      </c>
      <c r="AE1781" s="1" t="str">
        <f t="shared" si="131"/>
        <v>7826 2</v>
      </c>
      <c r="AF1781" s="5" t="str">
        <f t="shared" si="134"/>
        <v>161.8</v>
      </c>
      <c r="AG1781" s="1" t="str">
        <f t="shared" si="130"/>
        <v/>
      </c>
    </row>
    <row r="1782" spans="1:33" x14ac:dyDescent="0.2">
      <c r="A1782" s="1" t="s">
        <v>1153</v>
      </c>
      <c r="B1782" s="1" t="s">
        <v>4282</v>
      </c>
      <c r="C1782" s="1">
        <v>7826</v>
      </c>
      <c r="D1782" s="1">
        <v>3</v>
      </c>
      <c r="F1782" s="1">
        <v>2023</v>
      </c>
      <c r="G1782" s="1" t="s">
        <v>2319</v>
      </c>
      <c r="H1782" s="1" t="s">
        <v>4161</v>
      </c>
      <c r="I1782" s="1">
        <v>4</v>
      </c>
      <c r="K1782" s="1" t="s">
        <v>2388</v>
      </c>
      <c r="L1782" s="1" t="s">
        <v>2389</v>
      </c>
      <c r="M1782" s="1">
        <v>159</v>
      </c>
      <c r="N1782" s="1" t="s">
        <v>39</v>
      </c>
      <c r="O1782" s="1">
        <v>35.732500000000002</v>
      </c>
      <c r="P1782" s="1">
        <v>-80.601900000000001</v>
      </c>
      <c r="Q1782" s="1" t="s">
        <v>4283</v>
      </c>
      <c r="R1782" s="1" t="s">
        <v>41</v>
      </c>
      <c r="T1782" s="1" t="s">
        <v>93</v>
      </c>
      <c r="U1782" s="1" t="s">
        <v>44</v>
      </c>
      <c r="V1782" s="1" t="s">
        <v>94</v>
      </c>
      <c r="X1782" s="1" t="s">
        <v>183</v>
      </c>
      <c r="AA1782" s="3">
        <v>37026</v>
      </c>
      <c r="AB1782" s="1" t="s">
        <v>46</v>
      </c>
      <c r="AC1782" s="5">
        <v>1962</v>
      </c>
      <c r="AD1782" s="1" t="s">
        <v>4286</v>
      </c>
      <c r="AE1782" s="1" t="str">
        <f t="shared" si="131"/>
        <v>7826 3</v>
      </c>
      <c r="AF1782" s="5" t="str">
        <f t="shared" si="134"/>
        <v>161.8</v>
      </c>
      <c r="AG1782" s="1" t="str">
        <f t="shared" si="130"/>
        <v/>
      </c>
    </row>
    <row r="1783" spans="1:33" x14ac:dyDescent="0.2">
      <c r="A1783" s="1" t="s">
        <v>1153</v>
      </c>
      <c r="B1783" s="1" t="s">
        <v>4282</v>
      </c>
      <c r="C1783" s="1">
        <v>7826</v>
      </c>
      <c r="D1783" s="1">
        <v>4</v>
      </c>
      <c r="F1783" s="1">
        <v>2023</v>
      </c>
      <c r="G1783" s="1" t="s">
        <v>2319</v>
      </c>
      <c r="H1783" s="1" t="s">
        <v>4161</v>
      </c>
      <c r="I1783" s="1">
        <v>4</v>
      </c>
      <c r="K1783" s="1" t="s">
        <v>2388</v>
      </c>
      <c r="L1783" s="1" t="s">
        <v>2389</v>
      </c>
      <c r="M1783" s="1">
        <v>159</v>
      </c>
      <c r="N1783" s="1" t="s">
        <v>39</v>
      </c>
      <c r="O1783" s="1">
        <v>35.732500000000002</v>
      </c>
      <c r="P1783" s="1">
        <v>-80.601900000000001</v>
      </c>
      <c r="Q1783" s="1" t="s">
        <v>4283</v>
      </c>
      <c r="R1783" s="1" t="s">
        <v>41</v>
      </c>
      <c r="T1783" s="1" t="s">
        <v>71</v>
      </c>
      <c r="U1783" s="1" t="s">
        <v>44</v>
      </c>
      <c r="V1783" s="1" t="s">
        <v>94</v>
      </c>
      <c r="X1783" s="1" t="s">
        <v>64</v>
      </c>
      <c r="AA1783" s="3">
        <v>37740</v>
      </c>
      <c r="AB1783" s="1" t="s">
        <v>46</v>
      </c>
      <c r="AC1783" s="5">
        <v>2050</v>
      </c>
      <c r="AD1783" s="1" t="s">
        <v>4287</v>
      </c>
      <c r="AE1783" s="1" t="str">
        <f t="shared" si="131"/>
        <v>7826 4</v>
      </c>
      <c r="AF1783" s="14">
        <f>MID(AD1783,FIND("(",AD1783)+1,FIND(")",AD1783)-FIND("(",AD1783)-1)+195/2</f>
        <v>274.8</v>
      </c>
      <c r="AG1783" s="1" t="str">
        <f t="shared" si="130"/>
        <v>Y</v>
      </c>
    </row>
    <row r="1784" spans="1:33" x14ac:dyDescent="0.2">
      <c r="A1784" s="1" t="s">
        <v>1153</v>
      </c>
      <c r="B1784" s="1" t="s">
        <v>4282</v>
      </c>
      <c r="C1784" s="1">
        <v>7826</v>
      </c>
      <c r="D1784" s="1">
        <v>5</v>
      </c>
      <c r="F1784" s="1">
        <v>2023</v>
      </c>
      <c r="G1784" s="1" t="s">
        <v>2319</v>
      </c>
      <c r="H1784" s="1" t="s">
        <v>4161</v>
      </c>
      <c r="I1784" s="1">
        <v>4</v>
      </c>
      <c r="K1784" s="1" t="s">
        <v>2388</v>
      </c>
      <c r="L1784" s="1" t="s">
        <v>2389</v>
      </c>
      <c r="M1784" s="1">
        <v>159</v>
      </c>
      <c r="N1784" s="1" t="s">
        <v>39</v>
      </c>
      <c r="O1784" s="1">
        <v>35.732500000000002</v>
      </c>
      <c r="P1784" s="1">
        <v>-80.601900000000001</v>
      </c>
      <c r="Q1784" s="1" t="s">
        <v>4283</v>
      </c>
      <c r="R1784" s="1" t="s">
        <v>41</v>
      </c>
      <c r="T1784" s="1" t="s">
        <v>71</v>
      </c>
      <c r="U1784" s="1" t="s">
        <v>44</v>
      </c>
      <c r="X1784" s="1" t="s">
        <v>64</v>
      </c>
      <c r="AA1784" s="3">
        <v>37740</v>
      </c>
      <c r="AB1784" s="1" t="s">
        <v>46</v>
      </c>
      <c r="AC1784" s="5">
        <v>2050</v>
      </c>
      <c r="AD1784" s="1" t="s">
        <v>4288</v>
      </c>
      <c r="AE1784" s="1" t="str">
        <f t="shared" si="131"/>
        <v>7826 5</v>
      </c>
      <c r="AF1784" s="14">
        <f>MID(AD1784,FIND("(",AD1784)+1,FIND(")",AD1784)-FIND("(",AD1784)-1)+195/2</f>
        <v>264.10000000000002</v>
      </c>
      <c r="AG1784" s="1" t="str">
        <f t="shared" si="130"/>
        <v>Y</v>
      </c>
    </row>
    <row r="1785" spans="1:33" x14ac:dyDescent="0.2">
      <c r="A1785" s="1" t="s">
        <v>921</v>
      </c>
      <c r="B1785" s="1" t="s">
        <v>4289</v>
      </c>
      <c r="C1785" s="1">
        <v>7829</v>
      </c>
      <c r="D1785" s="1">
        <v>1</v>
      </c>
      <c r="F1785" s="1">
        <v>2023</v>
      </c>
      <c r="G1785" s="1" t="s">
        <v>952</v>
      </c>
      <c r="H1785" s="1" t="s">
        <v>4261</v>
      </c>
      <c r="I1785" s="1">
        <v>4</v>
      </c>
      <c r="K1785" s="1" t="s">
        <v>1652</v>
      </c>
      <c r="L1785" s="1" t="s">
        <v>3741</v>
      </c>
      <c r="M1785" s="1">
        <v>207</v>
      </c>
      <c r="N1785" s="1" t="s">
        <v>39</v>
      </c>
      <c r="O1785" s="1">
        <v>32.985599999999998</v>
      </c>
      <c r="P1785" s="1">
        <v>-83.846400000000003</v>
      </c>
      <c r="Q1785" s="1" t="s">
        <v>4263</v>
      </c>
      <c r="R1785" s="1" t="s">
        <v>41</v>
      </c>
      <c r="T1785" s="1" t="s">
        <v>93</v>
      </c>
      <c r="U1785" s="1" t="s">
        <v>44</v>
      </c>
      <c r="X1785" s="1" t="s">
        <v>140</v>
      </c>
      <c r="AA1785" s="3">
        <v>36312</v>
      </c>
      <c r="AB1785" s="1" t="s">
        <v>46</v>
      </c>
      <c r="AC1785" s="5">
        <v>1590</v>
      </c>
      <c r="AD1785" s="1" t="s">
        <v>4264</v>
      </c>
      <c r="AE1785" s="1" t="str">
        <f t="shared" si="131"/>
        <v>7829 1</v>
      </c>
      <c r="AF1785" s="5" t="str">
        <f>MID(AD1785,FIND("(",AD1785)+1,FIND(")",AD1785)-FIND("(",AD1785)-1)</f>
        <v>121</v>
      </c>
      <c r="AG1785" s="1" t="str">
        <f t="shared" si="130"/>
        <v/>
      </c>
    </row>
    <row r="1786" spans="1:33" x14ac:dyDescent="0.2">
      <c r="A1786" s="1" t="s">
        <v>921</v>
      </c>
      <c r="B1786" s="1" t="s">
        <v>4289</v>
      </c>
      <c r="C1786" s="1">
        <v>7829</v>
      </c>
      <c r="D1786" s="1">
        <v>2</v>
      </c>
      <c r="F1786" s="1">
        <v>2023</v>
      </c>
      <c r="G1786" s="1" t="s">
        <v>952</v>
      </c>
      <c r="H1786" s="1" t="s">
        <v>4261</v>
      </c>
      <c r="I1786" s="1">
        <v>4</v>
      </c>
      <c r="K1786" s="1" t="s">
        <v>1652</v>
      </c>
      <c r="L1786" s="1" t="s">
        <v>3741</v>
      </c>
      <c r="M1786" s="1">
        <v>207</v>
      </c>
      <c r="N1786" s="1" t="s">
        <v>39</v>
      </c>
      <c r="O1786" s="1">
        <v>32.985599999999998</v>
      </c>
      <c r="P1786" s="1">
        <v>-83.846400000000003</v>
      </c>
      <c r="Q1786" s="1" t="s">
        <v>4263</v>
      </c>
      <c r="R1786" s="1" t="s">
        <v>41</v>
      </c>
      <c r="T1786" s="1" t="s">
        <v>93</v>
      </c>
      <c r="U1786" s="1" t="s">
        <v>44</v>
      </c>
      <c r="X1786" s="1" t="s">
        <v>140</v>
      </c>
      <c r="AA1786" s="3">
        <v>36323</v>
      </c>
      <c r="AB1786" s="1" t="s">
        <v>46</v>
      </c>
      <c r="AC1786" s="5">
        <v>1404</v>
      </c>
      <c r="AD1786" s="1" t="s">
        <v>4265</v>
      </c>
      <c r="AE1786" s="1" t="str">
        <f t="shared" si="131"/>
        <v>7829 2</v>
      </c>
      <c r="AF1786" s="5" t="str">
        <f>MID(AD1786,FIND("(",AD1786)+1,FIND(")",AD1786)-FIND("(",AD1786)-1)</f>
        <v>121</v>
      </c>
      <c r="AG1786" s="1" t="str">
        <f t="shared" si="130"/>
        <v/>
      </c>
    </row>
    <row r="1787" spans="1:33" x14ac:dyDescent="0.2">
      <c r="A1787" s="1" t="s">
        <v>291</v>
      </c>
      <c r="B1787" s="1" t="s">
        <v>4290</v>
      </c>
      <c r="C1787" s="1">
        <v>7834</v>
      </c>
      <c r="D1787" s="1" t="s">
        <v>3676</v>
      </c>
      <c r="F1787" s="1">
        <v>2023</v>
      </c>
      <c r="G1787" s="1" t="s">
        <v>2690</v>
      </c>
      <c r="H1787" s="1">
        <v>610491</v>
      </c>
      <c r="I1787" s="1">
        <v>4</v>
      </c>
      <c r="K1787" s="1" t="s">
        <v>2695</v>
      </c>
      <c r="L1787" s="1" t="s">
        <v>2696</v>
      </c>
      <c r="M1787" s="1">
        <v>7</v>
      </c>
      <c r="N1787" s="1" t="s">
        <v>39</v>
      </c>
      <c r="O1787" s="1">
        <v>34.347700000000003</v>
      </c>
      <c r="P1787" s="1">
        <v>-82.775999999999996</v>
      </c>
      <c r="Q1787" s="1" t="s">
        <v>296</v>
      </c>
      <c r="R1787" s="1" t="s">
        <v>41</v>
      </c>
      <c r="T1787" s="1" t="s">
        <v>71</v>
      </c>
      <c r="U1787" s="1" t="s">
        <v>44</v>
      </c>
      <c r="V1787" s="1" t="s">
        <v>94</v>
      </c>
      <c r="X1787" s="1" t="s">
        <v>3404</v>
      </c>
      <c r="AA1787" s="3">
        <v>37228</v>
      </c>
      <c r="AB1787" s="1" t="s">
        <v>46</v>
      </c>
      <c r="AC1787" s="5">
        <v>1980</v>
      </c>
      <c r="AD1787" s="1" t="s">
        <v>4291</v>
      </c>
      <c r="AE1787" s="1" t="str">
        <f t="shared" si="131"/>
        <v>7834 CT1A</v>
      </c>
      <c r="AF1787" s="14">
        <f>MID(AD1787,FIND("(",AD1787)+1,FIND(")",AD1787)-FIND("(",AD1787)-1)+190/2</f>
        <v>260</v>
      </c>
      <c r="AG1787" s="1" t="str">
        <f t="shared" si="130"/>
        <v>Y</v>
      </c>
    </row>
    <row r="1788" spans="1:33" x14ac:dyDescent="0.2">
      <c r="A1788" s="1" t="s">
        <v>291</v>
      </c>
      <c r="B1788" s="1" t="s">
        <v>4290</v>
      </c>
      <c r="C1788" s="1">
        <v>7834</v>
      </c>
      <c r="D1788" s="1" t="s">
        <v>3678</v>
      </c>
      <c r="F1788" s="1">
        <v>2023</v>
      </c>
      <c r="G1788" s="1" t="s">
        <v>2690</v>
      </c>
      <c r="H1788" s="1">
        <v>610491</v>
      </c>
      <c r="I1788" s="1">
        <v>4</v>
      </c>
      <c r="K1788" s="1" t="s">
        <v>2695</v>
      </c>
      <c r="L1788" s="1" t="s">
        <v>2696</v>
      </c>
      <c r="M1788" s="1">
        <v>7</v>
      </c>
      <c r="N1788" s="1" t="s">
        <v>39</v>
      </c>
      <c r="O1788" s="1">
        <v>34.347700000000003</v>
      </c>
      <c r="P1788" s="1">
        <v>-82.775999999999996</v>
      </c>
      <c r="Q1788" s="1" t="s">
        <v>296</v>
      </c>
      <c r="R1788" s="1" t="s">
        <v>41</v>
      </c>
      <c r="T1788" s="1" t="s">
        <v>71</v>
      </c>
      <c r="U1788" s="1" t="s">
        <v>44</v>
      </c>
      <c r="V1788" s="1" t="s">
        <v>94</v>
      </c>
      <c r="X1788" s="1" t="s">
        <v>3404</v>
      </c>
      <c r="AA1788" s="3">
        <v>37228</v>
      </c>
      <c r="AB1788" s="1" t="s">
        <v>46</v>
      </c>
      <c r="AC1788" s="5">
        <v>1980</v>
      </c>
      <c r="AD1788" s="1" t="s">
        <v>4292</v>
      </c>
      <c r="AE1788" s="1" t="str">
        <f t="shared" si="131"/>
        <v>7834 CT1B</v>
      </c>
      <c r="AF1788" s="14">
        <f>AF1787</f>
        <v>260</v>
      </c>
      <c r="AG1788" s="1" t="str">
        <f t="shared" si="130"/>
        <v>Y</v>
      </c>
    </row>
    <row r="1789" spans="1:33" x14ac:dyDescent="0.2">
      <c r="A1789" s="1" t="s">
        <v>291</v>
      </c>
      <c r="B1789" s="1" t="s">
        <v>4290</v>
      </c>
      <c r="C1789" s="1">
        <v>7834</v>
      </c>
      <c r="D1789" s="1" t="s">
        <v>1052</v>
      </c>
      <c r="F1789" s="1">
        <v>2023</v>
      </c>
      <c r="G1789" s="1" t="s">
        <v>2690</v>
      </c>
      <c r="H1789" s="1">
        <v>610491</v>
      </c>
      <c r="I1789" s="1">
        <v>4</v>
      </c>
      <c r="K1789" s="1" t="s">
        <v>2695</v>
      </c>
      <c r="L1789" s="1" t="s">
        <v>2696</v>
      </c>
      <c r="M1789" s="1">
        <v>7</v>
      </c>
      <c r="N1789" s="1" t="s">
        <v>39</v>
      </c>
      <c r="O1789" s="1">
        <v>34.347700000000003</v>
      </c>
      <c r="P1789" s="1">
        <v>-82.775999999999996</v>
      </c>
      <c r="Q1789" s="1" t="s">
        <v>296</v>
      </c>
      <c r="R1789" s="1" t="s">
        <v>41</v>
      </c>
      <c r="T1789" s="1" t="s">
        <v>93</v>
      </c>
      <c r="U1789" s="1" t="s">
        <v>44</v>
      </c>
      <c r="V1789" s="1" t="s">
        <v>94</v>
      </c>
      <c r="X1789" s="1" t="s">
        <v>183</v>
      </c>
      <c r="AA1789" s="3">
        <v>37336</v>
      </c>
      <c r="AB1789" s="1" t="s">
        <v>46</v>
      </c>
      <c r="AC1789" s="5">
        <v>1980</v>
      </c>
      <c r="AD1789" s="1" t="s">
        <v>4293</v>
      </c>
      <c r="AE1789" s="1" t="str">
        <f t="shared" si="131"/>
        <v>7834 CT2A</v>
      </c>
      <c r="AF1789" s="5" t="str">
        <f t="shared" ref="AF1789:AF1819" si="135">MID(AD1789,FIND("(",AD1789)+1,FIND(")",AD1789)-FIND("(",AD1789)-1)</f>
        <v>165</v>
      </c>
      <c r="AG1789" s="1" t="str">
        <f t="shared" si="130"/>
        <v/>
      </c>
    </row>
    <row r="1790" spans="1:33" x14ac:dyDescent="0.2">
      <c r="A1790" s="1" t="s">
        <v>291</v>
      </c>
      <c r="B1790" s="1" t="s">
        <v>4290</v>
      </c>
      <c r="C1790" s="1">
        <v>7834</v>
      </c>
      <c r="D1790" s="1" t="s">
        <v>1054</v>
      </c>
      <c r="F1790" s="1">
        <v>2023</v>
      </c>
      <c r="G1790" s="1" t="s">
        <v>2690</v>
      </c>
      <c r="H1790" s="1">
        <v>610491</v>
      </c>
      <c r="I1790" s="1">
        <v>4</v>
      </c>
      <c r="K1790" s="1" t="s">
        <v>2695</v>
      </c>
      <c r="L1790" s="1" t="s">
        <v>2696</v>
      </c>
      <c r="M1790" s="1">
        <v>7</v>
      </c>
      <c r="N1790" s="1" t="s">
        <v>39</v>
      </c>
      <c r="O1790" s="1">
        <v>34.347700000000003</v>
      </c>
      <c r="P1790" s="1">
        <v>-82.775999999999996</v>
      </c>
      <c r="Q1790" s="1" t="s">
        <v>296</v>
      </c>
      <c r="R1790" s="1" t="s">
        <v>41</v>
      </c>
      <c r="T1790" s="1" t="s">
        <v>93</v>
      </c>
      <c r="U1790" s="1" t="s">
        <v>44</v>
      </c>
      <c r="V1790" s="1" t="s">
        <v>94</v>
      </c>
      <c r="X1790" s="1" t="s">
        <v>183</v>
      </c>
      <c r="AA1790" s="3">
        <v>37383</v>
      </c>
      <c r="AB1790" s="1" t="s">
        <v>46</v>
      </c>
      <c r="AC1790" s="5">
        <v>1980</v>
      </c>
      <c r="AD1790" s="1" t="s">
        <v>4294</v>
      </c>
      <c r="AE1790" s="1" t="str">
        <f t="shared" si="131"/>
        <v>7834 CT2B</v>
      </c>
      <c r="AF1790" s="5" t="str">
        <f t="shared" si="135"/>
        <v>165</v>
      </c>
      <c r="AG1790" s="1" t="str">
        <f t="shared" si="130"/>
        <v/>
      </c>
    </row>
    <row r="1791" spans="1:33" x14ac:dyDescent="0.2">
      <c r="A1791" s="1" t="s">
        <v>291</v>
      </c>
      <c r="B1791" s="1" t="s">
        <v>4290</v>
      </c>
      <c r="C1791" s="1">
        <v>7834</v>
      </c>
      <c r="D1791" s="1" t="s">
        <v>101</v>
      </c>
      <c r="F1791" s="1">
        <v>2023</v>
      </c>
      <c r="G1791" s="1" t="s">
        <v>2690</v>
      </c>
      <c r="H1791" s="1">
        <v>610491</v>
      </c>
      <c r="I1791" s="1">
        <v>4</v>
      </c>
      <c r="K1791" s="1" t="s">
        <v>2695</v>
      </c>
      <c r="L1791" s="1" t="s">
        <v>2696</v>
      </c>
      <c r="M1791" s="1">
        <v>7</v>
      </c>
      <c r="N1791" s="1" t="s">
        <v>39</v>
      </c>
      <c r="O1791" s="1">
        <v>34.347700000000003</v>
      </c>
      <c r="P1791" s="1">
        <v>-82.775999999999996</v>
      </c>
      <c r="Q1791" s="1" t="s">
        <v>296</v>
      </c>
      <c r="R1791" s="1" t="s">
        <v>41</v>
      </c>
      <c r="T1791" s="1" t="s">
        <v>93</v>
      </c>
      <c r="U1791" s="1" t="s">
        <v>44</v>
      </c>
      <c r="AA1791" s="3">
        <v>37938</v>
      </c>
      <c r="AB1791" s="1" t="s">
        <v>46</v>
      </c>
      <c r="AC1791" s="5">
        <v>874.6</v>
      </c>
      <c r="AD1791" s="1" t="s">
        <v>4295</v>
      </c>
      <c r="AE1791" s="1" t="str">
        <f t="shared" si="131"/>
        <v>7834 CT3</v>
      </c>
      <c r="AF1791" s="5" t="str">
        <f t="shared" si="135"/>
        <v>84</v>
      </c>
      <c r="AG1791" s="1" t="str">
        <f t="shared" si="130"/>
        <v/>
      </c>
    </row>
    <row r="1792" spans="1:33" x14ac:dyDescent="0.2">
      <c r="A1792" s="1" t="s">
        <v>291</v>
      </c>
      <c r="B1792" s="1" t="s">
        <v>4290</v>
      </c>
      <c r="C1792" s="1">
        <v>7834</v>
      </c>
      <c r="D1792" s="1" t="s">
        <v>103</v>
      </c>
      <c r="F1792" s="1">
        <v>2023</v>
      </c>
      <c r="G1792" s="1" t="s">
        <v>2690</v>
      </c>
      <c r="H1792" s="1">
        <v>610491</v>
      </c>
      <c r="I1792" s="1">
        <v>4</v>
      </c>
      <c r="K1792" s="1" t="s">
        <v>2695</v>
      </c>
      <c r="L1792" s="1" t="s">
        <v>2696</v>
      </c>
      <c r="M1792" s="1">
        <v>7</v>
      </c>
      <c r="N1792" s="1" t="s">
        <v>39</v>
      </c>
      <c r="O1792" s="1">
        <v>34.347700000000003</v>
      </c>
      <c r="P1792" s="1">
        <v>-82.775999999999996</v>
      </c>
      <c r="Q1792" s="1" t="s">
        <v>296</v>
      </c>
      <c r="R1792" s="1" t="s">
        <v>41</v>
      </c>
      <c r="T1792" s="1" t="s">
        <v>93</v>
      </c>
      <c r="U1792" s="1" t="s">
        <v>44</v>
      </c>
      <c r="AA1792" s="3">
        <v>37944</v>
      </c>
      <c r="AB1792" s="1" t="s">
        <v>46</v>
      </c>
      <c r="AC1792" s="5">
        <v>874.6</v>
      </c>
      <c r="AD1792" s="1" t="s">
        <v>4296</v>
      </c>
      <c r="AE1792" s="1" t="str">
        <f t="shared" si="131"/>
        <v>7834 CT4</v>
      </c>
      <c r="AF1792" s="5" t="str">
        <f t="shared" si="135"/>
        <v>84</v>
      </c>
      <c r="AG1792" s="1" t="str">
        <f t="shared" si="130"/>
        <v/>
      </c>
    </row>
    <row r="1793" spans="1:33" x14ac:dyDescent="0.2">
      <c r="A1793" s="1" t="s">
        <v>291</v>
      </c>
      <c r="B1793" s="1" t="s">
        <v>4290</v>
      </c>
      <c r="C1793" s="1">
        <v>7834</v>
      </c>
      <c r="D1793" s="1" t="s">
        <v>105</v>
      </c>
      <c r="F1793" s="1">
        <v>2023</v>
      </c>
      <c r="G1793" s="1" t="s">
        <v>2690</v>
      </c>
      <c r="H1793" s="1">
        <v>610491</v>
      </c>
      <c r="I1793" s="1">
        <v>4</v>
      </c>
      <c r="K1793" s="1" t="s">
        <v>2695</v>
      </c>
      <c r="L1793" s="1" t="s">
        <v>2696</v>
      </c>
      <c r="M1793" s="1">
        <v>7</v>
      </c>
      <c r="N1793" s="1" t="s">
        <v>39</v>
      </c>
      <c r="O1793" s="1">
        <v>34.347700000000003</v>
      </c>
      <c r="P1793" s="1">
        <v>-82.775999999999996</v>
      </c>
      <c r="Q1793" s="1" t="s">
        <v>296</v>
      </c>
      <c r="R1793" s="1" t="s">
        <v>41</v>
      </c>
      <c r="T1793" s="1" t="s">
        <v>93</v>
      </c>
      <c r="U1793" s="1" t="s">
        <v>44</v>
      </c>
      <c r="AA1793" s="3">
        <v>37957</v>
      </c>
      <c r="AB1793" s="1" t="s">
        <v>46</v>
      </c>
      <c r="AC1793" s="5">
        <v>874.6</v>
      </c>
      <c r="AD1793" s="1" t="s">
        <v>4297</v>
      </c>
      <c r="AE1793" s="1" t="str">
        <f t="shared" si="131"/>
        <v>7834 CT5</v>
      </c>
      <c r="AF1793" s="5" t="str">
        <f t="shared" si="135"/>
        <v>84</v>
      </c>
      <c r="AG1793" s="1" t="str">
        <f t="shared" si="130"/>
        <v/>
      </c>
    </row>
    <row r="1794" spans="1:33" x14ac:dyDescent="0.2">
      <c r="A1794" s="1" t="s">
        <v>680</v>
      </c>
      <c r="B1794" s="1" t="s">
        <v>4298</v>
      </c>
      <c r="C1794" s="1">
        <v>7835</v>
      </c>
      <c r="D1794" s="1">
        <v>1</v>
      </c>
      <c r="F1794" s="1">
        <v>2023</v>
      </c>
      <c r="G1794" s="1" t="s">
        <v>1515</v>
      </c>
      <c r="H1794" s="1" t="s">
        <v>4299</v>
      </c>
      <c r="I1794" s="1">
        <v>3</v>
      </c>
      <c r="K1794" s="1" t="s">
        <v>4300</v>
      </c>
      <c r="L1794" s="1" t="s">
        <v>4301</v>
      </c>
      <c r="M1794" s="1">
        <v>15</v>
      </c>
      <c r="N1794" s="1" t="s">
        <v>39</v>
      </c>
      <c r="O1794" s="1">
        <v>39.718299999999999</v>
      </c>
      <c r="P1794" s="1">
        <v>-76.160600000000002</v>
      </c>
      <c r="Q1794" s="1" t="s">
        <v>4302</v>
      </c>
      <c r="R1794" s="1" t="s">
        <v>41</v>
      </c>
      <c r="T1794" s="1" t="s">
        <v>93</v>
      </c>
      <c r="U1794" s="1" t="s">
        <v>44</v>
      </c>
      <c r="X1794" s="1" t="s">
        <v>140</v>
      </c>
      <c r="AA1794" s="3">
        <v>37762</v>
      </c>
      <c r="AB1794" s="1" t="s">
        <v>46</v>
      </c>
      <c r="AC1794" s="5">
        <v>2000</v>
      </c>
      <c r="AD1794" s="1" t="s">
        <v>564</v>
      </c>
      <c r="AE1794" s="1" t="str">
        <f t="shared" si="131"/>
        <v>7835 1</v>
      </c>
      <c r="AF1794" s="5" t="str">
        <f t="shared" si="135"/>
        <v>190</v>
      </c>
      <c r="AG1794" s="1" t="str">
        <f t="shared" ref="AG1794:AG1857" si="136">IF(ISNUMBER(SEARCH("selective", X1794)), "Y", "")</f>
        <v/>
      </c>
    </row>
    <row r="1795" spans="1:33" x14ac:dyDescent="0.2">
      <c r="A1795" s="1" t="s">
        <v>680</v>
      </c>
      <c r="B1795" s="1" t="s">
        <v>4298</v>
      </c>
      <c r="C1795" s="1">
        <v>7835</v>
      </c>
      <c r="D1795" s="1">
        <v>2</v>
      </c>
      <c r="F1795" s="1">
        <v>2023</v>
      </c>
      <c r="G1795" s="1" t="s">
        <v>1515</v>
      </c>
      <c r="H1795" s="1" t="s">
        <v>4299</v>
      </c>
      <c r="I1795" s="1">
        <v>3</v>
      </c>
      <c r="K1795" s="1" t="s">
        <v>4300</v>
      </c>
      <c r="L1795" s="1" t="s">
        <v>4301</v>
      </c>
      <c r="M1795" s="1">
        <v>15</v>
      </c>
      <c r="N1795" s="1" t="s">
        <v>39</v>
      </c>
      <c r="O1795" s="1">
        <v>39.718299999999999</v>
      </c>
      <c r="P1795" s="1">
        <v>-76.160600000000002</v>
      </c>
      <c r="Q1795" s="1" t="s">
        <v>4302</v>
      </c>
      <c r="R1795" s="1" t="s">
        <v>41</v>
      </c>
      <c r="T1795" s="1" t="s">
        <v>93</v>
      </c>
      <c r="U1795" s="1" t="s">
        <v>44</v>
      </c>
      <c r="X1795" s="1" t="s">
        <v>140</v>
      </c>
      <c r="AA1795" s="3">
        <v>37769</v>
      </c>
      <c r="AB1795" s="1" t="s">
        <v>46</v>
      </c>
      <c r="AC1795" s="5">
        <v>2000</v>
      </c>
      <c r="AD1795" s="1" t="s">
        <v>4303</v>
      </c>
      <c r="AE1795" s="1" t="str">
        <f t="shared" ref="AE1795:AE1858" si="137">C1795&amp;" "&amp;D1795</f>
        <v>7835 2</v>
      </c>
      <c r="AF1795" s="5" t="str">
        <f t="shared" si="135"/>
        <v>190</v>
      </c>
      <c r="AG1795" s="1" t="str">
        <f t="shared" si="136"/>
        <v/>
      </c>
    </row>
    <row r="1796" spans="1:33" x14ac:dyDescent="0.2">
      <c r="A1796" s="1" t="s">
        <v>680</v>
      </c>
      <c r="B1796" s="1" t="s">
        <v>4298</v>
      </c>
      <c r="C1796" s="1">
        <v>7835</v>
      </c>
      <c r="D1796" s="1">
        <v>3</v>
      </c>
      <c r="F1796" s="1">
        <v>2023</v>
      </c>
      <c r="G1796" s="1" t="s">
        <v>1515</v>
      </c>
      <c r="H1796" s="1" t="s">
        <v>4299</v>
      </c>
      <c r="I1796" s="1">
        <v>3</v>
      </c>
      <c r="K1796" s="1" t="s">
        <v>4300</v>
      </c>
      <c r="L1796" s="1" t="s">
        <v>4301</v>
      </c>
      <c r="M1796" s="1">
        <v>15</v>
      </c>
      <c r="N1796" s="1" t="s">
        <v>39</v>
      </c>
      <c r="O1796" s="1">
        <v>39.718299999999999</v>
      </c>
      <c r="P1796" s="1">
        <v>-76.160600000000002</v>
      </c>
      <c r="Q1796" s="1" t="s">
        <v>4304</v>
      </c>
      <c r="R1796" s="1" t="s">
        <v>41</v>
      </c>
      <c r="T1796" s="1" t="s">
        <v>93</v>
      </c>
      <c r="U1796" s="1" t="s">
        <v>44</v>
      </c>
      <c r="X1796" s="1" t="s">
        <v>140</v>
      </c>
      <c r="AA1796" s="3">
        <v>37580</v>
      </c>
      <c r="AB1796" s="1" t="s">
        <v>46</v>
      </c>
      <c r="AC1796" s="5">
        <v>2000</v>
      </c>
      <c r="AD1796" s="1" t="s">
        <v>4305</v>
      </c>
      <c r="AE1796" s="1" t="str">
        <f t="shared" si="137"/>
        <v>7835 3</v>
      </c>
      <c r="AF1796" s="5" t="str">
        <f t="shared" si="135"/>
        <v>190</v>
      </c>
      <c r="AG1796" s="1" t="str">
        <f t="shared" si="136"/>
        <v/>
      </c>
    </row>
    <row r="1797" spans="1:33" x14ac:dyDescent="0.2">
      <c r="A1797" s="1" t="s">
        <v>680</v>
      </c>
      <c r="B1797" s="1" t="s">
        <v>4298</v>
      </c>
      <c r="C1797" s="1">
        <v>7835</v>
      </c>
      <c r="D1797" s="1">
        <v>4</v>
      </c>
      <c r="F1797" s="1">
        <v>2023</v>
      </c>
      <c r="G1797" s="1" t="s">
        <v>1515</v>
      </c>
      <c r="H1797" s="1" t="s">
        <v>4299</v>
      </c>
      <c r="I1797" s="1">
        <v>3</v>
      </c>
      <c r="K1797" s="1" t="s">
        <v>4300</v>
      </c>
      <c r="L1797" s="1" t="s">
        <v>4301</v>
      </c>
      <c r="M1797" s="1">
        <v>15</v>
      </c>
      <c r="N1797" s="1" t="s">
        <v>39</v>
      </c>
      <c r="O1797" s="1">
        <v>39.718299999999999</v>
      </c>
      <c r="P1797" s="1">
        <v>-76.160600000000002</v>
      </c>
      <c r="Q1797" s="1" t="s">
        <v>4304</v>
      </c>
      <c r="R1797" s="1" t="s">
        <v>41</v>
      </c>
      <c r="T1797" s="1" t="s">
        <v>93</v>
      </c>
      <c r="U1797" s="1" t="s">
        <v>44</v>
      </c>
      <c r="X1797" s="1" t="s">
        <v>140</v>
      </c>
      <c r="AA1797" s="3">
        <v>37586</v>
      </c>
      <c r="AB1797" s="1" t="s">
        <v>46</v>
      </c>
      <c r="AC1797" s="5">
        <v>2000</v>
      </c>
      <c r="AD1797" s="1" t="s">
        <v>4306</v>
      </c>
      <c r="AE1797" s="1" t="str">
        <f t="shared" si="137"/>
        <v>7835 4</v>
      </c>
      <c r="AF1797" s="5" t="str">
        <f t="shared" si="135"/>
        <v>190</v>
      </c>
      <c r="AG1797" s="1" t="str">
        <f t="shared" si="136"/>
        <v/>
      </c>
    </row>
    <row r="1798" spans="1:33" x14ac:dyDescent="0.2">
      <c r="A1798" s="1" t="s">
        <v>3095</v>
      </c>
      <c r="B1798" s="1" t="s">
        <v>4307</v>
      </c>
      <c r="C1798" s="1">
        <v>7836</v>
      </c>
      <c r="D1798" s="1" t="s">
        <v>4308</v>
      </c>
      <c r="F1798" s="1">
        <v>2023</v>
      </c>
      <c r="G1798" s="1" t="s">
        <v>1515</v>
      </c>
      <c r="H1798" s="1">
        <v>601174</v>
      </c>
      <c r="I1798" s="1">
        <v>3</v>
      </c>
      <c r="J1798" s="1" t="s">
        <v>36</v>
      </c>
      <c r="K1798" s="1" t="s">
        <v>4309</v>
      </c>
      <c r="L1798" s="1" t="s">
        <v>4310</v>
      </c>
      <c r="M1798" s="1">
        <v>61</v>
      </c>
      <c r="N1798" s="1" t="s">
        <v>39</v>
      </c>
      <c r="O1798" s="1">
        <v>38.528300000000002</v>
      </c>
      <c r="P1798" s="1">
        <v>-77.768100000000004</v>
      </c>
      <c r="Q1798" s="1" t="s">
        <v>4311</v>
      </c>
      <c r="R1798" s="1" t="s">
        <v>41</v>
      </c>
      <c r="T1798" s="1" t="s">
        <v>93</v>
      </c>
      <c r="U1798" s="1" t="s">
        <v>44</v>
      </c>
      <c r="V1798" s="1" t="s">
        <v>94</v>
      </c>
      <c r="X1798" s="1" t="s">
        <v>183</v>
      </c>
      <c r="AA1798" s="3">
        <v>38196</v>
      </c>
      <c r="AB1798" s="1" t="s">
        <v>46</v>
      </c>
      <c r="AC1798" s="5">
        <v>2400</v>
      </c>
      <c r="AD1798" s="1" t="s">
        <v>4312</v>
      </c>
      <c r="AE1798" s="1" t="str">
        <f t="shared" si="137"/>
        <v>7836 EU1</v>
      </c>
      <c r="AF1798" s="5" t="str">
        <f t="shared" si="135"/>
        <v>172.3</v>
      </c>
      <c r="AG1798" s="1" t="str">
        <f t="shared" si="136"/>
        <v/>
      </c>
    </row>
    <row r="1799" spans="1:33" x14ac:dyDescent="0.2">
      <c r="A1799" s="1" t="s">
        <v>3095</v>
      </c>
      <c r="B1799" s="1" t="s">
        <v>4307</v>
      </c>
      <c r="C1799" s="1">
        <v>7836</v>
      </c>
      <c r="D1799" s="1" t="s">
        <v>4313</v>
      </c>
      <c r="F1799" s="1">
        <v>2023</v>
      </c>
      <c r="G1799" s="1" t="s">
        <v>1515</v>
      </c>
      <c r="H1799" s="1">
        <v>601174</v>
      </c>
      <c r="I1799" s="1">
        <v>3</v>
      </c>
      <c r="J1799" s="1" t="s">
        <v>36</v>
      </c>
      <c r="K1799" s="1" t="s">
        <v>4309</v>
      </c>
      <c r="L1799" s="1" t="s">
        <v>4310</v>
      </c>
      <c r="M1799" s="1">
        <v>61</v>
      </c>
      <c r="N1799" s="1" t="s">
        <v>39</v>
      </c>
      <c r="O1799" s="1">
        <v>38.528300000000002</v>
      </c>
      <c r="P1799" s="1">
        <v>-77.768100000000004</v>
      </c>
      <c r="Q1799" s="1" t="s">
        <v>4311</v>
      </c>
      <c r="R1799" s="1" t="s">
        <v>41</v>
      </c>
      <c r="T1799" s="1" t="s">
        <v>93</v>
      </c>
      <c r="U1799" s="1" t="s">
        <v>44</v>
      </c>
      <c r="V1799" s="1" t="s">
        <v>94</v>
      </c>
      <c r="X1799" s="1" t="s">
        <v>183</v>
      </c>
      <c r="AA1799" s="3">
        <v>38168</v>
      </c>
      <c r="AB1799" s="1" t="s">
        <v>46</v>
      </c>
      <c r="AC1799" s="5">
        <v>2400</v>
      </c>
      <c r="AD1799" s="1" t="s">
        <v>4314</v>
      </c>
      <c r="AE1799" s="1" t="str">
        <f t="shared" si="137"/>
        <v>7836 EU2</v>
      </c>
      <c r="AF1799" s="5" t="str">
        <f t="shared" si="135"/>
        <v>172.3</v>
      </c>
      <c r="AG1799" s="1" t="str">
        <f t="shared" si="136"/>
        <v/>
      </c>
    </row>
    <row r="1800" spans="1:33" x14ac:dyDescent="0.2">
      <c r="A1800" s="1" t="s">
        <v>3095</v>
      </c>
      <c r="B1800" s="1" t="s">
        <v>4307</v>
      </c>
      <c r="C1800" s="1">
        <v>7836</v>
      </c>
      <c r="D1800" s="1" t="s">
        <v>4315</v>
      </c>
      <c r="F1800" s="1">
        <v>2023</v>
      </c>
      <c r="G1800" s="1" t="s">
        <v>1515</v>
      </c>
      <c r="H1800" s="1">
        <v>601174</v>
      </c>
      <c r="I1800" s="1">
        <v>3</v>
      </c>
      <c r="J1800" s="1" t="s">
        <v>36</v>
      </c>
      <c r="K1800" s="1" t="s">
        <v>4309</v>
      </c>
      <c r="L1800" s="1" t="s">
        <v>4310</v>
      </c>
      <c r="M1800" s="1">
        <v>61</v>
      </c>
      <c r="N1800" s="1" t="s">
        <v>39</v>
      </c>
      <c r="O1800" s="1">
        <v>38.528300000000002</v>
      </c>
      <c r="P1800" s="1">
        <v>-77.768100000000004</v>
      </c>
      <c r="Q1800" s="1" t="s">
        <v>4311</v>
      </c>
      <c r="R1800" s="1" t="s">
        <v>41</v>
      </c>
      <c r="T1800" s="1" t="s">
        <v>93</v>
      </c>
      <c r="U1800" s="1" t="s">
        <v>44</v>
      </c>
      <c r="V1800" s="1" t="s">
        <v>94</v>
      </c>
      <c r="X1800" s="1" t="s">
        <v>183</v>
      </c>
      <c r="AA1800" s="3">
        <v>38165</v>
      </c>
      <c r="AB1800" s="1" t="s">
        <v>46</v>
      </c>
      <c r="AC1800" s="5">
        <v>2400</v>
      </c>
      <c r="AD1800" s="1" t="s">
        <v>4316</v>
      </c>
      <c r="AE1800" s="1" t="str">
        <f t="shared" si="137"/>
        <v>7836 EU3</v>
      </c>
      <c r="AF1800" s="5" t="str">
        <f t="shared" si="135"/>
        <v>172.3</v>
      </c>
      <c r="AG1800" s="1" t="str">
        <f t="shared" si="136"/>
        <v/>
      </c>
    </row>
    <row r="1801" spans="1:33" x14ac:dyDescent="0.2">
      <c r="A1801" s="1" t="s">
        <v>3095</v>
      </c>
      <c r="B1801" s="1" t="s">
        <v>4317</v>
      </c>
      <c r="C1801" s="1">
        <v>7837</v>
      </c>
      <c r="D1801" s="1" t="s">
        <v>4308</v>
      </c>
      <c r="F1801" s="1">
        <v>2023</v>
      </c>
      <c r="G1801" s="1" t="s">
        <v>1515</v>
      </c>
      <c r="H1801" s="1">
        <v>601174</v>
      </c>
      <c r="I1801" s="1">
        <v>3</v>
      </c>
      <c r="J1801" s="1" t="s">
        <v>36</v>
      </c>
      <c r="K1801" s="1" t="s">
        <v>3810</v>
      </c>
      <c r="L1801" s="1" t="s">
        <v>4318</v>
      </c>
      <c r="M1801" s="1">
        <v>109</v>
      </c>
      <c r="N1801" s="1" t="s">
        <v>39</v>
      </c>
      <c r="O1801" s="1">
        <v>38.118099999999998</v>
      </c>
      <c r="P1801" s="1">
        <v>-78.213899999999995</v>
      </c>
      <c r="Q1801" s="1" t="s">
        <v>4311</v>
      </c>
      <c r="R1801" s="1" t="s">
        <v>41</v>
      </c>
      <c r="T1801" s="1" t="s">
        <v>93</v>
      </c>
      <c r="U1801" s="1" t="s">
        <v>44</v>
      </c>
      <c r="V1801" s="1" t="s">
        <v>94</v>
      </c>
      <c r="X1801" s="1" t="s">
        <v>183</v>
      </c>
      <c r="AA1801" s="3">
        <v>37762</v>
      </c>
      <c r="AB1801" s="1" t="s">
        <v>46</v>
      </c>
      <c r="AC1801" s="5">
        <v>1300</v>
      </c>
      <c r="AD1801" s="1" t="s">
        <v>4319</v>
      </c>
      <c r="AE1801" s="1" t="str">
        <f t="shared" si="137"/>
        <v>7837 EU1</v>
      </c>
      <c r="AF1801" s="5" t="str">
        <f t="shared" si="135"/>
        <v>84.5</v>
      </c>
      <c r="AG1801" s="1" t="str">
        <f t="shared" si="136"/>
        <v/>
      </c>
    </row>
    <row r="1802" spans="1:33" x14ac:dyDescent="0.2">
      <c r="A1802" s="1" t="s">
        <v>3095</v>
      </c>
      <c r="B1802" s="1" t="s">
        <v>4317</v>
      </c>
      <c r="C1802" s="1">
        <v>7837</v>
      </c>
      <c r="D1802" s="1" t="s">
        <v>4313</v>
      </c>
      <c r="F1802" s="1">
        <v>2023</v>
      </c>
      <c r="G1802" s="1" t="s">
        <v>1515</v>
      </c>
      <c r="H1802" s="1">
        <v>601174</v>
      </c>
      <c r="I1802" s="1">
        <v>3</v>
      </c>
      <c r="J1802" s="1" t="s">
        <v>36</v>
      </c>
      <c r="K1802" s="1" t="s">
        <v>3810</v>
      </c>
      <c r="L1802" s="1" t="s">
        <v>4318</v>
      </c>
      <c r="M1802" s="1">
        <v>109</v>
      </c>
      <c r="N1802" s="1" t="s">
        <v>39</v>
      </c>
      <c r="O1802" s="1">
        <v>38.118099999999998</v>
      </c>
      <c r="P1802" s="1">
        <v>-78.213899999999995</v>
      </c>
      <c r="Q1802" s="1" t="s">
        <v>4311</v>
      </c>
      <c r="R1802" s="1" t="s">
        <v>41</v>
      </c>
      <c r="T1802" s="1" t="s">
        <v>93</v>
      </c>
      <c r="U1802" s="1" t="s">
        <v>44</v>
      </c>
      <c r="V1802" s="1" t="s">
        <v>94</v>
      </c>
      <c r="X1802" s="1" t="s">
        <v>183</v>
      </c>
      <c r="AA1802" s="3">
        <v>37697</v>
      </c>
      <c r="AB1802" s="1" t="s">
        <v>46</v>
      </c>
      <c r="AC1802" s="5">
        <v>1300</v>
      </c>
      <c r="AD1802" s="1" t="s">
        <v>4320</v>
      </c>
      <c r="AE1802" s="1" t="str">
        <f t="shared" si="137"/>
        <v>7837 EU2</v>
      </c>
      <c r="AF1802" s="5" t="str">
        <f t="shared" si="135"/>
        <v>84.5</v>
      </c>
      <c r="AG1802" s="1" t="str">
        <f t="shared" si="136"/>
        <v/>
      </c>
    </row>
    <row r="1803" spans="1:33" x14ac:dyDescent="0.2">
      <c r="A1803" s="1" t="s">
        <v>3095</v>
      </c>
      <c r="B1803" s="1" t="s">
        <v>4317</v>
      </c>
      <c r="C1803" s="1">
        <v>7837</v>
      </c>
      <c r="D1803" s="1" t="s">
        <v>4315</v>
      </c>
      <c r="F1803" s="1">
        <v>2023</v>
      </c>
      <c r="G1803" s="1" t="s">
        <v>1515</v>
      </c>
      <c r="H1803" s="1">
        <v>601174</v>
      </c>
      <c r="I1803" s="1">
        <v>3</v>
      </c>
      <c r="J1803" s="1" t="s">
        <v>36</v>
      </c>
      <c r="K1803" s="1" t="s">
        <v>3810</v>
      </c>
      <c r="L1803" s="1" t="s">
        <v>4318</v>
      </c>
      <c r="M1803" s="1">
        <v>109</v>
      </c>
      <c r="N1803" s="1" t="s">
        <v>39</v>
      </c>
      <c r="O1803" s="1">
        <v>38.118099999999998</v>
      </c>
      <c r="P1803" s="1">
        <v>-78.213899999999995</v>
      </c>
      <c r="Q1803" s="1" t="s">
        <v>4311</v>
      </c>
      <c r="R1803" s="1" t="s">
        <v>41</v>
      </c>
      <c r="T1803" s="1" t="s">
        <v>93</v>
      </c>
      <c r="U1803" s="1" t="s">
        <v>44</v>
      </c>
      <c r="V1803" s="1" t="s">
        <v>94</v>
      </c>
      <c r="X1803" s="1" t="s">
        <v>183</v>
      </c>
      <c r="AA1803" s="3">
        <v>37712</v>
      </c>
      <c r="AB1803" s="1" t="s">
        <v>46</v>
      </c>
      <c r="AC1803" s="5">
        <v>1300</v>
      </c>
      <c r="AD1803" s="1" t="s">
        <v>4321</v>
      </c>
      <c r="AE1803" s="1" t="str">
        <f t="shared" si="137"/>
        <v>7837 EU3</v>
      </c>
      <c r="AF1803" s="5" t="str">
        <f t="shared" si="135"/>
        <v>84.5</v>
      </c>
      <c r="AG1803" s="1" t="str">
        <f t="shared" si="136"/>
        <v/>
      </c>
    </row>
    <row r="1804" spans="1:33" x14ac:dyDescent="0.2">
      <c r="A1804" s="1" t="s">
        <v>3095</v>
      </c>
      <c r="B1804" s="1" t="s">
        <v>4317</v>
      </c>
      <c r="C1804" s="1">
        <v>7837</v>
      </c>
      <c r="D1804" s="1" t="s">
        <v>4322</v>
      </c>
      <c r="F1804" s="1">
        <v>2023</v>
      </c>
      <c r="G1804" s="1" t="s">
        <v>1515</v>
      </c>
      <c r="H1804" s="1">
        <v>601174</v>
      </c>
      <c r="I1804" s="1">
        <v>3</v>
      </c>
      <c r="J1804" s="1" t="s">
        <v>36</v>
      </c>
      <c r="K1804" s="1" t="s">
        <v>3810</v>
      </c>
      <c r="L1804" s="1" t="s">
        <v>4318</v>
      </c>
      <c r="M1804" s="1">
        <v>109</v>
      </c>
      <c r="N1804" s="1" t="s">
        <v>39</v>
      </c>
      <c r="O1804" s="1">
        <v>38.118099999999998</v>
      </c>
      <c r="P1804" s="1">
        <v>-78.213899999999995</v>
      </c>
      <c r="Q1804" s="1" t="s">
        <v>4311</v>
      </c>
      <c r="R1804" s="1" t="s">
        <v>41</v>
      </c>
      <c r="T1804" s="1" t="s">
        <v>93</v>
      </c>
      <c r="U1804" s="1" t="s">
        <v>44</v>
      </c>
      <c r="V1804" s="1" t="s">
        <v>94</v>
      </c>
      <c r="X1804" s="1" t="s">
        <v>183</v>
      </c>
      <c r="AA1804" s="3">
        <v>37726</v>
      </c>
      <c r="AB1804" s="1" t="s">
        <v>46</v>
      </c>
      <c r="AC1804" s="5">
        <v>1300</v>
      </c>
      <c r="AD1804" s="1" t="s">
        <v>4323</v>
      </c>
      <c r="AE1804" s="1" t="str">
        <f t="shared" si="137"/>
        <v>7837 EU4</v>
      </c>
      <c r="AF1804" s="5" t="str">
        <f t="shared" si="135"/>
        <v>84.5</v>
      </c>
      <c r="AG1804" s="1" t="str">
        <f t="shared" si="136"/>
        <v/>
      </c>
    </row>
    <row r="1805" spans="1:33" x14ac:dyDescent="0.2">
      <c r="A1805" s="1" t="s">
        <v>3095</v>
      </c>
      <c r="B1805" s="1" t="s">
        <v>4317</v>
      </c>
      <c r="C1805" s="1">
        <v>7837</v>
      </c>
      <c r="D1805" s="1" t="s">
        <v>4324</v>
      </c>
      <c r="F1805" s="1">
        <v>2023</v>
      </c>
      <c r="G1805" s="1" t="s">
        <v>1515</v>
      </c>
      <c r="H1805" s="1">
        <v>601174</v>
      </c>
      <c r="I1805" s="1">
        <v>3</v>
      </c>
      <c r="J1805" s="1" t="s">
        <v>36</v>
      </c>
      <c r="K1805" s="1" t="s">
        <v>3810</v>
      </c>
      <c r="L1805" s="1" t="s">
        <v>4318</v>
      </c>
      <c r="M1805" s="1">
        <v>109</v>
      </c>
      <c r="N1805" s="1" t="s">
        <v>39</v>
      </c>
      <c r="O1805" s="1">
        <v>38.118099999999998</v>
      </c>
      <c r="P1805" s="1">
        <v>-78.213899999999995</v>
      </c>
      <c r="Q1805" s="1" t="s">
        <v>4311</v>
      </c>
      <c r="R1805" s="1" t="s">
        <v>41</v>
      </c>
      <c r="T1805" s="1" t="s">
        <v>93</v>
      </c>
      <c r="U1805" s="1" t="s">
        <v>44</v>
      </c>
      <c r="V1805" s="1" t="s">
        <v>94</v>
      </c>
      <c r="X1805" s="1" t="s">
        <v>183</v>
      </c>
      <c r="AA1805" s="3">
        <v>37815</v>
      </c>
      <c r="AB1805" s="1" t="s">
        <v>46</v>
      </c>
      <c r="AC1805" s="5">
        <v>2400</v>
      </c>
      <c r="AD1805" s="1" t="s">
        <v>4325</v>
      </c>
      <c r="AE1805" s="1" t="str">
        <f t="shared" si="137"/>
        <v>7837 EU5</v>
      </c>
      <c r="AF1805" s="5" t="str">
        <f t="shared" si="135"/>
        <v>171.1</v>
      </c>
      <c r="AG1805" s="1" t="str">
        <f t="shared" si="136"/>
        <v/>
      </c>
    </row>
    <row r="1806" spans="1:33" x14ac:dyDescent="0.2">
      <c r="A1806" s="1" t="s">
        <v>3095</v>
      </c>
      <c r="B1806" s="1" t="s">
        <v>4326</v>
      </c>
      <c r="C1806" s="1">
        <v>7838</v>
      </c>
      <c r="D1806" s="1">
        <v>1</v>
      </c>
      <c r="F1806" s="1">
        <v>2023</v>
      </c>
      <c r="G1806" s="1" t="s">
        <v>1515</v>
      </c>
      <c r="H1806" s="1">
        <v>1525</v>
      </c>
      <c r="I1806" s="1">
        <v>3</v>
      </c>
      <c r="K1806" s="1" t="s">
        <v>4309</v>
      </c>
      <c r="L1806" s="1" t="s">
        <v>4310</v>
      </c>
      <c r="M1806" s="1">
        <v>61</v>
      </c>
      <c r="N1806" s="1" t="s">
        <v>39</v>
      </c>
      <c r="O1806" s="1">
        <v>38.544699999999999</v>
      </c>
      <c r="P1806" s="1">
        <v>-77.770700000000005</v>
      </c>
      <c r="Q1806" s="1" t="s">
        <v>3112</v>
      </c>
      <c r="R1806" s="1" t="s">
        <v>41</v>
      </c>
      <c r="T1806" s="1" t="s">
        <v>93</v>
      </c>
      <c r="U1806" s="1" t="s">
        <v>44</v>
      </c>
      <c r="V1806" s="1" t="s">
        <v>94</v>
      </c>
      <c r="X1806" s="1" t="s">
        <v>183</v>
      </c>
      <c r="AA1806" s="3">
        <v>36716</v>
      </c>
      <c r="AB1806" s="1" t="s">
        <v>46</v>
      </c>
      <c r="AC1806" s="5">
        <v>2223</v>
      </c>
      <c r="AD1806" s="1" t="s">
        <v>4327</v>
      </c>
      <c r="AE1806" s="1" t="str">
        <f t="shared" si="137"/>
        <v>7838 1</v>
      </c>
      <c r="AF1806" s="5" t="str">
        <f t="shared" si="135"/>
        <v>178.5</v>
      </c>
      <c r="AG1806" s="1" t="str">
        <f t="shared" si="136"/>
        <v/>
      </c>
    </row>
    <row r="1807" spans="1:33" x14ac:dyDescent="0.2">
      <c r="A1807" s="1" t="s">
        <v>3095</v>
      </c>
      <c r="B1807" s="1" t="s">
        <v>4326</v>
      </c>
      <c r="C1807" s="1">
        <v>7838</v>
      </c>
      <c r="D1807" s="1">
        <v>2</v>
      </c>
      <c r="F1807" s="1">
        <v>2023</v>
      </c>
      <c r="G1807" s="1" t="s">
        <v>1515</v>
      </c>
      <c r="H1807" s="1">
        <v>1525</v>
      </c>
      <c r="I1807" s="1">
        <v>3</v>
      </c>
      <c r="K1807" s="1" t="s">
        <v>4309</v>
      </c>
      <c r="L1807" s="1" t="s">
        <v>4310</v>
      </c>
      <c r="M1807" s="1">
        <v>61</v>
      </c>
      <c r="N1807" s="1" t="s">
        <v>39</v>
      </c>
      <c r="O1807" s="1">
        <v>38.544699999999999</v>
      </c>
      <c r="P1807" s="1">
        <v>-77.770700000000005</v>
      </c>
      <c r="Q1807" s="1" t="s">
        <v>3112</v>
      </c>
      <c r="R1807" s="1" t="s">
        <v>41</v>
      </c>
      <c r="T1807" s="1" t="s">
        <v>93</v>
      </c>
      <c r="U1807" s="1" t="s">
        <v>44</v>
      </c>
      <c r="V1807" s="1" t="s">
        <v>94</v>
      </c>
      <c r="X1807" s="1" t="s">
        <v>183</v>
      </c>
      <c r="AA1807" s="3">
        <v>36717</v>
      </c>
      <c r="AB1807" s="1" t="s">
        <v>46</v>
      </c>
      <c r="AC1807" s="5">
        <v>1985</v>
      </c>
      <c r="AD1807" s="1" t="s">
        <v>4328</v>
      </c>
      <c r="AE1807" s="1" t="str">
        <f t="shared" si="137"/>
        <v>7838 2</v>
      </c>
      <c r="AF1807" s="5" t="str">
        <f t="shared" si="135"/>
        <v>178.5</v>
      </c>
      <c r="AG1807" s="1" t="str">
        <f t="shared" si="136"/>
        <v/>
      </c>
    </row>
    <row r="1808" spans="1:33" x14ac:dyDescent="0.2">
      <c r="A1808" s="1" t="s">
        <v>3095</v>
      </c>
      <c r="B1808" s="1" t="s">
        <v>4326</v>
      </c>
      <c r="C1808" s="1">
        <v>7838</v>
      </c>
      <c r="D1808" s="1">
        <v>3</v>
      </c>
      <c r="F1808" s="1">
        <v>2023</v>
      </c>
      <c r="G1808" s="1" t="s">
        <v>1515</v>
      </c>
      <c r="H1808" s="1">
        <v>1525</v>
      </c>
      <c r="I1808" s="1">
        <v>3</v>
      </c>
      <c r="K1808" s="1" t="s">
        <v>4309</v>
      </c>
      <c r="L1808" s="1" t="s">
        <v>4310</v>
      </c>
      <c r="M1808" s="1">
        <v>61</v>
      </c>
      <c r="N1808" s="1" t="s">
        <v>39</v>
      </c>
      <c r="O1808" s="1">
        <v>38.544699999999999</v>
      </c>
      <c r="P1808" s="1">
        <v>-77.770700000000005</v>
      </c>
      <c r="Q1808" s="1" t="s">
        <v>3112</v>
      </c>
      <c r="R1808" s="1" t="s">
        <v>41</v>
      </c>
      <c r="T1808" s="1" t="s">
        <v>93</v>
      </c>
      <c r="U1808" s="1" t="s">
        <v>44</v>
      </c>
      <c r="V1808" s="1" t="s">
        <v>94</v>
      </c>
      <c r="X1808" s="1" t="s">
        <v>183</v>
      </c>
      <c r="AA1808" s="3">
        <v>36712</v>
      </c>
      <c r="AB1808" s="1" t="s">
        <v>46</v>
      </c>
      <c r="AC1808" s="5">
        <v>2223</v>
      </c>
      <c r="AD1808" s="1" t="s">
        <v>4329</v>
      </c>
      <c r="AE1808" s="1" t="str">
        <f t="shared" si="137"/>
        <v>7838 3</v>
      </c>
      <c r="AF1808" s="5" t="str">
        <f t="shared" si="135"/>
        <v>178.5</v>
      </c>
      <c r="AG1808" s="1" t="str">
        <f t="shared" si="136"/>
        <v/>
      </c>
    </row>
    <row r="1809" spans="1:33" x14ac:dyDescent="0.2">
      <c r="A1809" s="1" t="s">
        <v>3095</v>
      </c>
      <c r="B1809" s="1" t="s">
        <v>4326</v>
      </c>
      <c r="C1809" s="1">
        <v>7838</v>
      </c>
      <c r="D1809" s="1">
        <v>4</v>
      </c>
      <c r="F1809" s="1">
        <v>2023</v>
      </c>
      <c r="G1809" s="1" t="s">
        <v>1515</v>
      </c>
      <c r="H1809" s="1">
        <v>1525</v>
      </c>
      <c r="I1809" s="1">
        <v>3</v>
      </c>
      <c r="K1809" s="1" t="s">
        <v>4309</v>
      </c>
      <c r="L1809" s="1" t="s">
        <v>4310</v>
      </c>
      <c r="M1809" s="1">
        <v>61</v>
      </c>
      <c r="N1809" s="1" t="s">
        <v>39</v>
      </c>
      <c r="O1809" s="1">
        <v>38.544699999999999</v>
      </c>
      <c r="P1809" s="1">
        <v>-77.770700000000005</v>
      </c>
      <c r="Q1809" s="1" t="s">
        <v>3112</v>
      </c>
      <c r="R1809" s="1" t="s">
        <v>41</v>
      </c>
      <c r="T1809" s="1" t="s">
        <v>93</v>
      </c>
      <c r="U1809" s="1" t="s">
        <v>44</v>
      </c>
      <c r="V1809" s="1" t="s">
        <v>94</v>
      </c>
      <c r="X1809" s="1" t="s">
        <v>183</v>
      </c>
      <c r="AA1809" s="3">
        <v>36717</v>
      </c>
      <c r="AB1809" s="1" t="s">
        <v>46</v>
      </c>
      <c r="AC1809" s="5">
        <v>1985</v>
      </c>
      <c r="AD1809" s="1" t="s">
        <v>4330</v>
      </c>
      <c r="AE1809" s="1" t="str">
        <f t="shared" si="137"/>
        <v>7838 4</v>
      </c>
      <c r="AF1809" s="5" t="str">
        <f t="shared" si="135"/>
        <v>178.5</v>
      </c>
      <c r="AG1809" s="1" t="str">
        <f t="shared" si="136"/>
        <v/>
      </c>
    </row>
    <row r="1810" spans="1:33" x14ac:dyDescent="0.2">
      <c r="A1810" s="1" t="s">
        <v>3095</v>
      </c>
      <c r="B1810" s="1" t="s">
        <v>4331</v>
      </c>
      <c r="C1810" s="1">
        <v>7839</v>
      </c>
      <c r="D1810" s="1">
        <v>1</v>
      </c>
      <c r="F1810" s="1">
        <v>2023</v>
      </c>
      <c r="G1810" s="1" t="s">
        <v>1515</v>
      </c>
      <c r="H1810" s="1">
        <v>1525</v>
      </c>
      <c r="I1810" s="1">
        <v>3</v>
      </c>
      <c r="K1810" s="1" t="s">
        <v>4332</v>
      </c>
      <c r="L1810" s="1" t="s">
        <v>4333</v>
      </c>
      <c r="M1810" s="1">
        <v>33</v>
      </c>
      <c r="N1810" s="1" t="s">
        <v>39</v>
      </c>
      <c r="O1810" s="1">
        <v>38.072499999999998</v>
      </c>
      <c r="P1810" s="1">
        <v>-77.514099999999999</v>
      </c>
      <c r="Q1810" s="1" t="s">
        <v>3112</v>
      </c>
      <c r="R1810" s="1" t="s">
        <v>41</v>
      </c>
      <c r="T1810" s="1" t="s">
        <v>93</v>
      </c>
      <c r="U1810" s="1" t="s">
        <v>44</v>
      </c>
      <c r="V1810" s="1" t="s">
        <v>94</v>
      </c>
      <c r="X1810" s="1" t="s">
        <v>183</v>
      </c>
      <c r="AA1810" s="3">
        <v>37042</v>
      </c>
      <c r="AB1810" s="1" t="s">
        <v>46</v>
      </c>
      <c r="AC1810" s="5">
        <v>2129</v>
      </c>
      <c r="AD1810" s="1" t="s">
        <v>4327</v>
      </c>
      <c r="AE1810" s="1" t="str">
        <f t="shared" si="137"/>
        <v>7839 1</v>
      </c>
      <c r="AF1810" s="5" t="str">
        <f t="shared" si="135"/>
        <v>178.5</v>
      </c>
      <c r="AG1810" s="1" t="str">
        <f t="shared" si="136"/>
        <v/>
      </c>
    </row>
    <row r="1811" spans="1:33" x14ac:dyDescent="0.2">
      <c r="A1811" s="1" t="s">
        <v>3095</v>
      </c>
      <c r="B1811" s="1" t="s">
        <v>4331</v>
      </c>
      <c r="C1811" s="1">
        <v>7839</v>
      </c>
      <c r="D1811" s="1">
        <v>2</v>
      </c>
      <c r="F1811" s="1">
        <v>2023</v>
      </c>
      <c r="G1811" s="1" t="s">
        <v>1515</v>
      </c>
      <c r="H1811" s="1">
        <v>1525</v>
      </c>
      <c r="I1811" s="1">
        <v>3</v>
      </c>
      <c r="K1811" s="1" t="s">
        <v>4332</v>
      </c>
      <c r="L1811" s="1" t="s">
        <v>4333</v>
      </c>
      <c r="M1811" s="1">
        <v>33</v>
      </c>
      <c r="N1811" s="1" t="s">
        <v>39</v>
      </c>
      <c r="O1811" s="1">
        <v>38.072499999999998</v>
      </c>
      <c r="P1811" s="1">
        <v>-77.514099999999999</v>
      </c>
      <c r="Q1811" s="1" t="s">
        <v>3112</v>
      </c>
      <c r="R1811" s="1" t="s">
        <v>41</v>
      </c>
      <c r="T1811" s="1" t="s">
        <v>93</v>
      </c>
      <c r="U1811" s="1" t="s">
        <v>44</v>
      </c>
      <c r="V1811" s="1" t="s">
        <v>94</v>
      </c>
      <c r="X1811" s="1" t="s">
        <v>183</v>
      </c>
      <c r="AA1811" s="3">
        <v>37034</v>
      </c>
      <c r="AB1811" s="1" t="s">
        <v>46</v>
      </c>
      <c r="AC1811" s="5">
        <v>2223</v>
      </c>
      <c r="AD1811" s="1" t="s">
        <v>4328</v>
      </c>
      <c r="AE1811" s="1" t="str">
        <f t="shared" si="137"/>
        <v>7839 2</v>
      </c>
      <c r="AF1811" s="5" t="str">
        <f t="shared" si="135"/>
        <v>178.5</v>
      </c>
      <c r="AG1811" s="1" t="str">
        <f t="shared" si="136"/>
        <v/>
      </c>
    </row>
    <row r="1812" spans="1:33" x14ac:dyDescent="0.2">
      <c r="A1812" s="1" t="s">
        <v>3095</v>
      </c>
      <c r="B1812" s="1" t="s">
        <v>4331</v>
      </c>
      <c r="C1812" s="1">
        <v>7839</v>
      </c>
      <c r="D1812" s="1">
        <v>3</v>
      </c>
      <c r="F1812" s="1">
        <v>2023</v>
      </c>
      <c r="G1812" s="1" t="s">
        <v>1515</v>
      </c>
      <c r="H1812" s="1">
        <v>1525</v>
      </c>
      <c r="I1812" s="1">
        <v>3</v>
      </c>
      <c r="K1812" s="1" t="s">
        <v>4332</v>
      </c>
      <c r="L1812" s="1" t="s">
        <v>4333</v>
      </c>
      <c r="M1812" s="1">
        <v>33</v>
      </c>
      <c r="N1812" s="1" t="s">
        <v>39</v>
      </c>
      <c r="O1812" s="1">
        <v>38.072499999999998</v>
      </c>
      <c r="P1812" s="1">
        <v>-77.514099999999999</v>
      </c>
      <c r="Q1812" s="1" t="s">
        <v>3112</v>
      </c>
      <c r="R1812" s="1" t="s">
        <v>41</v>
      </c>
      <c r="T1812" s="1" t="s">
        <v>93</v>
      </c>
      <c r="U1812" s="1" t="s">
        <v>44</v>
      </c>
      <c r="V1812" s="1" t="s">
        <v>94</v>
      </c>
      <c r="X1812" s="1" t="s">
        <v>183</v>
      </c>
      <c r="AA1812" s="3">
        <v>39590</v>
      </c>
      <c r="AB1812" s="1" t="s">
        <v>46</v>
      </c>
      <c r="AC1812" s="5">
        <v>2158</v>
      </c>
      <c r="AD1812" s="1" t="s">
        <v>4334</v>
      </c>
      <c r="AE1812" s="1" t="str">
        <f t="shared" si="137"/>
        <v>7839 3</v>
      </c>
      <c r="AF1812" s="5" t="str">
        <f t="shared" si="135"/>
        <v>192.1</v>
      </c>
      <c r="AG1812" s="1" t="str">
        <f t="shared" si="136"/>
        <v/>
      </c>
    </row>
    <row r="1813" spans="1:33" x14ac:dyDescent="0.2">
      <c r="A1813" s="1" t="s">
        <v>3095</v>
      </c>
      <c r="B1813" s="1" t="s">
        <v>4331</v>
      </c>
      <c r="C1813" s="1">
        <v>7839</v>
      </c>
      <c r="D1813" s="1">
        <v>4</v>
      </c>
      <c r="F1813" s="1">
        <v>2023</v>
      </c>
      <c r="G1813" s="1" t="s">
        <v>1515</v>
      </c>
      <c r="H1813" s="1">
        <v>1525</v>
      </c>
      <c r="I1813" s="1">
        <v>3</v>
      </c>
      <c r="K1813" s="1" t="s">
        <v>4332</v>
      </c>
      <c r="L1813" s="1" t="s">
        <v>4333</v>
      </c>
      <c r="M1813" s="1">
        <v>33</v>
      </c>
      <c r="N1813" s="1" t="s">
        <v>39</v>
      </c>
      <c r="O1813" s="1">
        <v>38.072499999999998</v>
      </c>
      <c r="P1813" s="1">
        <v>-77.514099999999999</v>
      </c>
      <c r="Q1813" s="1" t="s">
        <v>3112</v>
      </c>
      <c r="R1813" s="1" t="s">
        <v>41</v>
      </c>
      <c r="T1813" s="1" t="s">
        <v>93</v>
      </c>
      <c r="U1813" s="1" t="s">
        <v>44</v>
      </c>
      <c r="V1813" s="1" t="s">
        <v>94</v>
      </c>
      <c r="X1813" s="1" t="s">
        <v>183</v>
      </c>
      <c r="AA1813" s="3">
        <v>39606</v>
      </c>
      <c r="AB1813" s="1" t="s">
        <v>46</v>
      </c>
      <c r="AC1813" s="5">
        <v>2129</v>
      </c>
      <c r="AD1813" s="1" t="s">
        <v>4335</v>
      </c>
      <c r="AE1813" s="1" t="str">
        <f t="shared" si="137"/>
        <v>7839 4</v>
      </c>
      <c r="AF1813" s="5" t="str">
        <f t="shared" si="135"/>
        <v>192.1</v>
      </c>
      <c r="AG1813" s="1" t="str">
        <f t="shared" si="136"/>
        <v/>
      </c>
    </row>
    <row r="1814" spans="1:33" x14ac:dyDescent="0.2">
      <c r="A1814" s="1" t="s">
        <v>3095</v>
      </c>
      <c r="B1814" s="1" t="s">
        <v>4331</v>
      </c>
      <c r="C1814" s="1">
        <v>7839</v>
      </c>
      <c r="D1814" s="1">
        <v>5</v>
      </c>
      <c r="F1814" s="1">
        <v>2023</v>
      </c>
      <c r="G1814" s="1" t="s">
        <v>1515</v>
      </c>
      <c r="H1814" s="1">
        <v>1525</v>
      </c>
      <c r="I1814" s="1">
        <v>3</v>
      </c>
      <c r="K1814" s="1" t="s">
        <v>4332</v>
      </c>
      <c r="L1814" s="1" t="s">
        <v>4333</v>
      </c>
      <c r="M1814" s="1">
        <v>33</v>
      </c>
      <c r="N1814" s="1" t="s">
        <v>39</v>
      </c>
      <c r="O1814" s="1">
        <v>38.072499999999998</v>
      </c>
      <c r="P1814" s="1">
        <v>-77.514099999999999</v>
      </c>
      <c r="Q1814" s="1" t="s">
        <v>3112</v>
      </c>
      <c r="R1814" s="1" t="s">
        <v>41</v>
      </c>
      <c r="T1814" s="1" t="s">
        <v>93</v>
      </c>
      <c r="U1814" s="1" t="s">
        <v>44</v>
      </c>
      <c r="V1814" s="1" t="s">
        <v>94</v>
      </c>
      <c r="X1814" s="1" t="s">
        <v>183</v>
      </c>
      <c r="AA1814" s="3">
        <v>39894</v>
      </c>
      <c r="AB1814" s="1" t="s">
        <v>46</v>
      </c>
      <c r="AC1814" s="5">
        <v>2129</v>
      </c>
      <c r="AD1814" s="1" t="s">
        <v>4336</v>
      </c>
      <c r="AE1814" s="1" t="str">
        <f t="shared" si="137"/>
        <v>7839 5</v>
      </c>
      <c r="AF1814" s="5" t="str">
        <f t="shared" si="135"/>
        <v>192.1</v>
      </c>
      <c r="AG1814" s="1" t="str">
        <f t="shared" si="136"/>
        <v/>
      </c>
    </row>
    <row r="1815" spans="1:33" x14ac:dyDescent="0.2">
      <c r="A1815" s="1" t="s">
        <v>458</v>
      </c>
      <c r="B1815" s="1" t="s">
        <v>4337</v>
      </c>
      <c r="C1815" s="1">
        <v>7842</v>
      </c>
      <c r="D1815" s="1" t="s">
        <v>311</v>
      </c>
      <c r="F1815" s="1">
        <v>2023</v>
      </c>
      <c r="G1815" s="1" t="s">
        <v>461</v>
      </c>
      <c r="H1815" s="1">
        <v>603695</v>
      </c>
      <c r="I1815" s="1">
        <v>5</v>
      </c>
      <c r="J1815" s="1" t="s">
        <v>36</v>
      </c>
      <c r="K1815" s="1" t="s">
        <v>3632</v>
      </c>
      <c r="L1815" s="1" t="s">
        <v>4338</v>
      </c>
      <c r="M1815" s="1">
        <v>51</v>
      </c>
      <c r="N1815" s="1" t="s">
        <v>39</v>
      </c>
      <c r="O1815" s="1">
        <v>39.102499999999999</v>
      </c>
      <c r="P1815" s="1">
        <v>-88.858900000000006</v>
      </c>
      <c r="Q1815" s="1" t="s">
        <v>4339</v>
      </c>
      <c r="R1815" s="1" t="s">
        <v>41</v>
      </c>
      <c r="T1815" s="1" t="s">
        <v>93</v>
      </c>
      <c r="U1815" s="1" t="s">
        <v>44</v>
      </c>
      <c r="X1815" s="1" t="s">
        <v>95</v>
      </c>
      <c r="AA1815" s="3">
        <v>36678</v>
      </c>
      <c r="AB1815" s="1" t="s">
        <v>46</v>
      </c>
      <c r="AC1815" s="5">
        <v>465</v>
      </c>
      <c r="AD1815" s="1" t="s">
        <v>4340</v>
      </c>
      <c r="AE1815" s="1" t="str">
        <f t="shared" si="137"/>
        <v>7842 CT1</v>
      </c>
      <c r="AF1815" s="5" t="str">
        <f t="shared" si="135"/>
        <v>47</v>
      </c>
      <c r="AG1815" s="1" t="str">
        <f t="shared" si="136"/>
        <v/>
      </c>
    </row>
    <row r="1816" spans="1:33" x14ac:dyDescent="0.2">
      <c r="A1816" s="1" t="s">
        <v>1663</v>
      </c>
      <c r="B1816" s="1" t="s">
        <v>4341</v>
      </c>
      <c r="C1816" s="1">
        <v>7843</v>
      </c>
      <c r="D1816" s="1">
        <v>11</v>
      </c>
      <c r="F1816" s="1">
        <v>2023</v>
      </c>
      <c r="G1816" s="1" t="s">
        <v>1666</v>
      </c>
      <c r="H1816" s="1">
        <v>607684</v>
      </c>
      <c r="I1816" s="1">
        <v>5</v>
      </c>
      <c r="J1816" s="1" t="s">
        <v>207</v>
      </c>
      <c r="K1816" s="1" t="s">
        <v>4342</v>
      </c>
      <c r="L1816" s="1" t="s">
        <v>4343</v>
      </c>
      <c r="M1816" s="1">
        <v>99</v>
      </c>
      <c r="N1816" s="1" t="s">
        <v>39</v>
      </c>
      <c r="O1816" s="1">
        <v>43.799700000000001</v>
      </c>
      <c r="P1816" s="1">
        <v>-92.681899999999999</v>
      </c>
      <c r="Q1816" s="1" t="s">
        <v>1720</v>
      </c>
      <c r="R1816" s="1" t="s">
        <v>41</v>
      </c>
      <c r="T1816" s="1" t="s">
        <v>93</v>
      </c>
      <c r="U1816" s="1" t="s">
        <v>44</v>
      </c>
      <c r="V1816" s="1" t="s">
        <v>94</v>
      </c>
      <c r="X1816" s="1" t="s">
        <v>183</v>
      </c>
      <c r="AA1816" s="3">
        <v>36985</v>
      </c>
      <c r="AB1816" s="1" t="s">
        <v>46</v>
      </c>
      <c r="AC1816" s="5">
        <v>1772</v>
      </c>
      <c r="AD1816" s="1" t="s">
        <v>4344</v>
      </c>
      <c r="AE1816" s="1" t="str">
        <f t="shared" si="137"/>
        <v>7843 11</v>
      </c>
      <c r="AF1816" s="5" t="str">
        <f t="shared" si="135"/>
        <v>197</v>
      </c>
      <c r="AG1816" s="1" t="str">
        <f t="shared" si="136"/>
        <v/>
      </c>
    </row>
    <row r="1817" spans="1:33" x14ac:dyDescent="0.2">
      <c r="A1817" s="1" t="s">
        <v>1663</v>
      </c>
      <c r="B1817" s="1" t="s">
        <v>4341</v>
      </c>
      <c r="C1817" s="1">
        <v>7843</v>
      </c>
      <c r="D1817" s="1">
        <v>12</v>
      </c>
      <c r="F1817" s="1">
        <v>2023</v>
      </c>
      <c r="G1817" s="1" t="s">
        <v>1666</v>
      </c>
      <c r="H1817" s="1">
        <v>607684</v>
      </c>
      <c r="I1817" s="1">
        <v>5</v>
      </c>
      <c r="J1817" s="1" t="s">
        <v>207</v>
      </c>
      <c r="K1817" s="1" t="s">
        <v>4342</v>
      </c>
      <c r="L1817" s="1" t="s">
        <v>4343</v>
      </c>
      <c r="M1817" s="1">
        <v>99</v>
      </c>
      <c r="N1817" s="1" t="s">
        <v>39</v>
      </c>
      <c r="O1817" s="1">
        <v>43.799700000000001</v>
      </c>
      <c r="P1817" s="1">
        <v>-92.681899999999999</v>
      </c>
      <c r="Q1817" s="1" t="s">
        <v>1720</v>
      </c>
      <c r="R1817" s="1" t="s">
        <v>41</v>
      </c>
      <c r="T1817" s="1" t="s">
        <v>93</v>
      </c>
      <c r="U1817" s="1" t="s">
        <v>44</v>
      </c>
      <c r="V1817" s="1" t="s">
        <v>94</v>
      </c>
      <c r="X1817" s="1" t="s">
        <v>183</v>
      </c>
      <c r="AA1817" s="3">
        <v>36987</v>
      </c>
      <c r="AB1817" s="1" t="s">
        <v>46</v>
      </c>
      <c r="AC1817" s="5">
        <v>1819.6</v>
      </c>
      <c r="AD1817" s="1" t="s">
        <v>4345</v>
      </c>
      <c r="AE1817" s="1" t="str">
        <f t="shared" si="137"/>
        <v>7843 12</v>
      </c>
      <c r="AF1817" s="5" t="str">
        <f t="shared" si="135"/>
        <v>197</v>
      </c>
      <c r="AG1817" s="1" t="str">
        <f t="shared" si="136"/>
        <v/>
      </c>
    </row>
    <row r="1818" spans="1:33" x14ac:dyDescent="0.2">
      <c r="A1818" s="1" t="s">
        <v>1663</v>
      </c>
      <c r="B1818" s="1" t="s">
        <v>4341</v>
      </c>
      <c r="C1818" s="1">
        <v>7843</v>
      </c>
      <c r="D1818" s="1">
        <v>13</v>
      </c>
      <c r="F1818" s="1">
        <v>2023</v>
      </c>
      <c r="G1818" s="1" t="s">
        <v>1666</v>
      </c>
      <c r="H1818" s="1">
        <v>607684</v>
      </c>
      <c r="I1818" s="1">
        <v>5</v>
      </c>
      <c r="J1818" s="1" t="s">
        <v>207</v>
      </c>
      <c r="K1818" s="1" t="s">
        <v>4342</v>
      </c>
      <c r="L1818" s="1" t="s">
        <v>4343</v>
      </c>
      <c r="M1818" s="1">
        <v>99</v>
      </c>
      <c r="N1818" s="1" t="s">
        <v>39</v>
      </c>
      <c r="O1818" s="1">
        <v>43.799700000000001</v>
      </c>
      <c r="P1818" s="1">
        <v>-92.681899999999999</v>
      </c>
      <c r="Q1818" s="1" t="s">
        <v>1720</v>
      </c>
      <c r="R1818" s="1" t="s">
        <v>41</v>
      </c>
      <c r="T1818" s="1" t="s">
        <v>93</v>
      </c>
      <c r="U1818" s="1" t="s">
        <v>44</v>
      </c>
      <c r="V1818" s="1" t="s">
        <v>94</v>
      </c>
      <c r="X1818" s="1" t="s">
        <v>183</v>
      </c>
      <c r="AA1818" s="3">
        <v>37367</v>
      </c>
      <c r="AB1818" s="1" t="s">
        <v>46</v>
      </c>
      <c r="AC1818" s="5">
        <v>1475.3</v>
      </c>
      <c r="AD1818" s="1" t="s">
        <v>4346</v>
      </c>
      <c r="AE1818" s="1" t="str">
        <f t="shared" si="137"/>
        <v>7843 13</v>
      </c>
      <c r="AF1818" s="5" t="str">
        <f t="shared" si="135"/>
        <v>147.5</v>
      </c>
      <c r="AG1818" s="1" t="str">
        <f t="shared" si="136"/>
        <v/>
      </c>
    </row>
    <row r="1819" spans="1:33" x14ac:dyDescent="0.2">
      <c r="A1819" s="1" t="s">
        <v>1663</v>
      </c>
      <c r="B1819" s="1" t="s">
        <v>4347</v>
      </c>
      <c r="C1819" s="1">
        <v>7844</v>
      </c>
      <c r="D1819" s="1" t="s">
        <v>4348</v>
      </c>
      <c r="F1819" s="1">
        <v>2023</v>
      </c>
      <c r="G1819" s="1" t="s">
        <v>1666</v>
      </c>
      <c r="H1819" s="1">
        <v>610251</v>
      </c>
      <c r="I1819" s="1">
        <v>5</v>
      </c>
      <c r="J1819" s="1" t="s">
        <v>207</v>
      </c>
      <c r="K1819" s="1" t="s">
        <v>3850</v>
      </c>
      <c r="L1819" s="1" t="s">
        <v>3851</v>
      </c>
      <c r="M1819" s="1">
        <v>19</v>
      </c>
      <c r="N1819" s="1" t="s">
        <v>39</v>
      </c>
      <c r="O1819" s="1">
        <v>44.795000000000002</v>
      </c>
      <c r="P1819" s="1">
        <v>-93.580799999999996</v>
      </c>
      <c r="Q1819" s="1" t="s">
        <v>4349</v>
      </c>
      <c r="R1819" s="1" t="s">
        <v>41</v>
      </c>
      <c r="T1819" s="1" t="s">
        <v>93</v>
      </c>
      <c r="U1819" s="1" t="s">
        <v>44</v>
      </c>
      <c r="V1819" s="1" t="s">
        <v>94</v>
      </c>
      <c r="X1819" s="1" t="s">
        <v>140</v>
      </c>
      <c r="AA1819" s="3">
        <v>37012</v>
      </c>
      <c r="AB1819" s="1" t="s">
        <v>46</v>
      </c>
      <c r="AC1819" s="5">
        <v>560</v>
      </c>
      <c r="AD1819" s="1" t="s">
        <v>4350</v>
      </c>
      <c r="AE1819" s="1" t="str">
        <f t="shared" si="137"/>
        <v>7844 U001</v>
      </c>
      <c r="AF1819" s="5" t="str">
        <f t="shared" si="135"/>
        <v>49</v>
      </c>
      <c r="AG1819" s="1" t="str">
        <f t="shared" si="136"/>
        <v/>
      </c>
    </row>
    <row r="1820" spans="1:33" x14ac:dyDescent="0.2">
      <c r="A1820" s="1" t="s">
        <v>2762</v>
      </c>
      <c r="B1820" s="1" t="s">
        <v>4351</v>
      </c>
      <c r="C1820" s="1">
        <v>7845</v>
      </c>
      <c r="D1820" s="1" t="s">
        <v>4352</v>
      </c>
      <c r="F1820" s="1">
        <v>2023</v>
      </c>
      <c r="G1820" s="1" t="s">
        <v>1207</v>
      </c>
      <c r="H1820" s="1">
        <v>609315</v>
      </c>
      <c r="I1820" s="1">
        <v>4</v>
      </c>
      <c r="K1820" s="1" t="s">
        <v>4353</v>
      </c>
      <c r="L1820" s="1" t="s">
        <v>4354</v>
      </c>
      <c r="M1820" s="1">
        <v>75</v>
      </c>
      <c r="N1820" s="1" t="s">
        <v>39</v>
      </c>
      <c r="O1820" s="1">
        <v>35.657800000000002</v>
      </c>
      <c r="P1820" s="1">
        <v>-89.3964</v>
      </c>
      <c r="Q1820" s="1" t="s">
        <v>136</v>
      </c>
      <c r="R1820" s="1" t="s">
        <v>41</v>
      </c>
      <c r="T1820" s="1" t="s">
        <v>71</v>
      </c>
      <c r="U1820" s="1" t="s">
        <v>44</v>
      </c>
      <c r="X1820" s="1" t="s">
        <v>64</v>
      </c>
      <c r="AA1820" s="3">
        <v>40359</v>
      </c>
      <c r="AB1820" s="1" t="s">
        <v>46</v>
      </c>
      <c r="AC1820" s="5">
        <v>2243</v>
      </c>
      <c r="AD1820" s="1" t="s">
        <v>4355</v>
      </c>
      <c r="AE1820" s="1" t="str">
        <f t="shared" si="137"/>
        <v>7845 LCC1</v>
      </c>
      <c r="AF1820" s="14">
        <f>MID(AD1820,FIND("(",AD1820)+1,FIND(")",AD1820)-FIND("(",AD1820)-1)+257.6/2</f>
        <v>302.20000000000005</v>
      </c>
      <c r="AG1820" s="1" t="str">
        <f t="shared" si="136"/>
        <v>Y</v>
      </c>
    </row>
    <row r="1821" spans="1:33" x14ac:dyDescent="0.2">
      <c r="A1821" s="1" t="s">
        <v>2762</v>
      </c>
      <c r="B1821" s="1" t="s">
        <v>4351</v>
      </c>
      <c r="C1821" s="1">
        <v>7845</v>
      </c>
      <c r="D1821" s="1" t="s">
        <v>4356</v>
      </c>
      <c r="F1821" s="1">
        <v>2023</v>
      </c>
      <c r="G1821" s="1" t="s">
        <v>1207</v>
      </c>
      <c r="H1821" s="1">
        <v>609315</v>
      </c>
      <c r="I1821" s="1">
        <v>4</v>
      </c>
      <c r="K1821" s="1" t="s">
        <v>4353</v>
      </c>
      <c r="L1821" s="1" t="s">
        <v>4354</v>
      </c>
      <c r="M1821" s="1">
        <v>75</v>
      </c>
      <c r="N1821" s="1" t="s">
        <v>39</v>
      </c>
      <c r="O1821" s="1">
        <v>35.657800000000002</v>
      </c>
      <c r="P1821" s="1">
        <v>-89.3964</v>
      </c>
      <c r="Q1821" s="1" t="s">
        <v>136</v>
      </c>
      <c r="R1821" s="1" t="s">
        <v>41</v>
      </c>
      <c r="T1821" s="1" t="s">
        <v>71</v>
      </c>
      <c r="U1821" s="1" t="s">
        <v>44</v>
      </c>
      <c r="X1821" s="1" t="s">
        <v>64</v>
      </c>
      <c r="AA1821" s="3">
        <v>40351</v>
      </c>
      <c r="AB1821" s="1" t="s">
        <v>46</v>
      </c>
      <c r="AC1821" s="5">
        <v>2243</v>
      </c>
      <c r="AD1821" s="1" t="s">
        <v>4357</v>
      </c>
      <c r="AE1821" s="1" t="str">
        <f t="shared" si="137"/>
        <v>7845 LCC2</v>
      </c>
      <c r="AF1821" s="14">
        <f>AF1820</f>
        <v>302.20000000000005</v>
      </c>
      <c r="AG1821" s="1" t="str">
        <f t="shared" si="136"/>
        <v>Y</v>
      </c>
    </row>
    <row r="1822" spans="1:33" x14ac:dyDescent="0.2">
      <c r="A1822" s="1" t="s">
        <v>2762</v>
      </c>
      <c r="B1822" s="1" t="s">
        <v>4351</v>
      </c>
      <c r="C1822" s="1">
        <v>7845</v>
      </c>
      <c r="D1822" s="1" t="s">
        <v>4358</v>
      </c>
      <c r="F1822" s="1">
        <v>2023</v>
      </c>
      <c r="G1822" s="1" t="s">
        <v>1207</v>
      </c>
      <c r="H1822" s="1">
        <v>609315</v>
      </c>
      <c r="I1822" s="1">
        <v>4</v>
      </c>
      <c r="K1822" s="1" t="s">
        <v>4353</v>
      </c>
      <c r="L1822" s="1" t="s">
        <v>4354</v>
      </c>
      <c r="M1822" s="1">
        <v>75</v>
      </c>
      <c r="N1822" s="1" t="s">
        <v>39</v>
      </c>
      <c r="O1822" s="1">
        <v>35.657800000000002</v>
      </c>
      <c r="P1822" s="1">
        <v>-89.3964</v>
      </c>
      <c r="Q1822" s="1" t="s">
        <v>136</v>
      </c>
      <c r="R1822" s="1" t="s">
        <v>41</v>
      </c>
      <c r="T1822" s="1" t="s">
        <v>93</v>
      </c>
      <c r="U1822" s="1" t="s">
        <v>44</v>
      </c>
      <c r="V1822" s="1" t="s">
        <v>94</v>
      </c>
      <c r="X1822" s="1" t="s">
        <v>183</v>
      </c>
      <c r="AA1822" s="3">
        <v>36986</v>
      </c>
      <c r="AB1822" s="1" t="s">
        <v>46</v>
      </c>
      <c r="AC1822" s="5">
        <v>1175.4000000000001</v>
      </c>
      <c r="AD1822" s="1" t="s">
        <v>4359</v>
      </c>
      <c r="AE1822" s="1" t="str">
        <f t="shared" si="137"/>
        <v>7845 LCT1</v>
      </c>
      <c r="AF1822" s="5" t="str">
        <f t="shared" ref="AF1822:AF1834" si="138">MID(AD1822,FIND("(",AD1822)+1,FIND(")",AD1822)-FIND("(",AD1822)-1)</f>
        <v>84.5</v>
      </c>
      <c r="AG1822" s="1" t="str">
        <f t="shared" si="136"/>
        <v/>
      </c>
    </row>
    <row r="1823" spans="1:33" x14ac:dyDescent="0.2">
      <c r="A1823" s="1" t="s">
        <v>2762</v>
      </c>
      <c r="B1823" s="1" t="s">
        <v>4351</v>
      </c>
      <c r="C1823" s="1">
        <v>7845</v>
      </c>
      <c r="D1823" s="1" t="s">
        <v>4360</v>
      </c>
      <c r="F1823" s="1">
        <v>2023</v>
      </c>
      <c r="G1823" s="1" t="s">
        <v>1207</v>
      </c>
      <c r="H1823" s="1">
        <v>609315</v>
      </c>
      <c r="I1823" s="1">
        <v>4</v>
      </c>
      <c r="K1823" s="1" t="s">
        <v>4353</v>
      </c>
      <c r="L1823" s="1" t="s">
        <v>4354</v>
      </c>
      <c r="M1823" s="1">
        <v>75</v>
      </c>
      <c r="N1823" s="1" t="s">
        <v>39</v>
      </c>
      <c r="O1823" s="1">
        <v>35.657800000000002</v>
      </c>
      <c r="P1823" s="1">
        <v>-89.3964</v>
      </c>
      <c r="Q1823" s="1" t="s">
        <v>136</v>
      </c>
      <c r="R1823" s="1" t="s">
        <v>41</v>
      </c>
      <c r="T1823" s="1" t="s">
        <v>93</v>
      </c>
      <c r="U1823" s="1" t="s">
        <v>44</v>
      </c>
      <c r="V1823" s="1" t="s">
        <v>94</v>
      </c>
      <c r="X1823" s="1" t="s">
        <v>183</v>
      </c>
      <c r="AA1823" s="3">
        <v>37356</v>
      </c>
      <c r="AB1823" s="1" t="s">
        <v>46</v>
      </c>
      <c r="AC1823" s="5">
        <v>1175.4000000000001</v>
      </c>
      <c r="AD1823" s="1" t="s">
        <v>4361</v>
      </c>
      <c r="AE1823" s="1" t="str">
        <f t="shared" si="137"/>
        <v>7845 LCT10</v>
      </c>
      <c r="AF1823" s="5" t="str">
        <f t="shared" si="138"/>
        <v>86.2</v>
      </c>
      <c r="AG1823" s="1" t="str">
        <f t="shared" si="136"/>
        <v/>
      </c>
    </row>
    <row r="1824" spans="1:33" x14ac:dyDescent="0.2">
      <c r="A1824" s="1" t="s">
        <v>2762</v>
      </c>
      <c r="B1824" s="1" t="s">
        <v>4351</v>
      </c>
      <c r="C1824" s="1">
        <v>7845</v>
      </c>
      <c r="D1824" s="1" t="s">
        <v>4362</v>
      </c>
      <c r="F1824" s="1">
        <v>2023</v>
      </c>
      <c r="G1824" s="1" t="s">
        <v>1207</v>
      </c>
      <c r="H1824" s="1">
        <v>609315</v>
      </c>
      <c r="I1824" s="1">
        <v>4</v>
      </c>
      <c r="K1824" s="1" t="s">
        <v>4353</v>
      </c>
      <c r="L1824" s="1" t="s">
        <v>4354</v>
      </c>
      <c r="M1824" s="1">
        <v>75</v>
      </c>
      <c r="N1824" s="1" t="s">
        <v>39</v>
      </c>
      <c r="O1824" s="1">
        <v>35.657800000000002</v>
      </c>
      <c r="P1824" s="1">
        <v>-89.3964</v>
      </c>
      <c r="Q1824" s="1" t="s">
        <v>136</v>
      </c>
      <c r="R1824" s="1" t="s">
        <v>41</v>
      </c>
      <c r="T1824" s="1" t="s">
        <v>93</v>
      </c>
      <c r="U1824" s="1" t="s">
        <v>44</v>
      </c>
      <c r="V1824" s="1" t="s">
        <v>94</v>
      </c>
      <c r="X1824" s="1" t="s">
        <v>183</v>
      </c>
      <c r="AA1824" s="3">
        <v>37357</v>
      </c>
      <c r="AB1824" s="1" t="s">
        <v>46</v>
      </c>
      <c r="AC1824" s="5">
        <v>1175.4000000000001</v>
      </c>
      <c r="AD1824" s="1" t="s">
        <v>4363</v>
      </c>
      <c r="AE1824" s="1" t="str">
        <f t="shared" si="137"/>
        <v>7845 LCT11</v>
      </c>
      <c r="AF1824" s="5" t="str">
        <f t="shared" si="138"/>
        <v>86.2</v>
      </c>
      <c r="AG1824" s="1" t="str">
        <f t="shared" si="136"/>
        <v/>
      </c>
    </row>
    <row r="1825" spans="1:33" x14ac:dyDescent="0.2">
      <c r="A1825" s="1" t="s">
        <v>2762</v>
      </c>
      <c r="B1825" s="1" t="s">
        <v>4351</v>
      </c>
      <c r="C1825" s="1">
        <v>7845</v>
      </c>
      <c r="D1825" s="1" t="s">
        <v>4364</v>
      </c>
      <c r="F1825" s="1">
        <v>2023</v>
      </c>
      <c r="G1825" s="1" t="s">
        <v>1207</v>
      </c>
      <c r="H1825" s="1">
        <v>609315</v>
      </c>
      <c r="I1825" s="1">
        <v>4</v>
      </c>
      <c r="K1825" s="1" t="s">
        <v>4353</v>
      </c>
      <c r="L1825" s="1" t="s">
        <v>4354</v>
      </c>
      <c r="M1825" s="1">
        <v>75</v>
      </c>
      <c r="N1825" s="1" t="s">
        <v>39</v>
      </c>
      <c r="O1825" s="1">
        <v>35.657800000000002</v>
      </c>
      <c r="P1825" s="1">
        <v>-89.3964</v>
      </c>
      <c r="Q1825" s="1" t="s">
        <v>136</v>
      </c>
      <c r="R1825" s="1" t="s">
        <v>41</v>
      </c>
      <c r="T1825" s="1" t="s">
        <v>93</v>
      </c>
      <c r="U1825" s="1" t="s">
        <v>44</v>
      </c>
      <c r="V1825" s="1" t="s">
        <v>94</v>
      </c>
      <c r="X1825" s="1" t="s">
        <v>183</v>
      </c>
      <c r="AA1825" s="3">
        <v>37365</v>
      </c>
      <c r="AB1825" s="1" t="s">
        <v>46</v>
      </c>
      <c r="AC1825" s="5">
        <v>1175.4000000000001</v>
      </c>
      <c r="AD1825" s="1" t="s">
        <v>4365</v>
      </c>
      <c r="AE1825" s="1" t="str">
        <f t="shared" si="137"/>
        <v>7845 LCT12</v>
      </c>
      <c r="AF1825" s="5" t="str">
        <f t="shared" si="138"/>
        <v>86.2</v>
      </c>
      <c r="AG1825" s="1" t="str">
        <f t="shared" si="136"/>
        <v/>
      </c>
    </row>
    <row r="1826" spans="1:33" x14ac:dyDescent="0.2">
      <c r="A1826" s="1" t="s">
        <v>2762</v>
      </c>
      <c r="B1826" s="1" t="s">
        <v>4351</v>
      </c>
      <c r="C1826" s="1">
        <v>7845</v>
      </c>
      <c r="D1826" s="1" t="s">
        <v>4366</v>
      </c>
      <c r="F1826" s="1">
        <v>2023</v>
      </c>
      <c r="G1826" s="1" t="s">
        <v>1207</v>
      </c>
      <c r="H1826" s="1">
        <v>609315</v>
      </c>
      <c r="I1826" s="1">
        <v>4</v>
      </c>
      <c r="K1826" s="1" t="s">
        <v>4353</v>
      </c>
      <c r="L1826" s="1" t="s">
        <v>4354</v>
      </c>
      <c r="M1826" s="1">
        <v>75</v>
      </c>
      <c r="N1826" s="1" t="s">
        <v>39</v>
      </c>
      <c r="O1826" s="1">
        <v>35.657800000000002</v>
      </c>
      <c r="P1826" s="1">
        <v>-89.3964</v>
      </c>
      <c r="Q1826" s="1" t="s">
        <v>136</v>
      </c>
      <c r="R1826" s="1" t="s">
        <v>41</v>
      </c>
      <c r="T1826" s="1" t="s">
        <v>93</v>
      </c>
      <c r="U1826" s="1" t="s">
        <v>44</v>
      </c>
      <c r="V1826" s="1" t="s">
        <v>94</v>
      </c>
      <c r="X1826" s="1" t="s">
        <v>183</v>
      </c>
      <c r="AA1826" s="3">
        <v>36987</v>
      </c>
      <c r="AB1826" s="1" t="s">
        <v>46</v>
      </c>
      <c r="AC1826" s="5">
        <v>1175.4000000000001</v>
      </c>
      <c r="AD1826" s="1" t="s">
        <v>4367</v>
      </c>
      <c r="AE1826" s="1" t="str">
        <f t="shared" si="137"/>
        <v>7845 LCT2</v>
      </c>
      <c r="AF1826" s="5" t="str">
        <f t="shared" si="138"/>
        <v>84.5</v>
      </c>
      <c r="AG1826" s="1" t="str">
        <f t="shared" si="136"/>
        <v/>
      </c>
    </row>
    <row r="1827" spans="1:33" x14ac:dyDescent="0.2">
      <c r="A1827" s="1" t="s">
        <v>2762</v>
      </c>
      <c r="B1827" s="1" t="s">
        <v>4351</v>
      </c>
      <c r="C1827" s="1">
        <v>7845</v>
      </c>
      <c r="D1827" s="1" t="s">
        <v>4368</v>
      </c>
      <c r="F1827" s="1">
        <v>2023</v>
      </c>
      <c r="G1827" s="1" t="s">
        <v>1207</v>
      </c>
      <c r="H1827" s="1">
        <v>609315</v>
      </c>
      <c r="I1827" s="1">
        <v>4</v>
      </c>
      <c r="K1827" s="1" t="s">
        <v>4353</v>
      </c>
      <c r="L1827" s="1" t="s">
        <v>4354</v>
      </c>
      <c r="M1827" s="1">
        <v>75</v>
      </c>
      <c r="N1827" s="1" t="s">
        <v>39</v>
      </c>
      <c r="O1827" s="1">
        <v>35.657800000000002</v>
      </c>
      <c r="P1827" s="1">
        <v>-89.3964</v>
      </c>
      <c r="Q1827" s="1" t="s">
        <v>136</v>
      </c>
      <c r="R1827" s="1" t="s">
        <v>41</v>
      </c>
      <c r="T1827" s="1" t="s">
        <v>93</v>
      </c>
      <c r="U1827" s="1" t="s">
        <v>44</v>
      </c>
      <c r="V1827" s="1" t="s">
        <v>94</v>
      </c>
      <c r="X1827" s="1" t="s">
        <v>183</v>
      </c>
      <c r="AA1827" s="3">
        <v>36994</v>
      </c>
      <c r="AB1827" s="1" t="s">
        <v>46</v>
      </c>
      <c r="AC1827" s="5">
        <v>1175.4000000000001</v>
      </c>
      <c r="AD1827" s="1" t="s">
        <v>4369</v>
      </c>
      <c r="AE1827" s="1" t="str">
        <f t="shared" si="137"/>
        <v>7845 LCT3</v>
      </c>
      <c r="AF1827" s="5" t="str">
        <f t="shared" si="138"/>
        <v>84.5</v>
      </c>
      <c r="AG1827" s="1" t="str">
        <f t="shared" si="136"/>
        <v/>
      </c>
    </row>
    <row r="1828" spans="1:33" x14ac:dyDescent="0.2">
      <c r="A1828" s="1" t="s">
        <v>2762</v>
      </c>
      <c r="B1828" s="1" t="s">
        <v>4351</v>
      </c>
      <c r="C1828" s="1">
        <v>7845</v>
      </c>
      <c r="D1828" s="1" t="s">
        <v>4370</v>
      </c>
      <c r="F1828" s="1">
        <v>2023</v>
      </c>
      <c r="G1828" s="1" t="s">
        <v>1207</v>
      </c>
      <c r="H1828" s="1">
        <v>609315</v>
      </c>
      <c r="I1828" s="1">
        <v>4</v>
      </c>
      <c r="K1828" s="1" t="s">
        <v>4353</v>
      </c>
      <c r="L1828" s="1" t="s">
        <v>4354</v>
      </c>
      <c r="M1828" s="1">
        <v>75</v>
      </c>
      <c r="N1828" s="1" t="s">
        <v>39</v>
      </c>
      <c r="O1828" s="1">
        <v>35.657800000000002</v>
      </c>
      <c r="P1828" s="1">
        <v>-89.3964</v>
      </c>
      <c r="Q1828" s="1" t="s">
        <v>136</v>
      </c>
      <c r="R1828" s="1" t="s">
        <v>41</v>
      </c>
      <c r="T1828" s="1" t="s">
        <v>93</v>
      </c>
      <c r="U1828" s="1" t="s">
        <v>44</v>
      </c>
      <c r="V1828" s="1" t="s">
        <v>94</v>
      </c>
      <c r="X1828" s="1" t="s">
        <v>183</v>
      </c>
      <c r="AA1828" s="3">
        <v>37012</v>
      </c>
      <c r="AB1828" s="1" t="s">
        <v>46</v>
      </c>
      <c r="AC1828" s="5">
        <v>1175.4000000000001</v>
      </c>
      <c r="AD1828" s="1" t="s">
        <v>4371</v>
      </c>
      <c r="AE1828" s="1" t="str">
        <f t="shared" si="137"/>
        <v>7845 LCT4</v>
      </c>
      <c r="AF1828" s="5" t="str">
        <f t="shared" si="138"/>
        <v>84.5</v>
      </c>
      <c r="AG1828" s="1" t="str">
        <f t="shared" si="136"/>
        <v/>
      </c>
    </row>
    <row r="1829" spans="1:33" x14ac:dyDescent="0.2">
      <c r="A1829" s="1" t="s">
        <v>2762</v>
      </c>
      <c r="B1829" s="1" t="s">
        <v>4351</v>
      </c>
      <c r="C1829" s="1">
        <v>7845</v>
      </c>
      <c r="D1829" s="1" t="s">
        <v>4372</v>
      </c>
      <c r="F1829" s="1">
        <v>2023</v>
      </c>
      <c r="G1829" s="1" t="s">
        <v>1207</v>
      </c>
      <c r="H1829" s="1">
        <v>609315</v>
      </c>
      <c r="I1829" s="1">
        <v>4</v>
      </c>
      <c r="K1829" s="1" t="s">
        <v>4353</v>
      </c>
      <c r="L1829" s="1" t="s">
        <v>4354</v>
      </c>
      <c r="M1829" s="1">
        <v>75</v>
      </c>
      <c r="N1829" s="1" t="s">
        <v>39</v>
      </c>
      <c r="O1829" s="1">
        <v>35.657800000000002</v>
      </c>
      <c r="P1829" s="1">
        <v>-89.3964</v>
      </c>
      <c r="Q1829" s="1" t="s">
        <v>136</v>
      </c>
      <c r="R1829" s="1" t="s">
        <v>41</v>
      </c>
      <c r="T1829" s="1" t="s">
        <v>93</v>
      </c>
      <c r="U1829" s="1" t="s">
        <v>44</v>
      </c>
      <c r="V1829" s="1" t="s">
        <v>94</v>
      </c>
      <c r="X1829" s="1" t="s">
        <v>183</v>
      </c>
      <c r="AA1829" s="3">
        <v>37012</v>
      </c>
      <c r="AB1829" s="1" t="s">
        <v>46</v>
      </c>
      <c r="AC1829" s="5">
        <v>1175.4000000000001</v>
      </c>
      <c r="AD1829" s="1" t="s">
        <v>2802</v>
      </c>
      <c r="AE1829" s="1" t="str">
        <f t="shared" si="137"/>
        <v>7845 LCT5</v>
      </c>
      <c r="AF1829" s="5" t="str">
        <f t="shared" si="138"/>
        <v>84.5</v>
      </c>
      <c r="AG1829" s="1" t="str">
        <f t="shared" si="136"/>
        <v/>
      </c>
    </row>
    <row r="1830" spans="1:33" x14ac:dyDescent="0.2">
      <c r="A1830" s="1" t="s">
        <v>2762</v>
      </c>
      <c r="B1830" s="1" t="s">
        <v>4351</v>
      </c>
      <c r="C1830" s="1">
        <v>7845</v>
      </c>
      <c r="D1830" s="1" t="s">
        <v>4373</v>
      </c>
      <c r="F1830" s="1">
        <v>2023</v>
      </c>
      <c r="G1830" s="1" t="s">
        <v>1207</v>
      </c>
      <c r="H1830" s="1">
        <v>609315</v>
      </c>
      <c r="I1830" s="1">
        <v>4</v>
      </c>
      <c r="K1830" s="1" t="s">
        <v>4353</v>
      </c>
      <c r="L1830" s="1" t="s">
        <v>4354</v>
      </c>
      <c r="M1830" s="1">
        <v>75</v>
      </c>
      <c r="N1830" s="1" t="s">
        <v>39</v>
      </c>
      <c r="O1830" s="1">
        <v>35.657800000000002</v>
      </c>
      <c r="P1830" s="1">
        <v>-89.3964</v>
      </c>
      <c r="Q1830" s="1" t="s">
        <v>136</v>
      </c>
      <c r="R1830" s="1" t="s">
        <v>41</v>
      </c>
      <c r="T1830" s="1" t="s">
        <v>93</v>
      </c>
      <c r="U1830" s="1" t="s">
        <v>44</v>
      </c>
      <c r="V1830" s="1" t="s">
        <v>94</v>
      </c>
      <c r="X1830" s="1" t="s">
        <v>183</v>
      </c>
      <c r="AA1830" s="3">
        <v>37020</v>
      </c>
      <c r="AB1830" s="1" t="s">
        <v>46</v>
      </c>
      <c r="AC1830" s="5">
        <v>1175.4000000000001</v>
      </c>
      <c r="AD1830" s="1" t="s">
        <v>2804</v>
      </c>
      <c r="AE1830" s="1" t="str">
        <f t="shared" si="137"/>
        <v>7845 LCT6</v>
      </c>
      <c r="AF1830" s="5" t="str">
        <f t="shared" si="138"/>
        <v>84.5</v>
      </c>
      <c r="AG1830" s="1" t="str">
        <f t="shared" si="136"/>
        <v/>
      </c>
    </row>
    <row r="1831" spans="1:33" x14ac:dyDescent="0.2">
      <c r="A1831" s="1" t="s">
        <v>2762</v>
      </c>
      <c r="B1831" s="1" t="s">
        <v>4351</v>
      </c>
      <c r="C1831" s="1">
        <v>7845</v>
      </c>
      <c r="D1831" s="1" t="s">
        <v>4374</v>
      </c>
      <c r="F1831" s="1">
        <v>2023</v>
      </c>
      <c r="G1831" s="1" t="s">
        <v>1207</v>
      </c>
      <c r="H1831" s="1">
        <v>609315</v>
      </c>
      <c r="I1831" s="1">
        <v>4</v>
      </c>
      <c r="K1831" s="1" t="s">
        <v>4353</v>
      </c>
      <c r="L1831" s="1" t="s">
        <v>4354</v>
      </c>
      <c r="M1831" s="1">
        <v>75</v>
      </c>
      <c r="N1831" s="1" t="s">
        <v>39</v>
      </c>
      <c r="O1831" s="1">
        <v>35.657800000000002</v>
      </c>
      <c r="P1831" s="1">
        <v>-89.3964</v>
      </c>
      <c r="Q1831" s="1" t="s">
        <v>136</v>
      </c>
      <c r="R1831" s="1" t="s">
        <v>41</v>
      </c>
      <c r="T1831" s="1" t="s">
        <v>93</v>
      </c>
      <c r="U1831" s="1" t="s">
        <v>44</v>
      </c>
      <c r="V1831" s="1" t="s">
        <v>94</v>
      </c>
      <c r="X1831" s="1" t="s">
        <v>183</v>
      </c>
      <c r="AA1831" s="3">
        <v>37029</v>
      </c>
      <c r="AB1831" s="1" t="s">
        <v>46</v>
      </c>
      <c r="AC1831" s="5">
        <v>1175.4000000000001</v>
      </c>
      <c r="AD1831" s="1" t="s">
        <v>2806</v>
      </c>
      <c r="AE1831" s="1" t="str">
        <f t="shared" si="137"/>
        <v>7845 LCT7</v>
      </c>
      <c r="AF1831" s="5" t="str">
        <f t="shared" si="138"/>
        <v>84.5</v>
      </c>
      <c r="AG1831" s="1" t="str">
        <f t="shared" si="136"/>
        <v/>
      </c>
    </row>
    <row r="1832" spans="1:33" x14ac:dyDescent="0.2">
      <c r="A1832" s="1" t="s">
        <v>2762</v>
      </c>
      <c r="B1832" s="1" t="s">
        <v>4351</v>
      </c>
      <c r="C1832" s="1">
        <v>7845</v>
      </c>
      <c r="D1832" s="1" t="s">
        <v>4375</v>
      </c>
      <c r="F1832" s="1">
        <v>2023</v>
      </c>
      <c r="G1832" s="1" t="s">
        <v>1207</v>
      </c>
      <c r="H1832" s="1">
        <v>609315</v>
      </c>
      <c r="I1832" s="1">
        <v>4</v>
      </c>
      <c r="K1832" s="1" t="s">
        <v>4353</v>
      </c>
      <c r="L1832" s="1" t="s">
        <v>4354</v>
      </c>
      <c r="M1832" s="1">
        <v>75</v>
      </c>
      <c r="N1832" s="1" t="s">
        <v>39</v>
      </c>
      <c r="O1832" s="1">
        <v>35.657800000000002</v>
      </c>
      <c r="P1832" s="1">
        <v>-89.3964</v>
      </c>
      <c r="Q1832" s="1" t="s">
        <v>136</v>
      </c>
      <c r="R1832" s="1" t="s">
        <v>41</v>
      </c>
      <c r="T1832" s="1" t="s">
        <v>93</v>
      </c>
      <c r="U1832" s="1" t="s">
        <v>44</v>
      </c>
      <c r="V1832" s="1" t="s">
        <v>94</v>
      </c>
      <c r="X1832" s="1" t="s">
        <v>183</v>
      </c>
      <c r="AA1832" s="3">
        <v>37043</v>
      </c>
      <c r="AB1832" s="1" t="s">
        <v>46</v>
      </c>
      <c r="AC1832" s="5">
        <v>1175.4000000000001</v>
      </c>
      <c r="AD1832" s="1" t="s">
        <v>2808</v>
      </c>
      <c r="AE1832" s="1" t="str">
        <f t="shared" si="137"/>
        <v>7845 LCT8</v>
      </c>
      <c r="AF1832" s="5" t="str">
        <f t="shared" si="138"/>
        <v>84.5</v>
      </c>
      <c r="AG1832" s="1" t="str">
        <f t="shared" si="136"/>
        <v/>
      </c>
    </row>
    <row r="1833" spans="1:33" x14ac:dyDescent="0.2">
      <c r="A1833" s="1" t="s">
        <v>2762</v>
      </c>
      <c r="B1833" s="1" t="s">
        <v>4351</v>
      </c>
      <c r="C1833" s="1">
        <v>7845</v>
      </c>
      <c r="D1833" s="1" t="s">
        <v>4376</v>
      </c>
      <c r="F1833" s="1">
        <v>2023</v>
      </c>
      <c r="G1833" s="1" t="s">
        <v>1207</v>
      </c>
      <c r="H1833" s="1">
        <v>609315</v>
      </c>
      <c r="I1833" s="1">
        <v>4</v>
      </c>
      <c r="K1833" s="1" t="s">
        <v>4353</v>
      </c>
      <c r="L1833" s="1" t="s">
        <v>4354</v>
      </c>
      <c r="M1833" s="1">
        <v>75</v>
      </c>
      <c r="N1833" s="1" t="s">
        <v>39</v>
      </c>
      <c r="O1833" s="1">
        <v>35.657800000000002</v>
      </c>
      <c r="P1833" s="1">
        <v>-89.3964</v>
      </c>
      <c r="Q1833" s="1" t="s">
        <v>136</v>
      </c>
      <c r="R1833" s="1" t="s">
        <v>41</v>
      </c>
      <c r="T1833" s="1" t="s">
        <v>93</v>
      </c>
      <c r="U1833" s="1" t="s">
        <v>44</v>
      </c>
      <c r="V1833" s="1" t="s">
        <v>94</v>
      </c>
      <c r="X1833" s="1" t="s">
        <v>183</v>
      </c>
      <c r="AA1833" s="3">
        <v>37348</v>
      </c>
      <c r="AB1833" s="1" t="s">
        <v>46</v>
      </c>
      <c r="AC1833" s="5">
        <v>1175.4000000000001</v>
      </c>
      <c r="AD1833" s="1" t="s">
        <v>4377</v>
      </c>
      <c r="AE1833" s="1" t="str">
        <f t="shared" si="137"/>
        <v>7845 LCT9</v>
      </c>
      <c r="AF1833" s="5" t="str">
        <f t="shared" si="138"/>
        <v>86.2</v>
      </c>
      <c r="AG1833" s="1" t="str">
        <f t="shared" si="136"/>
        <v/>
      </c>
    </row>
    <row r="1834" spans="1:33" x14ac:dyDescent="0.2">
      <c r="A1834" s="1" t="s">
        <v>304</v>
      </c>
      <c r="B1834" s="1" t="s">
        <v>4378</v>
      </c>
      <c r="C1834" s="1">
        <v>7846</v>
      </c>
      <c r="D1834" s="1">
        <v>1</v>
      </c>
      <c r="F1834" s="1">
        <v>2023</v>
      </c>
      <c r="G1834" s="1" t="s">
        <v>247</v>
      </c>
      <c r="H1834" s="1">
        <v>605471</v>
      </c>
      <c r="I1834" s="1">
        <v>4</v>
      </c>
      <c r="K1834" s="1" t="s">
        <v>878</v>
      </c>
      <c r="L1834" s="1" t="s">
        <v>879</v>
      </c>
      <c r="M1834" s="1">
        <v>31</v>
      </c>
      <c r="N1834" s="1" t="s">
        <v>39</v>
      </c>
      <c r="O1834" s="1">
        <v>30.320599999999999</v>
      </c>
      <c r="P1834" s="1">
        <v>-81.948599999999999</v>
      </c>
      <c r="Q1834" s="1" t="s">
        <v>880</v>
      </c>
      <c r="R1834" s="1" t="s">
        <v>41</v>
      </c>
      <c r="T1834" s="1" t="s">
        <v>93</v>
      </c>
      <c r="U1834" s="1" t="s">
        <v>44</v>
      </c>
      <c r="V1834" s="1" t="s">
        <v>94</v>
      </c>
      <c r="X1834" s="1" t="s">
        <v>183</v>
      </c>
      <c r="AA1834" s="3">
        <v>37042</v>
      </c>
      <c r="AB1834" s="1" t="s">
        <v>46</v>
      </c>
      <c r="AC1834" s="5">
        <v>1822</v>
      </c>
      <c r="AD1834" s="1" t="s">
        <v>4379</v>
      </c>
      <c r="AE1834" s="1" t="str">
        <f t="shared" si="137"/>
        <v>7846 1</v>
      </c>
      <c r="AF1834" s="5" t="str">
        <f t="shared" si="138"/>
        <v>203.8</v>
      </c>
      <c r="AG1834" s="1" t="str">
        <f t="shared" si="136"/>
        <v/>
      </c>
    </row>
    <row r="1835" spans="1:33" x14ac:dyDescent="0.2">
      <c r="A1835" s="1" t="s">
        <v>304</v>
      </c>
      <c r="B1835" s="1" t="s">
        <v>4378</v>
      </c>
      <c r="C1835" s="1">
        <v>7846</v>
      </c>
      <c r="D1835" s="1">
        <v>2</v>
      </c>
      <c r="F1835" s="1">
        <v>2023</v>
      </c>
      <c r="G1835" s="1" t="s">
        <v>247</v>
      </c>
      <c r="H1835" s="1">
        <v>605471</v>
      </c>
      <c r="I1835" s="1">
        <v>4</v>
      </c>
      <c r="K1835" s="1" t="s">
        <v>878</v>
      </c>
      <c r="L1835" s="1" t="s">
        <v>879</v>
      </c>
      <c r="M1835" s="1">
        <v>31</v>
      </c>
      <c r="N1835" s="1" t="s">
        <v>39</v>
      </c>
      <c r="O1835" s="1">
        <v>30.320599999999999</v>
      </c>
      <c r="P1835" s="1">
        <v>-81.948599999999999</v>
      </c>
      <c r="Q1835" s="1" t="s">
        <v>880</v>
      </c>
      <c r="R1835" s="1" t="s">
        <v>41</v>
      </c>
      <c r="T1835" s="1" t="s">
        <v>71</v>
      </c>
      <c r="U1835" s="1" t="s">
        <v>44</v>
      </c>
      <c r="V1835" s="1" t="s">
        <v>94</v>
      </c>
      <c r="X1835" s="1" t="s">
        <v>4380</v>
      </c>
      <c r="AA1835" s="3">
        <v>37042</v>
      </c>
      <c r="AB1835" s="1" t="s">
        <v>46</v>
      </c>
      <c r="AC1835" s="5">
        <v>2170</v>
      </c>
      <c r="AD1835" s="1" t="s">
        <v>4381</v>
      </c>
      <c r="AE1835" s="1" t="str">
        <f t="shared" si="137"/>
        <v>7846 2</v>
      </c>
      <c r="AF1835" s="14">
        <f>MID(AD1835,FIND("(",AD1835)+1,FIND(")",AD1835)-FIND("(",AD1835)-1)+268.4/2</f>
        <v>338</v>
      </c>
      <c r="AG1835" s="1" t="str">
        <f t="shared" si="136"/>
        <v>Y</v>
      </c>
    </row>
    <row r="1836" spans="1:33" x14ac:dyDescent="0.2">
      <c r="A1836" s="1" t="s">
        <v>304</v>
      </c>
      <c r="B1836" s="1" t="s">
        <v>4378</v>
      </c>
      <c r="C1836" s="1">
        <v>7846</v>
      </c>
      <c r="D1836" s="1">
        <v>3</v>
      </c>
      <c r="F1836" s="1">
        <v>2023</v>
      </c>
      <c r="G1836" s="1" t="s">
        <v>247</v>
      </c>
      <c r="H1836" s="1">
        <v>605471</v>
      </c>
      <c r="I1836" s="1">
        <v>4</v>
      </c>
      <c r="K1836" s="1" t="s">
        <v>878</v>
      </c>
      <c r="L1836" s="1" t="s">
        <v>879</v>
      </c>
      <c r="M1836" s="1">
        <v>31</v>
      </c>
      <c r="N1836" s="1" t="s">
        <v>39</v>
      </c>
      <c r="O1836" s="1">
        <v>30.320599999999999</v>
      </c>
      <c r="P1836" s="1">
        <v>-81.948599999999999</v>
      </c>
      <c r="Q1836" s="1" t="s">
        <v>880</v>
      </c>
      <c r="R1836" s="1" t="s">
        <v>41</v>
      </c>
      <c r="T1836" s="1" t="s">
        <v>71</v>
      </c>
      <c r="U1836" s="1" t="s">
        <v>44</v>
      </c>
      <c r="V1836" s="1" t="s">
        <v>94</v>
      </c>
      <c r="X1836" s="1" t="s">
        <v>4380</v>
      </c>
      <c r="AA1836" s="3">
        <v>37166</v>
      </c>
      <c r="AB1836" s="1" t="s">
        <v>46</v>
      </c>
      <c r="AC1836" s="5">
        <v>2170</v>
      </c>
      <c r="AD1836" s="1" t="s">
        <v>4382</v>
      </c>
      <c r="AE1836" s="1" t="str">
        <f t="shared" si="137"/>
        <v>7846 3</v>
      </c>
      <c r="AF1836" s="14">
        <f>AF1835</f>
        <v>338</v>
      </c>
      <c r="AG1836" s="1" t="str">
        <f t="shared" si="136"/>
        <v>Y</v>
      </c>
    </row>
    <row r="1837" spans="1:33" x14ac:dyDescent="0.2">
      <c r="A1837" s="1" t="s">
        <v>1755</v>
      </c>
      <c r="B1837" s="1" t="s">
        <v>4383</v>
      </c>
      <c r="C1837" s="1">
        <v>7848</v>
      </c>
      <c r="D1837" s="1">
        <v>1</v>
      </c>
      <c r="F1837" s="1">
        <v>2023</v>
      </c>
      <c r="G1837" s="1" t="s">
        <v>1207</v>
      </c>
      <c r="H1837" s="1">
        <v>606546</v>
      </c>
      <c r="I1837" s="1">
        <v>7</v>
      </c>
      <c r="K1837" s="1" t="s">
        <v>4384</v>
      </c>
      <c r="L1837" s="1" t="s">
        <v>4385</v>
      </c>
      <c r="M1837" s="1">
        <v>101</v>
      </c>
      <c r="N1837" s="1" t="s">
        <v>39</v>
      </c>
      <c r="O1837" s="1">
        <v>38.753799999999998</v>
      </c>
      <c r="P1837" s="1">
        <v>-93.9983</v>
      </c>
      <c r="Q1837" s="1" t="s">
        <v>1831</v>
      </c>
      <c r="R1837" s="1" t="s">
        <v>41</v>
      </c>
      <c r="T1837" s="1" t="s">
        <v>93</v>
      </c>
      <c r="U1837" s="1" t="s">
        <v>44</v>
      </c>
      <c r="V1837" s="1" t="s">
        <v>94</v>
      </c>
      <c r="X1837" s="1" t="s">
        <v>183</v>
      </c>
      <c r="AA1837" s="3">
        <v>37408</v>
      </c>
      <c r="AB1837" s="1" t="s">
        <v>46</v>
      </c>
      <c r="AC1837" s="5">
        <v>1406</v>
      </c>
      <c r="AD1837" s="1" t="s">
        <v>4386</v>
      </c>
      <c r="AE1837" s="1" t="str">
        <f t="shared" si="137"/>
        <v>7848 1</v>
      </c>
      <c r="AF1837" s="5" t="str">
        <f t="shared" ref="AF1837:AF1844" si="139">MID(AD1837,FIND("(",AD1837)+1,FIND(")",AD1837)-FIND("(",AD1837)-1)</f>
        <v>107.1</v>
      </c>
      <c r="AG1837" s="1" t="str">
        <f t="shared" si="136"/>
        <v/>
      </c>
    </row>
    <row r="1838" spans="1:33" x14ac:dyDescent="0.2">
      <c r="A1838" s="1" t="s">
        <v>1755</v>
      </c>
      <c r="B1838" s="1" t="s">
        <v>4383</v>
      </c>
      <c r="C1838" s="1">
        <v>7848</v>
      </c>
      <c r="D1838" s="1">
        <v>2</v>
      </c>
      <c r="F1838" s="1">
        <v>2023</v>
      </c>
      <c r="G1838" s="1" t="s">
        <v>1207</v>
      </c>
      <c r="H1838" s="1">
        <v>606546</v>
      </c>
      <c r="I1838" s="1">
        <v>7</v>
      </c>
      <c r="K1838" s="1" t="s">
        <v>4384</v>
      </c>
      <c r="L1838" s="1" t="s">
        <v>4385</v>
      </c>
      <c r="M1838" s="1">
        <v>101</v>
      </c>
      <c r="N1838" s="1" t="s">
        <v>39</v>
      </c>
      <c r="O1838" s="1">
        <v>38.753799999999998</v>
      </c>
      <c r="P1838" s="1">
        <v>-93.9983</v>
      </c>
      <c r="Q1838" s="1" t="s">
        <v>1831</v>
      </c>
      <c r="R1838" s="1" t="s">
        <v>41</v>
      </c>
      <c r="T1838" s="1" t="s">
        <v>93</v>
      </c>
      <c r="U1838" s="1" t="s">
        <v>44</v>
      </c>
      <c r="V1838" s="1" t="s">
        <v>94</v>
      </c>
      <c r="X1838" s="1" t="s">
        <v>183</v>
      </c>
      <c r="AA1838" s="3">
        <v>37408</v>
      </c>
      <c r="AB1838" s="1" t="s">
        <v>46</v>
      </c>
      <c r="AC1838" s="5">
        <v>1406</v>
      </c>
      <c r="AD1838" s="1" t="s">
        <v>4387</v>
      </c>
      <c r="AE1838" s="1" t="str">
        <f t="shared" si="137"/>
        <v>7848 2</v>
      </c>
      <c r="AF1838" s="5" t="str">
        <f t="shared" si="139"/>
        <v>107.1</v>
      </c>
      <c r="AG1838" s="1" t="str">
        <f t="shared" si="136"/>
        <v/>
      </c>
    </row>
    <row r="1839" spans="1:33" x14ac:dyDescent="0.2">
      <c r="A1839" s="1" t="s">
        <v>1755</v>
      </c>
      <c r="B1839" s="1" t="s">
        <v>4383</v>
      </c>
      <c r="C1839" s="1">
        <v>7848</v>
      </c>
      <c r="D1839" s="1">
        <v>3</v>
      </c>
      <c r="F1839" s="1">
        <v>2023</v>
      </c>
      <c r="G1839" s="1" t="s">
        <v>1207</v>
      </c>
      <c r="H1839" s="1">
        <v>606546</v>
      </c>
      <c r="I1839" s="1">
        <v>7</v>
      </c>
      <c r="K1839" s="1" t="s">
        <v>4384</v>
      </c>
      <c r="L1839" s="1" t="s">
        <v>4385</v>
      </c>
      <c r="M1839" s="1">
        <v>101</v>
      </c>
      <c r="N1839" s="1" t="s">
        <v>39</v>
      </c>
      <c r="O1839" s="1">
        <v>38.753799999999998</v>
      </c>
      <c r="P1839" s="1">
        <v>-93.9983</v>
      </c>
      <c r="Q1839" s="1" t="s">
        <v>1831</v>
      </c>
      <c r="R1839" s="1" t="s">
        <v>41</v>
      </c>
      <c r="T1839" s="1" t="s">
        <v>93</v>
      </c>
      <c r="U1839" s="1" t="s">
        <v>44</v>
      </c>
      <c r="V1839" s="1" t="s">
        <v>94</v>
      </c>
      <c r="X1839" s="1" t="s">
        <v>183</v>
      </c>
      <c r="AA1839" s="3">
        <v>37408</v>
      </c>
      <c r="AB1839" s="1" t="s">
        <v>46</v>
      </c>
      <c r="AC1839" s="5">
        <v>1406</v>
      </c>
      <c r="AD1839" s="1" t="s">
        <v>4388</v>
      </c>
      <c r="AE1839" s="1" t="str">
        <f t="shared" si="137"/>
        <v>7848 3</v>
      </c>
      <c r="AF1839" s="5" t="str">
        <f t="shared" si="139"/>
        <v>107.1</v>
      </c>
      <c r="AG1839" s="1" t="str">
        <f t="shared" si="136"/>
        <v/>
      </c>
    </row>
    <row r="1840" spans="1:33" x14ac:dyDescent="0.2">
      <c r="A1840" s="1" t="s">
        <v>3167</v>
      </c>
      <c r="B1840" s="1" t="s">
        <v>4389</v>
      </c>
      <c r="C1840" s="1">
        <v>7863</v>
      </c>
      <c r="D1840" s="1">
        <v>1</v>
      </c>
      <c r="F1840" s="1">
        <v>2023</v>
      </c>
      <c r="G1840" s="1" t="s">
        <v>461</v>
      </c>
      <c r="H1840" s="1">
        <v>606455</v>
      </c>
      <c r="I1840" s="1">
        <v>5</v>
      </c>
      <c r="J1840" s="1" t="s">
        <v>207</v>
      </c>
      <c r="K1840" s="1" t="s">
        <v>3185</v>
      </c>
      <c r="L1840" s="1" t="s">
        <v>3186</v>
      </c>
      <c r="M1840" s="1">
        <v>17</v>
      </c>
      <c r="N1840" s="1" t="s">
        <v>39</v>
      </c>
      <c r="O1840" s="1">
        <v>44.901899999999998</v>
      </c>
      <c r="P1840" s="1">
        <v>-91.567800000000005</v>
      </c>
      <c r="Q1840" s="1" t="s">
        <v>3284</v>
      </c>
      <c r="R1840" s="1" t="s">
        <v>41</v>
      </c>
      <c r="T1840" s="1" t="s">
        <v>93</v>
      </c>
      <c r="U1840" s="1" t="s">
        <v>44</v>
      </c>
      <c r="V1840" s="1" t="s">
        <v>94</v>
      </c>
      <c r="X1840" s="1" t="s">
        <v>183</v>
      </c>
      <c r="AA1840" s="3">
        <v>37034</v>
      </c>
      <c r="AB1840" s="1" t="s">
        <v>46</v>
      </c>
      <c r="AC1840" s="5">
        <v>565</v>
      </c>
      <c r="AD1840" s="1" t="s">
        <v>4390</v>
      </c>
      <c r="AE1840" s="1" t="str">
        <f t="shared" si="137"/>
        <v>7863 1</v>
      </c>
      <c r="AF1840" s="5" t="str">
        <f t="shared" si="139"/>
        <v>51</v>
      </c>
      <c r="AG1840" s="1" t="str">
        <f t="shared" si="136"/>
        <v/>
      </c>
    </row>
    <row r="1841" spans="1:33" x14ac:dyDescent="0.2">
      <c r="A1841" s="1" t="s">
        <v>3167</v>
      </c>
      <c r="B1841" s="1" t="s">
        <v>4389</v>
      </c>
      <c r="C1841" s="1">
        <v>7863</v>
      </c>
      <c r="D1841" s="1">
        <v>2</v>
      </c>
      <c r="F1841" s="1">
        <v>2023</v>
      </c>
      <c r="G1841" s="1" t="s">
        <v>461</v>
      </c>
      <c r="H1841" s="1">
        <v>606455</v>
      </c>
      <c r="I1841" s="1">
        <v>5</v>
      </c>
      <c r="J1841" s="1" t="s">
        <v>207</v>
      </c>
      <c r="K1841" s="1" t="s">
        <v>3185</v>
      </c>
      <c r="L1841" s="1" t="s">
        <v>3186</v>
      </c>
      <c r="M1841" s="1">
        <v>17</v>
      </c>
      <c r="N1841" s="1" t="s">
        <v>39</v>
      </c>
      <c r="O1841" s="1">
        <v>44.901899999999998</v>
      </c>
      <c r="P1841" s="1">
        <v>-91.567800000000005</v>
      </c>
      <c r="Q1841" s="1" t="s">
        <v>3284</v>
      </c>
      <c r="R1841" s="1" t="s">
        <v>41</v>
      </c>
      <c r="T1841" s="1" t="s">
        <v>93</v>
      </c>
      <c r="U1841" s="1" t="s">
        <v>44</v>
      </c>
      <c r="V1841" s="1" t="s">
        <v>94</v>
      </c>
      <c r="X1841" s="1" t="s">
        <v>183</v>
      </c>
      <c r="AA1841" s="3">
        <v>37045</v>
      </c>
      <c r="AB1841" s="1" t="s">
        <v>46</v>
      </c>
      <c r="AC1841" s="5">
        <v>565</v>
      </c>
      <c r="AD1841" s="1" t="s">
        <v>4391</v>
      </c>
      <c r="AE1841" s="1" t="str">
        <f t="shared" si="137"/>
        <v>7863 2</v>
      </c>
      <c r="AF1841" s="5" t="str">
        <f t="shared" si="139"/>
        <v>51</v>
      </c>
      <c r="AG1841" s="1" t="str">
        <f t="shared" si="136"/>
        <v/>
      </c>
    </row>
    <row r="1842" spans="1:33" x14ac:dyDescent="0.2">
      <c r="A1842" s="1" t="s">
        <v>2089</v>
      </c>
      <c r="B1842" s="1" t="s">
        <v>4392</v>
      </c>
      <c r="C1842" s="1">
        <v>7869</v>
      </c>
      <c r="D1842" s="1" t="s">
        <v>4393</v>
      </c>
      <c r="F1842" s="1">
        <v>2023</v>
      </c>
      <c r="G1842" s="1" t="s">
        <v>617</v>
      </c>
      <c r="H1842" s="1">
        <v>606257</v>
      </c>
      <c r="I1842" s="1">
        <v>2</v>
      </c>
      <c r="K1842" s="1" t="s">
        <v>2222</v>
      </c>
      <c r="L1842" s="1" t="s">
        <v>2223</v>
      </c>
      <c r="M1842" s="1">
        <v>59</v>
      </c>
      <c r="N1842" s="1" t="s">
        <v>39</v>
      </c>
      <c r="O1842" s="1">
        <v>40.827500000000001</v>
      </c>
      <c r="P1842" s="1">
        <v>-73.647800000000004</v>
      </c>
      <c r="Q1842" s="1" t="s">
        <v>2224</v>
      </c>
      <c r="T1842" s="1" t="s">
        <v>93</v>
      </c>
      <c r="U1842" s="1" t="s">
        <v>94</v>
      </c>
      <c r="AA1842" s="3">
        <v>24624</v>
      </c>
      <c r="AB1842" s="1" t="s">
        <v>46</v>
      </c>
      <c r="AC1842" s="5">
        <v>266</v>
      </c>
      <c r="AD1842" s="1" t="s">
        <v>2265</v>
      </c>
      <c r="AE1842" s="1" t="str">
        <f t="shared" si="137"/>
        <v>7869 UGT011</v>
      </c>
      <c r="AF1842" s="5" t="str">
        <f t="shared" si="139"/>
        <v>16</v>
      </c>
      <c r="AG1842" s="1" t="str">
        <f t="shared" si="136"/>
        <v/>
      </c>
    </row>
    <row r="1843" spans="1:33" x14ac:dyDescent="0.2">
      <c r="A1843" s="1" t="s">
        <v>2089</v>
      </c>
      <c r="B1843" s="1" t="s">
        <v>4392</v>
      </c>
      <c r="C1843" s="1">
        <v>7869</v>
      </c>
      <c r="D1843" s="1" t="s">
        <v>4394</v>
      </c>
      <c r="F1843" s="1">
        <v>2023</v>
      </c>
      <c r="G1843" s="1" t="s">
        <v>1515</v>
      </c>
      <c r="H1843" s="1">
        <v>606257</v>
      </c>
      <c r="I1843" s="1">
        <v>2</v>
      </c>
      <c r="K1843" s="1" t="s">
        <v>2222</v>
      </c>
      <c r="L1843" s="1" t="s">
        <v>2223</v>
      </c>
      <c r="M1843" s="1">
        <v>59</v>
      </c>
      <c r="N1843" s="1" t="s">
        <v>39</v>
      </c>
      <c r="O1843" s="1">
        <v>40.827500000000001</v>
      </c>
      <c r="P1843" s="1">
        <v>-73.647800000000004</v>
      </c>
      <c r="Q1843" s="1" t="s">
        <v>4395</v>
      </c>
      <c r="R1843" s="1" t="s">
        <v>41</v>
      </c>
      <c r="T1843" s="1" t="s">
        <v>93</v>
      </c>
      <c r="U1843" s="1" t="s">
        <v>44</v>
      </c>
      <c r="V1843" s="1" t="s">
        <v>94</v>
      </c>
      <c r="X1843" s="1" t="s">
        <v>176</v>
      </c>
      <c r="AA1843" s="3">
        <v>37408</v>
      </c>
      <c r="AB1843" s="1" t="s">
        <v>46</v>
      </c>
      <c r="AC1843" s="5">
        <v>470</v>
      </c>
      <c r="AD1843" s="1" t="s">
        <v>4396</v>
      </c>
      <c r="AE1843" s="1" t="str">
        <f t="shared" si="137"/>
        <v>7869 UGT012</v>
      </c>
      <c r="AF1843" s="5" t="str">
        <f t="shared" si="139"/>
        <v>45</v>
      </c>
      <c r="AG1843" s="1" t="str">
        <f t="shared" si="136"/>
        <v>Y</v>
      </c>
    </row>
    <row r="1844" spans="1:33" x14ac:dyDescent="0.2">
      <c r="A1844" s="1" t="s">
        <v>2089</v>
      </c>
      <c r="B1844" s="1" t="s">
        <v>4392</v>
      </c>
      <c r="C1844" s="1">
        <v>7869</v>
      </c>
      <c r="D1844" s="1" t="s">
        <v>3906</v>
      </c>
      <c r="F1844" s="1">
        <v>2023</v>
      </c>
      <c r="G1844" s="1" t="s">
        <v>1515</v>
      </c>
      <c r="H1844" s="1">
        <v>606257</v>
      </c>
      <c r="I1844" s="1">
        <v>2</v>
      </c>
      <c r="K1844" s="1" t="s">
        <v>2222</v>
      </c>
      <c r="L1844" s="1" t="s">
        <v>2223</v>
      </c>
      <c r="M1844" s="1">
        <v>59</v>
      </c>
      <c r="N1844" s="1" t="s">
        <v>39</v>
      </c>
      <c r="O1844" s="1">
        <v>40.827500000000001</v>
      </c>
      <c r="P1844" s="1">
        <v>-73.647800000000004</v>
      </c>
      <c r="Q1844" s="1" t="s">
        <v>4395</v>
      </c>
      <c r="R1844" s="1" t="s">
        <v>41</v>
      </c>
      <c r="T1844" s="1" t="s">
        <v>93</v>
      </c>
      <c r="U1844" s="1" t="s">
        <v>44</v>
      </c>
      <c r="V1844" s="1" t="s">
        <v>94</v>
      </c>
      <c r="X1844" s="1" t="s">
        <v>176</v>
      </c>
      <c r="AA1844" s="3">
        <v>37408</v>
      </c>
      <c r="AB1844" s="1" t="s">
        <v>46</v>
      </c>
      <c r="AC1844" s="5">
        <v>470</v>
      </c>
      <c r="AD1844" s="1" t="s">
        <v>4397</v>
      </c>
      <c r="AE1844" s="1" t="str">
        <f t="shared" si="137"/>
        <v>7869 UGT013</v>
      </c>
      <c r="AF1844" s="5" t="str">
        <f t="shared" si="139"/>
        <v>45</v>
      </c>
      <c r="AG1844" s="1" t="str">
        <f t="shared" si="136"/>
        <v>Y</v>
      </c>
    </row>
    <row r="1845" spans="1:33" x14ac:dyDescent="0.2">
      <c r="A1845" s="1" t="s">
        <v>690</v>
      </c>
      <c r="B1845" s="1" t="s">
        <v>4398</v>
      </c>
      <c r="C1845" s="1">
        <v>7870</v>
      </c>
      <c r="D1845" s="1" t="s">
        <v>311</v>
      </c>
      <c r="F1845" s="1">
        <v>2023</v>
      </c>
      <c r="G1845" s="1" t="s">
        <v>247</v>
      </c>
      <c r="H1845" s="1" t="s">
        <v>4399</v>
      </c>
      <c r="I1845" s="1">
        <v>10</v>
      </c>
      <c r="K1845" s="1" t="s">
        <v>4400</v>
      </c>
      <c r="L1845" s="1" t="s">
        <v>4401</v>
      </c>
      <c r="M1845" s="1">
        <v>73</v>
      </c>
      <c r="N1845" s="1" t="s">
        <v>39</v>
      </c>
      <c r="O1845" s="1">
        <v>48.746000000000002</v>
      </c>
      <c r="P1845" s="1">
        <v>-122.486</v>
      </c>
      <c r="Q1845" s="1" t="s">
        <v>695</v>
      </c>
      <c r="R1845" s="1" t="s">
        <v>41</v>
      </c>
      <c r="T1845" s="1" t="s">
        <v>71</v>
      </c>
      <c r="U1845" s="1" t="s">
        <v>284</v>
      </c>
      <c r="X1845" s="1" t="s">
        <v>4050</v>
      </c>
      <c r="AA1845" s="3">
        <v>34151</v>
      </c>
      <c r="AB1845" s="1" t="s">
        <v>46</v>
      </c>
      <c r="AC1845" s="5">
        <v>525</v>
      </c>
      <c r="AD1845" s="1" t="s">
        <v>4402</v>
      </c>
      <c r="AE1845" s="1" t="str">
        <f t="shared" si="137"/>
        <v>7870 CT1</v>
      </c>
      <c r="AF1845" s="14">
        <f>MID(AD1845,FIND("(",AD1845)+1,FIND(")",AD1845)-FIND("(",AD1845)-1)+58.2/3</f>
        <v>58.8</v>
      </c>
      <c r="AG1845" s="1" t="str">
        <f t="shared" si="136"/>
        <v>Y</v>
      </c>
    </row>
    <row r="1846" spans="1:33" x14ac:dyDescent="0.2">
      <c r="A1846" s="1" t="s">
        <v>690</v>
      </c>
      <c r="B1846" s="1" t="s">
        <v>4398</v>
      </c>
      <c r="C1846" s="1">
        <v>7870</v>
      </c>
      <c r="D1846" s="1" t="s">
        <v>98</v>
      </c>
      <c r="F1846" s="1">
        <v>2023</v>
      </c>
      <c r="G1846" s="1" t="s">
        <v>247</v>
      </c>
      <c r="H1846" s="1" t="s">
        <v>4399</v>
      </c>
      <c r="I1846" s="1">
        <v>10</v>
      </c>
      <c r="K1846" s="1" t="s">
        <v>4400</v>
      </c>
      <c r="L1846" s="1" t="s">
        <v>4401</v>
      </c>
      <c r="M1846" s="1">
        <v>73</v>
      </c>
      <c r="N1846" s="1" t="s">
        <v>39</v>
      </c>
      <c r="O1846" s="1">
        <v>48.746000000000002</v>
      </c>
      <c r="P1846" s="1">
        <v>-122.486</v>
      </c>
      <c r="Q1846" s="1" t="s">
        <v>695</v>
      </c>
      <c r="R1846" s="1" t="s">
        <v>41</v>
      </c>
      <c r="T1846" s="1" t="s">
        <v>71</v>
      </c>
      <c r="U1846" s="1" t="s">
        <v>284</v>
      </c>
      <c r="X1846" s="1" t="s">
        <v>4050</v>
      </c>
      <c r="AA1846" s="3">
        <v>34151</v>
      </c>
      <c r="AB1846" s="1" t="s">
        <v>46</v>
      </c>
      <c r="AC1846" s="5">
        <v>525</v>
      </c>
      <c r="AD1846" s="1" t="s">
        <v>4403</v>
      </c>
      <c r="AE1846" s="1" t="str">
        <f t="shared" si="137"/>
        <v>7870 CT2</v>
      </c>
      <c r="AF1846" s="14">
        <f>AF1845</f>
        <v>58.8</v>
      </c>
      <c r="AG1846" s="1" t="str">
        <f t="shared" si="136"/>
        <v>Y</v>
      </c>
    </row>
    <row r="1847" spans="1:33" x14ac:dyDescent="0.2">
      <c r="A1847" s="1" t="s">
        <v>690</v>
      </c>
      <c r="B1847" s="1" t="s">
        <v>4398</v>
      </c>
      <c r="C1847" s="1">
        <v>7870</v>
      </c>
      <c r="D1847" s="1" t="s">
        <v>101</v>
      </c>
      <c r="F1847" s="1">
        <v>2023</v>
      </c>
      <c r="G1847" s="1" t="s">
        <v>247</v>
      </c>
      <c r="H1847" s="1" t="s">
        <v>4399</v>
      </c>
      <c r="I1847" s="1">
        <v>10</v>
      </c>
      <c r="K1847" s="1" t="s">
        <v>4400</v>
      </c>
      <c r="L1847" s="1" t="s">
        <v>4401</v>
      </c>
      <c r="M1847" s="1">
        <v>73</v>
      </c>
      <c r="N1847" s="1" t="s">
        <v>39</v>
      </c>
      <c r="O1847" s="1">
        <v>48.746000000000002</v>
      </c>
      <c r="P1847" s="1">
        <v>-122.486</v>
      </c>
      <c r="Q1847" s="1" t="s">
        <v>695</v>
      </c>
      <c r="R1847" s="1" t="s">
        <v>41</v>
      </c>
      <c r="T1847" s="1" t="s">
        <v>71</v>
      </c>
      <c r="U1847" s="1" t="s">
        <v>284</v>
      </c>
      <c r="X1847" s="1" t="s">
        <v>4050</v>
      </c>
      <c r="AA1847" s="3">
        <v>34151</v>
      </c>
      <c r="AB1847" s="1" t="s">
        <v>46</v>
      </c>
      <c r="AC1847" s="5">
        <v>525</v>
      </c>
      <c r="AD1847" s="1" t="s">
        <v>4404</v>
      </c>
      <c r="AE1847" s="1" t="str">
        <f t="shared" si="137"/>
        <v>7870 CT3</v>
      </c>
      <c r="AF1847" s="14">
        <f>AF1845</f>
        <v>58.8</v>
      </c>
      <c r="AG1847" s="1" t="str">
        <f t="shared" si="136"/>
        <v>Y</v>
      </c>
    </row>
    <row r="1848" spans="1:33" x14ac:dyDescent="0.2">
      <c r="A1848" s="1" t="s">
        <v>2430</v>
      </c>
      <c r="B1848" s="1" t="s">
        <v>4405</v>
      </c>
      <c r="C1848" s="1">
        <v>7872</v>
      </c>
      <c r="D1848" s="1">
        <v>1</v>
      </c>
      <c r="F1848" s="1">
        <v>2023</v>
      </c>
      <c r="G1848" s="1" t="s">
        <v>461</v>
      </c>
      <c r="H1848" s="1">
        <v>609050</v>
      </c>
      <c r="I1848" s="1">
        <v>5</v>
      </c>
      <c r="J1848" s="1" t="s">
        <v>169</v>
      </c>
      <c r="K1848" s="1" t="s">
        <v>4406</v>
      </c>
      <c r="L1848" s="1" t="s">
        <v>4407</v>
      </c>
      <c r="M1848" s="1">
        <v>161</v>
      </c>
      <c r="N1848" s="1" t="s">
        <v>39</v>
      </c>
      <c r="O1848" s="1">
        <v>40.929699999999997</v>
      </c>
      <c r="P1848" s="1">
        <v>-84.739199999999997</v>
      </c>
      <c r="Q1848" s="1" t="s">
        <v>4408</v>
      </c>
      <c r="R1848" s="1" t="s">
        <v>41</v>
      </c>
      <c r="T1848" s="1" t="s">
        <v>93</v>
      </c>
      <c r="U1848" s="1" t="s">
        <v>44</v>
      </c>
      <c r="V1848" s="1" t="s">
        <v>94</v>
      </c>
      <c r="X1848" s="1" t="s">
        <v>183</v>
      </c>
      <c r="AA1848" s="3">
        <v>37421</v>
      </c>
      <c r="AB1848" s="1" t="s">
        <v>46</v>
      </c>
      <c r="AC1848" s="5">
        <v>1946.3</v>
      </c>
      <c r="AD1848" s="1" t="s">
        <v>4409</v>
      </c>
      <c r="AE1848" s="1" t="str">
        <f t="shared" si="137"/>
        <v>7872 1</v>
      </c>
      <c r="AF1848" s="5" t="str">
        <f>MID(AD1848,FIND("(",AD1848)+1,FIND(")",AD1848)-FIND("(",AD1848)-1)</f>
        <v>198</v>
      </c>
      <c r="AG1848" s="1" t="str">
        <f t="shared" si="136"/>
        <v/>
      </c>
    </row>
    <row r="1849" spans="1:33" x14ac:dyDescent="0.2">
      <c r="A1849" s="1" t="s">
        <v>2430</v>
      </c>
      <c r="B1849" s="1" t="s">
        <v>4405</v>
      </c>
      <c r="C1849" s="1">
        <v>7872</v>
      </c>
      <c r="D1849" s="1">
        <v>2</v>
      </c>
      <c r="F1849" s="1">
        <v>2023</v>
      </c>
      <c r="G1849" s="1" t="s">
        <v>461</v>
      </c>
      <c r="H1849" s="1">
        <v>609050</v>
      </c>
      <c r="I1849" s="1">
        <v>5</v>
      </c>
      <c r="J1849" s="1" t="s">
        <v>169</v>
      </c>
      <c r="K1849" s="1" t="s">
        <v>4406</v>
      </c>
      <c r="L1849" s="1" t="s">
        <v>4407</v>
      </c>
      <c r="M1849" s="1">
        <v>161</v>
      </c>
      <c r="N1849" s="1" t="s">
        <v>39</v>
      </c>
      <c r="O1849" s="1">
        <v>40.929699999999997</v>
      </c>
      <c r="P1849" s="1">
        <v>-84.739199999999997</v>
      </c>
      <c r="Q1849" s="1" t="s">
        <v>4408</v>
      </c>
      <c r="R1849" s="1" t="s">
        <v>41</v>
      </c>
      <c r="T1849" s="1" t="s">
        <v>93</v>
      </c>
      <c r="U1849" s="1" t="s">
        <v>44</v>
      </c>
      <c r="V1849" s="1" t="s">
        <v>94</v>
      </c>
      <c r="X1849" s="1" t="s">
        <v>183</v>
      </c>
      <c r="AA1849" s="3">
        <v>37435</v>
      </c>
      <c r="AB1849" s="1" t="s">
        <v>46</v>
      </c>
      <c r="AC1849" s="5">
        <v>1946.3</v>
      </c>
      <c r="AD1849" s="1" t="s">
        <v>4410</v>
      </c>
      <c r="AE1849" s="1" t="str">
        <f t="shared" si="137"/>
        <v>7872 2</v>
      </c>
      <c r="AF1849" s="5" t="str">
        <f>MID(AD1849,FIND("(",AD1849)+1,FIND(")",AD1849)-FIND("(",AD1849)-1)</f>
        <v>198</v>
      </c>
      <c r="AG1849" s="1" t="str">
        <f t="shared" si="136"/>
        <v/>
      </c>
    </row>
    <row r="1850" spans="1:33" x14ac:dyDescent="0.2">
      <c r="A1850" s="1" t="s">
        <v>2430</v>
      </c>
      <c r="B1850" s="1" t="s">
        <v>4405</v>
      </c>
      <c r="C1850" s="1">
        <v>7872</v>
      </c>
      <c r="D1850" s="1">
        <v>3</v>
      </c>
      <c r="F1850" s="1">
        <v>2023</v>
      </c>
      <c r="G1850" s="1" t="s">
        <v>461</v>
      </c>
      <c r="H1850" s="1">
        <v>609050</v>
      </c>
      <c r="I1850" s="1">
        <v>5</v>
      </c>
      <c r="J1850" s="1" t="s">
        <v>169</v>
      </c>
      <c r="K1850" s="1" t="s">
        <v>4406</v>
      </c>
      <c r="L1850" s="1" t="s">
        <v>4407</v>
      </c>
      <c r="M1850" s="1">
        <v>161</v>
      </c>
      <c r="N1850" s="1" t="s">
        <v>39</v>
      </c>
      <c r="O1850" s="1">
        <v>40.929699999999997</v>
      </c>
      <c r="P1850" s="1">
        <v>-84.739199999999997</v>
      </c>
      <c r="Q1850" s="1" t="s">
        <v>4408</v>
      </c>
      <c r="R1850" s="1" t="s">
        <v>41</v>
      </c>
      <c r="T1850" s="1" t="s">
        <v>93</v>
      </c>
      <c r="U1850" s="1" t="s">
        <v>44</v>
      </c>
      <c r="V1850" s="1" t="s">
        <v>94</v>
      </c>
      <c r="X1850" s="1" t="s">
        <v>183</v>
      </c>
      <c r="AA1850" s="3">
        <v>37446</v>
      </c>
      <c r="AB1850" s="1" t="s">
        <v>46</v>
      </c>
      <c r="AC1850" s="5">
        <v>1946.3</v>
      </c>
      <c r="AD1850" s="1" t="s">
        <v>4411</v>
      </c>
      <c r="AE1850" s="1" t="str">
        <f t="shared" si="137"/>
        <v>7872 3</v>
      </c>
      <c r="AF1850" s="5" t="str">
        <f>MID(AD1850,FIND("(",AD1850)+1,FIND(")",AD1850)-FIND("(",AD1850)-1)</f>
        <v>198</v>
      </c>
      <c r="AG1850" s="1" t="str">
        <f t="shared" si="136"/>
        <v/>
      </c>
    </row>
    <row r="1851" spans="1:33" x14ac:dyDescent="0.2">
      <c r="A1851" s="1" t="s">
        <v>304</v>
      </c>
      <c r="B1851" s="1" t="s">
        <v>4412</v>
      </c>
      <c r="C1851" s="1">
        <v>7873</v>
      </c>
      <c r="D1851" s="1" t="s">
        <v>3676</v>
      </c>
      <c r="F1851" s="1">
        <v>2023</v>
      </c>
      <c r="G1851" s="1" t="s">
        <v>247</v>
      </c>
      <c r="H1851" s="1">
        <v>602607</v>
      </c>
      <c r="I1851" s="1">
        <v>4</v>
      </c>
      <c r="J1851" s="1" t="s">
        <v>796</v>
      </c>
      <c r="K1851" s="1" t="s">
        <v>845</v>
      </c>
      <c r="L1851" s="1" t="s">
        <v>846</v>
      </c>
      <c r="M1851" s="1">
        <v>57</v>
      </c>
      <c r="N1851" s="1" t="s">
        <v>39</v>
      </c>
      <c r="O1851" s="1">
        <v>27.9072</v>
      </c>
      <c r="P1851" s="1">
        <v>-82.423100000000005</v>
      </c>
      <c r="Q1851" s="1" t="s">
        <v>847</v>
      </c>
      <c r="R1851" s="1" t="s">
        <v>41</v>
      </c>
      <c r="T1851" s="1" t="s">
        <v>71</v>
      </c>
      <c r="U1851" s="1" t="s">
        <v>44</v>
      </c>
      <c r="X1851" s="1" t="s">
        <v>64</v>
      </c>
      <c r="AA1851" s="3">
        <v>37695</v>
      </c>
      <c r="AB1851" s="1" t="s">
        <v>46</v>
      </c>
      <c r="AC1851" s="5">
        <v>1866</v>
      </c>
      <c r="AD1851" s="1" t="s">
        <v>4413</v>
      </c>
      <c r="AE1851" s="1" t="str">
        <f t="shared" si="137"/>
        <v>7873 CT1A</v>
      </c>
      <c r="AF1851" s="14">
        <f>MID(AD1851,FIND("(",AD1851)+1,FIND(")",AD1851)-FIND("(",AD1851)-1)+ 239/3</f>
        <v>248.66666666666669</v>
      </c>
      <c r="AG1851" s="1" t="str">
        <f t="shared" si="136"/>
        <v>Y</v>
      </c>
    </row>
    <row r="1852" spans="1:33" x14ac:dyDescent="0.2">
      <c r="A1852" s="1" t="s">
        <v>304</v>
      </c>
      <c r="B1852" s="1" t="s">
        <v>4412</v>
      </c>
      <c r="C1852" s="1">
        <v>7873</v>
      </c>
      <c r="D1852" s="1" t="s">
        <v>3678</v>
      </c>
      <c r="F1852" s="1">
        <v>2023</v>
      </c>
      <c r="G1852" s="1" t="s">
        <v>247</v>
      </c>
      <c r="H1852" s="1">
        <v>602607</v>
      </c>
      <c r="I1852" s="1">
        <v>4</v>
      </c>
      <c r="J1852" s="1" t="s">
        <v>796</v>
      </c>
      <c r="K1852" s="1" t="s">
        <v>845</v>
      </c>
      <c r="L1852" s="1" t="s">
        <v>846</v>
      </c>
      <c r="M1852" s="1">
        <v>57</v>
      </c>
      <c r="N1852" s="1" t="s">
        <v>39</v>
      </c>
      <c r="O1852" s="1">
        <v>27.9072</v>
      </c>
      <c r="P1852" s="1">
        <v>-82.423100000000005</v>
      </c>
      <c r="Q1852" s="1" t="s">
        <v>847</v>
      </c>
      <c r="R1852" s="1" t="s">
        <v>41</v>
      </c>
      <c r="T1852" s="1" t="s">
        <v>71</v>
      </c>
      <c r="U1852" s="1" t="s">
        <v>44</v>
      </c>
      <c r="X1852" s="1" t="s">
        <v>64</v>
      </c>
      <c r="AA1852" s="3">
        <v>37695</v>
      </c>
      <c r="AB1852" s="1" t="s">
        <v>46</v>
      </c>
      <c r="AC1852" s="5">
        <v>1866</v>
      </c>
      <c r="AD1852" s="1" t="s">
        <v>4414</v>
      </c>
      <c r="AE1852" s="1" t="str">
        <f t="shared" si="137"/>
        <v>7873 CT1B</v>
      </c>
      <c r="AF1852" s="14">
        <f>AF1851</f>
        <v>248.66666666666669</v>
      </c>
      <c r="AG1852" s="1" t="str">
        <f t="shared" si="136"/>
        <v>Y</v>
      </c>
    </row>
    <row r="1853" spans="1:33" x14ac:dyDescent="0.2">
      <c r="A1853" s="1" t="s">
        <v>304</v>
      </c>
      <c r="B1853" s="1" t="s">
        <v>4412</v>
      </c>
      <c r="C1853" s="1">
        <v>7873</v>
      </c>
      <c r="D1853" s="1" t="s">
        <v>4415</v>
      </c>
      <c r="F1853" s="1">
        <v>2023</v>
      </c>
      <c r="G1853" s="1" t="s">
        <v>247</v>
      </c>
      <c r="H1853" s="1">
        <v>602607</v>
      </c>
      <c r="I1853" s="1">
        <v>4</v>
      </c>
      <c r="J1853" s="1" t="s">
        <v>796</v>
      </c>
      <c r="K1853" s="1" t="s">
        <v>845</v>
      </c>
      <c r="L1853" s="1" t="s">
        <v>846</v>
      </c>
      <c r="M1853" s="1">
        <v>57</v>
      </c>
      <c r="N1853" s="1" t="s">
        <v>39</v>
      </c>
      <c r="O1853" s="1">
        <v>27.9072</v>
      </c>
      <c r="P1853" s="1">
        <v>-82.423100000000005</v>
      </c>
      <c r="Q1853" s="1" t="s">
        <v>847</v>
      </c>
      <c r="R1853" s="1" t="s">
        <v>41</v>
      </c>
      <c r="T1853" s="1" t="s">
        <v>71</v>
      </c>
      <c r="U1853" s="1" t="s">
        <v>44</v>
      </c>
      <c r="X1853" s="1" t="s">
        <v>64</v>
      </c>
      <c r="AA1853" s="3">
        <v>37691</v>
      </c>
      <c r="AB1853" s="1" t="s">
        <v>46</v>
      </c>
      <c r="AC1853" s="5">
        <v>1866</v>
      </c>
      <c r="AD1853" s="1" t="s">
        <v>4416</v>
      </c>
      <c r="AE1853" s="1" t="str">
        <f t="shared" si="137"/>
        <v>7873 CT1C</v>
      </c>
      <c r="AF1853" s="14">
        <f>AF1851</f>
        <v>248.66666666666669</v>
      </c>
      <c r="AG1853" s="1" t="str">
        <f t="shared" si="136"/>
        <v>Y</v>
      </c>
    </row>
    <row r="1854" spans="1:33" x14ac:dyDescent="0.2">
      <c r="A1854" s="1" t="s">
        <v>304</v>
      </c>
      <c r="B1854" s="1" t="s">
        <v>4412</v>
      </c>
      <c r="C1854" s="1">
        <v>7873</v>
      </c>
      <c r="D1854" s="1" t="s">
        <v>1052</v>
      </c>
      <c r="F1854" s="1">
        <v>2023</v>
      </c>
      <c r="G1854" s="1" t="s">
        <v>247</v>
      </c>
      <c r="H1854" s="1">
        <v>602607</v>
      </c>
      <c r="I1854" s="1">
        <v>4</v>
      </c>
      <c r="J1854" s="1" t="s">
        <v>796</v>
      </c>
      <c r="K1854" s="1" t="s">
        <v>845</v>
      </c>
      <c r="L1854" s="1" t="s">
        <v>846</v>
      </c>
      <c r="M1854" s="1">
        <v>57</v>
      </c>
      <c r="N1854" s="1" t="s">
        <v>39</v>
      </c>
      <c r="O1854" s="1">
        <v>27.9072</v>
      </c>
      <c r="P1854" s="1">
        <v>-82.423100000000005</v>
      </c>
      <c r="Q1854" s="1" t="s">
        <v>847</v>
      </c>
      <c r="R1854" s="1" t="s">
        <v>41</v>
      </c>
      <c r="T1854" s="1" t="s">
        <v>71</v>
      </c>
      <c r="U1854" s="1" t="s">
        <v>44</v>
      </c>
      <c r="X1854" s="1" t="s">
        <v>64</v>
      </c>
      <c r="AA1854" s="3">
        <v>37880</v>
      </c>
      <c r="AB1854" s="1" t="s">
        <v>46</v>
      </c>
      <c r="AC1854" s="5">
        <v>1842</v>
      </c>
      <c r="AD1854" s="1" t="s">
        <v>4417</v>
      </c>
      <c r="AE1854" s="1" t="str">
        <f t="shared" si="137"/>
        <v>7873 CT2A</v>
      </c>
      <c r="AF1854" s="14">
        <f>MID(AD1854,FIND("(",AD1854)+1,FIND(")",AD1854)-FIND("(",AD1854)-1)+414/4</f>
        <v>272.5</v>
      </c>
      <c r="AG1854" s="1" t="str">
        <f t="shared" si="136"/>
        <v>Y</v>
      </c>
    </row>
    <row r="1855" spans="1:33" x14ac:dyDescent="0.2">
      <c r="A1855" s="1" t="s">
        <v>304</v>
      </c>
      <c r="B1855" s="1" t="s">
        <v>4412</v>
      </c>
      <c r="C1855" s="1">
        <v>7873</v>
      </c>
      <c r="D1855" s="1" t="s">
        <v>1054</v>
      </c>
      <c r="F1855" s="1">
        <v>2023</v>
      </c>
      <c r="G1855" s="1" t="s">
        <v>247</v>
      </c>
      <c r="H1855" s="1">
        <v>602607</v>
      </c>
      <c r="I1855" s="1">
        <v>4</v>
      </c>
      <c r="J1855" s="1" t="s">
        <v>796</v>
      </c>
      <c r="K1855" s="1" t="s">
        <v>845</v>
      </c>
      <c r="L1855" s="1" t="s">
        <v>846</v>
      </c>
      <c r="M1855" s="1">
        <v>57</v>
      </c>
      <c r="N1855" s="1" t="s">
        <v>39</v>
      </c>
      <c r="O1855" s="1">
        <v>27.9072</v>
      </c>
      <c r="P1855" s="1">
        <v>-82.423100000000005</v>
      </c>
      <c r="Q1855" s="1" t="s">
        <v>847</v>
      </c>
      <c r="R1855" s="1" t="s">
        <v>41</v>
      </c>
      <c r="T1855" s="1" t="s">
        <v>71</v>
      </c>
      <c r="U1855" s="1" t="s">
        <v>44</v>
      </c>
      <c r="X1855" s="1" t="s">
        <v>64</v>
      </c>
      <c r="AA1855" s="3">
        <v>37869</v>
      </c>
      <c r="AB1855" s="1" t="s">
        <v>46</v>
      </c>
      <c r="AC1855" s="5">
        <v>1842</v>
      </c>
      <c r="AD1855" s="1" t="s">
        <v>4418</v>
      </c>
      <c r="AE1855" s="1" t="str">
        <f t="shared" si="137"/>
        <v>7873 CT2B</v>
      </c>
      <c r="AF1855" s="14">
        <f>AF1854</f>
        <v>272.5</v>
      </c>
      <c r="AG1855" s="1" t="str">
        <f t="shared" si="136"/>
        <v>Y</v>
      </c>
    </row>
    <row r="1856" spans="1:33" x14ac:dyDescent="0.2">
      <c r="A1856" s="1" t="s">
        <v>304</v>
      </c>
      <c r="B1856" s="1" t="s">
        <v>4412</v>
      </c>
      <c r="C1856" s="1">
        <v>7873</v>
      </c>
      <c r="D1856" s="1" t="s">
        <v>4419</v>
      </c>
      <c r="F1856" s="1">
        <v>2023</v>
      </c>
      <c r="G1856" s="1" t="s">
        <v>247</v>
      </c>
      <c r="H1856" s="1">
        <v>602607</v>
      </c>
      <c r="I1856" s="1">
        <v>4</v>
      </c>
      <c r="J1856" s="1" t="s">
        <v>796</v>
      </c>
      <c r="K1856" s="1" t="s">
        <v>845</v>
      </c>
      <c r="L1856" s="1" t="s">
        <v>846</v>
      </c>
      <c r="M1856" s="1">
        <v>57</v>
      </c>
      <c r="N1856" s="1" t="s">
        <v>39</v>
      </c>
      <c r="O1856" s="1">
        <v>27.9072</v>
      </c>
      <c r="P1856" s="1">
        <v>-82.423100000000005</v>
      </c>
      <c r="Q1856" s="1" t="s">
        <v>847</v>
      </c>
      <c r="R1856" s="1" t="s">
        <v>41</v>
      </c>
      <c r="T1856" s="1" t="s">
        <v>71</v>
      </c>
      <c r="U1856" s="1" t="s">
        <v>44</v>
      </c>
      <c r="X1856" s="1" t="s">
        <v>64</v>
      </c>
      <c r="AA1856" s="3">
        <v>37944</v>
      </c>
      <c r="AB1856" s="1" t="s">
        <v>46</v>
      </c>
      <c r="AC1856" s="5">
        <v>1842</v>
      </c>
      <c r="AD1856" s="1" t="s">
        <v>4420</v>
      </c>
      <c r="AE1856" s="1" t="str">
        <f t="shared" si="137"/>
        <v>7873 CT2C</v>
      </c>
      <c r="AF1856" s="14">
        <f>AF1854</f>
        <v>272.5</v>
      </c>
      <c r="AG1856" s="1" t="str">
        <f t="shared" si="136"/>
        <v>Y</v>
      </c>
    </row>
    <row r="1857" spans="1:33" x14ac:dyDescent="0.2">
      <c r="A1857" s="1" t="s">
        <v>304</v>
      </c>
      <c r="B1857" s="1" t="s">
        <v>4412</v>
      </c>
      <c r="C1857" s="1">
        <v>7873</v>
      </c>
      <c r="D1857" s="1" t="s">
        <v>4421</v>
      </c>
      <c r="F1857" s="1">
        <v>2023</v>
      </c>
      <c r="G1857" s="1" t="s">
        <v>247</v>
      </c>
      <c r="H1857" s="1">
        <v>602607</v>
      </c>
      <c r="I1857" s="1">
        <v>4</v>
      </c>
      <c r="J1857" s="1" t="s">
        <v>796</v>
      </c>
      <c r="K1857" s="1" t="s">
        <v>845</v>
      </c>
      <c r="L1857" s="1" t="s">
        <v>846</v>
      </c>
      <c r="M1857" s="1">
        <v>57</v>
      </c>
      <c r="N1857" s="1" t="s">
        <v>39</v>
      </c>
      <c r="O1857" s="1">
        <v>27.9072</v>
      </c>
      <c r="P1857" s="1">
        <v>-82.423100000000005</v>
      </c>
      <c r="Q1857" s="1" t="s">
        <v>847</v>
      </c>
      <c r="R1857" s="1" t="s">
        <v>41</v>
      </c>
      <c r="T1857" s="1" t="s">
        <v>71</v>
      </c>
      <c r="U1857" s="1" t="s">
        <v>44</v>
      </c>
      <c r="X1857" s="1" t="s">
        <v>64</v>
      </c>
      <c r="AA1857" s="3">
        <v>37943</v>
      </c>
      <c r="AB1857" s="1" t="s">
        <v>46</v>
      </c>
      <c r="AC1857" s="5">
        <v>1842</v>
      </c>
      <c r="AD1857" s="1" t="s">
        <v>4422</v>
      </c>
      <c r="AE1857" s="1" t="str">
        <f t="shared" si="137"/>
        <v>7873 CT2D</v>
      </c>
      <c r="AF1857" s="14">
        <f>AF1854</f>
        <v>272.5</v>
      </c>
      <c r="AG1857" s="1" t="str">
        <f t="shared" si="136"/>
        <v>Y</v>
      </c>
    </row>
    <row r="1858" spans="1:33" x14ac:dyDescent="0.2">
      <c r="A1858" s="1" t="s">
        <v>304</v>
      </c>
      <c r="B1858" s="1" t="s">
        <v>4412</v>
      </c>
      <c r="C1858" s="1">
        <v>7873</v>
      </c>
      <c r="D1858" s="1" t="s">
        <v>4423</v>
      </c>
      <c r="F1858" s="1">
        <v>2023</v>
      </c>
      <c r="G1858" s="1" t="s">
        <v>247</v>
      </c>
      <c r="H1858" s="1">
        <v>602607</v>
      </c>
      <c r="I1858" s="1">
        <v>4</v>
      </c>
      <c r="J1858" s="1" t="s">
        <v>796</v>
      </c>
      <c r="K1858" s="1" t="s">
        <v>845</v>
      </c>
      <c r="L1858" s="1" t="s">
        <v>846</v>
      </c>
      <c r="M1858" s="1">
        <v>57</v>
      </c>
      <c r="N1858" s="1" t="s">
        <v>39</v>
      </c>
      <c r="O1858" s="1">
        <v>27.9072</v>
      </c>
      <c r="P1858" s="1">
        <v>-82.423100000000005</v>
      </c>
      <c r="Q1858" s="1" t="s">
        <v>847</v>
      </c>
      <c r="R1858" s="1" t="s">
        <v>41</v>
      </c>
      <c r="T1858" s="1" t="s">
        <v>93</v>
      </c>
      <c r="U1858" s="1" t="s">
        <v>44</v>
      </c>
      <c r="X1858" s="1" t="s">
        <v>95</v>
      </c>
      <c r="AA1858" s="3">
        <v>39993</v>
      </c>
      <c r="AB1858" s="1" t="s">
        <v>46</v>
      </c>
      <c r="AC1858" s="5">
        <v>342.7</v>
      </c>
      <c r="AD1858" s="1" t="s">
        <v>4424</v>
      </c>
      <c r="AE1858" s="1" t="str">
        <f t="shared" si="137"/>
        <v>7873 CT3A</v>
      </c>
      <c r="AF1858" s="5" t="str">
        <f t="shared" ref="AF1858:AF1865" si="140">MID(AD1858,FIND("(",AD1858)+1,FIND(")",AD1858)-FIND("(",AD1858)-1)</f>
        <v>62</v>
      </c>
      <c r="AG1858" s="1" t="str">
        <f t="shared" ref="AG1858:AG1921" si="141">IF(ISNUMBER(SEARCH("selective", X1858)), "Y", "")</f>
        <v/>
      </c>
    </row>
    <row r="1859" spans="1:33" x14ac:dyDescent="0.2">
      <c r="A1859" s="1" t="s">
        <v>304</v>
      </c>
      <c r="B1859" s="1" t="s">
        <v>4412</v>
      </c>
      <c r="C1859" s="1">
        <v>7873</v>
      </c>
      <c r="D1859" s="1" t="s">
        <v>4425</v>
      </c>
      <c r="F1859" s="1">
        <v>2023</v>
      </c>
      <c r="G1859" s="1" t="s">
        <v>247</v>
      </c>
      <c r="H1859" s="1">
        <v>602607</v>
      </c>
      <c r="I1859" s="1">
        <v>4</v>
      </c>
      <c r="J1859" s="1" t="s">
        <v>796</v>
      </c>
      <c r="K1859" s="1" t="s">
        <v>845</v>
      </c>
      <c r="L1859" s="1" t="s">
        <v>846</v>
      </c>
      <c r="M1859" s="1">
        <v>57</v>
      </c>
      <c r="N1859" s="1" t="s">
        <v>39</v>
      </c>
      <c r="O1859" s="1">
        <v>27.9072</v>
      </c>
      <c r="P1859" s="1">
        <v>-82.423100000000005</v>
      </c>
      <c r="Q1859" s="1" t="s">
        <v>847</v>
      </c>
      <c r="R1859" s="1" t="s">
        <v>41</v>
      </c>
      <c r="T1859" s="1" t="s">
        <v>93</v>
      </c>
      <c r="U1859" s="1" t="s">
        <v>44</v>
      </c>
      <c r="X1859" s="1" t="s">
        <v>95</v>
      </c>
      <c r="AA1859" s="3">
        <v>39993</v>
      </c>
      <c r="AB1859" s="1" t="s">
        <v>46</v>
      </c>
      <c r="AC1859" s="5">
        <v>342.7</v>
      </c>
      <c r="AD1859" s="1" t="s">
        <v>4424</v>
      </c>
      <c r="AE1859" s="1" t="str">
        <f t="shared" ref="AE1859:AE1922" si="142">C1859&amp;" "&amp;D1859</f>
        <v>7873 CT3B</v>
      </c>
      <c r="AF1859" s="5" t="str">
        <f t="shared" si="140"/>
        <v>62</v>
      </c>
      <c r="AG1859" s="1" t="str">
        <f t="shared" si="141"/>
        <v/>
      </c>
    </row>
    <row r="1860" spans="1:33" x14ac:dyDescent="0.2">
      <c r="A1860" s="1" t="s">
        <v>304</v>
      </c>
      <c r="B1860" s="1" t="s">
        <v>4412</v>
      </c>
      <c r="C1860" s="1">
        <v>7873</v>
      </c>
      <c r="D1860" s="1" t="s">
        <v>862</v>
      </c>
      <c r="F1860" s="1">
        <v>2023</v>
      </c>
      <c r="G1860" s="1" t="s">
        <v>247</v>
      </c>
      <c r="H1860" s="1">
        <v>602607</v>
      </c>
      <c r="I1860" s="1">
        <v>4</v>
      </c>
      <c r="J1860" s="1" t="s">
        <v>796</v>
      </c>
      <c r="K1860" s="1" t="s">
        <v>845</v>
      </c>
      <c r="L1860" s="1" t="s">
        <v>846</v>
      </c>
      <c r="M1860" s="1">
        <v>57</v>
      </c>
      <c r="N1860" s="1" t="s">
        <v>39</v>
      </c>
      <c r="O1860" s="1">
        <v>27.9072</v>
      </c>
      <c r="P1860" s="1">
        <v>-82.423100000000005</v>
      </c>
      <c r="Q1860" s="1" t="s">
        <v>847</v>
      </c>
      <c r="R1860" s="1" t="s">
        <v>41</v>
      </c>
      <c r="T1860" s="1" t="s">
        <v>93</v>
      </c>
      <c r="U1860" s="1" t="s">
        <v>44</v>
      </c>
      <c r="X1860" s="1" t="s">
        <v>95</v>
      </c>
      <c r="AA1860" s="3">
        <v>39989</v>
      </c>
      <c r="AB1860" s="1" t="s">
        <v>46</v>
      </c>
      <c r="AC1860" s="5">
        <v>342.7</v>
      </c>
      <c r="AD1860" s="1" t="s">
        <v>4426</v>
      </c>
      <c r="AE1860" s="1" t="str">
        <f t="shared" si="142"/>
        <v>7873 CT4A</v>
      </c>
      <c r="AF1860" s="5" t="str">
        <f t="shared" si="140"/>
        <v>62</v>
      </c>
      <c r="AG1860" s="1" t="str">
        <f t="shared" si="141"/>
        <v/>
      </c>
    </row>
    <row r="1861" spans="1:33" x14ac:dyDescent="0.2">
      <c r="A1861" s="1" t="s">
        <v>304</v>
      </c>
      <c r="B1861" s="1" t="s">
        <v>4412</v>
      </c>
      <c r="C1861" s="1">
        <v>7873</v>
      </c>
      <c r="D1861" s="1" t="s">
        <v>864</v>
      </c>
      <c r="F1861" s="1">
        <v>2023</v>
      </c>
      <c r="G1861" s="1" t="s">
        <v>247</v>
      </c>
      <c r="H1861" s="1">
        <v>602607</v>
      </c>
      <c r="I1861" s="1">
        <v>4</v>
      </c>
      <c r="J1861" s="1" t="s">
        <v>796</v>
      </c>
      <c r="K1861" s="1" t="s">
        <v>845</v>
      </c>
      <c r="L1861" s="1" t="s">
        <v>846</v>
      </c>
      <c r="M1861" s="1">
        <v>57</v>
      </c>
      <c r="N1861" s="1" t="s">
        <v>39</v>
      </c>
      <c r="O1861" s="1">
        <v>27.9072</v>
      </c>
      <c r="P1861" s="1">
        <v>-82.423100000000005</v>
      </c>
      <c r="Q1861" s="1" t="s">
        <v>847</v>
      </c>
      <c r="R1861" s="1" t="s">
        <v>41</v>
      </c>
      <c r="T1861" s="1" t="s">
        <v>93</v>
      </c>
      <c r="U1861" s="1" t="s">
        <v>44</v>
      </c>
      <c r="X1861" s="1" t="s">
        <v>95</v>
      </c>
      <c r="AA1861" s="3">
        <v>39989</v>
      </c>
      <c r="AB1861" s="1" t="s">
        <v>46</v>
      </c>
      <c r="AC1861" s="5">
        <v>342.7</v>
      </c>
      <c r="AD1861" s="1" t="s">
        <v>4426</v>
      </c>
      <c r="AE1861" s="1" t="str">
        <f t="shared" si="142"/>
        <v>7873 CT4B</v>
      </c>
      <c r="AF1861" s="5" t="str">
        <f t="shared" si="140"/>
        <v>62</v>
      </c>
      <c r="AG1861" s="1" t="str">
        <f t="shared" si="141"/>
        <v/>
      </c>
    </row>
    <row r="1862" spans="1:33" x14ac:dyDescent="0.2">
      <c r="A1862" s="1" t="s">
        <v>304</v>
      </c>
      <c r="B1862" s="1" t="s">
        <v>4412</v>
      </c>
      <c r="C1862" s="1">
        <v>7873</v>
      </c>
      <c r="D1862" s="1" t="s">
        <v>1900</v>
      </c>
      <c r="F1862" s="1">
        <v>2023</v>
      </c>
      <c r="G1862" s="1" t="s">
        <v>247</v>
      </c>
      <c r="H1862" s="1">
        <v>602607</v>
      </c>
      <c r="I1862" s="1">
        <v>4</v>
      </c>
      <c r="J1862" s="1" t="s">
        <v>796</v>
      </c>
      <c r="K1862" s="1" t="s">
        <v>845</v>
      </c>
      <c r="L1862" s="1" t="s">
        <v>846</v>
      </c>
      <c r="M1862" s="1">
        <v>57</v>
      </c>
      <c r="N1862" s="1" t="s">
        <v>39</v>
      </c>
      <c r="O1862" s="1">
        <v>27.9072</v>
      </c>
      <c r="P1862" s="1">
        <v>-82.423100000000005</v>
      </c>
      <c r="Q1862" s="1" t="s">
        <v>847</v>
      </c>
      <c r="R1862" s="1" t="s">
        <v>41</v>
      </c>
      <c r="T1862" s="1" t="s">
        <v>93</v>
      </c>
      <c r="U1862" s="1" t="s">
        <v>44</v>
      </c>
      <c r="X1862" s="1" t="s">
        <v>95</v>
      </c>
      <c r="AA1862" s="3">
        <v>39905</v>
      </c>
      <c r="AB1862" s="1" t="s">
        <v>46</v>
      </c>
      <c r="AC1862" s="5">
        <v>342.7</v>
      </c>
      <c r="AD1862" s="1" t="s">
        <v>4427</v>
      </c>
      <c r="AE1862" s="1" t="str">
        <f t="shared" si="142"/>
        <v>7873 CT5A</v>
      </c>
      <c r="AF1862" s="5" t="str">
        <f t="shared" si="140"/>
        <v>62</v>
      </c>
      <c r="AG1862" s="1" t="str">
        <f t="shared" si="141"/>
        <v/>
      </c>
    </row>
    <row r="1863" spans="1:33" x14ac:dyDescent="0.2">
      <c r="A1863" s="1" t="s">
        <v>304</v>
      </c>
      <c r="B1863" s="1" t="s">
        <v>4412</v>
      </c>
      <c r="C1863" s="1">
        <v>7873</v>
      </c>
      <c r="D1863" s="1" t="s">
        <v>1902</v>
      </c>
      <c r="F1863" s="1">
        <v>2023</v>
      </c>
      <c r="G1863" s="1" t="s">
        <v>247</v>
      </c>
      <c r="H1863" s="1">
        <v>602607</v>
      </c>
      <c r="I1863" s="1">
        <v>4</v>
      </c>
      <c r="J1863" s="1" t="s">
        <v>796</v>
      </c>
      <c r="K1863" s="1" t="s">
        <v>845</v>
      </c>
      <c r="L1863" s="1" t="s">
        <v>846</v>
      </c>
      <c r="M1863" s="1">
        <v>57</v>
      </c>
      <c r="N1863" s="1" t="s">
        <v>39</v>
      </c>
      <c r="O1863" s="1">
        <v>27.9072</v>
      </c>
      <c r="P1863" s="1">
        <v>-82.423100000000005</v>
      </c>
      <c r="Q1863" s="1" t="s">
        <v>847</v>
      </c>
      <c r="R1863" s="1" t="s">
        <v>41</v>
      </c>
      <c r="T1863" s="1" t="s">
        <v>93</v>
      </c>
      <c r="U1863" s="1" t="s">
        <v>44</v>
      </c>
      <c r="X1863" s="1" t="s">
        <v>95</v>
      </c>
      <c r="AA1863" s="3">
        <v>39905</v>
      </c>
      <c r="AB1863" s="1" t="s">
        <v>46</v>
      </c>
      <c r="AC1863" s="5">
        <v>342.7</v>
      </c>
      <c r="AD1863" s="1" t="s">
        <v>4427</v>
      </c>
      <c r="AE1863" s="1" t="str">
        <f t="shared" si="142"/>
        <v>7873 CT5B</v>
      </c>
      <c r="AF1863" s="5" t="str">
        <f t="shared" si="140"/>
        <v>62</v>
      </c>
      <c r="AG1863" s="1" t="str">
        <f t="shared" si="141"/>
        <v/>
      </c>
    </row>
    <row r="1864" spans="1:33" x14ac:dyDescent="0.2">
      <c r="A1864" s="1" t="s">
        <v>304</v>
      </c>
      <c r="B1864" s="1" t="s">
        <v>4412</v>
      </c>
      <c r="C1864" s="1">
        <v>7873</v>
      </c>
      <c r="D1864" s="1" t="s">
        <v>4428</v>
      </c>
      <c r="F1864" s="1">
        <v>2023</v>
      </c>
      <c r="G1864" s="1" t="s">
        <v>247</v>
      </c>
      <c r="H1864" s="1">
        <v>602607</v>
      </c>
      <c r="I1864" s="1">
        <v>4</v>
      </c>
      <c r="J1864" s="1" t="s">
        <v>796</v>
      </c>
      <c r="K1864" s="1" t="s">
        <v>845</v>
      </c>
      <c r="L1864" s="1" t="s">
        <v>846</v>
      </c>
      <c r="M1864" s="1">
        <v>57</v>
      </c>
      <c r="N1864" s="1" t="s">
        <v>39</v>
      </c>
      <c r="O1864" s="1">
        <v>27.9072</v>
      </c>
      <c r="P1864" s="1">
        <v>-82.423100000000005</v>
      </c>
      <c r="Q1864" s="1" t="s">
        <v>847</v>
      </c>
      <c r="R1864" s="1" t="s">
        <v>41</v>
      </c>
      <c r="T1864" s="1" t="s">
        <v>93</v>
      </c>
      <c r="U1864" s="1" t="s">
        <v>44</v>
      </c>
      <c r="X1864" s="1" t="s">
        <v>95</v>
      </c>
      <c r="AA1864" s="3">
        <v>39897</v>
      </c>
      <c r="AB1864" s="1" t="s">
        <v>46</v>
      </c>
      <c r="AC1864" s="5">
        <v>342.7</v>
      </c>
      <c r="AD1864" s="1" t="s">
        <v>4429</v>
      </c>
      <c r="AE1864" s="1" t="str">
        <f t="shared" si="142"/>
        <v>7873 CT6A</v>
      </c>
      <c r="AF1864" s="5" t="str">
        <f t="shared" si="140"/>
        <v>62</v>
      </c>
      <c r="AG1864" s="1" t="str">
        <f t="shared" si="141"/>
        <v/>
      </c>
    </row>
    <row r="1865" spans="1:33" x14ac:dyDescent="0.2">
      <c r="A1865" s="1" t="s">
        <v>304</v>
      </c>
      <c r="B1865" s="1" t="s">
        <v>4412</v>
      </c>
      <c r="C1865" s="1">
        <v>7873</v>
      </c>
      <c r="D1865" s="1" t="s">
        <v>4430</v>
      </c>
      <c r="F1865" s="1">
        <v>2023</v>
      </c>
      <c r="G1865" s="1" t="s">
        <v>247</v>
      </c>
      <c r="H1865" s="1">
        <v>602607</v>
      </c>
      <c r="I1865" s="1">
        <v>4</v>
      </c>
      <c r="J1865" s="1" t="s">
        <v>796</v>
      </c>
      <c r="K1865" s="1" t="s">
        <v>845</v>
      </c>
      <c r="L1865" s="1" t="s">
        <v>846</v>
      </c>
      <c r="M1865" s="1">
        <v>57</v>
      </c>
      <c r="N1865" s="1" t="s">
        <v>39</v>
      </c>
      <c r="O1865" s="1">
        <v>27.9072</v>
      </c>
      <c r="P1865" s="1">
        <v>-82.423100000000005</v>
      </c>
      <c r="Q1865" s="1" t="s">
        <v>847</v>
      </c>
      <c r="R1865" s="1" t="s">
        <v>41</v>
      </c>
      <c r="T1865" s="1" t="s">
        <v>93</v>
      </c>
      <c r="U1865" s="1" t="s">
        <v>44</v>
      </c>
      <c r="X1865" s="1" t="s">
        <v>95</v>
      </c>
      <c r="AA1865" s="3">
        <v>39897</v>
      </c>
      <c r="AB1865" s="1" t="s">
        <v>46</v>
      </c>
      <c r="AC1865" s="5">
        <v>342.7</v>
      </c>
      <c r="AD1865" s="1" t="s">
        <v>4429</v>
      </c>
      <c r="AE1865" s="1" t="str">
        <f t="shared" si="142"/>
        <v>7873 CT6B</v>
      </c>
      <c r="AF1865" s="5" t="str">
        <f t="shared" si="140"/>
        <v>62</v>
      </c>
      <c r="AG1865" s="1" t="str">
        <f t="shared" si="141"/>
        <v/>
      </c>
    </row>
    <row r="1866" spans="1:33" x14ac:dyDescent="0.2">
      <c r="A1866" s="1" t="s">
        <v>203</v>
      </c>
      <c r="B1866" s="1" t="s">
        <v>4431</v>
      </c>
      <c r="C1866" s="1">
        <v>7887</v>
      </c>
      <c r="D1866" s="1" t="s">
        <v>4432</v>
      </c>
      <c r="F1866" s="1">
        <v>2023</v>
      </c>
      <c r="G1866" s="1" t="s">
        <v>1666</v>
      </c>
      <c r="H1866" s="1">
        <v>608164</v>
      </c>
      <c r="I1866" s="1">
        <v>7</v>
      </c>
      <c r="K1866" s="1" t="s">
        <v>1865</v>
      </c>
      <c r="L1866" s="1" t="s">
        <v>1866</v>
      </c>
      <c r="M1866" s="1">
        <v>109</v>
      </c>
      <c r="N1866" s="1" t="s">
        <v>39</v>
      </c>
      <c r="O1866" s="1">
        <v>40.910800000000002</v>
      </c>
      <c r="P1866" s="1">
        <v>-96.614699999999999</v>
      </c>
      <c r="Q1866" s="1" t="s">
        <v>1867</v>
      </c>
      <c r="R1866" s="1" t="s">
        <v>41</v>
      </c>
      <c r="T1866" s="1" t="s">
        <v>71</v>
      </c>
      <c r="U1866" s="1" t="s">
        <v>44</v>
      </c>
      <c r="V1866" s="1" t="s">
        <v>94</v>
      </c>
      <c r="X1866" s="1" t="s">
        <v>176</v>
      </c>
      <c r="AA1866" s="3">
        <v>37840</v>
      </c>
      <c r="AB1866" s="1" t="s">
        <v>46</v>
      </c>
      <c r="AC1866" s="5">
        <v>461</v>
      </c>
      <c r="AD1866" s="1" t="s">
        <v>4433</v>
      </c>
      <c r="AE1866" s="1" t="str">
        <f t="shared" si="142"/>
        <v>7887 SVGS2</v>
      </c>
      <c r="AF1866" s="14">
        <f>MID(AD1866,FIND("(",AD1866)+1,FIND(")",AD1866)-FIND("(",AD1866)-1)+27/2</f>
        <v>58.5</v>
      </c>
      <c r="AG1866" s="1" t="str">
        <f t="shared" si="141"/>
        <v>Y</v>
      </c>
    </row>
    <row r="1867" spans="1:33" x14ac:dyDescent="0.2">
      <c r="A1867" s="1" t="s">
        <v>203</v>
      </c>
      <c r="B1867" s="1" t="s">
        <v>4431</v>
      </c>
      <c r="C1867" s="1">
        <v>7887</v>
      </c>
      <c r="D1867" s="1" t="s">
        <v>4434</v>
      </c>
      <c r="F1867" s="1">
        <v>2023</v>
      </c>
      <c r="G1867" s="1" t="s">
        <v>1666</v>
      </c>
      <c r="H1867" s="1">
        <v>608164</v>
      </c>
      <c r="I1867" s="1">
        <v>7</v>
      </c>
      <c r="K1867" s="1" t="s">
        <v>1865</v>
      </c>
      <c r="L1867" s="1" t="s">
        <v>1866</v>
      </c>
      <c r="M1867" s="1">
        <v>109</v>
      </c>
      <c r="N1867" s="1" t="s">
        <v>39</v>
      </c>
      <c r="O1867" s="1">
        <v>40.910800000000002</v>
      </c>
      <c r="P1867" s="1">
        <v>-96.614699999999999</v>
      </c>
      <c r="Q1867" s="1" t="s">
        <v>1867</v>
      </c>
      <c r="R1867" s="1" t="s">
        <v>41</v>
      </c>
      <c r="T1867" s="1" t="s">
        <v>71</v>
      </c>
      <c r="U1867" s="1" t="s">
        <v>44</v>
      </c>
      <c r="V1867" s="1" t="s">
        <v>94</v>
      </c>
      <c r="X1867" s="1" t="s">
        <v>176</v>
      </c>
      <c r="AA1867" s="3">
        <v>37838</v>
      </c>
      <c r="AB1867" s="1" t="s">
        <v>46</v>
      </c>
      <c r="AC1867" s="5">
        <v>461</v>
      </c>
      <c r="AD1867" s="1" t="s">
        <v>4435</v>
      </c>
      <c r="AE1867" s="1" t="str">
        <f t="shared" si="142"/>
        <v>7887 SVGS3</v>
      </c>
      <c r="AF1867" s="14">
        <f>AF1866</f>
        <v>58.5</v>
      </c>
      <c r="AG1867" s="1" t="str">
        <f t="shared" si="141"/>
        <v>Y</v>
      </c>
    </row>
    <row r="1868" spans="1:33" x14ac:dyDescent="0.2">
      <c r="A1868" s="1" t="s">
        <v>203</v>
      </c>
      <c r="B1868" s="1" t="s">
        <v>4431</v>
      </c>
      <c r="C1868" s="1">
        <v>7887</v>
      </c>
      <c r="D1868" s="1" t="s">
        <v>4436</v>
      </c>
      <c r="F1868" s="1">
        <v>2023</v>
      </c>
      <c r="G1868" s="1" t="s">
        <v>1666</v>
      </c>
      <c r="H1868" s="1">
        <v>608164</v>
      </c>
      <c r="I1868" s="1">
        <v>7</v>
      </c>
      <c r="K1868" s="1" t="s">
        <v>1865</v>
      </c>
      <c r="L1868" s="1" t="s">
        <v>1866</v>
      </c>
      <c r="M1868" s="1">
        <v>109</v>
      </c>
      <c r="N1868" s="1" t="s">
        <v>39</v>
      </c>
      <c r="O1868" s="1">
        <v>40.910800000000002</v>
      </c>
      <c r="P1868" s="1">
        <v>-96.614699999999999</v>
      </c>
      <c r="Q1868" s="1" t="s">
        <v>1867</v>
      </c>
      <c r="R1868" s="1" t="s">
        <v>41</v>
      </c>
      <c r="T1868" s="1" t="s">
        <v>93</v>
      </c>
      <c r="U1868" s="1" t="s">
        <v>44</v>
      </c>
      <c r="V1868" s="1" t="s">
        <v>94</v>
      </c>
      <c r="X1868" s="1" t="s">
        <v>176</v>
      </c>
      <c r="AA1868" s="3">
        <v>37844</v>
      </c>
      <c r="AB1868" s="1" t="s">
        <v>46</v>
      </c>
      <c r="AC1868" s="5">
        <v>439</v>
      </c>
      <c r="AD1868" s="1" t="s">
        <v>2366</v>
      </c>
      <c r="AE1868" s="1" t="str">
        <f t="shared" si="142"/>
        <v>7887 SVGS4</v>
      </c>
      <c r="AF1868" s="5" t="str">
        <f>MID(AD1868,FIND("(",AD1868)+1,FIND(")",AD1868)-FIND("(",AD1868)-1)</f>
        <v>45</v>
      </c>
      <c r="AG1868" s="1" t="str">
        <f t="shared" si="141"/>
        <v>Y</v>
      </c>
    </row>
    <row r="1869" spans="1:33" x14ac:dyDescent="0.2">
      <c r="A1869" s="1" t="s">
        <v>32</v>
      </c>
      <c r="B1869" s="1" t="s">
        <v>4437</v>
      </c>
      <c r="C1869" s="1">
        <v>7897</v>
      </c>
      <c r="D1869" s="1" t="s">
        <v>372</v>
      </c>
      <c r="F1869" s="1">
        <v>2023</v>
      </c>
      <c r="G1869" s="1" t="s">
        <v>35</v>
      </c>
      <c r="H1869" s="1" t="s">
        <v>4438</v>
      </c>
      <c r="I1869" s="1">
        <v>4</v>
      </c>
      <c r="K1869" s="1" t="s">
        <v>4439</v>
      </c>
      <c r="L1869" s="1" t="s">
        <v>4440</v>
      </c>
      <c r="M1869" s="1">
        <v>1</v>
      </c>
      <c r="N1869" s="1" t="s">
        <v>39</v>
      </c>
      <c r="O1869" s="1">
        <v>32.381399999999999</v>
      </c>
      <c r="P1869" s="1">
        <v>-86.573599999999999</v>
      </c>
      <c r="Q1869" s="1" t="s">
        <v>4441</v>
      </c>
      <c r="R1869" s="1" t="s">
        <v>41</v>
      </c>
      <c r="T1869" s="1" t="s">
        <v>71</v>
      </c>
      <c r="U1869" s="1" t="s">
        <v>44</v>
      </c>
      <c r="X1869" s="1" t="s">
        <v>64</v>
      </c>
      <c r="AA1869" s="3">
        <v>37657</v>
      </c>
      <c r="AB1869" s="1" t="s">
        <v>46</v>
      </c>
      <c r="AC1869" s="5">
        <v>2600</v>
      </c>
      <c r="AD1869" s="1" t="s">
        <v>4442</v>
      </c>
      <c r="AE1869" s="1" t="str">
        <f t="shared" si="142"/>
        <v>7897 1A</v>
      </c>
      <c r="AF1869" s="14">
        <f>AF1870</f>
        <v>345.2</v>
      </c>
      <c r="AG1869" s="1" t="str">
        <f t="shared" si="141"/>
        <v>Y</v>
      </c>
    </row>
    <row r="1870" spans="1:33" x14ac:dyDescent="0.2">
      <c r="A1870" s="1" t="s">
        <v>32</v>
      </c>
      <c r="B1870" s="1" t="s">
        <v>4437</v>
      </c>
      <c r="C1870" s="1">
        <v>7897</v>
      </c>
      <c r="D1870" s="1" t="s">
        <v>1199</v>
      </c>
      <c r="F1870" s="1">
        <v>2023</v>
      </c>
      <c r="G1870" s="1" t="s">
        <v>35</v>
      </c>
      <c r="H1870" s="1" t="s">
        <v>4438</v>
      </c>
      <c r="I1870" s="1">
        <v>4</v>
      </c>
      <c r="K1870" s="1" t="s">
        <v>4439</v>
      </c>
      <c r="L1870" s="1" t="s">
        <v>4440</v>
      </c>
      <c r="M1870" s="1">
        <v>1</v>
      </c>
      <c r="N1870" s="1" t="s">
        <v>39</v>
      </c>
      <c r="O1870" s="1">
        <v>32.381399999999999</v>
      </c>
      <c r="P1870" s="1">
        <v>-86.573599999999999</v>
      </c>
      <c r="Q1870" s="1" t="s">
        <v>4441</v>
      </c>
      <c r="R1870" s="1" t="s">
        <v>41</v>
      </c>
      <c r="T1870" s="1" t="s">
        <v>71</v>
      </c>
      <c r="U1870" s="1" t="s">
        <v>44</v>
      </c>
      <c r="X1870" s="1" t="s">
        <v>64</v>
      </c>
      <c r="AA1870" s="3">
        <v>37641</v>
      </c>
      <c r="AB1870" s="1" t="s">
        <v>46</v>
      </c>
      <c r="AC1870" s="5">
        <v>2600</v>
      </c>
      <c r="AD1870" s="1" t="s">
        <v>4443</v>
      </c>
      <c r="AE1870" s="1" t="str">
        <f t="shared" si="142"/>
        <v>7897 1B</v>
      </c>
      <c r="AF1870" s="14">
        <f>MID(AD1870,FIND("(",AD1870)+1,FIND(")",AD1870)-FIND("(",AD1870)-1)+284/2</f>
        <v>345.2</v>
      </c>
      <c r="AG1870" s="1" t="str">
        <f t="shared" si="141"/>
        <v>Y</v>
      </c>
    </row>
    <row r="1871" spans="1:33" x14ac:dyDescent="0.2">
      <c r="A1871" s="1" t="s">
        <v>32</v>
      </c>
      <c r="B1871" s="1" t="s">
        <v>4437</v>
      </c>
      <c r="C1871" s="1">
        <v>7897</v>
      </c>
      <c r="D1871" s="1" t="s">
        <v>377</v>
      </c>
      <c r="F1871" s="1">
        <v>2023</v>
      </c>
      <c r="G1871" s="1" t="s">
        <v>35</v>
      </c>
      <c r="H1871" s="1" t="s">
        <v>4438</v>
      </c>
      <c r="I1871" s="1">
        <v>4</v>
      </c>
      <c r="K1871" s="1" t="s">
        <v>4439</v>
      </c>
      <c r="L1871" s="1" t="s">
        <v>4440</v>
      </c>
      <c r="M1871" s="1">
        <v>1</v>
      </c>
      <c r="N1871" s="1" t="s">
        <v>39</v>
      </c>
      <c r="O1871" s="1">
        <v>32.381399999999999</v>
      </c>
      <c r="P1871" s="1">
        <v>-86.573599999999999</v>
      </c>
      <c r="Q1871" s="1" t="s">
        <v>4441</v>
      </c>
      <c r="R1871" s="1" t="s">
        <v>41</v>
      </c>
      <c r="T1871" s="1" t="s">
        <v>71</v>
      </c>
      <c r="U1871" s="1" t="s">
        <v>44</v>
      </c>
      <c r="X1871" s="1" t="s">
        <v>64</v>
      </c>
      <c r="AA1871" s="3">
        <v>37702</v>
      </c>
      <c r="AB1871" s="1" t="s">
        <v>46</v>
      </c>
      <c r="AC1871" s="5">
        <v>2600</v>
      </c>
      <c r="AD1871" s="1" t="s">
        <v>4444</v>
      </c>
      <c r="AE1871" s="1" t="str">
        <f t="shared" si="142"/>
        <v>7897 2A</v>
      </c>
      <c r="AF1871" s="14">
        <f>AF1872</f>
        <v>344.2</v>
      </c>
      <c r="AG1871" s="1" t="str">
        <f t="shared" si="141"/>
        <v>Y</v>
      </c>
    </row>
    <row r="1872" spans="1:33" x14ac:dyDescent="0.2">
      <c r="A1872" s="1" t="s">
        <v>32</v>
      </c>
      <c r="B1872" s="1" t="s">
        <v>4437</v>
      </c>
      <c r="C1872" s="1">
        <v>7897</v>
      </c>
      <c r="D1872" s="1" t="s">
        <v>1201</v>
      </c>
      <c r="F1872" s="1">
        <v>2023</v>
      </c>
      <c r="G1872" s="1" t="s">
        <v>35</v>
      </c>
      <c r="H1872" s="1" t="s">
        <v>4438</v>
      </c>
      <c r="I1872" s="1">
        <v>4</v>
      </c>
      <c r="K1872" s="1" t="s">
        <v>4439</v>
      </c>
      <c r="L1872" s="1" t="s">
        <v>4440</v>
      </c>
      <c r="M1872" s="1">
        <v>1</v>
      </c>
      <c r="N1872" s="1" t="s">
        <v>39</v>
      </c>
      <c r="O1872" s="1">
        <v>32.381399999999999</v>
      </c>
      <c r="P1872" s="1">
        <v>-86.573599999999999</v>
      </c>
      <c r="Q1872" s="1" t="s">
        <v>4441</v>
      </c>
      <c r="R1872" s="1" t="s">
        <v>41</v>
      </c>
      <c r="T1872" s="1" t="s">
        <v>71</v>
      </c>
      <c r="U1872" s="1" t="s">
        <v>44</v>
      </c>
      <c r="X1872" s="1" t="s">
        <v>64</v>
      </c>
      <c r="AA1872" s="3">
        <v>37703</v>
      </c>
      <c r="AB1872" s="1" t="s">
        <v>46</v>
      </c>
      <c r="AC1872" s="5">
        <v>2600</v>
      </c>
      <c r="AD1872" s="1" t="s">
        <v>4445</v>
      </c>
      <c r="AE1872" s="1" t="str">
        <f t="shared" si="142"/>
        <v>7897 2B</v>
      </c>
      <c r="AF1872" s="14">
        <f>MID(AD1872,FIND("(",AD1872)+1,FIND(")",AD1872)-FIND("(",AD1872)-1)+282/2</f>
        <v>344.2</v>
      </c>
      <c r="AG1872" s="1" t="str">
        <f t="shared" si="141"/>
        <v>Y</v>
      </c>
    </row>
    <row r="1873" spans="1:33" x14ac:dyDescent="0.2">
      <c r="A1873" s="1" t="s">
        <v>383</v>
      </c>
      <c r="B1873" s="1" t="s">
        <v>4446</v>
      </c>
      <c r="C1873" s="1">
        <v>7900</v>
      </c>
      <c r="D1873" s="1" t="s">
        <v>4447</v>
      </c>
      <c r="F1873" s="1">
        <v>2023</v>
      </c>
      <c r="G1873" s="1" t="s">
        <v>346</v>
      </c>
      <c r="H1873" s="1">
        <v>605338</v>
      </c>
      <c r="I1873" s="1">
        <v>6</v>
      </c>
      <c r="J1873" s="1" t="s">
        <v>387</v>
      </c>
      <c r="K1873" s="1" t="s">
        <v>4448</v>
      </c>
      <c r="L1873" s="1" t="s">
        <v>4449</v>
      </c>
      <c r="M1873" s="1">
        <v>453</v>
      </c>
      <c r="N1873" s="1" t="s">
        <v>39</v>
      </c>
      <c r="O1873" s="1">
        <v>30.209099999999999</v>
      </c>
      <c r="P1873" s="1">
        <v>-97.613900000000001</v>
      </c>
      <c r="Q1873" s="1" t="s">
        <v>4450</v>
      </c>
      <c r="R1873" s="1" t="s">
        <v>41</v>
      </c>
      <c r="T1873" s="1" t="s">
        <v>93</v>
      </c>
      <c r="U1873" s="1" t="s">
        <v>44</v>
      </c>
      <c r="X1873" s="1" t="s">
        <v>176</v>
      </c>
      <c r="AA1873" s="3">
        <v>36951</v>
      </c>
      <c r="AB1873" s="1" t="s">
        <v>46</v>
      </c>
      <c r="AC1873" s="5">
        <v>478</v>
      </c>
      <c r="AD1873" s="1" t="s">
        <v>4451</v>
      </c>
      <c r="AE1873" s="1" t="str">
        <f t="shared" si="142"/>
        <v>7900 SH1</v>
      </c>
      <c r="AF1873" s="5" t="str">
        <f>MID(AD1873,FIND("(",AD1873)+1,FIND(")",AD1873)-FIND("(",AD1873)-1)</f>
        <v>60.5</v>
      </c>
      <c r="AG1873" s="1" t="str">
        <f t="shared" si="141"/>
        <v>Y</v>
      </c>
    </row>
    <row r="1874" spans="1:33" x14ac:dyDescent="0.2">
      <c r="A1874" s="1" t="s">
        <v>383</v>
      </c>
      <c r="B1874" s="1" t="s">
        <v>4446</v>
      </c>
      <c r="C1874" s="1">
        <v>7900</v>
      </c>
      <c r="D1874" s="1" t="s">
        <v>4452</v>
      </c>
      <c r="F1874" s="1">
        <v>2023</v>
      </c>
      <c r="G1874" s="1" t="s">
        <v>346</v>
      </c>
      <c r="H1874" s="1">
        <v>605338</v>
      </c>
      <c r="I1874" s="1">
        <v>6</v>
      </c>
      <c r="J1874" s="1" t="s">
        <v>387</v>
      </c>
      <c r="K1874" s="1" t="s">
        <v>4448</v>
      </c>
      <c r="L1874" s="1" t="s">
        <v>4449</v>
      </c>
      <c r="M1874" s="1">
        <v>453</v>
      </c>
      <c r="N1874" s="1" t="s">
        <v>39</v>
      </c>
      <c r="O1874" s="1">
        <v>30.209099999999999</v>
      </c>
      <c r="P1874" s="1">
        <v>-97.613900000000001</v>
      </c>
      <c r="Q1874" s="1" t="s">
        <v>4450</v>
      </c>
      <c r="R1874" s="1" t="s">
        <v>41</v>
      </c>
      <c r="T1874" s="1" t="s">
        <v>93</v>
      </c>
      <c r="U1874" s="1" t="s">
        <v>44</v>
      </c>
      <c r="X1874" s="1" t="s">
        <v>176</v>
      </c>
      <c r="AA1874" s="3">
        <v>36951</v>
      </c>
      <c r="AB1874" s="1" t="s">
        <v>46</v>
      </c>
      <c r="AC1874" s="5">
        <v>478</v>
      </c>
      <c r="AD1874" s="1" t="s">
        <v>4453</v>
      </c>
      <c r="AE1874" s="1" t="str">
        <f t="shared" si="142"/>
        <v>7900 SH2</v>
      </c>
      <c r="AF1874" s="5" t="str">
        <f>MID(AD1874,FIND("(",AD1874)+1,FIND(")",AD1874)-FIND("(",AD1874)-1)</f>
        <v>60.5</v>
      </c>
      <c r="AG1874" s="1" t="str">
        <f t="shared" si="141"/>
        <v>Y</v>
      </c>
    </row>
    <row r="1875" spans="1:33" x14ac:dyDescent="0.2">
      <c r="A1875" s="1" t="s">
        <v>383</v>
      </c>
      <c r="B1875" s="1" t="s">
        <v>4446</v>
      </c>
      <c r="C1875" s="1">
        <v>7900</v>
      </c>
      <c r="D1875" s="1" t="s">
        <v>4454</v>
      </c>
      <c r="F1875" s="1">
        <v>2023</v>
      </c>
      <c r="G1875" s="1" t="s">
        <v>346</v>
      </c>
      <c r="H1875" s="1">
        <v>605338</v>
      </c>
      <c r="I1875" s="1">
        <v>6</v>
      </c>
      <c r="J1875" s="1" t="s">
        <v>387</v>
      </c>
      <c r="K1875" s="1" t="s">
        <v>4448</v>
      </c>
      <c r="L1875" s="1" t="s">
        <v>4449</v>
      </c>
      <c r="M1875" s="1">
        <v>453</v>
      </c>
      <c r="N1875" s="1" t="s">
        <v>39</v>
      </c>
      <c r="O1875" s="1">
        <v>30.209099999999999</v>
      </c>
      <c r="P1875" s="1">
        <v>-97.613900000000001</v>
      </c>
      <c r="Q1875" s="1" t="s">
        <v>4450</v>
      </c>
      <c r="R1875" s="1" t="s">
        <v>41</v>
      </c>
      <c r="T1875" s="1" t="s">
        <v>93</v>
      </c>
      <c r="U1875" s="1" t="s">
        <v>44</v>
      </c>
      <c r="X1875" s="1" t="s">
        <v>176</v>
      </c>
      <c r="AA1875" s="3">
        <v>36951</v>
      </c>
      <c r="AB1875" s="1" t="s">
        <v>46</v>
      </c>
      <c r="AC1875" s="5">
        <v>478</v>
      </c>
      <c r="AD1875" s="1" t="s">
        <v>4455</v>
      </c>
      <c r="AE1875" s="1" t="str">
        <f t="shared" si="142"/>
        <v>7900 SH3</v>
      </c>
      <c r="AF1875" s="5" t="str">
        <f>MID(AD1875,FIND("(",AD1875)+1,FIND(")",AD1875)-FIND("(",AD1875)-1)</f>
        <v>60.5</v>
      </c>
      <c r="AG1875" s="1" t="str">
        <f t="shared" si="141"/>
        <v>Y</v>
      </c>
    </row>
    <row r="1876" spans="1:33" x14ac:dyDescent="0.2">
      <c r="A1876" s="1" t="s">
        <v>383</v>
      </c>
      <c r="B1876" s="1" t="s">
        <v>4446</v>
      </c>
      <c r="C1876" s="1">
        <v>7900</v>
      </c>
      <c r="D1876" s="1" t="s">
        <v>4456</v>
      </c>
      <c r="F1876" s="1">
        <v>2023</v>
      </c>
      <c r="G1876" s="1" t="s">
        <v>346</v>
      </c>
      <c r="H1876" s="1">
        <v>605338</v>
      </c>
      <c r="I1876" s="1">
        <v>6</v>
      </c>
      <c r="J1876" s="1" t="s">
        <v>387</v>
      </c>
      <c r="K1876" s="1" t="s">
        <v>4448</v>
      </c>
      <c r="L1876" s="1" t="s">
        <v>4449</v>
      </c>
      <c r="M1876" s="1">
        <v>453</v>
      </c>
      <c r="N1876" s="1" t="s">
        <v>39</v>
      </c>
      <c r="O1876" s="1">
        <v>30.209099999999999</v>
      </c>
      <c r="P1876" s="1">
        <v>-97.613900000000001</v>
      </c>
      <c r="Q1876" s="1" t="s">
        <v>4450</v>
      </c>
      <c r="R1876" s="1" t="s">
        <v>41</v>
      </c>
      <c r="T1876" s="1" t="s">
        <v>93</v>
      </c>
      <c r="U1876" s="1" t="s">
        <v>44</v>
      </c>
      <c r="X1876" s="1" t="s">
        <v>176</v>
      </c>
      <c r="AA1876" s="3">
        <v>36951</v>
      </c>
      <c r="AB1876" s="1" t="s">
        <v>46</v>
      </c>
      <c r="AC1876" s="5">
        <v>478</v>
      </c>
      <c r="AD1876" s="1" t="s">
        <v>4457</v>
      </c>
      <c r="AE1876" s="1" t="str">
        <f t="shared" si="142"/>
        <v>7900 SH4</v>
      </c>
      <c r="AF1876" s="5" t="str">
        <f>MID(AD1876,FIND("(",AD1876)+1,FIND(")",AD1876)-FIND("(",AD1876)-1)</f>
        <v>60.5</v>
      </c>
      <c r="AG1876" s="1" t="str">
        <f t="shared" si="141"/>
        <v>Y</v>
      </c>
    </row>
    <row r="1877" spans="1:33" x14ac:dyDescent="0.2">
      <c r="A1877" s="1" t="s">
        <v>383</v>
      </c>
      <c r="B1877" s="1" t="s">
        <v>4446</v>
      </c>
      <c r="C1877" s="1">
        <v>7900</v>
      </c>
      <c r="D1877" s="1" t="s">
        <v>4458</v>
      </c>
      <c r="F1877" s="1">
        <v>2023</v>
      </c>
      <c r="G1877" s="1" t="s">
        <v>346</v>
      </c>
      <c r="H1877" s="1">
        <v>605338</v>
      </c>
      <c r="I1877" s="1">
        <v>6</v>
      </c>
      <c r="J1877" s="1" t="s">
        <v>387</v>
      </c>
      <c r="K1877" s="1" t="s">
        <v>4448</v>
      </c>
      <c r="L1877" s="1" t="s">
        <v>4449</v>
      </c>
      <c r="M1877" s="1">
        <v>453</v>
      </c>
      <c r="N1877" s="1" t="s">
        <v>39</v>
      </c>
      <c r="O1877" s="1">
        <v>30.209099999999999</v>
      </c>
      <c r="P1877" s="1">
        <v>-97.613900000000001</v>
      </c>
      <c r="Q1877" s="1" t="s">
        <v>4450</v>
      </c>
      <c r="R1877" s="1" t="s">
        <v>41</v>
      </c>
      <c r="T1877" s="1" t="s">
        <v>71</v>
      </c>
      <c r="U1877" s="1" t="s">
        <v>44</v>
      </c>
      <c r="X1877" s="1" t="s">
        <v>64</v>
      </c>
      <c r="AA1877" s="3">
        <v>38169</v>
      </c>
      <c r="AB1877" s="1" t="s">
        <v>46</v>
      </c>
      <c r="AC1877" s="5">
        <v>2700</v>
      </c>
      <c r="AD1877" s="1" t="s">
        <v>4459</v>
      </c>
      <c r="AE1877" s="1" t="str">
        <f t="shared" si="142"/>
        <v>7900 SH5</v>
      </c>
      <c r="AF1877" s="14">
        <f>MID(AD1877,FIND("(",AD1877)+1,FIND(")",AD1877)-FIND("(",AD1877)-1)+198.9</f>
        <v>390</v>
      </c>
      <c r="AG1877" s="1" t="str">
        <f t="shared" si="141"/>
        <v>Y</v>
      </c>
    </row>
    <row r="1878" spans="1:33" x14ac:dyDescent="0.2">
      <c r="A1878" s="1" t="s">
        <v>383</v>
      </c>
      <c r="B1878" s="1" t="s">
        <v>4446</v>
      </c>
      <c r="C1878" s="1">
        <v>7900</v>
      </c>
      <c r="D1878" s="1" t="s">
        <v>4460</v>
      </c>
      <c r="F1878" s="1">
        <v>2023</v>
      </c>
      <c r="G1878" s="1" t="s">
        <v>346</v>
      </c>
      <c r="H1878" s="1">
        <v>605338</v>
      </c>
      <c r="I1878" s="1">
        <v>6</v>
      </c>
      <c r="J1878" s="1" t="s">
        <v>387</v>
      </c>
      <c r="K1878" s="1" t="s">
        <v>4448</v>
      </c>
      <c r="L1878" s="1" t="s">
        <v>4449</v>
      </c>
      <c r="M1878" s="1">
        <v>453</v>
      </c>
      <c r="N1878" s="1" t="s">
        <v>39</v>
      </c>
      <c r="O1878" s="1">
        <v>30.209099999999999</v>
      </c>
      <c r="P1878" s="1">
        <v>-97.613900000000001</v>
      </c>
      <c r="Q1878" s="1" t="s">
        <v>4450</v>
      </c>
      <c r="R1878" s="1" t="s">
        <v>41</v>
      </c>
      <c r="T1878" s="1" t="s">
        <v>93</v>
      </c>
      <c r="U1878" s="1" t="s">
        <v>44</v>
      </c>
      <c r="X1878" s="1" t="s">
        <v>176</v>
      </c>
      <c r="AA1878" s="3">
        <v>40309</v>
      </c>
      <c r="AB1878" s="1" t="s">
        <v>46</v>
      </c>
      <c r="AC1878" s="5">
        <v>478</v>
      </c>
      <c r="AD1878" s="1" t="s">
        <v>4461</v>
      </c>
      <c r="AE1878" s="1" t="str">
        <f t="shared" si="142"/>
        <v>7900 SH6</v>
      </c>
      <c r="AF1878" s="5" t="str">
        <f t="shared" ref="AF1878:AF1887" si="143">MID(AD1878,FIND("(",AD1878)+1,FIND(")",AD1878)-FIND("(",AD1878)-1)</f>
        <v>60.5</v>
      </c>
      <c r="AG1878" s="1" t="str">
        <f t="shared" si="141"/>
        <v>Y</v>
      </c>
    </row>
    <row r="1879" spans="1:33" x14ac:dyDescent="0.2">
      <c r="A1879" s="1" t="s">
        <v>383</v>
      </c>
      <c r="B1879" s="1" t="s">
        <v>4446</v>
      </c>
      <c r="C1879" s="1">
        <v>7900</v>
      </c>
      <c r="D1879" s="1" t="s">
        <v>4462</v>
      </c>
      <c r="F1879" s="1">
        <v>2023</v>
      </c>
      <c r="G1879" s="1" t="s">
        <v>346</v>
      </c>
      <c r="H1879" s="1">
        <v>605338</v>
      </c>
      <c r="I1879" s="1">
        <v>6</v>
      </c>
      <c r="J1879" s="1" t="s">
        <v>387</v>
      </c>
      <c r="K1879" s="1" t="s">
        <v>4448</v>
      </c>
      <c r="L1879" s="1" t="s">
        <v>4449</v>
      </c>
      <c r="M1879" s="1">
        <v>453</v>
      </c>
      <c r="N1879" s="1" t="s">
        <v>39</v>
      </c>
      <c r="O1879" s="1">
        <v>30.209099999999999</v>
      </c>
      <c r="P1879" s="1">
        <v>-97.613900000000001</v>
      </c>
      <c r="Q1879" s="1" t="s">
        <v>4450</v>
      </c>
      <c r="R1879" s="1" t="s">
        <v>41</v>
      </c>
      <c r="T1879" s="1" t="s">
        <v>93</v>
      </c>
      <c r="U1879" s="1" t="s">
        <v>44</v>
      </c>
      <c r="X1879" s="1" t="s">
        <v>176</v>
      </c>
      <c r="AA1879" s="3">
        <v>40338</v>
      </c>
      <c r="AB1879" s="1" t="s">
        <v>46</v>
      </c>
      <c r="AC1879" s="5">
        <v>478</v>
      </c>
      <c r="AD1879" s="1" t="s">
        <v>4463</v>
      </c>
      <c r="AE1879" s="1" t="str">
        <f t="shared" si="142"/>
        <v>7900 SH7</v>
      </c>
      <c r="AF1879" s="5" t="str">
        <f t="shared" si="143"/>
        <v>60.5</v>
      </c>
      <c r="AG1879" s="1" t="str">
        <f t="shared" si="141"/>
        <v>Y</v>
      </c>
    </row>
    <row r="1880" spans="1:33" x14ac:dyDescent="0.2">
      <c r="A1880" s="1" t="s">
        <v>383</v>
      </c>
      <c r="B1880" s="1" t="s">
        <v>4464</v>
      </c>
      <c r="C1880" s="1">
        <v>7902</v>
      </c>
      <c r="D1880" s="1">
        <v>1</v>
      </c>
      <c r="F1880" s="1">
        <v>2023</v>
      </c>
      <c r="G1880" s="1" t="s">
        <v>386</v>
      </c>
      <c r="H1880" s="1" t="s">
        <v>1346</v>
      </c>
      <c r="I1880" s="1">
        <v>6</v>
      </c>
      <c r="K1880" s="1" t="s">
        <v>1738</v>
      </c>
      <c r="L1880" s="1" t="s">
        <v>4465</v>
      </c>
      <c r="M1880" s="1">
        <v>203</v>
      </c>
      <c r="N1880" s="1" t="s">
        <v>39</v>
      </c>
      <c r="O1880" s="1">
        <v>32.460700000000003</v>
      </c>
      <c r="P1880" s="1">
        <v>-94.485200000000006</v>
      </c>
      <c r="Q1880" s="1" t="s">
        <v>4466</v>
      </c>
      <c r="R1880" s="1" t="s">
        <v>41</v>
      </c>
      <c r="S1880" s="1" t="s">
        <v>211</v>
      </c>
      <c r="T1880" s="1" t="s">
        <v>89</v>
      </c>
      <c r="U1880" s="1" t="s">
        <v>55</v>
      </c>
      <c r="W1880" s="1" t="s">
        <v>56</v>
      </c>
      <c r="X1880" s="1" t="s">
        <v>4467</v>
      </c>
      <c r="Y1880" s="1" t="s">
        <v>331</v>
      </c>
      <c r="Z1880" s="1" t="s">
        <v>214</v>
      </c>
      <c r="AA1880" s="3">
        <v>31021</v>
      </c>
      <c r="AB1880" s="1" t="s">
        <v>46</v>
      </c>
      <c r="AC1880" s="5">
        <v>6821</v>
      </c>
      <c r="AD1880" s="1" t="s">
        <v>4468</v>
      </c>
      <c r="AE1880" s="1" t="str">
        <f t="shared" si="142"/>
        <v>7902 1</v>
      </c>
      <c r="AF1880" s="5" t="str">
        <f t="shared" si="143"/>
        <v>720.5</v>
      </c>
      <c r="AG1880" s="1" t="str">
        <f t="shared" si="141"/>
        <v/>
      </c>
    </row>
    <row r="1881" spans="1:33" x14ac:dyDescent="0.2">
      <c r="A1881" s="1" t="s">
        <v>1755</v>
      </c>
      <c r="B1881" s="1" t="s">
        <v>4469</v>
      </c>
      <c r="C1881" s="1">
        <v>7903</v>
      </c>
      <c r="D1881" s="1" t="s">
        <v>4470</v>
      </c>
      <c r="F1881" s="1">
        <v>2023</v>
      </c>
      <c r="G1881" s="1" t="s">
        <v>1207</v>
      </c>
      <c r="H1881" s="1">
        <v>500501</v>
      </c>
      <c r="I1881" s="1">
        <v>7</v>
      </c>
      <c r="J1881" s="1" t="s">
        <v>228</v>
      </c>
      <c r="K1881" s="1" t="s">
        <v>81</v>
      </c>
      <c r="L1881" s="1" t="s">
        <v>1823</v>
      </c>
      <c r="M1881" s="1">
        <v>77</v>
      </c>
      <c r="N1881" s="1" t="s">
        <v>39</v>
      </c>
      <c r="O1881" s="1">
        <v>37.247900000000001</v>
      </c>
      <c r="P1881" s="1">
        <v>-93.170900000000003</v>
      </c>
      <c r="Q1881" s="1" t="s">
        <v>1824</v>
      </c>
      <c r="R1881" s="1" t="s">
        <v>41</v>
      </c>
      <c r="T1881" s="1" t="s">
        <v>93</v>
      </c>
      <c r="U1881" s="1" t="s">
        <v>44</v>
      </c>
      <c r="X1881" s="1" t="s">
        <v>95</v>
      </c>
      <c r="AA1881" s="3">
        <v>37377</v>
      </c>
      <c r="AB1881" s="1" t="s">
        <v>46</v>
      </c>
      <c r="AC1881" s="5">
        <v>265.3</v>
      </c>
      <c r="AD1881" s="1" t="s">
        <v>4471</v>
      </c>
      <c r="AE1881" s="1" t="str">
        <f t="shared" si="142"/>
        <v>7903 MGS1A</v>
      </c>
      <c r="AF1881" s="5" t="str">
        <f t="shared" si="143"/>
        <v>58.9</v>
      </c>
      <c r="AG1881" s="1" t="str">
        <f t="shared" si="141"/>
        <v/>
      </c>
    </row>
    <row r="1882" spans="1:33" x14ac:dyDescent="0.2">
      <c r="A1882" s="1" t="s">
        <v>1755</v>
      </c>
      <c r="B1882" s="1" t="s">
        <v>4469</v>
      </c>
      <c r="C1882" s="1">
        <v>7903</v>
      </c>
      <c r="D1882" s="1" t="s">
        <v>4472</v>
      </c>
      <c r="F1882" s="1">
        <v>2023</v>
      </c>
      <c r="G1882" s="1" t="s">
        <v>1207</v>
      </c>
      <c r="H1882" s="1">
        <v>500501</v>
      </c>
      <c r="I1882" s="1">
        <v>7</v>
      </c>
      <c r="J1882" s="1" t="s">
        <v>228</v>
      </c>
      <c r="K1882" s="1" t="s">
        <v>81</v>
      </c>
      <c r="L1882" s="1" t="s">
        <v>1823</v>
      </c>
      <c r="M1882" s="1">
        <v>77</v>
      </c>
      <c r="N1882" s="1" t="s">
        <v>39</v>
      </c>
      <c r="O1882" s="1">
        <v>37.247900000000001</v>
      </c>
      <c r="P1882" s="1">
        <v>-93.170900000000003</v>
      </c>
      <c r="Q1882" s="1" t="s">
        <v>1824</v>
      </c>
      <c r="R1882" s="1" t="s">
        <v>41</v>
      </c>
      <c r="T1882" s="1" t="s">
        <v>93</v>
      </c>
      <c r="U1882" s="1" t="s">
        <v>44</v>
      </c>
      <c r="X1882" s="1" t="s">
        <v>95</v>
      </c>
      <c r="AA1882" s="3">
        <v>37377</v>
      </c>
      <c r="AB1882" s="1" t="s">
        <v>46</v>
      </c>
      <c r="AC1882" s="5">
        <v>265.3</v>
      </c>
      <c r="AD1882" s="1" t="s">
        <v>4471</v>
      </c>
      <c r="AE1882" s="1" t="str">
        <f t="shared" si="142"/>
        <v>7903 MGS1B</v>
      </c>
      <c r="AF1882" s="5" t="str">
        <f t="shared" si="143"/>
        <v>58.9</v>
      </c>
      <c r="AG1882" s="1" t="str">
        <f t="shared" si="141"/>
        <v/>
      </c>
    </row>
    <row r="1883" spans="1:33" x14ac:dyDescent="0.2">
      <c r="A1883" s="1" t="s">
        <v>1755</v>
      </c>
      <c r="B1883" s="1" t="s">
        <v>4469</v>
      </c>
      <c r="C1883" s="1">
        <v>7903</v>
      </c>
      <c r="D1883" s="1" t="s">
        <v>4473</v>
      </c>
      <c r="F1883" s="1">
        <v>2023</v>
      </c>
      <c r="G1883" s="1" t="s">
        <v>1207</v>
      </c>
      <c r="H1883" s="1">
        <v>500501</v>
      </c>
      <c r="I1883" s="1">
        <v>7</v>
      </c>
      <c r="J1883" s="1" t="s">
        <v>228</v>
      </c>
      <c r="K1883" s="1" t="s">
        <v>81</v>
      </c>
      <c r="L1883" s="1" t="s">
        <v>1823</v>
      </c>
      <c r="M1883" s="1">
        <v>77</v>
      </c>
      <c r="N1883" s="1" t="s">
        <v>39</v>
      </c>
      <c r="O1883" s="1">
        <v>37.247900000000001</v>
      </c>
      <c r="P1883" s="1">
        <v>-93.170900000000003</v>
      </c>
      <c r="Q1883" s="1" t="s">
        <v>1824</v>
      </c>
      <c r="R1883" s="1" t="s">
        <v>41</v>
      </c>
      <c r="T1883" s="1" t="s">
        <v>93</v>
      </c>
      <c r="U1883" s="1" t="s">
        <v>44</v>
      </c>
      <c r="X1883" s="1" t="s">
        <v>95</v>
      </c>
      <c r="AA1883" s="3">
        <v>37377</v>
      </c>
      <c r="AB1883" s="1" t="s">
        <v>46</v>
      </c>
      <c r="AC1883" s="5">
        <v>265.3</v>
      </c>
      <c r="AD1883" s="1" t="s">
        <v>4474</v>
      </c>
      <c r="AE1883" s="1" t="str">
        <f t="shared" si="142"/>
        <v>7903 MGS2A</v>
      </c>
      <c r="AF1883" s="5" t="str">
        <f t="shared" si="143"/>
        <v>58.9</v>
      </c>
      <c r="AG1883" s="1" t="str">
        <f t="shared" si="141"/>
        <v/>
      </c>
    </row>
    <row r="1884" spans="1:33" x14ac:dyDescent="0.2">
      <c r="A1884" s="1" t="s">
        <v>1755</v>
      </c>
      <c r="B1884" s="1" t="s">
        <v>4469</v>
      </c>
      <c r="C1884" s="1">
        <v>7903</v>
      </c>
      <c r="D1884" s="1" t="s">
        <v>4475</v>
      </c>
      <c r="F1884" s="1">
        <v>2023</v>
      </c>
      <c r="G1884" s="1" t="s">
        <v>1207</v>
      </c>
      <c r="H1884" s="1">
        <v>500501</v>
      </c>
      <c r="I1884" s="1">
        <v>7</v>
      </c>
      <c r="J1884" s="1" t="s">
        <v>228</v>
      </c>
      <c r="K1884" s="1" t="s">
        <v>81</v>
      </c>
      <c r="L1884" s="1" t="s">
        <v>1823</v>
      </c>
      <c r="M1884" s="1">
        <v>77</v>
      </c>
      <c r="N1884" s="1" t="s">
        <v>39</v>
      </c>
      <c r="O1884" s="1">
        <v>37.247900000000001</v>
      </c>
      <c r="P1884" s="1">
        <v>-93.170900000000003</v>
      </c>
      <c r="Q1884" s="1" t="s">
        <v>1824</v>
      </c>
      <c r="R1884" s="1" t="s">
        <v>41</v>
      </c>
      <c r="T1884" s="1" t="s">
        <v>93</v>
      </c>
      <c r="U1884" s="1" t="s">
        <v>44</v>
      </c>
      <c r="X1884" s="1" t="s">
        <v>95</v>
      </c>
      <c r="AA1884" s="3">
        <v>37377</v>
      </c>
      <c r="AB1884" s="1" t="s">
        <v>46</v>
      </c>
      <c r="AC1884" s="5">
        <v>265.3</v>
      </c>
      <c r="AD1884" s="1" t="s">
        <v>4474</v>
      </c>
      <c r="AE1884" s="1" t="str">
        <f t="shared" si="142"/>
        <v>7903 MGS2B</v>
      </c>
      <c r="AF1884" s="5" t="str">
        <f t="shared" si="143"/>
        <v>58.9</v>
      </c>
      <c r="AG1884" s="1" t="str">
        <f t="shared" si="141"/>
        <v/>
      </c>
    </row>
    <row r="1885" spans="1:33" x14ac:dyDescent="0.2">
      <c r="A1885" s="1" t="s">
        <v>2089</v>
      </c>
      <c r="B1885" s="1" t="s">
        <v>4476</v>
      </c>
      <c r="C1885" s="1">
        <v>7909</v>
      </c>
      <c r="D1885" s="1" t="s">
        <v>4477</v>
      </c>
      <c r="F1885" s="1">
        <v>2023</v>
      </c>
      <c r="G1885" s="1" t="s">
        <v>1515</v>
      </c>
      <c r="H1885" s="1">
        <v>605253</v>
      </c>
      <c r="I1885" s="1">
        <v>2</v>
      </c>
      <c r="K1885" s="1" t="s">
        <v>2202</v>
      </c>
      <c r="L1885" s="1" t="s">
        <v>2203</v>
      </c>
      <c r="M1885" s="1">
        <v>81</v>
      </c>
      <c r="N1885" s="1" t="s">
        <v>39</v>
      </c>
      <c r="O1885" s="1">
        <v>40.753900000000002</v>
      </c>
      <c r="P1885" s="1">
        <v>-73.950599999999994</v>
      </c>
      <c r="Q1885" s="1" t="s">
        <v>4046</v>
      </c>
      <c r="R1885" s="1" t="s">
        <v>41</v>
      </c>
      <c r="T1885" s="1" t="s">
        <v>93</v>
      </c>
      <c r="U1885" s="1" t="s">
        <v>44</v>
      </c>
      <c r="X1885" s="1" t="s">
        <v>223</v>
      </c>
      <c r="AA1885" s="3">
        <v>37118</v>
      </c>
      <c r="AB1885" s="1" t="s">
        <v>46</v>
      </c>
      <c r="AC1885" s="5">
        <v>430</v>
      </c>
      <c r="AD1885" s="1" t="s">
        <v>4478</v>
      </c>
      <c r="AE1885" s="1" t="str">
        <f t="shared" si="142"/>
        <v>7909 VB01</v>
      </c>
      <c r="AF1885" s="5" t="str">
        <f t="shared" si="143"/>
        <v>47</v>
      </c>
      <c r="AG1885" s="1" t="str">
        <f t="shared" si="141"/>
        <v>Y</v>
      </c>
    </row>
    <row r="1886" spans="1:33" x14ac:dyDescent="0.2">
      <c r="A1886" s="1" t="s">
        <v>2089</v>
      </c>
      <c r="B1886" s="1" t="s">
        <v>4476</v>
      </c>
      <c r="C1886" s="1">
        <v>7909</v>
      </c>
      <c r="D1886" s="1" t="s">
        <v>4479</v>
      </c>
      <c r="F1886" s="1">
        <v>2023</v>
      </c>
      <c r="G1886" s="1" t="s">
        <v>1515</v>
      </c>
      <c r="H1886" s="1">
        <v>605253</v>
      </c>
      <c r="I1886" s="1">
        <v>2</v>
      </c>
      <c r="K1886" s="1" t="s">
        <v>2202</v>
      </c>
      <c r="L1886" s="1" t="s">
        <v>2203</v>
      </c>
      <c r="M1886" s="1">
        <v>81</v>
      </c>
      <c r="N1886" s="1" t="s">
        <v>39</v>
      </c>
      <c r="O1886" s="1">
        <v>40.753900000000002</v>
      </c>
      <c r="P1886" s="1">
        <v>-73.950599999999994</v>
      </c>
      <c r="Q1886" s="1" t="s">
        <v>4046</v>
      </c>
      <c r="R1886" s="1" t="s">
        <v>41</v>
      </c>
      <c r="T1886" s="1" t="s">
        <v>93</v>
      </c>
      <c r="U1886" s="1" t="s">
        <v>44</v>
      </c>
      <c r="X1886" s="1" t="s">
        <v>223</v>
      </c>
      <c r="AA1886" s="3">
        <v>37105</v>
      </c>
      <c r="AB1886" s="1" t="s">
        <v>46</v>
      </c>
      <c r="AC1886" s="5">
        <v>455</v>
      </c>
      <c r="AD1886" s="1" t="s">
        <v>4480</v>
      </c>
      <c r="AE1886" s="1" t="str">
        <f t="shared" si="142"/>
        <v>7909 VB02</v>
      </c>
      <c r="AF1886" s="5" t="str">
        <f t="shared" si="143"/>
        <v>47</v>
      </c>
      <c r="AG1886" s="1" t="str">
        <f t="shared" si="141"/>
        <v>Y</v>
      </c>
    </row>
    <row r="1887" spans="1:33" x14ac:dyDescent="0.2">
      <c r="A1887" s="1" t="s">
        <v>2089</v>
      </c>
      <c r="B1887" s="1" t="s">
        <v>4481</v>
      </c>
      <c r="C1887" s="1">
        <v>7910</v>
      </c>
      <c r="D1887" s="1">
        <v>2301</v>
      </c>
      <c r="F1887" s="1">
        <v>2023</v>
      </c>
      <c r="G1887" s="1" t="s">
        <v>1515</v>
      </c>
      <c r="H1887" s="1">
        <v>605253</v>
      </c>
      <c r="I1887" s="1">
        <v>2</v>
      </c>
      <c r="J1887" s="1" t="s">
        <v>580</v>
      </c>
      <c r="K1887" s="1" t="s">
        <v>2118</v>
      </c>
      <c r="L1887" s="1" t="s">
        <v>2119</v>
      </c>
      <c r="M1887" s="1">
        <v>47</v>
      </c>
      <c r="N1887" s="1" t="s">
        <v>39</v>
      </c>
      <c r="O1887" s="1">
        <v>40.662999999999997</v>
      </c>
      <c r="P1887" s="1">
        <v>-74</v>
      </c>
      <c r="Q1887" s="1" t="s">
        <v>4046</v>
      </c>
      <c r="R1887" s="1" t="s">
        <v>41</v>
      </c>
      <c r="T1887" s="1" t="s">
        <v>93</v>
      </c>
      <c r="U1887" s="1" t="s">
        <v>44</v>
      </c>
      <c r="X1887" s="1" t="s">
        <v>223</v>
      </c>
      <c r="AA1887" s="3">
        <v>37105</v>
      </c>
      <c r="AB1887" s="1" t="s">
        <v>46</v>
      </c>
      <c r="AC1887" s="5">
        <v>505</v>
      </c>
      <c r="AD1887" s="1" t="s">
        <v>4196</v>
      </c>
      <c r="AE1887" s="1" t="str">
        <f t="shared" si="142"/>
        <v>7910 2301</v>
      </c>
      <c r="AF1887" s="5" t="str">
        <f t="shared" si="143"/>
        <v>47</v>
      </c>
      <c r="AG1887" s="1" t="str">
        <f t="shared" si="141"/>
        <v>Y</v>
      </c>
    </row>
    <row r="1888" spans="1:33" x14ac:dyDescent="0.2">
      <c r="A1888" s="1" t="s">
        <v>2089</v>
      </c>
      <c r="B1888" s="1" t="s">
        <v>4481</v>
      </c>
      <c r="C1888" s="1">
        <v>7910</v>
      </c>
      <c r="D1888" s="1">
        <v>2302</v>
      </c>
      <c r="F1888" s="1">
        <v>2023</v>
      </c>
      <c r="G1888" s="1" t="s">
        <v>1515</v>
      </c>
      <c r="H1888" s="1">
        <v>605253</v>
      </c>
      <c r="I1888" s="1">
        <v>2</v>
      </c>
      <c r="J1888" s="1" t="s">
        <v>580</v>
      </c>
      <c r="K1888" s="1" t="s">
        <v>2118</v>
      </c>
      <c r="L1888" s="1" t="s">
        <v>2119</v>
      </c>
      <c r="M1888" s="1">
        <v>47</v>
      </c>
      <c r="N1888" s="1" t="s">
        <v>39</v>
      </c>
      <c r="O1888" s="1">
        <v>40.662999999999997</v>
      </c>
      <c r="P1888" s="1">
        <v>-74</v>
      </c>
      <c r="Q1888" s="1" t="s">
        <v>4046</v>
      </c>
      <c r="R1888" s="1" t="s">
        <v>41</v>
      </c>
      <c r="T1888" s="1" t="s">
        <v>93</v>
      </c>
      <c r="U1888" s="1" t="s">
        <v>44</v>
      </c>
      <c r="X1888" s="1" t="s">
        <v>223</v>
      </c>
      <c r="AA1888" s="3">
        <v>37105</v>
      </c>
      <c r="AB1888" s="1" t="s">
        <v>46</v>
      </c>
      <c r="AC1888" s="5">
        <v>505</v>
      </c>
      <c r="AD1888" s="1" t="s">
        <v>4482</v>
      </c>
      <c r="AE1888" s="1" t="str">
        <f t="shared" si="142"/>
        <v>7910 2302</v>
      </c>
      <c r="AF1888" s="14">
        <f>MID(AD1888,FIND("(",AD1888)+1,FIND(")",AD1888)-FIND("(",AD1888)-1)+47</f>
        <v>94</v>
      </c>
      <c r="AG1888" s="1" t="str">
        <f t="shared" si="141"/>
        <v>Y</v>
      </c>
    </row>
    <row r="1889" spans="1:33" x14ac:dyDescent="0.2">
      <c r="A1889" s="1" t="s">
        <v>2089</v>
      </c>
      <c r="B1889" s="1" t="s">
        <v>4483</v>
      </c>
      <c r="C1889" s="1">
        <v>7912</v>
      </c>
      <c r="D1889" s="1" t="s">
        <v>4484</v>
      </c>
      <c r="F1889" s="1">
        <v>2023</v>
      </c>
      <c r="G1889" s="1" t="s">
        <v>1515</v>
      </c>
      <c r="H1889" s="1">
        <v>605253</v>
      </c>
      <c r="I1889" s="1">
        <v>2</v>
      </c>
      <c r="K1889" s="1" t="s">
        <v>2257</v>
      </c>
      <c r="L1889" s="1" t="s">
        <v>2258</v>
      </c>
      <c r="M1889" s="1">
        <v>103</v>
      </c>
      <c r="N1889" s="1" t="s">
        <v>39</v>
      </c>
      <c r="O1889" s="1">
        <v>40.786999999999999</v>
      </c>
      <c r="P1889" s="1">
        <v>-73.293300000000002</v>
      </c>
      <c r="Q1889" s="1" t="s">
        <v>4046</v>
      </c>
      <c r="R1889" s="1" t="s">
        <v>41</v>
      </c>
      <c r="T1889" s="1" t="s">
        <v>93</v>
      </c>
      <c r="U1889" s="1" t="s">
        <v>44</v>
      </c>
      <c r="X1889" s="1" t="s">
        <v>223</v>
      </c>
      <c r="AA1889" s="3">
        <v>37097</v>
      </c>
      <c r="AB1889" s="1" t="s">
        <v>46</v>
      </c>
      <c r="AC1889" s="5">
        <v>480</v>
      </c>
      <c r="AD1889" s="1" t="s">
        <v>4196</v>
      </c>
      <c r="AE1889" s="1" t="str">
        <f t="shared" si="142"/>
        <v>7912 BW01</v>
      </c>
      <c r="AF1889" s="5" t="str">
        <f t="shared" ref="AF1889:AF1900" si="144">MID(AD1889,FIND("(",AD1889)+1,FIND(")",AD1889)-FIND("(",AD1889)-1)</f>
        <v>47</v>
      </c>
      <c r="AG1889" s="1" t="str">
        <f t="shared" si="141"/>
        <v>Y</v>
      </c>
    </row>
    <row r="1890" spans="1:33" x14ac:dyDescent="0.2">
      <c r="A1890" s="1" t="s">
        <v>2089</v>
      </c>
      <c r="B1890" s="1" t="s">
        <v>4485</v>
      </c>
      <c r="C1890" s="1">
        <v>7913</v>
      </c>
      <c r="D1890" s="1" t="s">
        <v>4486</v>
      </c>
      <c r="F1890" s="1">
        <v>2023</v>
      </c>
      <c r="G1890" s="1" t="s">
        <v>1515</v>
      </c>
      <c r="H1890" s="1">
        <v>605253</v>
      </c>
      <c r="I1890" s="1">
        <v>2</v>
      </c>
      <c r="K1890" s="1" t="s">
        <v>4487</v>
      </c>
      <c r="L1890" s="1" t="s">
        <v>4488</v>
      </c>
      <c r="M1890" s="1">
        <v>5</v>
      </c>
      <c r="N1890" s="1" t="s">
        <v>39</v>
      </c>
      <c r="O1890" s="1">
        <v>40.7988</v>
      </c>
      <c r="P1890" s="1">
        <v>-73.909300000000002</v>
      </c>
      <c r="Q1890" s="1" t="s">
        <v>4046</v>
      </c>
      <c r="R1890" s="1" t="s">
        <v>41</v>
      </c>
      <c r="T1890" s="1" t="s">
        <v>93</v>
      </c>
      <c r="U1890" s="1" t="s">
        <v>44</v>
      </c>
      <c r="X1890" s="1" t="s">
        <v>223</v>
      </c>
      <c r="AA1890" s="3">
        <v>37105</v>
      </c>
      <c r="AB1890" s="1" t="s">
        <v>46</v>
      </c>
      <c r="AC1890" s="5">
        <v>475</v>
      </c>
      <c r="AD1890" s="1" t="s">
        <v>4489</v>
      </c>
      <c r="AE1890" s="1" t="str">
        <f t="shared" si="142"/>
        <v>7913 HG01</v>
      </c>
      <c r="AF1890" s="5" t="str">
        <f t="shared" si="144"/>
        <v>47</v>
      </c>
      <c r="AG1890" s="1" t="str">
        <f t="shared" si="141"/>
        <v>Y</v>
      </c>
    </row>
    <row r="1891" spans="1:33" x14ac:dyDescent="0.2">
      <c r="A1891" s="1" t="s">
        <v>2089</v>
      </c>
      <c r="B1891" s="1" t="s">
        <v>4485</v>
      </c>
      <c r="C1891" s="1">
        <v>7913</v>
      </c>
      <c r="D1891" s="1" t="s">
        <v>4490</v>
      </c>
      <c r="F1891" s="1">
        <v>2023</v>
      </c>
      <c r="G1891" s="1" t="s">
        <v>1515</v>
      </c>
      <c r="H1891" s="1">
        <v>605253</v>
      </c>
      <c r="I1891" s="1">
        <v>2</v>
      </c>
      <c r="K1891" s="1" t="s">
        <v>4487</v>
      </c>
      <c r="L1891" s="1" t="s">
        <v>4488</v>
      </c>
      <c r="M1891" s="1">
        <v>5</v>
      </c>
      <c r="N1891" s="1" t="s">
        <v>39</v>
      </c>
      <c r="O1891" s="1">
        <v>40.7988</v>
      </c>
      <c r="P1891" s="1">
        <v>-73.909300000000002</v>
      </c>
      <c r="Q1891" s="1" t="s">
        <v>4046</v>
      </c>
      <c r="R1891" s="1" t="s">
        <v>41</v>
      </c>
      <c r="T1891" s="1" t="s">
        <v>93</v>
      </c>
      <c r="U1891" s="1" t="s">
        <v>44</v>
      </c>
      <c r="X1891" s="1" t="s">
        <v>223</v>
      </c>
      <c r="AA1891" s="3">
        <v>37105</v>
      </c>
      <c r="AB1891" s="1" t="s">
        <v>46</v>
      </c>
      <c r="AC1891" s="5">
        <v>486</v>
      </c>
      <c r="AD1891" s="1" t="s">
        <v>4491</v>
      </c>
      <c r="AE1891" s="1" t="str">
        <f t="shared" si="142"/>
        <v>7913 HG02</v>
      </c>
      <c r="AF1891" s="5" t="str">
        <f t="shared" si="144"/>
        <v>47</v>
      </c>
      <c r="AG1891" s="1" t="str">
        <f t="shared" si="141"/>
        <v>Y</v>
      </c>
    </row>
    <row r="1892" spans="1:33" x14ac:dyDescent="0.2">
      <c r="A1892" s="1" t="s">
        <v>2089</v>
      </c>
      <c r="B1892" s="1" t="s">
        <v>4492</v>
      </c>
      <c r="C1892" s="1">
        <v>7914</v>
      </c>
      <c r="D1892" s="1" t="s">
        <v>4493</v>
      </c>
      <c r="F1892" s="1">
        <v>2023</v>
      </c>
      <c r="G1892" s="1" t="s">
        <v>1515</v>
      </c>
      <c r="H1892" s="1">
        <v>605253</v>
      </c>
      <c r="I1892" s="1">
        <v>2</v>
      </c>
      <c r="K1892" s="1" t="s">
        <v>4487</v>
      </c>
      <c r="L1892" s="1" t="s">
        <v>4488</v>
      </c>
      <c r="M1892" s="1">
        <v>5</v>
      </c>
      <c r="N1892" s="1" t="s">
        <v>39</v>
      </c>
      <c r="O1892" s="1">
        <v>40.798900000000003</v>
      </c>
      <c r="P1892" s="1">
        <v>-73.914699999999996</v>
      </c>
      <c r="Q1892" s="1" t="s">
        <v>4046</v>
      </c>
      <c r="R1892" s="1" t="s">
        <v>41</v>
      </c>
      <c r="T1892" s="1" t="s">
        <v>93</v>
      </c>
      <c r="U1892" s="1" t="s">
        <v>44</v>
      </c>
      <c r="X1892" s="1" t="s">
        <v>223</v>
      </c>
      <c r="AA1892" s="3">
        <v>37097</v>
      </c>
      <c r="AB1892" s="1" t="s">
        <v>46</v>
      </c>
      <c r="AC1892" s="5">
        <v>475</v>
      </c>
      <c r="AD1892" s="1" t="s">
        <v>4494</v>
      </c>
      <c r="AE1892" s="1" t="str">
        <f t="shared" si="142"/>
        <v>7914 HR01</v>
      </c>
      <c r="AF1892" s="5" t="str">
        <f t="shared" si="144"/>
        <v>47</v>
      </c>
      <c r="AG1892" s="1" t="str">
        <f t="shared" si="141"/>
        <v>Y</v>
      </c>
    </row>
    <row r="1893" spans="1:33" x14ac:dyDescent="0.2">
      <c r="A1893" s="1" t="s">
        <v>2089</v>
      </c>
      <c r="B1893" s="1" t="s">
        <v>4492</v>
      </c>
      <c r="C1893" s="1">
        <v>7914</v>
      </c>
      <c r="D1893" s="1" t="s">
        <v>4495</v>
      </c>
      <c r="F1893" s="1">
        <v>2023</v>
      </c>
      <c r="G1893" s="1" t="s">
        <v>1515</v>
      </c>
      <c r="H1893" s="1">
        <v>605253</v>
      </c>
      <c r="I1893" s="1">
        <v>2</v>
      </c>
      <c r="K1893" s="1" t="s">
        <v>4487</v>
      </c>
      <c r="L1893" s="1" t="s">
        <v>4488</v>
      </c>
      <c r="M1893" s="1">
        <v>5</v>
      </c>
      <c r="N1893" s="1" t="s">
        <v>39</v>
      </c>
      <c r="O1893" s="1">
        <v>40.798900000000003</v>
      </c>
      <c r="P1893" s="1">
        <v>-73.914699999999996</v>
      </c>
      <c r="Q1893" s="1" t="s">
        <v>4046</v>
      </c>
      <c r="R1893" s="1" t="s">
        <v>41</v>
      </c>
      <c r="T1893" s="1" t="s">
        <v>93</v>
      </c>
      <c r="U1893" s="1" t="s">
        <v>44</v>
      </c>
      <c r="X1893" s="1" t="s">
        <v>223</v>
      </c>
      <c r="AA1893" s="3">
        <v>37097</v>
      </c>
      <c r="AB1893" s="1" t="s">
        <v>46</v>
      </c>
      <c r="AC1893" s="5">
        <v>475</v>
      </c>
      <c r="AD1893" s="1" t="s">
        <v>4496</v>
      </c>
      <c r="AE1893" s="1" t="str">
        <f t="shared" si="142"/>
        <v>7914 HR02</v>
      </c>
      <c r="AF1893" s="5" t="str">
        <f t="shared" si="144"/>
        <v>47</v>
      </c>
      <c r="AG1893" s="1" t="str">
        <f t="shared" si="141"/>
        <v>Y</v>
      </c>
    </row>
    <row r="1894" spans="1:33" x14ac:dyDescent="0.2">
      <c r="A1894" s="1" t="s">
        <v>2089</v>
      </c>
      <c r="B1894" s="1" t="s">
        <v>4497</v>
      </c>
      <c r="C1894" s="1">
        <v>7915</v>
      </c>
      <c r="D1894" s="1" t="s">
        <v>4498</v>
      </c>
      <c r="F1894" s="1">
        <v>2023</v>
      </c>
      <c r="G1894" s="1" t="s">
        <v>1515</v>
      </c>
      <c r="H1894" s="1">
        <v>605253</v>
      </c>
      <c r="I1894" s="1">
        <v>2</v>
      </c>
      <c r="J1894" s="1" t="s">
        <v>580</v>
      </c>
      <c r="K1894" s="1" t="s">
        <v>2118</v>
      </c>
      <c r="L1894" s="1" t="s">
        <v>2119</v>
      </c>
      <c r="M1894" s="1">
        <v>47</v>
      </c>
      <c r="N1894" s="1" t="s">
        <v>39</v>
      </c>
      <c r="O1894" s="1">
        <v>40.716799999999999</v>
      </c>
      <c r="P1894" s="1">
        <v>-73.966499999999996</v>
      </c>
      <c r="Q1894" s="1" t="s">
        <v>4046</v>
      </c>
      <c r="R1894" s="1" t="s">
        <v>41</v>
      </c>
      <c r="T1894" s="1" t="s">
        <v>93</v>
      </c>
      <c r="U1894" s="1" t="s">
        <v>44</v>
      </c>
      <c r="X1894" s="1" t="s">
        <v>223</v>
      </c>
      <c r="AA1894" s="3">
        <v>37120</v>
      </c>
      <c r="AB1894" s="1" t="s">
        <v>46</v>
      </c>
      <c r="AC1894" s="5">
        <v>500</v>
      </c>
      <c r="AD1894" s="1" t="s">
        <v>4499</v>
      </c>
      <c r="AE1894" s="1" t="str">
        <f t="shared" si="142"/>
        <v>7915 NO1</v>
      </c>
      <c r="AF1894" s="5" t="str">
        <f t="shared" si="144"/>
        <v>47</v>
      </c>
      <c r="AG1894" s="1" t="str">
        <f t="shared" si="141"/>
        <v>Y</v>
      </c>
    </row>
    <row r="1895" spans="1:33" x14ac:dyDescent="0.2">
      <c r="A1895" s="1" t="s">
        <v>921</v>
      </c>
      <c r="B1895" s="1" t="s">
        <v>4500</v>
      </c>
      <c r="C1895" s="1">
        <v>7916</v>
      </c>
      <c r="D1895" s="1">
        <v>1</v>
      </c>
      <c r="F1895" s="1">
        <v>2023</v>
      </c>
      <c r="G1895" s="1" t="s">
        <v>952</v>
      </c>
      <c r="H1895" s="1" t="s">
        <v>4261</v>
      </c>
      <c r="I1895" s="1">
        <v>4</v>
      </c>
      <c r="K1895" s="1" t="s">
        <v>4501</v>
      </c>
      <c r="L1895" s="1" t="s">
        <v>4502</v>
      </c>
      <c r="M1895" s="1">
        <v>263</v>
      </c>
      <c r="N1895" s="1" t="s">
        <v>39</v>
      </c>
      <c r="O1895" s="1">
        <v>32.589199999999998</v>
      </c>
      <c r="P1895" s="1">
        <v>-84.691699999999997</v>
      </c>
      <c r="Q1895" s="1" t="s">
        <v>4503</v>
      </c>
      <c r="R1895" s="1" t="s">
        <v>41</v>
      </c>
      <c r="T1895" s="1" t="s">
        <v>93</v>
      </c>
      <c r="U1895" s="1" t="s">
        <v>44</v>
      </c>
      <c r="X1895" s="1" t="s">
        <v>140</v>
      </c>
      <c r="AA1895" s="3">
        <v>37349</v>
      </c>
      <c r="AB1895" s="1" t="s">
        <v>46</v>
      </c>
      <c r="AC1895" s="5">
        <v>1353</v>
      </c>
      <c r="AD1895" s="1" t="s">
        <v>4264</v>
      </c>
      <c r="AE1895" s="1" t="str">
        <f t="shared" si="142"/>
        <v>7916 1</v>
      </c>
      <c r="AF1895" s="5" t="str">
        <f t="shared" si="144"/>
        <v>121</v>
      </c>
      <c r="AG1895" s="1" t="str">
        <f t="shared" si="141"/>
        <v/>
      </c>
    </row>
    <row r="1896" spans="1:33" x14ac:dyDescent="0.2">
      <c r="A1896" s="1" t="s">
        <v>921</v>
      </c>
      <c r="B1896" s="1" t="s">
        <v>4500</v>
      </c>
      <c r="C1896" s="1">
        <v>7916</v>
      </c>
      <c r="D1896" s="1">
        <v>2</v>
      </c>
      <c r="F1896" s="1">
        <v>2023</v>
      </c>
      <c r="G1896" s="1" t="s">
        <v>952</v>
      </c>
      <c r="H1896" s="1" t="s">
        <v>4261</v>
      </c>
      <c r="I1896" s="1">
        <v>4</v>
      </c>
      <c r="K1896" s="1" t="s">
        <v>4501</v>
      </c>
      <c r="L1896" s="1" t="s">
        <v>4502</v>
      </c>
      <c r="M1896" s="1">
        <v>263</v>
      </c>
      <c r="N1896" s="1" t="s">
        <v>39</v>
      </c>
      <c r="O1896" s="1">
        <v>32.589199999999998</v>
      </c>
      <c r="P1896" s="1">
        <v>-84.691699999999997</v>
      </c>
      <c r="Q1896" s="1" t="s">
        <v>4503</v>
      </c>
      <c r="R1896" s="1" t="s">
        <v>41</v>
      </c>
      <c r="T1896" s="1" t="s">
        <v>93</v>
      </c>
      <c r="U1896" s="1" t="s">
        <v>44</v>
      </c>
      <c r="X1896" s="1" t="s">
        <v>140</v>
      </c>
      <c r="AA1896" s="3">
        <v>37355</v>
      </c>
      <c r="AB1896" s="1" t="s">
        <v>46</v>
      </c>
      <c r="AC1896" s="5">
        <v>1361</v>
      </c>
      <c r="AD1896" s="1" t="s">
        <v>4265</v>
      </c>
      <c r="AE1896" s="1" t="str">
        <f t="shared" si="142"/>
        <v>7916 2</v>
      </c>
      <c r="AF1896" s="5" t="str">
        <f t="shared" si="144"/>
        <v>121</v>
      </c>
      <c r="AG1896" s="1" t="str">
        <f t="shared" si="141"/>
        <v/>
      </c>
    </row>
    <row r="1897" spans="1:33" x14ac:dyDescent="0.2">
      <c r="A1897" s="1" t="s">
        <v>921</v>
      </c>
      <c r="B1897" s="1" t="s">
        <v>4500</v>
      </c>
      <c r="C1897" s="1">
        <v>7916</v>
      </c>
      <c r="D1897" s="1">
        <v>3</v>
      </c>
      <c r="F1897" s="1">
        <v>2023</v>
      </c>
      <c r="G1897" s="1" t="s">
        <v>952</v>
      </c>
      <c r="H1897" s="1" t="s">
        <v>4261</v>
      </c>
      <c r="I1897" s="1">
        <v>4</v>
      </c>
      <c r="K1897" s="1" t="s">
        <v>4501</v>
      </c>
      <c r="L1897" s="1" t="s">
        <v>4502</v>
      </c>
      <c r="M1897" s="1">
        <v>263</v>
      </c>
      <c r="N1897" s="1" t="s">
        <v>39</v>
      </c>
      <c r="O1897" s="1">
        <v>32.589199999999998</v>
      </c>
      <c r="P1897" s="1">
        <v>-84.691699999999997</v>
      </c>
      <c r="Q1897" s="1" t="s">
        <v>4503</v>
      </c>
      <c r="R1897" s="1" t="s">
        <v>41</v>
      </c>
      <c r="T1897" s="1" t="s">
        <v>93</v>
      </c>
      <c r="U1897" s="1" t="s">
        <v>44</v>
      </c>
      <c r="X1897" s="1" t="s">
        <v>140</v>
      </c>
      <c r="AA1897" s="3">
        <v>37369</v>
      </c>
      <c r="AB1897" s="1" t="s">
        <v>46</v>
      </c>
      <c r="AC1897" s="5">
        <v>1399</v>
      </c>
      <c r="AD1897" s="1" t="s">
        <v>4504</v>
      </c>
      <c r="AE1897" s="1" t="str">
        <f t="shared" si="142"/>
        <v>7916 3</v>
      </c>
      <c r="AF1897" s="5" t="str">
        <f t="shared" si="144"/>
        <v>121</v>
      </c>
      <c r="AG1897" s="1" t="str">
        <f t="shared" si="141"/>
        <v/>
      </c>
    </row>
    <row r="1898" spans="1:33" x14ac:dyDescent="0.2">
      <c r="A1898" s="1" t="s">
        <v>921</v>
      </c>
      <c r="B1898" s="1" t="s">
        <v>4500</v>
      </c>
      <c r="C1898" s="1">
        <v>7916</v>
      </c>
      <c r="D1898" s="1">
        <v>4</v>
      </c>
      <c r="F1898" s="1">
        <v>2023</v>
      </c>
      <c r="G1898" s="1" t="s">
        <v>952</v>
      </c>
      <c r="H1898" s="1" t="s">
        <v>4261</v>
      </c>
      <c r="I1898" s="1">
        <v>4</v>
      </c>
      <c r="K1898" s="1" t="s">
        <v>4501</v>
      </c>
      <c r="L1898" s="1" t="s">
        <v>4502</v>
      </c>
      <c r="M1898" s="1">
        <v>263</v>
      </c>
      <c r="N1898" s="1" t="s">
        <v>39</v>
      </c>
      <c r="O1898" s="1">
        <v>32.589199999999998</v>
      </c>
      <c r="P1898" s="1">
        <v>-84.691699999999997</v>
      </c>
      <c r="Q1898" s="1" t="s">
        <v>4503</v>
      </c>
      <c r="R1898" s="1" t="s">
        <v>41</v>
      </c>
      <c r="T1898" s="1" t="s">
        <v>93</v>
      </c>
      <c r="U1898" s="1" t="s">
        <v>44</v>
      </c>
      <c r="X1898" s="1" t="s">
        <v>140</v>
      </c>
      <c r="AA1898" s="3">
        <v>37398</v>
      </c>
      <c r="AB1898" s="1" t="s">
        <v>46</v>
      </c>
      <c r="AC1898" s="5">
        <v>1410</v>
      </c>
      <c r="AD1898" s="1" t="s">
        <v>4505</v>
      </c>
      <c r="AE1898" s="1" t="str">
        <f t="shared" si="142"/>
        <v>7916 4</v>
      </c>
      <c r="AF1898" s="5" t="str">
        <f t="shared" si="144"/>
        <v>121</v>
      </c>
      <c r="AG1898" s="1" t="str">
        <f t="shared" si="141"/>
        <v/>
      </c>
    </row>
    <row r="1899" spans="1:33" x14ac:dyDescent="0.2">
      <c r="A1899" s="1" t="s">
        <v>921</v>
      </c>
      <c r="B1899" s="1" t="s">
        <v>4500</v>
      </c>
      <c r="C1899" s="1">
        <v>7916</v>
      </c>
      <c r="D1899" s="1">
        <v>5</v>
      </c>
      <c r="F1899" s="1">
        <v>2023</v>
      </c>
      <c r="G1899" s="1" t="s">
        <v>952</v>
      </c>
      <c r="H1899" s="1" t="s">
        <v>4261</v>
      </c>
      <c r="I1899" s="1">
        <v>4</v>
      </c>
      <c r="K1899" s="1" t="s">
        <v>4501</v>
      </c>
      <c r="L1899" s="1" t="s">
        <v>4502</v>
      </c>
      <c r="M1899" s="1">
        <v>263</v>
      </c>
      <c r="N1899" s="1" t="s">
        <v>39</v>
      </c>
      <c r="O1899" s="1">
        <v>32.589199999999998</v>
      </c>
      <c r="P1899" s="1">
        <v>-84.691699999999997</v>
      </c>
      <c r="Q1899" s="1" t="s">
        <v>4503</v>
      </c>
      <c r="R1899" s="1" t="s">
        <v>41</v>
      </c>
      <c r="T1899" s="1" t="s">
        <v>93</v>
      </c>
      <c r="U1899" s="1" t="s">
        <v>44</v>
      </c>
      <c r="V1899" s="1" t="s">
        <v>94</v>
      </c>
      <c r="X1899" s="1" t="s">
        <v>140</v>
      </c>
      <c r="AA1899" s="3">
        <v>37697</v>
      </c>
      <c r="AB1899" s="1" t="s">
        <v>46</v>
      </c>
      <c r="AC1899" s="5">
        <v>1386</v>
      </c>
      <c r="AD1899" s="1" t="s">
        <v>4506</v>
      </c>
      <c r="AE1899" s="1" t="str">
        <f t="shared" si="142"/>
        <v>7916 5</v>
      </c>
      <c r="AF1899" s="5" t="str">
        <f t="shared" si="144"/>
        <v>121</v>
      </c>
      <c r="AG1899" s="1" t="str">
        <f t="shared" si="141"/>
        <v/>
      </c>
    </row>
    <row r="1900" spans="1:33" x14ac:dyDescent="0.2">
      <c r="A1900" s="1" t="s">
        <v>921</v>
      </c>
      <c r="B1900" s="1" t="s">
        <v>4500</v>
      </c>
      <c r="C1900" s="1">
        <v>7916</v>
      </c>
      <c r="D1900" s="1">
        <v>6</v>
      </c>
      <c r="F1900" s="1">
        <v>2023</v>
      </c>
      <c r="G1900" s="1" t="s">
        <v>952</v>
      </c>
      <c r="H1900" s="1" t="s">
        <v>4261</v>
      </c>
      <c r="I1900" s="1">
        <v>4</v>
      </c>
      <c r="K1900" s="1" t="s">
        <v>4501</v>
      </c>
      <c r="L1900" s="1" t="s">
        <v>4502</v>
      </c>
      <c r="M1900" s="1">
        <v>263</v>
      </c>
      <c r="N1900" s="1" t="s">
        <v>39</v>
      </c>
      <c r="O1900" s="1">
        <v>32.589199999999998</v>
      </c>
      <c r="P1900" s="1">
        <v>-84.691699999999997</v>
      </c>
      <c r="Q1900" s="1" t="s">
        <v>4503</v>
      </c>
      <c r="R1900" s="1" t="s">
        <v>41</v>
      </c>
      <c r="T1900" s="1" t="s">
        <v>93</v>
      </c>
      <c r="U1900" s="1" t="s">
        <v>44</v>
      </c>
      <c r="V1900" s="1" t="s">
        <v>94</v>
      </c>
      <c r="X1900" s="1" t="s">
        <v>140</v>
      </c>
      <c r="AA1900" s="3">
        <v>37719</v>
      </c>
      <c r="AB1900" s="1" t="s">
        <v>46</v>
      </c>
      <c r="AC1900" s="5">
        <v>1360</v>
      </c>
      <c r="AD1900" s="1" t="s">
        <v>4507</v>
      </c>
      <c r="AE1900" s="1" t="str">
        <f t="shared" si="142"/>
        <v>7916 6</v>
      </c>
      <c r="AF1900" s="5" t="str">
        <f t="shared" si="144"/>
        <v>121</v>
      </c>
      <c r="AG1900" s="1" t="str">
        <f t="shared" si="141"/>
        <v/>
      </c>
    </row>
    <row r="1901" spans="1:33" x14ac:dyDescent="0.2">
      <c r="A1901" s="1" t="s">
        <v>921</v>
      </c>
      <c r="B1901" s="1" t="s">
        <v>4508</v>
      </c>
      <c r="C1901" s="1">
        <v>7917</v>
      </c>
      <c r="D1901" s="1" t="s">
        <v>830</v>
      </c>
      <c r="F1901" s="1">
        <v>2023</v>
      </c>
      <c r="G1901" s="1" t="s">
        <v>952</v>
      </c>
      <c r="H1901" s="1" t="s">
        <v>4261</v>
      </c>
      <c r="I1901" s="1">
        <v>4</v>
      </c>
      <c r="K1901" s="1" t="s">
        <v>4509</v>
      </c>
      <c r="L1901" s="1" t="s">
        <v>4510</v>
      </c>
      <c r="M1901" s="1">
        <v>149</v>
      </c>
      <c r="N1901" s="1" t="s">
        <v>39</v>
      </c>
      <c r="O1901" s="1">
        <v>33.406999999999996</v>
      </c>
      <c r="P1901" s="1">
        <v>-85.038700000000006</v>
      </c>
      <c r="Q1901" s="1" t="s">
        <v>4503</v>
      </c>
      <c r="R1901" s="1" t="s">
        <v>41</v>
      </c>
      <c r="T1901" s="1" t="s">
        <v>71</v>
      </c>
      <c r="U1901" s="1" t="s">
        <v>44</v>
      </c>
      <c r="X1901" s="1" t="s">
        <v>223</v>
      </c>
      <c r="AA1901" s="3">
        <v>37585</v>
      </c>
      <c r="AB1901" s="1" t="s">
        <v>46</v>
      </c>
      <c r="AC1901" s="5">
        <v>1830</v>
      </c>
      <c r="AD1901" s="1" t="s">
        <v>4511</v>
      </c>
      <c r="AE1901" s="1" t="str">
        <f t="shared" si="142"/>
        <v>7917 8A</v>
      </c>
      <c r="AF1901" s="14">
        <f>MID(AD1901,FIND("(",AD1901)+1,FIND(")",AD1901)-FIND("(",AD1901)-1)+187.7/2</f>
        <v>269.85000000000002</v>
      </c>
      <c r="AG1901" s="1" t="str">
        <f t="shared" si="141"/>
        <v>Y</v>
      </c>
    </row>
    <row r="1902" spans="1:33" x14ac:dyDescent="0.2">
      <c r="A1902" s="1" t="s">
        <v>921</v>
      </c>
      <c r="B1902" s="1" t="s">
        <v>4508</v>
      </c>
      <c r="C1902" s="1">
        <v>7917</v>
      </c>
      <c r="D1902" s="1" t="s">
        <v>832</v>
      </c>
      <c r="F1902" s="1">
        <v>2023</v>
      </c>
      <c r="G1902" s="1" t="s">
        <v>952</v>
      </c>
      <c r="H1902" s="1" t="s">
        <v>4261</v>
      </c>
      <c r="I1902" s="1">
        <v>4</v>
      </c>
      <c r="K1902" s="1" t="s">
        <v>4509</v>
      </c>
      <c r="L1902" s="1" t="s">
        <v>4510</v>
      </c>
      <c r="M1902" s="1">
        <v>149</v>
      </c>
      <c r="N1902" s="1" t="s">
        <v>39</v>
      </c>
      <c r="O1902" s="1">
        <v>33.406999999999996</v>
      </c>
      <c r="P1902" s="1">
        <v>-85.038700000000006</v>
      </c>
      <c r="Q1902" s="1" t="s">
        <v>4503</v>
      </c>
      <c r="R1902" s="1" t="s">
        <v>41</v>
      </c>
      <c r="T1902" s="1" t="s">
        <v>71</v>
      </c>
      <c r="U1902" s="1" t="s">
        <v>44</v>
      </c>
      <c r="X1902" s="1" t="s">
        <v>223</v>
      </c>
      <c r="AA1902" s="3">
        <v>37587</v>
      </c>
      <c r="AB1902" s="1" t="s">
        <v>46</v>
      </c>
      <c r="AC1902" s="5">
        <v>1875</v>
      </c>
      <c r="AD1902" s="1" t="s">
        <v>4512</v>
      </c>
      <c r="AE1902" s="1" t="str">
        <f t="shared" si="142"/>
        <v>7917 8B</v>
      </c>
      <c r="AF1902" s="14">
        <f>AF1901</f>
        <v>269.85000000000002</v>
      </c>
      <c r="AG1902" s="1" t="str">
        <f t="shared" si="141"/>
        <v>Y</v>
      </c>
    </row>
    <row r="1903" spans="1:33" x14ac:dyDescent="0.2">
      <c r="A1903" s="1" t="s">
        <v>1663</v>
      </c>
      <c r="B1903" s="1" t="s">
        <v>4513</v>
      </c>
      <c r="C1903" s="1">
        <v>7925</v>
      </c>
      <c r="D1903" s="1" t="s">
        <v>993</v>
      </c>
      <c r="F1903" s="1">
        <v>2023</v>
      </c>
      <c r="G1903" s="1" t="s">
        <v>1666</v>
      </c>
      <c r="H1903" s="1">
        <v>607684</v>
      </c>
      <c r="I1903" s="1">
        <v>5</v>
      </c>
      <c r="J1903" s="1" t="s">
        <v>207</v>
      </c>
      <c r="K1903" s="1" t="s">
        <v>3394</v>
      </c>
      <c r="L1903" s="1" t="s">
        <v>4514</v>
      </c>
      <c r="M1903" s="1">
        <v>91</v>
      </c>
      <c r="N1903" s="1" t="s">
        <v>39</v>
      </c>
      <c r="O1903" s="1">
        <v>43.798400000000001</v>
      </c>
      <c r="P1903" s="1">
        <v>-94.841499999999996</v>
      </c>
      <c r="Q1903" s="1" t="s">
        <v>1720</v>
      </c>
      <c r="R1903" s="1" t="s">
        <v>41</v>
      </c>
      <c r="T1903" s="1" t="s">
        <v>93</v>
      </c>
      <c r="U1903" s="1" t="s">
        <v>44</v>
      </c>
      <c r="V1903" s="1" t="s">
        <v>94</v>
      </c>
      <c r="X1903" s="1" t="s">
        <v>183</v>
      </c>
      <c r="AA1903" s="3">
        <v>37012</v>
      </c>
      <c r="AB1903" s="1" t="s">
        <v>46</v>
      </c>
      <c r="AC1903" s="5">
        <v>1184</v>
      </c>
      <c r="AD1903" s="1" t="s">
        <v>3704</v>
      </c>
      <c r="AE1903" s="1" t="str">
        <f t="shared" si="142"/>
        <v>7925 CT01</v>
      </c>
      <c r="AF1903" s="5" t="str">
        <f t="shared" ref="AF1903:AF1913" si="145">MID(AD1903,FIND("(",AD1903)+1,FIND(")",AD1903)-FIND("(",AD1903)-1)</f>
        <v>105</v>
      </c>
      <c r="AG1903" s="1" t="str">
        <f t="shared" si="141"/>
        <v/>
      </c>
    </row>
    <row r="1904" spans="1:33" x14ac:dyDescent="0.2">
      <c r="A1904" s="1" t="s">
        <v>1663</v>
      </c>
      <c r="B1904" s="1" t="s">
        <v>4513</v>
      </c>
      <c r="C1904" s="1">
        <v>7925</v>
      </c>
      <c r="D1904" s="1" t="s">
        <v>998</v>
      </c>
      <c r="F1904" s="1">
        <v>2023</v>
      </c>
      <c r="G1904" s="1" t="s">
        <v>1666</v>
      </c>
      <c r="H1904" s="1">
        <v>607684</v>
      </c>
      <c r="I1904" s="1">
        <v>5</v>
      </c>
      <c r="J1904" s="1" t="s">
        <v>207</v>
      </c>
      <c r="K1904" s="1" t="s">
        <v>3394</v>
      </c>
      <c r="L1904" s="1" t="s">
        <v>4514</v>
      </c>
      <c r="M1904" s="1">
        <v>91</v>
      </c>
      <c r="N1904" s="1" t="s">
        <v>39</v>
      </c>
      <c r="O1904" s="1">
        <v>43.798400000000001</v>
      </c>
      <c r="P1904" s="1">
        <v>-94.841499999999996</v>
      </c>
      <c r="Q1904" s="1" t="s">
        <v>1720</v>
      </c>
      <c r="R1904" s="1" t="s">
        <v>41</v>
      </c>
      <c r="T1904" s="1" t="s">
        <v>93</v>
      </c>
      <c r="U1904" s="1" t="s">
        <v>44</v>
      </c>
      <c r="V1904" s="1" t="s">
        <v>94</v>
      </c>
      <c r="X1904" s="1" t="s">
        <v>183</v>
      </c>
      <c r="AA1904" s="3">
        <v>37044</v>
      </c>
      <c r="AB1904" s="1" t="s">
        <v>46</v>
      </c>
      <c r="AC1904" s="5">
        <v>1184</v>
      </c>
      <c r="AD1904" s="1" t="s">
        <v>3969</v>
      </c>
      <c r="AE1904" s="1" t="str">
        <f t="shared" si="142"/>
        <v>7925 CT02</v>
      </c>
      <c r="AF1904" s="5" t="str">
        <f t="shared" si="145"/>
        <v>105</v>
      </c>
      <c r="AG1904" s="1" t="str">
        <f t="shared" si="141"/>
        <v/>
      </c>
    </row>
    <row r="1905" spans="1:33" x14ac:dyDescent="0.2">
      <c r="A1905" s="1" t="s">
        <v>1663</v>
      </c>
      <c r="B1905" s="1" t="s">
        <v>4513</v>
      </c>
      <c r="C1905" s="1">
        <v>7925</v>
      </c>
      <c r="D1905" s="1" t="s">
        <v>1043</v>
      </c>
      <c r="F1905" s="1">
        <v>2023</v>
      </c>
      <c r="G1905" s="1" t="s">
        <v>1666</v>
      </c>
      <c r="H1905" s="1">
        <v>607684</v>
      </c>
      <c r="I1905" s="1">
        <v>5</v>
      </c>
      <c r="J1905" s="1" t="s">
        <v>207</v>
      </c>
      <c r="K1905" s="1" t="s">
        <v>3394</v>
      </c>
      <c r="L1905" s="1" t="s">
        <v>4514</v>
      </c>
      <c r="M1905" s="1">
        <v>91</v>
      </c>
      <c r="N1905" s="1" t="s">
        <v>39</v>
      </c>
      <c r="O1905" s="1">
        <v>43.798400000000001</v>
      </c>
      <c r="P1905" s="1">
        <v>-94.841499999999996</v>
      </c>
      <c r="Q1905" s="1" t="s">
        <v>1720</v>
      </c>
      <c r="R1905" s="1" t="s">
        <v>41</v>
      </c>
      <c r="T1905" s="1" t="s">
        <v>93</v>
      </c>
      <c r="U1905" s="1" t="s">
        <v>44</v>
      </c>
      <c r="V1905" s="1" t="s">
        <v>94</v>
      </c>
      <c r="X1905" s="1" t="s">
        <v>183</v>
      </c>
      <c r="AA1905" s="3">
        <v>37037</v>
      </c>
      <c r="AB1905" s="1" t="s">
        <v>46</v>
      </c>
      <c r="AC1905" s="5">
        <v>1184</v>
      </c>
      <c r="AD1905" s="1" t="s">
        <v>1272</v>
      </c>
      <c r="AE1905" s="1" t="str">
        <f t="shared" si="142"/>
        <v>7925 CT03</v>
      </c>
      <c r="AF1905" s="5" t="str">
        <f t="shared" si="145"/>
        <v>105</v>
      </c>
      <c r="AG1905" s="1" t="str">
        <f t="shared" si="141"/>
        <v/>
      </c>
    </row>
    <row r="1906" spans="1:33" x14ac:dyDescent="0.2">
      <c r="A1906" s="1" t="s">
        <v>1663</v>
      </c>
      <c r="B1906" s="1" t="s">
        <v>4513</v>
      </c>
      <c r="C1906" s="1">
        <v>7925</v>
      </c>
      <c r="D1906" s="1" t="s">
        <v>1048</v>
      </c>
      <c r="F1906" s="1">
        <v>2023</v>
      </c>
      <c r="G1906" s="1" t="s">
        <v>1666</v>
      </c>
      <c r="H1906" s="1">
        <v>607684</v>
      </c>
      <c r="I1906" s="1">
        <v>5</v>
      </c>
      <c r="J1906" s="1" t="s">
        <v>207</v>
      </c>
      <c r="K1906" s="1" t="s">
        <v>3394</v>
      </c>
      <c r="L1906" s="1" t="s">
        <v>4514</v>
      </c>
      <c r="M1906" s="1">
        <v>91</v>
      </c>
      <c r="N1906" s="1" t="s">
        <v>39</v>
      </c>
      <c r="O1906" s="1">
        <v>43.798400000000001</v>
      </c>
      <c r="P1906" s="1">
        <v>-94.841499999999996</v>
      </c>
      <c r="Q1906" s="1" t="s">
        <v>1720</v>
      </c>
      <c r="R1906" s="1" t="s">
        <v>41</v>
      </c>
      <c r="T1906" s="1" t="s">
        <v>93</v>
      </c>
      <c r="U1906" s="1" t="s">
        <v>44</v>
      </c>
      <c r="V1906" s="1" t="s">
        <v>94</v>
      </c>
      <c r="X1906" s="1" t="s">
        <v>183</v>
      </c>
      <c r="AA1906" s="3">
        <v>37033</v>
      </c>
      <c r="AB1906" s="1" t="s">
        <v>46</v>
      </c>
      <c r="AC1906" s="5">
        <v>1184</v>
      </c>
      <c r="AD1906" s="1" t="s">
        <v>4515</v>
      </c>
      <c r="AE1906" s="1" t="str">
        <f t="shared" si="142"/>
        <v>7925 CT04</v>
      </c>
      <c r="AF1906" s="5" t="str">
        <f t="shared" si="145"/>
        <v>105</v>
      </c>
      <c r="AG1906" s="1" t="str">
        <f t="shared" si="141"/>
        <v/>
      </c>
    </row>
    <row r="1907" spans="1:33" x14ac:dyDescent="0.2">
      <c r="A1907" s="1" t="s">
        <v>1663</v>
      </c>
      <c r="B1907" s="1" t="s">
        <v>4513</v>
      </c>
      <c r="C1907" s="1">
        <v>7925</v>
      </c>
      <c r="D1907" s="1" t="s">
        <v>1050</v>
      </c>
      <c r="F1907" s="1">
        <v>2023</v>
      </c>
      <c r="G1907" s="1" t="s">
        <v>1666</v>
      </c>
      <c r="H1907" s="1">
        <v>607684</v>
      </c>
      <c r="I1907" s="1">
        <v>5</v>
      </c>
      <c r="J1907" s="1" t="s">
        <v>207</v>
      </c>
      <c r="K1907" s="1" t="s">
        <v>3394</v>
      </c>
      <c r="L1907" s="1" t="s">
        <v>4514</v>
      </c>
      <c r="M1907" s="1">
        <v>91</v>
      </c>
      <c r="N1907" s="1" t="s">
        <v>39</v>
      </c>
      <c r="O1907" s="1">
        <v>43.798400000000001</v>
      </c>
      <c r="P1907" s="1">
        <v>-94.841499999999996</v>
      </c>
      <c r="Q1907" s="1" t="s">
        <v>1720</v>
      </c>
      <c r="R1907" s="1" t="s">
        <v>41</v>
      </c>
      <c r="T1907" s="1" t="s">
        <v>93</v>
      </c>
      <c r="U1907" s="1" t="s">
        <v>44</v>
      </c>
      <c r="V1907" s="1" t="s">
        <v>94</v>
      </c>
      <c r="X1907" s="1" t="s">
        <v>183</v>
      </c>
      <c r="AA1907" s="3">
        <v>37025</v>
      </c>
      <c r="AB1907" s="1" t="s">
        <v>46</v>
      </c>
      <c r="AC1907" s="5">
        <v>1184</v>
      </c>
      <c r="AD1907" s="1" t="s">
        <v>4516</v>
      </c>
      <c r="AE1907" s="1" t="str">
        <f t="shared" si="142"/>
        <v>7925 CT05</v>
      </c>
      <c r="AF1907" s="5" t="str">
        <f t="shared" si="145"/>
        <v>105</v>
      </c>
      <c r="AG1907" s="1" t="str">
        <f t="shared" si="141"/>
        <v/>
      </c>
    </row>
    <row r="1908" spans="1:33" x14ac:dyDescent="0.2">
      <c r="A1908" s="1" t="s">
        <v>1663</v>
      </c>
      <c r="B1908" s="1" t="s">
        <v>4513</v>
      </c>
      <c r="C1908" s="1">
        <v>7925</v>
      </c>
      <c r="D1908" s="1" t="s">
        <v>4517</v>
      </c>
      <c r="F1908" s="1">
        <v>2023</v>
      </c>
      <c r="G1908" s="1" t="s">
        <v>1666</v>
      </c>
      <c r="H1908" s="1">
        <v>607684</v>
      </c>
      <c r="I1908" s="1">
        <v>5</v>
      </c>
      <c r="J1908" s="1" t="s">
        <v>207</v>
      </c>
      <c r="K1908" s="1" t="s">
        <v>3394</v>
      </c>
      <c r="L1908" s="1" t="s">
        <v>4514</v>
      </c>
      <c r="M1908" s="1">
        <v>91</v>
      </c>
      <c r="N1908" s="1" t="s">
        <v>39</v>
      </c>
      <c r="O1908" s="1">
        <v>43.798400000000001</v>
      </c>
      <c r="P1908" s="1">
        <v>-94.841499999999996</v>
      </c>
      <c r="Q1908" s="1" t="s">
        <v>1720</v>
      </c>
      <c r="R1908" s="1" t="s">
        <v>41</v>
      </c>
      <c r="T1908" s="1" t="s">
        <v>93</v>
      </c>
      <c r="U1908" s="1" t="s">
        <v>44</v>
      </c>
      <c r="V1908" s="1" t="s">
        <v>94</v>
      </c>
      <c r="X1908" s="1" t="s">
        <v>183</v>
      </c>
      <c r="AA1908" s="3">
        <v>37020</v>
      </c>
      <c r="AB1908" s="1" t="s">
        <v>46</v>
      </c>
      <c r="AC1908" s="5">
        <v>1184</v>
      </c>
      <c r="AD1908" s="1" t="s">
        <v>4518</v>
      </c>
      <c r="AE1908" s="1" t="str">
        <f t="shared" si="142"/>
        <v>7925 CT06</v>
      </c>
      <c r="AF1908" s="5" t="str">
        <f t="shared" si="145"/>
        <v>105</v>
      </c>
      <c r="AG1908" s="1" t="str">
        <f t="shared" si="141"/>
        <v/>
      </c>
    </row>
    <row r="1909" spans="1:33" x14ac:dyDescent="0.2">
      <c r="A1909" s="1" t="s">
        <v>225</v>
      </c>
      <c r="B1909" s="1" t="s">
        <v>4519</v>
      </c>
      <c r="C1909" s="1">
        <v>7928</v>
      </c>
      <c r="D1909" s="1">
        <v>1</v>
      </c>
      <c r="F1909" s="1">
        <v>2023</v>
      </c>
      <c r="G1909" s="1" t="s">
        <v>35</v>
      </c>
      <c r="H1909" s="1">
        <v>605879</v>
      </c>
      <c r="I1909" s="1">
        <v>7</v>
      </c>
      <c r="K1909" s="1" t="s">
        <v>4520</v>
      </c>
      <c r="L1909" s="1" t="s">
        <v>4521</v>
      </c>
      <c r="M1909" s="1">
        <v>121</v>
      </c>
      <c r="N1909" s="1" t="s">
        <v>39</v>
      </c>
      <c r="O1909" s="1">
        <v>38.532499999999999</v>
      </c>
      <c r="P1909" s="1">
        <v>-94.904200000000003</v>
      </c>
      <c r="Q1909" s="1" t="s">
        <v>1283</v>
      </c>
      <c r="R1909" s="1" t="s">
        <v>41</v>
      </c>
      <c r="T1909" s="1" t="s">
        <v>93</v>
      </c>
      <c r="U1909" s="1" t="s">
        <v>44</v>
      </c>
      <c r="AA1909" s="3">
        <v>37769</v>
      </c>
      <c r="AB1909" s="1" t="s">
        <v>46</v>
      </c>
      <c r="AC1909" s="5">
        <v>902</v>
      </c>
      <c r="AD1909" s="1" t="s">
        <v>4008</v>
      </c>
      <c r="AE1909" s="1" t="str">
        <f t="shared" si="142"/>
        <v>7928 1</v>
      </c>
      <c r="AF1909" s="5" t="str">
        <f t="shared" si="145"/>
        <v>102</v>
      </c>
      <c r="AG1909" s="1" t="str">
        <f t="shared" si="141"/>
        <v/>
      </c>
    </row>
    <row r="1910" spans="1:33" x14ac:dyDescent="0.2">
      <c r="A1910" s="1" t="s">
        <v>225</v>
      </c>
      <c r="B1910" s="1" t="s">
        <v>4522</v>
      </c>
      <c r="C1910" s="1">
        <v>7929</v>
      </c>
      <c r="D1910" s="1">
        <v>1</v>
      </c>
      <c r="F1910" s="1">
        <v>2023</v>
      </c>
      <c r="G1910" s="1" t="s">
        <v>35</v>
      </c>
      <c r="H1910" s="1">
        <v>605879</v>
      </c>
      <c r="I1910" s="1">
        <v>7</v>
      </c>
      <c r="K1910" s="1" t="s">
        <v>4384</v>
      </c>
      <c r="L1910" s="1" t="s">
        <v>4523</v>
      </c>
      <c r="M1910" s="1">
        <v>91</v>
      </c>
      <c r="N1910" s="1" t="s">
        <v>39</v>
      </c>
      <c r="O1910" s="1">
        <v>38.787799999999997</v>
      </c>
      <c r="P1910" s="1">
        <v>-94.984999999999999</v>
      </c>
      <c r="Q1910" s="1" t="s">
        <v>1283</v>
      </c>
      <c r="R1910" s="1" t="s">
        <v>41</v>
      </c>
      <c r="T1910" s="1" t="s">
        <v>93</v>
      </c>
      <c r="U1910" s="1" t="s">
        <v>44</v>
      </c>
      <c r="X1910" s="1" t="s">
        <v>454</v>
      </c>
      <c r="AA1910" s="3">
        <v>37706</v>
      </c>
      <c r="AB1910" s="1" t="s">
        <v>46</v>
      </c>
      <c r="AC1910" s="5">
        <v>975</v>
      </c>
      <c r="AD1910" s="1" t="s">
        <v>4008</v>
      </c>
      <c r="AE1910" s="1" t="str">
        <f t="shared" si="142"/>
        <v>7929 1</v>
      </c>
      <c r="AF1910" s="5" t="str">
        <f t="shared" si="145"/>
        <v>102</v>
      </c>
      <c r="AG1910" s="1" t="str">
        <f t="shared" si="141"/>
        <v/>
      </c>
    </row>
    <row r="1911" spans="1:33" x14ac:dyDescent="0.2">
      <c r="A1911" s="1" t="s">
        <v>225</v>
      </c>
      <c r="B1911" s="1" t="s">
        <v>4522</v>
      </c>
      <c r="C1911" s="1">
        <v>7929</v>
      </c>
      <c r="D1911" s="1">
        <v>2</v>
      </c>
      <c r="F1911" s="1">
        <v>2023</v>
      </c>
      <c r="G1911" s="1" t="s">
        <v>35</v>
      </c>
      <c r="H1911" s="1">
        <v>605879</v>
      </c>
      <c r="I1911" s="1">
        <v>7</v>
      </c>
      <c r="K1911" s="1" t="s">
        <v>4384</v>
      </c>
      <c r="L1911" s="1" t="s">
        <v>4523</v>
      </c>
      <c r="M1911" s="1">
        <v>91</v>
      </c>
      <c r="N1911" s="1" t="s">
        <v>39</v>
      </c>
      <c r="O1911" s="1">
        <v>38.787799999999997</v>
      </c>
      <c r="P1911" s="1">
        <v>-94.984999999999999</v>
      </c>
      <c r="Q1911" s="1" t="s">
        <v>1283</v>
      </c>
      <c r="R1911" s="1" t="s">
        <v>41</v>
      </c>
      <c r="T1911" s="1" t="s">
        <v>93</v>
      </c>
      <c r="U1911" s="1" t="s">
        <v>44</v>
      </c>
      <c r="X1911" s="1" t="s">
        <v>454</v>
      </c>
      <c r="AA1911" s="3">
        <v>37721</v>
      </c>
      <c r="AB1911" s="1" t="s">
        <v>46</v>
      </c>
      <c r="AC1911" s="5">
        <v>975</v>
      </c>
      <c r="AD1911" s="1" t="s">
        <v>4009</v>
      </c>
      <c r="AE1911" s="1" t="str">
        <f t="shared" si="142"/>
        <v>7929 2</v>
      </c>
      <c r="AF1911" s="5" t="str">
        <f t="shared" si="145"/>
        <v>102</v>
      </c>
      <c r="AG1911" s="1" t="str">
        <f t="shared" si="141"/>
        <v/>
      </c>
    </row>
    <row r="1912" spans="1:33" x14ac:dyDescent="0.2">
      <c r="A1912" s="1" t="s">
        <v>225</v>
      </c>
      <c r="B1912" s="1" t="s">
        <v>4522</v>
      </c>
      <c r="C1912" s="1">
        <v>7929</v>
      </c>
      <c r="D1912" s="1">
        <v>3</v>
      </c>
      <c r="F1912" s="1">
        <v>2023</v>
      </c>
      <c r="G1912" s="1" t="s">
        <v>35</v>
      </c>
      <c r="H1912" s="1">
        <v>605879</v>
      </c>
      <c r="I1912" s="1">
        <v>7</v>
      </c>
      <c r="K1912" s="1" t="s">
        <v>4384</v>
      </c>
      <c r="L1912" s="1" t="s">
        <v>4523</v>
      </c>
      <c r="M1912" s="1">
        <v>91</v>
      </c>
      <c r="N1912" s="1" t="s">
        <v>39</v>
      </c>
      <c r="O1912" s="1">
        <v>38.787799999999997</v>
      </c>
      <c r="P1912" s="1">
        <v>-94.984999999999999</v>
      </c>
      <c r="Q1912" s="1" t="s">
        <v>1283</v>
      </c>
      <c r="R1912" s="1" t="s">
        <v>41</v>
      </c>
      <c r="T1912" s="1" t="s">
        <v>93</v>
      </c>
      <c r="U1912" s="1" t="s">
        <v>44</v>
      </c>
      <c r="X1912" s="1" t="s">
        <v>454</v>
      </c>
      <c r="AA1912" s="3">
        <v>37733</v>
      </c>
      <c r="AB1912" s="1" t="s">
        <v>46</v>
      </c>
      <c r="AC1912" s="5">
        <v>975</v>
      </c>
      <c r="AD1912" s="1" t="s">
        <v>4010</v>
      </c>
      <c r="AE1912" s="1" t="str">
        <f t="shared" si="142"/>
        <v>7929 3</v>
      </c>
      <c r="AF1912" s="5" t="str">
        <f t="shared" si="145"/>
        <v>102</v>
      </c>
      <c r="AG1912" s="1" t="str">
        <f t="shared" si="141"/>
        <v/>
      </c>
    </row>
    <row r="1913" spans="1:33" x14ac:dyDescent="0.2">
      <c r="A1913" s="1" t="s">
        <v>225</v>
      </c>
      <c r="B1913" s="1" t="s">
        <v>4522</v>
      </c>
      <c r="C1913" s="1">
        <v>7929</v>
      </c>
      <c r="D1913" s="1">
        <v>4</v>
      </c>
      <c r="F1913" s="1">
        <v>2023</v>
      </c>
      <c r="G1913" s="1" t="s">
        <v>35</v>
      </c>
      <c r="H1913" s="1">
        <v>605879</v>
      </c>
      <c r="I1913" s="1">
        <v>7</v>
      </c>
      <c r="K1913" s="1" t="s">
        <v>4384</v>
      </c>
      <c r="L1913" s="1" t="s">
        <v>4523</v>
      </c>
      <c r="M1913" s="1">
        <v>91</v>
      </c>
      <c r="N1913" s="1" t="s">
        <v>39</v>
      </c>
      <c r="O1913" s="1">
        <v>38.787799999999997</v>
      </c>
      <c r="P1913" s="1">
        <v>-94.984999999999999</v>
      </c>
      <c r="Q1913" s="1" t="s">
        <v>1283</v>
      </c>
      <c r="R1913" s="1" t="s">
        <v>41</v>
      </c>
      <c r="T1913" s="1" t="s">
        <v>93</v>
      </c>
      <c r="U1913" s="1" t="s">
        <v>44</v>
      </c>
      <c r="X1913" s="1" t="s">
        <v>454</v>
      </c>
      <c r="AA1913" s="3">
        <v>37740</v>
      </c>
      <c r="AB1913" s="1" t="s">
        <v>46</v>
      </c>
      <c r="AC1913" s="5">
        <v>975</v>
      </c>
      <c r="AD1913" s="1" t="s">
        <v>4011</v>
      </c>
      <c r="AE1913" s="1" t="str">
        <f t="shared" si="142"/>
        <v>7929 4</v>
      </c>
      <c r="AF1913" s="5" t="str">
        <f t="shared" si="145"/>
        <v>102</v>
      </c>
      <c r="AG1913" s="1" t="str">
        <f t="shared" si="141"/>
        <v/>
      </c>
    </row>
    <row r="1914" spans="1:33" x14ac:dyDescent="0.2">
      <c r="A1914" s="1" t="s">
        <v>921</v>
      </c>
      <c r="B1914" s="1" t="s">
        <v>4524</v>
      </c>
      <c r="C1914" s="1">
        <v>7946</v>
      </c>
      <c r="D1914" s="1" t="s">
        <v>4525</v>
      </c>
      <c r="F1914" s="1">
        <v>2023</v>
      </c>
      <c r="G1914" s="1" t="s">
        <v>952</v>
      </c>
      <c r="H1914" s="1">
        <v>2131</v>
      </c>
      <c r="I1914" s="1">
        <v>4</v>
      </c>
      <c r="J1914" s="1" t="s">
        <v>36</v>
      </c>
      <c r="K1914" s="1" t="s">
        <v>4509</v>
      </c>
      <c r="L1914" s="1" t="s">
        <v>4510</v>
      </c>
      <c r="M1914" s="1">
        <v>149</v>
      </c>
      <c r="N1914" s="1" t="s">
        <v>39</v>
      </c>
      <c r="O1914" s="1">
        <v>33.408200000000001</v>
      </c>
      <c r="P1914" s="1">
        <v>-85.039900000000003</v>
      </c>
      <c r="Q1914" s="1" t="s">
        <v>4526</v>
      </c>
      <c r="R1914" s="1" t="s">
        <v>41</v>
      </c>
      <c r="T1914" s="1" t="s">
        <v>71</v>
      </c>
      <c r="U1914" s="1" t="s">
        <v>44</v>
      </c>
      <c r="X1914" s="1" t="s">
        <v>64</v>
      </c>
      <c r="AA1914" s="3">
        <v>38012</v>
      </c>
      <c r="AB1914" s="1" t="s">
        <v>46</v>
      </c>
      <c r="AC1914" s="5">
        <v>2150</v>
      </c>
      <c r="AD1914" s="1" t="s">
        <v>4527</v>
      </c>
      <c r="AE1914" s="1" t="str">
        <f t="shared" si="142"/>
        <v>7946 CT9A</v>
      </c>
      <c r="AF1914" s="14">
        <f>MID(AD1914,FIND("(",AD1914)+1,FIND(")",AD1914)-FIND("(",AD1914)-1)+226/2</f>
        <v>284</v>
      </c>
      <c r="AG1914" s="1" t="str">
        <f t="shared" si="141"/>
        <v>Y</v>
      </c>
    </row>
    <row r="1915" spans="1:33" x14ac:dyDescent="0.2">
      <c r="A1915" s="1" t="s">
        <v>921</v>
      </c>
      <c r="B1915" s="1" t="s">
        <v>4524</v>
      </c>
      <c r="C1915" s="1">
        <v>7946</v>
      </c>
      <c r="D1915" s="1" t="s">
        <v>4528</v>
      </c>
      <c r="F1915" s="1">
        <v>2023</v>
      </c>
      <c r="G1915" s="1" t="s">
        <v>952</v>
      </c>
      <c r="H1915" s="1">
        <v>2131</v>
      </c>
      <c r="I1915" s="1">
        <v>4</v>
      </c>
      <c r="J1915" s="1" t="s">
        <v>36</v>
      </c>
      <c r="K1915" s="1" t="s">
        <v>4509</v>
      </c>
      <c r="L1915" s="1" t="s">
        <v>4510</v>
      </c>
      <c r="M1915" s="1">
        <v>149</v>
      </c>
      <c r="N1915" s="1" t="s">
        <v>39</v>
      </c>
      <c r="O1915" s="1">
        <v>33.408200000000001</v>
      </c>
      <c r="P1915" s="1">
        <v>-85.039900000000003</v>
      </c>
      <c r="Q1915" s="1" t="s">
        <v>4526</v>
      </c>
      <c r="R1915" s="1" t="s">
        <v>41</v>
      </c>
      <c r="T1915" s="1" t="s">
        <v>71</v>
      </c>
      <c r="U1915" s="1" t="s">
        <v>44</v>
      </c>
      <c r="X1915" s="1" t="s">
        <v>64</v>
      </c>
      <c r="AA1915" s="3">
        <v>38012</v>
      </c>
      <c r="AB1915" s="1" t="s">
        <v>46</v>
      </c>
      <c r="AC1915" s="5">
        <v>2150</v>
      </c>
      <c r="AD1915" s="1" t="s">
        <v>4529</v>
      </c>
      <c r="AE1915" s="1" t="str">
        <f t="shared" si="142"/>
        <v>7946 CT9B</v>
      </c>
      <c r="AF1915" s="14">
        <f>AF1914</f>
        <v>284</v>
      </c>
      <c r="AG1915" s="1" t="str">
        <f t="shared" si="141"/>
        <v>Y</v>
      </c>
    </row>
    <row r="1916" spans="1:33" x14ac:dyDescent="0.2">
      <c r="A1916" s="1" t="s">
        <v>1663</v>
      </c>
      <c r="B1916" s="1" t="s">
        <v>4530</v>
      </c>
      <c r="C1916" s="1">
        <v>7947</v>
      </c>
      <c r="D1916" s="1">
        <v>1</v>
      </c>
      <c r="F1916" s="1">
        <v>2023</v>
      </c>
      <c r="G1916" s="1" t="s">
        <v>1666</v>
      </c>
      <c r="H1916" s="1">
        <v>607660</v>
      </c>
      <c r="I1916" s="1">
        <v>5</v>
      </c>
      <c r="K1916" s="1" t="s">
        <v>4531</v>
      </c>
      <c r="L1916" s="1" t="s">
        <v>4532</v>
      </c>
      <c r="M1916" s="1">
        <v>7</v>
      </c>
      <c r="N1916" s="1" t="s">
        <v>39</v>
      </c>
      <c r="O1916" s="1">
        <v>47.544400000000003</v>
      </c>
      <c r="P1916" s="1">
        <v>-95.1297</v>
      </c>
      <c r="Q1916" s="1" t="s">
        <v>4533</v>
      </c>
      <c r="R1916" s="1" t="s">
        <v>41</v>
      </c>
      <c r="T1916" s="1" t="s">
        <v>93</v>
      </c>
      <c r="U1916" s="1" t="s">
        <v>44</v>
      </c>
      <c r="V1916" s="1" t="s">
        <v>94</v>
      </c>
      <c r="X1916" s="1" t="s">
        <v>95</v>
      </c>
      <c r="AA1916" s="3">
        <v>37773</v>
      </c>
      <c r="AB1916" s="1" t="s">
        <v>46</v>
      </c>
      <c r="AC1916" s="5">
        <v>502.2</v>
      </c>
      <c r="AD1916" s="1" t="s">
        <v>2580</v>
      </c>
      <c r="AE1916" s="1" t="str">
        <f t="shared" si="142"/>
        <v>7947 1</v>
      </c>
      <c r="AF1916" s="5" t="str">
        <f t="shared" ref="AF1916:AF1959" si="146">MID(AD1916,FIND("(",AD1916)+1,FIND(")",AD1916)-FIND("(",AD1916)-1)</f>
        <v>44</v>
      </c>
      <c r="AG1916" s="1" t="str">
        <f t="shared" si="141"/>
        <v/>
      </c>
    </row>
    <row r="1917" spans="1:33" x14ac:dyDescent="0.2">
      <c r="A1917" s="1" t="s">
        <v>1071</v>
      </c>
      <c r="B1917" s="1" t="s">
        <v>4534</v>
      </c>
      <c r="C1917" s="1">
        <v>7948</v>
      </c>
      <c r="D1917" s="1">
        <v>1</v>
      </c>
      <c r="F1917" s="1">
        <v>2023</v>
      </c>
      <c r="G1917" s="1" t="s">
        <v>461</v>
      </c>
      <c r="H1917" s="1">
        <v>604624</v>
      </c>
      <c r="I1917" s="1">
        <v>5</v>
      </c>
      <c r="K1917" s="1" t="s">
        <v>1347</v>
      </c>
      <c r="L1917" s="1" t="s">
        <v>4535</v>
      </c>
      <c r="M1917" s="1">
        <v>93</v>
      </c>
      <c r="N1917" s="1" t="s">
        <v>39</v>
      </c>
      <c r="O1917" s="1">
        <v>38.8003</v>
      </c>
      <c r="P1917" s="1">
        <v>-86.451099999999997</v>
      </c>
      <c r="Q1917" s="1" t="s">
        <v>4536</v>
      </c>
      <c r="R1917" s="1" t="s">
        <v>41</v>
      </c>
      <c r="T1917" s="1" t="s">
        <v>93</v>
      </c>
      <c r="U1917" s="1" t="s">
        <v>44</v>
      </c>
      <c r="X1917" s="1" t="s">
        <v>95</v>
      </c>
      <c r="AA1917" s="3">
        <v>38443</v>
      </c>
      <c r="AB1917" s="1" t="s">
        <v>46</v>
      </c>
      <c r="AC1917" s="5">
        <v>508</v>
      </c>
      <c r="AD1917" s="1" t="s">
        <v>4196</v>
      </c>
      <c r="AE1917" s="1" t="str">
        <f t="shared" si="142"/>
        <v>7948 1</v>
      </c>
      <c r="AF1917" s="5" t="str">
        <f t="shared" si="146"/>
        <v>47</v>
      </c>
      <c r="AG1917" s="1" t="str">
        <f t="shared" si="141"/>
        <v/>
      </c>
    </row>
    <row r="1918" spans="1:33" x14ac:dyDescent="0.2">
      <c r="A1918" s="1" t="s">
        <v>1071</v>
      </c>
      <c r="B1918" s="1" t="s">
        <v>4534</v>
      </c>
      <c r="C1918" s="1">
        <v>7948</v>
      </c>
      <c r="D1918" s="1">
        <v>2</v>
      </c>
      <c r="F1918" s="1">
        <v>2023</v>
      </c>
      <c r="G1918" s="1" t="s">
        <v>461</v>
      </c>
      <c r="H1918" s="1">
        <v>604624</v>
      </c>
      <c r="I1918" s="1">
        <v>5</v>
      </c>
      <c r="K1918" s="1" t="s">
        <v>1347</v>
      </c>
      <c r="L1918" s="1" t="s">
        <v>4535</v>
      </c>
      <c r="M1918" s="1">
        <v>93</v>
      </c>
      <c r="N1918" s="1" t="s">
        <v>39</v>
      </c>
      <c r="O1918" s="1">
        <v>38.8003</v>
      </c>
      <c r="P1918" s="1">
        <v>-86.451099999999997</v>
      </c>
      <c r="Q1918" s="1" t="s">
        <v>4536</v>
      </c>
      <c r="R1918" s="1" t="s">
        <v>41</v>
      </c>
      <c r="T1918" s="1" t="s">
        <v>93</v>
      </c>
      <c r="U1918" s="1" t="s">
        <v>44</v>
      </c>
      <c r="X1918" s="1" t="s">
        <v>95</v>
      </c>
      <c r="AA1918" s="3">
        <v>38443</v>
      </c>
      <c r="AB1918" s="1" t="s">
        <v>46</v>
      </c>
      <c r="AC1918" s="5">
        <v>508</v>
      </c>
      <c r="AD1918" s="1" t="s">
        <v>4197</v>
      </c>
      <c r="AE1918" s="1" t="str">
        <f t="shared" si="142"/>
        <v>7948 2</v>
      </c>
      <c r="AF1918" s="5" t="str">
        <f t="shared" si="146"/>
        <v>47</v>
      </c>
      <c r="AG1918" s="1" t="str">
        <f t="shared" si="141"/>
        <v/>
      </c>
    </row>
    <row r="1919" spans="1:33" x14ac:dyDescent="0.2">
      <c r="A1919" s="1" t="s">
        <v>1071</v>
      </c>
      <c r="B1919" s="1" t="s">
        <v>4534</v>
      </c>
      <c r="C1919" s="1">
        <v>7948</v>
      </c>
      <c r="D1919" s="1">
        <v>3</v>
      </c>
      <c r="F1919" s="1">
        <v>2023</v>
      </c>
      <c r="G1919" s="1" t="s">
        <v>461</v>
      </c>
      <c r="H1919" s="1">
        <v>604624</v>
      </c>
      <c r="I1919" s="1">
        <v>5</v>
      </c>
      <c r="K1919" s="1" t="s">
        <v>1347</v>
      </c>
      <c r="L1919" s="1" t="s">
        <v>4535</v>
      </c>
      <c r="M1919" s="1">
        <v>93</v>
      </c>
      <c r="N1919" s="1" t="s">
        <v>39</v>
      </c>
      <c r="O1919" s="1">
        <v>38.8003</v>
      </c>
      <c r="P1919" s="1">
        <v>-86.451099999999997</v>
      </c>
      <c r="Q1919" s="1" t="s">
        <v>4536</v>
      </c>
      <c r="R1919" s="1" t="s">
        <v>41</v>
      </c>
      <c r="T1919" s="1" t="s">
        <v>93</v>
      </c>
      <c r="U1919" s="1" t="s">
        <v>44</v>
      </c>
      <c r="X1919" s="1" t="s">
        <v>95</v>
      </c>
      <c r="AA1919" s="3">
        <v>38430</v>
      </c>
      <c r="AB1919" s="1" t="s">
        <v>46</v>
      </c>
      <c r="AC1919" s="5">
        <v>508</v>
      </c>
      <c r="AD1919" s="1" t="s">
        <v>4198</v>
      </c>
      <c r="AE1919" s="1" t="str">
        <f t="shared" si="142"/>
        <v>7948 3</v>
      </c>
      <c r="AF1919" s="5" t="str">
        <f t="shared" si="146"/>
        <v>47</v>
      </c>
      <c r="AG1919" s="1" t="str">
        <f t="shared" si="141"/>
        <v/>
      </c>
    </row>
    <row r="1920" spans="1:33" x14ac:dyDescent="0.2">
      <c r="A1920" s="1" t="s">
        <v>1071</v>
      </c>
      <c r="B1920" s="1" t="s">
        <v>4534</v>
      </c>
      <c r="C1920" s="1">
        <v>7948</v>
      </c>
      <c r="D1920" s="1">
        <v>4</v>
      </c>
      <c r="F1920" s="1">
        <v>2023</v>
      </c>
      <c r="G1920" s="1" t="s">
        <v>461</v>
      </c>
      <c r="H1920" s="1">
        <v>604624</v>
      </c>
      <c r="I1920" s="1">
        <v>5</v>
      </c>
      <c r="K1920" s="1" t="s">
        <v>1347</v>
      </c>
      <c r="L1920" s="1" t="s">
        <v>4535</v>
      </c>
      <c r="M1920" s="1">
        <v>93</v>
      </c>
      <c r="N1920" s="1" t="s">
        <v>39</v>
      </c>
      <c r="O1920" s="1">
        <v>38.8003</v>
      </c>
      <c r="P1920" s="1">
        <v>-86.451099999999997</v>
      </c>
      <c r="Q1920" s="1" t="s">
        <v>4536</v>
      </c>
      <c r="R1920" s="1" t="s">
        <v>41</v>
      </c>
      <c r="T1920" s="1" t="s">
        <v>93</v>
      </c>
      <c r="U1920" s="1" t="s">
        <v>44</v>
      </c>
      <c r="X1920" s="1" t="s">
        <v>95</v>
      </c>
      <c r="AA1920" s="3">
        <v>38413</v>
      </c>
      <c r="AB1920" s="1" t="s">
        <v>46</v>
      </c>
      <c r="AC1920" s="5">
        <v>508</v>
      </c>
      <c r="AD1920" s="1" t="s">
        <v>4199</v>
      </c>
      <c r="AE1920" s="1" t="str">
        <f t="shared" si="142"/>
        <v>7948 4</v>
      </c>
      <c r="AF1920" s="5" t="str">
        <f t="shared" si="146"/>
        <v>47</v>
      </c>
      <c r="AG1920" s="1" t="str">
        <f t="shared" si="141"/>
        <v/>
      </c>
    </row>
    <row r="1921" spans="1:33" x14ac:dyDescent="0.2">
      <c r="A1921" s="1" t="s">
        <v>1071</v>
      </c>
      <c r="B1921" s="1" t="s">
        <v>4534</v>
      </c>
      <c r="C1921" s="1">
        <v>7948</v>
      </c>
      <c r="D1921" s="1">
        <v>5</v>
      </c>
      <c r="F1921" s="1">
        <v>2023</v>
      </c>
      <c r="G1921" s="1" t="s">
        <v>461</v>
      </c>
      <c r="H1921" s="1">
        <v>604624</v>
      </c>
      <c r="I1921" s="1">
        <v>5</v>
      </c>
      <c r="K1921" s="1" t="s">
        <v>1347</v>
      </c>
      <c r="L1921" s="1" t="s">
        <v>4535</v>
      </c>
      <c r="M1921" s="1">
        <v>93</v>
      </c>
      <c r="N1921" s="1" t="s">
        <v>39</v>
      </c>
      <c r="O1921" s="1">
        <v>38.8003</v>
      </c>
      <c r="P1921" s="1">
        <v>-86.451099999999997</v>
      </c>
      <c r="Q1921" s="1" t="s">
        <v>4536</v>
      </c>
      <c r="R1921" s="1" t="s">
        <v>41</v>
      </c>
      <c r="T1921" s="1" t="s">
        <v>93</v>
      </c>
      <c r="U1921" s="1" t="s">
        <v>44</v>
      </c>
      <c r="X1921" s="1" t="s">
        <v>95</v>
      </c>
      <c r="AA1921" s="3">
        <v>38404</v>
      </c>
      <c r="AB1921" s="1" t="s">
        <v>46</v>
      </c>
      <c r="AC1921" s="5">
        <v>508</v>
      </c>
      <c r="AD1921" s="1" t="s">
        <v>507</v>
      </c>
      <c r="AE1921" s="1" t="str">
        <f t="shared" si="142"/>
        <v>7948 5</v>
      </c>
      <c r="AF1921" s="5" t="str">
        <f t="shared" si="146"/>
        <v>47</v>
      </c>
      <c r="AG1921" s="1" t="str">
        <f t="shared" si="141"/>
        <v/>
      </c>
    </row>
    <row r="1922" spans="1:33" x14ac:dyDescent="0.2">
      <c r="A1922" s="1" t="s">
        <v>1071</v>
      </c>
      <c r="B1922" s="1" t="s">
        <v>4534</v>
      </c>
      <c r="C1922" s="1">
        <v>7948</v>
      </c>
      <c r="D1922" s="1">
        <v>6</v>
      </c>
      <c r="F1922" s="1">
        <v>2023</v>
      </c>
      <c r="G1922" s="1" t="s">
        <v>461</v>
      </c>
      <c r="H1922" s="1">
        <v>604624</v>
      </c>
      <c r="I1922" s="1">
        <v>5</v>
      </c>
      <c r="K1922" s="1" t="s">
        <v>1347</v>
      </c>
      <c r="L1922" s="1" t="s">
        <v>4535</v>
      </c>
      <c r="M1922" s="1">
        <v>93</v>
      </c>
      <c r="N1922" s="1" t="s">
        <v>39</v>
      </c>
      <c r="O1922" s="1">
        <v>38.8003</v>
      </c>
      <c r="P1922" s="1">
        <v>-86.451099999999997</v>
      </c>
      <c r="Q1922" s="1" t="s">
        <v>4536</v>
      </c>
      <c r="R1922" s="1" t="s">
        <v>41</v>
      </c>
      <c r="T1922" s="1" t="s">
        <v>93</v>
      </c>
      <c r="U1922" s="1" t="s">
        <v>44</v>
      </c>
      <c r="X1922" s="1" t="s">
        <v>95</v>
      </c>
      <c r="AA1922" s="3">
        <v>38395</v>
      </c>
      <c r="AB1922" s="1" t="s">
        <v>46</v>
      </c>
      <c r="AC1922" s="5">
        <v>508</v>
      </c>
      <c r="AD1922" s="1" t="s">
        <v>4537</v>
      </c>
      <c r="AE1922" s="1" t="str">
        <f t="shared" si="142"/>
        <v>7948 6</v>
      </c>
      <c r="AF1922" s="5" t="str">
        <f t="shared" si="146"/>
        <v>47</v>
      </c>
      <c r="AG1922" s="1" t="str">
        <f t="shared" ref="AG1922:AG1985" si="147">IF(ISNUMBER(SEARCH("selective", X1922)), "Y", "")</f>
        <v/>
      </c>
    </row>
    <row r="1923" spans="1:33" x14ac:dyDescent="0.2">
      <c r="A1923" s="1" t="s">
        <v>4118</v>
      </c>
      <c r="B1923" s="1" t="s">
        <v>4538</v>
      </c>
      <c r="C1923" s="1">
        <v>7953</v>
      </c>
      <c r="D1923" s="1" t="s">
        <v>311</v>
      </c>
      <c r="F1923" s="1">
        <v>2023</v>
      </c>
      <c r="G1923" s="1" t="s">
        <v>247</v>
      </c>
      <c r="H1923" s="1" t="s">
        <v>4539</v>
      </c>
      <c r="I1923" s="1">
        <v>10</v>
      </c>
      <c r="J1923" s="1" t="s">
        <v>237</v>
      </c>
      <c r="K1923" s="1" t="s">
        <v>4540</v>
      </c>
      <c r="L1923" s="1" t="s">
        <v>4541</v>
      </c>
      <c r="M1923" s="1">
        <v>39</v>
      </c>
      <c r="N1923" s="1" t="s">
        <v>39</v>
      </c>
      <c r="O1923" s="1">
        <v>43.179400000000001</v>
      </c>
      <c r="P1923" s="1">
        <v>-115.7328</v>
      </c>
      <c r="Q1923" s="1" t="s">
        <v>4542</v>
      </c>
      <c r="R1923" s="1" t="s">
        <v>41</v>
      </c>
      <c r="T1923" s="1" t="s">
        <v>93</v>
      </c>
      <c r="U1923" s="1" t="s">
        <v>44</v>
      </c>
      <c r="X1923" s="1" t="s">
        <v>140</v>
      </c>
      <c r="AA1923" s="3">
        <v>39500</v>
      </c>
      <c r="AB1923" s="1" t="s">
        <v>46</v>
      </c>
      <c r="AC1923" s="5">
        <v>2250</v>
      </c>
      <c r="AD1923" s="1" t="s">
        <v>4543</v>
      </c>
      <c r="AE1923" s="1" t="str">
        <f t="shared" ref="AE1923:AE1986" si="148">C1923&amp;" "&amp;D1923</f>
        <v>7953 CT1</v>
      </c>
      <c r="AF1923" s="5" t="str">
        <f t="shared" si="146"/>
        <v>179</v>
      </c>
      <c r="AG1923" s="1" t="str">
        <f t="shared" si="147"/>
        <v/>
      </c>
    </row>
    <row r="1924" spans="1:33" x14ac:dyDescent="0.2">
      <c r="A1924" s="1" t="s">
        <v>4118</v>
      </c>
      <c r="B1924" s="1" t="s">
        <v>4538</v>
      </c>
      <c r="C1924" s="1">
        <v>7953</v>
      </c>
      <c r="D1924" s="1" t="s">
        <v>98</v>
      </c>
      <c r="F1924" s="1">
        <v>2023</v>
      </c>
      <c r="G1924" s="1" t="s">
        <v>247</v>
      </c>
      <c r="H1924" s="1" t="s">
        <v>4539</v>
      </c>
      <c r="I1924" s="1">
        <v>10</v>
      </c>
      <c r="J1924" s="1" t="s">
        <v>237</v>
      </c>
      <c r="K1924" s="1" t="s">
        <v>4540</v>
      </c>
      <c r="L1924" s="1" t="s">
        <v>4541</v>
      </c>
      <c r="M1924" s="1">
        <v>39</v>
      </c>
      <c r="N1924" s="1" t="s">
        <v>39</v>
      </c>
      <c r="O1924" s="1">
        <v>43.179400000000001</v>
      </c>
      <c r="P1924" s="1">
        <v>-115.7328</v>
      </c>
      <c r="Q1924" s="1" t="s">
        <v>4542</v>
      </c>
      <c r="R1924" s="1" t="s">
        <v>41</v>
      </c>
      <c r="T1924" s="1" t="s">
        <v>93</v>
      </c>
      <c r="U1924" s="1" t="s">
        <v>44</v>
      </c>
      <c r="X1924" s="1" t="s">
        <v>140</v>
      </c>
      <c r="AA1924" s="3">
        <v>37159</v>
      </c>
      <c r="AB1924" s="1" t="s">
        <v>46</v>
      </c>
      <c r="AC1924" s="5">
        <v>750</v>
      </c>
      <c r="AD1924" s="1" t="s">
        <v>4544</v>
      </c>
      <c r="AE1924" s="1" t="str">
        <f t="shared" si="148"/>
        <v>7953 CT2</v>
      </c>
      <c r="AF1924" s="5" t="str">
        <f t="shared" si="146"/>
        <v>45.9</v>
      </c>
      <c r="AG1924" s="1" t="str">
        <f t="shared" si="147"/>
        <v/>
      </c>
    </row>
    <row r="1925" spans="1:33" x14ac:dyDescent="0.2">
      <c r="A1925" s="1" t="s">
        <v>4118</v>
      </c>
      <c r="B1925" s="1" t="s">
        <v>4538</v>
      </c>
      <c r="C1925" s="1">
        <v>7953</v>
      </c>
      <c r="D1925" s="1" t="s">
        <v>101</v>
      </c>
      <c r="F1925" s="1">
        <v>2023</v>
      </c>
      <c r="G1925" s="1" t="s">
        <v>247</v>
      </c>
      <c r="H1925" s="1" t="s">
        <v>4539</v>
      </c>
      <c r="I1925" s="1">
        <v>10</v>
      </c>
      <c r="J1925" s="1" t="s">
        <v>237</v>
      </c>
      <c r="K1925" s="1" t="s">
        <v>4540</v>
      </c>
      <c r="L1925" s="1" t="s">
        <v>4541</v>
      </c>
      <c r="M1925" s="1">
        <v>39</v>
      </c>
      <c r="N1925" s="1" t="s">
        <v>39</v>
      </c>
      <c r="O1925" s="1">
        <v>43.179400000000001</v>
      </c>
      <c r="P1925" s="1">
        <v>-115.7328</v>
      </c>
      <c r="Q1925" s="1" t="s">
        <v>4542</v>
      </c>
      <c r="R1925" s="1" t="s">
        <v>41</v>
      </c>
      <c r="T1925" s="1" t="s">
        <v>93</v>
      </c>
      <c r="U1925" s="1" t="s">
        <v>44</v>
      </c>
      <c r="X1925" s="1" t="s">
        <v>140</v>
      </c>
      <c r="AA1925" s="3">
        <v>37164</v>
      </c>
      <c r="AB1925" s="1" t="s">
        <v>46</v>
      </c>
      <c r="AC1925" s="5">
        <v>750</v>
      </c>
      <c r="AD1925" s="1" t="s">
        <v>4545</v>
      </c>
      <c r="AE1925" s="1" t="str">
        <f t="shared" si="148"/>
        <v>7953 CT3</v>
      </c>
      <c r="AF1925" s="5" t="str">
        <f t="shared" si="146"/>
        <v>45.9</v>
      </c>
      <c r="AG1925" s="1" t="str">
        <f t="shared" si="147"/>
        <v/>
      </c>
    </row>
    <row r="1926" spans="1:33" x14ac:dyDescent="0.2">
      <c r="A1926" s="1" t="s">
        <v>1732</v>
      </c>
      <c r="B1926" s="1" t="s">
        <v>4546</v>
      </c>
      <c r="C1926" s="1">
        <v>7960</v>
      </c>
      <c r="D1926" s="1" t="s">
        <v>4547</v>
      </c>
      <c r="F1926" s="1">
        <v>2023</v>
      </c>
      <c r="G1926" s="1" t="s">
        <v>346</v>
      </c>
      <c r="H1926" s="1">
        <v>609315</v>
      </c>
      <c r="I1926" s="1">
        <v>4</v>
      </c>
      <c r="K1926" s="1" t="s">
        <v>4546</v>
      </c>
      <c r="L1926" s="1" t="s">
        <v>4548</v>
      </c>
      <c r="M1926" s="1">
        <v>69</v>
      </c>
      <c r="N1926" s="1" t="s">
        <v>39</v>
      </c>
      <c r="O1926" s="1">
        <v>32.797600000000003</v>
      </c>
      <c r="P1926" s="1">
        <v>-88.605699999999999</v>
      </c>
      <c r="Q1926" s="1" t="s">
        <v>136</v>
      </c>
      <c r="R1926" s="1" t="s">
        <v>41</v>
      </c>
      <c r="T1926" s="1" t="s">
        <v>93</v>
      </c>
      <c r="U1926" s="1" t="s">
        <v>44</v>
      </c>
      <c r="V1926" s="1" t="s">
        <v>94</v>
      </c>
      <c r="X1926" s="1" t="s">
        <v>183</v>
      </c>
      <c r="AA1926" s="3">
        <v>37364</v>
      </c>
      <c r="AB1926" s="1" t="s">
        <v>46</v>
      </c>
      <c r="AC1926" s="5">
        <v>1092.5</v>
      </c>
      <c r="AD1926" s="1" t="s">
        <v>4549</v>
      </c>
      <c r="AE1926" s="1" t="str">
        <f t="shared" si="148"/>
        <v>7960 KCT1</v>
      </c>
      <c r="AF1926" s="5" t="str">
        <f t="shared" si="146"/>
        <v>93</v>
      </c>
      <c r="AG1926" s="1" t="str">
        <f t="shared" si="147"/>
        <v/>
      </c>
    </row>
    <row r="1927" spans="1:33" x14ac:dyDescent="0.2">
      <c r="A1927" s="1" t="s">
        <v>1732</v>
      </c>
      <c r="B1927" s="1" t="s">
        <v>4546</v>
      </c>
      <c r="C1927" s="1">
        <v>7960</v>
      </c>
      <c r="D1927" s="1" t="s">
        <v>4550</v>
      </c>
      <c r="F1927" s="1">
        <v>2023</v>
      </c>
      <c r="G1927" s="1" t="s">
        <v>346</v>
      </c>
      <c r="H1927" s="1">
        <v>609315</v>
      </c>
      <c r="I1927" s="1">
        <v>4</v>
      </c>
      <c r="K1927" s="1" t="s">
        <v>4546</v>
      </c>
      <c r="L1927" s="1" t="s">
        <v>4548</v>
      </c>
      <c r="M1927" s="1">
        <v>69</v>
      </c>
      <c r="N1927" s="1" t="s">
        <v>39</v>
      </c>
      <c r="O1927" s="1">
        <v>32.797600000000003</v>
      </c>
      <c r="P1927" s="1">
        <v>-88.605699999999999</v>
      </c>
      <c r="Q1927" s="1" t="s">
        <v>136</v>
      </c>
      <c r="R1927" s="1" t="s">
        <v>41</v>
      </c>
      <c r="T1927" s="1" t="s">
        <v>93</v>
      </c>
      <c r="U1927" s="1" t="s">
        <v>44</v>
      </c>
      <c r="V1927" s="1" t="s">
        <v>94</v>
      </c>
      <c r="X1927" s="1" t="s">
        <v>183</v>
      </c>
      <c r="AA1927" s="3">
        <v>37364</v>
      </c>
      <c r="AB1927" s="1" t="s">
        <v>46</v>
      </c>
      <c r="AC1927" s="5">
        <v>1096.8</v>
      </c>
      <c r="AD1927" s="1" t="s">
        <v>1827</v>
      </c>
      <c r="AE1927" s="1" t="str">
        <f t="shared" si="148"/>
        <v>7960 KCT2</v>
      </c>
      <c r="AF1927" s="5" t="str">
        <f t="shared" si="146"/>
        <v>93</v>
      </c>
      <c r="AG1927" s="1" t="str">
        <f t="shared" si="147"/>
        <v/>
      </c>
    </row>
    <row r="1928" spans="1:33" x14ac:dyDescent="0.2">
      <c r="A1928" s="1" t="s">
        <v>1732</v>
      </c>
      <c r="B1928" s="1" t="s">
        <v>4546</v>
      </c>
      <c r="C1928" s="1">
        <v>7960</v>
      </c>
      <c r="D1928" s="1" t="s">
        <v>4551</v>
      </c>
      <c r="F1928" s="1">
        <v>2023</v>
      </c>
      <c r="G1928" s="1" t="s">
        <v>346</v>
      </c>
      <c r="H1928" s="1">
        <v>609315</v>
      </c>
      <c r="I1928" s="1">
        <v>4</v>
      </c>
      <c r="K1928" s="1" t="s">
        <v>4546</v>
      </c>
      <c r="L1928" s="1" t="s">
        <v>4548</v>
      </c>
      <c r="M1928" s="1">
        <v>69</v>
      </c>
      <c r="N1928" s="1" t="s">
        <v>39</v>
      </c>
      <c r="O1928" s="1">
        <v>32.797600000000003</v>
      </c>
      <c r="P1928" s="1">
        <v>-88.605699999999999</v>
      </c>
      <c r="Q1928" s="1" t="s">
        <v>136</v>
      </c>
      <c r="R1928" s="1" t="s">
        <v>41</v>
      </c>
      <c r="T1928" s="1" t="s">
        <v>93</v>
      </c>
      <c r="U1928" s="1" t="s">
        <v>44</v>
      </c>
      <c r="V1928" s="1" t="s">
        <v>94</v>
      </c>
      <c r="X1928" s="1" t="s">
        <v>183</v>
      </c>
      <c r="AA1928" s="3">
        <v>37369</v>
      </c>
      <c r="AB1928" s="1" t="s">
        <v>46</v>
      </c>
      <c r="AC1928" s="5">
        <v>1076.5999999999999</v>
      </c>
      <c r="AD1928" s="1" t="s">
        <v>4552</v>
      </c>
      <c r="AE1928" s="1" t="str">
        <f t="shared" si="148"/>
        <v>7960 KCT3</v>
      </c>
      <c r="AF1928" s="5" t="str">
        <f t="shared" si="146"/>
        <v>93</v>
      </c>
      <c r="AG1928" s="1" t="str">
        <f t="shared" si="147"/>
        <v/>
      </c>
    </row>
    <row r="1929" spans="1:33" x14ac:dyDescent="0.2">
      <c r="A1929" s="1" t="s">
        <v>1732</v>
      </c>
      <c r="B1929" s="1" t="s">
        <v>4546</v>
      </c>
      <c r="C1929" s="1">
        <v>7960</v>
      </c>
      <c r="D1929" s="1" t="s">
        <v>4553</v>
      </c>
      <c r="F1929" s="1">
        <v>2023</v>
      </c>
      <c r="G1929" s="1" t="s">
        <v>346</v>
      </c>
      <c r="H1929" s="1">
        <v>609315</v>
      </c>
      <c r="I1929" s="1">
        <v>4</v>
      </c>
      <c r="K1929" s="1" t="s">
        <v>4546</v>
      </c>
      <c r="L1929" s="1" t="s">
        <v>4548</v>
      </c>
      <c r="M1929" s="1">
        <v>69</v>
      </c>
      <c r="N1929" s="1" t="s">
        <v>39</v>
      </c>
      <c r="O1929" s="1">
        <v>32.797600000000003</v>
      </c>
      <c r="P1929" s="1">
        <v>-88.605699999999999</v>
      </c>
      <c r="Q1929" s="1" t="s">
        <v>136</v>
      </c>
      <c r="R1929" s="1" t="s">
        <v>41</v>
      </c>
      <c r="T1929" s="1" t="s">
        <v>93</v>
      </c>
      <c r="U1929" s="1" t="s">
        <v>44</v>
      </c>
      <c r="V1929" s="1" t="s">
        <v>94</v>
      </c>
      <c r="X1929" s="1" t="s">
        <v>183</v>
      </c>
      <c r="AA1929" s="3">
        <v>37374</v>
      </c>
      <c r="AB1929" s="1" t="s">
        <v>46</v>
      </c>
      <c r="AC1929" s="5">
        <v>1076.5999999999999</v>
      </c>
      <c r="AD1929" s="1" t="s">
        <v>4554</v>
      </c>
      <c r="AE1929" s="1" t="str">
        <f t="shared" si="148"/>
        <v>7960 KCT4</v>
      </c>
      <c r="AF1929" s="5" t="str">
        <f t="shared" si="146"/>
        <v>93</v>
      </c>
      <c r="AG1929" s="1" t="str">
        <f t="shared" si="147"/>
        <v/>
      </c>
    </row>
    <row r="1930" spans="1:33" x14ac:dyDescent="0.2">
      <c r="A1930" s="1" t="s">
        <v>660</v>
      </c>
      <c r="B1930" s="1" t="s">
        <v>4555</v>
      </c>
      <c r="C1930" s="1">
        <v>7962</v>
      </c>
      <c r="D1930" s="1">
        <v>1</v>
      </c>
      <c r="F1930" s="1">
        <v>2023</v>
      </c>
      <c r="G1930" s="1" t="s">
        <v>579</v>
      </c>
      <c r="H1930" s="1">
        <v>606164</v>
      </c>
      <c r="I1930" s="1">
        <v>3</v>
      </c>
      <c r="J1930" s="1" t="s">
        <v>668</v>
      </c>
      <c r="K1930" s="1" t="s">
        <v>4057</v>
      </c>
      <c r="L1930" s="1" t="s">
        <v>4058</v>
      </c>
      <c r="M1930" s="1">
        <v>1</v>
      </c>
      <c r="N1930" s="1" t="s">
        <v>39</v>
      </c>
      <c r="O1930" s="1">
        <v>39.279800000000002</v>
      </c>
      <c r="P1930" s="1">
        <v>-75.624600000000001</v>
      </c>
      <c r="Q1930" s="1" t="s">
        <v>4556</v>
      </c>
      <c r="R1930" s="1" t="s">
        <v>41</v>
      </c>
      <c r="T1930" s="1" t="s">
        <v>93</v>
      </c>
      <c r="U1930" s="1" t="s">
        <v>44</v>
      </c>
      <c r="X1930" s="1" t="s">
        <v>176</v>
      </c>
      <c r="AA1930" s="3">
        <v>37267</v>
      </c>
      <c r="AB1930" s="1" t="s">
        <v>46</v>
      </c>
      <c r="AC1930" s="5">
        <v>560</v>
      </c>
      <c r="AD1930" s="1" t="s">
        <v>4557</v>
      </c>
      <c r="AE1930" s="1" t="str">
        <f t="shared" si="148"/>
        <v>7962 1</v>
      </c>
      <c r="AF1930" s="5" t="str">
        <f t="shared" si="146"/>
        <v>45</v>
      </c>
      <c r="AG1930" s="1" t="str">
        <f t="shared" si="147"/>
        <v>Y</v>
      </c>
    </row>
    <row r="1931" spans="1:33" x14ac:dyDescent="0.2">
      <c r="A1931" s="1" t="s">
        <v>660</v>
      </c>
      <c r="B1931" s="1" t="s">
        <v>4555</v>
      </c>
      <c r="C1931" s="1">
        <v>7962</v>
      </c>
      <c r="D1931" s="1">
        <v>2</v>
      </c>
      <c r="F1931" s="1">
        <v>2023</v>
      </c>
      <c r="G1931" s="1" t="s">
        <v>579</v>
      </c>
      <c r="H1931" s="1">
        <v>606164</v>
      </c>
      <c r="I1931" s="1">
        <v>3</v>
      </c>
      <c r="J1931" s="1" t="s">
        <v>668</v>
      </c>
      <c r="K1931" s="1" t="s">
        <v>4057</v>
      </c>
      <c r="L1931" s="1" t="s">
        <v>4058</v>
      </c>
      <c r="M1931" s="1">
        <v>1</v>
      </c>
      <c r="N1931" s="1" t="s">
        <v>39</v>
      </c>
      <c r="O1931" s="1">
        <v>39.279800000000002</v>
      </c>
      <c r="P1931" s="1">
        <v>-75.624600000000001</v>
      </c>
      <c r="Q1931" s="1" t="s">
        <v>4556</v>
      </c>
      <c r="R1931" s="1" t="s">
        <v>41</v>
      </c>
      <c r="T1931" s="1" t="s">
        <v>93</v>
      </c>
      <c r="U1931" s="1" t="s">
        <v>44</v>
      </c>
      <c r="V1931" s="1" t="s">
        <v>94</v>
      </c>
      <c r="X1931" s="1" t="s">
        <v>176</v>
      </c>
      <c r="AA1931" s="3">
        <v>41024</v>
      </c>
      <c r="AB1931" s="1" t="s">
        <v>46</v>
      </c>
      <c r="AC1931" s="5">
        <v>500</v>
      </c>
      <c r="AD1931" s="1" t="s">
        <v>4558</v>
      </c>
      <c r="AE1931" s="1" t="str">
        <f t="shared" si="148"/>
        <v>7962 2</v>
      </c>
      <c r="AF1931" s="5" t="str">
        <f t="shared" si="146"/>
        <v>51</v>
      </c>
      <c r="AG1931" s="1" t="str">
        <f t="shared" si="147"/>
        <v>Y</v>
      </c>
    </row>
    <row r="1932" spans="1:33" x14ac:dyDescent="0.2">
      <c r="A1932" s="1" t="s">
        <v>1755</v>
      </c>
      <c r="B1932" s="1" t="s">
        <v>4559</v>
      </c>
      <c r="C1932" s="1">
        <v>7964</v>
      </c>
      <c r="D1932" s="1" t="s">
        <v>3676</v>
      </c>
      <c r="F1932" s="1">
        <v>2023</v>
      </c>
      <c r="G1932" s="1" t="s">
        <v>1207</v>
      </c>
      <c r="H1932" s="1">
        <v>607655</v>
      </c>
      <c r="I1932" s="1">
        <v>7</v>
      </c>
      <c r="K1932" s="1" t="s">
        <v>1106</v>
      </c>
      <c r="L1932" s="1" t="s">
        <v>4560</v>
      </c>
      <c r="M1932" s="1">
        <v>163</v>
      </c>
      <c r="N1932" s="1" t="s">
        <v>39</v>
      </c>
      <c r="O1932" s="1">
        <v>39.353099999999998</v>
      </c>
      <c r="P1932" s="1">
        <v>-91.229500000000002</v>
      </c>
      <c r="Q1932" s="1" t="s">
        <v>1046</v>
      </c>
      <c r="R1932" s="1" t="s">
        <v>41</v>
      </c>
      <c r="T1932" s="1" t="s">
        <v>93</v>
      </c>
      <c r="U1932" s="1" t="s">
        <v>44</v>
      </c>
      <c r="V1932" s="1" t="s">
        <v>94</v>
      </c>
      <c r="X1932" s="1" t="s">
        <v>95</v>
      </c>
      <c r="AA1932" s="3">
        <v>37373</v>
      </c>
      <c r="AB1932" s="1" t="s">
        <v>46</v>
      </c>
      <c r="AC1932" s="5">
        <v>325</v>
      </c>
      <c r="AD1932" s="1" t="s">
        <v>4561</v>
      </c>
      <c r="AE1932" s="1" t="str">
        <f t="shared" si="148"/>
        <v>7964 CT1A</v>
      </c>
      <c r="AF1932" s="5" t="str">
        <f t="shared" si="146"/>
        <v>57</v>
      </c>
      <c r="AG1932" s="1" t="str">
        <f t="shared" si="147"/>
        <v/>
      </c>
    </row>
    <row r="1933" spans="1:33" x14ac:dyDescent="0.2">
      <c r="A1933" s="1" t="s">
        <v>1755</v>
      </c>
      <c r="B1933" s="1" t="s">
        <v>4559</v>
      </c>
      <c r="C1933" s="1">
        <v>7964</v>
      </c>
      <c r="D1933" s="1" t="s">
        <v>3678</v>
      </c>
      <c r="F1933" s="1">
        <v>2023</v>
      </c>
      <c r="G1933" s="1" t="s">
        <v>1207</v>
      </c>
      <c r="H1933" s="1">
        <v>607655</v>
      </c>
      <c r="I1933" s="1">
        <v>7</v>
      </c>
      <c r="K1933" s="1" t="s">
        <v>1106</v>
      </c>
      <c r="L1933" s="1" t="s">
        <v>4560</v>
      </c>
      <c r="M1933" s="1">
        <v>163</v>
      </c>
      <c r="N1933" s="1" t="s">
        <v>39</v>
      </c>
      <c r="O1933" s="1">
        <v>39.353099999999998</v>
      </c>
      <c r="P1933" s="1">
        <v>-91.229500000000002</v>
      </c>
      <c r="Q1933" s="1" t="s">
        <v>1046</v>
      </c>
      <c r="R1933" s="1" t="s">
        <v>41</v>
      </c>
      <c r="T1933" s="1" t="s">
        <v>93</v>
      </c>
      <c r="U1933" s="1" t="s">
        <v>44</v>
      </c>
      <c r="V1933" s="1" t="s">
        <v>94</v>
      </c>
      <c r="X1933" s="1" t="s">
        <v>95</v>
      </c>
      <c r="AA1933" s="3">
        <v>37387</v>
      </c>
      <c r="AB1933" s="1" t="s">
        <v>46</v>
      </c>
      <c r="AC1933" s="5">
        <v>325</v>
      </c>
      <c r="AD1933" s="1" t="s">
        <v>4561</v>
      </c>
      <c r="AE1933" s="1" t="str">
        <f t="shared" si="148"/>
        <v>7964 CT1B</v>
      </c>
      <c r="AF1933" s="5" t="str">
        <f t="shared" si="146"/>
        <v>57</v>
      </c>
      <c r="AG1933" s="1" t="str">
        <f t="shared" si="147"/>
        <v/>
      </c>
    </row>
    <row r="1934" spans="1:33" x14ac:dyDescent="0.2">
      <c r="A1934" s="1" t="s">
        <v>1755</v>
      </c>
      <c r="B1934" s="1" t="s">
        <v>4559</v>
      </c>
      <c r="C1934" s="1">
        <v>7964</v>
      </c>
      <c r="D1934" s="1" t="s">
        <v>1052</v>
      </c>
      <c r="F1934" s="1">
        <v>2023</v>
      </c>
      <c r="G1934" s="1" t="s">
        <v>1207</v>
      </c>
      <c r="H1934" s="1">
        <v>607655</v>
      </c>
      <c r="I1934" s="1">
        <v>7</v>
      </c>
      <c r="K1934" s="1" t="s">
        <v>1106</v>
      </c>
      <c r="L1934" s="1" t="s">
        <v>4560</v>
      </c>
      <c r="M1934" s="1">
        <v>163</v>
      </c>
      <c r="N1934" s="1" t="s">
        <v>39</v>
      </c>
      <c r="O1934" s="1">
        <v>39.353099999999998</v>
      </c>
      <c r="P1934" s="1">
        <v>-91.229500000000002</v>
      </c>
      <c r="Q1934" s="1" t="s">
        <v>1046</v>
      </c>
      <c r="R1934" s="1" t="s">
        <v>41</v>
      </c>
      <c r="T1934" s="1" t="s">
        <v>93</v>
      </c>
      <c r="U1934" s="1" t="s">
        <v>44</v>
      </c>
      <c r="V1934" s="1" t="s">
        <v>94</v>
      </c>
      <c r="X1934" s="1" t="s">
        <v>95</v>
      </c>
      <c r="AA1934" s="3">
        <v>37384</v>
      </c>
      <c r="AB1934" s="1" t="s">
        <v>46</v>
      </c>
      <c r="AC1934" s="5">
        <v>325</v>
      </c>
      <c r="AD1934" s="1" t="s">
        <v>4562</v>
      </c>
      <c r="AE1934" s="1" t="str">
        <f t="shared" si="148"/>
        <v>7964 CT2A</v>
      </c>
      <c r="AF1934" s="5" t="str">
        <f t="shared" si="146"/>
        <v>57</v>
      </c>
      <c r="AG1934" s="1" t="str">
        <f t="shared" si="147"/>
        <v/>
      </c>
    </row>
    <row r="1935" spans="1:33" x14ac:dyDescent="0.2">
      <c r="A1935" s="1" t="s">
        <v>1755</v>
      </c>
      <c r="B1935" s="1" t="s">
        <v>4559</v>
      </c>
      <c r="C1935" s="1">
        <v>7964</v>
      </c>
      <c r="D1935" s="1" t="s">
        <v>1054</v>
      </c>
      <c r="F1935" s="1">
        <v>2023</v>
      </c>
      <c r="G1935" s="1" t="s">
        <v>1207</v>
      </c>
      <c r="H1935" s="1">
        <v>607655</v>
      </c>
      <c r="I1935" s="1">
        <v>7</v>
      </c>
      <c r="K1935" s="1" t="s">
        <v>1106</v>
      </c>
      <c r="L1935" s="1" t="s">
        <v>4560</v>
      </c>
      <c r="M1935" s="1">
        <v>163</v>
      </c>
      <c r="N1935" s="1" t="s">
        <v>39</v>
      </c>
      <c r="O1935" s="1">
        <v>39.353099999999998</v>
      </c>
      <c r="P1935" s="1">
        <v>-91.229500000000002</v>
      </c>
      <c r="Q1935" s="1" t="s">
        <v>1046</v>
      </c>
      <c r="R1935" s="1" t="s">
        <v>41</v>
      </c>
      <c r="T1935" s="1" t="s">
        <v>93</v>
      </c>
      <c r="U1935" s="1" t="s">
        <v>44</v>
      </c>
      <c r="V1935" s="1" t="s">
        <v>94</v>
      </c>
      <c r="X1935" s="1" t="s">
        <v>95</v>
      </c>
      <c r="AA1935" s="3">
        <v>37385</v>
      </c>
      <c r="AB1935" s="1" t="s">
        <v>46</v>
      </c>
      <c r="AC1935" s="5">
        <v>325</v>
      </c>
      <c r="AD1935" s="1" t="s">
        <v>4562</v>
      </c>
      <c r="AE1935" s="1" t="str">
        <f t="shared" si="148"/>
        <v>7964 CT2B</v>
      </c>
      <c r="AF1935" s="5" t="str">
        <f t="shared" si="146"/>
        <v>57</v>
      </c>
      <c r="AG1935" s="1" t="str">
        <f t="shared" si="147"/>
        <v/>
      </c>
    </row>
    <row r="1936" spans="1:33" x14ac:dyDescent="0.2">
      <c r="A1936" s="1" t="s">
        <v>1755</v>
      </c>
      <c r="B1936" s="1" t="s">
        <v>4559</v>
      </c>
      <c r="C1936" s="1">
        <v>7964</v>
      </c>
      <c r="D1936" s="1" t="s">
        <v>4423</v>
      </c>
      <c r="F1936" s="1">
        <v>2023</v>
      </c>
      <c r="G1936" s="1" t="s">
        <v>1207</v>
      </c>
      <c r="H1936" s="1">
        <v>607655</v>
      </c>
      <c r="I1936" s="1">
        <v>7</v>
      </c>
      <c r="K1936" s="1" t="s">
        <v>1106</v>
      </c>
      <c r="L1936" s="1" t="s">
        <v>4560</v>
      </c>
      <c r="M1936" s="1">
        <v>163</v>
      </c>
      <c r="N1936" s="1" t="s">
        <v>39</v>
      </c>
      <c r="O1936" s="1">
        <v>39.353099999999998</v>
      </c>
      <c r="P1936" s="1">
        <v>-91.229500000000002</v>
      </c>
      <c r="Q1936" s="1" t="s">
        <v>1046</v>
      </c>
      <c r="R1936" s="1" t="s">
        <v>41</v>
      </c>
      <c r="T1936" s="1" t="s">
        <v>93</v>
      </c>
      <c r="U1936" s="1" t="s">
        <v>44</v>
      </c>
      <c r="V1936" s="1" t="s">
        <v>94</v>
      </c>
      <c r="X1936" s="1" t="s">
        <v>95</v>
      </c>
      <c r="AA1936" s="3">
        <v>37386</v>
      </c>
      <c r="AB1936" s="1" t="s">
        <v>46</v>
      </c>
      <c r="AC1936" s="5">
        <v>325</v>
      </c>
      <c r="AD1936" s="1" t="s">
        <v>4563</v>
      </c>
      <c r="AE1936" s="1" t="str">
        <f t="shared" si="148"/>
        <v>7964 CT3A</v>
      </c>
      <c r="AF1936" s="5" t="str">
        <f t="shared" si="146"/>
        <v>57</v>
      </c>
      <c r="AG1936" s="1" t="str">
        <f t="shared" si="147"/>
        <v/>
      </c>
    </row>
    <row r="1937" spans="1:33" x14ac:dyDescent="0.2">
      <c r="A1937" s="1" t="s">
        <v>1755</v>
      </c>
      <c r="B1937" s="1" t="s">
        <v>4559</v>
      </c>
      <c r="C1937" s="1">
        <v>7964</v>
      </c>
      <c r="D1937" s="1" t="s">
        <v>4425</v>
      </c>
      <c r="F1937" s="1">
        <v>2023</v>
      </c>
      <c r="G1937" s="1" t="s">
        <v>1207</v>
      </c>
      <c r="H1937" s="1">
        <v>607655</v>
      </c>
      <c r="I1937" s="1">
        <v>7</v>
      </c>
      <c r="K1937" s="1" t="s">
        <v>1106</v>
      </c>
      <c r="L1937" s="1" t="s">
        <v>4560</v>
      </c>
      <c r="M1937" s="1">
        <v>163</v>
      </c>
      <c r="N1937" s="1" t="s">
        <v>39</v>
      </c>
      <c r="O1937" s="1">
        <v>39.353099999999998</v>
      </c>
      <c r="P1937" s="1">
        <v>-91.229500000000002</v>
      </c>
      <c r="Q1937" s="1" t="s">
        <v>1046</v>
      </c>
      <c r="R1937" s="1" t="s">
        <v>41</v>
      </c>
      <c r="T1937" s="1" t="s">
        <v>93</v>
      </c>
      <c r="U1937" s="1" t="s">
        <v>44</v>
      </c>
      <c r="V1937" s="1" t="s">
        <v>94</v>
      </c>
      <c r="X1937" s="1" t="s">
        <v>95</v>
      </c>
      <c r="AA1937" s="3">
        <v>37386</v>
      </c>
      <c r="AB1937" s="1" t="s">
        <v>46</v>
      </c>
      <c r="AC1937" s="5">
        <v>325</v>
      </c>
      <c r="AD1937" s="1" t="s">
        <v>4563</v>
      </c>
      <c r="AE1937" s="1" t="str">
        <f t="shared" si="148"/>
        <v>7964 CT3B</v>
      </c>
      <c r="AF1937" s="5" t="str">
        <f t="shared" si="146"/>
        <v>57</v>
      </c>
      <c r="AG1937" s="1" t="str">
        <f t="shared" si="147"/>
        <v/>
      </c>
    </row>
    <row r="1938" spans="1:33" x14ac:dyDescent="0.2">
      <c r="A1938" s="1" t="s">
        <v>1755</v>
      </c>
      <c r="B1938" s="1" t="s">
        <v>4559</v>
      </c>
      <c r="C1938" s="1">
        <v>7964</v>
      </c>
      <c r="D1938" s="1" t="s">
        <v>862</v>
      </c>
      <c r="F1938" s="1">
        <v>2023</v>
      </c>
      <c r="G1938" s="1" t="s">
        <v>1207</v>
      </c>
      <c r="H1938" s="1">
        <v>607655</v>
      </c>
      <c r="I1938" s="1">
        <v>7</v>
      </c>
      <c r="K1938" s="1" t="s">
        <v>1106</v>
      </c>
      <c r="L1938" s="1" t="s">
        <v>4560</v>
      </c>
      <c r="M1938" s="1">
        <v>163</v>
      </c>
      <c r="N1938" s="1" t="s">
        <v>39</v>
      </c>
      <c r="O1938" s="1">
        <v>39.353099999999998</v>
      </c>
      <c r="P1938" s="1">
        <v>-91.229500000000002</v>
      </c>
      <c r="Q1938" s="1" t="s">
        <v>1046</v>
      </c>
      <c r="R1938" s="1" t="s">
        <v>41</v>
      </c>
      <c r="T1938" s="1" t="s">
        <v>93</v>
      </c>
      <c r="U1938" s="1" t="s">
        <v>44</v>
      </c>
      <c r="V1938" s="1" t="s">
        <v>94</v>
      </c>
      <c r="X1938" s="1" t="s">
        <v>95</v>
      </c>
      <c r="AA1938" s="3">
        <v>37400</v>
      </c>
      <c r="AB1938" s="1" t="s">
        <v>46</v>
      </c>
      <c r="AC1938" s="5">
        <v>325</v>
      </c>
      <c r="AD1938" s="1" t="s">
        <v>4564</v>
      </c>
      <c r="AE1938" s="1" t="str">
        <f t="shared" si="148"/>
        <v>7964 CT4A</v>
      </c>
      <c r="AF1938" s="5" t="str">
        <f t="shared" si="146"/>
        <v>57</v>
      </c>
      <c r="AG1938" s="1" t="str">
        <f t="shared" si="147"/>
        <v/>
      </c>
    </row>
    <row r="1939" spans="1:33" x14ac:dyDescent="0.2">
      <c r="A1939" s="1" t="s">
        <v>1755</v>
      </c>
      <c r="B1939" s="1" t="s">
        <v>4559</v>
      </c>
      <c r="C1939" s="1">
        <v>7964</v>
      </c>
      <c r="D1939" s="1" t="s">
        <v>864</v>
      </c>
      <c r="F1939" s="1">
        <v>2023</v>
      </c>
      <c r="G1939" s="1" t="s">
        <v>1207</v>
      </c>
      <c r="H1939" s="1">
        <v>607655</v>
      </c>
      <c r="I1939" s="1">
        <v>7</v>
      </c>
      <c r="K1939" s="1" t="s">
        <v>1106</v>
      </c>
      <c r="L1939" s="1" t="s">
        <v>4560</v>
      </c>
      <c r="M1939" s="1">
        <v>163</v>
      </c>
      <c r="N1939" s="1" t="s">
        <v>39</v>
      </c>
      <c r="O1939" s="1">
        <v>39.353099999999998</v>
      </c>
      <c r="P1939" s="1">
        <v>-91.229500000000002</v>
      </c>
      <c r="Q1939" s="1" t="s">
        <v>1046</v>
      </c>
      <c r="R1939" s="1" t="s">
        <v>41</v>
      </c>
      <c r="T1939" s="1" t="s">
        <v>93</v>
      </c>
      <c r="U1939" s="1" t="s">
        <v>44</v>
      </c>
      <c r="V1939" s="1" t="s">
        <v>94</v>
      </c>
      <c r="X1939" s="1" t="s">
        <v>95</v>
      </c>
      <c r="AA1939" s="3">
        <v>37400</v>
      </c>
      <c r="AB1939" s="1" t="s">
        <v>46</v>
      </c>
      <c r="AC1939" s="5">
        <v>325</v>
      </c>
      <c r="AD1939" s="1" t="s">
        <v>4564</v>
      </c>
      <c r="AE1939" s="1" t="str">
        <f t="shared" si="148"/>
        <v>7964 CT4B</v>
      </c>
      <c r="AF1939" s="5" t="str">
        <f t="shared" si="146"/>
        <v>57</v>
      </c>
      <c r="AG1939" s="1" t="str">
        <f t="shared" si="147"/>
        <v/>
      </c>
    </row>
    <row r="1940" spans="1:33" x14ac:dyDescent="0.2">
      <c r="A1940" s="1" t="s">
        <v>2054</v>
      </c>
      <c r="B1940" s="1" t="s">
        <v>4565</v>
      </c>
      <c r="C1940" s="1">
        <v>7967</v>
      </c>
      <c r="D1940" s="1">
        <v>1</v>
      </c>
      <c r="F1940" s="1">
        <v>2023</v>
      </c>
      <c r="G1940" s="1" t="s">
        <v>247</v>
      </c>
      <c r="H1940" s="1">
        <v>610023</v>
      </c>
      <c r="I1940" s="1">
        <v>6</v>
      </c>
      <c r="K1940" s="1" t="s">
        <v>4202</v>
      </c>
      <c r="L1940" s="1" t="s">
        <v>4566</v>
      </c>
      <c r="M1940" s="1">
        <v>23</v>
      </c>
      <c r="N1940" s="1" t="s">
        <v>39</v>
      </c>
      <c r="O1940" s="1">
        <v>32.349400000000003</v>
      </c>
      <c r="P1940" s="1">
        <v>-108.69750000000001</v>
      </c>
      <c r="Q1940" s="1" t="s">
        <v>2078</v>
      </c>
      <c r="R1940" s="1" t="s">
        <v>41</v>
      </c>
      <c r="T1940" s="1" t="s">
        <v>93</v>
      </c>
      <c r="U1940" s="1" t="s">
        <v>44</v>
      </c>
      <c r="X1940" s="1" t="s">
        <v>95</v>
      </c>
      <c r="AA1940" s="3">
        <v>37438</v>
      </c>
      <c r="AB1940" s="1" t="s">
        <v>46</v>
      </c>
      <c r="AC1940" s="5">
        <v>422</v>
      </c>
      <c r="AD1940" s="1" t="s">
        <v>2580</v>
      </c>
      <c r="AE1940" s="1" t="str">
        <f t="shared" si="148"/>
        <v>7967 1</v>
      </c>
      <c r="AF1940" s="5" t="str">
        <f t="shared" si="146"/>
        <v>44</v>
      </c>
      <c r="AG1940" s="1" t="str">
        <f t="shared" si="147"/>
        <v/>
      </c>
    </row>
    <row r="1941" spans="1:33" x14ac:dyDescent="0.2">
      <c r="A1941" s="1" t="s">
        <v>2054</v>
      </c>
      <c r="B1941" s="1" t="s">
        <v>4565</v>
      </c>
      <c r="C1941" s="1">
        <v>7967</v>
      </c>
      <c r="D1941" s="1">
        <v>2</v>
      </c>
      <c r="F1941" s="1">
        <v>2023</v>
      </c>
      <c r="G1941" s="1" t="s">
        <v>247</v>
      </c>
      <c r="H1941" s="1">
        <v>610023</v>
      </c>
      <c r="I1941" s="1">
        <v>6</v>
      </c>
      <c r="K1941" s="1" t="s">
        <v>4202</v>
      </c>
      <c r="L1941" s="1" t="s">
        <v>4566</v>
      </c>
      <c r="M1941" s="1">
        <v>23</v>
      </c>
      <c r="N1941" s="1" t="s">
        <v>39</v>
      </c>
      <c r="O1941" s="1">
        <v>32.349400000000003</v>
      </c>
      <c r="P1941" s="1">
        <v>-108.69750000000001</v>
      </c>
      <c r="Q1941" s="1" t="s">
        <v>2078</v>
      </c>
      <c r="R1941" s="1" t="s">
        <v>41</v>
      </c>
      <c r="T1941" s="1" t="s">
        <v>93</v>
      </c>
      <c r="U1941" s="1" t="s">
        <v>44</v>
      </c>
      <c r="X1941" s="1" t="s">
        <v>95</v>
      </c>
      <c r="AA1941" s="3">
        <v>37438</v>
      </c>
      <c r="AB1941" s="1" t="s">
        <v>46</v>
      </c>
      <c r="AC1941" s="5">
        <v>422</v>
      </c>
      <c r="AD1941" s="1" t="s">
        <v>4567</v>
      </c>
      <c r="AE1941" s="1" t="str">
        <f t="shared" si="148"/>
        <v>7967 2</v>
      </c>
      <c r="AF1941" s="5" t="str">
        <f t="shared" si="146"/>
        <v>44</v>
      </c>
      <c r="AG1941" s="1" t="str">
        <f t="shared" si="147"/>
        <v/>
      </c>
    </row>
    <row r="1942" spans="1:33" x14ac:dyDescent="0.2">
      <c r="A1942" s="1" t="s">
        <v>1621</v>
      </c>
      <c r="B1942" s="1" t="s">
        <v>4568</v>
      </c>
      <c r="C1942" s="1">
        <v>7972</v>
      </c>
      <c r="D1942" s="1">
        <v>1</v>
      </c>
      <c r="F1942" s="1">
        <v>2023</v>
      </c>
      <c r="G1942" s="1" t="s">
        <v>461</v>
      </c>
      <c r="H1942" s="1">
        <v>609685</v>
      </c>
      <c r="I1942" s="1">
        <v>5</v>
      </c>
      <c r="K1942" s="1" t="s">
        <v>1178</v>
      </c>
      <c r="L1942" s="1" t="s">
        <v>1640</v>
      </c>
      <c r="M1942" s="1">
        <v>163</v>
      </c>
      <c r="N1942" s="1" t="s">
        <v>39</v>
      </c>
      <c r="O1942" s="1">
        <v>42.167000000000002</v>
      </c>
      <c r="P1942" s="1">
        <v>-83.531800000000004</v>
      </c>
      <c r="Q1942" s="1" t="s">
        <v>4569</v>
      </c>
      <c r="R1942" s="1" t="s">
        <v>41</v>
      </c>
      <c r="T1942" s="1" t="s">
        <v>93</v>
      </c>
      <c r="U1942" s="1" t="s">
        <v>44</v>
      </c>
      <c r="X1942" s="1" t="s">
        <v>140</v>
      </c>
      <c r="AA1942" s="3">
        <v>37361</v>
      </c>
      <c r="AB1942" s="1" t="s">
        <v>46</v>
      </c>
      <c r="AC1942" s="5">
        <v>1169.3</v>
      </c>
      <c r="AD1942" s="1" t="s">
        <v>3512</v>
      </c>
      <c r="AE1942" s="1" t="str">
        <f t="shared" si="148"/>
        <v>7972 1</v>
      </c>
      <c r="AF1942" s="5" t="str">
        <f t="shared" si="146"/>
        <v>85</v>
      </c>
      <c r="AG1942" s="1" t="str">
        <f t="shared" si="147"/>
        <v/>
      </c>
    </row>
    <row r="1943" spans="1:33" x14ac:dyDescent="0.2">
      <c r="A1943" s="1" t="s">
        <v>1621</v>
      </c>
      <c r="B1943" s="1" t="s">
        <v>4568</v>
      </c>
      <c r="C1943" s="1">
        <v>7972</v>
      </c>
      <c r="D1943" s="1">
        <v>2</v>
      </c>
      <c r="F1943" s="1">
        <v>2023</v>
      </c>
      <c r="G1943" s="1" t="s">
        <v>461</v>
      </c>
      <c r="H1943" s="1">
        <v>609685</v>
      </c>
      <c r="I1943" s="1">
        <v>5</v>
      </c>
      <c r="K1943" s="1" t="s">
        <v>1178</v>
      </c>
      <c r="L1943" s="1" t="s">
        <v>1640</v>
      </c>
      <c r="M1943" s="1">
        <v>163</v>
      </c>
      <c r="N1943" s="1" t="s">
        <v>39</v>
      </c>
      <c r="O1943" s="1">
        <v>42.167000000000002</v>
      </c>
      <c r="P1943" s="1">
        <v>-83.531800000000004</v>
      </c>
      <c r="Q1943" s="1" t="s">
        <v>4569</v>
      </c>
      <c r="R1943" s="1" t="s">
        <v>41</v>
      </c>
      <c r="T1943" s="1" t="s">
        <v>93</v>
      </c>
      <c r="U1943" s="1" t="s">
        <v>44</v>
      </c>
      <c r="X1943" s="1" t="s">
        <v>140</v>
      </c>
      <c r="AA1943" s="3">
        <v>37361</v>
      </c>
      <c r="AB1943" s="1" t="s">
        <v>46</v>
      </c>
      <c r="AC1943" s="5">
        <v>1150.0999999999999</v>
      </c>
      <c r="AD1943" s="1" t="s">
        <v>2476</v>
      </c>
      <c r="AE1943" s="1" t="str">
        <f t="shared" si="148"/>
        <v>7972 2</v>
      </c>
      <c r="AF1943" s="5" t="str">
        <f t="shared" si="146"/>
        <v>85</v>
      </c>
      <c r="AG1943" s="1" t="str">
        <f t="shared" si="147"/>
        <v/>
      </c>
    </row>
    <row r="1944" spans="1:33" x14ac:dyDescent="0.2">
      <c r="A1944" s="1" t="s">
        <v>1621</v>
      </c>
      <c r="B1944" s="1" t="s">
        <v>4568</v>
      </c>
      <c r="C1944" s="1">
        <v>7972</v>
      </c>
      <c r="D1944" s="1">
        <v>3</v>
      </c>
      <c r="F1944" s="1">
        <v>2023</v>
      </c>
      <c r="G1944" s="1" t="s">
        <v>461</v>
      </c>
      <c r="H1944" s="1">
        <v>609685</v>
      </c>
      <c r="I1944" s="1">
        <v>5</v>
      </c>
      <c r="K1944" s="1" t="s">
        <v>1178</v>
      </c>
      <c r="L1944" s="1" t="s">
        <v>1640</v>
      </c>
      <c r="M1944" s="1">
        <v>163</v>
      </c>
      <c r="N1944" s="1" t="s">
        <v>39</v>
      </c>
      <c r="O1944" s="1">
        <v>42.167000000000002</v>
      </c>
      <c r="P1944" s="1">
        <v>-83.531800000000004</v>
      </c>
      <c r="Q1944" s="1" t="s">
        <v>4569</v>
      </c>
      <c r="R1944" s="1" t="s">
        <v>41</v>
      </c>
      <c r="T1944" s="1" t="s">
        <v>93</v>
      </c>
      <c r="U1944" s="1" t="s">
        <v>44</v>
      </c>
      <c r="X1944" s="1" t="s">
        <v>140</v>
      </c>
      <c r="AA1944" s="3">
        <v>37361</v>
      </c>
      <c r="AB1944" s="1" t="s">
        <v>46</v>
      </c>
      <c r="AC1944" s="5">
        <v>1127.3</v>
      </c>
      <c r="AD1944" s="1" t="s">
        <v>2477</v>
      </c>
      <c r="AE1944" s="1" t="str">
        <f t="shared" si="148"/>
        <v>7972 3</v>
      </c>
      <c r="AF1944" s="5" t="str">
        <f t="shared" si="146"/>
        <v>85</v>
      </c>
      <c r="AG1944" s="1" t="str">
        <f t="shared" si="147"/>
        <v/>
      </c>
    </row>
    <row r="1945" spans="1:33" x14ac:dyDescent="0.2">
      <c r="A1945" s="1" t="s">
        <v>1621</v>
      </c>
      <c r="B1945" s="1" t="s">
        <v>4568</v>
      </c>
      <c r="C1945" s="1">
        <v>7972</v>
      </c>
      <c r="D1945" s="1">
        <v>4</v>
      </c>
      <c r="F1945" s="1">
        <v>2023</v>
      </c>
      <c r="G1945" s="1" t="s">
        <v>461</v>
      </c>
      <c r="H1945" s="1">
        <v>609685</v>
      </c>
      <c r="I1945" s="1">
        <v>5</v>
      </c>
      <c r="K1945" s="1" t="s">
        <v>1178</v>
      </c>
      <c r="L1945" s="1" t="s">
        <v>1640</v>
      </c>
      <c r="M1945" s="1">
        <v>163</v>
      </c>
      <c r="N1945" s="1" t="s">
        <v>39</v>
      </c>
      <c r="O1945" s="1">
        <v>42.167000000000002</v>
      </c>
      <c r="P1945" s="1">
        <v>-83.531800000000004</v>
      </c>
      <c r="Q1945" s="1" t="s">
        <v>4569</v>
      </c>
      <c r="R1945" s="1" t="s">
        <v>41</v>
      </c>
      <c r="T1945" s="1" t="s">
        <v>93</v>
      </c>
      <c r="U1945" s="1" t="s">
        <v>44</v>
      </c>
      <c r="X1945" s="1" t="s">
        <v>140</v>
      </c>
      <c r="AA1945" s="3">
        <v>37361</v>
      </c>
      <c r="AB1945" s="1" t="s">
        <v>46</v>
      </c>
      <c r="AC1945" s="5">
        <v>1155.7</v>
      </c>
      <c r="AD1945" s="1" t="s">
        <v>2478</v>
      </c>
      <c r="AE1945" s="1" t="str">
        <f t="shared" si="148"/>
        <v>7972 4</v>
      </c>
      <c r="AF1945" s="5" t="str">
        <f t="shared" si="146"/>
        <v>85</v>
      </c>
      <c r="AG1945" s="1" t="str">
        <f t="shared" si="147"/>
        <v/>
      </c>
    </row>
    <row r="1946" spans="1:33" x14ac:dyDescent="0.2">
      <c r="A1946" s="1" t="s">
        <v>2054</v>
      </c>
      <c r="B1946" s="1" t="s">
        <v>4570</v>
      </c>
      <c r="C1946" s="1">
        <v>7975</v>
      </c>
      <c r="D1946" s="1">
        <v>1</v>
      </c>
      <c r="F1946" s="1">
        <v>2023</v>
      </c>
      <c r="G1946" s="1" t="s">
        <v>247</v>
      </c>
      <c r="H1946" s="1">
        <v>603008</v>
      </c>
      <c r="I1946" s="1">
        <v>6</v>
      </c>
      <c r="K1946" s="1" t="s">
        <v>4202</v>
      </c>
      <c r="L1946" s="1" t="s">
        <v>4566</v>
      </c>
      <c r="M1946" s="1">
        <v>23</v>
      </c>
      <c r="N1946" s="1" t="s">
        <v>39</v>
      </c>
      <c r="O1946" s="1">
        <v>32.2363</v>
      </c>
      <c r="P1946" s="1">
        <v>-108.54940000000001</v>
      </c>
      <c r="Q1946" s="1" t="s">
        <v>3343</v>
      </c>
      <c r="R1946" s="1" t="s">
        <v>41</v>
      </c>
      <c r="T1946" s="1" t="s">
        <v>93</v>
      </c>
      <c r="U1946" s="1" t="s">
        <v>44</v>
      </c>
      <c r="V1946" s="1" t="s">
        <v>94</v>
      </c>
      <c r="X1946" s="1" t="s">
        <v>95</v>
      </c>
      <c r="AA1946" s="3">
        <v>37674</v>
      </c>
      <c r="AB1946" s="1" t="s">
        <v>46</v>
      </c>
      <c r="AC1946" s="5">
        <v>500</v>
      </c>
      <c r="AD1946" s="1" t="s">
        <v>4571</v>
      </c>
      <c r="AE1946" s="1" t="str">
        <f t="shared" si="148"/>
        <v>7975 1</v>
      </c>
      <c r="AF1946" s="5" t="str">
        <f t="shared" si="146"/>
        <v>45</v>
      </c>
      <c r="AG1946" s="1" t="str">
        <f t="shared" si="147"/>
        <v/>
      </c>
    </row>
    <row r="1947" spans="1:33" x14ac:dyDescent="0.2">
      <c r="A1947" s="1" t="s">
        <v>2054</v>
      </c>
      <c r="B1947" s="1" t="s">
        <v>4570</v>
      </c>
      <c r="C1947" s="1">
        <v>7975</v>
      </c>
      <c r="D1947" s="1">
        <v>2</v>
      </c>
      <c r="F1947" s="1">
        <v>2023</v>
      </c>
      <c r="G1947" s="1" t="s">
        <v>247</v>
      </c>
      <c r="H1947" s="1">
        <v>603008</v>
      </c>
      <c r="I1947" s="1">
        <v>6</v>
      </c>
      <c r="K1947" s="1" t="s">
        <v>4202</v>
      </c>
      <c r="L1947" s="1" t="s">
        <v>4566</v>
      </c>
      <c r="M1947" s="1">
        <v>23</v>
      </c>
      <c r="N1947" s="1" t="s">
        <v>39</v>
      </c>
      <c r="O1947" s="1">
        <v>32.2363</v>
      </c>
      <c r="P1947" s="1">
        <v>-108.54940000000001</v>
      </c>
      <c r="Q1947" s="1" t="s">
        <v>3343</v>
      </c>
      <c r="R1947" s="1" t="s">
        <v>41</v>
      </c>
      <c r="T1947" s="1" t="s">
        <v>93</v>
      </c>
      <c r="U1947" s="1" t="s">
        <v>44</v>
      </c>
      <c r="V1947" s="1" t="s">
        <v>94</v>
      </c>
      <c r="X1947" s="1" t="s">
        <v>95</v>
      </c>
      <c r="AA1947" s="3">
        <v>37684</v>
      </c>
      <c r="AB1947" s="1" t="s">
        <v>46</v>
      </c>
      <c r="AC1947" s="5">
        <v>500</v>
      </c>
      <c r="AD1947" s="1" t="s">
        <v>4572</v>
      </c>
      <c r="AE1947" s="1" t="str">
        <f t="shared" si="148"/>
        <v>7975 2</v>
      </c>
      <c r="AF1947" s="5" t="str">
        <f t="shared" si="146"/>
        <v>45</v>
      </c>
      <c r="AG1947" s="1" t="str">
        <f t="shared" si="147"/>
        <v/>
      </c>
    </row>
    <row r="1948" spans="1:33" x14ac:dyDescent="0.2">
      <c r="A1948" s="1" t="s">
        <v>2054</v>
      </c>
      <c r="B1948" s="1" t="s">
        <v>4570</v>
      </c>
      <c r="C1948" s="1">
        <v>7975</v>
      </c>
      <c r="D1948" s="1">
        <v>3</v>
      </c>
      <c r="F1948" s="1">
        <v>2023</v>
      </c>
      <c r="G1948" s="1" t="s">
        <v>247</v>
      </c>
      <c r="H1948" s="1">
        <v>603008</v>
      </c>
      <c r="I1948" s="1">
        <v>6</v>
      </c>
      <c r="K1948" s="1" t="s">
        <v>4202</v>
      </c>
      <c r="L1948" s="1" t="s">
        <v>4566</v>
      </c>
      <c r="M1948" s="1">
        <v>23</v>
      </c>
      <c r="N1948" s="1" t="s">
        <v>39</v>
      </c>
      <c r="O1948" s="1">
        <v>32.2363</v>
      </c>
      <c r="P1948" s="1">
        <v>-108.54940000000001</v>
      </c>
      <c r="Q1948" s="1" t="s">
        <v>3343</v>
      </c>
      <c r="R1948" s="1" t="s">
        <v>41</v>
      </c>
      <c r="T1948" s="1" t="s">
        <v>93</v>
      </c>
      <c r="U1948" s="1" t="s">
        <v>44</v>
      </c>
      <c r="V1948" s="1" t="s">
        <v>94</v>
      </c>
      <c r="X1948" s="1" t="s">
        <v>95</v>
      </c>
      <c r="AA1948" s="3">
        <v>37690</v>
      </c>
      <c r="AB1948" s="1" t="s">
        <v>46</v>
      </c>
      <c r="AC1948" s="5">
        <v>500</v>
      </c>
      <c r="AD1948" s="1" t="s">
        <v>4573</v>
      </c>
      <c r="AE1948" s="1" t="str">
        <f t="shared" si="148"/>
        <v>7975 3</v>
      </c>
      <c r="AF1948" s="5" t="str">
        <f t="shared" si="146"/>
        <v>45</v>
      </c>
      <c r="AG1948" s="1" t="str">
        <f t="shared" si="147"/>
        <v/>
      </c>
    </row>
    <row r="1949" spans="1:33" x14ac:dyDescent="0.2">
      <c r="A1949" s="1" t="s">
        <v>2054</v>
      </c>
      <c r="B1949" s="1" t="s">
        <v>4570</v>
      </c>
      <c r="C1949" s="1">
        <v>7975</v>
      </c>
      <c r="D1949" s="1">
        <v>4</v>
      </c>
      <c r="F1949" s="1">
        <v>2023</v>
      </c>
      <c r="G1949" s="1" t="s">
        <v>247</v>
      </c>
      <c r="H1949" s="1">
        <v>603008</v>
      </c>
      <c r="I1949" s="1">
        <v>6</v>
      </c>
      <c r="K1949" s="1" t="s">
        <v>4202</v>
      </c>
      <c r="L1949" s="1" t="s">
        <v>4566</v>
      </c>
      <c r="M1949" s="1">
        <v>23</v>
      </c>
      <c r="N1949" s="1" t="s">
        <v>39</v>
      </c>
      <c r="O1949" s="1">
        <v>32.2363</v>
      </c>
      <c r="P1949" s="1">
        <v>-108.54940000000001</v>
      </c>
      <c r="Q1949" s="1" t="s">
        <v>3343</v>
      </c>
      <c r="R1949" s="1" t="s">
        <v>41</v>
      </c>
      <c r="T1949" s="1" t="s">
        <v>93</v>
      </c>
      <c r="U1949" s="1" t="s">
        <v>44</v>
      </c>
      <c r="V1949" s="1" t="s">
        <v>94</v>
      </c>
      <c r="X1949" s="1" t="s">
        <v>95</v>
      </c>
      <c r="AA1949" s="3">
        <v>37698</v>
      </c>
      <c r="AB1949" s="1" t="s">
        <v>46</v>
      </c>
      <c r="AC1949" s="5">
        <v>500</v>
      </c>
      <c r="AD1949" s="1" t="s">
        <v>2366</v>
      </c>
      <c r="AE1949" s="1" t="str">
        <f t="shared" si="148"/>
        <v>7975 4</v>
      </c>
      <c r="AF1949" s="5" t="str">
        <f t="shared" si="146"/>
        <v>45</v>
      </c>
      <c r="AG1949" s="1" t="str">
        <f t="shared" si="147"/>
        <v/>
      </c>
    </row>
    <row r="1950" spans="1:33" x14ac:dyDescent="0.2">
      <c r="A1950" s="1" t="s">
        <v>291</v>
      </c>
      <c r="B1950" s="1" t="s">
        <v>4574</v>
      </c>
      <c r="C1950" s="1">
        <v>7981</v>
      </c>
      <c r="D1950" s="1">
        <v>1</v>
      </c>
      <c r="F1950" s="1">
        <v>2023</v>
      </c>
      <c r="G1950" s="1" t="s">
        <v>2690</v>
      </c>
      <c r="H1950" s="1" t="s">
        <v>2320</v>
      </c>
      <c r="I1950" s="1">
        <v>4</v>
      </c>
      <c r="K1950" s="1" t="s">
        <v>1275</v>
      </c>
      <c r="L1950" s="1" t="s">
        <v>4575</v>
      </c>
      <c r="M1950" s="1">
        <v>21</v>
      </c>
      <c r="N1950" s="1" t="s">
        <v>39</v>
      </c>
      <c r="O1950" s="1">
        <v>35.159700000000001</v>
      </c>
      <c r="P1950" s="1">
        <v>-81.430599999999998</v>
      </c>
      <c r="Q1950" s="1" t="s">
        <v>4007</v>
      </c>
      <c r="R1950" s="1" t="s">
        <v>41</v>
      </c>
      <c r="T1950" s="1" t="s">
        <v>93</v>
      </c>
      <c r="U1950" s="1" t="s">
        <v>284</v>
      </c>
      <c r="V1950" s="1" t="s">
        <v>94</v>
      </c>
      <c r="X1950" s="1" t="s">
        <v>183</v>
      </c>
      <c r="AA1950" s="3">
        <v>37599</v>
      </c>
      <c r="AB1950" s="1" t="s">
        <v>46</v>
      </c>
      <c r="AC1950" s="5">
        <v>1244</v>
      </c>
      <c r="AD1950" s="1" t="s">
        <v>4576</v>
      </c>
      <c r="AE1950" s="1" t="str">
        <f t="shared" si="148"/>
        <v>7981 1</v>
      </c>
      <c r="AF1950" s="5" t="str">
        <f t="shared" si="146"/>
        <v>90</v>
      </c>
      <c r="AG1950" s="1" t="str">
        <f t="shared" si="147"/>
        <v/>
      </c>
    </row>
    <row r="1951" spans="1:33" x14ac:dyDescent="0.2">
      <c r="A1951" s="1" t="s">
        <v>291</v>
      </c>
      <c r="B1951" s="1" t="s">
        <v>4574</v>
      </c>
      <c r="C1951" s="1">
        <v>7981</v>
      </c>
      <c r="D1951" s="1">
        <v>2</v>
      </c>
      <c r="F1951" s="1">
        <v>2023</v>
      </c>
      <c r="G1951" s="1" t="s">
        <v>2690</v>
      </c>
      <c r="H1951" s="1" t="s">
        <v>2320</v>
      </c>
      <c r="I1951" s="1">
        <v>4</v>
      </c>
      <c r="K1951" s="1" t="s">
        <v>1275</v>
      </c>
      <c r="L1951" s="1" t="s">
        <v>4575</v>
      </c>
      <c r="M1951" s="1">
        <v>21</v>
      </c>
      <c r="N1951" s="1" t="s">
        <v>39</v>
      </c>
      <c r="O1951" s="1">
        <v>35.159700000000001</v>
      </c>
      <c r="P1951" s="1">
        <v>-81.430599999999998</v>
      </c>
      <c r="Q1951" s="1" t="s">
        <v>4007</v>
      </c>
      <c r="R1951" s="1" t="s">
        <v>41</v>
      </c>
      <c r="T1951" s="1" t="s">
        <v>93</v>
      </c>
      <c r="U1951" s="1" t="s">
        <v>284</v>
      </c>
      <c r="V1951" s="1" t="s">
        <v>94</v>
      </c>
      <c r="X1951" s="1" t="s">
        <v>183</v>
      </c>
      <c r="AA1951" s="3">
        <v>37602</v>
      </c>
      <c r="AB1951" s="1" t="s">
        <v>46</v>
      </c>
      <c r="AC1951" s="5">
        <v>1244</v>
      </c>
      <c r="AD1951" s="1" t="s">
        <v>4577</v>
      </c>
      <c r="AE1951" s="1" t="str">
        <f t="shared" si="148"/>
        <v>7981 2</v>
      </c>
      <c r="AF1951" s="5" t="str">
        <f t="shared" si="146"/>
        <v>90</v>
      </c>
      <c r="AG1951" s="1" t="str">
        <f t="shared" si="147"/>
        <v/>
      </c>
    </row>
    <row r="1952" spans="1:33" x14ac:dyDescent="0.2">
      <c r="A1952" s="1" t="s">
        <v>291</v>
      </c>
      <c r="B1952" s="1" t="s">
        <v>4574</v>
      </c>
      <c r="C1952" s="1">
        <v>7981</v>
      </c>
      <c r="D1952" s="1">
        <v>3</v>
      </c>
      <c r="F1952" s="1">
        <v>2023</v>
      </c>
      <c r="G1952" s="1" t="s">
        <v>2690</v>
      </c>
      <c r="H1952" s="1" t="s">
        <v>2320</v>
      </c>
      <c r="I1952" s="1">
        <v>4</v>
      </c>
      <c r="K1952" s="1" t="s">
        <v>1275</v>
      </c>
      <c r="L1952" s="1" t="s">
        <v>4575</v>
      </c>
      <c r="M1952" s="1">
        <v>21</v>
      </c>
      <c r="N1952" s="1" t="s">
        <v>39</v>
      </c>
      <c r="O1952" s="1">
        <v>35.159700000000001</v>
      </c>
      <c r="P1952" s="1">
        <v>-81.430599999999998</v>
      </c>
      <c r="Q1952" s="1" t="s">
        <v>4007</v>
      </c>
      <c r="R1952" s="1" t="s">
        <v>41</v>
      </c>
      <c r="T1952" s="1" t="s">
        <v>93</v>
      </c>
      <c r="U1952" s="1" t="s">
        <v>284</v>
      </c>
      <c r="V1952" s="1" t="s">
        <v>94</v>
      </c>
      <c r="X1952" s="1" t="s">
        <v>183</v>
      </c>
      <c r="AA1952" s="3">
        <v>37601</v>
      </c>
      <c r="AB1952" s="1" t="s">
        <v>46</v>
      </c>
      <c r="AC1952" s="5">
        <v>1244</v>
      </c>
      <c r="AD1952" s="1" t="s">
        <v>4578</v>
      </c>
      <c r="AE1952" s="1" t="str">
        <f t="shared" si="148"/>
        <v>7981 3</v>
      </c>
      <c r="AF1952" s="5" t="str">
        <f t="shared" si="146"/>
        <v>90</v>
      </c>
      <c r="AG1952" s="1" t="str">
        <f t="shared" si="147"/>
        <v/>
      </c>
    </row>
    <row r="1953" spans="1:33" x14ac:dyDescent="0.2">
      <c r="A1953" s="1" t="s">
        <v>291</v>
      </c>
      <c r="B1953" s="1" t="s">
        <v>4574</v>
      </c>
      <c r="C1953" s="1">
        <v>7981</v>
      </c>
      <c r="D1953" s="1">
        <v>4</v>
      </c>
      <c r="F1953" s="1">
        <v>2023</v>
      </c>
      <c r="G1953" s="1" t="s">
        <v>2690</v>
      </c>
      <c r="H1953" s="1" t="s">
        <v>2320</v>
      </c>
      <c r="I1953" s="1">
        <v>4</v>
      </c>
      <c r="K1953" s="1" t="s">
        <v>1275</v>
      </c>
      <c r="L1953" s="1" t="s">
        <v>4575</v>
      </c>
      <c r="M1953" s="1">
        <v>21</v>
      </c>
      <c r="N1953" s="1" t="s">
        <v>39</v>
      </c>
      <c r="O1953" s="1">
        <v>35.159700000000001</v>
      </c>
      <c r="P1953" s="1">
        <v>-81.430599999999998</v>
      </c>
      <c r="Q1953" s="1" t="s">
        <v>4007</v>
      </c>
      <c r="R1953" s="1" t="s">
        <v>41</v>
      </c>
      <c r="T1953" s="1" t="s">
        <v>93</v>
      </c>
      <c r="U1953" s="1" t="s">
        <v>284</v>
      </c>
      <c r="V1953" s="1" t="s">
        <v>94</v>
      </c>
      <c r="X1953" s="1" t="s">
        <v>183</v>
      </c>
      <c r="AA1953" s="3">
        <v>37606</v>
      </c>
      <c r="AB1953" s="1" t="s">
        <v>46</v>
      </c>
      <c r="AC1953" s="5">
        <v>1244</v>
      </c>
      <c r="AD1953" s="1" t="s">
        <v>1754</v>
      </c>
      <c r="AE1953" s="1" t="str">
        <f t="shared" si="148"/>
        <v>7981 4</v>
      </c>
      <c r="AF1953" s="5" t="str">
        <f t="shared" si="146"/>
        <v>90</v>
      </c>
      <c r="AG1953" s="1" t="str">
        <f t="shared" si="147"/>
        <v/>
      </c>
    </row>
    <row r="1954" spans="1:33" x14ac:dyDescent="0.2">
      <c r="A1954" s="1" t="s">
        <v>291</v>
      </c>
      <c r="B1954" s="1" t="s">
        <v>4574</v>
      </c>
      <c r="C1954" s="1">
        <v>7981</v>
      </c>
      <c r="D1954" s="1">
        <v>5</v>
      </c>
      <c r="F1954" s="1">
        <v>2023</v>
      </c>
      <c r="G1954" s="1" t="s">
        <v>2690</v>
      </c>
      <c r="H1954" s="1" t="s">
        <v>2320</v>
      </c>
      <c r="I1954" s="1">
        <v>4</v>
      </c>
      <c r="K1954" s="1" t="s">
        <v>1275</v>
      </c>
      <c r="L1954" s="1" t="s">
        <v>4575</v>
      </c>
      <c r="M1954" s="1">
        <v>21</v>
      </c>
      <c r="N1954" s="1" t="s">
        <v>39</v>
      </c>
      <c r="O1954" s="1">
        <v>35.159700000000001</v>
      </c>
      <c r="P1954" s="1">
        <v>-81.430599999999998</v>
      </c>
      <c r="Q1954" s="1" t="s">
        <v>4007</v>
      </c>
      <c r="R1954" s="1" t="s">
        <v>41</v>
      </c>
      <c r="T1954" s="1" t="s">
        <v>93</v>
      </c>
      <c r="U1954" s="1" t="s">
        <v>284</v>
      </c>
      <c r="V1954" s="1" t="s">
        <v>94</v>
      </c>
      <c r="X1954" s="1" t="s">
        <v>183</v>
      </c>
      <c r="AA1954" s="3">
        <v>37642</v>
      </c>
      <c r="AB1954" s="1" t="s">
        <v>46</v>
      </c>
      <c r="AC1954" s="5">
        <v>1243.9000000000001</v>
      </c>
      <c r="AD1954" s="1" t="s">
        <v>4579</v>
      </c>
      <c r="AE1954" s="1" t="str">
        <f t="shared" si="148"/>
        <v>7981 5</v>
      </c>
      <c r="AF1954" s="5" t="str">
        <f t="shared" si="146"/>
        <v>90</v>
      </c>
      <c r="AG1954" s="1" t="str">
        <f t="shared" si="147"/>
        <v/>
      </c>
    </row>
    <row r="1955" spans="1:33" x14ac:dyDescent="0.2">
      <c r="A1955" s="1" t="s">
        <v>291</v>
      </c>
      <c r="B1955" s="1" t="s">
        <v>4574</v>
      </c>
      <c r="C1955" s="1">
        <v>7981</v>
      </c>
      <c r="D1955" s="1">
        <v>6</v>
      </c>
      <c r="F1955" s="1">
        <v>2023</v>
      </c>
      <c r="G1955" s="1" t="s">
        <v>2690</v>
      </c>
      <c r="H1955" s="1" t="s">
        <v>2320</v>
      </c>
      <c r="I1955" s="1">
        <v>4</v>
      </c>
      <c r="K1955" s="1" t="s">
        <v>1275</v>
      </c>
      <c r="L1955" s="1" t="s">
        <v>4575</v>
      </c>
      <c r="M1955" s="1">
        <v>21</v>
      </c>
      <c r="N1955" s="1" t="s">
        <v>39</v>
      </c>
      <c r="O1955" s="1">
        <v>35.159700000000001</v>
      </c>
      <c r="P1955" s="1">
        <v>-81.430599999999998</v>
      </c>
      <c r="Q1955" s="1" t="s">
        <v>4007</v>
      </c>
      <c r="R1955" s="1" t="s">
        <v>41</v>
      </c>
      <c r="T1955" s="1" t="s">
        <v>93</v>
      </c>
      <c r="U1955" s="1" t="s">
        <v>284</v>
      </c>
      <c r="V1955" s="1" t="s">
        <v>94</v>
      </c>
      <c r="X1955" s="1" t="s">
        <v>183</v>
      </c>
      <c r="AA1955" s="3">
        <v>37649</v>
      </c>
      <c r="AB1955" s="1" t="s">
        <v>46</v>
      </c>
      <c r="AC1955" s="5">
        <v>1243.9000000000001</v>
      </c>
      <c r="AD1955" s="1" t="s">
        <v>4580</v>
      </c>
      <c r="AE1955" s="1" t="str">
        <f t="shared" si="148"/>
        <v>7981 6</v>
      </c>
      <c r="AF1955" s="5" t="str">
        <f t="shared" si="146"/>
        <v>90</v>
      </c>
      <c r="AG1955" s="1" t="str">
        <f t="shared" si="147"/>
        <v/>
      </c>
    </row>
    <row r="1956" spans="1:33" x14ac:dyDescent="0.2">
      <c r="A1956" s="1" t="s">
        <v>291</v>
      </c>
      <c r="B1956" s="1" t="s">
        <v>4574</v>
      </c>
      <c r="C1956" s="1">
        <v>7981</v>
      </c>
      <c r="D1956" s="1">
        <v>7</v>
      </c>
      <c r="F1956" s="1">
        <v>2023</v>
      </c>
      <c r="G1956" s="1" t="s">
        <v>2690</v>
      </c>
      <c r="H1956" s="1" t="s">
        <v>2320</v>
      </c>
      <c r="I1956" s="1">
        <v>4</v>
      </c>
      <c r="K1956" s="1" t="s">
        <v>1275</v>
      </c>
      <c r="L1956" s="1" t="s">
        <v>4575</v>
      </c>
      <c r="M1956" s="1">
        <v>21</v>
      </c>
      <c r="N1956" s="1" t="s">
        <v>39</v>
      </c>
      <c r="O1956" s="1">
        <v>35.159700000000001</v>
      </c>
      <c r="P1956" s="1">
        <v>-81.430599999999998</v>
      </c>
      <c r="Q1956" s="1" t="s">
        <v>4007</v>
      </c>
      <c r="R1956" s="1" t="s">
        <v>41</v>
      </c>
      <c r="T1956" s="1" t="s">
        <v>93</v>
      </c>
      <c r="U1956" s="1" t="s">
        <v>284</v>
      </c>
      <c r="V1956" s="1" t="s">
        <v>94</v>
      </c>
      <c r="X1956" s="1" t="s">
        <v>183</v>
      </c>
      <c r="AA1956" s="3">
        <v>37646</v>
      </c>
      <c r="AB1956" s="1" t="s">
        <v>46</v>
      </c>
      <c r="AC1956" s="5">
        <v>1243.9000000000001</v>
      </c>
      <c r="AD1956" s="1" t="s">
        <v>4581</v>
      </c>
      <c r="AE1956" s="1" t="str">
        <f t="shared" si="148"/>
        <v>7981 7</v>
      </c>
      <c r="AF1956" s="5" t="str">
        <f t="shared" si="146"/>
        <v>90</v>
      </c>
      <c r="AG1956" s="1" t="str">
        <f t="shared" si="147"/>
        <v/>
      </c>
    </row>
    <row r="1957" spans="1:33" x14ac:dyDescent="0.2">
      <c r="A1957" s="1" t="s">
        <v>291</v>
      </c>
      <c r="B1957" s="1" t="s">
        <v>4574</v>
      </c>
      <c r="C1957" s="1">
        <v>7981</v>
      </c>
      <c r="D1957" s="1">
        <v>8</v>
      </c>
      <c r="F1957" s="1">
        <v>2023</v>
      </c>
      <c r="G1957" s="1" t="s">
        <v>2690</v>
      </c>
      <c r="H1957" s="1" t="s">
        <v>2320</v>
      </c>
      <c r="I1957" s="1">
        <v>4</v>
      </c>
      <c r="K1957" s="1" t="s">
        <v>1275</v>
      </c>
      <c r="L1957" s="1" t="s">
        <v>4575</v>
      </c>
      <c r="M1957" s="1">
        <v>21</v>
      </c>
      <c r="N1957" s="1" t="s">
        <v>39</v>
      </c>
      <c r="O1957" s="1">
        <v>35.159700000000001</v>
      </c>
      <c r="P1957" s="1">
        <v>-81.430599999999998</v>
      </c>
      <c r="Q1957" s="1" t="s">
        <v>4007</v>
      </c>
      <c r="R1957" s="1" t="s">
        <v>41</v>
      </c>
      <c r="T1957" s="1" t="s">
        <v>93</v>
      </c>
      <c r="U1957" s="1" t="s">
        <v>284</v>
      </c>
      <c r="V1957" s="1" t="s">
        <v>94</v>
      </c>
      <c r="X1957" s="1" t="s">
        <v>183</v>
      </c>
      <c r="AA1957" s="3">
        <v>37659</v>
      </c>
      <c r="AB1957" s="1" t="s">
        <v>46</v>
      </c>
      <c r="AC1957" s="5">
        <v>1243.9000000000001</v>
      </c>
      <c r="AD1957" s="1" t="s">
        <v>4582</v>
      </c>
      <c r="AE1957" s="1" t="str">
        <f t="shared" si="148"/>
        <v>7981 8</v>
      </c>
      <c r="AF1957" s="5" t="str">
        <f t="shared" si="146"/>
        <v>90</v>
      </c>
      <c r="AG1957" s="1" t="str">
        <f t="shared" si="147"/>
        <v/>
      </c>
    </row>
    <row r="1958" spans="1:33" x14ac:dyDescent="0.2">
      <c r="A1958" s="1" t="s">
        <v>1621</v>
      </c>
      <c r="B1958" s="1" t="s">
        <v>4583</v>
      </c>
      <c r="C1958" s="1">
        <v>7984</v>
      </c>
      <c r="D1958" s="1" t="s">
        <v>372</v>
      </c>
      <c r="F1958" s="1">
        <v>2023</v>
      </c>
      <c r="G1958" s="1" t="s">
        <v>461</v>
      </c>
      <c r="H1958" s="1">
        <v>608223</v>
      </c>
      <c r="I1958" s="1">
        <v>5</v>
      </c>
      <c r="K1958" s="1" t="s">
        <v>4584</v>
      </c>
      <c r="L1958" s="1" t="s">
        <v>4585</v>
      </c>
      <c r="M1958" s="1">
        <v>79</v>
      </c>
      <c r="N1958" s="1" t="s">
        <v>39</v>
      </c>
      <c r="O1958" s="1">
        <v>44.688899999999997</v>
      </c>
      <c r="P1958" s="1">
        <v>-85.201899999999995</v>
      </c>
      <c r="Q1958" s="1" t="s">
        <v>4586</v>
      </c>
      <c r="R1958" s="1" t="s">
        <v>41</v>
      </c>
      <c r="T1958" s="1" t="s">
        <v>93</v>
      </c>
      <c r="U1958" s="1" t="s">
        <v>44</v>
      </c>
      <c r="X1958" s="1" t="s">
        <v>4587</v>
      </c>
      <c r="AA1958" s="3">
        <v>37585</v>
      </c>
      <c r="AB1958" s="1" t="s">
        <v>46</v>
      </c>
      <c r="AC1958" s="5">
        <v>325</v>
      </c>
      <c r="AD1958" s="1" t="s">
        <v>4588</v>
      </c>
      <c r="AE1958" s="1" t="str">
        <f t="shared" si="148"/>
        <v>7984 1A</v>
      </c>
      <c r="AF1958" s="5" t="str">
        <f t="shared" si="146"/>
        <v>60.5</v>
      </c>
      <c r="AG1958" s="1" t="str">
        <f t="shared" si="147"/>
        <v/>
      </c>
    </row>
    <row r="1959" spans="1:33" x14ac:dyDescent="0.2">
      <c r="A1959" s="1" t="s">
        <v>1621</v>
      </c>
      <c r="B1959" s="1" t="s">
        <v>4583</v>
      </c>
      <c r="C1959" s="1">
        <v>7984</v>
      </c>
      <c r="D1959" s="1" t="s">
        <v>1199</v>
      </c>
      <c r="F1959" s="1">
        <v>2023</v>
      </c>
      <c r="G1959" s="1" t="s">
        <v>461</v>
      </c>
      <c r="H1959" s="1">
        <v>608223</v>
      </c>
      <c r="I1959" s="1">
        <v>5</v>
      </c>
      <c r="K1959" s="1" t="s">
        <v>4584</v>
      </c>
      <c r="L1959" s="1" t="s">
        <v>4585</v>
      </c>
      <c r="M1959" s="1">
        <v>79</v>
      </c>
      <c r="N1959" s="1" t="s">
        <v>39</v>
      </c>
      <c r="O1959" s="1">
        <v>44.688899999999997</v>
      </c>
      <c r="P1959" s="1">
        <v>-85.201899999999995</v>
      </c>
      <c r="Q1959" s="1" t="s">
        <v>4586</v>
      </c>
      <c r="R1959" s="1" t="s">
        <v>41</v>
      </c>
      <c r="T1959" s="1" t="s">
        <v>93</v>
      </c>
      <c r="U1959" s="1" t="s">
        <v>44</v>
      </c>
      <c r="X1959" s="1" t="s">
        <v>4587</v>
      </c>
      <c r="AA1959" s="3">
        <v>37585</v>
      </c>
      <c r="AB1959" s="1" t="s">
        <v>46</v>
      </c>
      <c r="AC1959" s="5">
        <v>325</v>
      </c>
      <c r="AD1959" s="1" t="s">
        <v>4588</v>
      </c>
      <c r="AE1959" s="1" t="str">
        <f t="shared" si="148"/>
        <v>7984 1B</v>
      </c>
      <c r="AF1959" s="5" t="str">
        <f t="shared" si="146"/>
        <v>60.5</v>
      </c>
      <c r="AG1959" s="1" t="str">
        <f t="shared" si="147"/>
        <v/>
      </c>
    </row>
    <row r="1960" spans="1:33" x14ac:dyDescent="0.2">
      <c r="A1960" s="1" t="s">
        <v>1186</v>
      </c>
      <c r="B1960" s="1" t="s">
        <v>4589</v>
      </c>
      <c r="C1960" s="1">
        <v>7985</v>
      </c>
      <c r="D1960" s="1">
        <v>1</v>
      </c>
      <c r="F1960" s="1">
        <v>2023</v>
      </c>
      <c r="G1960" s="1" t="s">
        <v>1207</v>
      </c>
      <c r="H1960" s="1" t="s">
        <v>1210</v>
      </c>
      <c r="I1960" s="1">
        <v>7</v>
      </c>
      <c r="K1960" s="1" t="s">
        <v>896</v>
      </c>
      <c r="L1960" s="1" t="s">
        <v>3894</v>
      </c>
      <c r="M1960" s="1">
        <v>153</v>
      </c>
      <c r="N1960" s="1" t="s">
        <v>39</v>
      </c>
      <c r="O1960" s="1">
        <v>41.5563</v>
      </c>
      <c r="P1960" s="1">
        <v>-93.528300000000002</v>
      </c>
      <c r="Q1960" s="1" t="s">
        <v>3440</v>
      </c>
      <c r="R1960" s="1" t="s">
        <v>41</v>
      </c>
      <c r="T1960" s="1" t="s">
        <v>71</v>
      </c>
      <c r="U1960" s="1" t="s">
        <v>44</v>
      </c>
      <c r="X1960" s="1" t="s">
        <v>858</v>
      </c>
      <c r="AA1960" s="3">
        <v>37712</v>
      </c>
      <c r="AB1960" s="1" t="s">
        <v>46</v>
      </c>
      <c r="AC1960" s="5">
        <v>2200</v>
      </c>
      <c r="AD1960" s="1" t="s">
        <v>4590</v>
      </c>
      <c r="AE1960" s="1" t="str">
        <f t="shared" si="148"/>
        <v>7985 1</v>
      </c>
      <c r="AF1960" s="14">
        <f>MID(AD1960,FIND("(",AD1960)+1,FIND(")",AD1960)-FIND("(",AD1960)-1)+195.5/2</f>
        <v>288.14999999999998</v>
      </c>
      <c r="AG1960" s="1" t="str">
        <f t="shared" si="147"/>
        <v>Y</v>
      </c>
    </row>
    <row r="1961" spans="1:33" x14ac:dyDescent="0.2">
      <c r="A1961" s="1" t="s">
        <v>1186</v>
      </c>
      <c r="B1961" s="1" t="s">
        <v>4589</v>
      </c>
      <c r="C1961" s="1">
        <v>7985</v>
      </c>
      <c r="D1961" s="1">
        <v>2</v>
      </c>
      <c r="F1961" s="1">
        <v>2023</v>
      </c>
      <c r="G1961" s="1" t="s">
        <v>1207</v>
      </c>
      <c r="H1961" s="1" t="s">
        <v>1210</v>
      </c>
      <c r="I1961" s="1">
        <v>7</v>
      </c>
      <c r="K1961" s="1" t="s">
        <v>896</v>
      </c>
      <c r="L1961" s="1" t="s">
        <v>3894</v>
      </c>
      <c r="M1961" s="1">
        <v>153</v>
      </c>
      <c r="N1961" s="1" t="s">
        <v>39</v>
      </c>
      <c r="O1961" s="1">
        <v>41.5563</v>
      </c>
      <c r="P1961" s="1">
        <v>-93.528300000000002</v>
      </c>
      <c r="Q1961" s="1" t="s">
        <v>3440</v>
      </c>
      <c r="R1961" s="1" t="s">
        <v>41</v>
      </c>
      <c r="T1961" s="1" t="s">
        <v>71</v>
      </c>
      <c r="U1961" s="1" t="s">
        <v>44</v>
      </c>
      <c r="X1961" s="1" t="s">
        <v>858</v>
      </c>
      <c r="AA1961" s="3">
        <v>37700</v>
      </c>
      <c r="AB1961" s="1" t="s">
        <v>46</v>
      </c>
      <c r="AC1961" s="5">
        <v>2200</v>
      </c>
      <c r="AD1961" s="1" t="s">
        <v>4591</v>
      </c>
      <c r="AE1961" s="1" t="str">
        <f t="shared" si="148"/>
        <v>7985 2</v>
      </c>
      <c r="AF1961" s="14">
        <f>AF1960</f>
        <v>288.14999999999998</v>
      </c>
      <c r="AG1961" s="1" t="str">
        <f t="shared" si="147"/>
        <v>Y</v>
      </c>
    </row>
    <row r="1962" spans="1:33" x14ac:dyDescent="0.2">
      <c r="A1962" s="1" t="s">
        <v>370</v>
      </c>
      <c r="B1962" s="1" t="s">
        <v>4592</v>
      </c>
      <c r="C1962" s="1">
        <v>7987</v>
      </c>
      <c r="D1962" s="1">
        <v>1</v>
      </c>
      <c r="F1962" s="1">
        <v>2023</v>
      </c>
      <c r="G1962" s="1" t="s">
        <v>247</v>
      </c>
      <c r="H1962" s="1">
        <v>610038</v>
      </c>
      <c r="I1962" s="1">
        <v>9</v>
      </c>
      <c r="J1962" s="1" t="s">
        <v>237</v>
      </c>
      <c r="K1962" s="1" t="s">
        <v>404</v>
      </c>
      <c r="L1962" s="1" t="s">
        <v>405</v>
      </c>
      <c r="M1962" s="1">
        <v>37</v>
      </c>
      <c r="N1962" s="1" t="s">
        <v>39</v>
      </c>
      <c r="O1962" s="1">
        <v>34.177500000000002</v>
      </c>
      <c r="P1962" s="1">
        <v>-118.3147</v>
      </c>
      <c r="Q1962" s="1" t="s">
        <v>3322</v>
      </c>
      <c r="R1962" s="1" t="s">
        <v>41</v>
      </c>
      <c r="T1962" s="1" t="s">
        <v>93</v>
      </c>
      <c r="U1962" s="1" t="s">
        <v>44</v>
      </c>
      <c r="X1962" s="1" t="s">
        <v>176</v>
      </c>
      <c r="AA1962" s="3">
        <v>37429</v>
      </c>
      <c r="AB1962" s="1" t="s">
        <v>46</v>
      </c>
      <c r="AC1962" s="5">
        <v>460.5</v>
      </c>
      <c r="AD1962" s="1" t="s">
        <v>4593</v>
      </c>
      <c r="AE1962" s="1" t="str">
        <f t="shared" si="148"/>
        <v>7987 1</v>
      </c>
      <c r="AF1962" s="5" t="str">
        <f t="shared" ref="AF1962:AF1968" si="149">MID(AD1962,FIND("(",AD1962)+1,FIND(")",AD1962)-FIND("(",AD1962)-1)</f>
        <v>48</v>
      </c>
      <c r="AG1962" s="1" t="str">
        <f t="shared" si="147"/>
        <v>Y</v>
      </c>
    </row>
    <row r="1963" spans="1:33" x14ac:dyDescent="0.2">
      <c r="A1963" s="1" t="s">
        <v>1732</v>
      </c>
      <c r="B1963" s="1" t="s">
        <v>4594</v>
      </c>
      <c r="C1963" s="1">
        <v>7988</v>
      </c>
      <c r="D1963" s="1">
        <v>1</v>
      </c>
      <c r="F1963" s="1">
        <v>2023</v>
      </c>
      <c r="G1963" s="1" t="s">
        <v>346</v>
      </c>
      <c r="H1963" s="1">
        <v>609473</v>
      </c>
      <c r="I1963" s="1">
        <v>4</v>
      </c>
      <c r="K1963" s="1" t="s">
        <v>4595</v>
      </c>
      <c r="L1963" s="1" t="s">
        <v>4596</v>
      </c>
      <c r="M1963" s="1">
        <v>65</v>
      </c>
      <c r="N1963" s="1" t="s">
        <v>39</v>
      </c>
      <c r="O1963" s="1">
        <v>31.6004</v>
      </c>
      <c r="P1963" s="1">
        <v>-89.946799999999996</v>
      </c>
      <c r="Q1963" s="1" t="s">
        <v>1750</v>
      </c>
      <c r="R1963" s="1" t="s">
        <v>41</v>
      </c>
      <c r="T1963" s="1" t="s">
        <v>93</v>
      </c>
      <c r="U1963" s="1" t="s">
        <v>44</v>
      </c>
      <c r="X1963" s="1" t="s">
        <v>140</v>
      </c>
      <c r="AA1963" s="3">
        <v>37923</v>
      </c>
      <c r="AB1963" s="1" t="s">
        <v>46</v>
      </c>
      <c r="AC1963" s="5">
        <v>1150</v>
      </c>
      <c r="AD1963" s="1" t="s">
        <v>4576</v>
      </c>
      <c r="AE1963" s="1" t="str">
        <f t="shared" si="148"/>
        <v>7988 1</v>
      </c>
      <c r="AF1963" s="5" t="str">
        <f t="shared" si="149"/>
        <v>90</v>
      </c>
      <c r="AG1963" s="1" t="str">
        <f t="shared" si="147"/>
        <v/>
      </c>
    </row>
    <row r="1964" spans="1:33" x14ac:dyDescent="0.2">
      <c r="A1964" s="1" t="s">
        <v>1732</v>
      </c>
      <c r="B1964" s="1" t="s">
        <v>4594</v>
      </c>
      <c r="C1964" s="1">
        <v>7988</v>
      </c>
      <c r="D1964" s="1">
        <v>2</v>
      </c>
      <c r="F1964" s="1">
        <v>2023</v>
      </c>
      <c r="G1964" s="1" t="s">
        <v>346</v>
      </c>
      <c r="H1964" s="1">
        <v>609473</v>
      </c>
      <c r="I1964" s="1">
        <v>4</v>
      </c>
      <c r="K1964" s="1" t="s">
        <v>4595</v>
      </c>
      <c r="L1964" s="1" t="s">
        <v>4596</v>
      </c>
      <c r="M1964" s="1">
        <v>65</v>
      </c>
      <c r="N1964" s="1" t="s">
        <v>39</v>
      </c>
      <c r="O1964" s="1">
        <v>31.6004</v>
      </c>
      <c r="P1964" s="1">
        <v>-89.946799999999996</v>
      </c>
      <c r="Q1964" s="1" t="s">
        <v>1750</v>
      </c>
      <c r="R1964" s="1" t="s">
        <v>41</v>
      </c>
      <c r="T1964" s="1" t="s">
        <v>93</v>
      </c>
      <c r="U1964" s="1" t="s">
        <v>44</v>
      </c>
      <c r="X1964" s="1" t="s">
        <v>140</v>
      </c>
      <c r="AA1964" s="3">
        <v>38014</v>
      </c>
      <c r="AB1964" s="1" t="s">
        <v>46</v>
      </c>
      <c r="AC1964" s="5">
        <v>1150</v>
      </c>
      <c r="AD1964" s="1" t="s">
        <v>4577</v>
      </c>
      <c r="AE1964" s="1" t="str">
        <f t="shared" si="148"/>
        <v>7988 2</v>
      </c>
      <c r="AF1964" s="5" t="str">
        <f t="shared" si="149"/>
        <v>90</v>
      </c>
      <c r="AG1964" s="1" t="str">
        <f t="shared" si="147"/>
        <v/>
      </c>
    </row>
    <row r="1965" spans="1:33" x14ac:dyDescent="0.2">
      <c r="A1965" s="1" t="s">
        <v>1732</v>
      </c>
      <c r="B1965" s="1" t="s">
        <v>4594</v>
      </c>
      <c r="C1965" s="1">
        <v>7988</v>
      </c>
      <c r="D1965" s="1">
        <v>3</v>
      </c>
      <c r="F1965" s="1">
        <v>2023</v>
      </c>
      <c r="G1965" s="1" t="s">
        <v>346</v>
      </c>
      <c r="H1965" s="1">
        <v>609473</v>
      </c>
      <c r="I1965" s="1">
        <v>4</v>
      </c>
      <c r="K1965" s="1" t="s">
        <v>4595</v>
      </c>
      <c r="L1965" s="1" t="s">
        <v>4596</v>
      </c>
      <c r="M1965" s="1">
        <v>65</v>
      </c>
      <c r="N1965" s="1" t="s">
        <v>39</v>
      </c>
      <c r="O1965" s="1">
        <v>31.6004</v>
      </c>
      <c r="P1965" s="1">
        <v>-89.946799999999996</v>
      </c>
      <c r="Q1965" s="1" t="s">
        <v>1750</v>
      </c>
      <c r="R1965" s="1" t="s">
        <v>41</v>
      </c>
      <c r="T1965" s="1" t="s">
        <v>93</v>
      </c>
      <c r="U1965" s="1" t="s">
        <v>44</v>
      </c>
      <c r="X1965" s="1" t="s">
        <v>140</v>
      </c>
      <c r="AA1965" s="3">
        <v>38440</v>
      </c>
      <c r="AB1965" s="1" t="s">
        <v>46</v>
      </c>
      <c r="AC1965" s="5">
        <v>1150</v>
      </c>
      <c r="AD1965" s="1" t="s">
        <v>4578</v>
      </c>
      <c r="AE1965" s="1" t="str">
        <f t="shared" si="148"/>
        <v>7988 3</v>
      </c>
      <c r="AF1965" s="5" t="str">
        <f t="shared" si="149"/>
        <v>90</v>
      </c>
      <c r="AG1965" s="1" t="str">
        <f t="shared" si="147"/>
        <v/>
      </c>
    </row>
    <row r="1966" spans="1:33" x14ac:dyDescent="0.2">
      <c r="A1966" s="1" t="s">
        <v>1732</v>
      </c>
      <c r="B1966" s="1" t="s">
        <v>4597</v>
      </c>
      <c r="C1966" s="1">
        <v>7989</v>
      </c>
      <c r="D1966" s="1">
        <v>1</v>
      </c>
      <c r="F1966" s="1">
        <v>2023</v>
      </c>
      <c r="G1966" s="1" t="s">
        <v>346</v>
      </c>
      <c r="H1966" s="1">
        <v>609473</v>
      </c>
      <c r="I1966" s="1">
        <v>4</v>
      </c>
      <c r="K1966" s="1" t="s">
        <v>4598</v>
      </c>
      <c r="L1966" s="1" t="s">
        <v>4599</v>
      </c>
      <c r="M1966" s="1">
        <v>129</v>
      </c>
      <c r="N1966" s="1" t="s">
        <v>39</v>
      </c>
      <c r="O1966" s="1">
        <v>31.984200000000001</v>
      </c>
      <c r="P1966" s="1">
        <v>-89.4131</v>
      </c>
      <c r="Q1966" s="1" t="s">
        <v>1750</v>
      </c>
      <c r="R1966" s="1" t="s">
        <v>41</v>
      </c>
      <c r="T1966" s="1" t="s">
        <v>93</v>
      </c>
      <c r="U1966" s="1" t="s">
        <v>44</v>
      </c>
      <c r="X1966" s="1" t="s">
        <v>95</v>
      </c>
      <c r="AA1966" s="3">
        <v>37729</v>
      </c>
      <c r="AB1966" s="1" t="s">
        <v>46</v>
      </c>
      <c r="AC1966" s="5">
        <v>575</v>
      </c>
      <c r="AD1966" s="1" t="s">
        <v>870</v>
      </c>
      <c r="AE1966" s="1" t="str">
        <f t="shared" si="148"/>
        <v>7989 1</v>
      </c>
      <c r="AF1966" s="5" t="str">
        <f t="shared" si="149"/>
        <v>75</v>
      </c>
      <c r="AG1966" s="1" t="str">
        <f t="shared" si="147"/>
        <v/>
      </c>
    </row>
    <row r="1967" spans="1:33" x14ac:dyDescent="0.2">
      <c r="A1967" s="1" t="s">
        <v>1732</v>
      </c>
      <c r="B1967" s="1" t="s">
        <v>4597</v>
      </c>
      <c r="C1967" s="1">
        <v>7989</v>
      </c>
      <c r="D1967" s="1">
        <v>2</v>
      </c>
      <c r="F1967" s="1">
        <v>2023</v>
      </c>
      <c r="G1967" s="1" t="s">
        <v>346</v>
      </c>
      <c r="H1967" s="1">
        <v>609473</v>
      </c>
      <c r="I1967" s="1">
        <v>4</v>
      </c>
      <c r="K1967" s="1" t="s">
        <v>4598</v>
      </c>
      <c r="L1967" s="1" t="s">
        <v>4599</v>
      </c>
      <c r="M1967" s="1">
        <v>129</v>
      </c>
      <c r="N1967" s="1" t="s">
        <v>39</v>
      </c>
      <c r="O1967" s="1">
        <v>31.984200000000001</v>
      </c>
      <c r="P1967" s="1">
        <v>-89.4131</v>
      </c>
      <c r="Q1967" s="1" t="s">
        <v>1750</v>
      </c>
      <c r="R1967" s="1" t="s">
        <v>41</v>
      </c>
      <c r="T1967" s="1" t="s">
        <v>93</v>
      </c>
      <c r="U1967" s="1" t="s">
        <v>44</v>
      </c>
      <c r="X1967" s="1" t="s">
        <v>95</v>
      </c>
      <c r="AA1967" s="3">
        <v>37739</v>
      </c>
      <c r="AB1967" s="1" t="s">
        <v>46</v>
      </c>
      <c r="AC1967" s="5">
        <v>565</v>
      </c>
      <c r="AD1967" s="1" t="s">
        <v>3238</v>
      </c>
      <c r="AE1967" s="1" t="str">
        <f t="shared" si="148"/>
        <v>7989 2</v>
      </c>
      <c r="AF1967" s="5" t="str">
        <f t="shared" si="149"/>
        <v>75</v>
      </c>
      <c r="AG1967" s="1" t="str">
        <f t="shared" si="147"/>
        <v/>
      </c>
    </row>
    <row r="1968" spans="1:33" x14ac:dyDescent="0.2">
      <c r="A1968" s="1" t="s">
        <v>1732</v>
      </c>
      <c r="B1968" s="1" t="s">
        <v>4597</v>
      </c>
      <c r="C1968" s="1">
        <v>7989</v>
      </c>
      <c r="D1968" s="1">
        <v>3</v>
      </c>
      <c r="F1968" s="1">
        <v>2023</v>
      </c>
      <c r="G1968" s="1" t="s">
        <v>346</v>
      </c>
      <c r="H1968" s="1">
        <v>609473</v>
      </c>
      <c r="I1968" s="1">
        <v>4</v>
      </c>
      <c r="K1968" s="1" t="s">
        <v>4598</v>
      </c>
      <c r="L1968" s="1" t="s">
        <v>4599</v>
      </c>
      <c r="M1968" s="1">
        <v>129</v>
      </c>
      <c r="N1968" s="1" t="s">
        <v>39</v>
      </c>
      <c r="O1968" s="1">
        <v>31.984200000000001</v>
      </c>
      <c r="P1968" s="1">
        <v>-89.4131</v>
      </c>
      <c r="Q1968" s="1" t="s">
        <v>1750</v>
      </c>
      <c r="R1968" s="1" t="s">
        <v>41</v>
      </c>
      <c r="T1968" s="1" t="s">
        <v>93</v>
      </c>
      <c r="U1968" s="1" t="s">
        <v>44</v>
      </c>
      <c r="X1968" s="1" t="s">
        <v>95</v>
      </c>
      <c r="AA1968" s="3">
        <v>37737</v>
      </c>
      <c r="AB1968" s="1" t="s">
        <v>46</v>
      </c>
      <c r="AC1968" s="5">
        <v>615</v>
      </c>
      <c r="AD1968" s="1" t="s">
        <v>670</v>
      </c>
      <c r="AE1968" s="1" t="str">
        <f t="shared" si="148"/>
        <v>7989 3</v>
      </c>
      <c r="AF1968" s="5" t="str">
        <f t="shared" si="149"/>
        <v>75</v>
      </c>
      <c r="AG1968" s="1" t="str">
        <f t="shared" si="147"/>
        <v/>
      </c>
    </row>
    <row r="1969" spans="1:33" x14ac:dyDescent="0.2">
      <c r="A1969" s="1" t="s">
        <v>3167</v>
      </c>
      <c r="B1969" s="1" t="s">
        <v>4600</v>
      </c>
      <c r="C1969" s="1">
        <v>7991</v>
      </c>
      <c r="D1969" s="1" t="s">
        <v>3858</v>
      </c>
      <c r="F1969" s="1">
        <v>2023</v>
      </c>
      <c r="G1969" s="1" t="s">
        <v>461</v>
      </c>
      <c r="H1969" s="1">
        <v>605961</v>
      </c>
      <c r="I1969" s="1">
        <v>5</v>
      </c>
      <c r="K1969" s="1" t="s">
        <v>3175</v>
      </c>
      <c r="L1969" s="1" t="s">
        <v>3176</v>
      </c>
      <c r="M1969" s="1">
        <v>25</v>
      </c>
      <c r="N1969" s="1" t="s">
        <v>1680</v>
      </c>
      <c r="O1969" s="1">
        <v>43.075099999999999</v>
      </c>
      <c r="P1969" s="1">
        <v>-89.4251</v>
      </c>
      <c r="Q1969" s="1" t="s">
        <v>3177</v>
      </c>
      <c r="R1969" s="1" t="s">
        <v>41</v>
      </c>
      <c r="T1969" s="1" t="s">
        <v>71</v>
      </c>
      <c r="U1969" s="1" t="s">
        <v>284</v>
      </c>
      <c r="V1969" s="1" t="s">
        <v>94</v>
      </c>
      <c r="X1969" s="1" t="s">
        <v>176</v>
      </c>
      <c r="AA1969" s="3">
        <v>38468</v>
      </c>
      <c r="AB1969" s="1" t="s">
        <v>46</v>
      </c>
      <c r="AC1969" s="5">
        <v>733</v>
      </c>
      <c r="AD1969" s="1" t="s">
        <v>4601</v>
      </c>
      <c r="AE1969" s="1" t="str">
        <f t="shared" si="148"/>
        <v>7991 U1</v>
      </c>
      <c r="AF1969" s="14">
        <f>MID(AD1969,FIND("(",AD1969)+1,FIND(")",AD1969)-FIND("(",AD1969)-1)+61.3/2</f>
        <v>84.65</v>
      </c>
      <c r="AG1969" s="1" t="str">
        <f t="shared" si="147"/>
        <v>Y</v>
      </c>
    </row>
    <row r="1970" spans="1:33" x14ac:dyDescent="0.2">
      <c r="A1970" s="1" t="s">
        <v>3167</v>
      </c>
      <c r="B1970" s="1" t="s">
        <v>4600</v>
      </c>
      <c r="C1970" s="1">
        <v>7991</v>
      </c>
      <c r="D1970" s="1" t="s">
        <v>3862</v>
      </c>
      <c r="F1970" s="1">
        <v>2023</v>
      </c>
      <c r="G1970" s="1" t="s">
        <v>1020</v>
      </c>
      <c r="H1970" s="1">
        <v>605961</v>
      </c>
      <c r="I1970" s="1">
        <v>5</v>
      </c>
      <c r="K1970" s="1" t="s">
        <v>3175</v>
      </c>
      <c r="L1970" s="1" t="s">
        <v>3176</v>
      </c>
      <c r="M1970" s="1">
        <v>25</v>
      </c>
      <c r="N1970" s="1" t="s">
        <v>1680</v>
      </c>
      <c r="O1970" s="1">
        <v>43.075099999999999</v>
      </c>
      <c r="P1970" s="1">
        <v>-89.4251</v>
      </c>
      <c r="Q1970" s="1" t="s">
        <v>3177</v>
      </c>
      <c r="T1970" s="1" t="s">
        <v>71</v>
      </c>
      <c r="U1970" s="1" t="s">
        <v>284</v>
      </c>
      <c r="V1970" s="1" t="s">
        <v>94</v>
      </c>
      <c r="X1970" s="1" t="s">
        <v>176</v>
      </c>
      <c r="AA1970" s="3">
        <v>38468</v>
      </c>
      <c r="AB1970" s="1" t="s">
        <v>46</v>
      </c>
      <c r="AC1970" s="5">
        <v>733</v>
      </c>
      <c r="AD1970" s="1" t="s">
        <v>4602</v>
      </c>
      <c r="AE1970" s="1" t="str">
        <f t="shared" si="148"/>
        <v>7991 U2</v>
      </c>
      <c r="AF1970" s="14">
        <f>AF1969</f>
        <v>84.65</v>
      </c>
      <c r="AG1970" s="1" t="str">
        <f t="shared" si="147"/>
        <v>Y</v>
      </c>
    </row>
    <row r="1971" spans="1:33" x14ac:dyDescent="0.2">
      <c r="A1971" s="1" t="s">
        <v>690</v>
      </c>
      <c r="B1971" s="1" t="s">
        <v>4603</v>
      </c>
      <c r="C1971" s="1">
        <v>7999</v>
      </c>
      <c r="D1971" s="1">
        <v>1</v>
      </c>
      <c r="F1971" s="1">
        <v>2023</v>
      </c>
      <c r="G1971" s="1" t="s">
        <v>247</v>
      </c>
      <c r="H1971" s="1">
        <v>609006</v>
      </c>
      <c r="I1971" s="1">
        <v>10</v>
      </c>
      <c r="K1971" s="1" t="s">
        <v>4604</v>
      </c>
      <c r="L1971" s="1" t="s">
        <v>4605</v>
      </c>
      <c r="M1971" s="1">
        <v>27</v>
      </c>
      <c r="N1971" s="1" t="s">
        <v>39</v>
      </c>
      <c r="O1971" s="1">
        <v>46.968800000000002</v>
      </c>
      <c r="P1971" s="1">
        <v>-123.48</v>
      </c>
      <c r="Q1971" s="1" t="s">
        <v>4606</v>
      </c>
      <c r="R1971" s="1" t="s">
        <v>41</v>
      </c>
      <c r="T1971" s="1" t="s">
        <v>71</v>
      </c>
      <c r="U1971" s="1" t="s">
        <v>284</v>
      </c>
      <c r="X1971" s="1" t="s">
        <v>64</v>
      </c>
      <c r="AA1971" s="3">
        <v>39479</v>
      </c>
      <c r="AB1971" s="1" t="s">
        <v>46</v>
      </c>
      <c r="AC1971" s="5">
        <v>3000</v>
      </c>
      <c r="AD1971" s="1" t="s">
        <v>4607</v>
      </c>
      <c r="AE1971" s="1" t="str">
        <f t="shared" si="148"/>
        <v>7999 1</v>
      </c>
      <c r="AF1971" s="14">
        <f>MID(AD1971,FIND("(",AD1971)+1,FIND(")",AD1971)-FIND("(",AD1971)-1)+300/2</f>
        <v>325</v>
      </c>
      <c r="AG1971" s="1" t="str">
        <f t="shared" si="147"/>
        <v>Y</v>
      </c>
    </row>
    <row r="1972" spans="1:33" x14ac:dyDescent="0.2">
      <c r="A1972" s="1" t="s">
        <v>690</v>
      </c>
      <c r="B1972" s="1" t="s">
        <v>4603</v>
      </c>
      <c r="C1972" s="1">
        <v>7999</v>
      </c>
      <c r="D1972" s="1">
        <v>2</v>
      </c>
      <c r="F1972" s="1">
        <v>2023</v>
      </c>
      <c r="G1972" s="1" t="s">
        <v>247</v>
      </c>
      <c r="H1972" s="1">
        <v>609006</v>
      </c>
      <c r="I1972" s="1">
        <v>10</v>
      </c>
      <c r="K1972" s="1" t="s">
        <v>4604</v>
      </c>
      <c r="L1972" s="1" t="s">
        <v>4605</v>
      </c>
      <c r="M1972" s="1">
        <v>27</v>
      </c>
      <c r="N1972" s="1" t="s">
        <v>39</v>
      </c>
      <c r="O1972" s="1">
        <v>46.968800000000002</v>
      </c>
      <c r="P1972" s="1">
        <v>-123.48</v>
      </c>
      <c r="Q1972" s="1" t="s">
        <v>4606</v>
      </c>
      <c r="R1972" s="1" t="s">
        <v>41</v>
      </c>
      <c r="T1972" s="1" t="s">
        <v>71</v>
      </c>
      <c r="U1972" s="1" t="s">
        <v>284</v>
      </c>
      <c r="X1972" s="1" t="s">
        <v>64</v>
      </c>
      <c r="AA1972" s="3">
        <v>39485</v>
      </c>
      <c r="AB1972" s="1" t="s">
        <v>46</v>
      </c>
      <c r="AC1972" s="5">
        <v>3000</v>
      </c>
      <c r="AD1972" s="1" t="s">
        <v>4608</v>
      </c>
      <c r="AE1972" s="1" t="str">
        <f t="shared" si="148"/>
        <v>7999 2</v>
      </c>
      <c r="AF1972" s="14">
        <f>AF1971</f>
        <v>325</v>
      </c>
      <c r="AG1972" s="1" t="str">
        <f t="shared" si="147"/>
        <v>Y</v>
      </c>
    </row>
    <row r="1973" spans="1:33" x14ac:dyDescent="0.2">
      <c r="A1973" s="1" t="s">
        <v>203</v>
      </c>
      <c r="B1973" s="1" t="s">
        <v>4609</v>
      </c>
      <c r="C1973" s="1">
        <v>8000</v>
      </c>
      <c r="D1973" s="1">
        <v>1</v>
      </c>
      <c r="F1973" s="1">
        <v>2023</v>
      </c>
      <c r="G1973" s="1" t="s">
        <v>1666</v>
      </c>
      <c r="H1973" s="1">
        <v>609180</v>
      </c>
      <c r="I1973" s="1">
        <v>7</v>
      </c>
      <c r="J1973" s="1" t="s">
        <v>207</v>
      </c>
      <c r="K1973" s="1" t="s">
        <v>4610</v>
      </c>
      <c r="L1973" s="1" t="s">
        <v>4611</v>
      </c>
      <c r="M1973" s="1">
        <v>67</v>
      </c>
      <c r="N1973" s="1" t="s">
        <v>39</v>
      </c>
      <c r="O1973" s="1">
        <v>40.328600000000002</v>
      </c>
      <c r="P1973" s="1">
        <v>-96.806700000000006</v>
      </c>
      <c r="Q1973" s="1" t="s">
        <v>1852</v>
      </c>
      <c r="R1973" s="1" t="s">
        <v>41</v>
      </c>
      <c r="T1973" s="1" t="s">
        <v>71</v>
      </c>
      <c r="U1973" s="1" t="s">
        <v>44</v>
      </c>
      <c r="X1973" s="1" t="s">
        <v>64</v>
      </c>
      <c r="AA1973" s="3">
        <v>38265</v>
      </c>
      <c r="AB1973" s="1" t="s">
        <v>46</v>
      </c>
      <c r="AC1973" s="5">
        <v>1314</v>
      </c>
      <c r="AD1973" s="1" t="s">
        <v>4612</v>
      </c>
      <c r="AE1973" s="1" t="str">
        <f t="shared" si="148"/>
        <v>8000 1</v>
      </c>
      <c r="AF1973" s="14">
        <f>MID(AD1973,FIND("(",AD1973)+1,FIND(")",AD1973)-FIND("(",AD1973)-1)+93.9/2</f>
        <v>123.55</v>
      </c>
      <c r="AG1973" s="1" t="str">
        <f t="shared" si="147"/>
        <v>Y</v>
      </c>
    </row>
    <row r="1974" spans="1:33" x14ac:dyDescent="0.2">
      <c r="A1974" s="1" t="s">
        <v>203</v>
      </c>
      <c r="B1974" s="1" t="s">
        <v>4609</v>
      </c>
      <c r="C1974" s="1">
        <v>8000</v>
      </c>
      <c r="D1974" s="1">
        <v>2</v>
      </c>
      <c r="F1974" s="1">
        <v>2023</v>
      </c>
      <c r="G1974" s="1" t="s">
        <v>1666</v>
      </c>
      <c r="H1974" s="1">
        <v>609180</v>
      </c>
      <c r="I1974" s="1">
        <v>7</v>
      </c>
      <c r="J1974" s="1" t="s">
        <v>207</v>
      </c>
      <c r="K1974" s="1" t="s">
        <v>4610</v>
      </c>
      <c r="L1974" s="1" t="s">
        <v>4611</v>
      </c>
      <c r="M1974" s="1">
        <v>67</v>
      </c>
      <c r="N1974" s="1" t="s">
        <v>39</v>
      </c>
      <c r="O1974" s="1">
        <v>40.328600000000002</v>
      </c>
      <c r="P1974" s="1">
        <v>-96.806700000000006</v>
      </c>
      <c r="Q1974" s="1" t="s">
        <v>1852</v>
      </c>
      <c r="R1974" s="1" t="s">
        <v>41</v>
      </c>
      <c r="T1974" s="1" t="s">
        <v>71</v>
      </c>
      <c r="U1974" s="1" t="s">
        <v>44</v>
      </c>
      <c r="X1974" s="1" t="s">
        <v>64</v>
      </c>
      <c r="AA1974" s="3">
        <v>38266</v>
      </c>
      <c r="AB1974" s="1" t="s">
        <v>46</v>
      </c>
      <c r="AC1974" s="5">
        <v>1323</v>
      </c>
      <c r="AD1974" s="1" t="s">
        <v>4613</v>
      </c>
      <c r="AE1974" s="1" t="str">
        <f t="shared" si="148"/>
        <v>8000 2</v>
      </c>
      <c r="AF1974" s="14">
        <f>AF1973</f>
        <v>123.55</v>
      </c>
      <c r="AG1974" s="1" t="str">
        <f t="shared" si="147"/>
        <v>Y</v>
      </c>
    </row>
    <row r="1975" spans="1:33" x14ac:dyDescent="0.2">
      <c r="A1975" s="1" t="s">
        <v>1961</v>
      </c>
      <c r="B1975" s="1" t="s">
        <v>4614</v>
      </c>
      <c r="C1975" s="1">
        <v>8002</v>
      </c>
      <c r="D1975" s="1">
        <v>1</v>
      </c>
      <c r="F1975" s="1">
        <v>2023</v>
      </c>
      <c r="G1975" s="1" t="s">
        <v>1964</v>
      </c>
      <c r="H1975" s="1">
        <v>606930</v>
      </c>
      <c r="I1975" s="1">
        <v>1</v>
      </c>
      <c r="J1975" s="1" t="s">
        <v>580</v>
      </c>
      <c r="K1975" s="1" t="s">
        <v>1970</v>
      </c>
      <c r="L1975" s="1" t="s">
        <v>1971</v>
      </c>
      <c r="M1975" s="1">
        <v>15</v>
      </c>
      <c r="N1975" s="1" t="s">
        <v>39</v>
      </c>
      <c r="O1975" s="1">
        <v>43.0974</v>
      </c>
      <c r="P1975" s="1">
        <v>-70.7834</v>
      </c>
      <c r="Q1975" s="1" t="s">
        <v>4615</v>
      </c>
      <c r="R1975" s="1" t="s">
        <v>41</v>
      </c>
      <c r="T1975" s="1" t="s">
        <v>43</v>
      </c>
      <c r="U1975" s="1" t="s">
        <v>173</v>
      </c>
      <c r="V1975" s="1" t="s">
        <v>44</v>
      </c>
      <c r="X1975" s="1" t="s">
        <v>4616</v>
      </c>
      <c r="Y1975" s="1" t="s">
        <v>58</v>
      </c>
      <c r="AA1975" s="3">
        <v>27181</v>
      </c>
      <c r="AB1975" s="1" t="s">
        <v>46</v>
      </c>
      <c r="AC1975" s="5">
        <v>5475</v>
      </c>
      <c r="AD1975" s="1" t="s">
        <v>4617</v>
      </c>
      <c r="AE1975" s="1" t="str">
        <f t="shared" si="148"/>
        <v>8002 1</v>
      </c>
      <c r="AF1975" s="5" t="str">
        <f t="shared" ref="AF1975:AF2017" si="150">MID(AD1975,FIND("(",AD1975)+1,FIND(")",AD1975)-FIND("(",AD1975)-1)</f>
        <v>414</v>
      </c>
      <c r="AG1975" s="1" t="str">
        <f t="shared" si="147"/>
        <v/>
      </c>
    </row>
    <row r="1976" spans="1:33" x14ac:dyDescent="0.2">
      <c r="A1976" s="1" t="s">
        <v>2089</v>
      </c>
      <c r="B1976" s="1" t="s">
        <v>4618</v>
      </c>
      <c r="C1976" s="1">
        <v>8006</v>
      </c>
      <c r="D1976" s="1">
        <v>1</v>
      </c>
      <c r="F1976" s="1">
        <v>2023</v>
      </c>
      <c r="G1976" s="1" t="s">
        <v>682</v>
      </c>
      <c r="H1976" s="1">
        <v>606640</v>
      </c>
      <c r="I1976" s="1">
        <v>2</v>
      </c>
      <c r="J1976" s="1" t="s">
        <v>580</v>
      </c>
      <c r="K1976" s="1" t="s">
        <v>418</v>
      </c>
      <c r="L1976" s="1" t="s">
        <v>2091</v>
      </c>
      <c r="M1976" s="1">
        <v>71</v>
      </c>
      <c r="N1976" s="1" t="s">
        <v>39</v>
      </c>
      <c r="O1976" s="1">
        <v>41.571100000000001</v>
      </c>
      <c r="P1976" s="1">
        <v>-73.974699999999999</v>
      </c>
      <c r="Q1976" s="1" t="s">
        <v>4619</v>
      </c>
      <c r="R1976" s="1" t="s">
        <v>41</v>
      </c>
      <c r="T1976" s="1" t="s">
        <v>43</v>
      </c>
      <c r="U1976" s="1" t="s">
        <v>173</v>
      </c>
      <c r="V1976" s="1" t="s">
        <v>44</v>
      </c>
      <c r="X1976" s="1" t="s">
        <v>454</v>
      </c>
      <c r="Y1976" s="1" t="s">
        <v>672</v>
      </c>
      <c r="AA1976" s="3">
        <v>27364</v>
      </c>
      <c r="AB1976" s="1" t="s">
        <v>46</v>
      </c>
      <c r="AC1976" s="5">
        <v>7031</v>
      </c>
      <c r="AD1976" s="1" t="s">
        <v>3595</v>
      </c>
      <c r="AE1976" s="1" t="str">
        <f t="shared" si="148"/>
        <v>8006 1</v>
      </c>
      <c r="AF1976" s="5" t="str">
        <f t="shared" si="150"/>
        <v>621</v>
      </c>
      <c r="AG1976" s="1" t="str">
        <f t="shared" si="147"/>
        <v/>
      </c>
    </row>
    <row r="1977" spans="1:33" x14ac:dyDescent="0.2">
      <c r="A1977" s="1" t="s">
        <v>2089</v>
      </c>
      <c r="B1977" s="1" t="s">
        <v>4618</v>
      </c>
      <c r="C1977" s="1">
        <v>8006</v>
      </c>
      <c r="D1977" s="1">
        <v>2</v>
      </c>
      <c r="F1977" s="1">
        <v>2023</v>
      </c>
      <c r="G1977" s="1" t="s">
        <v>682</v>
      </c>
      <c r="H1977" s="1">
        <v>606640</v>
      </c>
      <c r="I1977" s="1">
        <v>2</v>
      </c>
      <c r="J1977" s="1" t="s">
        <v>580</v>
      </c>
      <c r="K1977" s="1" t="s">
        <v>418</v>
      </c>
      <c r="L1977" s="1" t="s">
        <v>2091</v>
      </c>
      <c r="M1977" s="1">
        <v>71</v>
      </c>
      <c r="N1977" s="1" t="s">
        <v>39</v>
      </c>
      <c r="O1977" s="1">
        <v>41.571100000000001</v>
      </c>
      <c r="P1977" s="1">
        <v>-73.974699999999999</v>
      </c>
      <c r="Q1977" s="1" t="s">
        <v>4619</v>
      </c>
      <c r="R1977" s="1" t="s">
        <v>41</v>
      </c>
      <c r="T1977" s="1" t="s">
        <v>43</v>
      </c>
      <c r="U1977" s="1" t="s">
        <v>173</v>
      </c>
      <c r="V1977" s="1" t="s">
        <v>44</v>
      </c>
      <c r="X1977" s="1" t="s">
        <v>454</v>
      </c>
      <c r="Y1977" s="1" t="s">
        <v>672</v>
      </c>
      <c r="AA1977" s="3">
        <v>27273</v>
      </c>
      <c r="AB1977" s="1" t="s">
        <v>46</v>
      </c>
      <c r="AC1977" s="5">
        <v>6987</v>
      </c>
      <c r="AD1977" s="1" t="s">
        <v>3596</v>
      </c>
      <c r="AE1977" s="1" t="str">
        <f t="shared" si="148"/>
        <v>8006 2</v>
      </c>
      <c r="AF1977" s="5" t="str">
        <f t="shared" si="150"/>
        <v>621</v>
      </c>
      <c r="AG1977" s="1" t="str">
        <f t="shared" si="147"/>
        <v/>
      </c>
    </row>
    <row r="1978" spans="1:33" x14ac:dyDescent="0.2">
      <c r="A1978" s="1" t="s">
        <v>2089</v>
      </c>
      <c r="B1978" s="1" t="s">
        <v>4620</v>
      </c>
      <c r="C1978" s="1">
        <v>8007</v>
      </c>
      <c r="D1978" s="1" t="s">
        <v>4621</v>
      </c>
      <c r="E1978" s="1" t="s">
        <v>1330</v>
      </c>
      <c r="F1978" s="1">
        <v>2023</v>
      </c>
      <c r="G1978" s="1" t="s">
        <v>1528</v>
      </c>
      <c r="H1978" s="1">
        <v>606257</v>
      </c>
      <c r="I1978" s="1">
        <v>2</v>
      </c>
      <c r="K1978" s="1" t="s">
        <v>2257</v>
      </c>
      <c r="L1978" s="1" t="s">
        <v>2258</v>
      </c>
      <c r="M1978" s="1">
        <v>103</v>
      </c>
      <c r="N1978" s="1" t="s">
        <v>39</v>
      </c>
      <c r="O1978" s="1">
        <v>40.815300000000001</v>
      </c>
      <c r="P1978" s="1">
        <v>-73.066400000000002</v>
      </c>
      <c r="Q1978" s="1" t="s">
        <v>2224</v>
      </c>
      <c r="T1978" s="1" t="s">
        <v>93</v>
      </c>
      <c r="U1978" s="1" t="s">
        <v>94</v>
      </c>
      <c r="X1978" s="1" t="s">
        <v>95</v>
      </c>
      <c r="AA1978" s="3">
        <v>27211</v>
      </c>
      <c r="AB1978" s="1" t="s">
        <v>46</v>
      </c>
      <c r="AC1978" s="5">
        <v>416</v>
      </c>
      <c r="AD1978" s="1" t="s">
        <v>1870</v>
      </c>
      <c r="AE1978" s="1" t="str">
        <f t="shared" si="148"/>
        <v>8007 U00001</v>
      </c>
      <c r="AF1978" s="5" t="str">
        <f t="shared" si="150"/>
        <v>56.7</v>
      </c>
      <c r="AG1978" s="1" t="str">
        <f t="shared" si="147"/>
        <v/>
      </c>
    </row>
    <row r="1979" spans="1:33" x14ac:dyDescent="0.2">
      <c r="A1979" s="1" t="s">
        <v>2089</v>
      </c>
      <c r="B1979" s="1" t="s">
        <v>4620</v>
      </c>
      <c r="C1979" s="1">
        <v>8007</v>
      </c>
      <c r="D1979" s="1" t="s">
        <v>4622</v>
      </c>
      <c r="E1979" s="1" t="s">
        <v>1330</v>
      </c>
      <c r="F1979" s="1">
        <v>2023</v>
      </c>
      <c r="G1979" s="1" t="s">
        <v>1528</v>
      </c>
      <c r="H1979" s="1">
        <v>606257</v>
      </c>
      <c r="I1979" s="1">
        <v>2</v>
      </c>
      <c r="K1979" s="1" t="s">
        <v>2257</v>
      </c>
      <c r="L1979" s="1" t="s">
        <v>2258</v>
      </c>
      <c r="M1979" s="1">
        <v>103</v>
      </c>
      <c r="N1979" s="1" t="s">
        <v>39</v>
      </c>
      <c r="O1979" s="1">
        <v>40.815300000000001</v>
      </c>
      <c r="P1979" s="1">
        <v>-73.066400000000002</v>
      </c>
      <c r="Q1979" s="1" t="s">
        <v>2224</v>
      </c>
      <c r="T1979" s="1" t="s">
        <v>93</v>
      </c>
      <c r="U1979" s="1" t="s">
        <v>94</v>
      </c>
      <c r="X1979" s="1" t="s">
        <v>95</v>
      </c>
      <c r="AA1979" s="3">
        <v>27211</v>
      </c>
      <c r="AB1979" s="1" t="s">
        <v>46</v>
      </c>
      <c r="AC1979" s="5">
        <v>416</v>
      </c>
      <c r="AD1979" s="1" t="s">
        <v>1870</v>
      </c>
      <c r="AE1979" s="1" t="str">
        <f t="shared" si="148"/>
        <v>8007 U00002</v>
      </c>
      <c r="AF1979" s="5" t="str">
        <f t="shared" si="150"/>
        <v>56.7</v>
      </c>
      <c r="AG1979" s="1" t="str">
        <f t="shared" si="147"/>
        <v/>
      </c>
    </row>
    <row r="1980" spans="1:33" x14ac:dyDescent="0.2">
      <c r="A1980" s="1" t="s">
        <v>2089</v>
      </c>
      <c r="B1980" s="1" t="s">
        <v>4620</v>
      </c>
      <c r="C1980" s="1">
        <v>8007</v>
      </c>
      <c r="D1980" s="1" t="s">
        <v>4623</v>
      </c>
      <c r="E1980" s="1" t="s">
        <v>1330</v>
      </c>
      <c r="F1980" s="1">
        <v>2023</v>
      </c>
      <c r="G1980" s="1" t="s">
        <v>1528</v>
      </c>
      <c r="H1980" s="1">
        <v>606257</v>
      </c>
      <c r="I1980" s="1">
        <v>2</v>
      </c>
      <c r="K1980" s="1" t="s">
        <v>2257</v>
      </c>
      <c r="L1980" s="1" t="s">
        <v>2258</v>
      </c>
      <c r="M1980" s="1">
        <v>103</v>
      </c>
      <c r="N1980" s="1" t="s">
        <v>39</v>
      </c>
      <c r="O1980" s="1">
        <v>40.815300000000001</v>
      </c>
      <c r="P1980" s="1">
        <v>-73.066400000000002</v>
      </c>
      <c r="Q1980" s="1" t="s">
        <v>2224</v>
      </c>
      <c r="T1980" s="1" t="s">
        <v>93</v>
      </c>
      <c r="U1980" s="1" t="s">
        <v>94</v>
      </c>
      <c r="X1980" s="1" t="s">
        <v>95</v>
      </c>
      <c r="AA1980" s="3">
        <v>27211</v>
      </c>
      <c r="AB1980" s="1" t="s">
        <v>46</v>
      </c>
      <c r="AC1980" s="5">
        <v>416</v>
      </c>
      <c r="AD1980" s="1" t="s">
        <v>4624</v>
      </c>
      <c r="AE1980" s="1" t="str">
        <f t="shared" si="148"/>
        <v>8007 U00003</v>
      </c>
      <c r="AF1980" s="5" t="str">
        <f t="shared" si="150"/>
        <v>56.7</v>
      </c>
      <c r="AG1980" s="1" t="str">
        <f t="shared" si="147"/>
        <v/>
      </c>
    </row>
    <row r="1981" spans="1:33" x14ac:dyDescent="0.2">
      <c r="A1981" s="1" t="s">
        <v>2089</v>
      </c>
      <c r="B1981" s="1" t="s">
        <v>4620</v>
      </c>
      <c r="C1981" s="1">
        <v>8007</v>
      </c>
      <c r="D1981" s="1" t="s">
        <v>2227</v>
      </c>
      <c r="E1981" s="1" t="s">
        <v>1330</v>
      </c>
      <c r="F1981" s="1">
        <v>2023</v>
      </c>
      <c r="G1981" s="1" t="s">
        <v>1528</v>
      </c>
      <c r="H1981" s="1">
        <v>606257</v>
      </c>
      <c r="I1981" s="1">
        <v>2</v>
      </c>
      <c r="K1981" s="1" t="s">
        <v>2257</v>
      </c>
      <c r="L1981" s="1" t="s">
        <v>2258</v>
      </c>
      <c r="M1981" s="1">
        <v>103</v>
      </c>
      <c r="N1981" s="1" t="s">
        <v>39</v>
      </c>
      <c r="O1981" s="1">
        <v>40.815300000000001</v>
      </c>
      <c r="P1981" s="1">
        <v>-73.066400000000002</v>
      </c>
      <c r="Q1981" s="1" t="s">
        <v>2224</v>
      </c>
      <c r="T1981" s="1" t="s">
        <v>93</v>
      </c>
      <c r="U1981" s="1" t="s">
        <v>94</v>
      </c>
      <c r="X1981" s="1" t="s">
        <v>95</v>
      </c>
      <c r="AA1981" s="3">
        <v>27211</v>
      </c>
      <c r="AB1981" s="1" t="s">
        <v>46</v>
      </c>
      <c r="AC1981" s="5">
        <v>416</v>
      </c>
      <c r="AD1981" s="1" t="s">
        <v>4624</v>
      </c>
      <c r="AE1981" s="1" t="str">
        <f t="shared" si="148"/>
        <v>8007 U00004</v>
      </c>
      <c r="AF1981" s="5" t="str">
        <f t="shared" si="150"/>
        <v>56.7</v>
      </c>
      <c r="AG1981" s="1" t="str">
        <f t="shared" si="147"/>
        <v/>
      </c>
    </row>
    <row r="1982" spans="1:33" x14ac:dyDescent="0.2">
      <c r="A1982" s="1" t="s">
        <v>2089</v>
      </c>
      <c r="B1982" s="1" t="s">
        <v>4620</v>
      </c>
      <c r="C1982" s="1">
        <v>8007</v>
      </c>
      <c r="D1982" s="1" t="s">
        <v>2229</v>
      </c>
      <c r="E1982" s="1" t="s">
        <v>1330</v>
      </c>
      <c r="F1982" s="1">
        <v>2023</v>
      </c>
      <c r="G1982" s="1" t="s">
        <v>1528</v>
      </c>
      <c r="H1982" s="1">
        <v>606257</v>
      </c>
      <c r="I1982" s="1">
        <v>2</v>
      </c>
      <c r="K1982" s="1" t="s">
        <v>2257</v>
      </c>
      <c r="L1982" s="1" t="s">
        <v>2258</v>
      </c>
      <c r="M1982" s="1">
        <v>103</v>
      </c>
      <c r="N1982" s="1" t="s">
        <v>39</v>
      </c>
      <c r="O1982" s="1">
        <v>40.815300000000001</v>
      </c>
      <c r="P1982" s="1">
        <v>-73.066400000000002</v>
      </c>
      <c r="Q1982" s="1" t="s">
        <v>2224</v>
      </c>
      <c r="T1982" s="1" t="s">
        <v>93</v>
      </c>
      <c r="U1982" s="1" t="s">
        <v>94</v>
      </c>
      <c r="X1982" s="1" t="s">
        <v>95</v>
      </c>
      <c r="AA1982" s="3">
        <v>27211</v>
      </c>
      <c r="AB1982" s="1" t="s">
        <v>46</v>
      </c>
      <c r="AC1982" s="5">
        <v>416</v>
      </c>
      <c r="AD1982" s="1" t="s">
        <v>4625</v>
      </c>
      <c r="AE1982" s="1" t="str">
        <f t="shared" si="148"/>
        <v>8007 U00005</v>
      </c>
      <c r="AF1982" s="5" t="str">
        <f t="shared" si="150"/>
        <v>56.7</v>
      </c>
      <c r="AG1982" s="1" t="str">
        <f t="shared" si="147"/>
        <v/>
      </c>
    </row>
    <row r="1983" spans="1:33" x14ac:dyDescent="0.2">
      <c r="A1983" s="1" t="s">
        <v>2089</v>
      </c>
      <c r="B1983" s="1" t="s">
        <v>4620</v>
      </c>
      <c r="C1983" s="1">
        <v>8007</v>
      </c>
      <c r="D1983" s="1" t="s">
        <v>2231</v>
      </c>
      <c r="E1983" s="1" t="s">
        <v>1330</v>
      </c>
      <c r="F1983" s="1">
        <v>2023</v>
      </c>
      <c r="G1983" s="1" t="s">
        <v>1528</v>
      </c>
      <c r="H1983" s="1">
        <v>606257</v>
      </c>
      <c r="I1983" s="1">
        <v>2</v>
      </c>
      <c r="K1983" s="1" t="s">
        <v>2257</v>
      </c>
      <c r="L1983" s="1" t="s">
        <v>2258</v>
      </c>
      <c r="M1983" s="1">
        <v>103</v>
      </c>
      <c r="N1983" s="1" t="s">
        <v>39</v>
      </c>
      <c r="O1983" s="1">
        <v>40.815300000000001</v>
      </c>
      <c r="P1983" s="1">
        <v>-73.066400000000002</v>
      </c>
      <c r="Q1983" s="1" t="s">
        <v>2224</v>
      </c>
      <c r="T1983" s="1" t="s">
        <v>93</v>
      </c>
      <c r="U1983" s="1" t="s">
        <v>94</v>
      </c>
      <c r="X1983" s="1" t="s">
        <v>95</v>
      </c>
      <c r="AA1983" s="3">
        <v>27211</v>
      </c>
      <c r="AB1983" s="1" t="s">
        <v>46</v>
      </c>
      <c r="AC1983" s="5">
        <v>416</v>
      </c>
      <c r="AD1983" s="1" t="s">
        <v>4625</v>
      </c>
      <c r="AE1983" s="1" t="str">
        <f t="shared" si="148"/>
        <v>8007 U00006</v>
      </c>
      <c r="AF1983" s="5" t="str">
        <f t="shared" si="150"/>
        <v>56.7</v>
      </c>
      <c r="AG1983" s="1" t="str">
        <f t="shared" si="147"/>
        <v/>
      </c>
    </row>
    <row r="1984" spans="1:33" x14ac:dyDescent="0.2">
      <c r="A1984" s="1" t="s">
        <v>2089</v>
      </c>
      <c r="B1984" s="1" t="s">
        <v>4620</v>
      </c>
      <c r="C1984" s="1">
        <v>8007</v>
      </c>
      <c r="D1984" s="1" t="s">
        <v>2233</v>
      </c>
      <c r="E1984" s="1" t="s">
        <v>1330</v>
      </c>
      <c r="F1984" s="1">
        <v>2023</v>
      </c>
      <c r="G1984" s="1" t="s">
        <v>1528</v>
      </c>
      <c r="H1984" s="1">
        <v>606257</v>
      </c>
      <c r="I1984" s="1">
        <v>2</v>
      </c>
      <c r="K1984" s="1" t="s">
        <v>2257</v>
      </c>
      <c r="L1984" s="1" t="s">
        <v>2258</v>
      </c>
      <c r="M1984" s="1">
        <v>103</v>
      </c>
      <c r="N1984" s="1" t="s">
        <v>39</v>
      </c>
      <c r="O1984" s="1">
        <v>40.815300000000001</v>
      </c>
      <c r="P1984" s="1">
        <v>-73.066400000000002</v>
      </c>
      <c r="Q1984" s="1" t="s">
        <v>2224</v>
      </c>
      <c r="T1984" s="1" t="s">
        <v>93</v>
      </c>
      <c r="U1984" s="1" t="s">
        <v>94</v>
      </c>
      <c r="X1984" s="1" t="s">
        <v>95</v>
      </c>
      <c r="AA1984" s="3">
        <v>27211</v>
      </c>
      <c r="AB1984" s="1" t="s">
        <v>46</v>
      </c>
      <c r="AC1984" s="5">
        <v>416</v>
      </c>
      <c r="AD1984" s="1" t="s">
        <v>4626</v>
      </c>
      <c r="AE1984" s="1" t="str">
        <f t="shared" si="148"/>
        <v>8007 U00007</v>
      </c>
      <c r="AF1984" s="5" t="str">
        <f t="shared" si="150"/>
        <v>56.7</v>
      </c>
      <c r="AG1984" s="1" t="str">
        <f t="shared" si="147"/>
        <v/>
      </c>
    </row>
    <row r="1985" spans="1:33" x14ac:dyDescent="0.2">
      <c r="A1985" s="1" t="s">
        <v>2089</v>
      </c>
      <c r="B1985" s="1" t="s">
        <v>4620</v>
      </c>
      <c r="C1985" s="1">
        <v>8007</v>
      </c>
      <c r="D1985" s="1" t="s">
        <v>2235</v>
      </c>
      <c r="E1985" s="1" t="s">
        <v>1330</v>
      </c>
      <c r="F1985" s="1">
        <v>2023</v>
      </c>
      <c r="G1985" s="1" t="s">
        <v>1528</v>
      </c>
      <c r="H1985" s="1">
        <v>606257</v>
      </c>
      <c r="I1985" s="1">
        <v>2</v>
      </c>
      <c r="K1985" s="1" t="s">
        <v>2257</v>
      </c>
      <c r="L1985" s="1" t="s">
        <v>2258</v>
      </c>
      <c r="M1985" s="1">
        <v>103</v>
      </c>
      <c r="N1985" s="1" t="s">
        <v>39</v>
      </c>
      <c r="O1985" s="1">
        <v>40.815300000000001</v>
      </c>
      <c r="P1985" s="1">
        <v>-73.066400000000002</v>
      </c>
      <c r="Q1985" s="1" t="s">
        <v>2224</v>
      </c>
      <c r="T1985" s="1" t="s">
        <v>93</v>
      </c>
      <c r="U1985" s="1" t="s">
        <v>94</v>
      </c>
      <c r="X1985" s="1" t="s">
        <v>95</v>
      </c>
      <c r="AA1985" s="3">
        <v>27211</v>
      </c>
      <c r="AB1985" s="1" t="s">
        <v>46</v>
      </c>
      <c r="AC1985" s="5">
        <v>416</v>
      </c>
      <c r="AD1985" s="1" t="s">
        <v>4626</v>
      </c>
      <c r="AE1985" s="1" t="str">
        <f t="shared" si="148"/>
        <v>8007 U00008</v>
      </c>
      <c r="AF1985" s="5" t="str">
        <f t="shared" si="150"/>
        <v>56.7</v>
      </c>
      <c r="AG1985" s="1" t="str">
        <f t="shared" si="147"/>
        <v/>
      </c>
    </row>
    <row r="1986" spans="1:33" x14ac:dyDescent="0.2">
      <c r="A1986" s="1" t="s">
        <v>2089</v>
      </c>
      <c r="B1986" s="1" t="s">
        <v>4620</v>
      </c>
      <c r="C1986" s="1">
        <v>8007</v>
      </c>
      <c r="D1986" s="1" t="s">
        <v>2237</v>
      </c>
      <c r="E1986" s="1" t="s">
        <v>1330</v>
      </c>
      <c r="F1986" s="1">
        <v>2023</v>
      </c>
      <c r="G1986" s="1" t="s">
        <v>1528</v>
      </c>
      <c r="H1986" s="1">
        <v>606257</v>
      </c>
      <c r="I1986" s="1">
        <v>2</v>
      </c>
      <c r="K1986" s="1" t="s">
        <v>2257</v>
      </c>
      <c r="L1986" s="1" t="s">
        <v>2258</v>
      </c>
      <c r="M1986" s="1">
        <v>103</v>
      </c>
      <c r="N1986" s="1" t="s">
        <v>39</v>
      </c>
      <c r="O1986" s="1">
        <v>40.815300000000001</v>
      </c>
      <c r="P1986" s="1">
        <v>-73.066400000000002</v>
      </c>
      <c r="Q1986" s="1" t="s">
        <v>2224</v>
      </c>
      <c r="T1986" s="1" t="s">
        <v>93</v>
      </c>
      <c r="U1986" s="1" t="s">
        <v>94</v>
      </c>
      <c r="X1986" s="1" t="s">
        <v>95</v>
      </c>
      <c r="AA1986" s="3">
        <v>27211</v>
      </c>
      <c r="AB1986" s="1" t="s">
        <v>46</v>
      </c>
      <c r="AC1986" s="5">
        <v>416</v>
      </c>
      <c r="AD1986" s="1" t="s">
        <v>4627</v>
      </c>
      <c r="AE1986" s="1" t="str">
        <f t="shared" si="148"/>
        <v>8007 U00009</v>
      </c>
      <c r="AF1986" s="5" t="str">
        <f t="shared" si="150"/>
        <v>56.7</v>
      </c>
      <c r="AG1986" s="1" t="str">
        <f t="shared" ref="AG1986:AG2049" si="151">IF(ISNUMBER(SEARCH("selective", X1986)), "Y", "")</f>
        <v/>
      </c>
    </row>
    <row r="1987" spans="1:33" x14ac:dyDescent="0.2">
      <c r="A1987" s="1" t="s">
        <v>2089</v>
      </c>
      <c r="B1987" s="1" t="s">
        <v>4620</v>
      </c>
      <c r="C1987" s="1">
        <v>8007</v>
      </c>
      <c r="D1987" s="1" t="s">
        <v>4628</v>
      </c>
      <c r="E1987" s="1" t="s">
        <v>1330</v>
      </c>
      <c r="F1987" s="1">
        <v>2023</v>
      </c>
      <c r="G1987" s="1" t="s">
        <v>1528</v>
      </c>
      <c r="H1987" s="1">
        <v>606257</v>
      </c>
      <c r="I1987" s="1">
        <v>2</v>
      </c>
      <c r="K1987" s="1" t="s">
        <v>2257</v>
      </c>
      <c r="L1987" s="1" t="s">
        <v>2258</v>
      </c>
      <c r="M1987" s="1">
        <v>103</v>
      </c>
      <c r="N1987" s="1" t="s">
        <v>39</v>
      </c>
      <c r="O1987" s="1">
        <v>40.815300000000001</v>
      </c>
      <c r="P1987" s="1">
        <v>-73.066400000000002</v>
      </c>
      <c r="Q1987" s="1" t="s">
        <v>2224</v>
      </c>
      <c r="T1987" s="1" t="s">
        <v>93</v>
      </c>
      <c r="U1987" s="1" t="s">
        <v>94</v>
      </c>
      <c r="X1987" s="1" t="s">
        <v>95</v>
      </c>
      <c r="AA1987" s="3">
        <v>27211</v>
      </c>
      <c r="AB1987" s="1" t="s">
        <v>46</v>
      </c>
      <c r="AC1987" s="5">
        <v>416</v>
      </c>
      <c r="AD1987" s="1" t="s">
        <v>4627</v>
      </c>
      <c r="AE1987" s="1" t="str">
        <f t="shared" ref="AE1987:AE2050" si="152">C1987&amp;" "&amp;D1987</f>
        <v>8007 U00010</v>
      </c>
      <c r="AF1987" s="5" t="str">
        <f t="shared" si="150"/>
        <v>56.7</v>
      </c>
      <c r="AG1987" s="1" t="str">
        <f t="shared" si="151"/>
        <v/>
      </c>
    </row>
    <row r="1988" spans="1:33" x14ac:dyDescent="0.2">
      <c r="A1988" s="1" t="s">
        <v>2089</v>
      </c>
      <c r="B1988" s="1" t="s">
        <v>4620</v>
      </c>
      <c r="C1988" s="1">
        <v>8007</v>
      </c>
      <c r="D1988" s="1" t="s">
        <v>2239</v>
      </c>
      <c r="E1988" s="1" t="s">
        <v>1330</v>
      </c>
      <c r="F1988" s="1">
        <v>2023</v>
      </c>
      <c r="G1988" s="1" t="s">
        <v>1528</v>
      </c>
      <c r="H1988" s="1">
        <v>606257</v>
      </c>
      <c r="I1988" s="1">
        <v>2</v>
      </c>
      <c r="K1988" s="1" t="s">
        <v>2257</v>
      </c>
      <c r="L1988" s="1" t="s">
        <v>2258</v>
      </c>
      <c r="M1988" s="1">
        <v>103</v>
      </c>
      <c r="N1988" s="1" t="s">
        <v>39</v>
      </c>
      <c r="O1988" s="1">
        <v>40.815300000000001</v>
      </c>
      <c r="P1988" s="1">
        <v>-73.066400000000002</v>
      </c>
      <c r="Q1988" s="1" t="s">
        <v>2224</v>
      </c>
      <c r="T1988" s="1" t="s">
        <v>93</v>
      </c>
      <c r="U1988" s="1" t="s">
        <v>94</v>
      </c>
      <c r="X1988" s="1" t="s">
        <v>95</v>
      </c>
      <c r="AA1988" s="3">
        <v>27211</v>
      </c>
      <c r="AB1988" s="1" t="s">
        <v>46</v>
      </c>
      <c r="AC1988" s="5">
        <v>416</v>
      </c>
      <c r="AD1988" s="1" t="s">
        <v>4629</v>
      </c>
      <c r="AE1988" s="1" t="str">
        <f t="shared" si="152"/>
        <v>8007 U00011</v>
      </c>
      <c r="AF1988" s="5" t="str">
        <f t="shared" si="150"/>
        <v>56.7</v>
      </c>
      <c r="AG1988" s="1" t="str">
        <f t="shared" si="151"/>
        <v/>
      </c>
    </row>
    <row r="1989" spans="1:33" x14ac:dyDescent="0.2">
      <c r="A1989" s="1" t="s">
        <v>2089</v>
      </c>
      <c r="B1989" s="1" t="s">
        <v>4620</v>
      </c>
      <c r="C1989" s="1">
        <v>8007</v>
      </c>
      <c r="D1989" s="1" t="s">
        <v>2241</v>
      </c>
      <c r="E1989" s="1" t="s">
        <v>1330</v>
      </c>
      <c r="F1989" s="1">
        <v>2023</v>
      </c>
      <c r="G1989" s="1" t="s">
        <v>1528</v>
      </c>
      <c r="H1989" s="1">
        <v>606257</v>
      </c>
      <c r="I1989" s="1">
        <v>2</v>
      </c>
      <c r="K1989" s="1" t="s">
        <v>2257</v>
      </c>
      <c r="L1989" s="1" t="s">
        <v>2258</v>
      </c>
      <c r="M1989" s="1">
        <v>103</v>
      </c>
      <c r="N1989" s="1" t="s">
        <v>39</v>
      </c>
      <c r="O1989" s="1">
        <v>40.815300000000001</v>
      </c>
      <c r="P1989" s="1">
        <v>-73.066400000000002</v>
      </c>
      <c r="Q1989" s="1" t="s">
        <v>2224</v>
      </c>
      <c r="T1989" s="1" t="s">
        <v>93</v>
      </c>
      <c r="U1989" s="1" t="s">
        <v>94</v>
      </c>
      <c r="X1989" s="1" t="s">
        <v>95</v>
      </c>
      <c r="AA1989" s="3">
        <v>27211</v>
      </c>
      <c r="AB1989" s="1" t="s">
        <v>46</v>
      </c>
      <c r="AC1989" s="5">
        <v>416</v>
      </c>
      <c r="AD1989" s="1" t="s">
        <v>4629</v>
      </c>
      <c r="AE1989" s="1" t="str">
        <f t="shared" si="152"/>
        <v>8007 U00012</v>
      </c>
      <c r="AF1989" s="5" t="str">
        <f t="shared" si="150"/>
        <v>56.7</v>
      </c>
      <c r="AG1989" s="1" t="str">
        <f t="shared" si="151"/>
        <v/>
      </c>
    </row>
    <row r="1990" spans="1:33" x14ac:dyDescent="0.2">
      <c r="A1990" s="1" t="s">
        <v>2089</v>
      </c>
      <c r="B1990" s="1" t="s">
        <v>4620</v>
      </c>
      <c r="C1990" s="1">
        <v>8007</v>
      </c>
      <c r="D1990" s="1" t="s">
        <v>2243</v>
      </c>
      <c r="E1990" s="1" t="s">
        <v>1330</v>
      </c>
      <c r="F1990" s="1">
        <v>2023</v>
      </c>
      <c r="G1990" s="1" t="s">
        <v>1528</v>
      </c>
      <c r="H1990" s="1">
        <v>606257</v>
      </c>
      <c r="I1990" s="1">
        <v>2</v>
      </c>
      <c r="K1990" s="1" t="s">
        <v>2257</v>
      </c>
      <c r="L1990" s="1" t="s">
        <v>2258</v>
      </c>
      <c r="M1990" s="1">
        <v>103</v>
      </c>
      <c r="N1990" s="1" t="s">
        <v>39</v>
      </c>
      <c r="O1990" s="1">
        <v>40.815300000000001</v>
      </c>
      <c r="P1990" s="1">
        <v>-73.066400000000002</v>
      </c>
      <c r="Q1990" s="1" t="s">
        <v>2224</v>
      </c>
      <c r="T1990" s="1" t="s">
        <v>93</v>
      </c>
      <c r="U1990" s="1" t="s">
        <v>94</v>
      </c>
      <c r="X1990" s="1" t="s">
        <v>95</v>
      </c>
      <c r="AA1990" s="3">
        <v>27211</v>
      </c>
      <c r="AB1990" s="1" t="s">
        <v>46</v>
      </c>
      <c r="AC1990" s="5">
        <v>416</v>
      </c>
      <c r="AD1990" s="1" t="s">
        <v>4630</v>
      </c>
      <c r="AE1990" s="1" t="str">
        <f t="shared" si="152"/>
        <v>8007 U00013</v>
      </c>
      <c r="AF1990" s="5" t="str">
        <f t="shared" si="150"/>
        <v>56.7</v>
      </c>
      <c r="AG1990" s="1" t="str">
        <f t="shared" si="151"/>
        <v/>
      </c>
    </row>
    <row r="1991" spans="1:33" x14ac:dyDescent="0.2">
      <c r="A1991" s="1" t="s">
        <v>2089</v>
      </c>
      <c r="B1991" s="1" t="s">
        <v>4620</v>
      </c>
      <c r="C1991" s="1">
        <v>8007</v>
      </c>
      <c r="D1991" s="1" t="s">
        <v>2244</v>
      </c>
      <c r="E1991" s="1" t="s">
        <v>1330</v>
      </c>
      <c r="F1991" s="1">
        <v>2023</v>
      </c>
      <c r="G1991" s="1" t="s">
        <v>1528</v>
      </c>
      <c r="H1991" s="1">
        <v>606257</v>
      </c>
      <c r="I1991" s="1">
        <v>2</v>
      </c>
      <c r="K1991" s="1" t="s">
        <v>2257</v>
      </c>
      <c r="L1991" s="1" t="s">
        <v>2258</v>
      </c>
      <c r="M1991" s="1">
        <v>103</v>
      </c>
      <c r="N1991" s="1" t="s">
        <v>39</v>
      </c>
      <c r="O1991" s="1">
        <v>40.815300000000001</v>
      </c>
      <c r="P1991" s="1">
        <v>-73.066400000000002</v>
      </c>
      <c r="Q1991" s="1" t="s">
        <v>2224</v>
      </c>
      <c r="T1991" s="1" t="s">
        <v>93</v>
      </c>
      <c r="U1991" s="1" t="s">
        <v>94</v>
      </c>
      <c r="X1991" s="1" t="s">
        <v>95</v>
      </c>
      <c r="AA1991" s="3">
        <v>27211</v>
      </c>
      <c r="AB1991" s="1" t="s">
        <v>46</v>
      </c>
      <c r="AC1991" s="5">
        <v>416</v>
      </c>
      <c r="AD1991" s="1" t="s">
        <v>4630</v>
      </c>
      <c r="AE1991" s="1" t="str">
        <f t="shared" si="152"/>
        <v>8007 U00014</v>
      </c>
      <c r="AF1991" s="5" t="str">
        <f t="shared" si="150"/>
        <v>56.7</v>
      </c>
      <c r="AG1991" s="1" t="str">
        <f t="shared" si="151"/>
        <v/>
      </c>
    </row>
    <row r="1992" spans="1:33" x14ac:dyDescent="0.2">
      <c r="A1992" s="1" t="s">
        <v>2089</v>
      </c>
      <c r="B1992" s="1" t="s">
        <v>4620</v>
      </c>
      <c r="C1992" s="1">
        <v>8007</v>
      </c>
      <c r="D1992" s="1" t="s">
        <v>2246</v>
      </c>
      <c r="E1992" s="1" t="s">
        <v>1330</v>
      </c>
      <c r="F1992" s="1">
        <v>2023</v>
      </c>
      <c r="G1992" s="1" t="s">
        <v>1528</v>
      </c>
      <c r="H1992" s="1">
        <v>606257</v>
      </c>
      <c r="I1992" s="1">
        <v>2</v>
      </c>
      <c r="K1992" s="1" t="s">
        <v>2257</v>
      </c>
      <c r="L1992" s="1" t="s">
        <v>2258</v>
      </c>
      <c r="M1992" s="1">
        <v>103</v>
      </c>
      <c r="N1992" s="1" t="s">
        <v>39</v>
      </c>
      <c r="O1992" s="1">
        <v>40.815300000000001</v>
      </c>
      <c r="P1992" s="1">
        <v>-73.066400000000002</v>
      </c>
      <c r="Q1992" s="1" t="s">
        <v>2224</v>
      </c>
      <c r="T1992" s="1" t="s">
        <v>93</v>
      </c>
      <c r="U1992" s="1" t="s">
        <v>94</v>
      </c>
      <c r="X1992" s="1" t="s">
        <v>140</v>
      </c>
      <c r="AA1992" s="3">
        <v>27211</v>
      </c>
      <c r="AB1992" s="1" t="s">
        <v>46</v>
      </c>
      <c r="AC1992" s="5">
        <v>416</v>
      </c>
      <c r="AD1992" s="1" t="s">
        <v>4631</v>
      </c>
      <c r="AE1992" s="1" t="str">
        <f t="shared" si="152"/>
        <v>8007 U00015</v>
      </c>
      <c r="AF1992" s="5" t="str">
        <f t="shared" si="150"/>
        <v>56.7</v>
      </c>
      <c r="AG1992" s="1" t="str">
        <f t="shared" si="151"/>
        <v/>
      </c>
    </row>
    <row r="1993" spans="1:33" x14ac:dyDescent="0.2">
      <c r="A1993" s="1" t="s">
        <v>2089</v>
      </c>
      <c r="B1993" s="1" t="s">
        <v>4620</v>
      </c>
      <c r="C1993" s="1">
        <v>8007</v>
      </c>
      <c r="D1993" s="1" t="s">
        <v>2247</v>
      </c>
      <c r="E1993" s="1" t="s">
        <v>1330</v>
      </c>
      <c r="F1993" s="1">
        <v>2023</v>
      </c>
      <c r="G1993" s="1" t="s">
        <v>1528</v>
      </c>
      <c r="H1993" s="1">
        <v>606257</v>
      </c>
      <c r="I1993" s="1">
        <v>2</v>
      </c>
      <c r="K1993" s="1" t="s">
        <v>2257</v>
      </c>
      <c r="L1993" s="1" t="s">
        <v>2258</v>
      </c>
      <c r="M1993" s="1">
        <v>103</v>
      </c>
      <c r="N1993" s="1" t="s">
        <v>39</v>
      </c>
      <c r="O1993" s="1">
        <v>40.815300000000001</v>
      </c>
      <c r="P1993" s="1">
        <v>-73.066400000000002</v>
      </c>
      <c r="Q1993" s="1" t="s">
        <v>2224</v>
      </c>
      <c r="T1993" s="1" t="s">
        <v>93</v>
      </c>
      <c r="U1993" s="1" t="s">
        <v>94</v>
      </c>
      <c r="X1993" s="1" t="s">
        <v>95</v>
      </c>
      <c r="AA1993" s="3">
        <v>27211</v>
      </c>
      <c r="AB1993" s="1" t="s">
        <v>46</v>
      </c>
      <c r="AC1993" s="5">
        <v>416</v>
      </c>
      <c r="AD1993" s="1" t="s">
        <v>4631</v>
      </c>
      <c r="AE1993" s="1" t="str">
        <f t="shared" si="152"/>
        <v>8007 U00016</v>
      </c>
      <c r="AF1993" s="5" t="str">
        <f t="shared" si="150"/>
        <v>56.7</v>
      </c>
      <c r="AG1993" s="1" t="str">
        <f t="shared" si="151"/>
        <v/>
      </c>
    </row>
    <row r="1994" spans="1:33" x14ac:dyDescent="0.2">
      <c r="A1994" s="1" t="s">
        <v>2089</v>
      </c>
      <c r="B1994" s="1" t="s">
        <v>4620</v>
      </c>
      <c r="C1994" s="1">
        <v>8007</v>
      </c>
      <c r="D1994" s="1" t="s">
        <v>2248</v>
      </c>
      <c r="E1994" s="1" t="s">
        <v>1330</v>
      </c>
      <c r="F1994" s="1">
        <v>2023</v>
      </c>
      <c r="G1994" s="1" t="s">
        <v>1528</v>
      </c>
      <c r="H1994" s="1">
        <v>606257</v>
      </c>
      <c r="I1994" s="1">
        <v>2</v>
      </c>
      <c r="K1994" s="1" t="s">
        <v>2257</v>
      </c>
      <c r="L1994" s="1" t="s">
        <v>2258</v>
      </c>
      <c r="M1994" s="1">
        <v>103</v>
      </c>
      <c r="N1994" s="1" t="s">
        <v>39</v>
      </c>
      <c r="O1994" s="1">
        <v>40.815300000000001</v>
      </c>
      <c r="P1994" s="1">
        <v>-73.066400000000002</v>
      </c>
      <c r="Q1994" s="1" t="s">
        <v>2224</v>
      </c>
      <c r="T1994" s="1" t="s">
        <v>93</v>
      </c>
      <c r="U1994" s="1" t="s">
        <v>94</v>
      </c>
      <c r="X1994" s="1" t="s">
        <v>140</v>
      </c>
      <c r="AA1994" s="3">
        <v>27211</v>
      </c>
      <c r="AB1994" s="1" t="s">
        <v>46</v>
      </c>
      <c r="AC1994" s="5">
        <v>416</v>
      </c>
      <c r="AD1994" s="1" t="s">
        <v>4632</v>
      </c>
      <c r="AE1994" s="1" t="str">
        <f t="shared" si="152"/>
        <v>8007 U00017</v>
      </c>
      <c r="AF1994" s="5" t="str">
        <f t="shared" si="150"/>
        <v>56.7</v>
      </c>
      <c r="AG1994" s="1" t="str">
        <f t="shared" si="151"/>
        <v/>
      </c>
    </row>
    <row r="1995" spans="1:33" x14ac:dyDescent="0.2">
      <c r="A1995" s="1" t="s">
        <v>2089</v>
      </c>
      <c r="B1995" s="1" t="s">
        <v>4620</v>
      </c>
      <c r="C1995" s="1">
        <v>8007</v>
      </c>
      <c r="D1995" s="1" t="s">
        <v>2249</v>
      </c>
      <c r="E1995" s="1" t="s">
        <v>1330</v>
      </c>
      <c r="F1995" s="1">
        <v>2023</v>
      </c>
      <c r="G1995" s="1" t="s">
        <v>1528</v>
      </c>
      <c r="H1995" s="1">
        <v>606257</v>
      </c>
      <c r="I1995" s="1">
        <v>2</v>
      </c>
      <c r="K1995" s="1" t="s">
        <v>2257</v>
      </c>
      <c r="L1995" s="1" t="s">
        <v>2258</v>
      </c>
      <c r="M1995" s="1">
        <v>103</v>
      </c>
      <c r="N1995" s="1" t="s">
        <v>39</v>
      </c>
      <c r="O1995" s="1">
        <v>40.815300000000001</v>
      </c>
      <c r="P1995" s="1">
        <v>-73.066400000000002</v>
      </c>
      <c r="Q1995" s="1" t="s">
        <v>2224</v>
      </c>
      <c r="T1995" s="1" t="s">
        <v>93</v>
      </c>
      <c r="U1995" s="1" t="s">
        <v>94</v>
      </c>
      <c r="X1995" s="1" t="s">
        <v>95</v>
      </c>
      <c r="AA1995" s="3">
        <v>27211</v>
      </c>
      <c r="AB1995" s="1" t="s">
        <v>46</v>
      </c>
      <c r="AC1995" s="5">
        <v>416</v>
      </c>
      <c r="AD1995" s="1" t="s">
        <v>4632</v>
      </c>
      <c r="AE1995" s="1" t="str">
        <f t="shared" si="152"/>
        <v>8007 U00018</v>
      </c>
      <c r="AF1995" s="5" t="str">
        <f t="shared" si="150"/>
        <v>56.7</v>
      </c>
      <c r="AG1995" s="1" t="str">
        <f t="shared" si="151"/>
        <v/>
      </c>
    </row>
    <row r="1996" spans="1:33" x14ac:dyDescent="0.2">
      <c r="A1996" s="1" t="s">
        <v>2089</v>
      </c>
      <c r="B1996" s="1" t="s">
        <v>4620</v>
      </c>
      <c r="C1996" s="1">
        <v>8007</v>
      </c>
      <c r="D1996" s="1" t="s">
        <v>2250</v>
      </c>
      <c r="E1996" s="1" t="s">
        <v>1330</v>
      </c>
      <c r="F1996" s="1">
        <v>2023</v>
      </c>
      <c r="G1996" s="1" t="s">
        <v>1528</v>
      </c>
      <c r="H1996" s="1">
        <v>606257</v>
      </c>
      <c r="I1996" s="1">
        <v>2</v>
      </c>
      <c r="K1996" s="1" t="s">
        <v>2257</v>
      </c>
      <c r="L1996" s="1" t="s">
        <v>2258</v>
      </c>
      <c r="M1996" s="1">
        <v>103</v>
      </c>
      <c r="N1996" s="1" t="s">
        <v>39</v>
      </c>
      <c r="O1996" s="1">
        <v>40.815300000000001</v>
      </c>
      <c r="P1996" s="1">
        <v>-73.066400000000002</v>
      </c>
      <c r="Q1996" s="1" t="s">
        <v>2224</v>
      </c>
      <c r="T1996" s="1" t="s">
        <v>93</v>
      </c>
      <c r="U1996" s="1" t="s">
        <v>94</v>
      </c>
      <c r="X1996" s="1" t="s">
        <v>95</v>
      </c>
      <c r="AA1996" s="3">
        <v>27211</v>
      </c>
      <c r="AB1996" s="1" t="s">
        <v>46</v>
      </c>
      <c r="AC1996" s="5">
        <v>416</v>
      </c>
      <c r="AD1996" s="1" t="s">
        <v>4633</v>
      </c>
      <c r="AE1996" s="1" t="str">
        <f t="shared" si="152"/>
        <v>8007 U00019</v>
      </c>
      <c r="AF1996" s="5" t="str">
        <f t="shared" si="150"/>
        <v>56.7</v>
      </c>
      <c r="AG1996" s="1" t="str">
        <f t="shared" si="151"/>
        <v/>
      </c>
    </row>
    <row r="1997" spans="1:33" x14ac:dyDescent="0.2">
      <c r="A1997" s="1" t="s">
        <v>2089</v>
      </c>
      <c r="B1997" s="1" t="s">
        <v>4620</v>
      </c>
      <c r="C1997" s="1">
        <v>8007</v>
      </c>
      <c r="D1997" s="1" t="s">
        <v>2252</v>
      </c>
      <c r="E1997" s="1" t="s">
        <v>1330</v>
      </c>
      <c r="F1997" s="1">
        <v>2023</v>
      </c>
      <c r="G1997" s="1" t="s">
        <v>1528</v>
      </c>
      <c r="H1997" s="1">
        <v>606257</v>
      </c>
      <c r="I1997" s="1">
        <v>2</v>
      </c>
      <c r="K1997" s="1" t="s">
        <v>2257</v>
      </c>
      <c r="L1997" s="1" t="s">
        <v>2258</v>
      </c>
      <c r="M1997" s="1">
        <v>103</v>
      </c>
      <c r="N1997" s="1" t="s">
        <v>39</v>
      </c>
      <c r="O1997" s="1">
        <v>40.815300000000001</v>
      </c>
      <c r="P1997" s="1">
        <v>-73.066400000000002</v>
      </c>
      <c r="Q1997" s="1" t="s">
        <v>2224</v>
      </c>
      <c r="T1997" s="1" t="s">
        <v>93</v>
      </c>
      <c r="U1997" s="1" t="s">
        <v>94</v>
      </c>
      <c r="X1997" s="1" t="s">
        <v>95</v>
      </c>
      <c r="AA1997" s="3">
        <v>27211</v>
      </c>
      <c r="AB1997" s="1" t="s">
        <v>46</v>
      </c>
      <c r="AC1997" s="5">
        <v>416</v>
      </c>
      <c r="AD1997" s="1" t="s">
        <v>4633</v>
      </c>
      <c r="AE1997" s="1" t="str">
        <f t="shared" si="152"/>
        <v>8007 U00020</v>
      </c>
      <c r="AF1997" s="5" t="str">
        <f t="shared" si="150"/>
        <v>56.7</v>
      </c>
      <c r="AG1997" s="1" t="str">
        <f t="shared" si="151"/>
        <v/>
      </c>
    </row>
    <row r="1998" spans="1:33" x14ac:dyDescent="0.2">
      <c r="A1998" s="1" t="s">
        <v>1980</v>
      </c>
      <c r="B1998" s="1" t="s">
        <v>4634</v>
      </c>
      <c r="C1998" s="1">
        <v>8008</v>
      </c>
      <c r="D1998" s="1">
        <v>1001</v>
      </c>
      <c r="F1998" s="1">
        <v>2023</v>
      </c>
      <c r="G1998" s="1" t="s">
        <v>1528</v>
      </c>
      <c r="H1998" s="1">
        <v>1277</v>
      </c>
      <c r="I1998" s="1">
        <v>2</v>
      </c>
      <c r="K1998" s="1" t="s">
        <v>4635</v>
      </c>
      <c r="L1998" s="1" t="s">
        <v>4636</v>
      </c>
      <c r="M1998" s="1">
        <v>15</v>
      </c>
      <c r="N1998" s="1" t="s">
        <v>39</v>
      </c>
      <c r="O1998" s="1">
        <v>39.813899999999997</v>
      </c>
      <c r="P1998" s="1">
        <v>-75.250799999999998</v>
      </c>
      <c r="Q1998" s="1" t="s">
        <v>1983</v>
      </c>
      <c r="T1998" s="1" t="s">
        <v>93</v>
      </c>
      <c r="U1998" s="1" t="s">
        <v>44</v>
      </c>
      <c r="X1998" s="1" t="s">
        <v>176</v>
      </c>
      <c r="AA1998" s="3">
        <v>27208</v>
      </c>
      <c r="AB1998" s="1" t="s">
        <v>46</v>
      </c>
      <c r="AC1998" s="5">
        <v>1092</v>
      </c>
      <c r="AD1998" s="1" t="s">
        <v>4637</v>
      </c>
      <c r="AE1998" s="1" t="str">
        <f t="shared" si="152"/>
        <v>8008 1001</v>
      </c>
      <c r="AF1998" s="5" t="str">
        <f t="shared" si="150"/>
        <v>71.2</v>
      </c>
      <c r="AG1998" s="1" t="str">
        <f t="shared" si="151"/>
        <v>Y</v>
      </c>
    </row>
    <row r="1999" spans="1:33" x14ac:dyDescent="0.2">
      <c r="A1999" s="1" t="s">
        <v>2584</v>
      </c>
      <c r="B1999" s="1" t="s">
        <v>4638</v>
      </c>
      <c r="C1999" s="1">
        <v>8012</v>
      </c>
      <c r="D1999" s="1">
        <v>11</v>
      </c>
      <c r="F1999" s="1">
        <v>2023</v>
      </c>
      <c r="G1999" s="1" t="s">
        <v>1528</v>
      </c>
      <c r="H1999" s="1">
        <v>609041</v>
      </c>
      <c r="I1999" s="1">
        <v>3</v>
      </c>
      <c r="K1999" s="1" t="s">
        <v>4639</v>
      </c>
      <c r="L1999" s="1" t="s">
        <v>4640</v>
      </c>
      <c r="M1999" s="1">
        <v>17</v>
      </c>
      <c r="N1999" s="1" t="s">
        <v>39</v>
      </c>
      <c r="O1999" s="1">
        <v>40.08</v>
      </c>
      <c r="P1999" s="1">
        <v>-74.8917</v>
      </c>
      <c r="Q1999" s="1" t="s">
        <v>1571</v>
      </c>
      <c r="T1999" s="1" t="s">
        <v>93</v>
      </c>
      <c r="U1999" s="1" t="s">
        <v>94</v>
      </c>
      <c r="AA1999" s="3">
        <v>27138</v>
      </c>
      <c r="AB1999" s="1" t="s">
        <v>46</v>
      </c>
      <c r="AC1999" s="5">
        <v>838</v>
      </c>
      <c r="AD1999" s="1" t="s">
        <v>4641</v>
      </c>
      <c r="AE1999" s="1" t="str">
        <f t="shared" si="152"/>
        <v>8012 11</v>
      </c>
      <c r="AF1999" s="5" t="str">
        <f t="shared" si="150"/>
        <v>50</v>
      </c>
      <c r="AG1999" s="1" t="str">
        <f t="shared" si="151"/>
        <v/>
      </c>
    </row>
    <row r="2000" spans="1:33" x14ac:dyDescent="0.2">
      <c r="A2000" s="1" t="s">
        <v>2584</v>
      </c>
      <c r="B2000" s="1" t="s">
        <v>4638</v>
      </c>
      <c r="C2000" s="1">
        <v>8012</v>
      </c>
      <c r="D2000" s="1">
        <v>12</v>
      </c>
      <c r="F2000" s="1">
        <v>2023</v>
      </c>
      <c r="G2000" s="1" t="s">
        <v>1528</v>
      </c>
      <c r="H2000" s="1">
        <v>609041</v>
      </c>
      <c r="I2000" s="1">
        <v>3</v>
      </c>
      <c r="K2000" s="1" t="s">
        <v>4639</v>
      </c>
      <c r="L2000" s="1" t="s">
        <v>4640</v>
      </c>
      <c r="M2000" s="1">
        <v>17</v>
      </c>
      <c r="N2000" s="1" t="s">
        <v>39</v>
      </c>
      <c r="O2000" s="1">
        <v>40.08</v>
      </c>
      <c r="P2000" s="1">
        <v>-74.8917</v>
      </c>
      <c r="Q2000" s="1" t="s">
        <v>1571</v>
      </c>
      <c r="T2000" s="1" t="s">
        <v>93</v>
      </c>
      <c r="U2000" s="1" t="s">
        <v>94</v>
      </c>
      <c r="AA2000" s="3">
        <v>27138</v>
      </c>
      <c r="AB2000" s="1" t="s">
        <v>46</v>
      </c>
      <c r="AC2000" s="5">
        <v>838</v>
      </c>
      <c r="AD2000" s="1" t="s">
        <v>612</v>
      </c>
      <c r="AE2000" s="1" t="str">
        <f t="shared" si="152"/>
        <v>8012 12</v>
      </c>
      <c r="AF2000" s="5" t="str">
        <f t="shared" si="150"/>
        <v>50</v>
      </c>
      <c r="AG2000" s="1" t="str">
        <f t="shared" si="151"/>
        <v/>
      </c>
    </row>
    <row r="2001" spans="1:33" x14ac:dyDescent="0.2">
      <c r="A2001" s="1" t="s">
        <v>2584</v>
      </c>
      <c r="B2001" s="1" t="s">
        <v>4638</v>
      </c>
      <c r="C2001" s="1">
        <v>8012</v>
      </c>
      <c r="D2001" s="1">
        <v>21</v>
      </c>
      <c r="F2001" s="1">
        <v>2023</v>
      </c>
      <c r="G2001" s="1" t="s">
        <v>1528</v>
      </c>
      <c r="H2001" s="1">
        <v>609041</v>
      </c>
      <c r="I2001" s="1">
        <v>3</v>
      </c>
      <c r="K2001" s="1" t="s">
        <v>4639</v>
      </c>
      <c r="L2001" s="1" t="s">
        <v>4640</v>
      </c>
      <c r="M2001" s="1">
        <v>17</v>
      </c>
      <c r="N2001" s="1" t="s">
        <v>39</v>
      </c>
      <c r="O2001" s="1">
        <v>40.08</v>
      </c>
      <c r="P2001" s="1">
        <v>-74.8917</v>
      </c>
      <c r="Q2001" s="1" t="s">
        <v>1571</v>
      </c>
      <c r="T2001" s="1" t="s">
        <v>93</v>
      </c>
      <c r="U2001" s="1" t="s">
        <v>94</v>
      </c>
      <c r="AA2001" s="3">
        <v>27138</v>
      </c>
      <c r="AB2001" s="1" t="s">
        <v>46</v>
      </c>
      <c r="AC2001" s="5">
        <v>838</v>
      </c>
      <c r="AD2001" s="1" t="s">
        <v>4642</v>
      </c>
      <c r="AE2001" s="1" t="str">
        <f t="shared" si="152"/>
        <v>8012 21</v>
      </c>
      <c r="AF2001" s="5" t="str">
        <f t="shared" si="150"/>
        <v>50</v>
      </c>
      <c r="AG2001" s="1" t="str">
        <f t="shared" si="151"/>
        <v/>
      </c>
    </row>
    <row r="2002" spans="1:33" x14ac:dyDescent="0.2">
      <c r="A2002" s="1" t="s">
        <v>2584</v>
      </c>
      <c r="B2002" s="1" t="s">
        <v>4638</v>
      </c>
      <c r="C2002" s="1">
        <v>8012</v>
      </c>
      <c r="D2002" s="1">
        <v>22</v>
      </c>
      <c r="F2002" s="1">
        <v>2023</v>
      </c>
      <c r="G2002" s="1" t="s">
        <v>1528</v>
      </c>
      <c r="H2002" s="1">
        <v>609041</v>
      </c>
      <c r="I2002" s="1">
        <v>3</v>
      </c>
      <c r="K2002" s="1" t="s">
        <v>4639</v>
      </c>
      <c r="L2002" s="1" t="s">
        <v>4640</v>
      </c>
      <c r="M2002" s="1">
        <v>17</v>
      </c>
      <c r="N2002" s="1" t="s">
        <v>39</v>
      </c>
      <c r="O2002" s="1">
        <v>40.08</v>
      </c>
      <c r="P2002" s="1">
        <v>-74.8917</v>
      </c>
      <c r="Q2002" s="1" t="s">
        <v>1571</v>
      </c>
      <c r="T2002" s="1" t="s">
        <v>93</v>
      </c>
      <c r="U2002" s="1" t="s">
        <v>94</v>
      </c>
      <c r="AA2002" s="3">
        <v>27138</v>
      </c>
      <c r="AB2002" s="1" t="s">
        <v>46</v>
      </c>
      <c r="AC2002" s="5">
        <v>838</v>
      </c>
      <c r="AD2002" s="1" t="s">
        <v>4643</v>
      </c>
      <c r="AE2002" s="1" t="str">
        <f t="shared" si="152"/>
        <v>8012 22</v>
      </c>
      <c r="AF2002" s="5" t="str">
        <f t="shared" si="150"/>
        <v>50</v>
      </c>
      <c r="AG2002" s="1" t="str">
        <f t="shared" si="151"/>
        <v/>
      </c>
    </row>
    <row r="2003" spans="1:33" x14ac:dyDescent="0.2">
      <c r="A2003" s="1" t="s">
        <v>2584</v>
      </c>
      <c r="B2003" s="1" t="s">
        <v>4638</v>
      </c>
      <c r="C2003" s="1">
        <v>8012</v>
      </c>
      <c r="D2003" s="1">
        <v>31</v>
      </c>
      <c r="F2003" s="1">
        <v>2023</v>
      </c>
      <c r="G2003" s="1" t="s">
        <v>1528</v>
      </c>
      <c r="H2003" s="1">
        <v>609041</v>
      </c>
      <c r="I2003" s="1">
        <v>3</v>
      </c>
      <c r="K2003" s="1" t="s">
        <v>4639</v>
      </c>
      <c r="L2003" s="1" t="s">
        <v>4640</v>
      </c>
      <c r="M2003" s="1">
        <v>17</v>
      </c>
      <c r="N2003" s="1" t="s">
        <v>39</v>
      </c>
      <c r="O2003" s="1">
        <v>40.08</v>
      </c>
      <c r="P2003" s="1">
        <v>-74.8917</v>
      </c>
      <c r="Q2003" s="1" t="s">
        <v>1571</v>
      </c>
      <c r="T2003" s="1" t="s">
        <v>93</v>
      </c>
      <c r="U2003" s="1" t="s">
        <v>94</v>
      </c>
      <c r="AA2003" s="3">
        <v>27138</v>
      </c>
      <c r="AB2003" s="1" t="s">
        <v>46</v>
      </c>
      <c r="AC2003" s="5">
        <v>838</v>
      </c>
      <c r="AD2003" s="1" t="s">
        <v>4644</v>
      </c>
      <c r="AE2003" s="1" t="str">
        <f t="shared" si="152"/>
        <v>8012 31</v>
      </c>
      <c r="AF2003" s="5" t="str">
        <f t="shared" si="150"/>
        <v>50</v>
      </c>
      <c r="AG2003" s="1" t="str">
        <f t="shared" si="151"/>
        <v/>
      </c>
    </row>
    <row r="2004" spans="1:33" x14ac:dyDescent="0.2">
      <c r="A2004" s="1" t="s">
        <v>2584</v>
      </c>
      <c r="B2004" s="1" t="s">
        <v>4638</v>
      </c>
      <c r="C2004" s="1">
        <v>8012</v>
      </c>
      <c r="D2004" s="1">
        <v>32</v>
      </c>
      <c r="F2004" s="1">
        <v>2023</v>
      </c>
      <c r="G2004" s="1" t="s">
        <v>1528</v>
      </c>
      <c r="H2004" s="1">
        <v>609041</v>
      </c>
      <c r="I2004" s="1">
        <v>3</v>
      </c>
      <c r="K2004" s="1" t="s">
        <v>4639</v>
      </c>
      <c r="L2004" s="1" t="s">
        <v>4640</v>
      </c>
      <c r="M2004" s="1">
        <v>17</v>
      </c>
      <c r="N2004" s="1" t="s">
        <v>39</v>
      </c>
      <c r="O2004" s="1">
        <v>40.08</v>
      </c>
      <c r="P2004" s="1">
        <v>-74.8917</v>
      </c>
      <c r="Q2004" s="1" t="s">
        <v>1571</v>
      </c>
      <c r="T2004" s="1" t="s">
        <v>93</v>
      </c>
      <c r="U2004" s="1" t="s">
        <v>94</v>
      </c>
      <c r="AA2004" s="3">
        <v>27138</v>
      </c>
      <c r="AB2004" s="1" t="s">
        <v>46</v>
      </c>
      <c r="AC2004" s="5">
        <v>838</v>
      </c>
      <c r="AD2004" s="1" t="s">
        <v>4645</v>
      </c>
      <c r="AE2004" s="1" t="str">
        <f t="shared" si="152"/>
        <v>8012 32</v>
      </c>
      <c r="AF2004" s="5" t="str">
        <f t="shared" si="150"/>
        <v>50</v>
      </c>
      <c r="AG2004" s="1" t="str">
        <f t="shared" si="151"/>
        <v/>
      </c>
    </row>
    <row r="2005" spans="1:33" x14ac:dyDescent="0.2">
      <c r="A2005" s="1" t="s">
        <v>2584</v>
      </c>
      <c r="B2005" s="1" t="s">
        <v>4638</v>
      </c>
      <c r="C2005" s="1">
        <v>8012</v>
      </c>
      <c r="D2005" s="1">
        <v>41</v>
      </c>
      <c r="F2005" s="1">
        <v>2023</v>
      </c>
      <c r="G2005" s="1" t="s">
        <v>1528</v>
      </c>
      <c r="H2005" s="1">
        <v>609041</v>
      </c>
      <c r="I2005" s="1">
        <v>3</v>
      </c>
      <c r="K2005" s="1" t="s">
        <v>4639</v>
      </c>
      <c r="L2005" s="1" t="s">
        <v>4640</v>
      </c>
      <c r="M2005" s="1">
        <v>17</v>
      </c>
      <c r="N2005" s="1" t="s">
        <v>39</v>
      </c>
      <c r="O2005" s="1">
        <v>40.08</v>
      </c>
      <c r="P2005" s="1">
        <v>-74.8917</v>
      </c>
      <c r="Q2005" s="1" t="s">
        <v>1571</v>
      </c>
      <c r="T2005" s="1" t="s">
        <v>93</v>
      </c>
      <c r="U2005" s="1" t="s">
        <v>94</v>
      </c>
      <c r="AA2005" s="3">
        <v>27138</v>
      </c>
      <c r="AB2005" s="1" t="s">
        <v>46</v>
      </c>
      <c r="AC2005" s="5">
        <v>838</v>
      </c>
      <c r="AD2005" s="1" t="s">
        <v>4646</v>
      </c>
      <c r="AE2005" s="1" t="str">
        <f t="shared" si="152"/>
        <v>8012 41</v>
      </c>
      <c r="AF2005" s="5" t="str">
        <f t="shared" si="150"/>
        <v>50</v>
      </c>
      <c r="AG2005" s="1" t="str">
        <f t="shared" si="151"/>
        <v/>
      </c>
    </row>
    <row r="2006" spans="1:33" x14ac:dyDescent="0.2">
      <c r="A2006" s="1" t="s">
        <v>2584</v>
      </c>
      <c r="B2006" s="1" t="s">
        <v>4638</v>
      </c>
      <c r="C2006" s="1">
        <v>8012</v>
      </c>
      <c r="D2006" s="1">
        <v>42</v>
      </c>
      <c r="F2006" s="1">
        <v>2023</v>
      </c>
      <c r="G2006" s="1" t="s">
        <v>1528</v>
      </c>
      <c r="H2006" s="1">
        <v>609041</v>
      </c>
      <c r="I2006" s="1">
        <v>3</v>
      </c>
      <c r="K2006" s="1" t="s">
        <v>4639</v>
      </c>
      <c r="L2006" s="1" t="s">
        <v>4640</v>
      </c>
      <c r="M2006" s="1">
        <v>17</v>
      </c>
      <c r="N2006" s="1" t="s">
        <v>39</v>
      </c>
      <c r="O2006" s="1">
        <v>40.08</v>
      </c>
      <c r="P2006" s="1">
        <v>-74.8917</v>
      </c>
      <c r="Q2006" s="1" t="s">
        <v>1571</v>
      </c>
      <c r="T2006" s="1" t="s">
        <v>93</v>
      </c>
      <c r="U2006" s="1" t="s">
        <v>94</v>
      </c>
      <c r="AA2006" s="3">
        <v>27138</v>
      </c>
      <c r="AB2006" s="1" t="s">
        <v>46</v>
      </c>
      <c r="AC2006" s="5">
        <v>838</v>
      </c>
      <c r="AD2006" s="1" t="s">
        <v>4647</v>
      </c>
      <c r="AE2006" s="1" t="str">
        <f t="shared" si="152"/>
        <v>8012 42</v>
      </c>
      <c r="AF2006" s="5" t="str">
        <f t="shared" si="150"/>
        <v>50</v>
      </c>
      <c r="AG2006" s="1" t="str">
        <f t="shared" si="151"/>
        <v/>
      </c>
    </row>
    <row r="2007" spans="1:33" x14ac:dyDescent="0.2">
      <c r="A2007" s="1" t="s">
        <v>458</v>
      </c>
      <c r="B2007" s="1" t="s">
        <v>4648</v>
      </c>
      <c r="C2007" s="1">
        <v>8016</v>
      </c>
      <c r="D2007" s="1">
        <v>2</v>
      </c>
      <c r="F2007" s="1">
        <v>2023</v>
      </c>
      <c r="G2007" s="1" t="s">
        <v>1020</v>
      </c>
      <c r="H2007" s="1">
        <v>602221</v>
      </c>
      <c r="I2007" s="1">
        <v>5</v>
      </c>
      <c r="K2007" s="1" t="s">
        <v>1056</v>
      </c>
      <c r="L2007" s="1" t="s">
        <v>1057</v>
      </c>
      <c r="M2007" s="1">
        <v>167</v>
      </c>
      <c r="N2007" s="1" t="s">
        <v>39</v>
      </c>
      <c r="O2007" s="1">
        <v>39.826599999999999</v>
      </c>
      <c r="P2007" s="1">
        <v>-89.636799999999994</v>
      </c>
      <c r="Q2007" s="1" t="s">
        <v>1058</v>
      </c>
      <c r="T2007" s="1" t="s">
        <v>93</v>
      </c>
      <c r="U2007" s="1" t="s">
        <v>94</v>
      </c>
      <c r="AA2007" s="3">
        <v>26877</v>
      </c>
      <c r="AB2007" s="1" t="s">
        <v>46</v>
      </c>
      <c r="AC2007" s="5">
        <v>316</v>
      </c>
      <c r="AD2007" s="1" t="s">
        <v>2596</v>
      </c>
      <c r="AE2007" s="1" t="str">
        <f t="shared" si="152"/>
        <v>8016 2</v>
      </c>
      <c r="AF2007" s="5" t="str">
        <f t="shared" si="150"/>
        <v>26.6</v>
      </c>
      <c r="AG2007" s="1" t="str">
        <f t="shared" si="151"/>
        <v/>
      </c>
    </row>
    <row r="2008" spans="1:33" x14ac:dyDescent="0.2">
      <c r="A2008" s="1" t="s">
        <v>3167</v>
      </c>
      <c r="B2008" s="1" t="s">
        <v>1807</v>
      </c>
      <c r="C2008" s="1">
        <v>8023</v>
      </c>
      <c r="D2008" s="1">
        <v>1</v>
      </c>
      <c r="F2008" s="1">
        <v>2023</v>
      </c>
      <c r="G2008" s="1" t="s">
        <v>1005</v>
      </c>
      <c r="H2008" s="1">
        <v>608055</v>
      </c>
      <c r="I2008" s="1">
        <v>5</v>
      </c>
      <c r="J2008" s="1" t="s">
        <v>462</v>
      </c>
      <c r="K2008" s="1" t="s">
        <v>4649</v>
      </c>
      <c r="L2008" s="1" t="s">
        <v>4650</v>
      </c>
      <c r="M2008" s="1">
        <v>21</v>
      </c>
      <c r="N2008" s="1" t="s">
        <v>39</v>
      </c>
      <c r="O2008" s="1">
        <v>43.486400000000003</v>
      </c>
      <c r="P2008" s="1">
        <v>-89.420299999999997</v>
      </c>
      <c r="Q2008" s="1" t="s">
        <v>4651</v>
      </c>
      <c r="R2008" s="1" t="s">
        <v>41</v>
      </c>
      <c r="S2008" s="1" t="s">
        <v>211</v>
      </c>
      <c r="T2008" s="1" t="s">
        <v>43</v>
      </c>
      <c r="U2008" s="1" t="s">
        <v>55</v>
      </c>
      <c r="W2008" s="1" t="s">
        <v>212</v>
      </c>
      <c r="X2008" s="1" t="s">
        <v>242</v>
      </c>
      <c r="Y2008" s="1" t="s">
        <v>123</v>
      </c>
      <c r="Z2008" s="1" t="s">
        <v>937</v>
      </c>
      <c r="AA2008" s="3">
        <v>27472</v>
      </c>
      <c r="AB2008" s="1" t="s">
        <v>46</v>
      </c>
      <c r="AC2008" s="5">
        <v>6929</v>
      </c>
      <c r="AD2008" s="1" t="s">
        <v>4652</v>
      </c>
      <c r="AE2008" s="1" t="str">
        <f t="shared" si="152"/>
        <v>8023 1</v>
      </c>
      <c r="AF2008" s="5" t="str">
        <f t="shared" si="150"/>
        <v>512</v>
      </c>
      <c r="AG2008" s="1" t="str">
        <f t="shared" si="151"/>
        <v/>
      </c>
    </row>
    <row r="2009" spans="1:33" x14ac:dyDescent="0.2">
      <c r="A2009" s="1" t="s">
        <v>3167</v>
      </c>
      <c r="B2009" s="1" t="s">
        <v>1807</v>
      </c>
      <c r="C2009" s="1">
        <v>8023</v>
      </c>
      <c r="D2009" s="1">
        <v>2</v>
      </c>
      <c r="F2009" s="1">
        <v>2023</v>
      </c>
      <c r="G2009" s="1" t="s">
        <v>1005</v>
      </c>
      <c r="H2009" s="1">
        <v>608055</v>
      </c>
      <c r="I2009" s="1">
        <v>5</v>
      </c>
      <c r="J2009" s="1" t="s">
        <v>462</v>
      </c>
      <c r="K2009" s="1" t="s">
        <v>4649</v>
      </c>
      <c r="L2009" s="1" t="s">
        <v>4650</v>
      </c>
      <c r="M2009" s="1">
        <v>21</v>
      </c>
      <c r="N2009" s="1" t="s">
        <v>39</v>
      </c>
      <c r="O2009" s="1">
        <v>43.486400000000003</v>
      </c>
      <c r="P2009" s="1">
        <v>-89.420299999999997</v>
      </c>
      <c r="Q2009" s="1" t="s">
        <v>4651</v>
      </c>
      <c r="R2009" s="1" t="s">
        <v>41</v>
      </c>
      <c r="S2009" s="1" t="s">
        <v>211</v>
      </c>
      <c r="T2009" s="1" t="s">
        <v>43</v>
      </c>
      <c r="U2009" s="1" t="s">
        <v>55</v>
      </c>
      <c r="W2009" s="1" t="s">
        <v>212</v>
      </c>
      <c r="X2009" s="1" t="s">
        <v>57</v>
      </c>
      <c r="Y2009" s="1" t="s">
        <v>123</v>
      </c>
      <c r="Z2009" s="1" t="s">
        <v>937</v>
      </c>
      <c r="AA2009" s="3">
        <v>28541</v>
      </c>
      <c r="AB2009" s="1" t="s">
        <v>46</v>
      </c>
      <c r="AC2009" s="5">
        <v>6525</v>
      </c>
      <c r="AD2009" s="1" t="s">
        <v>4653</v>
      </c>
      <c r="AE2009" s="1" t="str">
        <f t="shared" si="152"/>
        <v>8023 2</v>
      </c>
      <c r="AF2009" s="5" t="str">
        <f t="shared" si="150"/>
        <v>511</v>
      </c>
      <c r="AG2009" s="1" t="str">
        <f t="shared" si="151"/>
        <v>Y</v>
      </c>
    </row>
    <row r="2010" spans="1:33" x14ac:dyDescent="0.2">
      <c r="A2010" s="1" t="s">
        <v>1663</v>
      </c>
      <c r="B2010" s="1" t="s">
        <v>4654</v>
      </c>
      <c r="C2010" s="1">
        <v>8027</v>
      </c>
      <c r="D2010" s="1">
        <v>1</v>
      </c>
      <c r="F2010" s="1">
        <v>2023</v>
      </c>
      <c r="G2010" s="1" t="s">
        <v>1696</v>
      </c>
      <c r="H2010" s="1">
        <v>608123</v>
      </c>
      <c r="I2010" s="1">
        <v>5</v>
      </c>
      <c r="K2010" s="1" t="s">
        <v>3836</v>
      </c>
      <c r="L2010" s="1" t="s">
        <v>4655</v>
      </c>
      <c r="M2010" s="1">
        <v>139</v>
      </c>
      <c r="N2010" s="1" t="s">
        <v>39</v>
      </c>
      <c r="O2010" s="1">
        <v>44.785499999999999</v>
      </c>
      <c r="P2010" s="1">
        <v>-93.4315</v>
      </c>
      <c r="Q2010" s="1" t="s">
        <v>1686</v>
      </c>
      <c r="T2010" s="1" t="s">
        <v>93</v>
      </c>
      <c r="U2010" s="1" t="s">
        <v>94</v>
      </c>
      <c r="AA2010" s="3">
        <v>27145</v>
      </c>
      <c r="AB2010" s="1" t="s">
        <v>46</v>
      </c>
      <c r="AC2010" s="5">
        <v>648</v>
      </c>
      <c r="AD2010" s="1" t="s">
        <v>1198</v>
      </c>
      <c r="AE2010" s="1" t="str">
        <f t="shared" si="152"/>
        <v>8027 1</v>
      </c>
      <c r="AF2010" s="5" t="str">
        <f t="shared" si="150"/>
        <v>63</v>
      </c>
      <c r="AG2010" s="1" t="str">
        <f t="shared" si="151"/>
        <v/>
      </c>
    </row>
    <row r="2011" spans="1:33" x14ac:dyDescent="0.2">
      <c r="A2011" s="1" t="s">
        <v>1663</v>
      </c>
      <c r="B2011" s="1" t="s">
        <v>4654</v>
      </c>
      <c r="C2011" s="1">
        <v>8027</v>
      </c>
      <c r="D2011" s="1">
        <v>2</v>
      </c>
      <c r="F2011" s="1">
        <v>2023</v>
      </c>
      <c r="G2011" s="1" t="s">
        <v>1696</v>
      </c>
      <c r="H2011" s="1">
        <v>608123</v>
      </c>
      <c r="I2011" s="1">
        <v>5</v>
      </c>
      <c r="K2011" s="1" t="s">
        <v>3836</v>
      </c>
      <c r="L2011" s="1" t="s">
        <v>4655</v>
      </c>
      <c r="M2011" s="1">
        <v>139</v>
      </c>
      <c r="N2011" s="1" t="s">
        <v>39</v>
      </c>
      <c r="O2011" s="1">
        <v>44.785499999999999</v>
      </c>
      <c r="P2011" s="1">
        <v>-93.4315</v>
      </c>
      <c r="Q2011" s="1" t="s">
        <v>1686</v>
      </c>
      <c r="T2011" s="1" t="s">
        <v>93</v>
      </c>
      <c r="U2011" s="1" t="s">
        <v>94</v>
      </c>
      <c r="AA2011" s="3">
        <v>27145</v>
      </c>
      <c r="AB2011" s="1" t="s">
        <v>46</v>
      </c>
      <c r="AC2011" s="5">
        <v>648</v>
      </c>
      <c r="AD2011" s="1" t="s">
        <v>1200</v>
      </c>
      <c r="AE2011" s="1" t="str">
        <f t="shared" si="152"/>
        <v>8027 2</v>
      </c>
      <c r="AF2011" s="5" t="str">
        <f t="shared" si="150"/>
        <v>63</v>
      </c>
      <c r="AG2011" s="1" t="str">
        <f t="shared" si="151"/>
        <v/>
      </c>
    </row>
    <row r="2012" spans="1:33" x14ac:dyDescent="0.2">
      <c r="A2012" s="1" t="s">
        <v>1663</v>
      </c>
      <c r="B2012" s="1" t="s">
        <v>4654</v>
      </c>
      <c r="C2012" s="1">
        <v>8027</v>
      </c>
      <c r="D2012" s="1">
        <v>3</v>
      </c>
      <c r="F2012" s="1">
        <v>2023</v>
      </c>
      <c r="G2012" s="1" t="s">
        <v>1696</v>
      </c>
      <c r="H2012" s="1">
        <v>608123</v>
      </c>
      <c r="I2012" s="1">
        <v>5</v>
      </c>
      <c r="K2012" s="1" t="s">
        <v>3836</v>
      </c>
      <c r="L2012" s="1" t="s">
        <v>4655</v>
      </c>
      <c r="M2012" s="1">
        <v>139</v>
      </c>
      <c r="N2012" s="1" t="s">
        <v>39</v>
      </c>
      <c r="O2012" s="1">
        <v>44.785499999999999</v>
      </c>
      <c r="P2012" s="1">
        <v>-93.4315</v>
      </c>
      <c r="Q2012" s="1" t="s">
        <v>1686</v>
      </c>
      <c r="T2012" s="1" t="s">
        <v>93</v>
      </c>
      <c r="U2012" s="1" t="s">
        <v>94</v>
      </c>
      <c r="AA2012" s="3">
        <v>27145</v>
      </c>
      <c r="AB2012" s="1" t="s">
        <v>46</v>
      </c>
      <c r="AC2012" s="5">
        <v>648</v>
      </c>
      <c r="AD2012" s="1" t="s">
        <v>1202</v>
      </c>
      <c r="AE2012" s="1" t="str">
        <f t="shared" si="152"/>
        <v>8027 3</v>
      </c>
      <c r="AF2012" s="5" t="str">
        <f t="shared" si="150"/>
        <v>63</v>
      </c>
      <c r="AG2012" s="1" t="str">
        <f t="shared" si="151"/>
        <v/>
      </c>
    </row>
    <row r="2013" spans="1:33" x14ac:dyDescent="0.2">
      <c r="A2013" s="1" t="s">
        <v>1663</v>
      </c>
      <c r="B2013" s="1" t="s">
        <v>4654</v>
      </c>
      <c r="C2013" s="1">
        <v>8027</v>
      </c>
      <c r="D2013" s="1">
        <v>4</v>
      </c>
      <c r="F2013" s="1">
        <v>2023</v>
      </c>
      <c r="G2013" s="1" t="s">
        <v>1696</v>
      </c>
      <c r="H2013" s="1">
        <v>608123</v>
      </c>
      <c r="I2013" s="1">
        <v>5</v>
      </c>
      <c r="K2013" s="1" t="s">
        <v>3836</v>
      </c>
      <c r="L2013" s="1" t="s">
        <v>4655</v>
      </c>
      <c r="M2013" s="1">
        <v>139</v>
      </c>
      <c r="N2013" s="1" t="s">
        <v>39</v>
      </c>
      <c r="O2013" s="1">
        <v>44.785499999999999</v>
      </c>
      <c r="P2013" s="1">
        <v>-93.4315</v>
      </c>
      <c r="Q2013" s="1" t="s">
        <v>1686</v>
      </c>
      <c r="T2013" s="1" t="s">
        <v>93</v>
      </c>
      <c r="U2013" s="1" t="s">
        <v>94</v>
      </c>
      <c r="AA2013" s="3">
        <v>27145</v>
      </c>
      <c r="AB2013" s="1" t="s">
        <v>46</v>
      </c>
      <c r="AC2013" s="5">
        <v>740</v>
      </c>
      <c r="AD2013" s="1" t="s">
        <v>4656</v>
      </c>
      <c r="AE2013" s="1" t="str">
        <f t="shared" si="152"/>
        <v>8027 4</v>
      </c>
      <c r="AF2013" s="5" t="str">
        <f t="shared" si="150"/>
        <v>63</v>
      </c>
      <c r="AG2013" s="1" t="str">
        <f t="shared" si="151"/>
        <v/>
      </c>
    </row>
    <row r="2014" spans="1:33" x14ac:dyDescent="0.2">
      <c r="A2014" s="1" t="s">
        <v>1663</v>
      </c>
      <c r="B2014" s="1" t="s">
        <v>4654</v>
      </c>
      <c r="C2014" s="1">
        <v>8027</v>
      </c>
      <c r="D2014" s="1">
        <v>7</v>
      </c>
      <c r="F2014" s="1">
        <v>2023</v>
      </c>
      <c r="G2014" s="1" t="s">
        <v>1666</v>
      </c>
      <c r="H2014" s="1">
        <v>608123</v>
      </c>
      <c r="I2014" s="1">
        <v>5</v>
      </c>
      <c r="K2014" s="1" t="s">
        <v>3836</v>
      </c>
      <c r="L2014" s="1" t="s">
        <v>4655</v>
      </c>
      <c r="M2014" s="1">
        <v>139</v>
      </c>
      <c r="N2014" s="1" t="s">
        <v>39</v>
      </c>
      <c r="O2014" s="1">
        <v>44.785499999999999</v>
      </c>
      <c r="P2014" s="1">
        <v>-93.4315</v>
      </c>
      <c r="Q2014" s="1" t="s">
        <v>1686</v>
      </c>
      <c r="R2014" s="1" t="s">
        <v>41</v>
      </c>
      <c r="T2014" s="1" t="s">
        <v>93</v>
      </c>
      <c r="U2014" s="1" t="s">
        <v>44</v>
      </c>
      <c r="X2014" s="1" t="s">
        <v>140</v>
      </c>
      <c r="AA2014" s="3">
        <v>38504</v>
      </c>
      <c r="AB2014" s="1" t="s">
        <v>46</v>
      </c>
      <c r="AC2014" s="5">
        <v>2118</v>
      </c>
      <c r="AD2014" s="1" t="s">
        <v>4657</v>
      </c>
      <c r="AE2014" s="1" t="str">
        <f t="shared" si="152"/>
        <v>8027 7</v>
      </c>
      <c r="AF2014" s="5" t="str">
        <f t="shared" si="150"/>
        <v>195</v>
      </c>
      <c r="AG2014" s="1" t="str">
        <f t="shared" si="151"/>
        <v/>
      </c>
    </row>
    <row r="2015" spans="1:33" x14ac:dyDescent="0.2">
      <c r="A2015" s="1" t="s">
        <v>1663</v>
      </c>
      <c r="B2015" s="1" t="s">
        <v>4654</v>
      </c>
      <c r="C2015" s="1">
        <v>8027</v>
      </c>
      <c r="D2015" s="1">
        <v>8</v>
      </c>
      <c r="F2015" s="1">
        <v>2023</v>
      </c>
      <c r="G2015" s="1" t="s">
        <v>1666</v>
      </c>
      <c r="H2015" s="1">
        <v>608123</v>
      </c>
      <c r="I2015" s="1">
        <v>5</v>
      </c>
      <c r="K2015" s="1" t="s">
        <v>3836</v>
      </c>
      <c r="L2015" s="1" t="s">
        <v>4655</v>
      </c>
      <c r="M2015" s="1">
        <v>139</v>
      </c>
      <c r="N2015" s="1" t="s">
        <v>39</v>
      </c>
      <c r="O2015" s="1">
        <v>44.785499999999999</v>
      </c>
      <c r="P2015" s="1">
        <v>-93.4315</v>
      </c>
      <c r="Q2015" s="1" t="s">
        <v>1686</v>
      </c>
      <c r="R2015" s="1" t="s">
        <v>41</v>
      </c>
      <c r="T2015" s="1" t="s">
        <v>93</v>
      </c>
      <c r="U2015" s="1" t="s">
        <v>44</v>
      </c>
      <c r="X2015" s="1" t="s">
        <v>140</v>
      </c>
      <c r="AA2015" s="3">
        <v>38495</v>
      </c>
      <c r="AB2015" s="1" t="s">
        <v>46</v>
      </c>
      <c r="AC2015" s="5">
        <v>2155</v>
      </c>
      <c r="AD2015" s="1" t="s">
        <v>4658</v>
      </c>
      <c r="AE2015" s="1" t="str">
        <f t="shared" si="152"/>
        <v>8027 8</v>
      </c>
      <c r="AF2015" s="5" t="str">
        <f t="shared" si="150"/>
        <v>195</v>
      </c>
      <c r="AG2015" s="1" t="str">
        <f t="shared" si="151"/>
        <v/>
      </c>
    </row>
    <row r="2016" spans="1:33" x14ac:dyDescent="0.2">
      <c r="A2016" s="1" t="s">
        <v>1186</v>
      </c>
      <c r="B2016" s="1" t="s">
        <v>4659</v>
      </c>
      <c r="C2016" s="1">
        <v>8029</v>
      </c>
      <c r="D2016" s="1">
        <v>1</v>
      </c>
      <c r="F2016" s="1">
        <v>2023</v>
      </c>
      <c r="G2016" s="1" t="s">
        <v>1195</v>
      </c>
      <c r="H2016" s="1" t="s">
        <v>1210</v>
      </c>
      <c r="I2016" s="1">
        <v>7</v>
      </c>
      <c r="K2016" s="1" t="s">
        <v>896</v>
      </c>
      <c r="L2016" s="1" t="s">
        <v>3894</v>
      </c>
      <c r="M2016" s="1">
        <v>153</v>
      </c>
      <c r="N2016" s="1" t="s">
        <v>39</v>
      </c>
      <c r="O2016" s="1">
        <v>41.672199999999997</v>
      </c>
      <c r="P2016" s="1">
        <v>-93.676900000000003</v>
      </c>
      <c r="Q2016" s="1" t="s">
        <v>3440</v>
      </c>
      <c r="T2016" s="1" t="s">
        <v>93</v>
      </c>
      <c r="U2016" s="1" t="s">
        <v>44</v>
      </c>
      <c r="V2016" s="1" t="s">
        <v>94</v>
      </c>
      <c r="AA2016" s="3">
        <v>27243</v>
      </c>
      <c r="AB2016" s="1" t="s">
        <v>46</v>
      </c>
      <c r="AC2016" s="5">
        <v>1099</v>
      </c>
      <c r="AD2016" s="1" t="s">
        <v>4660</v>
      </c>
      <c r="AE2016" s="1" t="str">
        <f t="shared" si="152"/>
        <v>8029 1</v>
      </c>
      <c r="AF2016" s="5" t="str">
        <f t="shared" si="150"/>
        <v>78.8</v>
      </c>
      <c r="AG2016" s="1" t="str">
        <f t="shared" si="151"/>
        <v/>
      </c>
    </row>
    <row r="2017" spans="1:33" x14ac:dyDescent="0.2">
      <c r="A2017" s="1" t="s">
        <v>1186</v>
      </c>
      <c r="B2017" s="1" t="s">
        <v>4659</v>
      </c>
      <c r="C2017" s="1">
        <v>8029</v>
      </c>
      <c r="D2017" s="1">
        <v>2</v>
      </c>
      <c r="F2017" s="1">
        <v>2023</v>
      </c>
      <c r="G2017" s="1" t="s">
        <v>1195</v>
      </c>
      <c r="H2017" s="1" t="s">
        <v>1210</v>
      </c>
      <c r="I2017" s="1">
        <v>7</v>
      </c>
      <c r="K2017" s="1" t="s">
        <v>896</v>
      </c>
      <c r="L2017" s="1" t="s">
        <v>3894</v>
      </c>
      <c r="M2017" s="1">
        <v>153</v>
      </c>
      <c r="N2017" s="1" t="s">
        <v>39</v>
      </c>
      <c r="O2017" s="1">
        <v>41.672199999999997</v>
      </c>
      <c r="P2017" s="1">
        <v>-93.676900000000003</v>
      </c>
      <c r="Q2017" s="1" t="s">
        <v>3440</v>
      </c>
      <c r="T2017" s="1" t="s">
        <v>93</v>
      </c>
      <c r="U2017" s="1" t="s">
        <v>44</v>
      </c>
      <c r="V2017" s="1" t="s">
        <v>94</v>
      </c>
      <c r="AA2017" s="3">
        <v>27327</v>
      </c>
      <c r="AB2017" s="1" t="s">
        <v>46</v>
      </c>
      <c r="AC2017" s="5">
        <v>1099</v>
      </c>
      <c r="AD2017" s="1" t="s">
        <v>4661</v>
      </c>
      <c r="AE2017" s="1" t="str">
        <f t="shared" si="152"/>
        <v>8029 2</v>
      </c>
      <c r="AF2017" s="5" t="str">
        <f t="shared" si="150"/>
        <v>78.8</v>
      </c>
      <c r="AG2017" s="1" t="str">
        <f t="shared" si="151"/>
        <v/>
      </c>
    </row>
    <row r="2018" spans="1:33" x14ac:dyDescent="0.2">
      <c r="A2018" s="1" t="s">
        <v>1186</v>
      </c>
      <c r="B2018" s="1" t="s">
        <v>4662</v>
      </c>
      <c r="C2018" s="1">
        <v>8031</v>
      </c>
      <c r="D2018" s="1">
        <v>11</v>
      </c>
      <c r="F2018" s="1">
        <v>2023</v>
      </c>
      <c r="G2018" s="1" t="s">
        <v>1207</v>
      </c>
      <c r="H2018" s="1">
        <v>608055</v>
      </c>
      <c r="I2018" s="1">
        <v>7</v>
      </c>
      <c r="K2018" s="1" t="s">
        <v>3919</v>
      </c>
      <c r="L2018" s="1" t="s">
        <v>3920</v>
      </c>
      <c r="M2018" s="1">
        <v>33</v>
      </c>
      <c r="N2018" s="1" t="s">
        <v>39</v>
      </c>
      <c r="O2018" s="1">
        <v>43.094000000000001</v>
      </c>
      <c r="P2018" s="1">
        <v>-93.292199999999994</v>
      </c>
      <c r="Q2018" s="1" t="s">
        <v>1191</v>
      </c>
      <c r="R2018" s="1" t="s">
        <v>41</v>
      </c>
      <c r="T2018" s="1" t="s">
        <v>71</v>
      </c>
      <c r="U2018" s="1" t="s">
        <v>44</v>
      </c>
      <c r="X2018" s="1" t="s">
        <v>787</v>
      </c>
      <c r="AA2018" s="3">
        <v>38097</v>
      </c>
      <c r="AB2018" s="1" t="s">
        <v>46</v>
      </c>
      <c r="AC2018" s="5">
        <v>2688</v>
      </c>
      <c r="AD2018" s="1" t="s">
        <v>4663</v>
      </c>
      <c r="AE2018" s="1" t="str">
        <f t="shared" si="152"/>
        <v>8031 11</v>
      </c>
      <c r="AF2018" s="14">
        <f>MID(AD2018,FIND("(",AD2018)+1,FIND(")",AD2018)-FIND("(",AD2018)-1)+244.6/2</f>
        <v>295.3</v>
      </c>
      <c r="AG2018" s="1" t="str">
        <f t="shared" si="151"/>
        <v>Y</v>
      </c>
    </row>
    <row r="2019" spans="1:33" x14ac:dyDescent="0.2">
      <c r="A2019" s="1" t="s">
        <v>1186</v>
      </c>
      <c r="B2019" s="1" t="s">
        <v>4662</v>
      </c>
      <c r="C2019" s="1">
        <v>8031</v>
      </c>
      <c r="D2019" s="1">
        <v>12</v>
      </c>
      <c r="F2019" s="1">
        <v>2023</v>
      </c>
      <c r="G2019" s="1" t="s">
        <v>1207</v>
      </c>
      <c r="H2019" s="1">
        <v>608055</v>
      </c>
      <c r="I2019" s="1">
        <v>7</v>
      </c>
      <c r="K2019" s="1" t="s">
        <v>3919</v>
      </c>
      <c r="L2019" s="1" t="s">
        <v>3920</v>
      </c>
      <c r="M2019" s="1">
        <v>33</v>
      </c>
      <c r="N2019" s="1" t="s">
        <v>39</v>
      </c>
      <c r="O2019" s="1">
        <v>43.094000000000001</v>
      </c>
      <c r="P2019" s="1">
        <v>-93.292199999999994</v>
      </c>
      <c r="Q2019" s="1" t="s">
        <v>1191</v>
      </c>
      <c r="R2019" s="1" t="s">
        <v>41</v>
      </c>
      <c r="T2019" s="1" t="s">
        <v>71</v>
      </c>
      <c r="U2019" s="1" t="s">
        <v>44</v>
      </c>
      <c r="X2019" s="1" t="s">
        <v>787</v>
      </c>
      <c r="AA2019" s="3">
        <v>38106</v>
      </c>
      <c r="AB2019" s="1" t="s">
        <v>46</v>
      </c>
      <c r="AC2019" s="5">
        <v>2688</v>
      </c>
      <c r="AD2019" s="1" t="s">
        <v>4664</v>
      </c>
      <c r="AE2019" s="1" t="str">
        <f t="shared" si="152"/>
        <v>8031 12</v>
      </c>
      <c r="AF2019" s="14">
        <f>AF2018</f>
        <v>295.3</v>
      </c>
      <c r="AG2019" s="1" t="str">
        <f t="shared" si="151"/>
        <v>Y</v>
      </c>
    </row>
    <row r="2020" spans="1:33" x14ac:dyDescent="0.2">
      <c r="A2020" s="1" t="s">
        <v>225</v>
      </c>
      <c r="B2020" s="1" t="s">
        <v>4665</v>
      </c>
      <c r="C2020" s="1">
        <v>8037</v>
      </c>
      <c r="D2020" s="1" t="s">
        <v>4666</v>
      </c>
      <c r="F2020" s="1">
        <v>2023</v>
      </c>
      <c r="G2020" s="1" t="s">
        <v>133</v>
      </c>
      <c r="H2020" s="1">
        <v>608386</v>
      </c>
      <c r="I2020" s="1">
        <v>7</v>
      </c>
      <c r="J2020" s="1" t="s">
        <v>228</v>
      </c>
      <c r="K2020" s="1" t="s">
        <v>196</v>
      </c>
      <c r="L2020" s="1" t="s">
        <v>4667</v>
      </c>
      <c r="M2020" s="1">
        <v>201</v>
      </c>
      <c r="N2020" s="1" t="s">
        <v>39</v>
      </c>
      <c r="O2020" s="1">
        <v>39.612499999999997</v>
      </c>
      <c r="P2020" s="1">
        <v>-97.277799999999999</v>
      </c>
      <c r="Q2020" s="1" t="s">
        <v>231</v>
      </c>
      <c r="T2020" s="1" t="s">
        <v>93</v>
      </c>
      <c r="U2020" s="1" t="s">
        <v>44</v>
      </c>
      <c r="AA2020" s="3">
        <v>27364</v>
      </c>
      <c r="AB2020" s="1" t="s">
        <v>46</v>
      </c>
      <c r="AC2020" s="5">
        <v>1425</v>
      </c>
      <c r="AD2020" s="1" t="s">
        <v>4668</v>
      </c>
      <c r="AE2020" s="1" t="str">
        <f t="shared" si="152"/>
        <v>8037 CL1</v>
      </c>
      <c r="AF2020" s="5" t="str">
        <f t="shared" ref="AF2020:AF2037" si="153">MID(AD2020,FIND("(",AD2020)+1,FIND(")",AD2020)-FIND("(",AD2020)-1)</f>
        <v>78.75</v>
      </c>
      <c r="AG2020" s="1" t="str">
        <f t="shared" si="151"/>
        <v/>
      </c>
    </row>
    <row r="2021" spans="1:33" x14ac:dyDescent="0.2">
      <c r="A2021" s="1" t="s">
        <v>1153</v>
      </c>
      <c r="B2021" s="1" t="s">
        <v>4669</v>
      </c>
      <c r="C2021" s="1">
        <v>8042</v>
      </c>
      <c r="D2021" s="1">
        <v>1</v>
      </c>
      <c r="F2021" s="1">
        <v>2023</v>
      </c>
      <c r="G2021" s="1" t="s">
        <v>2351</v>
      </c>
      <c r="H2021" s="1">
        <v>608414</v>
      </c>
      <c r="I2021" s="1">
        <v>4</v>
      </c>
      <c r="J2021" s="1" t="s">
        <v>36</v>
      </c>
      <c r="K2021" s="1" t="s">
        <v>4670</v>
      </c>
      <c r="L2021" s="1" t="s">
        <v>4671</v>
      </c>
      <c r="M2021" s="1">
        <v>169</v>
      </c>
      <c r="N2021" s="1" t="s">
        <v>39</v>
      </c>
      <c r="O2021" s="1">
        <v>36.281100000000002</v>
      </c>
      <c r="P2021" s="1">
        <v>-80.060299999999998</v>
      </c>
      <c r="Q2021" s="1" t="s">
        <v>2382</v>
      </c>
      <c r="R2021" s="1" t="s">
        <v>41</v>
      </c>
      <c r="S2021" s="1" t="s">
        <v>85</v>
      </c>
      <c r="T2021" s="1" t="s">
        <v>86</v>
      </c>
      <c r="U2021" s="1" t="s">
        <v>55</v>
      </c>
      <c r="V2021" s="1" t="s">
        <v>44</v>
      </c>
      <c r="W2021" s="1" t="s">
        <v>56</v>
      </c>
      <c r="X2021" s="1" t="s">
        <v>4672</v>
      </c>
      <c r="Y2021" s="1" t="s">
        <v>331</v>
      </c>
      <c r="AA2021" s="3">
        <v>27246</v>
      </c>
      <c r="AB2021" s="1" t="s">
        <v>46</v>
      </c>
      <c r="AC2021" s="5">
        <v>12253</v>
      </c>
      <c r="AD2021" s="1" t="s">
        <v>4673</v>
      </c>
      <c r="AE2021" s="1" t="str">
        <f t="shared" si="152"/>
        <v>8042 1</v>
      </c>
      <c r="AF2021" s="5" t="str">
        <f t="shared" si="153"/>
        <v>1080.1</v>
      </c>
      <c r="AG2021" s="1" t="str">
        <f t="shared" si="151"/>
        <v>Y</v>
      </c>
    </row>
    <row r="2022" spans="1:33" x14ac:dyDescent="0.2">
      <c r="A2022" s="1" t="s">
        <v>1153</v>
      </c>
      <c r="B2022" s="1" t="s">
        <v>4669</v>
      </c>
      <c r="C2022" s="1">
        <v>8042</v>
      </c>
      <c r="D2022" s="1">
        <v>2</v>
      </c>
      <c r="F2022" s="1">
        <v>2023</v>
      </c>
      <c r="G2022" s="1" t="s">
        <v>2351</v>
      </c>
      <c r="H2022" s="1">
        <v>608414</v>
      </c>
      <c r="I2022" s="1">
        <v>4</v>
      </c>
      <c r="J2022" s="1" t="s">
        <v>36</v>
      </c>
      <c r="K2022" s="1" t="s">
        <v>4670</v>
      </c>
      <c r="L2022" s="1" t="s">
        <v>4671</v>
      </c>
      <c r="M2022" s="1">
        <v>169</v>
      </c>
      <c r="N2022" s="1" t="s">
        <v>39</v>
      </c>
      <c r="O2022" s="1">
        <v>36.281100000000002</v>
      </c>
      <c r="P2022" s="1">
        <v>-80.060299999999998</v>
      </c>
      <c r="Q2022" s="1" t="s">
        <v>2382</v>
      </c>
      <c r="R2022" s="1" t="s">
        <v>41</v>
      </c>
      <c r="S2022" s="1" t="s">
        <v>85</v>
      </c>
      <c r="T2022" s="1" t="s">
        <v>86</v>
      </c>
      <c r="U2022" s="1" t="s">
        <v>55</v>
      </c>
      <c r="V2022" s="1" t="s">
        <v>44</v>
      </c>
      <c r="W2022" s="1" t="s">
        <v>56</v>
      </c>
      <c r="X2022" s="1" t="s">
        <v>4672</v>
      </c>
      <c r="Y2022" s="1" t="s">
        <v>331</v>
      </c>
      <c r="AA2022" s="3">
        <v>27741</v>
      </c>
      <c r="AB2022" s="1" t="s">
        <v>46</v>
      </c>
      <c r="AC2022" s="5">
        <v>12632</v>
      </c>
      <c r="AD2022" s="1" t="s">
        <v>4674</v>
      </c>
      <c r="AE2022" s="1" t="str">
        <f t="shared" si="152"/>
        <v>8042 2</v>
      </c>
      <c r="AF2022" s="5" t="str">
        <f t="shared" si="153"/>
        <v>1080.1</v>
      </c>
      <c r="AG2022" s="1" t="str">
        <f t="shared" si="151"/>
        <v>Y</v>
      </c>
    </row>
    <row r="2023" spans="1:33" x14ac:dyDescent="0.2">
      <c r="A2023" s="1" t="s">
        <v>304</v>
      </c>
      <c r="B2023" s="1" t="s">
        <v>4675</v>
      </c>
      <c r="C2023" s="1">
        <v>8048</v>
      </c>
      <c r="D2023" s="1">
        <v>1</v>
      </c>
      <c r="F2023" s="1">
        <v>2023</v>
      </c>
      <c r="G2023" s="1" t="s">
        <v>247</v>
      </c>
      <c r="H2023" s="1">
        <v>610088</v>
      </c>
      <c r="I2023" s="1">
        <v>4</v>
      </c>
      <c r="J2023" s="1" t="s">
        <v>796</v>
      </c>
      <c r="K2023" s="1" t="s">
        <v>4676</v>
      </c>
      <c r="L2023" s="1" t="s">
        <v>4677</v>
      </c>
      <c r="M2023" s="1">
        <v>101</v>
      </c>
      <c r="N2023" s="1" t="s">
        <v>39</v>
      </c>
      <c r="O2023" s="1">
        <v>28.1844</v>
      </c>
      <c r="P2023" s="1">
        <v>-82.788700000000006</v>
      </c>
      <c r="Q2023" s="1" t="s">
        <v>799</v>
      </c>
      <c r="R2023" s="1" t="s">
        <v>41</v>
      </c>
      <c r="T2023" s="1" t="s">
        <v>43</v>
      </c>
      <c r="U2023" s="1" t="s">
        <v>44</v>
      </c>
      <c r="AA2023" s="3">
        <v>27318</v>
      </c>
      <c r="AB2023" s="1" t="s">
        <v>46</v>
      </c>
      <c r="AC2023" s="5">
        <v>5600</v>
      </c>
      <c r="AD2023" s="1" t="s">
        <v>4678</v>
      </c>
      <c r="AE2023" s="1" t="str">
        <f t="shared" si="152"/>
        <v>8048 1</v>
      </c>
      <c r="AF2023" s="5" t="str">
        <f t="shared" si="153"/>
        <v>556.2</v>
      </c>
      <c r="AG2023" s="1" t="str">
        <f t="shared" si="151"/>
        <v/>
      </c>
    </row>
    <row r="2024" spans="1:33" x14ac:dyDescent="0.2">
      <c r="A2024" s="1" t="s">
        <v>304</v>
      </c>
      <c r="B2024" s="1" t="s">
        <v>4675</v>
      </c>
      <c r="C2024" s="1">
        <v>8048</v>
      </c>
      <c r="D2024" s="1">
        <v>2</v>
      </c>
      <c r="F2024" s="1">
        <v>2023</v>
      </c>
      <c r="G2024" s="1" t="s">
        <v>247</v>
      </c>
      <c r="H2024" s="1">
        <v>610088</v>
      </c>
      <c r="I2024" s="1">
        <v>4</v>
      </c>
      <c r="J2024" s="1" t="s">
        <v>796</v>
      </c>
      <c r="K2024" s="1" t="s">
        <v>4676</v>
      </c>
      <c r="L2024" s="1" t="s">
        <v>4677</v>
      </c>
      <c r="M2024" s="1">
        <v>101</v>
      </c>
      <c r="N2024" s="1" t="s">
        <v>39</v>
      </c>
      <c r="O2024" s="1">
        <v>28.1844</v>
      </c>
      <c r="P2024" s="1">
        <v>-82.788700000000006</v>
      </c>
      <c r="Q2024" s="1" t="s">
        <v>799</v>
      </c>
      <c r="R2024" s="1" t="s">
        <v>41</v>
      </c>
      <c r="T2024" s="1" t="s">
        <v>43</v>
      </c>
      <c r="U2024" s="1" t="s">
        <v>44</v>
      </c>
      <c r="AA2024" s="3">
        <v>28794</v>
      </c>
      <c r="AB2024" s="1" t="s">
        <v>46</v>
      </c>
      <c r="AC2024" s="5">
        <v>5500</v>
      </c>
      <c r="AD2024" s="1" t="s">
        <v>300</v>
      </c>
      <c r="AE2024" s="1" t="str">
        <f t="shared" si="152"/>
        <v>8048 2</v>
      </c>
      <c r="AF2024" s="5" t="str">
        <f t="shared" si="153"/>
        <v>556.2</v>
      </c>
      <c r="AG2024" s="1" t="str">
        <f t="shared" si="151"/>
        <v/>
      </c>
    </row>
    <row r="2025" spans="1:33" x14ac:dyDescent="0.2">
      <c r="A2025" s="1" t="s">
        <v>304</v>
      </c>
      <c r="B2025" s="1" t="s">
        <v>4679</v>
      </c>
      <c r="C2025" s="1">
        <v>8049</v>
      </c>
      <c r="D2025" s="1" t="s">
        <v>3413</v>
      </c>
      <c r="F2025" s="1">
        <v>2023</v>
      </c>
      <c r="G2025" s="1" t="s">
        <v>247</v>
      </c>
      <c r="H2025" s="1">
        <v>610088</v>
      </c>
      <c r="I2025" s="1">
        <v>4</v>
      </c>
      <c r="J2025" s="1" t="s">
        <v>796</v>
      </c>
      <c r="K2025" s="1" t="s">
        <v>3973</v>
      </c>
      <c r="L2025" s="1" t="s">
        <v>3974</v>
      </c>
      <c r="M2025" s="1">
        <v>97</v>
      </c>
      <c r="N2025" s="1" t="s">
        <v>39</v>
      </c>
      <c r="O2025" s="1">
        <v>28.262799999999999</v>
      </c>
      <c r="P2025" s="1">
        <v>-81.548599999999993</v>
      </c>
      <c r="Q2025" s="1" t="s">
        <v>799</v>
      </c>
      <c r="R2025" s="1" t="s">
        <v>41</v>
      </c>
      <c r="T2025" s="1" t="s">
        <v>93</v>
      </c>
      <c r="U2025" s="1" t="s">
        <v>44</v>
      </c>
      <c r="V2025" s="1" t="s">
        <v>94</v>
      </c>
      <c r="X2025" s="1" t="s">
        <v>95</v>
      </c>
      <c r="AA2025" s="3">
        <v>34200</v>
      </c>
      <c r="AB2025" s="1" t="s">
        <v>46</v>
      </c>
      <c r="AC2025" s="5">
        <v>1159</v>
      </c>
      <c r="AD2025" s="1" t="s">
        <v>4680</v>
      </c>
      <c r="AE2025" s="1" t="str">
        <f t="shared" si="152"/>
        <v>8049 **10</v>
      </c>
      <c r="AF2025" s="5" t="str">
        <f t="shared" si="153"/>
        <v>115</v>
      </c>
      <c r="AG2025" s="1" t="str">
        <f t="shared" si="151"/>
        <v/>
      </c>
    </row>
    <row r="2026" spans="1:33" x14ac:dyDescent="0.2">
      <c r="A2026" s="1" t="s">
        <v>304</v>
      </c>
      <c r="B2026" s="1" t="s">
        <v>4679</v>
      </c>
      <c r="C2026" s="1">
        <v>8049</v>
      </c>
      <c r="D2026" s="1" t="s">
        <v>4056</v>
      </c>
      <c r="F2026" s="1">
        <v>2023</v>
      </c>
      <c r="G2026" s="1" t="s">
        <v>247</v>
      </c>
      <c r="H2026" s="1">
        <v>610088</v>
      </c>
      <c r="I2026" s="1">
        <v>4</v>
      </c>
      <c r="J2026" s="1" t="s">
        <v>796</v>
      </c>
      <c r="K2026" s="1" t="s">
        <v>3973</v>
      </c>
      <c r="L2026" s="1" t="s">
        <v>3974</v>
      </c>
      <c r="M2026" s="1">
        <v>97</v>
      </c>
      <c r="N2026" s="1" t="s">
        <v>39</v>
      </c>
      <c r="O2026" s="1">
        <v>28.262799999999999</v>
      </c>
      <c r="P2026" s="1">
        <v>-81.548599999999993</v>
      </c>
      <c r="Q2026" s="1" t="s">
        <v>4681</v>
      </c>
      <c r="R2026" s="1" t="s">
        <v>41</v>
      </c>
      <c r="T2026" s="1" t="s">
        <v>93</v>
      </c>
      <c r="U2026" s="1" t="s">
        <v>94</v>
      </c>
      <c r="X2026" s="1" t="s">
        <v>95</v>
      </c>
      <c r="AA2026" s="3">
        <v>35226</v>
      </c>
      <c r="AB2026" s="1" t="s">
        <v>46</v>
      </c>
      <c r="AC2026" s="5">
        <v>2032</v>
      </c>
      <c r="AD2026" s="1" t="s">
        <v>4682</v>
      </c>
      <c r="AE2026" s="1" t="str">
        <f t="shared" si="152"/>
        <v>8049 **11</v>
      </c>
      <c r="AF2026" s="5" t="str">
        <f t="shared" si="153"/>
        <v>165</v>
      </c>
      <c r="AG2026" s="1" t="str">
        <f t="shared" si="151"/>
        <v/>
      </c>
    </row>
    <row r="2027" spans="1:33" x14ac:dyDescent="0.2">
      <c r="A2027" s="1" t="s">
        <v>304</v>
      </c>
      <c r="B2027" s="1" t="s">
        <v>4679</v>
      </c>
      <c r="C2027" s="1">
        <v>8049</v>
      </c>
      <c r="D2027" s="1" t="s">
        <v>4683</v>
      </c>
      <c r="F2027" s="1">
        <v>2023</v>
      </c>
      <c r="G2027" s="1" t="s">
        <v>247</v>
      </c>
      <c r="H2027" s="1">
        <v>610088</v>
      </c>
      <c r="I2027" s="1">
        <v>4</v>
      </c>
      <c r="J2027" s="1" t="s">
        <v>796</v>
      </c>
      <c r="K2027" s="1" t="s">
        <v>3973</v>
      </c>
      <c r="L2027" s="1" t="s">
        <v>3974</v>
      </c>
      <c r="M2027" s="1">
        <v>97</v>
      </c>
      <c r="N2027" s="1" t="s">
        <v>39</v>
      </c>
      <c r="O2027" s="1">
        <v>28.262799999999999</v>
      </c>
      <c r="P2027" s="1">
        <v>-81.548599999999993</v>
      </c>
      <c r="Q2027" s="1" t="s">
        <v>799</v>
      </c>
      <c r="R2027" s="1" t="s">
        <v>41</v>
      </c>
      <c r="T2027" s="1" t="s">
        <v>93</v>
      </c>
      <c r="U2027" s="1" t="s">
        <v>44</v>
      </c>
      <c r="V2027" s="1" t="s">
        <v>94</v>
      </c>
      <c r="X2027" s="1" t="s">
        <v>183</v>
      </c>
      <c r="AA2027" s="3">
        <v>36861</v>
      </c>
      <c r="AB2027" s="1" t="s">
        <v>46</v>
      </c>
      <c r="AC2027" s="5">
        <v>1207</v>
      </c>
      <c r="AD2027" s="1" t="s">
        <v>4684</v>
      </c>
      <c r="AE2027" s="1" t="str">
        <f t="shared" si="152"/>
        <v>8049 **12</v>
      </c>
      <c r="AF2027" s="5" t="str">
        <f t="shared" si="153"/>
        <v>115</v>
      </c>
      <c r="AG2027" s="1" t="str">
        <f t="shared" si="151"/>
        <v/>
      </c>
    </row>
    <row r="2028" spans="1:33" x14ac:dyDescent="0.2">
      <c r="A2028" s="1" t="s">
        <v>304</v>
      </c>
      <c r="B2028" s="1" t="s">
        <v>4679</v>
      </c>
      <c r="C2028" s="1">
        <v>8049</v>
      </c>
      <c r="D2028" s="1" t="s">
        <v>4685</v>
      </c>
      <c r="F2028" s="1">
        <v>2023</v>
      </c>
      <c r="G2028" s="1" t="s">
        <v>247</v>
      </c>
      <c r="H2028" s="1">
        <v>610088</v>
      </c>
      <c r="I2028" s="1">
        <v>4</v>
      </c>
      <c r="J2028" s="1" t="s">
        <v>796</v>
      </c>
      <c r="K2028" s="1" t="s">
        <v>3973</v>
      </c>
      <c r="L2028" s="1" t="s">
        <v>3974</v>
      </c>
      <c r="M2028" s="1">
        <v>97</v>
      </c>
      <c r="N2028" s="1" t="s">
        <v>39</v>
      </c>
      <c r="O2028" s="1">
        <v>28.262799999999999</v>
      </c>
      <c r="P2028" s="1">
        <v>-81.548599999999993</v>
      </c>
      <c r="Q2028" s="1" t="s">
        <v>799</v>
      </c>
      <c r="R2028" s="1" t="s">
        <v>41</v>
      </c>
      <c r="T2028" s="1" t="s">
        <v>93</v>
      </c>
      <c r="U2028" s="1" t="s">
        <v>44</v>
      </c>
      <c r="V2028" s="1" t="s">
        <v>94</v>
      </c>
      <c r="X2028" s="1" t="s">
        <v>183</v>
      </c>
      <c r="AA2028" s="3">
        <v>36864</v>
      </c>
      <c r="AB2028" s="1" t="s">
        <v>46</v>
      </c>
      <c r="AC2028" s="5">
        <v>1768.9</v>
      </c>
      <c r="AD2028" s="1" t="s">
        <v>4686</v>
      </c>
      <c r="AE2028" s="1" t="str">
        <f t="shared" si="152"/>
        <v>8049 **13</v>
      </c>
      <c r="AF2028" s="5" t="str">
        <f t="shared" si="153"/>
        <v>115</v>
      </c>
      <c r="AG2028" s="1" t="str">
        <f t="shared" si="151"/>
        <v/>
      </c>
    </row>
    <row r="2029" spans="1:33" x14ac:dyDescent="0.2">
      <c r="A2029" s="1" t="s">
        <v>304</v>
      </c>
      <c r="B2029" s="1" t="s">
        <v>4679</v>
      </c>
      <c r="C2029" s="1">
        <v>8049</v>
      </c>
      <c r="D2029" s="1" t="s">
        <v>4687</v>
      </c>
      <c r="F2029" s="1">
        <v>2023</v>
      </c>
      <c r="G2029" s="1" t="s">
        <v>247</v>
      </c>
      <c r="H2029" s="1">
        <v>610088</v>
      </c>
      <c r="I2029" s="1">
        <v>4</v>
      </c>
      <c r="J2029" s="1" t="s">
        <v>796</v>
      </c>
      <c r="K2029" s="1" t="s">
        <v>3973</v>
      </c>
      <c r="L2029" s="1" t="s">
        <v>3974</v>
      </c>
      <c r="M2029" s="1">
        <v>97</v>
      </c>
      <c r="N2029" s="1" t="s">
        <v>39</v>
      </c>
      <c r="O2029" s="1">
        <v>28.262799999999999</v>
      </c>
      <c r="P2029" s="1">
        <v>-81.548599999999993</v>
      </c>
      <c r="Q2029" s="1" t="s">
        <v>799</v>
      </c>
      <c r="R2029" s="1" t="s">
        <v>41</v>
      </c>
      <c r="T2029" s="1" t="s">
        <v>93</v>
      </c>
      <c r="U2029" s="1" t="s">
        <v>44</v>
      </c>
      <c r="V2029" s="1" t="s">
        <v>94</v>
      </c>
      <c r="X2029" s="1" t="s">
        <v>183</v>
      </c>
      <c r="AA2029" s="3">
        <v>36861</v>
      </c>
      <c r="AB2029" s="1" t="s">
        <v>46</v>
      </c>
      <c r="AC2029" s="5">
        <v>1072</v>
      </c>
      <c r="AD2029" s="1" t="s">
        <v>4688</v>
      </c>
      <c r="AE2029" s="1" t="str">
        <f t="shared" si="152"/>
        <v>8049 **14</v>
      </c>
      <c r="AF2029" s="5" t="str">
        <f t="shared" si="153"/>
        <v>115</v>
      </c>
      <c r="AG2029" s="1" t="str">
        <f t="shared" si="151"/>
        <v/>
      </c>
    </row>
    <row r="2030" spans="1:33" x14ac:dyDescent="0.2">
      <c r="A2030" s="1" t="s">
        <v>304</v>
      </c>
      <c r="B2030" s="1" t="s">
        <v>4679</v>
      </c>
      <c r="C2030" s="1">
        <v>8049</v>
      </c>
      <c r="D2030" s="1" t="s">
        <v>3415</v>
      </c>
      <c r="F2030" s="1">
        <v>2023</v>
      </c>
      <c r="G2030" s="1" t="s">
        <v>247</v>
      </c>
      <c r="H2030" s="1">
        <v>610088</v>
      </c>
      <c r="I2030" s="1">
        <v>4</v>
      </c>
      <c r="J2030" s="1" t="s">
        <v>796</v>
      </c>
      <c r="K2030" s="1" t="s">
        <v>3973</v>
      </c>
      <c r="L2030" s="1" t="s">
        <v>3974</v>
      </c>
      <c r="M2030" s="1">
        <v>97</v>
      </c>
      <c r="N2030" s="1" t="s">
        <v>39</v>
      </c>
      <c r="O2030" s="1">
        <v>28.262799999999999</v>
      </c>
      <c r="P2030" s="1">
        <v>-81.548599999999993</v>
      </c>
      <c r="Q2030" s="1" t="s">
        <v>799</v>
      </c>
      <c r="R2030" s="1" t="s">
        <v>41</v>
      </c>
      <c r="T2030" s="1" t="s">
        <v>93</v>
      </c>
      <c r="U2030" s="1" t="s">
        <v>44</v>
      </c>
      <c r="V2030" s="1" t="s">
        <v>94</v>
      </c>
      <c r="X2030" s="1" t="s">
        <v>95</v>
      </c>
      <c r="AA2030" s="3">
        <v>34200</v>
      </c>
      <c r="AB2030" s="1" t="s">
        <v>46</v>
      </c>
      <c r="AC2030" s="5">
        <v>1238</v>
      </c>
      <c r="AD2030" s="1" t="s">
        <v>4689</v>
      </c>
      <c r="AE2030" s="1" t="str">
        <f t="shared" si="152"/>
        <v>8049 **7</v>
      </c>
      <c r="AF2030" s="5" t="str">
        <f t="shared" si="153"/>
        <v>115</v>
      </c>
      <c r="AG2030" s="1" t="str">
        <f t="shared" si="151"/>
        <v/>
      </c>
    </row>
    <row r="2031" spans="1:33" x14ac:dyDescent="0.2">
      <c r="A2031" s="1" t="s">
        <v>304</v>
      </c>
      <c r="B2031" s="1" t="s">
        <v>4679</v>
      </c>
      <c r="C2031" s="1">
        <v>8049</v>
      </c>
      <c r="D2031" s="1" t="s">
        <v>894</v>
      </c>
      <c r="F2031" s="1">
        <v>2023</v>
      </c>
      <c r="G2031" s="1" t="s">
        <v>247</v>
      </c>
      <c r="H2031" s="1">
        <v>610088</v>
      </c>
      <c r="I2031" s="1">
        <v>4</v>
      </c>
      <c r="J2031" s="1" t="s">
        <v>796</v>
      </c>
      <c r="K2031" s="1" t="s">
        <v>3973</v>
      </c>
      <c r="L2031" s="1" t="s">
        <v>3974</v>
      </c>
      <c r="M2031" s="1">
        <v>97</v>
      </c>
      <c r="N2031" s="1" t="s">
        <v>39</v>
      </c>
      <c r="O2031" s="1">
        <v>28.262799999999999</v>
      </c>
      <c r="P2031" s="1">
        <v>-81.548599999999993</v>
      </c>
      <c r="Q2031" s="1" t="s">
        <v>799</v>
      </c>
      <c r="R2031" s="1" t="s">
        <v>41</v>
      </c>
      <c r="T2031" s="1" t="s">
        <v>93</v>
      </c>
      <c r="U2031" s="1" t="s">
        <v>44</v>
      </c>
      <c r="V2031" s="1" t="s">
        <v>94</v>
      </c>
      <c r="X2031" s="1" t="s">
        <v>95</v>
      </c>
      <c r="AA2031" s="3">
        <v>34200</v>
      </c>
      <c r="AB2031" s="1" t="s">
        <v>46</v>
      </c>
      <c r="AC2031" s="5">
        <v>1186</v>
      </c>
      <c r="AD2031" s="1" t="s">
        <v>4690</v>
      </c>
      <c r="AE2031" s="1" t="str">
        <f t="shared" si="152"/>
        <v>8049 **8</v>
      </c>
      <c r="AF2031" s="5" t="str">
        <f t="shared" si="153"/>
        <v>115</v>
      </c>
      <c r="AG2031" s="1" t="str">
        <f t="shared" si="151"/>
        <v/>
      </c>
    </row>
    <row r="2032" spans="1:33" x14ac:dyDescent="0.2">
      <c r="A2032" s="1" t="s">
        <v>304</v>
      </c>
      <c r="B2032" s="1" t="s">
        <v>4679</v>
      </c>
      <c r="C2032" s="1">
        <v>8049</v>
      </c>
      <c r="D2032" s="1" t="s">
        <v>3418</v>
      </c>
      <c r="F2032" s="1">
        <v>2023</v>
      </c>
      <c r="G2032" s="1" t="s">
        <v>247</v>
      </c>
      <c r="H2032" s="1">
        <v>610088</v>
      </c>
      <c r="I2032" s="1">
        <v>4</v>
      </c>
      <c r="J2032" s="1" t="s">
        <v>796</v>
      </c>
      <c r="K2032" s="1" t="s">
        <v>3973</v>
      </c>
      <c r="L2032" s="1" t="s">
        <v>3974</v>
      </c>
      <c r="M2032" s="1">
        <v>97</v>
      </c>
      <c r="N2032" s="1" t="s">
        <v>39</v>
      </c>
      <c r="O2032" s="1">
        <v>28.262799999999999</v>
      </c>
      <c r="P2032" s="1">
        <v>-81.548599999999993</v>
      </c>
      <c r="Q2032" s="1" t="s">
        <v>799</v>
      </c>
      <c r="R2032" s="1" t="s">
        <v>41</v>
      </c>
      <c r="T2032" s="1" t="s">
        <v>93</v>
      </c>
      <c r="U2032" s="1" t="s">
        <v>44</v>
      </c>
      <c r="V2032" s="1" t="s">
        <v>94</v>
      </c>
      <c r="X2032" s="1" t="s">
        <v>95</v>
      </c>
      <c r="AA2032" s="3">
        <v>34200</v>
      </c>
      <c r="AB2032" s="1" t="s">
        <v>46</v>
      </c>
      <c r="AC2032" s="5">
        <v>1153</v>
      </c>
      <c r="AD2032" s="1" t="s">
        <v>4691</v>
      </c>
      <c r="AE2032" s="1" t="str">
        <f t="shared" si="152"/>
        <v>8049 **9</v>
      </c>
      <c r="AF2032" s="5" t="str">
        <f t="shared" si="153"/>
        <v>115</v>
      </c>
      <c r="AG2032" s="1" t="str">
        <f t="shared" si="151"/>
        <v/>
      </c>
    </row>
    <row r="2033" spans="1:33" x14ac:dyDescent="0.2">
      <c r="A2033" s="1" t="s">
        <v>2089</v>
      </c>
      <c r="B2033" s="1" t="s">
        <v>4692</v>
      </c>
      <c r="C2033" s="1">
        <v>8053</v>
      </c>
      <c r="D2033" s="1" t="s">
        <v>4693</v>
      </c>
      <c r="F2033" s="1">
        <v>2023</v>
      </c>
      <c r="G2033" s="1" t="s">
        <v>1515</v>
      </c>
      <c r="H2033" s="1">
        <v>605253</v>
      </c>
      <c r="I2033" s="1">
        <v>2</v>
      </c>
      <c r="J2033" s="1" t="s">
        <v>580</v>
      </c>
      <c r="K2033" s="1" t="s">
        <v>2099</v>
      </c>
      <c r="L2033" s="1" t="s">
        <v>2100</v>
      </c>
      <c r="M2033" s="1">
        <v>85</v>
      </c>
      <c r="N2033" s="1" t="s">
        <v>39</v>
      </c>
      <c r="O2033" s="1">
        <v>40.6188</v>
      </c>
      <c r="P2033" s="1">
        <v>-74.069000000000003</v>
      </c>
      <c r="Q2033" s="1" t="s">
        <v>4046</v>
      </c>
      <c r="R2033" s="1" t="s">
        <v>41</v>
      </c>
      <c r="T2033" s="1" t="s">
        <v>93</v>
      </c>
      <c r="U2033" s="1" t="s">
        <v>44</v>
      </c>
      <c r="X2033" s="1" t="s">
        <v>223</v>
      </c>
      <c r="AA2033" s="3">
        <v>37111</v>
      </c>
      <c r="AB2033" s="1" t="s">
        <v>46</v>
      </c>
      <c r="AC2033" s="5">
        <v>517</v>
      </c>
      <c r="AD2033" s="1" t="s">
        <v>4694</v>
      </c>
      <c r="AE2033" s="1" t="str">
        <f t="shared" si="152"/>
        <v>8053 PT01</v>
      </c>
      <c r="AF2033" s="5" t="str">
        <f t="shared" si="153"/>
        <v>47</v>
      </c>
      <c r="AG2033" s="1" t="str">
        <f t="shared" si="151"/>
        <v>Y</v>
      </c>
    </row>
    <row r="2034" spans="1:33" x14ac:dyDescent="0.2">
      <c r="A2034" s="1" t="s">
        <v>1732</v>
      </c>
      <c r="B2034" s="1" t="s">
        <v>4695</v>
      </c>
      <c r="C2034" s="1">
        <v>8054</v>
      </c>
      <c r="D2034" s="1">
        <v>1</v>
      </c>
      <c r="F2034" s="1">
        <v>2023</v>
      </c>
      <c r="G2034" s="1" t="s">
        <v>346</v>
      </c>
      <c r="H2034" s="1" t="s">
        <v>350</v>
      </c>
      <c r="I2034" s="1">
        <v>4</v>
      </c>
      <c r="J2034" s="1" t="s">
        <v>228</v>
      </c>
      <c r="K2034" s="1" t="s">
        <v>196</v>
      </c>
      <c r="L2034" s="1" t="s">
        <v>4696</v>
      </c>
      <c r="M2034" s="1">
        <v>151</v>
      </c>
      <c r="N2034" s="1" t="s">
        <v>39</v>
      </c>
      <c r="O2034" s="1">
        <v>33.350299999999997</v>
      </c>
      <c r="P2034" s="1">
        <v>-91.118099999999998</v>
      </c>
      <c r="Q2034" s="1" t="s">
        <v>353</v>
      </c>
      <c r="R2034" s="1" t="s">
        <v>41</v>
      </c>
      <c r="T2034" s="1" t="s">
        <v>89</v>
      </c>
      <c r="U2034" s="1" t="s">
        <v>44</v>
      </c>
      <c r="V2034" s="1" t="s">
        <v>173</v>
      </c>
      <c r="X2034" s="1" t="s">
        <v>220</v>
      </c>
      <c r="AA2034" s="3">
        <v>27542</v>
      </c>
      <c r="AB2034" s="1" t="s">
        <v>46</v>
      </c>
      <c r="AC2034" s="5">
        <v>8100</v>
      </c>
      <c r="AD2034" s="1" t="s">
        <v>4697</v>
      </c>
      <c r="AE2034" s="1" t="str">
        <f t="shared" si="152"/>
        <v>8054 1</v>
      </c>
      <c r="AF2034" s="5" t="str">
        <f t="shared" si="153"/>
        <v>781.5</v>
      </c>
      <c r="AG2034" s="1" t="str">
        <f t="shared" si="151"/>
        <v/>
      </c>
    </row>
    <row r="2035" spans="1:33" x14ac:dyDescent="0.2">
      <c r="A2035" s="1" t="s">
        <v>1426</v>
      </c>
      <c r="B2035" s="1" t="s">
        <v>4698</v>
      </c>
      <c r="C2035" s="1">
        <v>8056</v>
      </c>
      <c r="D2035" s="1">
        <v>1</v>
      </c>
      <c r="F2035" s="1">
        <v>2023</v>
      </c>
      <c r="G2035" s="1" t="s">
        <v>1428</v>
      </c>
      <c r="H2035" s="1" t="s">
        <v>350</v>
      </c>
      <c r="I2035" s="1">
        <v>6</v>
      </c>
      <c r="K2035" s="1" t="s">
        <v>1458</v>
      </c>
      <c r="L2035" s="1" t="s">
        <v>1459</v>
      </c>
      <c r="M2035" s="1">
        <v>89</v>
      </c>
      <c r="N2035" s="1" t="s">
        <v>39</v>
      </c>
      <c r="O2035" s="1">
        <v>29.999400000000001</v>
      </c>
      <c r="P2035" s="1">
        <v>-90.475800000000007</v>
      </c>
      <c r="Q2035" s="1" t="s">
        <v>353</v>
      </c>
      <c r="R2035" s="1" t="s">
        <v>41</v>
      </c>
      <c r="T2035" s="1" t="s">
        <v>89</v>
      </c>
      <c r="U2035" s="1" t="s">
        <v>44</v>
      </c>
      <c r="V2035" s="1" t="s">
        <v>173</v>
      </c>
      <c r="X2035" s="1" t="s">
        <v>4699</v>
      </c>
      <c r="AA2035" s="3">
        <v>27030</v>
      </c>
      <c r="AB2035" s="1" t="s">
        <v>46</v>
      </c>
      <c r="AC2035" s="5">
        <v>4600</v>
      </c>
      <c r="AD2035" s="1" t="s">
        <v>3654</v>
      </c>
      <c r="AE2035" s="1" t="str">
        <f t="shared" si="152"/>
        <v>8056 1</v>
      </c>
      <c r="AF2035" s="5" t="str">
        <f t="shared" si="153"/>
        <v>445.5</v>
      </c>
      <c r="AG2035" s="1" t="str">
        <f t="shared" si="151"/>
        <v/>
      </c>
    </row>
    <row r="2036" spans="1:33" x14ac:dyDescent="0.2">
      <c r="A2036" s="1" t="s">
        <v>1426</v>
      </c>
      <c r="B2036" s="1" t="s">
        <v>4698</v>
      </c>
      <c r="C2036" s="1">
        <v>8056</v>
      </c>
      <c r="D2036" s="1">
        <v>2</v>
      </c>
      <c r="F2036" s="1">
        <v>2023</v>
      </c>
      <c r="G2036" s="1" t="s">
        <v>1428</v>
      </c>
      <c r="H2036" s="1" t="s">
        <v>350</v>
      </c>
      <c r="I2036" s="1">
        <v>6</v>
      </c>
      <c r="K2036" s="1" t="s">
        <v>1458</v>
      </c>
      <c r="L2036" s="1" t="s">
        <v>1459</v>
      </c>
      <c r="M2036" s="1">
        <v>89</v>
      </c>
      <c r="N2036" s="1" t="s">
        <v>39</v>
      </c>
      <c r="O2036" s="1">
        <v>29.999400000000001</v>
      </c>
      <c r="P2036" s="1">
        <v>-90.475800000000007</v>
      </c>
      <c r="Q2036" s="1" t="s">
        <v>353</v>
      </c>
      <c r="R2036" s="1" t="s">
        <v>41</v>
      </c>
      <c r="T2036" s="1" t="s">
        <v>89</v>
      </c>
      <c r="U2036" s="1" t="s">
        <v>44</v>
      </c>
      <c r="V2036" s="1" t="s">
        <v>173</v>
      </c>
      <c r="X2036" s="1" t="s">
        <v>4699</v>
      </c>
      <c r="AA2036" s="3">
        <v>27395</v>
      </c>
      <c r="AB2036" s="1" t="s">
        <v>46</v>
      </c>
      <c r="AC2036" s="5">
        <v>4620</v>
      </c>
      <c r="AD2036" s="1" t="s">
        <v>4700</v>
      </c>
      <c r="AE2036" s="1" t="str">
        <f t="shared" si="152"/>
        <v>8056 2</v>
      </c>
      <c r="AF2036" s="5" t="str">
        <f t="shared" si="153"/>
        <v>445.5</v>
      </c>
      <c r="AG2036" s="1" t="str">
        <f t="shared" si="151"/>
        <v/>
      </c>
    </row>
    <row r="2037" spans="1:33" x14ac:dyDescent="0.2">
      <c r="A2037" s="1" t="s">
        <v>1426</v>
      </c>
      <c r="B2037" s="1" t="s">
        <v>4698</v>
      </c>
      <c r="C2037" s="1">
        <v>8056</v>
      </c>
      <c r="D2037" s="1">
        <v>4</v>
      </c>
      <c r="F2037" s="1">
        <v>2023</v>
      </c>
      <c r="G2037" s="1" t="s">
        <v>1428</v>
      </c>
      <c r="H2037" s="1" t="s">
        <v>350</v>
      </c>
      <c r="I2037" s="1">
        <v>6</v>
      </c>
      <c r="K2037" s="1" t="s">
        <v>1458</v>
      </c>
      <c r="L2037" s="1" t="s">
        <v>1459</v>
      </c>
      <c r="M2037" s="1">
        <v>89</v>
      </c>
      <c r="N2037" s="1" t="s">
        <v>39</v>
      </c>
      <c r="O2037" s="1">
        <v>29.999400000000001</v>
      </c>
      <c r="P2037" s="1">
        <v>-90.475800000000007</v>
      </c>
      <c r="Q2037" s="1" t="s">
        <v>353</v>
      </c>
      <c r="R2037" s="1" t="s">
        <v>41</v>
      </c>
      <c r="T2037" s="1" t="s">
        <v>93</v>
      </c>
      <c r="U2037" s="1" t="s">
        <v>94</v>
      </c>
      <c r="X2037" s="1" t="s">
        <v>1606</v>
      </c>
      <c r="AA2037" s="3">
        <v>40040</v>
      </c>
      <c r="AB2037" s="1" t="s">
        <v>46</v>
      </c>
      <c r="AC2037" s="5">
        <v>507</v>
      </c>
      <c r="AD2037" s="1" t="s">
        <v>1456</v>
      </c>
      <c r="AE2037" s="1" t="str">
        <f t="shared" si="152"/>
        <v>8056 4</v>
      </c>
      <c r="AF2037" s="5" t="str">
        <f t="shared" si="153"/>
        <v>35</v>
      </c>
      <c r="AG2037" s="1" t="str">
        <f t="shared" si="151"/>
        <v/>
      </c>
    </row>
    <row r="2038" spans="1:33" x14ac:dyDescent="0.2">
      <c r="A2038" s="1" t="s">
        <v>335</v>
      </c>
      <c r="B2038" s="1" t="s">
        <v>4701</v>
      </c>
      <c r="C2038" s="1">
        <v>8059</v>
      </c>
      <c r="D2038" s="1">
        <v>7251</v>
      </c>
      <c r="E2038" s="1" t="s">
        <v>1330</v>
      </c>
      <c r="F2038" s="1">
        <v>2023</v>
      </c>
      <c r="G2038" s="1" t="s">
        <v>346</v>
      </c>
      <c r="H2038" s="1" t="s">
        <v>1346</v>
      </c>
      <c r="I2038" s="1">
        <v>6</v>
      </c>
      <c r="J2038" s="1" t="s">
        <v>228</v>
      </c>
      <c r="K2038" s="1" t="s">
        <v>4702</v>
      </c>
      <c r="L2038" s="1" t="s">
        <v>4703</v>
      </c>
      <c r="M2038" s="1">
        <v>31</v>
      </c>
      <c r="N2038" s="1" t="s">
        <v>39</v>
      </c>
      <c r="O2038" s="1">
        <v>34.543100000000003</v>
      </c>
      <c r="P2038" s="1">
        <v>-98.324399999999997</v>
      </c>
      <c r="Q2038" s="1" t="s">
        <v>2545</v>
      </c>
      <c r="R2038" s="1" t="s">
        <v>41</v>
      </c>
      <c r="T2038" s="1" t="s">
        <v>71</v>
      </c>
      <c r="U2038" s="1" t="s">
        <v>44</v>
      </c>
      <c r="X2038" s="1" t="s">
        <v>140</v>
      </c>
      <c r="AA2038" s="3">
        <v>26845</v>
      </c>
      <c r="AB2038" s="1" t="s">
        <v>46</v>
      </c>
      <c r="AC2038" s="5">
        <v>1450</v>
      </c>
      <c r="AD2038" s="1" t="s">
        <v>4704</v>
      </c>
      <c r="AE2038" s="1" t="str">
        <f t="shared" si="152"/>
        <v>8059 7251</v>
      </c>
      <c r="AF2038" s="14">
        <f>MID(AD2038,FIND("(",AD2038)+1,FIND(")",AD2038)-FIND("(",AD2038)-1)+106.8/2</f>
        <v>138.4</v>
      </c>
      <c r="AG2038" s="1" t="str">
        <f t="shared" si="151"/>
        <v/>
      </c>
    </row>
    <row r="2039" spans="1:33" x14ac:dyDescent="0.2">
      <c r="A2039" s="1" t="s">
        <v>335</v>
      </c>
      <c r="B2039" s="1" t="s">
        <v>4701</v>
      </c>
      <c r="C2039" s="1">
        <v>8059</v>
      </c>
      <c r="D2039" s="1">
        <v>7252</v>
      </c>
      <c r="E2039" s="1" t="s">
        <v>1330</v>
      </c>
      <c r="F2039" s="1">
        <v>2023</v>
      </c>
      <c r="G2039" s="1" t="s">
        <v>346</v>
      </c>
      <c r="H2039" s="1" t="s">
        <v>1346</v>
      </c>
      <c r="I2039" s="1">
        <v>6</v>
      </c>
      <c r="J2039" s="1" t="s">
        <v>228</v>
      </c>
      <c r="K2039" s="1" t="s">
        <v>4702</v>
      </c>
      <c r="L2039" s="1" t="s">
        <v>4703</v>
      </c>
      <c r="M2039" s="1">
        <v>31</v>
      </c>
      <c r="N2039" s="1" t="s">
        <v>39</v>
      </c>
      <c r="O2039" s="1">
        <v>34.543100000000003</v>
      </c>
      <c r="P2039" s="1">
        <v>-98.324399999999997</v>
      </c>
      <c r="Q2039" s="1" t="s">
        <v>2545</v>
      </c>
      <c r="R2039" s="1" t="s">
        <v>41</v>
      </c>
      <c r="T2039" s="1" t="s">
        <v>71</v>
      </c>
      <c r="U2039" s="1" t="s">
        <v>44</v>
      </c>
      <c r="X2039" s="1" t="s">
        <v>140</v>
      </c>
      <c r="AA2039" s="3">
        <v>26845</v>
      </c>
      <c r="AB2039" s="1" t="s">
        <v>46</v>
      </c>
      <c r="AC2039" s="5">
        <v>1450</v>
      </c>
      <c r="AD2039" s="1" t="s">
        <v>4705</v>
      </c>
      <c r="AE2039" s="1" t="str">
        <f t="shared" si="152"/>
        <v>8059 7252</v>
      </c>
      <c r="AF2039" s="14">
        <f>AF2038</f>
        <v>138.4</v>
      </c>
      <c r="AG2039" s="1" t="str">
        <f t="shared" si="151"/>
        <v/>
      </c>
    </row>
    <row r="2040" spans="1:33" x14ac:dyDescent="0.2">
      <c r="A2040" s="1" t="s">
        <v>3253</v>
      </c>
      <c r="B2040" s="1" t="s">
        <v>4706</v>
      </c>
      <c r="C2040" s="1">
        <v>8066</v>
      </c>
      <c r="D2040" s="1" t="s">
        <v>4707</v>
      </c>
      <c r="F2040" s="1">
        <v>2023</v>
      </c>
      <c r="G2040" s="1" t="s">
        <v>236</v>
      </c>
      <c r="H2040" s="1">
        <v>608875</v>
      </c>
      <c r="I2040" s="1">
        <v>8</v>
      </c>
      <c r="J2040" s="1" t="s">
        <v>237</v>
      </c>
      <c r="K2040" s="1" t="s">
        <v>4708</v>
      </c>
      <c r="L2040" s="1" t="s">
        <v>4709</v>
      </c>
      <c r="M2040" s="1">
        <v>37</v>
      </c>
      <c r="N2040" s="1" t="s">
        <v>39</v>
      </c>
      <c r="O2040" s="1">
        <v>41.7378</v>
      </c>
      <c r="P2040" s="1">
        <v>-108.78749999999999</v>
      </c>
      <c r="Q2040" s="1" t="s">
        <v>4710</v>
      </c>
      <c r="R2040" s="1" t="s">
        <v>41</v>
      </c>
      <c r="S2040" s="1" t="s">
        <v>121</v>
      </c>
      <c r="T2040" s="1" t="s">
        <v>43</v>
      </c>
      <c r="U2040" s="1" t="s">
        <v>55</v>
      </c>
      <c r="W2040" s="1" t="s">
        <v>1151</v>
      </c>
      <c r="X2040" s="1" t="s">
        <v>1233</v>
      </c>
      <c r="Y2040" s="1" t="s">
        <v>58</v>
      </c>
      <c r="Z2040" s="1" t="s">
        <v>930</v>
      </c>
      <c r="AA2040" s="3">
        <v>27363</v>
      </c>
      <c r="AB2040" s="1" t="s">
        <v>46</v>
      </c>
      <c r="AC2040" s="5">
        <v>7875</v>
      </c>
      <c r="AD2040" s="1" t="s">
        <v>4711</v>
      </c>
      <c r="AE2040" s="1" t="str">
        <f t="shared" si="152"/>
        <v>8066 BW71</v>
      </c>
      <c r="AF2040" s="5" t="str">
        <f>MID(AD2040,FIND("(",AD2040)+1,FIND(")",AD2040)-FIND("(",AD2040)-1)</f>
        <v>530</v>
      </c>
      <c r="AG2040" s="1" t="str">
        <f t="shared" si="151"/>
        <v/>
      </c>
    </row>
    <row r="2041" spans="1:33" x14ac:dyDescent="0.2">
      <c r="A2041" s="1" t="s">
        <v>3253</v>
      </c>
      <c r="B2041" s="1" t="s">
        <v>4706</v>
      </c>
      <c r="C2041" s="1">
        <v>8066</v>
      </c>
      <c r="D2041" s="1" t="s">
        <v>4712</v>
      </c>
      <c r="F2041" s="1">
        <v>2023</v>
      </c>
      <c r="G2041" s="1" t="s">
        <v>236</v>
      </c>
      <c r="H2041" s="1">
        <v>608875</v>
      </c>
      <c r="I2041" s="1">
        <v>8</v>
      </c>
      <c r="J2041" s="1" t="s">
        <v>237</v>
      </c>
      <c r="K2041" s="1" t="s">
        <v>4708</v>
      </c>
      <c r="L2041" s="1" t="s">
        <v>4709</v>
      </c>
      <c r="M2041" s="1">
        <v>37</v>
      </c>
      <c r="N2041" s="1" t="s">
        <v>39</v>
      </c>
      <c r="O2041" s="1">
        <v>41.7378</v>
      </c>
      <c r="P2041" s="1">
        <v>-108.78749999999999</v>
      </c>
      <c r="Q2041" s="1" t="s">
        <v>4710</v>
      </c>
      <c r="R2041" s="1" t="s">
        <v>41</v>
      </c>
      <c r="S2041" s="1" t="s">
        <v>121</v>
      </c>
      <c r="T2041" s="1" t="s">
        <v>43</v>
      </c>
      <c r="U2041" s="1" t="s">
        <v>55</v>
      </c>
      <c r="W2041" s="1" t="s">
        <v>1151</v>
      </c>
      <c r="X2041" s="1" t="s">
        <v>1233</v>
      </c>
      <c r="Y2041" s="1" t="s">
        <v>58</v>
      </c>
      <c r="Z2041" s="1" t="s">
        <v>930</v>
      </c>
      <c r="AA2041" s="3">
        <v>27729</v>
      </c>
      <c r="AB2041" s="1" t="s">
        <v>46</v>
      </c>
      <c r="AC2041" s="5">
        <v>7875</v>
      </c>
      <c r="AD2041" s="1" t="s">
        <v>4713</v>
      </c>
      <c r="AE2041" s="1" t="str">
        <f t="shared" si="152"/>
        <v>8066 BW72</v>
      </c>
      <c r="AF2041" s="5" t="str">
        <f>MID(AD2041,FIND("(",AD2041)+1,FIND(")",AD2041)-FIND("(",AD2041)-1)</f>
        <v>530</v>
      </c>
      <c r="AG2041" s="1" t="str">
        <f t="shared" si="151"/>
        <v/>
      </c>
    </row>
    <row r="2042" spans="1:33" x14ac:dyDescent="0.2">
      <c r="A2042" s="1" t="s">
        <v>3253</v>
      </c>
      <c r="B2042" s="1" t="s">
        <v>4706</v>
      </c>
      <c r="C2042" s="1">
        <v>8066</v>
      </c>
      <c r="D2042" s="1" t="s">
        <v>4714</v>
      </c>
      <c r="F2042" s="1">
        <v>2023</v>
      </c>
      <c r="G2042" s="1" t="s">
        <v>236</v>
      </c>
      <c r="H2042" s="1">
        <v>608875</v>
      </c>
      <c r="I2042" s="1">
        <v>8</v>
      </c>
      <c r="J2042" s="1" t="s">
        <v>237</v>
      </c>
      <c r="K2042" s="1" t="s">
        <v>4708</v>
      </c>
      <c r="L2042" s="1" t="s">
        <v>4709</v>
      </c>
      <c r="M2042" s="1">
        <v>37</v>
      </c>
      <c r="N2042" s="1" t="s">
        <v>39</v>
      </c>
      <c r="O2042" s="1">
        <v>41.7378</v>
      </c>
      <c r="P2042" s="1">
        <v>-108.78749999999999</v>
      </c>
      <c r="Q2042" s="1" t="s">
        <v>4710</v>
      </c>
      <c r="R2042" s="1" t="s">
        <v>41</v>
      </c>
      <c r="S2042" s="1" t="s">
        <v>121</v>
      </c>
      <c r="T2042" s="1" t="s">
        <v>43</v>
      </c>
      <c r="U2042" s="1" t="s">
        <v>55</v>
      </c>
      <c r="W2042" s="1" t="s">
        <v>1151</v>
      </c>
      <c r="X2042" s="1" t="s">
        <v>299</v>
      </c>
      <c r="Y2042" s="1" t="s">
        <v>58</v>
      </c>
      <c r="Z2042" s="1" t="s">
        <v>930</v>
      </c>
      <c r="AA2042" s="3">
        <v>28004</v>
      </c>
      <c r="AB2042" s="1" t="s">
        <v>46</v>
      </c>
      <c r="AC2042" s="5">
        <v>7458</v>
      </c>
      <c r="AD2042" s="1" t="s">
        <v>4715</v>
      </c>
      <c r="AE2042" s="1" t="str">
        <f t="shared" si="152"/>
        <v>8066 BW73</v>
      </c>
      <c r="AF2042" s="5" t="str">
        <f>MID(AD2042,FIND("(",AD2042)+1,FIND(")",AD2042)-FIND("(",AD2042)-1)</f>
        <v>530</v>
      </c>
      <c r="AG2042" s="1" t="str">
        <f t="shared" si="151"/>
        <v>Y</v>
      </c>
    </row>
    <row r="2043" spans="1:33" x14ac:dyDescent="0.2">
      <c r="A2043" s="1" t="s">
        <v>3253</v>
      </c>
      <c r="B2043" s="1" t="s">
        <v>4706</v>
      </c>
      <c r="C2043" s="1">
        <v>8066</v>
      </c>
      <c r="D2043" s="1" t="s">
        <v>4716</v>
      </c>
      <c r="F2043" s="1">
        <v>2023</v>
      </c>
      <c r="G2043" s="1" t="s">
        <v>236</v>
      </c>
      <c r="H2043" s="1">
        <v>608875</v>
      </c>
      <c r="I2043" s="1">
        <v>8</v>
      </c>
      <c r="J2043" s="1" t="s">
        <v>237</v>
      </c>
      <c r="K2043" s="1" t="s">
        <v>4708</v>
      </c>
      <c r="L2043" s="1" t="s">
        <v>4709</v>
      </c>
      <c r="M2043" s="1">
        <v>37</v>
      </c>
      <c r="N2043" s="1" t="s">
        <v>39</v>
      </c>
      <c r="O2043" s="1">
        <v>41.7378</v>
      </c>
      <c r="P2043" s="1">
        <v>-108.78749999999999</v>
      </c>
      <c r="Q2043" s="1" t="s">
        <v>4710</v>
      </c>
      <c r="R2043" s="1" t="s">
        <v>41</v>
      </c>
      <c r="S2043" s="1" t="s">
        <v>211</v>
      </c>
      <c r="T2043" s="1" t="s">
        <v>43</v>
      </c>
      <c r="U2043" s="1" t="s">
        <v>55</v>
      </c>
      <c r="W2043" s="1" t="s">
        <v>1151</v>
      </c>
      <c r="X2043" s="1" t="s">
        <v>299</v>
      </c>
      <c r="Y2043" s="1" t="s">
        <v>58</v>
      </c>
      <c r="Z2043" s="1" t="s">
        <v>930</v>
      </c>
      <c r="AA2043" s="3">
        <v>29188</v>
      </c>
      <c r="AB2043" s="1" t="s">
        <v>46</v>
      </c>
      <c r="AC2043" s="5">
        <v>7536</v>
      </c>
      <c r="AD2043" s="1" t="s">
        <v>4717</v>
      </c>
      <c r="AE2043" s="1" t="str">
        <f t="shared" si="152"/>
        <v>8066 BW74</v>
      </c>
      <c r="AF2043" s="5" t="str">
        <f>MID(AD2043,FIND("(",AD2043)+1,FIND(")",AD2043)-FIND("(",AD2043)-1)</f>
        <v>530</v>
      </c>
      <c r="AG2043" s="1" t="str">
        <f t="shared" si="151"/>
        <v>Y</v>
      </c>
    </row>
    <row r="2044" spans="1:33" x14ac:dyDescent="0.2">
      <c r="A2044" s="1" t="s">
        <v>234</v>
      </c>
      <c r="B2044" s="1" t="s">
        <v>4718</v>
      </c>
      <c r="C2044" s="1">
        <v>8068</v>
      </c>
      <c r="D2044" s="1" t="s">
        <v>955</v>
      </c>
      <c r="F2044" s="1">
        <v>2023</v>
      </c>
      <c r="G2044" s="1" t="s">
        <v>247</v>
      </c>
      <c r="H2044" s="1">
        <v>608572</v>
      </c>
      <c r="I2044" s="1">
        <v>9</v>
      </c>
      <c r="K2044" s="1" t="s">
        <v>248</v>
      </c>
      <c r="L2044" s="1" t="s">
        <v>249</v>
      </c>
      <c r="M2044" s="1">
        <v>13</v>
      </c>
      <c r="N2044" s="1" t="s">
        <v>39</v>
      </c>
      <c r="O2044" s="1">
        <v>33.333300000000001</v>
      </c>
      <c r="P2044" s="1">
        <v>-111.751</v>
      </c>
      <c r="Q2044" s="1" t="s">
        <v>316</v>
      </c>
      <c r="R2044" s="1" t="s">
        <v>41</v>
      </c>
      <c r="T2044" s="1" t="s">
        <v>71</v>
      </c>
      <c r="U2044" s="1" t="s">
        <v>44</v>
      </c>
      <c r="X2044" s="1" t="s">
        <v>64</v>
      </c>
      <c r="AA2044" s="3">
        <v>38296</v>
      </c>
      <c r="AB2044" s="1" t="s">
        <v>46</v>
      </c>
      <c r="AC2044" s="5">
        <v>2530</v>
      </c>
      <c r="AD2044" s="1" t="s">
        <v>4719</v>
      </c>
      <c r="AE2044" s="1" t="str">
        <f t="shared" si="152"/>
        <v>8068 5A</v>
      </c>
      <c r="AF2044" s="14">
        <f>MID(AD2044,FIND("(",AD2044)+1,FIND(")",AD2044)-FIND("(",AD2044)-1)+314.5/2</f>
        <v>311.05</v>
      </c>
      <c r="AG2044" s="1" t="str">
        <f t="shared" si="151"/>
        <v>Y</v>
      </c>
    </row>
    <row r="2045" spans="1:33" x14ac:dyDescent="0.2">
      <c r="A2045" s="1" t="s">
        <v>234</v>
      </c>
      <c r="B2045" s="1" t="s">
        <v>4718</v>
      </c>
      <c r="C2045" s="1">
        <v>8068</v>
      </c>
      <c r="D2045" s="1" t="s">
        <v>957</v>
      </c>
      <c r="F2045" s="1">
        <v>2023</v>
      </c>
      <c r="G2045" s="1" t="s">
        <v>247</v>
      </c>
      <c r="H2045" s="1">
        <v>608572</v>
      </c>
      <c r="I2045" s="1">
        <v>9</v>
      </c>
      <c r="K2045" s="1" t="s">
        <v>248</v>
      </c>
      <c r="L2045" s="1" t="s">
        <v>249</v>
      </c>
      <c r="M2045" s="1">
        <v>13</v>
      </c>
      <c r="N2045" s="1" t="s">
        <v>39</v>
      </c>
      <c r="O2045" s="1">
        <v>33.333300000000001</v>
      </c>
      <c r="P2045" s="1">
        <v>-111.751</v>
      </c>
      <c r="Q2045" s="1" t="s">
        <v>316</v>
      </c>
      <c r="R2045" s="1" t="s">
        <v>41</v>
      </c>
      <c r="T2045" s="1" t="s">
        <v>71</v>
      </c>
      <c r="U2045" s="1" t="s">
        <v>44</v>
      </c>
      <c r="X2045" s="1" t="s">
        <v>64</v>
      </c>
      <c r="AA2045" s="3">
        <v>38292</v>
      </c>
      <c r="AB2045" s="1" t="s">
        <v>46</v>
      </c>
      <c r="AC2045" s="5">
        <v>2530</v>
      </c>
      <c r="AD2045" s="1" t="s">
        <v>4720</v>
      </c>
      <c r="AE2045" s="1" t="str">
        <f t="shared" si="152"/>
        <v>8068 5B</v>
      </c>
      <c r="AF2045" s="14">
        <f>AF2044</f>
        <v>311.05</v>
      </c>
      <c r="AG2045" s="1" t="str">
        <f t="shared" si="151"/>
        <v>Y</v>
      </c>
    </row>
    <row r="2046" spans="1:33" x14ac:dyDescent="0.2">
      <c r="A2046" s="1" t="s">
        <v>234</v>
      </c>
      <c r="B2046" s="1" t="s">
        <v>4718</v>
      </c>
      <c r="C2046" s="1">
        <v>8068</v>
      </c>
      <c r="D2046" s="1" t="s">
        <v>70</v>
      </c>
      <c r="F2046" s="1">
        <v>2023</v>
      </c>
      <c r="G2046" s="1" t="s">
        <v>247</v>
      </c>
      <c r="H2046" s="1">
        <v>608572</v>
      </c>
      <c r="I2046" s="1">
        <v>9</v>
      </c>
      <c r="K2046" s="1" t="s">
        <v>248</v>
      </c>
      <c r="L2046" s="1" t="s">
        <v>249</v>
      </c>
      <c r="M2046" s="1">
        <v>13</v>
      </c>
      <c r="N2046" s="1" t="s">
        <v>39</v>
      </c>
      <c r="O2046" s="1">
        <v>33.333300000000001</v>
      </c>
      <c r="P2046" s="1">
        <v>-111.751</v>
      </c>
      <c r="Q2046" s="1" t="s">
        <v>316</v>
      </c>
      <c r="R2046" s="1" t="s">
        <v>41</v>
      </c>
      <c r="T2046" s="1" t="s">
        <v>71</v>
      </c>
      <c r="U2046" s="1" t="s">
        <v>44</v>
      </c>
      <c r="X2046" s="1" t="s">
        <v>64</v>
      </c>
      <c r="AA2046" s="3">
        <v>38648</v>
      </c>
      <c r="AB2046" s="1" t="s">
        <v>46</v>
      </c>
      <c r="AC2046" s="5">
        <v>2300</v>
      </c>
      <c r="AD2046" s="1" t="s">
        <v>4721</v>
      </c>
      <c r="AE2046" s="1" t="str">
        <f t="shared" si="152"/>
        <v>8068 6A</v>
      </c>
      <c r="AF2046" s="14">
        <f>MID(AD2046,FIND("(",AD2046)+1,FIND(")",AD2046)-FIND("(",AD2046)-1)+153.8</f>
        <v>289.89999999999998</v>
      </c>
      <c r="AG2046" s="1" t="str">
        <f t="shared" si="151"/>
        <v>Y</v>
      </c>
    </row>
    <row r="2047" spans="1:33" x14ac:dyDescent="0.2">
      <c r="A2047" s="1" t="s">
        <v>3076</v>
      </c>
      <c r="B2047" s="1" t="s">
        <v>4722</v>
      </c>
      <c r="C2047" s="1">
        <v>8069</v>
      </c>
      <c r="D2047" s="1">
        <v>1</v>
      </c>
      <c r="F2047" s="1">
        <v>2023</v>
      </c>
      <c r="G2047" s="1" t="s">
        <v>236</v>
      </c>
      <c r="H2047" s="1">
        <v>608875</v>
      </c>
      <c r="I2047" s="1">
        <v>8</v>
      </c>
      <c r="J2047" s="1" t="s">
        <v>237</v>
      </c>
      <c r="K2047" s="1" t="s">
        <v>3607</v>
      </c>
      <c r="L2047" s="1" t="s">
        <v>3608</v>
      </c>
      <c r="M2047" s="1">
        <v>15</v>
      </c>
      <c r="N2047" s="1" t="s">
        <v>39</v>
      </c>
      <c r="O2047" s="1">
        <v>39.379199999999997</v>
      </c>
      <c r="P2047" s="1">
        <v>-111.07810000000001</v>
      </c>
      <c r="Q2047" s="1" t="s">
        <v>3258</v>
      </c>
      <c r="R2047" s="1" t="s">
        <v>41</v>
      </c>
      <c r="S2047" s="1" t="s">
        <v>211</v>
      </c>
      <c r="T2047" s="1" t="s">
        <v>43</v>
      </c>
      <c r="U2047" s="1" t="s">
        <v>55</v>
      </c>
      <c r="W2047" s="1" t="s">
        <v>241</v>
      </c>
      <c r="X2047" s="1" t="s">
        <v>213</v>
      </c>
      <c r="Y2047" s="1" t="s">
        <v>232</v>
      </c>
      <c r="AA2047" s="3">
        <v>28277</v>
      </c>
      <c r="AB2047" s="1" t="s">
        <v>46</v>
      </c>
      <c r="AC2047" s="5">
        <v>5263</v>
      </c>
      <c r="AD2047" s="1" t="s">
        <v>4723</v>
      </c>
      <c r="AE2047" s="1" t="str">
        <f t="shared" si="152"/>
        <v>8069 1</v>
      </c>
      <c r="AF2047" s="5" t="str">
        <f t="shared" ref="AF2047:AF2066" si="154">MID(AD2047,FIND("(",AD2047)+1,FIND(")",AD2047)-FIND("(",AD2047)-1)</f>
        <v>445</v>
      </c>
      <c r="AG2047" s="1" t="str">
        <f t="shared" si="151"/>
        <v/>
      </c>
    </row>
    <row r="2048" spans="1:33" x14ac:dyDescent="0.2">
      <c r="A2048" s="1" t="s">
        <v>3076</v>
      </c>
      <c r="B2048" s="1" t="s">
        <v>4722</v>
      </c>
      <c r="C2048" s="1">
        <v>8069</v>
      </c>
      <c r="D2048" s="1">
        <v>2</v>
      </c>
      <c r="F2048" s="1">
        <v>2023</v>
      </c>
      <c r="G2048" s="1" t="s">
        <v>236</v>
      </c>
      <c r="H2048" s="1">
        <v>608875</v>
      </c>
      <c r="I2048" s="1">
        <v>8</v>
      </c>
      <c r="J2048" s="1" t="s">
        <v>237</v>
      </c>
      <c r="K2048" s="1" t="s">
        <v>3607</v>
      </c>
      <c r="L2048" s="1" t="s">
        <v>3608</v>
      </c>
      <c r="M2048" s="1">
        <v>15</v>
      </c>
      <c r="N2048" s="1" t="s">
        <v>39</v>
      </c>
      <c r="O2048" s="1">
        <v>39.379199999999997</v>
      </c>
      <c r="P2048" s="1">
        <v>-111.07810000000001</v>
      </c>
      <c r="Q2048" s="1" t="s">
        <v>3258</v>
      </c>
      <c r="R2048" s="1" t="s">
        <v>41</v>
      </c>
      <c r="S2048" s="1" t="s">
        <v>42</v>
      </c>
      <c r="T2048" s="1" t="s">
        <v>43</v>
      </c>
      <c r="U2048" s="1" t="s">
        <v>55</v>
      </c>
      <c r="W2048" s="1" t="s">
        <v>241</v>
      </c>
      <c r="X2048" s="1" t="s">
        <v>213</v>
      </c>
      <c r="Y2048" s="1" t="s">
        <v>232</v>
      </c>
      <c r="AA2048" s="3">
        <v>27227</v>
      </c>
      <c r="AB2048" s="1" t="s">
        <v>46</v>
      </c>
      <c r="AC2048" s="5">
        <v>5733</v>
      </c>
      <c r="AD2048" s="1" t="s">
        <v>4724</v>
      </c>
      <c r="AE2048" s="1" t="str">
        <f t="shared" si="152"/>
        <v>8069 2</v>
      </c>
      <c r="AF2048" s="5" t="str">
        <f t="shared" si="154"/>
        <v>450</v>
      </c>
      <c r="AG2048" s="1" t="str">
        <f t="shared" si="151"/>
        <v/>
      </c>
    </row>
    <row r="2049" spans="1:33" x14ac:dyDescent="0.2">
      <c r="A2049" s="1" t="s">
        <v>2430</v>
      </c>
      <c r="B2049" s="1" t="s">
        <v>4725</v>
      </c>
      <c r="C2049" s="1">
        <v>8102</v>
      </c>
      <c r="D2049" s="1">
        <v>1</v>
      </c>
      <c r="F2049" s="1">
        <v>2023</v>
      </c>
      <c r="G2049" s="1" t="s">
        <v>1005</v>
      </c>
      <c r="H2049" s="1">
        <v>610098</v>
      </c>
      <c r="I2049" s="1">
        <v>5</v>
      </c>
      <c r="J2049" s="1" t="s">
        <v>169</v>
      </c>
      <c r="K2049" s="1" t="s">
        <v>2483</v>
      </c>
      <c r="L2049" s="1" t="s">
        <v>2484</v>
      </c>
      <c r="M2049" s="1">
        <v>53</v>
      </c>
      <c r="N2049" s="1" t="s">
        <v>39</v>
      </c>
      <c r="O2049" s="1">
        <v>38.934699999999999</v>
      </c>
      <c r="P2049" s="1">
        <v>-82.115799999999993</v>
      </c>
      <c r="Q2049" s="1" t="s">
        <v>4726</v>
      </c>
      <c r="R2049" s="1" t="s">
        <v>120</v>
      </c>
      <c r="S2049" s="1" t="s">
        <v>85</v>
      </c>
      <c r="T2049" s="1" t="s">
        <v>86</v>
      </c>
      <c r="U2049" s="1" t="s">
        <v>55</v>
      </c>
      <c r="W2049" s="1" t="s">
        <v>241</v>
      </c>
      <c r="X2049" s="1" t="s">
        <v>1633</v>
      </c>
      <c r="Y2049" s="1" t="s">
        <v>58</v>
      </c>
      <c r="AA2049" s="3">
        <v>27322</v>
      </c>
      <c r="AB2049" s="1" t="s">
        <v>46</v>
      </c>
      <c r="AC2049" s="5">
        <v>15826</v>
      </c>
      <c r="AD2049" s="1" t="s">
        <v>2784</v>
      </c>
      <c r="AE2049" s="1" t="str">
        <f t="shared" si="152"/>
        <v>8102 1</v>
      </c>
      <c r="AF2049" s="5" t="str">
        <f t="shared" si="154"/>
        <v>1300</v>
      </c>
      <c r="AG2049" s="1" t="str">
        <f t="shared" si="151"/>
        <v>Y</v>
      </c>
    </row>
    <row r="2050" spans="1:33" x14ac:dyDescent="0.2">
      <c r="A2050" s="1" t="s">
        <v>2430</v>
      </c>
      <c r="B2050" s="1" t="s">
        <v>4725</v>
      </c>
      <c r="C2050" s="1">
        <v>8102</v>
      </c>
      <c r="D2050" s="1">
        <v>2</v>
      </c>
      <c r="F2050" s="1">
        <v>2023</v>
      </c>
      <c r="G2050" s="1" t="s">
        <v>1005</v>
      </c>
      <c r="H2050" s="1">
        <v>610098</v>
      </c>
      <c r="I2050" s="1">
        <v>5</v>
      </c>
      <c r="J2050" s="1" t="s">
        <v>169</v>
      </c>
      <c r="K2050" s="1" t="s">
        <v>2483</v>
      </c>
      <c r="L2050" s="1" t="s">
        <v>2484</v>
      </c>
      <c r="M2050" s="1">
        <v>53</v>
      </c>
      <c r="N2050" s="1" t="s">
        <v>39</v>
      </c>
      <c r="O2050" s="1">
        <v>38.934699999999999</v>
      </c>
      <c r="P2050" s="1">
        <v>-82.115799999999993</v>
      </c>
      <c r="Q2050" s="1" t="s">
        <v>4726</v>
      </c>
      <c r="R2050" s="1" t="s">
        <v>120</v>
      </c>
      <c r="S2050" s="1" t="s">
        <v>85</v>
      </c>
      <c r="T2050" s="1" t="s">
        <v>86</v>
      </c>
      <c r="U2050" s="1" t="s">
        <v>55</v>
      </c>
      <c r="W2050" s="1" t="s">
        <v>241</v>
      </c>
      <c r="X2050" s="1" t="s">
        <v>1633</v>
      </c>
      <c r="Y2050" s="1" t="s">
        <v>58</v>
      </c>
      <c r="AA2050" s="3">
        <v>27581</v>
      </c>
      <c r="AB2050" s="1" t="s">
        <v>46</v>
      </c>
      <c r="AC2050" s="5">
        <v>16250</v>
      </c>
      <c r="AD2050" s="1" t="s">
        <v>2785</v>
      </c>
      <c r="AE2050" s="1" t="str">
        <f t="shared" si="152"/>
        <v>8102 2</v>
      </c>
      <c r="AF2050" s="5" t="str">
        <f t="shared" si="154"/>
        <v>1300</v>
      </c>
      <c r="AG2050" s="1" t="str">
        <f t="shared" ref="AG2050:AG2113" si="155">IF(ISNUMBER(SEARCH("selective", X2050)), "Y", "")</f>
        <v>Y</v>
      </c>
    </row>
    <row r="2051" spans="1:33" x14ac:dyDescent="0.2">
      <c r="A2051" s="1" t="s">
        <v>516</v>
      </c>
      <c r="B2051" s="1" t="s">
        <v>4727</v>
      </c>
      <c r="C2051" s="1">
        <v>8219</v>
      </c>
      <c r="D2051" s="1">
        <v>1</v>
      </c>
      <c r="F2051" s="1">
        <v>2023</v>
      </c>
      <c r="G2051" s="1" t="s">
        <v>236</v>
      </c>
      <c r="H2051" s="1">
        <v>610356</v>
      </c>
      <c r="I2051" s="1">
        <v>8</v>
      </c>
      <c r="J2051" s="1" t="s">
        <v>237</v>
      </c>
      <c r="K2051" s="1" t="s">
        <v>531</v>
      </c>
      <c r="L2051" s="1" t="s">
        <v>532</v>
      </c>
      <c r="M2051" s="1">
        <v>41</v>
      </c>
      <c r="N2051" s="1" t="s">
        <v>39</v>
      </c>
      <c r="O2051" s="1">
        <v>38.630600000000001</v>
      </c>
      <c r="P2051" s="1">
        <v>-104.7056</v>
      </c>
      <c r="Q2051" s="1" t="s">
        <v>533</v>
      </c>
      <c r="R2051" s="1" t="s">
        <v>41</v>
      </c>
      <c r="S2051" s="1" t="s">
        <v>211</v>
      </c>
      <c r="T2051" s="1" t="s">
        <v>89</v>
      </c>
      <c r="U2051" s="1" t="s">
        <v>55</v>
      </c>
      <c r="V2051" s="1" t="s">
        <v>94</v>
      </c>
      <c r="W2051" s="1" t="s">
        <v>212</v>
      </c>
      <c r="X2051" s="1" t="s">
        <v>289</v>
      </c>
      <c r="Y2051" s="1" t="s">
        <v>232</v>
      </c>
      <c r="Z2051" s="1" t="s">
        <v>214</v>
      </c>
      <c r="AA2051" s="3">
        <v>29315</v>
      </c>
      <c r="AB2051" s="1" t="s">
        <v>46</v>
      </c>
      <c r="AC2051" s="5">
        <v>2610</v>
      </c>
      <c r="AD2051" s="1" t="s">
        <v>4728</v>
      </c>
      <c r="AE2051" s="1" t="str">
        <f t="shared" ref="AE2051:AE2114" si="156">C2051&amp;" "&amp;D2051</f>
        <v>8219 1</v>
      </c>
      <c r="AF2051" s="5" t="str">
        <f t="shared" si="154"/>
        <v>207</v>
      </c>
      <c r="AG2051" s="1" t="str">
        <f t="shared" si="155"/>
        <v/>
      </c>
    </row>
    <row r="2052" spans="1:33" x14ac:dyDescent="0.2">
      <c r="A2052" s="1" t="s">
        <v>516</v>
      </c>
      <c r="B2052" s="1" t="s">
        <v>4727</v>
      </c>
      <c r="C2052" s="1">
        <v>8219</v>
      </c>
      <c r="D2052" s="1">
        <v>2</v>
      </c>
      <c r="F2052" s="1">
        <v>2023</v>
      </c>
      <c r="G2052" s="1" t="s">
        <v>247</v>
      </c>
      <c r="H2052" s="1">
        <v>610356</v>
      </c>
      <c r="I2052" s="1">
        <v>8</v>
      </c>
      <c r="J2052" s="1" t="s">
        <v>237</v>
      </c>
      <c r="K2052" s="1" t="s">
        <v>531</v>
      </c>
      <c r="L2052" s="1" t="s">
        <v>532</v>
      </c>
      <c r="M2052" s="1">
        <v>41</v>
      </c>
      <c r="N2052" s="1" t="s">
        <v>39</v>
      </c>
      <c r="O2052" s="1">
        <v>38.630600000000001</v>
      </c>
      <c r="P2052" s="1">
        <v>-104.7056</v>
      </c>
      <c r="Q2052" s="1" t="s">
        <v>533</v>
      </c>
      <c r="R2052" s="1" t="s">
        <v>41</v>
      </c>
      <c r="T2052" s="1" t="s">
        <v>93</v>
      </c>
      <c r="U2052" s="1" t="s">
        <v>44</v>
      </c>
      <c r="X2052" s="1" t="s">
        <v>140</v>
      </c>
      <c r="AA2052" s="3">
        <v>36344</v>
      </c>
      <c r="AB2052" s="1" t="s">
        <v>46</v>
      </c>
      <c r="AC2052" s="5">
        <v>425</v>
      </c>
      <c r="AD2052" s="1" t="s">
        <v>4729</v>
      </c>
      <c r="AE2052" s="1" t="str">
        <f t="shared" si="156"/>
        <v>8219 2</v>
      </c>
      <c r="AF2052" s="5" t="str">
        <f t="shared" si="154"/>
        <v>35.8</v>
      </c>
      <c r="AG2052" s="1" t="str">
        <f t="shared" si="155"/>
        <v/>
      </c>
    </row>
    <row r="2053" spans="1:33" x14ac:dyDescent="0.2">
      <c r="A2053" s="1" t="s">
        <v>516</v>
      </c>
      <c r="B2053" s="1" t="s">
        <v>4727</v>
      </c>
      <c r="C2053" s="1">
        <v>8219</v>
      </c>
      <c r="D2053" s="1">
        <v>3</v>
      </c>
      <c r="F2053" s="1">
        <v>2023</v>
      </c>
      <c r="G2053" s="1" t="s">
        <v>247</v>
      </c>
      <c r="H2053" s="1">
        <v>610356</v>
      </c>
      <c r="I2053" s="1">
        <v>8</v>
      </c>
      <c r="J2053" s="1" t="s">
        <v>237</v>
      </c>
      <c r="K2053" s="1" t="s">
        <v>531</v>
      </c>
      <c r="L2053" s="1" t="s">
        <v>532</v>
      </c>
      <c r="M2053" s="1">
        <v>41</v>
      </c>
      <c r="N2053" s="1" t="s">
        <v>39</v>
      </c>
      <c r="O2053" s="1">
        <v>38.630600000000001</v>
      </c>
      <c r="P2053" s="1">
        <v>-104.7056</v>
      </c>
      <c r="Q2053" s="1" t="s">
        <v>533</v>
      </c>
      <c r="R2053" s="1" t="s">
        <v>41</v>
      </c>
      <c r="T2053" s="1" t="s">
        <v>93</v>
      </c>
      <c r="U2053" s="1" t="s">
        <v>44</v>
      </c>
      <c r="X2053" s="1" t="s">
        <v>140</v>
      </c>
      <c r="AA2053" s="3">
        <v>36339</v>
      </c>
      <c r="AB2053" s="1" t="s">
        <v>46</v>
      </c>
      <c r="AC2053" s="5">
        <v>420</v>
      </c>
      <c r="AD2053" s="1" t="s">
        <v>4730</v>
      </c>
      <c r="AE2053" s="1" t="str">
        <f t="shared" si="156"/>
        <v>8219 3</v>
      </c>
      <c r="AF2053" s="5" t="str">
        <f t="shared" si="154"/>
        <v>35.8</v>
      </c>
      <c r="AG2053" s="1" t="str">
        <f t="shared" si="155"/>
        <v/>
      </c>
    </row>
    <row r="2054" spans="1:33" x14ac:dyDescent="0.2">
      <c r="A2054" s="1" t="s">
        <v>2411</v>
      </c>
      <c r="B2054" s="1" t="s">
        <v>4731</v>
      </c>
      <c r="C2054" s="1">
        <v>8222</v>
      </c>
      <c r="D2054" s="1" t="s">
        <v>866</v>
      </c>
      <c r="F2054" s="1">
        <v>2023</v>
      </c>
      <c r="G2054" s="1" t="s">
        <v>236</v>
      </c>
      <c r="H2054" s="1">
        <v>607660</v>
      </c>
      <c r="I2054" s="1">
        <v>8</v>
      </c>
      <c r="J2054" s="1" t="s">
        <v>207</v>
      </c>
      <c r="K2054" s="1" t="s">
        <v>1354</v>
      </c>
      <c r="L2054" s="1" t="s">
        <v>2417</v>
      </c>
      <c r="M2054" s="1">
        <v>57</v>
      </c>
      <c r="N2054" s="1" t="s">
        <v>39</v>
      </c>
      <c r="O2054" s="1">
        <v>47.221699999999998</v>
      </c>
      <c r="P2054" s="1">
        <v>-101.8139</v>
      </c>
      <c r="Q2054" s="1" t="s">
        <v>4732</v>
      </c>
      <c r="R2054" s="1" t="s">
        <v>41</v>
      </c>
      <c r="S2054" s="1" t="s">
        <v>85</v>
      </c>
      <c r="T2054" s="1" t="s">
        <v>606</v>
      </c>
      <c r="U2054" s="1" t="s">
        <v>55</v>
      </c>
      <c r="V2054" s="1" t="s">
        <v>94</v>
      </c>
      <c r="W2054" s="1" t="s">
        <v>212</v>
      </c>
      <c r="X2054" s="1" t="s">
        <v>220</v>
      </c>
      <c r="Y2054" s="1" t="s">
        <v>232</v>
      </c>
      <c r="Z2054" s="1" t="s">
        <v>214</v>
      </c>
      <c r="AA2054" s="3">
        <v>29707</v>
      </c>
      <c r="AB2054" s="1" t="s">
        <v>46</v>
      </c>
      <c r="AC2054" s="5">
        <v>5280</v>
      </c>
      <c r="AD2054" s="1" t="s">
        <v>4733</v>
      </c>
      <c r="AE2054" s="1" t="str">
        <f t="shared" si="156"/>
        <v>8222 B1</v>
      </c>
      <c r="AF2054" s="5" t="str">
        <f t="shared" si="154"/>
        <v>450</v>
      </c>
      <c r="AG2054" s="1" t="str">
        <f t="shared" si="155"/>
        <v/>
      </c>
    </row>
    <row r="2055" spans="1:33" x14ac:dyDescent="0.2">
      <c r="A2055" s="1" t="s">
        <v>234</v>
      </c>
      <c r="B2055" s="1" t="s">
        <v>4734</v>
      </c>
      <c r="C2055" s="1">
        <v>8223</v>
      </c>
      <c r="D2055" s="1">
        <v>1</v>
      </c>
      <c r="F2055" s="1">
        <v>2023</v>
      </c>
      <c r="G2055" s="1" t="s">
        <v>236</v>
      </c>
      <c r="H2055" s="1">
        <v>607519</v>
      </c>
      <c r="I2055" s="1">
        <v>9</v>
      </c>
      <c r="J2055" s="1" t="s">
        <v>237</v>
      </c>
      <c r="K2055" s="1" t="s">
        <v>3621</v>
      </c>
      <c r="L2055" s="1" t="s">
        <v>3622</v>
      </c>
      <c r="M2055" s="1">
        <v>1</v>
      </c>
      <c r="N2055" s="1" t="s">
        <v>39</v>
      </c>
      <c r="O2055" s="1">
        <v>34.318600000000004</v>
      </c>
      <c r="P2055" s="1">
        <v>-109.1636</v>
      </c>
      <c r="Q2055" s="1" t="s">
        <v>283</v>
      </c>
      <c r="R2055" s="1" t="s">
        <v>41</v>
      </c>
      <c r="S2055" s="1" t="s">
        <v>211</v>
      </c>
      <c r="T2055" s="1" t="s">
        <v>43</v>
      </c>
      <c r="U2055" s="1" t="s">
        <v>55</v>
      </c>
      <c r="W2055" s="1" t="s">
        <v>212</v>
      </c>
      <c r="X2055" s="1" t="s">
        <v>1233</v>
      </c>
      <c r="Y2055" s="1" t="s">
        <v>232</v>
      </c>
      <c r="AA2055" s="3">
        <v>31199</v>
      </c>
      <c r="AB2055" s="1" t="s">
        <v>46</v>
      </c>
      <c r="AC2055" s="5">
        <v>4700</v>
      </c>
      <c r="AD2055" s="1" t="s">
        <v>4735</v>
      </c>
      <c r="AE2055" s="1" t="str">
        <f t="shared" si="156"/>
        <v>8223 1</v>
      </c>
      <c r="AF2055" s="5" t="str">
        <f t="shared" si="154"/>
        <v>424.8</v>
      </c>
      <c r="AG2055" s="1" t="str">
        <f t="shared" si="155"/>
        <v/>
      </c>
    </row>
    <row r="2056" spans="1:33" x14ac:dyDescent="0.2">
      <c r="A2056" s="1" t="s">
        <v>234</v>
      </c>
      <c r="B2056" s="1" t="s">
        <v>4734</v>
      </c>
      <c r="C2056" s="1">
        <v>8223</v>
      </c>
      <c r="D2056" s="1">
        <v>2</v>
      </c>
      <c r="F2056" s="1">
        <v>2023</v>
      </c>
      <c r="G2056" s="1" t="s">
        <v>236</v>
      </c>
      <c r="H2056" s="1">
        <v>607519</v>
      </c>
      <c r="I2056" s="1">
        <v>9</v>
      </c>
      <c r="J2056" s="1" t="s">
        <v>237</v>
      </c>
      <c r="K2056" s="1" t="s">
        <v>3621</v>
      </c>
      <c r="L2056" s="1" t="s">
        <v>3622</v>
      </c>
      <c r="M2056" s="1">
        <v>1</v>
      </c>
      <c r="N2056" s="1" t="s">
        <v>39</v>
      </c>
      <c r="O2056" s="1">
        <v>34.318600000000004</v>
      </c>
      <c r="P2056" s="1">
        <v>-109.1636</v>
      </c>
      <c r="Q2056" s="1" t="s">
        <v>283</v>
      </c>
      <c r="R2056" s="1" t="s">
        <v>41</v>
      </c>
      <c r="S2056" s="1" t="s">
        <v>211</v>
      </c>
      <c r="T2056" s="1" t="s">
        <v>43</v>
      </c>
      <c r="U2056" s="1" t="s">
        <v>55</v>
      </c>
      <c r="W2056" s="1" t="s">
        <v>212</v>
      </c>
      <c r="X2056" s="1" t="s">
        <v>1233</v>
      </c>
      <c r="Y2056" s="1" t="s">
        <v>232</v>
      </c>
      <c r="AA2056" s="3">
        <v>33025</v>
      </c>
      <c r="AB2056" s="1" t="s">
        <v>46</v>
      </c>
      <c r="AC2056" s="5">
        <v>4700</v>
      </c>
      <c r="AD2056" s="1" t="s">
        <v>4736</v>
      </c>
      <c r="AE2056" s="1" t="str">
        <f t="shared" si="156"/>
        <v>8223 2</v>
      </c>
      <c r="AF2056" s="5" t="str">
        <f t="shared" si="154"/>
        <v>424.8</v>
      </c>
      <c r="AG2056" s="1" t="str">
        <f t="shared" si="155"/>
        <v/>
      </c>
    </row>
    <row r="2057" spans="1:33" x14ac:dyDescent="0.2">
      <c r="A2057" s="1" t="s">
        <v>234</v>
      </c>
      <c r="B2057" s="1" t="s">
        <v>4734</v>
      </c>
      <c r="C2057" s="1">
        <v>8223</v>
      </c>
      <c r="D2057" s="1">
        <v>4</v>
      </c>
      <c r="F2057" s="1">
        <v>2023</v>
      </c>
      <c r="G2057" s="1" t="s">
        <v>236</v>
      </c>
      <c r="H2057" s="1">
        <v>607519</v>
      </c>
      <c r="I2057" s="1">
        <v>9</v>
      </c>
      <c r="J2057" s="1" t="s">
        <v>237</v>
      </c>
      <c r="K2057" s="1" t="s">
        <v>3621</v>
      </c>
      <c r="L2057" s="1" t="s">
        <v>3622</v>
      </c>
      <c r="M2057" s="1">
        <v>1</v>
      </c>
      <c r="N2057" s="1" t="s">
        <v>39</v>
      </c>
      <c r="O2057" s="1">
        <v>34.318600000000004</v>
      </c>
      <c r="P2057" s="1">
        <v>-109.1636</v>
      </c>
      <c r="Q2057" s="1" t="s">
        <v>4737</v>
      </c>
      <c r="R2057" s="1" t="s">
        <v>41</v>
      </c>
      <c r="T2057" s="1" t="s">
        <v>89</v>
      </c>
      <c r="U2057" s="1" t="s">
        <v>55</v>
      </c>
      <c r="V2057" s="1" t="s">
        <v>94</v>
      </c>
      <c r="W2057" s="1" t="s">
        <v>212</v>
      </c>
      <c r="X2057" s="1" t="s">
        <v>639</v>
      </c>
      <c r="Y2057" s="1" t="s">
        <v>232</v>
      </c>
      <c r="AA2057" s="3">
        <v>40089</v>
      </c>
      <c r="AB2057" s="1" t="s">
        <v>46</v>
      </c>
      <c r="AC2057" s="5">
        <v>5040</v>
      </c>
      <c r="AD2057" s="1" t="s">
        <v>4738</v>
      </c>
      <c r="AE2057" s="1" t="str">
        <f t="shared" si="156"/>
        <v>8223 4</v>
      </c>
      <c r="AF2057" s="5" t="str">
        <f t="shared" si="154"/>
        <v>458.1</v>
      </c>
      <c r="AG2057" s="1" t="str">
        <f t="shared" si="155"/>
        <v>Y</v>
      </c>
    </row>
    <row r="2058" spans="1:33" x14ac:dyDescent="0.2">
      <c r="A2058" s="1" t="s">
        <v>234</v>
      </c>
      <c r="B2058" s="1" t="s">
        <v>4734</v>
      </c>
      <c r="C2058" s="1">
        <v>8223</v>
      </c>
      <c r="D2058" s="1" t="s">
        <v>4739</v>
      </c>
      <c r="F2058" s="1">
        <v>2023</v>
      </c>
      <c r="G2058" s="1" t="s">
        <v>236</v>
      </c>
      <c r="H2058" s="1">
        <v>607519</v>
      </c>
      <c r="I2058" s="1">
        <v>9</v>
      </c>
      <c r="J2058" s="1" t="s">
        <v>237</v>
      </c>
      <c r="K2058" s="1" t="s">
        <v>3621</v>
      </c>
      <c r="L2058" s="1" t="s">
        <v>3622</v>
      </c>
      <c r="M2058" s="1">
        <v>1</v>
      </c>
      <c r="N2058" s="1" t="s">
        <v>39</v>
      </c>
      <c r="O2058" s="1">
        <v>34.318600000000004</v>
      </c>
      <c r="P2058" s="1">
        <v>-109.1636</v>
      </c>
      <c r="Q2058" s="1" t="s">
        <v>4740</v>
      </c>
      <c r="R2058" s="1" t="s">
        <v>41</v>
      </c>
      <c r="T2058" s="1" t="s">
        <v>89</v>
      </c>
      <c r="U2058" s="1" t="s">
        <v>55</v>
      </c>
      <c r="V2058" s="1" t="s">
        <v>94</v>
      </c>
      <c r="W2058" s="1" t="s">
        <v>212</v>
      </c>
      <c r="X2058" s="1" t="s">
        <v>639</v>
      </c>
      <c r="Y2058" s="1" t="s">
        <v>232</v>
      </c>
      <c r="AA2058" s="3">
        <v>38870</v>
      </c>
      <c r="AB2058" s="1" t="s">
        <v>46</v>
      </c>
      <c r="AC2058" s="5">
        <v>5040</v>
      </c>
      <c r="AD2058" s="1" t="s">
        <v>4741</v>
      </c>
      <c r="AE2058" s="1" t="str">
        <f t="shared" si="156"/>
        <v>8223 TS3</v>
      </c>
      <c r="AF2058" s="5" t="str">
        <f t="shared" si="154"/>
        <v>458.1</v>
      </c>
      <c r="AG2058" s="1" t="str">
        <f t="shared" si="155"/>
        <v>Y</v>
      </c>
    </row>
    <row r="2059" spans="1:33" x14ac:dyDescent="0.2">
      <c r="A2059" s="1" t="s">
        <v>1903</v>
      </c>
      <c r="B2059" s="1" t="s">
        <v>4742</v>
      </c>
      <c r="C2059" s="1">
        <v>8224</v>
      </c>
      <c r="D2059" s="1">
        <v>1</v>
      </c>
      <c r="F2059" s="1">
        <v>2023</v>
      </c>
      <c r="G2059" s="1" t="s">
        <v>236</v>
      </c>
      <c r="H2059" s="1">
        <v>610268</v>
      </c>
      <c r="I2059" s="1">
        <v>9</v>
      </c>
      <c r="J2059" s="1" t="s">
        <v>237</v>
      </c>
      <c r="K2059" s="1" t="s">
        <v>4743</v>
      </c>
      <c r="L2059" s="1" t="s">
        <v>4744</v>
      </c>
      <c r="M2059" s="1">
        <v>13</v>
      </c>
      <c r="N2059" s="1" t="s">
        <v>39</v>
      </c>
      <c r="O2059" s="1">
        <v>40.883099999999999</v>
      </c>
      <c r="P2059" s="1">
        <v>-117.1542</v>
      </c>
      <c r="Q2059" s="1" t="s">
        <v>4745</v>
      </c>
      <c r="R2059" s="1" t="s">
        <v>41</v>
      </c>
      <c r="S2059" s="1" t="s">
        <v>211</v>
      </c>
      <c r="T2059" s="1" t="s">
        <v>89</v>
      </c>
      <c r="U2059" s="1" t="s">
        <v>55</v>
      </c>
      <c r="X2059" s="1" t="s">
        <v>90</v>
      </c>
      <c r="Y2059" s="1" t="s">
        <v>232</v>
      </c>
      <c r="AA2059" s="3">
        <v>29931</v>
      </c>
      <c r="AB2059" s="1" t="s">
        <v>46</v>
      </c>
      <c r="AC2059" s="5">
        <v>2750</v>
      </c>
      <c r="AD2059" s="1" t="s">
        <v>4746</v>
      </c>
      <c r="AE2059" s="1" t="str">
        <f t="shared" si="156"/>
        <v>8224 1</v>
      </c>
      <c r="AF2059" s="5" t="str">
        <f t="shared" si="154"/>
        <v>254.3</v>
      </c>
      <c r="AG2059" s="1" t="str">
        <f t="shared" si="155"/>
        <v/>
      </c>
    </row>
    <row r="2060" spans="1:33" x14ac:dyDescent="0.2">
      <c r="A2060" s="1" t="s">
        <v>1903</v>
      </c>
      <c r="B2060" s="1" t="s">
        <v>4742</v>
      </c>
      <c r="C2060" s="1">
        <v>8224</v>
      </c>
      <c r="D2060" s="1">
        <v>2</v>
      </c>
      <c r="F2060" s="1">
        <v>2023</v>
      </c>
      <c r="G2060" s="1" t="s">
        <v>236</v>
      </c>
      <c r="H2060" s="1">
        <v>610268</v>
      </c>
      <c r="I2060" s="1">
        <v>9</v>
      </c>
      <c r="J2060" s="1" t="s">
        <v>237</v>
      </c>
      <c r="K2060" s="1" t="s">
        <v>4743</v>
      </c>
      <c r="L2060" s="1" t="s">
        <v>4744</v>
      </c>
      <c r="M2060" s="1">
        <v>13</v>
      </c>
      <c r="N2060" s="1" t="s">
        <v>39</v>
      </c>
      <c r="O2060" s="1">
        <v>40.883099999999999</v>
      </c>
      <c r="P2060" s="1">
        <v>-117.1542</v>
      </c>
      <c r="Q2060" s="1" t="s">
        <v>4745</v>
      </c>
      <c r="R2060" s="1" t="s">
        <v>41</v>
      </c>
      <c r="S2060" s="1" t="s">
        <v>211</v>
      </c>
      <c r="T2060" s="1" t="s">
        <v>89</v>
      </c>
      <c r="U2060" s="1" t="s">
        <v>55</v>
      </c>
      <c r="W2060" s="1" t="s">
        <v>212</v>
      </c>
      <c r="X2060" s="1" t="s">
        <v>90</v>
      </c>
      <c r="Y2060" s="1" t="s">
        <v>232</v>
      </c>
      <c r="AA2060" s="3">
        <v>31188</v>
      </c>
      <c r="AB2060" s="1" t="s">
        <v>46</v>
      </c>
      <c r="AC2060" s="5">
        <v>3050</v>
      </c>
      <c r="AD2060" s="1" t="s">
        <v>4747</v>
      </c>
      <c r="AE2060" s="1" t="str">
        <f t="shared" si="156"/>
        <v>8224 2</v>
      </c>
      <c r="AF2060" s="5" t="str">
        <f t="shared" si="154"/>
        <v>267</v>
      </c>
      <c r="AG2060" s="1" t="str">
        <f t="shared" si="155"/>
        <v/>
      </c>
    </row>
    <row r="2061" spans="1:33" x14ac:dyDescent="0.2">
      <c r="A2061" s="1" t="s">
        <v>2089</v>
      </c>
      <c r="B2061" s="1" t="s">
        <v>4748</v>
      </c>
      <c r="C2061" s="1">
        <v>8906</v>
      </c>
      <c r="D2061" s="1">
        <v>20</v>
      </c>
      <c r="F2061" s="1">
        <v>2023</v>
      </c>
      <c r="G2061" s="1" t="s">
        <v>1515</v>
      </c>
      <c r="H2061" s="1">
        <v>601740</v>
      </c>
      <c r="I2061" s="1">
        <v>2</v>
      </c>
      <c r="K2061" s="1" t="s">
        <v>2202</v>
      </c>
      <c r="L2061" s="1" t="s">
        <v>2203</v>
      </c>
      <c r="M2061" s="1">
        <v>81</v>
      </c>
      <c r="N2061" s="1" t="s">
        <v>39</v>
      </c>
      <c r="O2061" s="1">
        <v>40.786900000000003</v>
      </c>
      <c r="P2061" s="1">
        <v>-73.912199999999999</v>
      </c>
      <c r="Q2061" s="1" t="s">
        <v>2120</v>
      </c>
      <c r="R2061" s="1" t="s">
        <v>41</v>
      </c>
      <c r="T2061" s="1" t="s">
        <v>89</v>
      </c>
      <c r="U2061" s="1" t="s">
        <v>44</v>
      </c>
      <c r="AA2061" s="3">
        <v>19360</v>
      </c>
      <c r="AB2061" s="1" t="s">
        <v>46</v>
      </c>
      <c r="AC2061" s="5">
        <v>2300</v>
      </c>
      <c r="AD2061" s="1" t="s">
        <v>4749</v>
      </c>
      <c r="AE2061" s="1" t="str">
        <f t="shared" si="156"/>
        <v>8906 20</v>
      </c>
      <c r="AF2061" s="5" t="str">
        <f t="shared" si="154"/>
        <v>200</v>
      </c>
      <c r="AG2061" s="1" t="str">
        <f t="shared" si="155"/>
        <v/>
      </c>
    </row>
    <row r="2062" spans="1:33" x14ac:dyDescent="0.2">
      <c r="A2062" s="1" t="s">
        <v>2089</v>
      </c>
      <c r="B2062" s="1" t="s">
        <v>4748</v>
      </c>
      <c r="C2062" s="1">
        <v>8906</v>
      </c>
      <c r="D2062" s="1" t="s">
        <v>4750</v>
      </c>
      <c r="E2062" s="1" t="s">
        <v>4751</v>
      </c>
      <c r="F2062" s="1">
        <v>2023</v>
      </c>
      <c r="G2062" s="1" t="s">
        <v>1515</v>
      </c>
      <c r="H2062" s="1">
        <v>601740</v>
      </c>
      <c r="I2062" s="1">
        <v>2</v>
      </c>
      <c r="K2062" s="1" t="s">
        <v>2202</v>
      </c>
      <c r="L2062" s="1" t="s">
        <v>2203</v>
      </c>
      <c r="M2062" s="1">
        <v>81</v>
      </c>
      <c r="N2062" s="1" t="s">
        <v>39</v>
      </c>
      <c r="O2062" s="1">
        <v>40.786900000000003</v>
      </c>
      <c r="P2062" s="1">
        <v>-73.912199999999999</v>
      </c>
      <c r="Q2062" s="1" t="s">
        <v>2120</v>
      </c>
      <c r="R2062" s="1" t="s">
        <v>41</v>
      </c>
      <c r="T2062" s="1" t="s">
        <v>89</v>
      </c>
      <c r="U2062" s="1" t="s">
        <v>44</v>
      </c>
      <c r="V2062" s="1" t="s">
        <v>94</v>
      </c>
      <c r="AA2062" s="3">
        <v>21429</v>
      </c>
      <c r="AB2062" s="1" t="s">
        <v>46</v>
      </c>
      <c r="AC2062" s="5">
        <v>3984</v>
      </c>
      <c r="AD2062" s="1" t="s">
        <v>4752</v>
      </c>
      <c r="AE2062" s="1" t="str">
        <f t="shared" si="156"/>
        <v>8906 31RH</v>
      </c>
      <c r="AF2062" s="5" t="str">
        <f t="shared" si="154"/>
        <v>376.2</v>
      </c>
      <c r="AG2062" s="1" t="str">
        <f t="shared" si="155"/>
        <v/>
      </c>
    </row>
    <row r="2063" spans="1:33" x14ac:dyDescent="0.2">
      <c r="A2063" s="1" t="s">
        <v>2089</v>
      </c>
      <c r="B2063" s="1" t="s">
        <v>4748</v>
      </c>
      <c r="C2063" s="1">
        <v>8906</v>
      </c>
      <c r="D2063" s="1" t="s">
        <v>4753</v>
      </c>
      <c r="E2063" s="1" t="s">
        <v>4751</v>
      </c>
      <c r="F2063" s="1">
        <v>2023</v>
      </c>
      <c r="G2063" s="1" t="s">
        <v>1515</v>
      </c>
      <c r="H2063" s="1">
        <v>601740</v>
      </c>
      <c r="I2063" s="1">
        <v>2</v>
      </c>
      <c r="K2063" s="1" t="s">
        <v>2202</v>
      </c>
      <c r="L2063" s="1" t="s">
        <v>2203</v>
      </c>
      <c r="M2063" s="1">
        <v>81</v>
      </c>
      <c r="N2063" s="1" t="s">
        <v>39</v>
      </c>
      <c r="O2063" s="1">
        <v>40.786900000000003</v>
      </c>
      <c r="P2063" s="1">
        <v>-73.912199999999999</v>
      </c>
      <c r="Q2063" s="1" t="s">
        <v>2120</v>
      </c>
      <c r="R2063" s="1" t="s">
        <v>41</v>
      </c>
      <c r="T2063" s="1" t="s">
        <v>89</v>
      </c>
      <c r="U2063" s="1" t="s">
        <v>44</v>
      </c>
      <c r="V2063" s="1" t="s">
        <v>94</v>
      </c>
      <c r="AA2063" s="3">
        <v>21429</v>
      </c>
      <c r="AB2063" s="1" t="s">
        <v>46</v>
      </c>
      <c r="AC2063" s="5">
        <v>3984</v>
      </c>
      <c r="AD2063" s="1" t="s">
        <v>4752</v>
      </c>
      <c r="AE2063" s="1" t="str">
        <f t="shared" si="156"/>
        <v>8906 32SH</v>
      </c>
      <c r="AF2063" s="5" t="str">
        <f t="shared" si="154"/>
        <v>376.2</v>
      </c>
      <c r="AG2063" s="1" t="str">
        <f t="shared" si="155"/>
        <v/>
      </c>
    </row>
    <row r="2064" spans="1:33" x14ac:dyDescent="0.2">
      <c r="A2064" s="1" t="s">
        <v>2089</v>
      </c>
      <c r="B2064" s="1" t="s">
        <v>4748</v>
      </c>
      <c r="C2064" s="1">
        <v>8906</v>
      </c>
      <c r="D2064" s="1" t="s">
        <v>4754</v>
      </c>
      <c r="E2064" s="1" t="s">
        <v>4755</v>
      </c>
      <c r="F2064" s="1">
        <v>2023</v>
      </c>
      <c r="G2064" s="1" t="s">
        <v>1515</v>
      </c>
      <c r="H2064" s="1">
        <v>601740</v>
      </c>
      <c r="I2064" s="1">
        <v>2</v>
      </c>
      <c r="K2064" s="1" t="s">
        <v>2202</v>
      </c>
      <c r="L2064" s="1" t="s">
        <v>2203</v>
      </c>
      <c r="M2064" s="1">
        <v>81</v>
      </c>
      <c r="N2064" s="1" t="s">
        <v>39</v>
      </c>
      <c r="O2064" s="1">
        <v>40.786900000000003</v>
      </c>
      <c r="P2064" s="1">
        <v>-73.912199999999999</v>
      </c>
      <c r="Q2064" s="1" t="s">
        <v>2120</v>
      </c>
      <c r="R2064" s="1" t="s">
        <v>41</v>
      </c>
      <c r="T2064" s="1" t="s">
        <v>43</v>
      </c>
      <c r="U2064" s="1" t="s">
        <v>44</v>
      </c>
      <c r="V2064" s="1" t="s">
        <v>94</v>
      </c>
      <c r="AA2064" s="3">
        <v>22767</v>
      </c>
      <c r="AB2064" s="1" t="s">
        <v>46</v>
      </c>
      <c r="AC2064" s="5">
        <v>4094</v>
      </c>
      <c r="AD2064" s="1" t="s">
        <v>4756</v>
      </c>
      <c r="AE2064" s="1" t="str">
        <f t="shared" si="156"/>
        <v>8906 51RH</v>
      </c>
      <c r="AF2064" s="5" t="str">
        <f t="shared" si="154"/>
        <v>387.2</v>
      </c>
      <c r="AG2064" s="1" t="str">
        <f t="shared" si="155"/>
        <v/>
      </c>
    </row>
    <row r="2065" spans="1:33" x14ac:dyDescent="0.2">
      <c r="A2065" s="1" t="s">
        <v>2089</v>
      </c>
      <c r="B2065" s="1" t="s">
        <v>4748</v>
      </c>
      <c r="C2065" s="1">
        <v>8906</v>
      </c>
      <c r="D2065" s="1" t="s">
        <v>4757</v>
      </c>
      <c r="E2065" s="1" t="s">
        <v>4755</v>
      </c>
      <c r="F2065" s="1">
        <v>2023</v>
      </c>
      <c r="G2065" s="1" t="s">
        <v>1515</v>
      </c>
      <c r="H2065" s="1">
        <v>601740</v>
      </c>
      <c r="I2065" s="1">
        <v>2</v>
      </c>
      <c r="K2065" s="1" t="s">
        <v>2202</v>
      </c>
      <c r="L2065" s="1" t="s">
        <v>2203</v>
      </c>
      <c r="M2065" s="1">
        <v>81</v>
      </c>
      <c r="N2065" s="1" t="s">
        <v>39</v>
      </c>
      <c r="O2065" s="1">
        <v>40.786900000000003</v>
      </c>
      <c r="P2065" s="1">
        <v>-73.912199999999999</v>
      </c>
      <c r="Q2065" s="1" t="s">
        <v>2120</v>
      </c>
      <c r="R2065" s="1" t="s">
        <v>41</v>
      </c>
      <c r="T2065" s="1" t="s">
        <v>43</v>
      </c>
      <c r="U2065" s="1" t="s">
        <v>44</v>
      </c>
      <c r="V2065" s="1" t="s">
        <v>94</v>
      </c>
      <c r="AA2065" s="3">
        <v>22767</v>
      </c>
      <c r="AB2065" s="1" t="s">
        <v>46</v>
      </c>
      <c r="AC2065" s="5">
        <v>4094</v>
      </c>
      <c r="AD2065" s="1" t="s">
        <v>4756</v>
      </c>
      <c r="AE2065" s="1" t="str">
        <f t="shared" si="156"/>
        <v>8906 52SH</v>
      </c>
      <c r="AF2065" s="5" t="str">
        <f t="shared" si="154"/>
        <v>387.2</v>
      </c>
      <c r="AG2065" s="1" t="str">
        <f t="shared" si="155"/>
        <v/>
      </c>
    </row>
    <row r="2066" spans="1:33" x14ac:dyDescent="0.2">
      <c r="A2066" s="1" t="s">
        <v>2089</v>
      </c>
      <c r="B2066" s="1" t="s">
        <v>4748</v>
      </c>
      <c r="C2066" s="1">
        <v>8906</v>
      </c>
      <c r="D2066" s="1" t="s">
        <v>2104</v>
      </c>
      <c r="F2066" s="1">
        <v>2023</v>
      </c>
      <c r="G2066" s="1" t="s">
        <v>617</v>
      </c>
      <c r="H2066" s="1">
        <v>601740</v>
      </c>
      <c r="I2066" s="1">
        <v>2</v>
      </c>
      <c r="K2066" s="1" t="s">
        <v>2202</v>
      </c>
      <c r="L2066" s="1" t="s">
        <v>2203</v>
      </c>
      <c r="M2066" s="1">
        <v>81</v>
      </c>
      <c r="N2066" s="1" t="s">
        <v>39</v>
      </c>
      <c r="O2066" s="1">
        <v>40.786900000000003</v>
      </c>
      <c r="P2066" s="1">
        <v>-73.912199999999999</v>
      </c>
      <c r="Q2066" s="1" t="s">
        <v>2120</v>
      </c>
      <c r="T2066" s="1" t="s">
        <v>93</v>
      </c>
      <c r="U2066" s="1" t="s">
        <v>44</v>
      </c>
      <c r="AA2066" s="3">
        <v>24654</v>
      </c>
      <c r="AB2066" s="1" t="s">
        <v>46</v>
      </c>
      <c r="AC2066" s="5">
        <v>243</v>
      </c>
      <c r="AD2066" s="1" t="s">
        <v>4758</v>
      </c>
      <c r="AE2066" s="1" t="str">
        <f t="shared" si="156"/>
        <v>8906 CT0001</v>
      </c>
      <c r="AF2066" s="5" t="str">
        <f t="shared" si="154"/>
        <v>15</v>
      </c>
      <c r="AG2066" s="1" t="str">
        <f t="shared" si="155"/>
        <v/>
      </c>
    </row>
    <row r="2067" spans="1:33" x14ac:dyDescent="0.2">
      <c r="A2067" s="1" t="s">
        <v>660</v>
      </c>
      <c r="B2067" s="1" t="s">
        <v>4759</v>
      </c>
      <c r="C2067" s="1">
        <v>10030</v>
      </c>
      <c r="D2067" s="1">
        <v>2</v>
      </c>
      <c r="F2067" s="1">
        <v>2023</v>
      </c>
      <c r="G2067" s="1" t="s">
        <v>579</v>
      </c>
      <c r="H2067" s="1" t="s">
        <v>4760</v>
      </c>
      <c r="I2067" s="1">
        <v>3</v>
      </c>
      <c r="K2067" s="1" t="s">
        <v>4057</v>
      </c>
      <c r="L2067" s="1" t="s">
        <v>4058</v>
      </c>
      <c r="M2067" s="1">
        <v>1</v>
      </c>
      <c r="N2067" s="1" t="s">
        <v>39</v>
      </c>
      <c r="O2067" s="1">
        <v>39.146700000000003</v>
      </c>
      <c r="P2067" s="1">
        <v>-75.546099999999996</v>
      </c>
      <c r="Q2067" s="1" t="s">
        <v>4761</v>
      </c>
      <c r="R2067" s="1" t="s">
        <v>41</v>
      </c>
      <c r="T2067" s="1" t="s">
        <v>71</v>
      </c>
      <c r="U2067" s="1" t="s">
        <v>44</v>
      </c>
      <c r="X2067" s="1" t="s">
        <v>611</v>
      </c>
      <c r="AA2067" s="3">
        <v>37043</v>
      </c>
      <c r="AB2067" s="1" t="s">
        <v>46</v>
      </c>
      <c r="AC2067" s="5">
        <v>655</v>
      </c>
      <c r="AD2067" s="1" t="s">
        <v>4762</v>
      </c>
      <c r="AE2067" s="1" t="str">
        <f t="shared" si="156"/>
        <v>10030 2</v>
      </c>
      <c r="AF2067" s="14">
        <f>MID(AD2067,FIND("(",AD2067)+1,FIND(")",AD2067)-FIND("(",AD2067)-1)+18</f>
        <v>68</v>
      </c>
      <c r="AG2067" s="1" t="str">
        <f t="shared" si="155"/>
        <v>Y</v>
      </c>
    </row>
    <row r="2068" spans="1:33" x14ac:dyDescent="0.2">
      <c r="A2068" s="1" t="s">
        <v>660</v>
      </c>
      <c r="B2068" s="1" t="s">
        <v>4759</v>
      </c>
      <c r="C2068" s="1">
        <v>10030</v>
      </c>
      <c r="D2068" s="1">
        <v>3</v>
      </c>
      <c r="F2068" s="1">
        <v>2023</v>
      </c>
      <c r="G2068" s="1" t="s">
        <v>579</v>
      </c>
      <c r="H2068" s="1" t="s">
        <v>4760</v>
      </c>
      <c r="I2068" s="1">
        <v>3</v>
      </c>
      <c r="K2068" s="1" t="s">
        <v>4057</v>
      </c>
      <c r="L2068" s="1" t="s">
        <v>4058</v>
      </c>
      <c r="M2068" s="1">
        <v>1</v>
      </c>
      <c r="N2068" s="1" t="s">
        <v>39</v>
      </c>
      <c r="O2068" s="1">
        <v>39.146700000000003</v>
      </c>
      <c r="P2068" s="1">
        <v>-75.546099999999996</v>
      </c>
      <c r="Q2068" s="1" t="s">
        <v>4761</v>
      </c>
      <c r="R2068" s="1" t="s">
        <v>41</v>
      </c>
      <c r="T2068" s="1" t="s">
        <v>93</v>
      </c>
      <c r="U2068" s="1" t="s">
        <v>44</v>
      </c>
      <c r="V2068" s="1" t="s">
        <v>94</v>
      </c>
      <c r="X2068" s="1" t="s">
        <v>95</v>
      </c>
      <c r="AA2068" s="3">
        <v>37043</v>
      </c>
      <c r="AB2068" s="1" t="s">
        <v>46</v>
      </c>
      <c r="AC2068" s="5">
        <v>530</v>
      </c>
      <c r="AD2068" s="1" t="s">
        <v>4763</v>
      </c>
      <c r="AE2068" s="1" t="str">
        <f t="shared" si="156"/>
        <v>10030 3</v>
      </c>
      <c r="AF2068" s="5" t="str">
        <f>MID(AD2068,FIND("(",AD2068)+1,FIND(")",AD2068)-FIND("(",AD2068)-1)</f>
        <v>50</v>
      </c>
      <c r="AG2068" s="1" t="str">
        <f t="shared" si="155"/>
        <v/>
      </c>
    </row>
    <row r="2069" spans="1:33" x14ac:dyDescent="0.2">
      <c r="A2069" s="1" t="s">
        <v>370</v>
      </c>
      <c r="B2069" s="1" t="s">
        <v>4764</v>
      </c>
      <c r="C2069" s="1">
        <v>10034</v>
      </c>
      <c r="D2069" s="1" t="s">
        <v>4765</v>
      </c>
      <c r="F2069" s="1">
        <v>2023</v>
      </c>
      <c r="G2069" s="1" t="s">
        <v>247</v>
      </c>
      <c r="H2069" s="1">
        <v>602696</v>
      </c>
      <c r="I2069" s="1">
        <v>9</v>
      </c>
      <c r="K2069" s="1" t="s">
        <v>4766</v>
      </c>
      <c r="L2069" s="1" t="s">
        <v>4767</v>
      </c>
      <c r="M2069" s="1">
        <v>85</v>
      </c>
      <c r="N2069" s="1" t="s">
        <v>1680</v>
      </c>
      <c r="O2069" s="1">
        <v>37.000100000000003</v>
      </c>
      <c r="P2069" s="1">
        <v>-121.5367</v>
      </c>
      <c r="Q2069" s="1" t="s">
        <v>4768</v>
      </c>
      <c r="R2069" s="1" t="s">
        <v>41</v>
      </c>
      <c r="T2069" s="1" t="s">
        <v>71</v>
      </c>
      <c r="U2069" s="1" t="s">
        <v>44</v>
      </c>
      <c r="X2069" s="1" t="s">
        <v>140</v>
      </c>
      <c r="AA2069" s="3">
        <v>32021</v>
      </c>
      <c r="AB2069" s="1" t="s">
        <v>46</v>
      </c>
      <c r="AC2069" s="5">
        <v>1085</v>
      </c>
      <c r="AD2069" s="1" t="s">
        <v>4769</v>
      </c>
      <c r="AE2069" s="1" t="str">
        <f t="shared" si="156"/>
        <v>10034 S-100</v>
      </c>
      <c r="AF2069" s="14">
        <f>MID(AD2069,FIND("(",AD2069)+1,FIND(")",AD2069)-FIND("(",AD2069)-1)+90</f>
        <v>130</v>
      </c>
      <c r="AG2069" s="1" t="str">
        <f t="shared" si="155"/>
        <v/>
      </c>
    </row>
    <row r="2070" spans="1:33" x14ac:dyDescent="0.2">
      <c r="A2070" s="1" t="s">
        <v>1663</v>
      </c>
      <c r="B2070" s="1" t="s">
        <v>4770</v>
      </c>
      <c r="C2070" s="1">
        <v>10075</v>
      </c>
      <c r="D2070" s="1">
        <v>1</v>
      </c>
      <c r="F2070" s="1">
        <v>2023</v>
      </c>
      <c r="G2070" s="1" t="s">
        <v>205</v>
      </c>
      <c r="H2070" s="1">
        <v>610522</v>
      </c>
      <c r="I2070" s="1">
        <v>5</v>
      </c>
      <c r="J2070" s="1" t="s">
        <v>207</v>
      </c>
      <c r="K2070" s="1" t="s">
        <v>1029</v>
      </c>
      <c r="L2070" s="1" t="s">
        <v>4771</v>
      </c>
      <c r="M2070" s="1">
        <v>31</v>
      </c>
      <c r="N2070" s="1" t="s">
        <v>39</v>
      </c>
      <c r="O2070" s="1">
        <v>47.531399999999998</v>
      </c>
      <c r="P2070" s="1">
        <v>-90.911100000000005</v>
      </c>
      <c r="Q2070" s="1" t="s">
        <v>1669</v>
      </c>
      <c r="R2070" s="1" t="s">
        <v>41</v>
      </c>
      <c r="S2070" s="1" t="s">
        <v>42</v>
      </c>
      <c r="T2070" s="1" t="s">
        <v>43</v>
      </c>
      <c r="U2070" s="1" t="s">
        <v>55</v>
      </c>
      <c r="W2070" s="1" t="s">
        <v>454</v>
      </c>
      <c r="X2070" s="1" t="s">
        <v>604</v>
      </c>
      <c r="Y2070" s="1" t="s">
        <v>58</v>
      </c>
      <c r="AA2070" s="3">
        <v>37386</v>
      </c>
      <c r="AB2070" s="1" t="s">
        <v>4772</v>
      </c>
      <c r="AC2070" s="5">
        <v>900</v>
      </c>
      <c r="AD2070" s="1" t="s">
        <v>4773</v>
      </c>
      <c r="AE2070" s="1" t="str">
        <f t="shared" si="156"/>
        <v>10075 1</v>
      </c>
      <c r="AF2070" s="5" t="str">
        <f t="shared" ref="AF2070:AF2078" si="157">MID(AD2070,FIND("(",AD2070)+1,FIND(")",AD2070)-FIND("(",AD2070)-1)</f>
        <v>84</v>
      </c>
      <c r="AG2070" s="1" t="str">
        <f t="shared" si="155"/>
        <v>Y</v>
      </c>
    </row>
    <row r="2071" spans="1:33" x14ac:dyDescent="0.2">
      <c r="A2071" s="1" t="s">
        <v>1663</v>
      </c>
      <c r="B2071" s="1" t="s">
        <v>4770</v>
      </c>
      <c r="C2071" s="1">
        <v>10075</v>
      </c>
      <c r="D2071" s="1">
        <v>2</v>
      </c>
      <c r="F2071" s="1">
        <v>2023</v>
      </c>
      <c r="G2071" s="1" t="s">
        <v>205</v>
      </c>
      <c r="H2071" s="1">
        <v>610522</v>
      </c>
      <c r="I2071" s="1">
        <v>5</v>
      </c>
      <c r="J2071" s="1" t="s">
        <v>207</v>
      </c>
      <c r="K2071" s="1" t="s">
        <v>1029</v>
      </c>
      <c r="L2071" s="1" t="s">
        <v>4771</v>
      </c>
      <c r="M2071" s="1">
        <v>31</v>
      </c>
      <c r="N2071" s="1" t="s">
        <v>39</v>
      </c>
      <c r="O2071" s="1">
        <v>47.531399999999998</v>
      </c>
      <c r="P2071" s="1">
        <v>-90.911100000000005</v>
      </c>
      <c r="Q2071" s="1" t="s">
        <v>1669</v>
      </c>
      <c r="R2071" s="1" t="s">
        <v>41</v>
      </c>
      <c r="S2071" s="1" t="s">
        <v>42</v>
      </c>
      <c r="T2071" s="1" t="s">
        <v>43</v>
      </c>
      <c r="U2071" s="1" t="s">
        <v>55</v>
      </c>
      <c r="W2071" s="1" t="s">
        <v>454</v>
      </c>
      <c r="X2071" s="1" t="s">
        <v>604</v>
      </c>
      <c r="Y2071" s="1" t="s">
        <v>58</v>
      </c>
      <c r="AA2071" s="3">
        <v>37288</v>
      </c>
      <c r="AB2071" s="1" t="s">
        <v>4772</v>
      </c>
      <c r="AC2071" s="5">
        <v>900</v>
      </c>
      <c r="AD2071" s="1" t="s">
        <v>4774</v>
      </c>
      <c r="AE2071" s="1" t="str">
        <f t="shared" si="156"/>
        <v>10075 2</v>
      </c>
      <c r="AF2071" s="5" t="str">
        <f t="shared" si="157"/>
        <v>84</v>
      </c>
      <c r="AG2071" s="1" t="str">
        <f t="shared" si="155"/>
        <v>Y</v>
      </c>
    </row>
    <row r="2072" spans="1:33" x14ac:dyDescent="0.2">
      <c r="A2072" s="1" t="s">
        <v>2584</v>
      </c>
      <c r="B2072" s="1" t="s">
        <v>4775</v>
      </c>
      <c r="C2072" s="1">
        <v>10113</v>
      </c>
      <c r="D2072" s="1">
        <v>31</v>
      </c>
      <c r="E2072" s="1" t="s">
        <v>1963</v>
      </c>
      <c r="F2072" s="1">
        <v>2023</v>
      </c>
      <c r="G2072" s="1" t="s">
        <v>682</v>
      </c>
      <c r="H2072" s="1">
        <v>608145</v>
      </c>
      <c r="I2072" s="1">
        <v>3</v>
      </c>
      <c r="K2072" s="1" t="s">
        <v>4776</v>
      </c>
      <c r="L2072" s="1" t="s">
        <v>4777</v>
      </c>
      <c r="M2072" s="1">
        <v>107</v>
      </c>
      <c r="N2072" s="1" t="s">
        <v>1680</v>
      </c>
      <c r="O2072" s="1">
        <v>40.79</v>
      </c>
      <c r="P2072" s="1">
        <v>-76.198400000000007</v>
      </c>
      <c r="Q2072" s="1" t="s">
        <v>4778</v>
      </c>
      <c r="R2072" s="1" t="s">
        <v>41</v>
      </c>
      <c r="T2072" s="1" t="s">
        <v>885</v>
      </c>
      <c r="U2072" s="1" t="s">
        <v>2622</v>
      </c>
      <c r="W2072" s="1" t="s">
        <v>1069</v>
      </c>
      <c r="X2072" s="1" t="s">
        <v>220</v>
      </c>
      <c r="Y2072" s="1" t="s">
        <v>232</v>
      </c>
      <c r="AA2072" s="3">
        <v>32417</v>
      </c>
      <c r="AB2072" s="1" t="s">
        <v>46</v>
      </c>
      <c r="AC2072" s="5">
        <v>550</v>
      </c>
      <c r="AD2072" s="1" t="s">
        <v>4779</v>
      </c>
      <c r="AE2072" s="1" t="str">
        <f t="shared" si="156"/>
        <v>10113 31</v>
      </c>
      <c r="AF2072" s="5" t="str">
        <f t="shared" si="157"/>
        <v>88.4</v>
      </c>
      <c r="AG2072" s="1" t="str">
        <f t="shared" si="155"/>
        <v/>
      </c>
    </row>
    <row r="2073" spans="1:33" x14ac:dyDescent="0.2">
      <c r="A2073" s="1" t="s">
        <v>2584</v>
      </c>
      <c r="B2073" s="1" t="s">
        <v>4775</v>
      </c>
      <c r="C2073" s="1">
        <v>10113</v>
      </c>
      <c r="D2073" s="1">
        <v>32</v>
      </c>
      <c r="E2073" s="1" t="s">
        <v>1963</v>
      </c>
      <c r="F2073" s="1">
        <v>2023</v>
      </c>
      <c r="G2073" s="1" t="s">
        <v>682</v>
      </c>
      <c r="H2073" s="1">
        <v>608145</v>
      </c>
      <c r="I2073" s="1">
        <v>3</v>
      </c>
      <c r="K2073" s="1" t="s">
        <v>4776</v>
      </c>
      <c r="L2073" s="1" t="s">
        <v>4777</v>
      </c>
      <c r="M2073" s="1">
        <v>107</v>
      </c>
      <c r="N2073" s="1" t="s">
        <v>1680</v>
      </c>
      <c r="O2073" s="1">
        <v>40.79</v>
      </c>
      <c r="P2073" s="1">
        <v>-76.198400000000007</v>
      </c>
      <c r="Q2073" s="1" t="s">
        <v>4778</v>
      </c>
      <c r="R2073" s="1" t="s">
        <v>41</v>
      </c>
      <c r="T2073" s="1" t="s">
        <v>885</v>
      </c>
      <c r="U2073" s="1" t="s">
        <v>2622</v>
      </c>
      <c r="W2073" s="1" t="s">
        <v>1069</v>
      </c>
      <c r="X2073" s="1" t="s">
        <v>220</v>
      </c>
      <c r="Y2073" s="1" t="s">
        <v>232</v>
      </c>
      <c r="AA2073" s="3">
        <v>32417</v>
      </c>
      <c r="AB2073" s="1" t="s">
        <v>46</v>
      </c>
      <c r="AC2073" s="5">
        <v>550</v>
      </c>
      <c r="AD2073" s="1" t="s">
        <v>4779</v>
      </c>
      <c r="AE2073" s="1" t="str">
        <f t="shared" si="156"/>
        <v>10113 32</v>
      </c>
      <c r="AF2073" s="5" t="str">
        <f t="shared" si="157"/>
        <v>88.4</v>
      </c>
      <c r="AG2073" s="1" t="str">
        <f t="shared" si="155"/>
        <v/>
      </c>
    </row>
    <row r="2074" spans="1:33" x14ac:dyDescent="0.2">
      <c r="A2074" s="1" t="s">
        <v>2584</v>
      </c>
      <c r="B2074" s="1" t="s">
        <v>4780</v>
      </c>
      <c r="C2074" s="1">
        <v>10143</v>
      </c>
      <c r="D2074" s="1" t="s">
        <v>4781</v>
      </c>
      <c r="F2074" s="1">
        <v>2023</v>
      </c>
      <c r="G2074" s="1" t="s">
        <v>682</v>
      </c>
      <c r="H2074" s="1">
        <v>609870</v>
      </c>
      <c r="I2074" s="1">
        <v>3</v>
      </c>
      <c r="J2074" s="1" t="s">
        <v>668</v>
      </c>
      <c r="K2074" s="1" t="s">
        <v>4782</v>
      </c>
      <c r="L2074" s="1" t="s">
        <v>4783</v>
      </c>
      <c r="M2074" s="1">
        <v>21</v>
      </c>
      <c r="N2074" s="1" t="s">
        <v>39</v>
      </c>
      <c r="O2074" s="1">
        <v>40.549999999999997</v>
      </c>
      <c r="P2074" s="1">
        <v>-78.8</v>
      </c>
      <c r="Q2074" s="1" t="s">
        <v>4784</v>
      </c>
      <c r="R2074" s="1" t="s">
        <v>41</v>
      </c>
      <c r="T2074" s="1" t="s">
        <v>885</v>
      </c>
      <c r="U2074" s="1" t="s">
        <v>2622</v>
      </c>
      <c r="W2074" s="1" t="s">
        <v>212</v>
      </c>
      <c r="X2074" s="1" t="s">
        <v>4785</v>
      </c>
      <c r="Y2074" s="1" t="s">
        <v>232</v>
      </c>
      <c r="AA2074" s="3">
        <v>34835</v>
      </c>
      <c r="AB2074" s="1" t="s">
        <v>46</v>
      </c>
      <c r="AC2074" s="5">
        <v>1400</v>
      </c>
      <c r="AD2074" s="1" t="s">
        <v>4786</v>
      </c>
      <c r="AE2074" s="1" t="str">
        <f t="shared" si="156"/>
        <v>10143 AAB01</v>
      </c>
      <c r="AF2074" s="5" t="str">
        <f t="shared" si="157"/>
        <v>118</v>
      </c>
      <c r="AG2074" s="1" t="str">
        <f t="shared" si="155"/>
        <v/>
      </c>
    </row>
    <row r="2075" spans="1:33" x14ac:dyDescent="0.2">
      <c r="A2075" s="1" t="s">
        <v>3140</v>
      </c>
      <c r="B2075" s="1" t="s">
        <v>4787</v>
      </c>
      <c r="C2075" s="1">
        <v>10151</v>
      </c>
      <c r="D2075" s="1" t="s">
        <v>372</v>
      </c>
      <c r="E2075" s="1" t="s">
        <v>1421</v>
      </c>
      <c r="F2075" s="1">
        <v>2023</v>
      </c>
      <c r="G2075" s="1" t="s">
        <v>4788</v>
      </c>
      <c r="H2075" s="1">
        <v>2894</v>
      </c>
      <c r="I2075" s="1">
        <v>3</v>
      </c>
      <c r="K2075" s="1" t="s">
        <v>1087</v>
      </c>
      <c r="L2075" s="1" t="s">
        <v>4789</v>
      </c>
      <c r="M2075" s="1">
        <v>49</v>
      </c>
      <c r="N2075" s="1" t="s">
        <v>1031</v>
      </c>
      <c r="O2075" s="1">
        <v>39.561100000000003</v>
      </c>
      <c r="P2075" s="1">
        <v>-80.164199999999994</v>
      </c>
      <c r="Q2075" s="1" t="s">
        <v>4790</v>
      </c>
      <c r="T2075" s="1" t="s">
        <v>885</v>
      </c>
      <c r="U2075" s="1" t="s">
        <v>2622</v>
      </c>
      <c r="W2075" s="1" t="s">
        <v>1069</v>
      </c>
      <c r="X2075" s="1" t="s">
        <v>4791</v>
      </c>
      <c r="Y2075" s="1" t="s">
        <v>232</v>
      </c>
      <c r="AA2075" s="3">
        <v>34060</v>
      </c>
      <c r="AB2075" s="1" t="s">
        <v>46</v>
      </c>
      <c r="AC2075" s="5">
        <v>866.5</v>
      </c>
      <c r="AD2075" s="1" t="s">
        <v>4792</v>
      </c>
      <c r="AE2075" s="1" t="str">
        <f t="shared" si="156"/>
        <v>10151 1A</v>
      </c>
      <c r="AF2075" s="5" t="str">
        <f t="shared" si="157"/>
        <v>95.7</v>
      </c>
      <c r="AG2075" s="1" t="str">
        <f t="shared" si="155"/>
        <v>Y</v>
      </c>
    </row>
    <row r="2076" spans="1:33" x14ac:dyDescent="0.2">
      <c r="A2076" s="1" t="s">
        <v>3140</v>
      </c>
      <c r="B2076" s="1" t="s">
        <v>4787</v>
      </c>
      <c r="C2076" s="1">
        <v>10151</v>
      </c>
      <c r="D2076" s="1" t="s">
        <v>1199</v>
      </c>
      <c r="E2076" s="1" t="s">
        <v>1421</v>
      </c>
      <c r="F2076" s="1">
        <v>2023</v>
      </c>
      <c r="G2076" s="1" t="s">
        <v>4788</v>
      </c>
      <c r="H2076" s="1">
        <v>2894</v>
      </c>
      <c r="I2076" s="1">
        <v>3</v>
      </c>
      <c r="K2076" s="1" t="s">
        <v>1087</v>
      </c>
      <c r="L2076" s="1" t="s">
        <v>4789</v>
      </c>
      <c r="M2076" s="1">
        <v>49</v>
      </c>
      <c r="N2076" s="1" t="s">
        <v>1031</v>
      </c>
      <c r="O2076" s="1">
        <v>39.561100000000003</v>
      </c>
      <c r="P2076" s="1">
        <v>-80.164199999999994</v>
      </c>
      <c r="Q2076" s="1" t="s">
        <v>4790</v>
      </c>
      <c r="T2076" s="1" t="s">
        <v>885</v>
      </c>
      <c r="U2076" s="1" t="s">
        <v>2622</v>
      </c>
      <c r="W2076" s="1" t="s">
        <v>1069</v>
      </c>
      <c r="X2076" s="1" t="s">
        <v>4791</v>
      </c>
      <c r="Y2076" s="1" t="s">
        <v>232</v>
      </c>
      <c r="AA2076" s="3">
        <v>34060</v>
      </c>
      <c r="AB2076" s="1" t="s">
        <v>46</v>
      </c>
      <c r="AC2076" s="5">
        <v>866.5</v>
      </c>
      <c r="AD2076" s="1" t="s">
        <v>4792</v>
      </c>
      <c r="AE2076" s="1" t="str">
        <f t="shared" si="156"/>
        <v>10151 1B</v>
      </c>
      <c r="AF2076" s="5" t="str">
        <f t="shared" si="157"/>
        <v>95.7</v>
      </c>
      <c r="AG2076" s="1" t="str">
        <f t="shared" si="155"/>
        <v>Y</v>
      </c>
    </row>
    <row r="2077" spans="1:33" x14ac:dyDescent="0.2">
      <c r="A2077" s="1" t="s">
        <v>383</v>
      </c>
      <c r="B2077" s="1" t="s">
        <v>4793</v>
      </c>
      <c r="C2077" s="1">
        <v>10154</v>
      </c>
      <c r="D2077" s="1">
        <v>1</v>
      </c>
      <c r="F2077" s="1">
        <v>2023</v>
      </c>
      <c r="G2077" s="1" t="s">
        <v>346</v>
      </c>
      <c r="H2077" s="1">
        <v>608794</v>
      </c>
      <c r="I2077" s="1">
        <v>6</v>
      </c>
      <c r="K2077" s="1" t="s">
        <v>4794</v>
      </c>
      <c r="L2077" s="1" t="s">
        <v>4795</v>
      </c>
      <c r="M2077" s="1">
        <v>39</v>
      </c>
      <c r="N2077" s="1" t="s">
        <v>1680</v>
      </c>
      <c r="O2077" s="1">
        <v>29.229299999999999</v>
      </c>
      <c r="P2077" s="1">
        <v>-95.1952</v>
      </c>
      <c r="Q2077" s="1" t="s">
        <v>4796</v>
      </c>
      <c r="R2077" s="1" t="s">
        <v>41</v>
      </c>
      <c r="T2077" s="1" t="s">
        <v>93</v>
      </c>
      <c r="X2077" s="12"/>
      <c r="AA2077" s="3">
        <v>43435</v>
      </c>
      <c r="AB2077" s="1" t="s">
        <v>4797</v>
      </c>
      <c r="AC2077" s="14"/>
      <c r="AD2077" s="1" t="s">
        <v>4798</v>
      </c>
      <c r="AE2077" s="1" t="str">
        <f t="shared" si="156"/>
        <v>10154 1</v>
      </c>
      <c r="AF2077" s="5" t="str">
        <f t="shared" si="157"/>
        <v>50</v>
      </c>
      <c r="AG2077" s="1" t="str">
        <f t="shared" si="155"/>
        <v/>
      </c>
    </row>
    <row r="2078" spans="1:33" x14ac:dyDescent="0.2">
      <c r="A2078" s="1" t="s">
        <v>383</v>
      </c>
      <c r="B2078" s="1" t="s">
        <v>4793</v>
      </c>
      <c r="C2078" s="1">
        <v>10154</v>
      </c>
      <c r="D2078" s="1">
        <v>2</v>
      </c>
      <c r="F2078" s="1">
        <v>2023</v>
      </c>
      <c r="G2078" s="1" t="s">
        <v>346</v>
      </c>
      <c r="H2078" s="1">
        <v>608794</v>
      </c>
      <c r="I2078" s="1">
        <v>6</v>
      </c>
      <c r="K2078" s="1" t="s">
        <v>4794</v>
      </c>
      <c r="L2078" s="1" t="s">
        <v>4795</v>
      </c>
      <c r="M2078" s="1">
        <v>39</v>
      </c>
      <c r="N2078" s="1" t="s">
        <v>1680</v>
      </c>
      <c r="O2078" s="1">
        <v>29.229299999999999</v>
      </c>
      <c r="P2078" s="1">
        <v>-95.1952</v>
      </c>
      <c r="Q2078" s="1" t="s">
        <v>4796</v>
      </c>
      <c r="R2078" s="1" t="s">
        <v>41</v>
      </c>
      <c r="T2078" s="1" t="s">
        <v>93</v>
      </c>
      <c r="X2078" s="12"/>
      <c r="AA2078" s="3">
        <v>43435</v>
      </c>
      <c r="AB2078" s="1" t="s">
        <v>4797</v>
      </c>
      <c r="AC2078" s="14"/>
      <c r="AD2078" s="1" t="s">
        <v>4799</v>
      </c>
      <c r="AE2078" s="1" t="str">
        <f t="shared" si="156"/>
        <v>10154 2</v>
      </c>
      <c r="AF2078" s="5" t="str">
        <f t="shared" si="157"/>
        <v>50</v>
      </c>
      <c r="AG2078" s="1" t="str">
        <f t="shared" si="155"/>
        <v/>
      </c>
    </row>
    <row r="2079" spans="1:33" x14ac:dyDescent="0.2">
      <c r="A2079" s="1" t="s">
        <v>370</v>
      </c>
      <c r="B2079" s="1" t="s">
        <v>4800</v>
      </c>
      <c r="C2079" s="1">
        <v>10156</v>
      </c>
      <c r="D2079" s="1" t="s">
        <v>4801</v>
      </c>
      <c r="F2079" s="1">
        <v>2023</v>
      </c>
      <c r="G2079" s="1" t="s">
        <v>247</v>
      </c>
      <c r="H2079" s="1">
        <v>602281</v>
      </c>
      <c r="I2079" s="1">
        <v>9</v>
      </c>
      <c r="K2079" s="1" t="s">
        <v>4802</v>
      </c>
      <c r="L2079" s="1" t="s">
        <v>4803</v>
      </c>
      <c r="M2079" s="1">
        <v>19</v>
      </c>
      <c r="N2079" s="1" t="s">
        <v>39</v>
      </c>
      <c r="O2079" s="1">
        <v>36.618299999999998</v>
      </c>
      <c r="P2079" s="1">
        <v>-120.1</v>
      </c>
      <c r="Q2079" s="1" t="s">
        <v>4804</v>
      </c>
      <c r="R2079" s="1" t="s">
        <v>41</v>
      </c>
      <c r="T2079" s="1" t="s">
        <v>71</v>
      </c>
      <c r="U2079" s="1" t="s">
        <v>44</v>
      </c>
      <c r="X2079" s="1" t="s">
        <v>176</v>
      </c>
      <c r="AA2079" s="3">
        <v>38369</v>
      </c>
      <c r="AB2079" s="1" t="s">
        <v>46</v>
      </c>
      <c r="AC2079" s="5">
        <v>495</v>
      </c>
      <c r="AD2079" s="1" t="s">
        <v>4805</v>
      </c>
      <c r="AE2079" s="1" t="str">
        <f t="shared" si="156"/>
        <v>10156 GEN1</v>
      </c>
      <c r="AF2079" s="14">
        <f>MID(AD2079,FIND("(",AD2079)+1,FIND(")",AD2079)-FIND("(",AD2079)-1)+12.5</f>
        <v>83.7</v>
      </c>
      <c r="AG2079" s="1" t="str">
        <f t="shared" si="155"/>
        <v>Y</v>
      </c>
    </row>
    <row r="2080" spans="1:33" x14ac:dyDescent="0.2">
      <c r="A2080" s="1" t="s">
        <v>370</v>
      </c>
      <c r="B2080" s="1" t="s">
        <v>4806</v>
      </c>
      <c r="C2080" s="1">
        <v>10169</v>
      </c>
      <c r="D2080" s="1" t="s">
        <v>4807</v>
      </c>
      <c r="F2080" s="1">
        <v>2023</v>
      </c>
      <c r="G2080" s="1" t="s">
        <v>247</v>
      </c>
      <c r="H2080" s="1">
        <v>608976</v>
      </c>
      <c r="I2080" s="1">
        <v>9</v>
      </c>
      <c r="K2080" s="1" t="s">
        <v>404</v>
      </c>
      <c r="L2080" s="1" t="s">
        <v>405</v>
      </c>
      <c r="M2080" s="1">
        <v>37</v>
      </c>
      <c r="N2080" s="1" t="s">
        <v>39</v>
      </c>
      <c r="O2080" s="1">
        <v>33.875900000000001</v>
      </c>
      <c r="P2080" s="1">
        <v>-118.2491</v>
      </c>
      <c r="Q2080" s="1" t="s">
        <v>4808</v>
      </c>
      <c r="R2080" s="1" t="s">
        <v>41</v>
      </c>
      <c r="T2080" s="1" t="s">
        <v>71</v>
      </c>
      <c r="U2080" s="1" t="s">
        <v>44</v>
      </c>
      <c r="X2080" s="1" t="s">
        <v>176</v>
      </c>
      <c r="AA2080" s="3">
        <v>37945</v>
      </c>
      <c r="AB2080" s="1" t="s">
        <v>46</v>
      </c>
      <c r="AC2080" s="5">
        <v>453</v>
      </c>
      <c r="AD2080" s="1" t="s">
        <v>4809</v>
      </c>
      <c r="AE2080" s="1" t="str">
        <f t="shared" si="156"/>
        <v>10169 D1</v>
      </c>
      <c r="AF2080" s="14">
        <f>MID(AD2080,FIND("(",AD2080)+1,FIND(")",AD2080)-FIND("(",AD2080)-1)+10.5</f>
        <v>55.8</v>
      </c>
      <c r="AG2080" s="1" t="str">
        <f t="shared" si="155"/>
        <v>Y</v>
      </c>
    </row>
    <row r="2081" spans="1:33" x14ac:dyDescent="0.2">
      <c r="A2081" s="1" t="s">
        <v>1568</v>
      </c>
      <c r="B2081" s="1" t="s">
        <v>4810</v>
      </c>
      <c r="C2081" s="1">
        <v>10176</v>
      </c>
      <c r="D2081" s="1" t="s">
        <v>3087</v>
      </c>
      <c r="F2081" s="1">
        <v>2023</v>
      </c>
      <c r="G2081" s="1" t="s">
        <v>617</v>
      </c>
      <c r="H2081" s="1" t="s">
        <v>4811</v>
      </c>
      <c r="I2081" s="1">
        <v>1</v>
      </c>
      <c r="J2081" s="1" t="s">
        <v>580</v>
      </c>
      <c r="K2081" s="1" t="s">
        <v>2257</v>
      </c>
      <c r="L2081" s="1" t="s">
        <v>4812</v>
      </c>
      <c r="M2081" s="1">
        <v>25</v>
      </c>
      <c r="N2081" s="1" t="s">
        <v>39</v>
      </c>
      <c r="O2081" s="1">
        <v>42.3414</v>
      </c>
      <c r="P2081" s="1">
        <v>-71.031099999999995</v>
      </c>
      <c r="Q2081" s="1" t="s">
        <v>4813</v>
      </c>
      <c r="T2081" s="1" t="s">
        <v>93</v>
      </c>
      <c r="U2081" s="1" t="s">
        <v>1292</v>
      </c>
      <c r="X2081" s="1" t="s">
        <v>95</v>
      </c>
      <c r="AA2081" s="3">
        <v>29037</v>
      </c>
      <c r="AB2081" s="1" t="s">
        <v>46</v>
      </c>
      <c r="AC2081" s="5">
        <v>396</v>
      </c>
      <c r="AD2081" s="1" t="s">
        <v>4814</v>
      </c>
      <c r="AE2081" s="1" t="str">
        <f t="shared" si="156"/>
        <v>10176 A</v>
      </c>
      <c r="AF2081" s="5" t="str">
        <f>MID(AD2081,FIND("(",AD2081)+1,FIND(")",AD2081)-FIND("(",AD2081)-1)</f>
        <v>69</v>
      </c>
      <c r="AG2081" s="1" t="str">
        <f t="shared" si="155"/>
        <v/>
      </c>
    </row>
    <row r="2082" spans="1:33" x14ac:dyDescent="0.2">
      <c r="A2082" s="1" t="s">
        <v>1568</v>
      </c>
      <c r="B2082" s="1" t="s">
        <v>4810</v>
      </c>
      <c r="C2082" s="1">
        <v>10176</v>
      </c>
      <c r="D2082" s="1" t="s">
        <v>3091</v>
      </c>
      <c r="F2082" s="1">
        <v>2023</v>
      </c>
      <c r="G2082" s="1" t="s">
        <v>617</v>
      </c>
      <c r="H2082" s="1" t="s">
        <v>4811</v>
      </c>
      <c r="I2082" s="1">
        <v>1</v>
      </c>
      <c r="J2082" s="1" t="s">
        <v>580</v>
      </c>
      <c r="K2082" s="1" t="s">
        <v>2257</v>
      </c>
      <c r="L2082" s="1" t="s">
        <v>4812</v>
      </c>
      <c r="M2082" s="1">
        <v>25</v>
      </c>
      <c r="N2082" s="1" t="s">
        <v>39</v>
      </c>
      <c r="O2082" s="1">
        <v>42.3414</v>
      </c>
      <c r="P2082" s="1">
        <v>-71.031099999999995</v>
      </c>
      <c r="Q2082" s="1" t="s">
        <v>4813</v>
      </c>
      <c r="T2082" s="1" t="s">
        <v>93</v>
      </c>
      <c r="U2082" s="1" t="s">
        <v>1292</v>
      </c>
      <c r="X2082" s="1" t="s">
        <v>95</v>
      </c>
      <c r="AA2082" s="3">
        <v>29037</v>
      </c>
      <c r="AB2082" s="1" t="s">
        <v>46</v>
      </c>
      <c r="AC2082" s="5">
        <v>396</v>
      </c>
      <c r="AD2082" s="1" t="s">
        <v>4814</v>
      </c>
      <c r="AE2082" s="1" t="str">
        <f t="shared" si="156"/>
        <v>10176 B</v>
      </c>
      <c r="AF2082" s="5" t="str">
        <f>MID(AD2082,FIND("(",AD2082)+1,FIND(")",AD2082)-FIND("(",AD2082)-1)</f>
        <v>69</v>
      </c>
      <c r="AG2082" s="1" t="str">
        <f t="shared" si="155"/>
        <v/>
      </c>
    </row>
    <row r="2083" spans="1:33" x14ac:dyDescent="0.2">
      <c r="A2083" s="1" t="s">
        <v>2089</v>
      </c>
      <c r="B2083" s="1" t="s">
        <v>4815</v>
      </c>
      <c r="C2083" s="1">
        <v>10190</v>
      </c>
      <c r="D2083" s="1">
        <v>1</v>
      </c>
      <c r="F2083" s="1">
        <v>2023</v>
      </c>
      <c r="G2083" s="1" t="s">
        <v>1515</v>
      </c>
      <c r="H2083" s="1">
        <v>2616</v>
      </c>
      <c r="I2083" s="1">
        <v>2</v>
      </c>
      <c r="J2083" s="1" t="s">
        <v>580</v>
      </c>
      <c r="K2083" s="1" t="s">
        <v>4816</v>
      </c>
      <c r="L2083" s="1" t="s">
        <v>4817</v>
      </c>
      <c r="M2083" s="1">
        <v>83</v>
      </c>
      <c r="N2083" s="1" t="s">
        <v>39</v>
      </c>
      <c r="O2083" s="1">
        <v>42.537500000000001</v>
      </c>
      <c r="P2083" s="1">
        <v>-73.743300000000005</v>
      </c>
      <c r="Q2083" s="1" t="s">
        <v>4818</v>
      </c>
      <c r="R2083" s="1" t="s">
        <v>41</v>
      </c>
      <c r="T2083" s="1" t="s">
        <v>71</v>
      </c>
      <c r="U2083" s="1" t="s">
        <v>44</v>
      </c>
      <c r="V2083" s="1" t="s">
        <v>94</v>
      </c>
      <c r="X2083" s="1" t="s">
        <v>1606</v>
      </c>
      <c r="AA2083" s="3">
        <v>33848</v>
      </c>
      <c r="AB2083" s="1" t="s">
        <v>46</v>
      </c>
      <c r="AC2083" s="5">
        <v>670</v>
      </c>
      <c r="AD2083" s="1" t="s">
        <v>4819</v>
      </c>
      <c r="AE2083" s="1" t="str">
        <f t="shared" si="156"/>
        <v>10190 1</v>
      </c>
      <c r="AF2083" s="14">
        <f>MID(AD2083,FIND("(",AD2083)+1,FIND(")",AD2083)-FIND("(",AD2083)-1)+47</f>
        <v>72</v>
      </c>
      <c r="AG2083" s="1" t="str">
        <f t="shared" si="155"/>
        <v/>
      </c>
    </row>
    <row r="2084" spans="1:33" x14ac:dyDescent="0.2">
      <c r="A2084" s="1" t="s">
        <v>370</v>
      </c>
      <c r="B2084" s="1" t="s">
        <v>4820</v>
      </c>
      <c r="C2084" s="1">
        <v>10294</v>
      </c>
      <c r="D2084" s="1">
        <v>2</v>
      </c>
      <c r="F2084" s="1">
        <v>2023</v>
      </c>
      <c r="G2084" s="1" t="s">
        <v>247</v>
      </c>
      <c r="H2084" s="1">
        <v>602696</v>
      </c>
      <c r="I2084" s="1">
        <v>9</v>
      </c>
      <c r="K2084" s="1" t="s">
        <v>373</v>
      </c>
      <c r="L2084" s="1" t="s">
        <v>374</v>
      </c>
      <c r="M2084" s="1">
        <v>53</v>
      </c>
      <c r="N2084" s="1" t="s">
        <v>39</v>
      </c>
      <c r="O2084" s="1">
        <v>36.225000000000001</v>
      </c>
      <c r="P2084" s="1">
        <v>-121.12779999999999</v>
      </c>
      <c r="Q2084" s="1" t="s">
        <v>4821</v>
      </c>
      <c r="R2084" s="1" t="s">
        <v>41</v>
      </c>
      <c r="T2084" s="1" t="s">
        <v>93</v>
      </c>
      <c r="U2084" s="1" t="s">
        <v>44</v>
      </c>
      <c r="X2084" s="1" t="s">
        <v>787</v>
      </c>
      <c r="AA2084" s="3">
        <v>37164</v>
      </c>
      <c r="AB2084" s="1" t="s">
        <v>46</v>
      </c>
      <c r="AC2084" s="5">
        <v>500</v>
      </c>
      <c r="AD2084" s="1" t="s">
        <v>4822</v>
      </c>
      <c r="AE2084" s="1" t="str">
        <f t="shared" si="156"/>
        <v>10294 2</v>
      </c>
      <c r="AF2084" s="5" t="str">
        <f>MID(AD2084,FIND("(",AD2084)+1,FIND(")",AD2084)-FIND("(",AD2084)-1)</f>
        <v>47.3</v>
      </c>
      <c r="AG2084" s="1" t="str">
        <f t="shared" si="155"/>
        <v>Y</v>
      </c>
    </row>
    <row r="2085" spans="1:33" x14ac:dyDescent="0.2">
      <c r="A2085" s="1" t="s">
        <v>370</v>
      </c>
      <c r="B2085" s="1" t="s">
        <v>4820</v>
      </c>
      <c r="C2085" s="1">
        <v>10294</v>
      </c>
      <c r="D2085" s="1" t="s">
        <v>4823</v>
      </c>
      <c r="F2085" s="1">
        <v>2023</v>
      </c>
      <c r="G2085" s="1" t="s">
        <v>247</v>
      </c>
      <c r="H2085" s="1">
        <v>602696</v>
      </c>
      <c r="I2085" s="1">
        <v>9</v>
      </c>
      <c r="K2085" s="1" t="s">
        <v>373</v>
      </c>
      <c r="L2085" s="1" t="s">
        <v>374</v>
      </c>
      <c r="M2085" s="1">
        <v>53</v>
      </c>
      <c r="N2085" s="1" t="s">
        <v>39</v>
      </c>
      <c r="O2085" s="1">
        <v>36.225000000000001</v>
      </c>
      <c r="P2085" s="1">
        <v>-121.12779999999999</v>
      </c>
      <c r="Q2085" s="1" t="s">
        <v>4824</v>
      </c>
      <c r="R2085" s="1" t="s">
        <v>41</v>
      </c>
      <c r="T2085" s="1" t="s">
        <v>71</v>
      </c>
      <c r="U2085" s="1" t="s">
        <v>44</v>
      </c>
      <c r="X2085" s="1" t="s">
        <v>64</v>
      </c>
      <c r="AA2085" s="3">
        <v>32540</v>
      </c>
      <c r="AB2085" s="1" t="s">
        <v>46</v>
      </c>
      <c r="AC2085" s="5">
        <v>1022</v>
      </c>
      <c r="AD2085" s="1" t="s">
        <v>4825</v>
      </c>
      <c r="AE2085" s="1" t="str">
        <f t="shared" si="156"/>
        <v>10294 GTG</v>
      </c>
      <c r="AF2085" s="14">
        <f>MID(AD2085,FIND("(",AD2085)+1,FIND(")",AD2085)-FIND("(",AD2085)-1)+90.8</f>
        <v>133.19999999999999</v>
      </c>
      <c r="AG2085" s="1" t="str">
        <f t="shared" si="155"/>
        <v>Y</v>
      </c>
    </row>
    <row r="2086" spans="1:33" x14ac:dyDescent="0.2">
      <c r="A2086" s="1" t="s">
        <v>1568</v>
      </c>
      <c r="B2086" s="1" t="s">
        <v>4826</v>
      </c>
      <c r="C2086" s="1">
        <v>10307</v>
      </c>
      <c r="D2086" s="1">
        <v>1</v>
      </c>
      <c r="E2086" s="1" t="s">
        <v>4827</v>
      </c>
      <c r="F2086" s="1">
        <v>2023</v>
      </c>
      <c r="G2086" s="1" t="s">
        <v>579</v>
      </c>
      <c r="H2086" s="1">
        <v>610478</v>
      </c>
      <c r="I2086" s="1">
        <v>1</v>
      </c>
      <c r="K2086" s="1" t="s">
        <v>1578</v>
      </c>
      <c r="L2086" s="1" t="s">
        <v>1579</v>
      </c>
      <c r="M2086" s="1">
        <v>21</v>
      </c>
      <c r="N2086" s="1" t="s">
        <v>39</v>
      </c>
      <c r="O2086" s="1">
        <v>42.092500000000001</v>
      </c>
      <c r="P2086" s="1">
        <v>-71.4833</v>
      </c>
      <c r="Q2086" s="1" t="s">
        <v>4828</v>
      </c>
      <c r="R2086" s="1" t="s">
        <v>41</v>
      </c>
      <c r="T2086" s="1" t="s">
        <v>71</v>
      </c>
      <c r="U2086" s="1" t="s">
        <v>44</v>
      </c>
      <c r="V2086" s="1" t="s">
        <v>94</v>
      </c>
      <c r="X2086" s="1" t="s">
        <v>1606</v>
      </c>
      <c r="AA2086" s="3">
        <v>33496</v>
      </c>
      <c r="AB2086" s="1" t="s">
        <v>46</v>
      </c>
      <c r="AC2086" s="5">
        <v>1433</v>
      </c>
      <c r="AD2086" s="1" t="s">
        <v>4829</v>
      </c>
      <c r="AE2086" s="1" t="str">
        <f t="shared" si="156"/>
        <v>10307 1</v>
      </c>
      <c r="AF2086" s="14">
        <f>MID(AD2086,FIND("(",AD2086)+1,FIND(")",AD2086)-FIND("(",AD2086)-1)+128.7/2</f>
        <v>193.04999999999998</v>
      </c>
      <c r="AG2086" s="1" t="str">
        <f t="shared" si="155"/>
        <v/>
      </c>
    </row>
    <row r="2087" spans="1:33" x14ac:dyDescent="0.2">
      <c r="A2087" s="1" t="s">
        <v>1568</v>
      </c>
      <c r="B2087" s="1" t="s">
        <v>4826</v>
      </c>
      <c r="C2087" s="1">
        <v>10307</v>
      </c>
      <c r="D2087" s="1">
        <v>2</v>
      </c>
      <c r="E2087" s="1" t="s">
        <v>4827</v>
      </c>
      <c r="F2087" s="1">
        <v>2023</v>
      </c>
      <c r="G2087" s="1" t="s">
        <v>579</v>
      </c>
      <c r="H2087" s="1">
        <v>610478</v>
      </c>
      <c r="I2087" s="1">
        <v>1</v>
      </c>
      <c r="K2087" s="1" t="s">
        <v>1578</v>
      </c>
      <c r="L2087" s="1" t="s">
        <v>1579</v>
      </c>
      <c r="M2087" s="1">
        <v>21</v>
      </c>
      <c r="N2087" s="1" t="s">
        <v>39</v>
      </c>
      <c r="O2087" s="1">
        <v>42.092500000000001</v>
      </c>
      <c r="P2087" s="1">
        <v>-71.4833</v>
      </c>
      <c r="Q2087" s="1" t="s">
        <v>4828</v>
      </c>
      <c r="R2087" s="1" t="s">
        <v>41</v>
      </c>
      <c r="T2087" s="1" t="s">
        <v>71</v>
      </c>
      <c r="U2087" s="1" t="s">
        <v>44</v>
      </c>
      <c r="V2087" s="1" t="s">
        <v>94</v>
      </c>
      <c r="X2087" s="1" t="s">
        <v>1606</v>
      </c>
      <c r="AA2087" s="3">
        <v>33496</v>
      </c>
      <c r="AB2087" s="1" t="s">
        <v>46</v>
      </c>
      <c r="AC2087" s="5">
        <v>1433</v>
      </c>
      <c r="AD2087" s="1" t="s">
        <v>4830</v>
      </c>
      <c r="AE2087" s="1" t="str">
        <f t="shared" si="156"/>
        <v>10307 2</v>
      </c>
      <c r="AF2087" s="14">
        <f>AF2086</f>
        <v>193.04999999999998</v>
      </c>
      <c r="AG2087" s="1" t="str">
        <f t="shared" si="155"/>
        <v/>
      </c>
    </row>
    <row r="2088" spans="1:33" x14ac:dyDescent="0.2">
      <c r="A2088" s="1" t="s">
        <v>1980</v>
      </c>
      <c r="B2088" s="1" t="s">
        <v>4831</v>
      </c>
      <c r="C2088" s="1">
        <v>10308</v>
      </c>
      <c r="D2088" s="1">
        <v>1001</v>
      </c>
      <c r="F2088" s="1">
        <v>2023</v>
      </c>
      <c r="G2088" s="1" t="s">
        <v>1515</v>
      </c>
      <c r="H2088" s="1">
        <v>603383</v>
      </c>
      <c r="I2088" s="1">
        <v>2</v>
      </c>
      <c r="K2088" s="1" t="s">
        <v>601</v>
      </c>
      <c r="L2088" s="1" t="s">
        <v>1987</v>
      </c>
      <c r="M2088" s="1">
        <v>23</v>
      </c>
      <c r="N2088" s="1" t="s">
        <v>1680</v>
      </c>
      <c r="O2088" s="1">
        <v>40.439</v>
      </c>
      <c r="P2088" s="1">
        <v>-74.344399999999993</v>
      </c>
      <c r="Q2088" s="1" t="s">
        <v>4832</v>
      </c>
      <c r="R2088" s="1" t="s">
        <v>41</v>
      </c>
      <c r="T2088" s="1" t="s">
        <v>71</v>
      </c>
      <c r="U2088" s="1" t="s">
        <v>44</v>
      </c>
      <c r="X2088" s="1" t="s">
        <v>1606</v>
      </c>
      <c r="AA2088" s="3">
        <v>33463</v>
      </c>
      <c r="AB2088" s="1" t="s">
        <v>46</v>
      </c>
      <c r="AC2088" s="5">
        <v>1400</v>
      </c>
      <c r="AD2088" s="1" t="s">
        <v>4833</v>
      </c>
      <c r="AE2088" s="1" t="str">
        <f t="shared" si="156"/>
        <v>10308 1001</v>
      </c>
      <c r="AF2088" s="14">
        <f>MID(AD2088,FIND("(",AD2088)+1,FIND(")",AD2088)-FIND("(",AD2088)-1)+143.4/2</f>
        <v>215.10000000000002</v>
      </c>
      <c r="AG2088" s="1" t="str">
        <f t="shared" si="155"/>
        <v/>
      </c>
    </row>
    <row r="2089" spans="1:33" x14ac:dyDescent="0.2">
      <c r="A2089" s="1" t="s">
        <v>1980</v>
      </c>
      <c r="B2089" s="1" t="s">
        <v>4831</v>
      </c>
      <c r="C2089" s="1">
        <v>10308</v>
      </c>
      <c r="D2089" s="1">
        <v>1002</v>
      </c>
      <c r="F2089" s="1">
        <v>2023</v>
      </c>
      <c r="G2089" s="1" t="s">
        <v>1515</v>
      </c>
      <c r="H2089" s="1">
        <v>603383</v>
      </c>
      <c r="I2089" s="1">
        <v>2</v>
      </c>
      <c r="K2089" s="1" t="s">
        <v>601</v>
      </c>
      <c r="L2089" s="1" t="s">
        <v>1987</v>
      </c>
      <c r="M2089" s="1">
        <v>23</v>
      </c>
      <c r="N2089" s="1" t="s">
        <v>1680</v>
      </c>
      <c r="O2089" s="1">
        <v>40.439</v>
      </c>
      <c r="P2089" s="1">
        <v>-74.344399999999993</v>
      </c>
      <c r="Q2089" s="1" t="s">
        <v>4832</v>
      </c>
      <c r="R2089" s="1" t="s">
        <v>41</v>
      </c>
      <c r="T2089" s="1" t="s">
        <v>71</v>
      </c>
      <c r="U2089" s="1" t="s">
        <v>44</v>
      </c>
      <c r="X2089" s="1" t="s">
        <v>1606</v>
      </c>
      <c r="AA2089" s="3">
        <v>33463</v>
      </c>
      <c r="AB2089" s="1" t="s">
        <v>46</v>
      </c>
      <c r="AC2089" s="5">
        <v>1400</v>
      </c>
      <c r="AD2089" s="1" t="s">
        <v>4834</v>
      </c>
      <c r="AE2089" s="1" t="str">
        <f t="shared" si="156"/>
        <v>10308 1002</v>
      </c>
      <c r="AF2089" s="14">
        <f>AF2088</f>
        <v>215.10000000000002</v>
      </c>
      <c r="AG2089" s="1" t="str">
        <f t="shared" si="155"/>
        <v/>
      </c>
    </row>
    <row r="2090" spans="1:33" x14ac:dyDescent="0.2">
      <c r="A2090" s="1" t="s">
        <v>2584</v>
      </c>
      <c r="B2090" s="1" t="s">
        <v>4835</v>
      </c>
      <c r="C2090" s="1">
        <v>10343</v>
      </c>
      <c r="D2090" s="1" t="s">
        <v>4836</v>
      </c>
      <c r="F2090" s="1">
        <v>2023</v>
      </c>
      <c r="G2090" s="1" t="s">
        <v>682</v>
      </c>
      <c r="H2090" s="1" t="s">
        <v>4837</v>
      </c>
      <c r="I2090" s="1">
        <v>3</v>
      </c>
      <c r="K2090" s="1" t="s">
        <v>4838</v>
      </c>
      <c r="L2090" s="1" t="s">
        <v>4839</v>
      </c>
      <c r="M2090" s="1">
        <v>97</v>
      </c>
      <c r="N2090" s="1" t="s">
        <v>1680</v>
      </c>
      <c r="O2090" s="1">
        <v>40.809199999999997</v>
      </c>
      <c r="P2090" s="1">
        <v>-76.453900000000004</v>
      </c>
      <c r="Q2090" s="1" t="s">
        <v>4840</v>
      </c>
      <c r="R2090" s="1" t="s">
        <v>41</v>
      </c>
      <c r="T2090" s="1" t="s">
        <v>885</v>
      </c>
      <c r="U2090" s="1" t="s">
        <v>2622</v>
      </c>
      <c r="W2090" s="1" t="s">
        <v>1069</v>
      </c>
      <c r="Y2090" s="1" t="s">
        <v>232</v>
      </c>
      <c r="AA2090" s="3">
        <v>33146</v>
      </c>
      <c r="AB2090" s="1" t="s">
        <v>46</v>
      </c>
      <c r="AC2090" s="5">
        <v>624</v>
      </c>
      <c r="AD2090" s="1" t="s">
        <v>4841</v>
      </c>
      <c r="AE2090" s="1" t="str">
        <f t="shared" si="156"/>
        <v>10343 SG-101</v>
      </c>
      <c r="AF2090" s="5" t="str">
        <f>MID(AD2090,FIND("(",AD2090)+1,FIND(")",AD2090)-FIND("(",AD2090)-1)</f>
        <v>46</v>
      </c>
      <c r="AG2090" s="1" t="str">
        <f t="shared" si="155"/>
        <v/>
      </c>
    </row>
    <row r="2091" spans="1:33" x14ac:dyDescent="0.2">
      <c r="A2091" s="1" t="s">
        <v>370</v>
      </c>
      <c r="B2091" s="1" t="s">
        <v>4842</v>
      </c>
      <c r="C2091" s="1">
        <v>10349</v>
      </c>
      <c r="D2091" s="1">
        <v>2</v>
      </c>
      <c r="F2091" s="1">
        <v>2023</v>
      </c>
      <c r="G2091" s="1" t="s">
        <v>247</v>
      </c>
      <c r="H2091" s="1">
        <v>606775</v>
      </c>
      <c r="I2091" s="1">
        <v>9</v>
      </c>
      <c r="K2091" s="1" t="s">
        <v>4843</v>
      </c>
      <c r="L2091" s="1" t="s">
        <v>4844</v>
      </c>
      <c r="M2091" s="1">
        <v>101</v>
      </c>
      <c r="N2091" s="1" t="s">
        <v>39</v>
      </c>
      <c r="O2091" s="1">
        <v>39.136499999999998</v>
      </c>
      <c r="P2091" s="1">
        <v>-121.6397</v>
      </c>
      <c r="Q2091" s="1" t="s">
        <v>4768</v>
      </c>
      <c r="R2091" s="1" t="s">
        <v>41</v>
      </c>
      <c r="T2091" s="1" t="s">
        <v>93</v>
      </c>
      <c r="U2091" s="1" t="s">
        <v>44</v>
      </c>
      <c r="X2091" s="1" t="s">
        <v>176</v>
      </c>
      <c r="AA2091" s="3">
        <v>37423</v>
      </c>
      <c r="AB2091" s="1" t="s">
        <v>46</v>
      </c>
      <c r="AC2091" s="5">
        <v>500</v>
      </c>
      <c r="AD2091" s="1" t="s">
        <v>4845</v>
      </c>
      <c r="AE2091" s="1" t="str">
        <f t="shared" si="156"/>
        <v>10349 2</v>
      </c>
      <c r="AF2091" s="5" t="str">
        <f>MID(AD2091,FIND("(",AD2091)+1,FIND(")",AD2091)-FIND("(",AD2091)-1)</f>
        <v>49.5</v>
      </c>
      <c r="AG2091" s="1" t="str">
        <f t="shared" si="155"/>
        <v>Y</v>
      </c>
    </row>
    <row r="2092" spans="1:33" x14ac:dyDescent="0.2">
      <c r="A2092" s="1" t="s">
        <v>370</v>
      </c>
      <c r="B2092" s="1" t="s">
        <v>4846</v>
      </c>
      <c r="C2092" s="1">
        <v>10350</v>
      </c>
      <c r="D2092" s="1" t="s">
        <v>4847</v>
      </c>
      <c r="F2092" s="1">
        <v>2023</v>
      </c>
      <c r="G2092" s="1" t="s">
        <v>247</v>
      </c>
      <c r="H2092" s="1">
        <v>606775</v>
      </c>
      <c r="I2092" s="1">
        <v>9</v>
      </c>
      <c r="K2092" s="1" t="s">
        <v>4843</v>
      </c>
      <c r="L2092" s="1" t="s">
        <v>4844</v>
      </c>
      <c r="M2092" s="1">
        <v>101</v>
      </c>
      <c r="N2092" s="1" t="s">
        <v>39</v>
      </c>
      <c r="O2092" s="1">
        <v>39.053600000000003</v>
      </c>
      <c r="P2092" s="1">
        <v>-121.6942</v>
      </c>
      <c r="Q2092" s="1" t="s">
        <v>4848</v>
      </c>
      <c r="R2092" s="1" t="s">
        <v>41</v>
      </c>
      <c r="T2092" s="1" t="s">
        <v>93</v>
      </c>
      <c r="U2092" s="1" t="s">
        <v>44</v>
      </c>
      <c r="X2092" s="1" t="s">
        <v>176</v>
      </c>
      <c r="AA2092" s="3">
        <v>44456</v>
      </c>
      <c r="AB2092" s="1" t="s">
        <v>46</v>
      </c>
      <c r="AC2092" s="5">
        <v>366.1</v>
      </c>
      <c r="AD2092" s="1" t="s">
        <v>4849</v>
      </c>
      <c r="AE2092" s="1" t="str">
        <f t="shared" si="156"/>
        <v>10350 CTGA</v>
      </c>
      <c r="AF2092" s="5" t="str">
        <f>MID(AD2092,FIND("(",AD2092)+1,FIND(")",AD2092)-FIND("(",AD2092)-1)</f>
        <v>34.9</v>
      </c>
      <c r="AG2092" s="1" t="str">
        <f t="shared" si="155"/>
        <v>Y</v>
      </c>
    </row>
    <row r="2093" spans="1:33" x14ac:dyDescent="0.2">
      <c r="A2093" s="1" t="s">
        <v>370</v>
      </c>
      <c r="B2093" s="1" t="s">
        <v>4846</v>
      </c>
      <c r="C2093" s="1">
        <v>10350</v>
      </c>
      <c r="D2093" s="1" t="s">
        <v>4850</v>
      </c>
      <c r="F2093" s="1">
        <v>2023</v>
      </c>
      <c r="G2093" s="1" t="s">
        <v>247</v>
      </c>
      <c r="H2093" s="1">
        <v>606775</v>
      </c>
      <c r="I2093" s="1">
        <v>9</v>
      </c>
      <c r="K2093" s="1" t="s">
        <v>4843</v>
      </c>
      <c r="L2093" s="1" t="s">
        <v>4844</v>
      </c>
      <c r="M2093" s="1">
        <v>101</v>
      </c>
      <c r="N2093" s="1" t="s">
        <v>39</v>
      </c>
      <c r="O2093" s="1">
        <v>39.053600000000003</v>
      </c>
      <c r="P2093" s="1">
        <v>-121.6942</v>
      </c>
      <c r="Q2093" s="1" t="s">
        <v>4848</v>
      </c>
      <c r="R2093" s="1" t="s">
        <v>41</v>
      </c>
      <c r="T2093" s="1" t="s">
        <v>93</v>
      </c>
      <c r="U2093" s="1" t="s">
        <v>44</v>
      </c>
      <c r="X2093" s="1" t="s">
        <v>176</v>
      </c>
      <c r="AA2093" s="3">
        <v>44457</v>
      </c>
      <c r="AB2093" s="1" t="s">
        <v>46</v>
      </c>
      <c r="AC2093" s="5">
        <v>366.1</v>
      </c>
      <c r="AD2093" s="1" t="s">
        <v>4851</v>
      </c>
      <c r="AE2093" s="1" t="str">
        <f t="shared" si="156"/>
        <v>10350 CTGB</v>
      </c>
      <c r="AF2093" s="5" t="str">
        <f>MID(AD2093,FIND("(",AD2093)+1,FIND(")",AD2093)-FIND("(",AD2093)-1)</f>
        <v>34.9</v>
      </c>
      <c r="AG2093" s="1" t="str">
        <f t="shared" si="155"/>
        <v>Y</v>
      </c>
    </row>
    <row r="2094" spans="1:33" x14ac:dyDescent="0.2">
      <c r="A2094" s="1" t="s">
        <v>370</v>
      </c>
      <c r="B2094" s="1" t="s">
        <v>4852</v>
      </c>
      <c r="C2094" s="1">
        <v>10405</v>
      </c>
      <c r="D2094" s="1">
        <v>1</v>
      </c>
      <c r="F2094" s="1">
        <v>2023</v>
      </c>
      <c r="G2094" s="1" t="s">
        <v>247</v>
      </c>
      <c r="H2094" s="1">
        <v>608375</v>
      </c>
      <c r="I2094" s="1">
        <v>9</v>
      </c>
      <c r="K2094" s="1" t="s">
        <v>4802</v>
      </c>
      <c r="L2094" s="1" t="s">
        <v>4803</v>
      </c>
      <c r="M2094" s="1">
        <v>19</v>
      </c>
      <c r="N2094" s="1" t="s">
        <v>39</v>
      </c>
      <c r="O2094" s="1">
        <v>36.546999999999997</v>
      </c>
      <c r="P2094" s="1">
        <v>-119.578</v>
      </c>
      <c r="Q2094" s="1" t="s">
        <v>4853</v>
      </c>
      <c r="R2094" s="1" t="s">
        <v>41</v>
      </c>
      <c r="T2094" s="1" t="s">
        <v>71</v>
      </c>
      <c r="U2094" s="1" t="s">
        <v>44</v>
      </c>
      <c r="X2094" s="1" t="s">
        <v>223</v>
      </c>
      <c r="AA2094" s="3">
        <v>33335</v>
      </c>
      <c r="AB2094" s="1" t="s">
        <v>46</v>
      </c>
      <c r="AC2094" s="5">
        <v>425</v>
      </c>
      <c r="AD2094" s="1" t="s">
        <v>4854</v>
      </c>
      <c r="AE2094" s="1" t="str">
        <f t="shared" si="156"/>
        <v>10405 1</v>
      </c>
      <c r="AF2094" s="14">
        <f>MID(AD2094,FIND("(",AD2094)+1,FIND(")",AD2094)-FIND("(",AD2094)-1)+13.1</f>
        <v>36.200000000000003</v>
      </c>
      <c r="AG2094" s="1" t="str">
        <f t="shared" si="155"/>
        <v>Y</v>
      </c>
    </row>
    <row r="2095" spans="1:33" x14ac:dyDescent="0.2">
      <c r="A2095" s="1" t="s">
        <v>2089</v>
      </c>
      <c r="B2095" s="1" t="s">
        <v>4855</v>
      </c>
      <c r="C2095" s="1">
        <v>10464</v>
      </c>
      <c r="D2095" s="1" t="s">
        <v>4856</v>
      </c>
      <c r="E2095" s="1" t="s">
        <v>4857</v>
      </c>
      <c r="F2095" s="1">
        <v>2023</v>
      </c>
      <c r="G2095" s="1" t="s">
        <v>1528</v>
      </c>
      <c r="H2095" s="1">
        <v>606650</v>
      </c>
      <c r="I2095" s="1">
        <v>2</v>
      </c>
      <c r="J2095" s="1" t="s">
        <v>580</v>
      </c>
      <c r="K2095" s="1" t="s">
        <v>1074</v>
      </c>
      <c r="L2095" s="1" t="s">
        <v>4858</v>
      </c>
      <c r="M2095" s="1">
        <v>45</v>
      </c>
      <c r="N2095" s="1" t="s">
        <v>39</v>
      </c>
      <c r="O2095" s="1">
        <v>44.036099999999998</v>
      </c>
      <c r="P2095" s="1">
        <v>-75.771199999999993</v>
      </c>
      <c r="Q2095" s="1" t="s">
        <v>4859</v>
      </c>
      <c r="T2095" s="1" t="s">
        <v>885</v>
      </c>
      <c r="U2095" s="1" t="s">
        <v>657</v>
      </c>
      <c r="V2095" s="1" t="s">
        <v>4860</v>
      </c>
      <c r="Y2095" s="1" t="s">
        <v>232</v>
      </c>
      <c r="AA2095" s="3">
        <v>33543</v>
      </c>
      <c r="AB2095" s="1" t="s">
        <v>46</v>
      </c>
      <c r="AC2095" s="5">
        <v>288</v>
      </c>
      <c r="AD2095" s="1" t="s">
        <v>4861</v>
      </c>
      <c r="AE2095" s="1" t="str">
        <f t="shared" si="156"/>
        <v>10464 E0001</v>
      </c>
      <c r="AF2095" s="5" t="str">
        <f>MID(AD2095,FIND("(",AD2095)+1,FIND(")",AD2095)-FIND("(",AD2095)-1)</f>
        <v>55.5</v>
      </c>
      <c r="AG2095" s="1" t="str">
        <f t="shared" si="155"/>
        <v/>
      </c>
    </row>
    <row r="2096" spans="1:33" x14ac:dyDescent="0.2">
      <c r="A2096" s="1" t="s">
        <v>2089</v>
      </c>
      <c r="B2096" s="1" t="s">
        <v>4855</v>
      </c>
      <c r="C2096" s="1">
        <v>10464</v>
      </c>
      <c r="D2096" s="1" t="s">
        <v>4862</v>
      </c>
      <c r="E2096" s="1" t="s">
        <v>4857</v>
      </c>
      <c r="F2096" s="1">
        <v>2023</v>
      </c>
      <c r="G2096" s="1" t="s">
        <v>1528</v>
      </c>
      <c r="H2096" s="1">
        <v>606650</v>
      </c>
      <c r="I2096" s="1">
        <v>2</v>
      </c>
      <c r="J2096" s="1" t="s">
        <v>580</v>
      </c>
      <c r="K2096" s="1" t="s">
        <v>1074</v>
      </c>
      <c r="L2096" s="1" t="s">
        <v>4858</v>
      </c>
      <c r="M2096" s="1">
        <v>45</v>
      </c>
      <c r="N2096" s="1" t="s">
        <v>39</v>
      </c>
      <c r="O2096" s="1">
        <v>44.036099999999998</v>
      </c>
      <c r="P2096" s="1">
        <v>-75.771199999999993</v>
      </c>
      <c r="Q2096" s="1" t="s">
        <v>4859</v>
      </c>
      <c r="T2096" s="1" t="s">
        <v>885</v>
      </c>
      <c r="U2096" s="1" t="s">
        <v>657</v>
      </c>
      <c r="V2096" s="1" t="s">
        <v>4860</v>
      </c>
      <c r="Y2096" s="1" t="s">
        <v>232</v>
      </c>
      <c r="AA2096" s="3">
        <v>33543</v>
      </c>
      <c r="AB2096" s="1" t="s">
        <v>46</v>
      </c>
      <c r="AC2096" s="5">
        <v>288</v>
      </c>
      <c r="AD2096" s="1" t="s">
        <v>4861</v>
      </c>
      <c r="AE2096" s="1" t="str">
        <f t="shared" si="156"/>
        <v>10464 E0002</v>
      </c>
      <c r="AF2096" s="5" t="str">
        <f>MID(AD2096,FIND("(",AD2096)+1,FIND(")",AD2096)-FIND("(",AD2096)-1)</f>
        <v>55.5</v>
      </c>
      <c r="AG2096" s="1" t="str">
        <f t="shared" si="155"/>
        <v/>
      </c>
    </row>
    <row r="2097" spans="1:33" x14ac:dyDescent="0.2">
      <c r="A2097" s="1" t="s">
        <v>2089</v>
      </c>
      <c r="B2097" s="1" t="s">
        <v>4855</v>
      </c>
      <c r="C2097" s="1">
        <v>10464</v>
      </c>
      <c r="D2097" s="1" t="s">
        <v>4863</v>
      </c>
      <c r="E2097" s="1" t="s">
        <v>4857</v>
      </c>
      <c r="F2097" s="1">
        <v>2023</v>
      </c>
      <c r="G2097" s="1" t="s">
        <v>1528</v>
      </c>
      <c r="H2097" s="1">
        <v>606650</v>
      </c>
      <c r="I2097" s="1">
        <v>2</v>
      </c>
      <c r="J2097" s="1" t="s">
        <v>580</v>
      </c>
      <c r="K2097" s="1" t="s">
        <v>1074</v>
      </c>
      <c r="L2097" s="1" t="s">
        <v>4858</v>
      </c>
      <c r="M2097" s="1">
        <v>45</v>
      </c>
      <c r="N2097" s="1" t="s">
        <v>39</v>
      </c>
      <c r="O2097" s="1">
        <v>44.036099999999998</v>
      </c>
      <c r="P2097" s="1">
        <v>-75.771199999999993</v>
      </c>
      <c r="Q2097" s="1" t="s">
        <v>4859</v>
      </c>
      <c r="T2097" s="1" t="s">
        <v>885</v>
      </c>
      <c r="U2097" s="1" t="s">
        <v>657</v>
      </c>
      <c r="V2097" s="1" t="s">
        <v>4860</v>
      </c>
      <c r="Y2097" s="1" t="s">
        <v>232</v>
      </c>
      <c r="AA2097" s="3">
        <v>33543</v>
      </c>
      <c r="AB2097" s="1" t="s">
        <v>46</v>
      </c>
      <c r="AC2097" s="5">
        <v>288</v>
      </c>
      <c r="AD2097" s="1" t="s">
        <v>4861</v>
      </c>
      <c r="AE2097" s="1" t="str">
        <f t="shared" si="156"/>
        <v>10464 E0003</v>
      </c>
      <c r="AF2097" s="5" t="str">
        <f>MID(AD2097,FIND("(",AD2097)+1,FIND(")",AD2097)-FIND("(",AD2097)-1)</f>
        <v>55.5</v>
      </c>
      <c r="AG2097" s="1" t="str">
        <f t="shared" si="155"/>
        <v/>
      </c>
    </row>
    <row r="2098" spans="1:33" x14ac:dyDescent="0.2">
      <c r="A2098" s="1" t="s">
        <v>1153</v>
      </c>
      <c r="B2098" s="1" t="s">
        <v>4864</v>
      </c>
      <c r="C2098" s="1">
        <v>10525</v>
      </c>
      <c r="D2098" s="1" t="s">
        <v>4865</v>
      </c>
      <c r="F2098" s="1">
        <v>2023</v>
      </c>
      <c r="G2098" s="1" t="s">
        <v>2319</v>
      </c>
      <c r="H2098" s="1" t="s">
        <v>4866</v>
      </c>
      <c r="I2098" s="1">
        <v>4</v>
      </c>
      <c r="J2098" s="1" t="s">
        <v>36</v>
      </c>
      <c r="K2098" s="1" t="s">
        <v>4867</v>
      </c>
      <c r="L2098" s="1" t="s">
        <v>4868</v>
      </c>
      <c r="M2098" s="1">
        <v>49</v>
      </c>
      <c r="N2098" s="1" t="s">
        <v>39</v>
      </c>
      <c r="O2098" s="1">
        <v>35.128500000000003</v>
      </c>
      <c r="P2098" s="1">
        <v>-77.17</v>
      </c>
      <c r="Q2098" s="1" t="s">
        <v>4869</v>
      </c>
      <c r="R2098" s="1" t="s">
        <v>41</v>
      </c>
      <c r="T2098" s="1" t="s">
        <v>1660</v>
      </c>
      <c r="U2098" s="1" t="s">
        <v>657</v>
      </c>
      <c r="V2098" s="1" t="s">
        <v>4870</v>
      </c>
      <c r="Y2098" s="1" t="s">
        <v>58</v>
      </c>
      <c r="AA2098" s="3">
        <v>33162</v>
      </c>
      <c r="AB2098" s="1" t="s">
        <v>46</v>
      </c>
      <c r="AC2098" s="5">
        <v>990</v>
      </c>
      <c r="AD2098" s="1" t="s">
        <v>4871</v>
      </c>
      <c r="AE2098" s="1" t="str">
        <f t="shared" si="156"/>
        <v>10525 ES5A</v>
      </c>
      <c r="AF2098" s="5" t="str">
        <f>MID(AD2098,FIND("(",AD2098)+1,FIND(")",AD2098)-FIND("(",AD2098)-1)</f>
        <v>50</v>
      </c>
      <c r="AG2098" s="1" t="str">
        <f t="shared" si="155"/>
        <v/>
      </c>
    </row>
    <row r="2099" spans="1:33" x14ac:dyDescent="0.2">
      <c r="A2099" s="1" t="s">
        <v>577</v>
      </c>
      <c r="B2099" s="1" t="s">
        <v>4872</v>
      </c>
      <c r="C2099" s="1">
        <v>10567</v>
      </c>
      <c r="D2099" s="1" t="s">
        <v>280</v>
      </c>
      <c r="F2099" s="1">
        <v>2023</v>
      </c>
      <c r="G2099" s="1" t="s">
        <v>617</v>
      </c>
      <c r="H2099" s="1" t="s">
        <v>4873</v>
      </c>
      <c r="I2099" s="1">
        <v>1</v>
      </c>
      <c r="K2099" s="1" t="s">
        <v>618</v>
      </c>
      <c r="L2099" s="1" t="s">
        <v>619</v>
      </c>
      <c r="M2099" s="1">
        <v>3</v>
      </c>
      <c r="N2099" s="1" t="s">
        <v>1680</v>
      </c>
      <c r="O2099" s="1">
        <v>41.922699999999999</v>
      </c>
      <c r="P2099" s="1">
        <v>-72.625500000000002</v>
      </c>
      <c r="Q2099" s="1" t="s">
        <v>4874</v>
      </c>
      <c r="T2099" s="1" t="s">
        <v>71</v>
      </c>
      <c r="U2099" s="1" t="s">
        <v>44</v>
      </c>
      <c r="V2099" s="1" t="s">
        <v>173</v>
      </c>
      <c r="X2099" s="1" t="s">
        <v>1606</v>
      </c>
      <c r="AA2099" s="3">
        <v>32977</v>
      </c>
      <c r="AB2099" s="1" t="s">
        <v>46</v>
      </c>
      <c r="AC2099" s="5">
        <v>555.20000000000005</v>
      </c>
      <c r="AD2099" s="1" t="s">
        <v>4875</v>
      </c>
      <c r="AE2099" s="1" t="str">
        <f t="shared" si="156"/>
        <v>10567 GT1</v>
      </c>
      <c r="AF2099" s="14">
        <f>MID(AD2099,FIND("(",AD2099)+1,FIND(")",AD2099)-FIND("(",AD2099)-1)+16</f>
        <v>56</v>
      </c>
      <c r="AG2099" s="1" t="str">
        <f t="shared" si="155"/>
        <v/>
      </c>
    </row>
    <row r="2100" spans="1:33" x14ac:dyDescent="0.2">
      <c r="A2100" s="1" t="s">
        <v>2584</v>
      </c>
      <c r="B2100" s="1" t="s">
        <v>4876</v>
      </c>
      <c r="C2100" s="1">
        <v>10603</v>
      </c>
      <c r="D2100" s="1">
        <v>31</v>
      </c>
      <c r="F2100" s="1">
        <v>2023</v>
      </c>
      <c r="G2100" s="1" t="s">
        <v>682</v>
      </c>
      <c r="H2100" s="1">
        <v>609246</v>
      </c>
      <c r="I2100" s="1">
        <v>3</v>
      </c>
      <c r="J2100" s="1" t="s">
        <v>668</v>
      </c>
      <c r="K2100" s="1" t="s">
        <v>4782</v>
      </c>
      <c r="L2100" s="1" t="s">
        <v>4783</v>
      </c>
      <c r="M2100" s="1">
        <v>21</v>
      </c>
      <c r="N2100" s="1" t="s">
        <v>1680</v>
      </c>
      <c r="O2100" s="1">
        <v>40.454999999999998</v>
      </c>
      <c r="P2100" s="1">
        <v>-78.747200000000007</v>
      </c>
      <c r="Q2100" s="1" t="s">
        <v>4877</v>
      </c>
      <c r="R2100" s="1" t="s">
        <v>41</v>
      </c>
      <c r="T2100" s="1" t="s">
        <v>885</v>
      </c>
      <c r="U2100" s="1" t="s">
        <v>55</v>
      </c>
      <c r="W2100" s="1" t="s">
        <v>1069</v>
      </c>
      <c r="Y2100" s="1" t="s">
        <v>232</v>
      </c>
      <c r="AA2100" s="3">
        <v>33370</v>
      </c>
      <c r="AB2100" s="1" t="s">
        <v>46</v>
      </c>
      <c r="AC2100" s="5">
        <v>930</v>
      </c>
      <c r="AD2100" s="1" t="s">
        <v>4878</v>
      </c>
      <c r="AE2100" s="1" t="str">
        <f t="shared" si="156"/>
        <v>10603 31</v>
      </c>
      <c r="AF2100" s="5" t="str">
        <f>MID(AD2100,FIND("(",AD2100)+1,FIND(")",AD2100)-FIND("(",AD2100)-1)</f>
        <v>57.6</v>
      </c>
      <c r="AG2100" s="1" t="str">
        <f t="shared" si="155"/>
        <v/>
      </c>
    </row>
    <row r="2101" spans="1:33" x14ac:dyDescent="0.2">
      <c r="A2101" s="1" t="s">
        <v>2089</v>
      </c>
      <c r="B2101" s="1" t="s">
        <v>4879</v>
      </c>
      <c r="C2101" s="1">
        <v>10617</v>
      </c>
      <c r="D2101" s="1">
        <v>1</v>
      </c>
      <c r="F2101" s="1">
        <v>2023</v>
      </c>
      <c r="G2101" s="1" t="s">
        <v>1528</v>
      </c>
      <c r="H2101" s="1">
        <v>610340</v>
      </c>
      <c r="I2101" s="1">
        <v>2</v>
      </c>
      <c r="K2101" s="1" t="s">
        <v>3136</v>
      </c>
      <c r="L2101" s="1" t="s">
        <v>4880</v>
      </c>
      <c r="M2101" s="1">
        <v>49</v>
      </c>
      <c r="N2101" s="1" t="s">
        <v>1680</v>
      </c>
      <c r="O2101" s="1">
        <v>43.886099999999999</v>
      </c>
      <c r="P2101" s="1">
        <v>-75.434200000000004</v>
      </c>
      <c r="Q2101" s="1" t="s">
        <v>4881</v>
      </c>
      <c r="T2101" s="1" t="s">
        <v>71</v>
      </c>
      <c r="U2101" s="1" t="s">
        <v>44</v>
      </c>
      <c r="V2101" s="1" t="s">
        <v>94</v>
      </c>
      <c r="X2101" s="1" t="s">
        <v>4050</v>
      </c>
      <c r="AA2101" s="3">
        <v>34700</v>
      </c>
      <c r="AB2101" s="1" t="s">
        <v>46</v>
      </c>
      <c r="AC2101" s="5">
        <v>812</v>
      </c>
      <c r="AD2101" s="1" t="s">
        <v>4882</v>
      </c>
      <c r="AE2101" s="1" t="str">
        <f t="shared" si="156"/>
        <v>10617 1</v>
      </c>
      <c r="AF2101" s="14">
        <f>MID(AD2101,FIND("(",AD2101)+1,FIND(")",AD2101)-FIND("(",AD2101)-1)+65.5</f>
        <v>107.8</v>
      </c>
      <c r="AG2101" s="1" t="str">
        <f t="shared" si="155"/>
        <v>Y</v>
      </c>
    </row>
    <row r="2102" spans="1:33" x14ac:dyDescent="0.2">
      <c r="A2102" s="1" t="s">
        <v>2089</v>
      </c>
      <c r="B2102" s="1" t="s">
        <v>4883</v>
      </c>
      <c r="C2102" s="1">
        <v>10619</v>
      </c>
      <c r="D2102" s="1">
        <v>1</v>
      </c>
      <c r="F2102" s="1">
        <v>2023</v>
      </c>
      <c r="G2102" s="1" t="s">
        <v>1515</v>
      </c>
      <c r="H2102" s="1">
        <v>2129</v>
      </c>
      <c r="I2102" s="1">
        <v>2</v>
      </c>
      <c r="J2102" s="1" t="s">
        <v>580</v>
      </c>
      <c r="K2102" s="1" t="s">
        <v>4884</v>
      </c>
      <c r="L2102" s="1" t="s">
        <v>4885</v>
      </c>
      <c r="M2102" s="1">
        <v>3</v>
      </c>
      <c r="N2102" s="1" t="s">
        <v>39</v>
      </c>
      <c r="O2102" s="1">
        <v>42.508299999999998</v>
      </c>
      <c r="P2102" s="1">
        <v>-78.066100000000006</v>
      </c>
      <c r="Q2102" s="1" t="s">
        <v>4886</v>
      </c>
      <c r="R2102" s="1" t="s">
        <v>41</v>
      </c>
      <c r="T2102" s="1" t="s">
        <v>71</v>
      </c>
      <c r="U2102" s="1" t="s">
        <v>44</v>
      </c>
      <c r="X2102" s="1" t="s">
        <v>176</v>
      </c>
      <c r="AA2102" s="3">
        <v>35108</v>
      </c>
      <c r="AB2102" s="1" t="s">
        <v>46</v>
      </c>
      <c r="AC2102" s="5">
        <v>540</v>
      </c>
      <c r="AD2102" s="1" t="s">
        <v>4887</v>
      </c>
      <c r="AE2102" s="1" t="str">
        <f t="shared" si="156"/>
        <v>10619 1</v>
      </c>
      <c r="AF2102" s="14">
        <f>MID(AD2102,FIND("(",AD2102)+1,FIND(")",AD2102)-FIND("(",AD2102)-1)+42</f>
        <v>67</v>
      </c>
      <c r="AG2102" s="1" t="str">
        <f t="shared" si="155"/>
        <v>Y</v>
      </c>
    </row>
    <row r="2103" spans="1:33" x14ac:dyDescent="0.2">
      <c r="A2103" s="1" t="s">
        <v>2089</v>
      </c>
      <c r="B2103" s="1" t="s">
        <v>4888</v>
      </c>
      <c r="C2103" s="1">
        <v>10620</v>
      </c>
      <c r="D2103" s="1">
        <v>1</v>
      </c>
      <c r="F2103" s="1">
        <v>2023</v>
      </c>
      <c r="G2103" s="1" t="s">
        <v>1515</v>
      </c>
      <c r="H2103" s="1">
        <v>2129</v>
      </c>
      <c r="I2103" s="1">
        <v>2</v>
      </c>
      <c r="J2103" s="1" t="s">
        <v>580</v>
      </c>
      <c r="K2103" s="1" t="s">
        <v>1074</v>
      </c>
      <c r="L2103" s="1" t="s">
        <v>4858</v>
      </c>
      <c r="M2103" s="1">
        <v>45</v>
      </c>
      <c r="N2103" s="1" t="s">
        <v>1680</v>
      </c>
      <c r="O2103" s="1">
        <v>43.984200000000001</v>
      </c>
      <c r="P2103" s="1">
        <v>-75.622500000000002</v>
      </c>
      <c r="Q2103" s="1" t="s">
        <v>4889</v>
      </c>
      <c r="R2103" s="1" t="s">
        <v>41</v>
      </c>
      <c r="T2103" s="1" t="s">
        <v>71</v>
      </c>
      <c r="U2103" s="1" t="s">
        <v>44</v>
      </c>
      <c r="V2103" s="1" t="s">
        <v>94</v>
      </c>
      <c r="X2103" s="1" t="s">
        <v>1606</v>
      </c>
      <c r="AA2103" s="3">
        <v>33543</v>
      </c>
      <c r="AB2103" s="1" t="s">
        <v>46</v>
      </c>
      <c r="AC2103" s="5">
        <v>583</v>
      </c>
      <c r="AD2103" s="1" t="s">
        <v>4890</v>
      </c>
      <c r="AE2103" s="1" t="str">
        <f t="shared" si="156"/>
        <v>10620 1</v>
      </c>
      <c r="AF2103" s="14">
        <f>MID(AD2103,FIND("(",AD2103)+1,FIND(")",AD2103)-FIND("(",AD2103)-1)+22</f>
        <v>63</v>
      </c>
      <c r="AG2103" s="1" t="str">
        <f t="shared" si="155"/>
        <v/>
      </c>
    </row>
    <row r="2104" spans="1:33" x14ac:dyDescent="0.2">
      <c r="A2104" s="1" t="s">
        <v>2089</v>
      </c>
      <c r="B2104" s="1" t="s">
        <v>4891</v>
      </c>
      <c r="C2104" s="1">
        <v>10621</v>
      </c>
      <c r="D2104" s="1">
        <v>1</v>
      </c>
      <c r="F2104" s="1">
        <v>2023</v>
      </c>
      <c r="G2104" s="1" t="s">
        <v>1515</v>
      </c>
      <c r="H2104" s="1">
        <v>610340</v>
      </c>
      <c r="I2104" s="1">
        <v>2</v>
      </c>
      <c r="J2104" s="1" t="s">
        <v>580</v>
      </c>
      <c r="K2104" s="1" t="s">
        <v>4892</v>
      </c>
      <c r="L2104" s="1" t="s">
        <v>4893</v>
      </c>
      <c r="M2104" s="1">
        <v>67</v>
      </c>
      <c r="N2104" s="1" t="s">
        <v>39</v>
      </c>
      <c r="O2104" s="1">
        <v>43.066699999999997</v>
      </c>
      <c r="P2104" s="1">
        <v>-76.224599999999995</v>
      </c>
      <c r="Q2104" s="1" t="s">
        <v>4881</v>
      </c>
      <c r="R2104" s="1" t="s">
        <v>41</v>
      </c>
      <c r="T2104" s="1" t="s">
        <v>71</v>
      </c>
      <c r="U2104" s="1" t="s">
        <v>44</v>
      </c>
      <c r="V2104" s="1" t="s">
        <v>94</v>
      </c>
      <c r="X2104" s="1" t="s">
        <v>4050</v>
      </c>
      <c r="AA2104" s="3">
        <v>34366</v>
      </c>
      <c r="AB2104" s="1" t="s">
        <v>46</v>
      </c>
      <c r="AC2104" s="5">
        <v>800</v>
      </c>
      <c r="AD2104" s="1" t="s">
        <v>4894</v>
      </c>
      <c r="AE2104" s="1" t="str">
        <f t="shared" si="156"/>
        <v>10621 1</v>
      </c>
      <c r="AF2104" s="14">
        <v>37.200000000000003</v>
      </c>
      <c r="AG2104" s="1" t="str">
        <f t="shared" si="155"/>
        <v>Y</v>
      </c>
    </row>
    <row r="2105" spans="1:33" x14ac:dyDescent="0.2">
      <c r="A2105" s="1" t="s">
        <v>3095</v>
      </c>
      <c r="B2105" s="1" t="s">
        <v>4895</v>
      </c>
      <c r="C2105" s="1">
        <v>10633</v>
      </c>
      <c r="D2105" s="1">
        <v>1</v>
      </c>
      <c r="F2105" s="1">
        <v>2023</v>
      </c>
      <c r="G2105" s="1" t="s">
        <v>1528</v>
      </c>
      <c r="H2105" s="1">
        <v>603383</v>
      </c>
      <c r="I2105" s="1">
        <v>3</v>
      </c>
      <c r="J2105" s="1" t="s">
        <v>36</v>
      </c>
      <c r="K2105" s="1" t="s">
        <v>4896</v>
      </c>
      <c r="L2105" s="1" t="s">
        <v>4897</v>
      </c>
      <c r="M2105" s="1">
        <v>670</v>
      </c>
      <c r="N2105" s="1" t="s">
        <v>1680</v>
      </c>
      <c r="O2105" s="1">
        <v>37.291400000000003</v>
      </c>
      <c r="P2105" s="1">
        <v>-77.2821</v>
      </c>
      <c r="Q2105" s="1" t="s">
        <v>4898</v>
      </c>
      <c r="T2105" s="1" t="s">
        <v>71</v>
      </c>
      <c r="U2105" s="1" t="s">
        <v>44</v>
      </c>
      <c r="V2105" s="1" t="s">
        <v>94</v>
      </c>
      <c r="X2105" s="1" t="s">
        <v>1606</v>
      </c>
      <c r="AA2105" s="3">
        <v>33086</v>
      </c>
      <c r="AB2105" s="1" t="s">
        <v>46</v>
      </c>
      <c r="AC2105" s="5">
        <v>1517</v>
      </c>
      <c r="AD2105" s="1" t="s">
        <v>4899</v>
      </c>
      <c r="AE2105" s="1" t="str">
        <f t="shared" si="156"/>
        <v>10633 1</v>
      </c>
      <c r="AF2105" s="14">
        <f>AF2106</f>
        <v>121</v>
      </c>
      <c r="AG2105" s="1" t="str">
        <f t="shared" si="155"/>
        <v/>
      </c>
    </row>
    <row r="2106" spans="1:33" x14ac:dyDescent="0.2">
      <c r="A2106" s="1" t="s">
        <v>3095</v>
      </c>
      <c r="B2106" s="1" t="s">
        <v>4895</v>
      </c>
      <c r="C2106" s="1">
        <v>10633</v>
      </c>
      <c r="D2106" s="1">
        <v>2</v>
      </c>
      <c r="F2106" s="1">
        <v>2023</v>
      </c>
      <c r="G2106" s="1" t="s">
        <v>1528</v>
      </c>
      <c r="H2106" s="1">
        <v>603383</v>
      </c>
      <c r="I2106" s="1">
        <v>3</v>
      </c>
      <c r="J2106" s="1" t="s">
        <v>36</v>
      </c>
      <c r="K2106" s="1" t="s">
        <v>4896</v>
      </c>
      <c r="L2106" s="1" t="s">
        <v>4897</v>
      </c>
      <c r="M2106" s="1">
        <v>670</v>
      </c>
      <c r="N2106" s="1" t="s">
        <v>1680</v>
      </c>
      <c r="O2106" s="1">
        <v>37.291400000000003</v>
      </c>
      <c r="P2106" s="1">
        <v>-77.2821</v>
      </c>
      <c r="Q2106" s="1" t="s">
        <v>4898</v>
      </c>
      <c r="T2106" s="1" t="s">
        <v>71</v>
      </c>
      <c r="U2106" s="1" t="s">
        <v>44</v>
      </c>
      <c r="V2106" s="1" t="s">
        <v>94</v>
      </c>
      <c r="X2106" s="1" t="s">
        <v>1606</v>
      </c>
      <c r="AA2106" s="3">
        <v>33086</v>
      </c>
      <c r="AB2106" s="1" t="s">
        <v>46</v>
      </c>
      <c r="AC2106" s="5">
        <v>1517</v>
      </c>
      <c r="AD2106" s="1" t="s">
        <v>4900</v>
      </c>
      <c r="AE2106" s="1" t="str">
        <f t="shared" si="156"/>
        <v>10633 2</v>
      </c>
      <c r="AF2106" s="14">
        <f>MID(AD2106,FIND("(",AD2106)+1,FIND(")",AD2106)-FIND("(",AD2106)-1)+96/3</f>
        <v>121</v>
      </c>
      <c r="AG2106" s="1" t="str">
        <f t="shared" si="155"/>
        <v/>
      </c>
    </row>
    <row r="2107" spans="1:33" x14ac:dyDescent="0.2">
      <c r="A2107" s="1" t="s">
        <v>3095</v>
      </c>
      <c r="B2107" s="1" t="s">
        <v>4895</v>
      </c>
      <c r="C2107" s="1">
        <v>10633</v>
      </c>
      <c r="D2107" s="1">
        <v>3</v>
      </c>
      <c r="F2107" s="1">
        <v>2023</v>
      </c>
      <c r="G2107" s="1" t="s">
        <v>1528</v>
      </c>
      <c r="H2107" s="1">
        <v>603383</v>
      </c>
      <c r="I2107" s="1">
        <v>3</v>
      </c>
      <c r="J2107" s="1" t="s">
        <v>36</v>
      </c>
      <c r="K2107" s="1" t="s">
        <v>4896</v>
      </c>
      <c r="L2107" s="1" t="s">
        <v>4897</v>
      </c>
      <c r="M2107" s="1">
        <v>670</v>
      </c>
      <c r="N2107" s="1" t="s">
        <v>1680</v>
      </c>
      <c r="O2107" s="1">
        <v>37.291400000000003</v>
      </c>
      <c r="P2107" s="1">
        <v>-77.2821</v>
      </c>
      <c r="Q2107" s="1" t="s">
        <v>4898</v>
      </c>
      <c r="T2107" s="1" t="s">
        <v>71</v>
      </c>
      <c r="U2107" s="1" t="s">
        <v>44</v>
      </c>
      <c r="V2107" s="1" t="s">
        <v>94</v>
      </c>
      <c r="X2107" s="1" t="s">
        <v>1606</v>
      </c>
      <c r="AA2107" s="3">
        <v>33086</v>
      </c>
      <c r="AB2107" s="1" t="s">
        <v>46</v>
      </c>
      <c r="AC2107" s="5">
        <v>1517</v>
      </c>
      <c r="AD2107" s="1" t="s">
        <v>4901</v>
      </c>
      <c r="AE2107" s="1" t="str">
        <f t="shared" si="156"/>
        <v>10633 3</v>
      </c>
      <c r="AF2107" s="14">
        <f>AF2106</f>
        <v>121</v>
      </c>
      <c r="AG2107" s="1" t="str">
        <f t="shared" si="155"/>
        <v/>
      </c>
    </row>
    <row r="2108" spans="1:33" x14ac:dyDescent="0.2">
      <c r="A2108" s="1" t="s">
        <v>370</v>
      </c>
      <c r="B2108" s="1" t="s">
        <v>4902</v>
      </c>
      <c r="C2108" s="1">
        <v>10649</v>
      </c>
      <c r="D2108" s="1" t="s">
        <v>280</v>
      </c>
      <c r="F2108" s="1">
        <v>2023</v>
      </c>
      <c r="G2108" s="1" t="s">
        <v>247</v>
      </c>
      <c r="H2108" s="1">
        <v>606765</v>
      </c>
      <c r="I2108" s="1">
        <v>9</v>
      </c>
      <c r="K2108" s="1" t="s">
        <v>4903</v>
      </c>
      <c r="L2108" s="1" t="s">
        <v>4904</v>
      </c>
      <c r="M2108" s="1">
        <v>29</v>
      </c>
      <c r="N2108" s="1" t="s">
        <v>39</v>
      </c>
      <c r="O2108" s="1">
        <v>35.419199999999996</v>
      </c>
      <c r="P2108" s="1">
        <v>-118.92659999999999</v>
      </c>
      <c r="Q2108" s="1" t="s">
        <v>4905</v>
      </c>
      <c r="R2108" s="1" t="s">
        <v>41</v>
      </c>
      <c r="T2108" s="1" t="s">
        <v>93</v>
      </c>
      <c r="U2108" s="1" t="s">
        <v>44</v>
      </c>
      <c r="X2108" s="1" t="s">
        <v>223</v>
      </c>
      <c r="AA2108" s="3">
        <v>34813</v>
      </c>
      <c r="AB2108" s="1" t="s">
        <v>46</v>
      </c>
      <c r="AC2108" s="5">
        <v>435</v>
      </c>
      <c r="AD2108" s="1" t="s">
        <v>4906</v>
      </c>
      <c r="AE2108" s="1" t="str">
        <f t="shared" si="156"/>
        <v>10649 GT1</v>
      </c>
      <c r="AF2108" s="5" t="str">
        <f t="shared" ref="AF2108:AF2115" si="158">MID(AD2108,FIND("(",AD2108)+1,FIND(")",AD2108)-FIND("(",AD2108)-1)</f>
        <v>46</v>
      </c>
      <c r="AG2108" s="1" t="str">
        <f t="shared" si="155"/>
        <v>Y</v>
      </c>
    </row>
    <row r="2109" spans="1:33" x14ac:dyDescent="0.2">
      <c r="A2109" s="1" t="s">
        <v>370</v>
      </c>
      <c r="B2109" s="1" t="s">
        <v>4907</v>
      </c>
      <c r="C2109" s="1">
        <v>10650</v>
      </c>
      <c r="D2109" s="1" t="s">
        <v>280</v>
      </c>
      <c r="F2109" s="1">
        <v>2023</v>
      </c>
      <c r="G2109" s="1" t="s">
        <v>247</v>
      </c>
      <c r="H2109" s="1">
        <v>606765</v>
      </c>
      <c r="I2109" s="1">
        <v>9</v>
      </c>
      <c r="K2109" s="1" t="s">
        <v>4903</v>
      </c>
      <c r="L2109" s="1" t="s">
        <v>4904</v>
      </c>
      <c r="M2109" s="1">
        <v>29</v>
      </c>
      <c r="N2109" s="1" t="s">
        <v>39</v>
      </c>
      <c r="O2109" s="1">
        <v>35.483699999999999</v>
      </c>
      <c r="P2109" s="1">
        <v>-119.0299</v>
      </c>
      <c r="Q2109" s="1" t="s">
        <v>4905</v>
      </c>
      <c r="R2109" s="1" t="s">
        <v>41</v>
      </c>
      <c r="T2109" s="1" t="s">
        <v>93</v>
      </c>
      <c r="U2109" s="1" t="s">
        <v>44</v>
      </c>
      <c r="X2109" s="1" t="s">
        <v>223</v>
      </c>
      <c r="AA2109" s="3">
        <v>33347</v>
      </c>
      <c r="AB2109" s="1" t="s">
        <v>46</v>
      </c>
      <c r="AC2109" s="5">
        <v>432</v>
      </c>
      <c r="AD2109" s="1" t="s">
        <v>4906</v>
      </c>
      <c r="AE2109" s="1" t="str">
        <f t="shared" si="156"/>
        <v>10650 GT1</v>
      </c>
      <c r="AF2109" s="5" t="str">
        <f t="shared" si="158"/>
        <v>46</v>
      </c>
      <c r="AG2109" s="1" t="str">
        <f t="shared" si="155"/>
        <v>Y</v>
      </c>
    </row>
    <row r="2110" spans="1:33" x14ac:dyDescent="0.2">
      <c r="A2110" s="1" t="s">
        <v>335</v>
      </c>
      <c r="B2110" s="1" t="s">
        <v>4908</v>
      </c>
      <c r="C2110" s="1">
        <v>10671</v>
      </c>
      <c r="D2110" s="1" t="s">
        <v>372</v>
      </c>
      <c r="E2110" s="1" t="s">
        <v>1421</v>
      </c>
      <c r="F2110" s="1">
        <v>2023</v>
      </c>
      <c r="G2110" s="1" t="s">
        <v>337</v>
      </c>
      <c r="H2110" s="1">
        <v>603925</v>
      </c>
      <c r="I2110" s="1">
        <v>6</v>
      </c>
      <c r="K2110" s="1" t="s">
        <v>4909</v>
      </c>
      <c r="L2110" s="1" t="s">
        <v>4910</v>
      </c>
      <c r="M2110" s="1">
        <v>79</v>
      </c>
      <c r="N2110" s="1" t="s">
        <v>39</v>
      </c>
      <c r="O2110" s="1">
        <v>35.193100000000001</v>
      </c>
      <c r="P2110" s="1">
        <v>-94.645799999999994</v>
      </c>
      <c r="Q2110" s="1" t="s">
        <v>2507</v>
      </c>
      <c r="R2110" s="1" t="s">
        <v>41</v>
      </c>
      <c r="T2110" s="1" t="s">
        <v>885</v>
      </c>
      <c r="U2110" s="1" t="s">
        <v>55</v>
      </c>
      <c r="W2110" s="1" t="s">
        <v>1069</v>
      </c>
      <c r="AA2110" s="3">
        <v>32888</v>
      </c>
      <c r="AB2110" s="1" t="s">
        <v>46</v>
      </c>
      <c r="AC2110" s="5">
        <v>1500</v>
      </c>
      <c r="AD2110" s="1" t="s">
        <v>4911</v>
      </c>
      <c r="AE2110" s="1" t="str">
        <f t="shared" si="156"/>
        <v>10671 1A</v>
      </c>
      <c r="AF2110" s="5" t="str">
        <f t="shared" si="158"/>
        <v>175</v>
      </c>
      <c r="AG2110" s="1" t="str">
        <f t="shared" si="155"/>
        <v/>
      </c>
    </row>
    <row r="2111" spans="1:33" x14ac:dyDescent="0.2">
      <c r="A2111" s="1" t="s">
        <v>335</v>
      </c>
      <c r="B2111" s="1" t="s">
        <v>4908</v>
      </c>
      <c r="C2111" s="1">
        <v>10671</v>
      </c>
      <c r="D2111" s="1" t="s">
        <v>1199</v>
      </c>
      <c r="E2111" s="1" t="s">
        <v>1421</v>
      </c>
      <c r="F2111" s="1">
        <v>2023</v>
      </c>
      <c r="G2111" s="1" t="s">
        <v>337</v>
      </c>
      <c r="H2111" s="1">
        <v>603925</v>
      </c>
      <c r="I2111" s="1">
        <v>6</v>
      </c>
      <c r="K2111" s="1" t="s">
        <v>4909</v>
      </c>
      <c r="L2111" s="1" t="s">
        <v>4910</v>
      </c>
      <c r="M2111" s="1">
        <v>79</v>
      </c>
      <c r="N2111" s="1" t="s">
        <v>39</v>
      </c>
      <c r="O2111" s="1">
        <v>35.193100000000001</v>
      </c>
      <c r="P2111" s="1">
        <v>-94.645799999999994</v>
      </c>
      <c r="Q2111" s="1" t="s">
        <v>2507</v>
      </c>
      <c r="R2111" s="1" t="s">
        <v>41</v>
      </c>
      <c r="T2111" s="1" t="s">
        <v>885</v>
      </c>
      <c r="U2111" s="1" t="s">
        <v>55</v>
      </c>
      <c r="W2111" s="1" t="s">
        <v>1069</v>
      </c>
      <c r="AA2111" s="3">
        <v>32888</v>
      </c>
      <c r="AB2111" s="1" t="s">
        <v>46</v>
      </c>
      <c r="AC2111" s="5">
        <v>1500</v>
      </c>
      <c r="AD2111" s="1" t="s">
        <v>4911</v>
      </c>
      <c r="AE2111" s="1" t="str">
        <f t="shared" si="156"/>
        <v>10671 1B</v>
      </c>
      <c r="AF2111" s="5" t="str">
        <f t="shared" si="158"/>
        <v>175</v>
      </c>
      <c r="AG2111" s="1" t="str">
        <f t="shared" si="155"/>
        <v/>
      </c>
    </row>
    <row r="2112" spans="1:33" x14ac:dyDescent="0.2">
      <c r="A2112" s="1" t="s">
        <v>335</v>
      </c>
      <c r="B2112" s="1" t="s">
        <v>4908</v>
      </c>
      <c r="C2112" s="1">
        <v>10671</v>
      </c>
      <c r="D2112" s="1" t="s">
        <v>377</v>
      </c>
      <c r="E2112" s="1" t="s">
        <v>1421</v>
      </c>
      <c r="F2112" s="1">
        <v>2023</v>
      </c>
      <c r="G2112" s="1" t="s">
        <v>337</v>
      </c>
      <c r="H2112" s="1">
        <v>603925</v>
      </c>
      <c r="I2112" s="1">
        <v>6</v>
      </c>
      <c r="K2112" s="1" t="s">
        <v>4909</v>
      </c>
      <c r="L2112" s="1" t="s">
        <v>4910</v>
      </c>
      <c r="M2112" s="1">
        <v>79</v>
      </c>
      <c r="N2112" s="1" t="s">
        <v>39</v>
      </c>
      <c r="O2112" s="1">
        <v>35.193100000000001</v>
      </c>
      <c r="P2112" s="1">
        <v>-94.645799999999994</v>
      </c>
      <c r="Q2112" s="1" t="s">
        <v>2507</v>
      </c>
      <c r="R2112" s="1" t="s">
        <v>41</v>
      </c>
      <c r="T2112" s="1" t="s">
        <v>885</v>
      </c>
      <c r="U2112" s="1" t="s">
        <v>55</v>
      </c>
      <c r="W2112" s="1" t="s">
        <v>1069</v>
      </c>
      <c r="AA2112" s="3">
        <v>32888</v>
      </c>
      <c r="AB2112" s="1" t="s">
        <v>46</v>
      </c>
      <c r="AC2112" s="5">
        <v>1500</v>
      </c>
      <c r="AD2112" s="1" t="s">
        <v>4912</v>
      </c>
      <c r="AE2112" s="1" t="str">
        <f t="shared" si="156"/>
        <v>10671 2A</v>
      </c>
      <c r="AF2112" s="5" t="str">
        <f t="shared" si="158"/>
        <v>175</v>
      </c>
      <c r="AG2112" s="1" t="str">
        <f t="shared" si="155"/>
        <v/>
      </c>
    </row>
    <row r="2113" spans="1:33" x14ac:dyDescent="0.2">
      <c r="A2113" s="1" t="s">
        <v>335</v>
      </c>
      <c r="B2113" s="1" t="s">
        <v>4908</v>
      </c>
      <c r="C2113" s="1">
        <v>10671</v>
      </c>
      <c r="D2113" s="1" t="s">
        <v>1201</v>
      </c>
      <c r="E2113" s="1" t="s">
        <v>1421</v>
      </c>
      <c r="F2113" s="1">
        <v>2023</v>
      </c>
      <c r="G2113" s="1" t="s">
        <v>337</v>
      </c>
      <c r="H2113" s="1">
        <v>603925</v>
      </c>
      <c r="I2113" s="1">
        <v>6</v>
      </c>
      <c r="K2113" s="1" t="s">
        <v>4909</v>
      </c>
      <c r="L2113" s="1" t="s">
        <v>4910</v>
      </c>
      <c r="M2113" s="1">
        <v>79</v>
      </c>
      <c r="N2113" s="1" t="s">
        <v>39</v>
      </c>
      <c r="O2113" s="1">
        <v>35.193100000000001</v>
      </c>
      <c r="P2113" s="1">
        <v>-94.645799999999994</v>
      </c>
      <c r="Q2113" s="1" t="s">
        <v>2507</v>
      </c>
      <c r="R2113" s="1" t="s">
        <v>41</v>
      </c>
      <c r="T2113" s="1" t="s">
        <v>885</v>
      </c>
      <c r="U2113" s="1" t="s">
        <v>55</v>
      </c>
      <c r="W2113" s="1" t="s">
        <v>1069</v>
      </c>
      <c r="AA2113" s="3">
        <v>32888</v>
      </c>
      <c r="AB2113" s="1" t="s">
        <v>46</v>
      </c>
      <c r="AC2113" s="5">
        <v>1500</v>
      </c>
      <c r="AD2113" s="1" t="s">
        <v>4912</v>
      </c>
      <c r="AE2113" s="1" t="str">
        <f t="shared" si="156"/>
        <v>10671 2B</v>
      </c>
      <c r="AF2113" s="5" t="str">
        <f t="shared" si="158"/>
        <v>175</v>
      </c>
      <c r="AG2113" s="1" t="str">
        <f t="shared" si="155"/>
        <v/>
      </c>
    </row>
    <row r="2114" spans="1:33" x14ac:dyDescent="0.2">
      <c r="A2114" s="1" t="s">
        <v>680</v>
      </c>
      <c r="B2114" s="1" t="s">
        <v>4913</v>
      </c>
      <c r="C2114" s="1">
        <v>10678</v>
      </c>
      <c r="D2114" s="1">
        <v>1</v>
      </c>
      <c r="F2114" s="1">
        <v>2023</v>
      </c>
      <c r="G2114" s="1" t="s">
        <v>682</v>
      </c>
      <c r="H2114" s="1" t="s">
        <v>4914</v>
      </c>
      <c r="I2114" s="1">
        <v>3</v>
      </c>
      <c r="K2114" s="1" t="s">
        <v>4884</v>
      </c>
      <c r="L2114" s="1" t="s">
        <v>4915</v>
      </c>
      <c r="M2114" s="1">
        <v>1</v>
      </c>
      <c r="N2114" s="1" t="s">
        <v>1680</v>
      </c>
      <c r="O2114" s="1">
        <v>39.5944</v>
      </c>
      <c r="P2114" s="1">
        <v>-78.745599999999996</v>
      </c>
      <c r="Q2114" s="1" t="s">
        <v>406</v>
      </c>
      <c r="R2114" s="1" t="s">
        <v>41</v>
      </c>
      <c r="T2114" s="1" t="s">
        <v>885</v>
      </c>
      <c r="U2114" s="1" t="s">
        <v>55</v>
      </c>
      <c r="V2114" s="1" t="s">
        <v>94</v>
      </c>
      <c r="W2114" s="1" t="s">
        <v>1069</v>
      </c>
      <c r="X2114" s="1" t="s">
        <v>4916</v>
      </c>
      <c r="Y2114" s="1" t="s">
        <v>232</v>
      </c>
      <c r="AA2114" s="3">
        <v>36566</v>
      </c>
      <c r="AB2114" s="1" t="s">
        <v>46</v>
      </c>
      <c r="AC2114" s="5">
        <v>2350</v>
      </c>
      <c r="AD2114" s="1" t="s">
        <v>4917</v>
      </c>
      <c r="AE2114" s="1" t="str">
        <f t="shared" si="156"/>
        <v>10678 1</v>
      </c>
      <c r="AF2114" s="5" t="str">
        <f t="shared" si="158"/>
        <v>229</v>
      </c>
      <c r="AG2114" s="1" t="str">
        <f t="shared" ref="AG2114:AG2177" si="159">IF(ISNUMBER(SEARCH("selective", X2114)), "Y", "")</f>
        <v>Y</v>
      </c>
    </row>
    <row r="2115" spans="1:33" x14ac:dyDescent="0.2">
      <c r="A2115" s="1" t="s">
        <v>516</v>
      </c>
      <c r="B2115" s="1" t="s">
        <v>4918</v>
      </c>
      <c r="C2115" s="1">
        <v>10682</v>
      </c>
      <c r="D2115" s="1" t="s">
        <v>1102</v>
      </c>
      <c r="F2115" s="1">
        <v>2023</v>
      </c>
      <c r="G2115" s="1" t="s">
        <v>247</v>
      </c>
      <c r="H2115" s="1">
        <v>610373</v>
      </c>
      <c r="I2115" s="1">
        <v>8</v>
      </c>
      <c r="J2115" s="1" t="s">
        <v>237</v>
      </c>
      <c r="K2115" s="1" t="s">
        <v>1098</v>
      </c>
      <c r="L2115" s="1" t="s">
        <v>3707</v>
      </c>
      <c r="M2115" s="1">
        <v>87</v>
      </c>
      <c r="N2115" s="1" t="s">
        <v>39</v>
      </c>
      <c r="O2115" s="1">
        <v>40.241500000000002</v>
      </c>
      <c r="P2115" s="1">
        <v>-103.631</v>
      </c>
      <c r="Q2115" s="1" t="s">
        <v>4919</v>
      </c>
      <c r="R2115" s="1" t="s">
        <v>41</v>
      </c>
      <c r="T2115" s="1" t="s">
        <v>93</v>
      </c>
      <c r="U2115" s="1" t="s">
        <v>44</v>
      </c>
      <c r="X2115" s="1" t="s">
        <v>95</v>
      </c>
      <c r="AA2115" s="3">
        <v>36675</v>
      </c>
      <c r="AB2115" s="1" t="s">
        <v>46</v>
      </c>
      <c r="AC2115" s="5">
        <v>734</v>
      </c>
      <c r="AD2115" s="1" t="s">
        <v>4920</v>
      </c>
      <c r="AE2115" s="1" t="str">
        <f t="shared" ref="AE2115:AE2178" si="160">C2115&amp;" "&amp;D2115</f>
        <v>10682 GT2</v>
      </c>
      <c r="AF2115" s="5" t="str">
        <f t="shared" si="158"/>
        <v>25</v>
      </c>
      <c r="AG2115" s="1" t="str">
        <f t="shared" si="159"/>
        <v/>
      </c>
    </row>
    <row r="2116" spans="1:33" x14ac:dyDescent="0.2">
      <c r="A2116" s="1" t="s">
        <v>516</v>
      </c>
      <c r="B2116" s="1" t="s">
        <v>4918</v>
      </c>
      <c r="C2116" s="1">
        <v>10682</v>
      </c>
      <c r="D2116" s="1" t="s">
        <v>251</v>
      </c>
      <c r="E2116" s="1" t="s">
        <v>4921</v>
      </c>
      <c r="F2116" s="1">
        <v>2023</v>
      </c>
      <c r="G2116" s="1" t="s">
        <v>247</v>
      </c>
      <c r="H2116" s="1">
        <v>610373</v>
      </c>
      <c r="I2116" s="1">
        <v>8</v>
      </c>
      <c r="J2116" s="1" t="s">
        <v>237</v>
      </c>
      <c r="K2116" s="1" t="s">
        <v>1098</v>
      </c>
      <c r="L2116" s="1" t="s">
        <v>3707</v>
      </c>
      <c r="M2116" s="1">
        <v>87</v>
      </c>
      <c r="N2116" s="1" t="s">
        <v>39</v>
      </c>
      <c r="O2116" s="1">
        <v>40.241500000000002</v>
      </c>
      <c r="P2116" s="1">
        <v>-103.631</v>
      </c>
      <c r="Q2116" s="1" t="s">
        <v>4922</v>
      </c>
      <c r="R2116" s="1" t="s">
        <v>41</v>
      </c>
      <c r="T2116" s="1" t="s">
        <v>71</v>
      </c>
      <c r="U2116" s="1" t="s">
        <v>44</v>
      </c>
      <c r="X2116" s="1" t="s">
        <v>95</v>
      </c>
      <c r="AA2116" s="3">
        <v>36941</v>
      </c>
      <c r="AB2116" s="1" t="s">
        <v>46</v>
      </c>
      <c r="AC2116" s="5">
        <v>843</v>
      </c>
      <c r="AD2116" s="1" t="s">
        <v>4923</v>
      </c>
      <c r="AE2116" s="1" t="str">
        <f t="shared" si="160"/>
        <v>10682 GT4</v>
      </c>
      <c r="AF2116" s="14">
        <f>MID(AD2116,FIND("(",AD2116)+1,FIND(")",AD2116)-FIND("(",AD2116)-1)+90/2</f>
        <v>68.8</v>
      </c>
      <c r="AG2116" s="1" t="str">
        <f t="shared" si="159"/>
        <v/>
      </c>
    </row>
    <row r="2117" spans="1:33" x14ac:dyDescent="0.2">
      <c r="A2117" s="1" t="s">
        <v>516</v>
      </c>
      <c r="B2117" s="1" t="s">
        <v>4918</v>
      </c>
      <c r="C2117" s="1">
        <v>10682</v>
      </c>
      <c r="D2117" s="1" t="s">
        <v>253</v>
      </c>
      <c r="E2117" s="1" t="s">
        <v>128</v>
      </c>
      <c r="F2117" s="1">
        <v>2023</v>
      </c>
      <c r="G2117" s="1" t="s">
        <v>247</v>
      </c>
      <c r="H2117" s="1">
        <v>610373</v>
      </c>
      <c r="I2117" s="1">
        <v>8</v>
      </c>
      <c r="J2117" s="1" t="s">
        <v>237</v>
      </c>
      <c r="K2117" s="1" t="s">
        <v>1098</v>
      </c>
      <c r="L2117" s="1" t="s">
        <v>3707</v>
      </c>
      <c r="M2117" s="1">
        <v>87</v>
      </c>
      <c r="N2117" s="1" t="s">
        <v>39</v>
      </c>
      <c r="O2117" s="1">
        <v>40.241500000000002</v>
      </c>
      <c r="P2117" s="1">
        <v>-103.631</v>
      </c>
      <c r="Q2117" s="1" t="s">
        <v>4922</v>
      </c>
      <c r="R2117" s="1" t="s">
        <v>41</v>
      </c>
      <c r="T2117" s="1" t="s">
        <v>71</v>
      </c>
      <c r="U2117" s="1" t="s">
        <v>44</v>
      </c>
      <c r="X2117" s="1" t="s">
        <v>95</v>
      </c>
      <c r="AA2117" s="3">
        <v>36941</v>
      </c>
      <c r="AB2117" s="1" t="s">
        <v>46</v>
      </c>
      <c r="AC2117" s="5">
        <v>845</v>
      </c>
      <c r="AD2117" s="1" t="s">
        <v>4924</v>
      </c>
      <c r="AE2117" s="1" t="str">
        <f t="shared" si="160"/>
        <v>10682 GT5</v>
      </c>
      <c r="AF2117" s="14">
        <f>AF2116</f>
        <v>68.8</v>
      </c>
      <c r="AG2117" s="1" t="str">
        <f t="shared" si="159"/>
        <v/>
      </c>
    </row>
    <row r="2118" spans="1:33" x14ac:dyDescent="0.2">
      <c r="A2118" s="1" t="s">
        <v>2089</v>
      </c>
      <c r="B2118" s="1" t="s">
        <v>4925</v>
      </c>
      <c r="C2118" s="1">
        <v>10725</v>
      </c>
      <c r="D2118" s="1" t="s">
        <v>4926</v>
      </c>
      <c r="F2118" s="1">
        <v>2023</v>
      </c>
      <c r="G2118" s="1" t="s">
        <v>1515</v>
      </c>
      <c r="H2118" s="1">
        <v>609450</v>
      </c>
      <c r="I2118" s="1">
        <v>2</v>
      </c>
      <c r="K2118" s="1" t="s">
        <v>2281</v>
      </c>
      <c r="L2118" s="1" t="s">
        <v>2282</v>
      </c>
      <c r="M2118" s="1">
        <v>1</v>
      </c>
      <c r="N2118" s="1" t="s">
        <v>1680</v>
      </c>
      <c r="O2118" s="1">
        <v>42.574399999999997</v>
      </c>
      <c r="P2118" s="1">
        <v>-73.859200000000001</v>
      </c>
      <c r="Q2118" s="1" t="s">
        <v>4927</v>
      </c>
      <c r="R2118" s="1" t="s">
        <v>41</v>
      </c>
      <c r="T2118" s="1" t="s">
        <v>71</v>
      </c>
      <c r="U2118" s="1" t="s">
        <v>44</v>
      </c>
      <c r="V2118" s="1" t="s">
        <v>94</v>
      </c>
      <c r="X2118" s="1" t="s">
        <v>1606</v>
      </c>
      <c r="AA2118" s="3">
        <v>33711</v>
      </c>
      <c r="AB2118" s="1" t="s">
        <v>46</v>
      </c>
      <c r="AC2118" s="5">
        <v>1215</v>
      </c>
      <c r="AD2118" s="1" t="s">
        <v>4928</v>
      </c>
      <c r="AE2118" s="1" t="str">
        <f t="shared" si="160"/>
        <v>10725 CTG101</v>
      </c>
      <c r="AF2118" s="14">
        <f>MID(AD2118,FIND("(",AD2118)+1,FIND(")",AD2118)-FIND("(",AD2118)-1)+95.2</f>
        <v>107.2</v>
      </c>
      <c r="AG2118" s="1" t="str">
        <f t="shared" si="159"/>
        <v/>
      </c>
    </row>
    <row r="2119" spans="1:33" x14ac:dyDescent="0.2">
      <c r="A2119" s="1" t="s">
        <v>2089</v>
      </c>
      <c r="B2119" s="1" t="s">
        <v>4925</v>
      </c>
      <c r="C2119" s="1">
        <v>10725</v>
      </c>
      <c r="D2119" s="1" t="s">
        <v>4929</v>
      </c>
      <c r="F2119" s="1">
        <v>2023</v>
      </c>
      <c r="G2119" s="1" t="s">
        <v>1515</v>
      </c>
      <c r="H2119" s="1">
        <v>609450</v>
      </c>
      <c r="I2119" s="1">
        <v>2</v>
      </c>
      <c r="K2119" s="1" t="s">
        <v>2281</v>
      </c>
      <c r="L2119" s="1" t="s">
        <v>2282</v>
      </c>
      <c r="M2119" s="1">
        <v>1</v>
      </c>
      <c r="N2119" s="1" t="s">
        <v>1680</v>
      </c>
      <c r="O2119" s="1">
        <v>42.574399999999997</v>
      </c>
      <c r="P2119" s="1">
        <v>-73.859200000000001</v>
      </c>
      <c r="Q2119" s="1" t="s">
        <v>4927</v>
      </c>
      <c r="R2119" s="1" t="s">
        <v>41</v>
      </c>
      <c r="T2119" s="1" t="s">
        <v>71</v>
      </c>
      <c r="U2119" s="1" t="s">
        <v>44</v>
      </c>
      <c r="V2119" s="1" t="s">
        <v>94</v>
      </c>
      <c r="X2119" s="1" t="s">
        <v>4050</v>
      </c>
      <c r="AA2119" s="3">
        <v>34578</v>
      </c>
      <c r="AB2119" s="1" t="s">
        <v>46</v>
      </c>
      <c r="AC2119" s="5">
        <v>1259</v>
      </c>
      <c r="AD2119" s="1" t="s">
        <v>4930</v>
      </c>
      <c r="AE2119" s="1" t="str">
        <f t="shared" si="160"/>
        <v>10725 CTG201</v>
      </c>
      <c r="AF2119" s="14">
        <f>MID(AD2119,FIND("(",AD2119)+1,FIND(")",AD2119)-FIND("(",AD2119)-1)+148.4/2</f>
        <v>169.4</v>
      </c>
      <c r="AG2119" s="1" t="str">
        <f t="shared" si="159"/>
        <v>Y</v>
      </c>
    </row>
    <row r="2120" spans="1:33" x14ac:dyDescent="0.2">
      <c r="A2120" s="1" t="s">
        <v>2089</v>
      </c>
      <c r="B2120" s="1" t="s">
        <v>4925</v>
      </c>
      <c r="C2120" s="1">
        <v>10725</v>
      </c>
      <c r="D2120" s="1" t="s">
        <v>4931</v>
      </c>
      <c r="F2120" s="1">
        <v>2023</v>
      </c>
      <c r="G2120" s="1" t="s">
        <v>1515</v>
      </c>
      <c r="H2120" s="1">
        <v>609450</v>
      </c>
      <c r="I2120" s="1">
        <v>2</v>
      </c>
      <c r="K2120" s="1" t="s">
        <v>2281</v>
      </c>
      <c r="L2120" s="1" t="s">
        <v>2282</v>
      </c>
      <c r="M2120" s="1">
        <v>1</v>
      </c>
      <c r="N2120" s="1" t="s">
        <v>1680</v>
      </c>
      <c r="O2120" s="1">
        <v>42.574399999999997</v>
      </c>
      <c r="P2120" s="1">
        <v>-73.859200000000001</v>
      </c>
      <c r="Q2120" s="1" t="s">
        <v>4927</v>
      </c>
      <c r="R2120" s="1" t="s">
        <v>41</v>
      </c>
      <c r="T2120" s="1" t="s">
        <v>71</v>
      </c>
      <c r="U2120" s="1" t="s">
        <v>44</v>
      </c>
      <c r="V2120" s="1" t="s">
        <v>94</v>
      </c>
      <c r="X2120" s="1" t="s">
        <v>4050</v>
      </c>
      <c r="AA2120" s="3">
        <v>34578</v>
      </c>
      <c r="AB2120" s="1" t="s">
        <v>46</v>
      </c>
      <c r="AC2120" s="5">
        <v>1250</v>
      </c>
      <c r="AD2120" s="1" t="s">
        <v>4932</v>
      </c>
      <c r="AE2120" s="1" t="str">
        <f t="shared" si="160"/>
        <v>10725 CTG301</v>
      </c>
      <c r="AF2120" s="14">
        <f>AF2119</f>
        <v>169.4</v>
      </c>
      <c r="AG2120" s="1" t="str">
        <f t="shared" si="159"/>
        <v>Y</v>
      </c>
    </row>
    <row r="2121" spans="1:33" x14ac:dyDescent="0.2">
      <c r="A2121" s="1" t="s">
        <v>1568</v>
      </c>
      <c r="B2121" s="1" t="s">
        <v>4933</v>
      </c>
      <c r="C2121" s="1">
        <v>10726</v>
      </c>
      <c r="D2121" s="1">
        <v>1</v>
      </c>
      <c r="F2121" s="1">
        <v>2023</v>
      </c>
      <c r="G2121" s="1" t="s">
        <v>579</v>
      </c>
      <c r="H2121" s="1">
        <v>603383</v>
      </c>
      <c r="I2121" s="1">
        <v>1</v>
      </c>
      <c r="J2121" s="1" t="s">
        <v>580</v>
      </c>
      <c r="K2121" s="1" t="s">
        <v>3504</v>
      </c>
      <c r="L2121" s="1" t="s">
        <v>3505</v>
      </c>
      <c r="M2121" s="1">
        <v>13</v>
      </c>
      <c r="N2121" s="1" t="s">
        <v>1680</v>
      </c>
      <c r="O2121" s="1">
        <v>42.155999999999999</v>
      </c>
      <c r="P2121" s="1">
        <v>-72.529200000000003</v>
      </c>
      <c r="Q2121" s="1" t="s">
        <v>4934</v>
      </c>
      <c r="R2121" s="1" t="s">
        <v>41</v>
      </c>
      <c r="T2121" s="1" t="s">
        <v>71</v>
      </c>
      <c r="U2121" s="1" t="s">
        <v>44</v>
      </c>
      <c r="V2121" s="1" t="s">
        <v>94</v>
      </c>
      <c r="X2121" s="1" t="s">
        <v>4050</v>
      </c>
      <c r="AA2121" s="3">
        <v>34181</v>
      </c>
      <c r="AB2121" s="1" t="s">
        <v>46</v>
      </c>
      <c r="AC2121" s="5">
        <v>1250</v>
      </c>
      <c r="AD2121" s="1" t="s">
        <v>4935</v>
      </c>
      <c r="AE2121" s="1" t="str">
        <f t="shared" si="160"/>
        <v>10726 1</v>
      </c>
      <c r="AF2121" s="14">
        <f>MID(AD2121,FIND("(",AD2121)+1,FIND(")",AD2121)-FIND("(",AD2121)-1)+72/2</f>
        <v>123</v>
      </c>
      <c r="AG2121" s="1" t="str">
        <f t="shared" si="159"/>
        <v>Y</v>
      </c>
    </row>
    <row r="2122" spans="1:33" x14ac:dyDescent="0.2">
      <c r="A2122" s="1" t="s">
        <v>1568</v>
      </c>
      <c r="B2122" s="1" t="s">
        <v>4933</v>
      </c>
      <c r="C2122" s="1">
        <v>10726</v>
      </c>
      <c r="D2122" s="1">
        <v>2</v>
      </c>
      <c r="F2122" s="1">
        <v>2023</v>
      </c>
      <c r="G2122" s="1" t="s">
        <v>579</v>
      </c>
      <c r="H2122" s="1">
        <v>603383</v>
      </c>
      <c r="I2122" s="1">
        <v>1</v>
      </c>
      <c r="J2122" s="1" t="s">
        <v>580</v>
      </c>
      <c r="K2122" s="1" t="s">
        <v>3504</v>
      </c>
      <c r="L2122" s="1" t="s">
        <v>3505</v>
      </c>
      <c r="M2122" s="1">
        <v>13</v>
      </c>
      <c r="N2122" s="1" t="s">
        <v>1680</v>
      </c>
      <c r="O2122" s="1">
        <v>42.155999999999999</v>
      </c>
      <c r="P2122" s="1">
        <v>-72.529200000000003</v>
      </c>
      <c r="Q2122" s="1" t="s">
        <v>4934</v>
      </c>
      <c r="R2122" s="1" t="s">
        <v>41</v>
      </c>
      <c r="T2122" s="1" t="s">
        <v>71</v>
      </c>
      <c r="U2122" s="1" t="s">
        <v>44</v>
      </c>
      <c r="V2122" s="1" t="s">
        <v>94</v>
      </c>
      <c r="X2122" s="1" t="s">
        <v>4050</v>
      </c>
      <c r="AA2122" s="3">
        <v>34181</v>
      </c>
      <c r="AB2122" s="1" t="s">
        <v>46</v>
      </c>
      <c r="AC2122" s="5">
        <v>1250</v>
      </c>
      <c r="AD2122" s="1" t="s">
        <v>4936</v>
      </c>
      <c r="AE2122" s="1" t="str">
        <f t="shared" si="160"/>
        <v>10726 2</v>
      </c>
      <c r="AF2122" s="14">
        <f>AF2121</f>
        <v>123</v>
      </c>
      <c r="AG2122" s="1" t="str">
        <f t="shared" si="159"/>
        <v>Y</v>
      </c>
    </row>
    <row r="2123" spans="1:33" x14ac:dyDescent="0.2">
      <c r="A2123" s="1" t="s">
        <v>3140</v>
      </c>
      <c r="B2123" s="1" t="s">
        <v>4937</v>
      </c>
      <c r="C2123" s="1">
        <v>10743</v>
      </c>
      <c r="D2123" s="1" t="s">
        <v>4938</v>
      </c>
      <c r="E2123" s="1" t="s">
        <v>4827</v>
      </c>
      <c r="F2123" s="1">
        <v>2023</v>
      </c>
      <c r="G2123" s="1" t="s">
        <v>1388</v>
      </c>
      <c r="H2123" s="1" t="s">
        <v>4939</v>
      </c>
      <c r="I2123" s="1">
        <v>3</v>
      </c>
      <c r="K2123" s="1" t="s">
        <v>3147</v>
      </c>
      <c r="L2123" s="1" t="s">
        <v>3148</v>
      </c>
      <c r="M2123" s="1">
        <v>61</v>
      </c>
      <c r="N2123" s="1" t="s">
        <v>1680</v>
      </c>
      <c r="O2123" s="1">
        <v>39.639699999999998</v>
      </c>
      <c r="P2123" s="1">
        <v>-79.960599999999999</v>
      </c>
      <c r="Q2123" s="1" t="s">
        <v>4940</v>
      </c>
      <c r="T2123" s="1" t="s">
        <v>885</v>
      </c>
      <c r="U2123" s="1" t="s">
        <v>44</v>
      </c>
      <c r="Y2123" s="1" t="s">
        <v>232</v>
      </c>
      <c r="AA2123" s="3">
        <v>33708</v>
      </c>
      <c r="AB2123" s="1" t="s">
        <v>46</v>
      </c>
      <c r="AC2123" s="5">
        <v>138.6</v>
      </c>
      <c r="AD2123" s="1" t="s">
        <v>4941</v>
      </c>
      <c r="AE2123" s="1" t="str">
        <f t="shared" si="160"/>
        <v>10743 CFB1</v>
      </c>
      <c r="AF2123" s="5" t="str">
        <f>MID(AD2123,FIND("(",AD2123)+1,FIND(")",AD2123)-FIND("(",AD2123)-1)</f>
        <v>69</v>
      </c>
      <c r="AG2123" s="1" t="str">
        <f t="shared" si="159"/>
        <v/>
      </c>
    </row>
    <row r="2124" spans="1:33" x14ac:dyDescent="0.2">
      <c r="A2124" s="1" t="s">
        <v>3140</v>
      </c>
      <c r="B2124" s="1" t="s">
        <v>4937</v>
      </c>
      <c r="C2124" s="1">
        <v>10743</v>
      </c>
      <c r="D2124" s="1" t="s">
        <v>4942</v>
      </c>
      <c r="E2124" s="1" t="s">
        <v>4827</v>
      </c>
      <c r="F2124" s="1">
        <v>2023</v>
      </c>
      <c r="G2124" s="1" t="s">
        <v>1388</v>
      </c>
      <c r="H2124" s="1" t="s">
        <v>4939</v>
      </c>
      <c r="I2124" s="1">
        <v>3</v>
      </c>
      <c r="K2124" s="1" t="s">
        <v>3147</v>
      </c>
      <c r="L2124" s="1" t="s">
        <v>3148</v>
      </c>
      <c r="M2124" s="1">
        <v>61</v>
      </c>
      <c r="N2124" s="1" t="s">
        <v>1680</v>
      </c>
      <c r="O2124" s="1">
        <v>39.639699999999998</v>
      </c>
      <c r="P2124" s="1">
        <v>-79.960599999999999</v>
      </c>
      <c r="Q2124" s="1" t="s">
        <v>4940</v>
      </c>
      <c r="T2124" s="1" t="s">
        <v>885</v>
      </c>
      <c r="U2124" s="1" t="s">
        <v>44</v>
      </c>
      <c r="Y2124" s="1" t="s">
        <v>232</v>
      </c>
      <c r="AA2124" s="3">
        <v>33708</v>
      </c>
      <c r="AB2124" s="1" t="s">
        <v>46</v>
      </c>
      <c r="AC2124" s="5">
        <v>138.6</v>
      </c>
      <c r="AD2124" s="1" t="s">
        <v>4941</v>
      </c>
      <c r="AE2124" s="1" t="str">
        <f t="shared" si="160"/>
        <v>10743 CFB2</v>
      </c>
      <c r="AF2124" s="5" t="str">
        <f>MID(AD2124,FIND("(",AD2124)+1,FIND(")",AD2124)-FIND("(",AD2124)-1)</f>
        <v>69</v>
      </c>
      <c r="AG2124" s="1" t="str">
        <f t="shared" si="159"/>
        <v/>
      </c>
    </row>
    <row r="2125" spans="1:33" x14ac:dyDescent="0.2">
      <c r="A2125" s="1" t="s">
        <v>1621</v>
      </c>
      <c r="B2125" s="1" t="s">
        <v>4943</v>
      </c>
      <c r="C2125" s="1">
        <v>10745</v>
      </c>
      <c r="D2125" s="1">
        <v>3</v>
      </c>
      <c r="F2125" s="1">
        <v>2023</v>
      </c>
      <c r="G2125" s="1" t="s">
        <v>1020</v>
      </c>
      <c r="H2125" s="1">
        <v>602307</v>
      </c>
      <c r="I2125" s="1">
        <v>5</v>
      </c>
      <c r="K2125" s="1" t="s">
        <v>4944</v>
      </c>
      <c r="L2125" s="1" t="s">
        <v>4945</v>
      </c>
      <c r="M2125" s="1">
        <v>111</v>
      </c>
      <c r="N2125" s="1" t="s">
        <v>1680</v>
      </c>
      <c r="O2125" s="1">
        <v>43.586100000000002</v>
      </c>
      <c r="P2125" s="1">
        <v>-84.224199999999996</v>
      </c>
      <c r="Q2125" s="1" t="s">
        <v>4946</v>
      </c>
      <c r="T2125" s="1" t="s">
        <v>71</v>
      </c>
      <c r="U2125" s="1" t="s">
        <v>44</v>
      </c>
      <c r="X2125" s="1" t="s">
        <v>1606</v>
      </c>
      <c r="AA2125" s="3">
        <v>32933</v>
      </c>
      <c r="AB2125" s="1" t="s">
        <v>46</v>
      </c>
      <c r="AC2125" s="5">
        <v>1175</v>
      </c>
      <c r="AD2125" s="1" t="s">
        <v>4947</v>
      </c>
      <c r="AE2125" s="1" t="str">
        <f t="shared" si="160"/>
        <v>10745 3</v>
      </c>
      <c r="AF2125" s="14">
        <f>MID(AD2125,FIND("(",AD2125)+1,FIND(")",AD2125)-FIND("(",AD2125)-1)+13.5/18+410/18</f>
        <v>110.72777777777779</v>
      </c>
      <c r="AG2125" s="1" t="str">
        <f t="shared" si="159"/>
        <v/>
      </c>
    </row>
    <row r="2126" spans="1:33" x14ac:dyDescent="0.2">
      <c r="A2126" s="1" t="s">
        <v>1621</v>
      </c>
      <c r="B2126" s="1" t="s">
        <v>4943</v>
      </c>
      <c r="C2126" s="1">
        <v>10745</v>
      </c>
      <c r="D2126" s="1">
        <v>4</v>
      </c>
      <c r="F2126" s="1">
        <v>2023</v>
      </c>
      <c r="G2126" s="1" t="s">
        <v>1020</v>
      </c>
      <c r="H2126" s="1">
        <v>602307</v>
      </c>
      <c r="I2126" s="1">
        <v>5</v>
      </c>
      <c r="K2126" s="1" t="s">
        <v>4944</v>
      </c>
      <c r="L2126" s="1" t="s">
        <v>4945</v>
      </c>
      <c r="M2126" s="1">
        <v>111</v>
      </c>
      <c r="N2126" s="1" t="s">
        <v>1680</v>
      </c>
      <c r="O2126" s="1">
        <v>43.586100000000002</v>
      </c>
      <c r="P2126" s="1">
        <v>-84.224199999999996</v>
      </c>
      <c r="Q2126" s="1" t="s">
        <v>4946</v>
      </c>
      <c r="T2126" s="1" t="s">
        <v>71</v>
      </c>
      <c r="U2126" s="1" t="s">
        <v>44</v>
      </c>
      <c r="X2126" s="1" t="s">
        <v>1606</v>
      </c>
      <c r="AA2126" s="3">
        <v>32933</v>
      </c>
      <c r="AB2126" s="1" t="s">
        <v>46</v>
      </c>
      <c r="AC2126" s="5">
        <v>1175</v>
      </c>
      <c r="AD2126" s="1" t="s">
        <v>4948</v>
      </c>
      <c r="AE2126" s="1" t="str">
        <f t="shared" si="160"/>
        <v>10745 4</v>
      </c>
      <c r="AF2126" s="14">
        <f>AF2125</f>
        <v>110.72777777777779</v>
      </c>
      <c r="AG2126" s="1" t="str">
        <f t="shared" si="159"/>
        <v/>
      </c>
    </row>
    <row r="2127" spans="1:33" x14ac:dyDescent="0.2">
      <c r="A2127" s="1" t="s">
        <v>1621</v>
      </c>
      <c r="B2127" s="1" t="s">
        <v>4943</v>
      </c>
      <c r="C2127" s="1">
        <v>10745</v>
      </c>
      <c r="D2127" s="1">
        <v>5</v>
      </c>
      <c r="F2127" s="1">
        <v>2023</v>
      </c>
      <c r="G2127" s="1" t="s">
        <v>1020</v>
      </c>
      <c r="H2127" s="1">
        <v>602307</v>
      </c>
      <c r="I2127" s="1">
        <v>5</v>
      </c>
      <c r="K2127" s="1" t="s">
        <v>4944</v>
      </c>
      <c r="L2127" s="1" t="s">
        <v>4945</v>
      </c>
      <c r="M2127" s="1">
        <v>111</v>
      </c>
      <c r="N2127" s="1" t="s">
        <v>1680</v>
      </c>
      <c r="O2127" s="1">
        <v>43.586100000000002</v>
      </c>
      <c r="P2127" s="1">
        <v>-84.224199999999996</v>
      </c>
      <c r="Q2127" s="1" t="s">
        <v>4946</v>
      </c>
      <c r="T2127" s="1" t="s">
        <v>71</v>
      </c>
      <c r="U2127" s="1" t="s">
        <v>44</v>
      </c>
      <c r="X2127" s="1" t="s">
        <v>1606</v>
      </c>
      <c r="AA2127" s="3">
        <v>32933</v>
      </c>
      <c r="AB2127" s="1" t="s">
        <v>46</v>
      </c>
      <c r="AC2127" s="5">
        <v>1175</v>
      </c>
      <c r="AD2127" s="1" t="s">
        <v>4949</v>
      </c>
      <c r="AE2127" s="1" t="str">
        <f t="shared" si="160"/>
        <v>10745 5</v>
      </c>
      <c r="AF2127" s="14">
        <f>AF2125</f>
        <v>110.72777777777779</v>
      </c>
      <c r="AG2127" s="1" t="str">
        <f t="shared" si="159"/>
        <v/>
      </c>
    </row>
    <row r="2128" spans="1:33" x14ac:dyDescent="0.2">
      <c r="A2128" s="1" t="s">
        <v>1621</v>
      </c>
      <c r="B2128" s="1" t="s">
        <v>4943</v>
      </c>
      <c r="C2128" s="1">
        <v>10745</v>
      </c>
      <c r="D2128" s="1">
        <v>6</v>
      </c>
      <c r="F2128" s="1">
        <v>2023</v>
      </c>
      <c r="G2128" s="1" t="s">
        <v>1020</v>
      </c>
      <c r="H2128" s="1">
        <v>602307</v>
      </c>
      <c r="I2128" s="1">
        <v>5</v>
      </c>
      <c r="K2128" s="1" t="s">
        <v>4944</v>
      </c>
      <c r="L2128" s="1" t="s">
        <v>4945</v>
      </c>
      <c r="M2128" s="1">
        <v>111</v>
      </c>
      <c r="N2128" s="1" t="s">
        <v>1680</v>
      </c>
      <c r="O2128" s="1">
        <v>43.586100000000002</v>
      </c>
      <c r="P2128" s="1">
        <v>-84.224199999999996</v>
      </c>
      <c r="Q2128" s="1" t="s">
        <v>4946</v>
      </c>
      <c r="T2128" s="1" t="s">
        <v>71</v>
      </c>
      <c r="U2128" s="1" t="s">
        <v>44</v>
      </c>
      <c r="X2128" s="1" t="s">
        <v>1606</v>
      </c>
      <c r="AA2128" s="3">
        <v>32933</v>
      </c>
      <c r="AB2128" s="1" t="s">
        <v>46</v>
      </c>
      <c r="AC2128" s="5">
        <v>1175</v>
      </c>
      <c r="AD2128" s="1" t="s">
        <v>4950</v>
      </c>
      <c r="AE2128" s="1" t="str">
        <f t="shared" si="160"/>
        <v>10745 6</v>
      </c>
      <c r="AF2128" s="14">
        <f>AF2125</f>
        <v>110.72777777777779</v>
      </c>
      <c r="AG2128" s="1" t="str">
        <f t="shared" si="159"/>
        <v/>
      </c>
    </row>
    <row r="2129" spans="1:33" x14ac:dyDescent="0.2">
      <c r="A2129" s="1" t="s">
        <v>1621</v>
      </c>
      <c r="B2129" s="1" t="s">
        <v>4943</v>
      </c>
      <c r="C2129" s="1">
        <v>10745</v>
      </c>
      <c r="D2129" s="1">
        <v>7</v>
      </c>
      <c r="F2129" s="1">
        <v>2023</v>
      </c>
      <c r="G2129" s="1" t="s">
        <v>1020</v>
      </c>
      <c r="H2129" s="1">
        <v>602307</v>
      </c>
      <c r="I2129" s="1">
        <v>5</v>
      </c>
      <c r="K2129" s="1" t="s">
        <v>4944</v>
      </c>
      <c r="L2129" s="1" t="s">
        <v>4945</v>
      </c>
      <c r="M2129" s="1">
        <v>111</v>
      </c>
      <c r="N2129" s="1" t="s">
        <v>1680</v>
      </c>
      <c r="O2129" s="1">
        <v>43.586100000000002</v>
      </c>
      <c r="P2129" s="1">
        <v>-84.224199999999996</v>
      </c>
      <c r="Q2129" s="1" t="s">
        <v>4946</v>
      </c>
      <c r="T2129" s="1" t="s">
        <v>71</v>
      </c>
      <c r="U2129" s="1" t="s">
        <v>44</v>
      </c>
      <c r="X2129" s="1" t="s">
        <v>1606</v>
      </c>
      <c r="AA2129" s="3">
        <v>32933</v>
      </c>
      <c r="AB2129" s="1" t="s">
        <v>46</v>
      </c>
      <c r="AC2129" s="5">
        <v>1175</v>
      </c>
      <c r="AD2129" s="1" t="s">
        <v>4951</v>
      </c>
      <c r="AE2129" s="1" t="str">
        <f t="shared" si="160"/>
        <v>10745 7</v>
      </c>
      <c r="AF2129" s="14">
        <f>AF2125</f>
        <v>110.72777777777779</v>
      </c>
      <c r="AG2129" s="1" t="str">
        <f t="shared" si="159"/>
        <v/>
      </c>
    </row>
    <row r="2130" spans="1:33" x14ac:dyDescent="0.2">
      <c r="A2130" s="1" t="s">
        <v>1621</v>
      </c>
      <c r="B2130" s="1" t="s">
        <v>4943</v>
      </c>
      <c r="C2130" s="1">
        <v>10745</v>
      </c>
      <c r="D2130" s="1">
        <v>8</v>
      </c>
      <c r="F2130" s="1">
        <v>2023</v>
      </c>
      <c r="G2130" s="1" t="s">
        <v>1020</v>
      </c>
      <c r="H2130" s="1">
        <v>602307</v>
      </c>
      <c r="I2130" s="1">
        <v>5</v>
      </c>
      <c r="K2130" s="1" t="s">
        <v>4944</v>
      </c>
      <c r="L2130" s="1" t="s">
        <v>4945</v>
      </c>
      <c r="M2130" s="1">
        <v>111</v>
      </c>
      <c r="N2130" s="1" t="s">
        <v>1680</v>
      </c>
      <c r="O2130" s="1">
        <v>43.586100000000002</v>
      </c>
      <c r="P2130" s="1">
        <v>-84.224199999999996</v>
      </c>
      <c r="Q2130" s="1" t="s">
        <v>4946</v>
      </c>
      <c r="T2130" s="1" t="s">
        <v>71</v>
      </c>
      <c r="U2130" s="1" t="s">
        <v>44</v>
      </c>
      <c r="X2130" s="1" t="s">
        <v>1606</v>
      </c>
      <c r="AA2130" s="3">
        <v>32933</v>
      </c>
      <c r="AB2130" s="1" t="s">
        <v>46</v>
      </c>
      <c r="AC2130" s="5">
        <v>1175</v>
      </c>
      <c r="AD2130" s="1" t="s">
        <v>4952</v>
      </c>
      <c r="AE2130" s="1" t="str">
        <f t="shared" si="160"/>
        <v>10745 8</v>
      </c>
      <c r="AF2130" s="14">
        <f>AF2125</f>
        <v>110.72777777777779</v>
      </c>
      <c r="AG2130" s="1" t="str">
        <f t="shared" si="159"/>
        <v/>
      </c>
    </row>
    <row r="2131" spans="1:33" x14ac:dyDescent="0.2">
      <c r="A2131" s="1" t="s">
        <v>1621</v>
      </c>
      <c r="B2131" s="1" t="s">
        <v>4943</v>
      </c>
      <c r="C2131" s="1">
        <v>10745</v>
      </c>
      <c r="D2131" s="1">
        <v>9</v>
      </c>
      <c r="F2131" s="1">
        <v>2023</v>
      </c>
      <c r="G2131" s="1" t="s">
        <v>1020</v>
      </c>
      <c r="H2131" s="1">
        <v>602307</v>
      </c>
      <c r="I2131" s="1">
        <v>5</v>
      </c>
      <c r="K2131" s="1" t="s">
        <v>4944</v>
      </c>
      <c r="L2131" s="1" t="s">
        <v>4945</v>
      </c>
      <c r="M2131" s="1">
        <v>111</v>
      </c>
      <c r="N2131" s="1" t="s">
        <v>1680</v>
      </c>
      <c r="O2131" s="1">
        <v>43.586100000000002</v>
      </c>
      <c r="P2131" s="1">
        <v>-84.224199999999996</v>
      </c>
      <c r="Q2131" s="1" t="s">
        <v>4946</v>
      </c>
      <c r="T2131" s="1" t="s">
        <v>71</v>
      </c>
      <c r="U2131" s="1" t="s">
        <v>44</v>
      </c>
      <c r="X2131" s="1" t="s">
        <v>1606</v>
      </c>
      <c r="AA2131" s="3">
        <v>32933</v>
      </c>
      <c r="AB2131" s="1" t="s">
        <v>46</v>
      </c>
      <c r="AC2131" s="5">
        <v>1400</v>
      </c>
      <c r="AD2131" s="1" t="s">
        <v>4953</v>
      </c>
      <c r="AE2131" s="1" t="str">
        <f t="shared" si="160"/>
        <v>10745 9</v>
      </c>
      <c r="AF2131" s="14">
        <f>AF2125</f>
        <v>110.72777777777779</v>
      </c>
      <c r="AG2131" s="1" t="str">
        <f t="shared" si="159"/>
        <v/>
      </c>
    </row>
    <row r="2132" spans="1:33" x14ac:dyDescent="0.2">
      <c r="A2132" s="1" t="s">
        <v>1621</v>
      </c>
      <c r="B2132" s="1" t="s">
        <v>4943</v>
      </c>
      <c r="C2132" s="1">
        <v>10745</v>
      </c>
      <c r="D2132" s="1">
        <v>10</v>
      </c>
      <c r="F2132" s="1">
        <v>2023</v>
      </c>
      <c r="G2132" s="1" t="s">
        <v>1020</v>
      </c>
      <c r="H2132" s="1">
        <v>602307</v>
      </c>
      <c r="I2132" s="1">
        <v>5</v>
      </c>
      <c r="K2132" s="1" t="s">
        <v>4944</v>
      </c>
      <c r="L2132" s="1" t="s">
        <v>4945</v>
      </c>
      <c r="M2132" s="1">
        <v>111</v>
      </c>
      <c r="N2132" s="1" t="s">
        <v>1680</v>
      </c>
      <c r="O2132" s="1">
        <v>43.586100000000002</v>
      </c>
      <c r="P2132" s="1">
        <v>-84.224199999999996</v>
      </c>
      <c r="Q2132" s="1" t="s">
        <v>4946</v>
      </c>
      <c r="T2132" s="1" t="s">
        <v>71</v>
      </c>
      <c r="U2132" s="1" t="s">
        <v>44</v>
      </c>
      <c r="X2132" s="1" t="s">
        <v>1606</v>
      </c>
      <c r="AA2132" s="3">
        <v>32933</v>
      </c>
      <c r="AB2132" s="1" t="s">
        <v>46</v>
      </c>
      <c r="AC2132" s="5">
        <v>1400</v>
      </c>
      <c r="AD2132" s="1" t="s">
        <v>4954</v>
      </c>
      <c r="AE2132" s="1" t="str">
        <f t="shared" si="160"/>
        <v>10745 10</v>
      </c>
      <c r="AF2132" s="14">
        <f>AF2125</f>
        <v>110.72777777777779</v>
      </c>
      <c r="AG2132" s="1" t="str">
        <f t="shared" si="159"/>
        <v/>
      </c>
    </row>
    <row r="2133" spans="1:33" x14ac:dyDescent="0.2">
      <c r="A2133" s="1" t="s">
        <v>1621</v>
      </c>
      <c r="B2133" s="1" t="s">
        <v>4943</v>
      </c>
      <c r="C2133" s="1">
        <v>10745</v>
      </c>
      <c r="D2133" s="1">
        <v>11</v>
      </c>
      <c r="F2133" s="1">
        <v>2023</v>
      </c>
      <c r="G2133" s="1" t="s">
        <v>1020</v>
      </c>
      <c r="H2133" s="1">
        <v>602307</v>
      </c>
      <c r="I2133" s="1">
        <v>5</v>
      </c>
      <c r="K2133" s="1" t="s">
        <v>4944</v>
      </c>
      <c r="L2133" s="1" t="s">
        <v>4945</v>
      </c>
      <c r="M2133" s="1">
        <v>111</v>
      </c>
      <c r="N2133" s="1" t="s">
        <v>1680</v>
      </c>
      <c r="O2133" s="1">
        <v>43.586100000000002</v>
      </c>
      <c r="P2133" s="1">
        <v>-84.224199999999996</v>
      </c>
      <c r="Q2133" s="1" t="s">
        <v>4946</v>
      </c>
      <c r="T2133" s="1" t="s">
        <v>71</v>
      </c>
      <c r="U2133" s="1" t="s">
        <v>44</v>
      </c>
      <c r="X2133" s="1" t="s">
        <v>1606</v>
      </c>
      <c r="AA2133" s="3">
        <v>32933</v>
      </c>
      <c r="AB2133" s="1" t="s">
        <v>46</v>
      </c>
      <c r="AC2133" s="5">
        <v>1400</v>
      </c>
      <c r="AD2133" s="1" t="s">
        <v>4955</v>
      </c>
      <c r="AE2133" s="1" t="str">
        <f t="shared" si="160"/>
        <v>10745 11</v>
      </c>
      <c r="AF2133" s="14">
        <f>AF2125</f>
        <v>110.72777777777779</v>
      </c>
      <c r="AG2133" s="1" t="str">
        <f t="shared" si="159"/>
        <v/>
      </c>
    </row>
    <row r="2134" spans="1:33" x14ac:dyDescent="0.2">
      <c r="A2134" s="1" t="s">
        <v>1621</v>
      </c>
      <c r="B2134" s="1" t="s">
        <v>4943</v>
      </c>
      <c r="C2134" s="1">
        <v>10745</v>
      </c>
      <c r="D2134" s="1">
        <v>12</v>
      </c>
      <c r="F2134" s="1">
        <v>2023</v>
      </c>
      <c r="G2134" s="1" t="s">
        <v>1020</v>
      </c>
      <c r="H2134" s="1">
        <v>602307</v>
      </c>
      <c r="I2134" s="1">
        <v>5</v>
      </c>
      <c r="K2134" s="1" t="s">
        <v>4944</v>
      </c>
      <c r="L2134" s="1" t="s">
        <v>4945</v>
      </c>
      <c r="M2134" s="1">
        <v>111</v>
      </c>
      <c r="N2134" s="1" t="s">
        <v>1680</v>
      </c>
      <c r="O2134" s="1">
        <v>43.586100000000002</v>
      </c>
      <c r="P2134" s="1">
        <v>-84.224199999999996</v>
      </c>
      <c r="Q2134" s="1" t="s">
        <v>4946</v>
      </c>
      <c r="T2134" s="1" t="s">
        <v>71</v>
      </c>
      <c r="U2134" s="1" t="s">
        <v>44</v>
      </c>
      <c r="X2134" s="1" t="s">
        <v>140</v>
      </c>
      <c r="AA2134" s="3">
        <v>32933</v>
      </c>
      <c r="AB2134" s="1" t="s">
        <v>46</v>
      </c>
      <c r="AC2134" s="5">
        <v>1375</v>
      </c>
      <c r="AD2134" s="1" t="s">
        <v>4956</v>
      </c>
      <c r="AE2134" s="1" t="str">
        <f t="shared" si="160"/>
        <v>10745 12</v>
      </c>
      <c r="AF2134" s="14">
        <f>AF2125</f>
        <v>110.72777777777779</v>
      </c>
      <c r="AG2134" s="1" t="str">
        <f t="shared" si="159"/>
        <v/>
      </c>
    </row>
    <row r="2135" spans="1:33" x14ac:dyDescent="0.2">
      <c r="A2135" s="1" t="s">
        <v>1621</v>
      </c>
      <c r="B2135" s="1" t="s">
        <v>4943</v>
      </c>
      <c r="C2135" s="1">
        <v>10745</v>
      </c>
      <c r="D2135" s="1">
        <v>13</v>
      </c>
      <c r="F2135" s="1">
        <v>2023</v>
      </c>
      <c r="G2135" s="1" t="s">
        <v>1020</v>
      </c>
      <c r="H2135" s="1">
        <v>602307</v>
      </c>
      <c r="I2135" s="1">
        <v>5</v>
      </c>
      <c r="K2135" s="1" t="s">
        <v>4944</v>
      </c>
      <c r="L2135" s="1" t="s">
        <v>4945</v>
      </c>
      <c r="M2135" s="1">
        <v>111</v>
      </c>
      <c r="N2135" s="1" t="s">
        <v>1680</v>
      </c>
      <c r="O2135" s="1">
        <v>43.586100000000002</v>
      </c>
      <c r="P2135" s="1">
        <v>-84.224199999999996</v>
      </c>
      <c r="Q2135" s="1" t="s">
        <v>4946</v>
      </c>
      <c r="T2135" s="1" t="s">
        <v>71</v>
      </c>
      <c r="U2135" s="1" t="s">
        <v>44</v>
      </c>
      <c r="X2135" s="1" t="s">
        <v>1606</v>
      </c>
      <c r="AA2135" s="3">
        <v>32964</v>
      </c>
      <c r="AB2135" s="1" t="s">
        <v>46</v>
      </c>
      <c r="AC2135" s="5">
        <v>1400</v>
      </c>
      <c r="AD2135" s="1" t="s">
        <v>4957</v>
      </c>
      <c r="AE2135" s="1" t="str">
        <f t="shared" si="160"/>
        <v>10745 13</v>
      </c>
      <c r="AF2135" s="14">
        <f>AF2125</f>
        <v>110.72777777777779</v>
      </c>
      <c r="AG2135" s="1" t="str">
        <f t="shared" si="159"/>
        <v/>
      </c>
    </row>
    <row r="2136" spans="1:33" x14ac:dyDescent="0.2">
      <c r="A2136" s="1" t="s">
        <v>1621</v>
      </c>
      <c r="B2136" s="1" t="s">
        <v>4943</v>
      </c>
      <c r="C2136" s="1">
        <v>10745</v>
      </c>
      <c r="D2136" s="1">
        <v>14</v>
      </c>
      <c r="F2136" s="1">
        <v>2023</v>
      </c>
      <c r="G2136" s="1" t="s">
        <v>1020</v>
      </c>
      <c r="H2136" s="1">
        <v>602307</v>
      </c>
      <c r="I2136" s="1">
        <v>5</v>
      </c>
      <c r="K2136" s="1" t="s">
        <v>4944</v>
      </c>
      <c r="L2136" s="1" t="s">
        <v>4945</v>
      </c>
      <c r="M2136" s="1">
        <v>111</v>
      </c>
      <c r="N2136" s="1" t="s">
        <v>1680</v>
      </c>
      <c r="O2136" s="1">
        <v>43.586100000000002</v>
      </c>
      <c r="P2136" s="1">
        <v>-84.224199999999996</v>
      </c>
      <c r="Q2136" s="1" t="s">
        <v>4946</v>
      </c>
      <c r="T2136" s="1" t="s">
        <v>71</v>
      </c>
      <c r="U2136" s="1" t="s">
        <v>44</v>
      </c>
      <c r="X2136" s="1" t="s">
        <v>1606</v>
      </c>
      <c r="AA2136" s="3">
        <v>32994</v>
      </c>
      <c r="AB2136" s="1" t="s">
        <v>46</v>
      </c>
      <c r="AC2136" s="5">
        <v>1400</v>
      </c>
      <c r="AD2136" s="1" t="s">
        <v>4958</v>
      </c>
      <c r="AE2136" s="1" t="str">
        <f t="shared" si="160"/>
        <v>10745 14</v>
      </c>
      <c r="AF2136" s="14">
        <f>AF2125</f>
        <v>110.72777777777779</v>
      </c>
      <c r="AG2136" s="1" t="str">
        <f t="shared" si="159"/>
        <v/>
      </c>
    </row>
    <row r="2137" spans="1:33" x14ac:dyDescent="0.2">
      <c r="A2137" s="1" t="s">
        <v>1621</v>
      </c>
      <c r="B2137" s="1" t="s">
        <v>4943</v>
      </c>
      <c r="C2137" s="1">
        <v>10745</v>
      </c>
      <c r="D2137" s="1">
        <v>16</v>
      </c>
      <c r="F2137" s="1">
        <v>2023</v>
      </c>
      <c r="G2137" s="1" t="s">
        <v>1020</v>
      </c>
      <c r="H2137" s="1">
        <v>602307</v>
      </c>
      <c r="I2137" s="1">
        <v>5</v>
      </c>
      <c r="K2137" s="1" t="s">
        <v>4944</v>
      </c>
      <c r="L2137" s="1" t="s">
        <v>4945</v>
      </c>
      <c r="M2137" s="1">
        <v>111</v>
      </c>
      <c r="N2137" s="1" t="s">
        <v>1680</v>
      </c>
      <c r="O2137" s="1">
        <v>43.586100000000002</v>
      </c>
      <c r="P2137" s="1">
        <v>-84.224199999999996</v>
      </c>
      <c r="Q2137" s="1" t="s">
        <v>4946</v>
      </c>
      <c r="T2137" s="1" t="s">
        <v>656</v>
      </c>
      <c r="U2137" s="1" t="s">
        <v>44</v>
      </c>
      <c r="X2137" s="1" t="s">
        <v>90</v>
      </c>
      <c r="AA2137" s="3">
        <v>39736</v>
      </c>
      <c r="AB2137" s="1" t="s">
        <v>46</v>
      </c>
      <c r="AC2137" s="5">
        <v>370</v>
      </c>
      <c r="AD2137" s="1" t="s">
        <v>4959</v>
      </c>
      <c r="AE2137" s="1" t="str">
        <f t="shared" si="160"/>
        <v>10745 16</v>
      </c>
      <c r="AF2137" s="14">
        <f>MID(AD2137,FIND("(",AD2137)+1,FIND(")",AD2137)-FIND("(",AD2137)-1)/18+410/18</f>
        <v>23.527777777777779</v>
      </c>
      <c r="AG2137" s="1" t="str">
        <f t="shared" si="159"/>
        <v/>
      </c>
    </row>
    <row r="2138" spans="1:33" x14ac:dyDescent="0.2">
      <c r="A2138" s="1" t="s">
        <v>1621</v>
      </c>
      <c r="B2138" s="1" t="s">
        <v>4943</v>
      </c>
      <c r="C2138" s="1">
        <v>10745</v>
      </c>
      <c r="D2138" s="1">
        <v>17</v>
      </c>
      <c r="F2138" s="1">
        <v>2023</v>
      </c>
      <c r="G2138" s="1" t="s">
        <v>1020</v>
      </c>
      <c r="H2138" s="1">
        <v>602307</v>
      </c>
      <c r="I2138" s="1">
        <v>5</v>
      </c>
      <c r="K2138" s="1" t="s">
        <v>4944</v>
      </c>
      <c r="L2138" s="1" t="s">
        <v>4945</v>
      </c>
      <c r="M2138" s="1">
        <v>111</v>
      </c>
      <c r="N2138" s="1" t="s">
        <v>1680</v>
      </c>
      <c r="O2138" s="1">
        <v>43.586100000000002</v>
      </c>
      <c r="P2138" s="1">
        <v>-84.224199999999996</v>
      </c>
      <c r="Q2138" s="1" t="s">
        <v>4946</v>
      </c>
      <c r="T2138" s="1" t="s">
        <v>656</v>
      </c>
      <c r="U2138" s="1" t="s">
        <v>44</v>
      </c>
      <c r="X2138" s="1" t="s">
        <v>90</v>
      </c>
      <c r="AA2138" s="3">
        <v>39736</v>
      </c>
      <c r="AB2138" s="1" t="s">
        <v>46</v>
      </c>
      <c r="AC2138" s="5">
        <v>370</v>
      </c>
      <c r="AD2138" s="1" t="s">
        <v>4960</v>
      </c>
      <c r="AE2138" s="1" t="str">
        <f t="shared" si="160"/>
        <v>10745 17</v>
      </c>
      <c r="AF2138" s="14">
        <f>AF2137</f>
        <v>23.527777777777779</v>
      </c>
      <c r="AG2138" s="1" t="str">
        <f t="shared" si="159"/>
        <v/>
      </c>
    </row>
    <row r="2139" spans="1:33" x14ac:dyDescent="0.2">
      <c r="A2139" s="1" t="s">
        <v>1621</v>
      </c>
      <c r="B2139" s="1" t="s">
        <v>4943</v>
      </c>
      <c r="C2139" s="1">
        <v>10745</v>
      </c>
      <c r="D2139" s="1">
        <v>18</v>
      </c>
      <c r="F2139" s="1">
        <v>2023</v>
      </c>
      <c r="G2139" s="1" t="s">
        <v>1020</v>
      </c>
      <c r="H2139" s="1">
        <v>602307</v>
      </c>
      <c r="I2139" s="1">
        <v>5</v>
      </c>
      <c r="K2139" s="1" t="s">
        <v>4944</v>
      </c>
      <c r="L2139" s="1" t="s">
        <v>4945</v>
      </c>
      <c r="M2139" s="1">
        <v>111</v>
      </c>
      <c r="N2139" s="1" t="s">
        <v>1680</v>
      </c>
      <c r="O2139" s="1">
        <v>43.586100000000002</v>
      </c>
      <c r="P2139" s="1">
        <v>-84.224199999999996</v>
      </c>
      <c r="Q2139" s="1" t="s">
        <v>4946</v>
      </c>
      <c r="T2139" s="1" t="s">
        <v>656</v>
      </c>
      <c r="U2139" s="1" t="s">
        <v>44</v>
      </c>
      <c r="X2139" s="1" t="s">
        <v>90</v>
      </c>
      <c r="AA2139" s="3">
        <v>39736</v>
      </c>
      <c r="AB2139" s="1" t="s">
        <v>46</v>
      </c>
      <c r="AC2139" s="5">
        <v>370</v>
      </c>
      <c r="AD2139" s="1" t="s">
        <v>4960</v>
      </c>
      <c r="AE2139" s="1" t="str">
        <f t="shared" si="160"/>
        <v>10745 18</v>
      </c>
      <c r="AF2139" s="14">
        <f>AF2137</f>
        <v>23.527777777777779</v>
      </c>
      <c r="AG2139" s="1" t="str">
        <f t="shared" si="159"/>
        <v/>
      </c>
    </row>
    <row r="2140" spans="1:33" x14ac:dyDescent="0.2">
      <c r="A2140" s="1" t="s">
        <v>1621</v>
      </c>
      <c r="B2140" s="1" t="s">
        <v>4943</v>
      </c>
      <c r="C2140" s="1">
        <v>10745</v>
      </c>
      <c r="D2140" s="1">
        <v>19</v>
      </c>
      <c r="F2140" s="1">
        <v>2023</v>
      </c>
      <c r="G2140" s="1" t="s">
        <v>1020</v>
      </c>
      <c r="H2140" s="1">
        <v>602307</v>
      </c>
      <c r="I2140" s="1">
        <v>5</v>
      </c>
      <c r="K2140" s="1" t="s">
        <v>4944</v>
      </c>
      <c r="L2140" s="1" t="s">
        <v>4945</v>
      </c>
      <c r="M2140" s="1">
        <v>111</v>
      </c>
      <c r="N2140" s="1" t="s">
        <v>1680</v>
      </c>
      <c r="O2140" s="1">
        <v>43.586100000000002</v>
      </c>
      <c r="P2140" s="1">
        <v>-84.224199999999996</v>
      </c>
      <c r="Q2140" s="1" t="s">
        <v>4946</v>
      </c>
      <c r="T2140" s="1" t="s">
        <v>656</v>
      </c>
      <c r="U2140" s="1" t="s">
        <v>44</v>
      </c>
      <c r="X2140" s="1" t="s">
        <v>90</v>
      </c>
      <c r="AA2140" s="3">
        <v>39736</v>
      </c>
      <c r="AB2140" s="1" t="s">
        <v>46</v>
      </c>
      <c r="AC2140" s="5">
        <v>370</v>
      </c>
      <c r="AD2140" s="1" t="s">
        <v>4959</v>
      </c>
      <c r="AE2140" s="1" t="str">
        <f t="shared" si="160"/>
        <v>10745 19</v>
      </c>
      <c r="AF2140" s="14">
        <f>AF2137</f>
        <v>23.527777777777779</v>
      </c>
      <c r="AG2140" s="1" t="str">
        <f t="shared" si="159"/>
        <v/>
      </c>
    </row>
    <row r="2141" spans="1:33" x14ac:dyDescent="0.2">
      <c r="A2141" s="1" t="s">
        <v>1621</v>
      </c>
      <c r="B2141" s="1" t="s">
        <v>4943</v>
      </c>
      <c r="C2141" s="1">
        <v>10745</v>
      </c>
      <c r="D2141" s="1">
        <v>20</v>
      </c>
      <c r="F2141" s="1">
        <v>2023</v>
      </c>
      <c r="G2141" s="1" t="s">
        <v>1020</v>
      </c>
      <c r="H2141" s="1">
        <v>602307</v>
      </c>
      <c r="I2141" s="1">
        <v>5</v>
      </c>
      <c r="K2141" s="1" t="s">
        <v>4944</v>
      </c>
      <c r="L2141" s="1" t="s">
        <v>4945</v>
      </c>
      <c r="M2141" s="1">
        <v>111</v>
      </c>
      <c r="N2141" s="1" t="s">
        <v>1680</v>
      </c>
      <c r="O2141" s="1">
        <v>43.586100000000002</v>
      </c>
      <c r="P2141" s="1">
        <v>-84.224199999999996</v>
      </c>
      <c r="Q2141" s="1" t="s">
        <v>4946</v>
      </c>
      <c r="T2141" s="1" t="s">
        <v>656</v>
      </c>
      <c r="U2141" s="1" t="s">
        <v>44</v>
      </c>
      <c r="X2141" s="1" t="s">
        <v>90</v>
      </c>
      <c r="AA2141" s="3">
        <v>39853</v>
      </c>
      <c r="AB2141" s="1" t="s">
        <v>46</v>
      </c>
      <c r="AC2141" s="5">
        <v>370</v>
      </c>
      <c r="AD2141" s="1" t="s">
        <v>4960</v>
      </c>
      <c r="AE2141" s="1" t="str">
        <f t="shared" si="160"/>
        <v>10745 20</v>
      </c>
      <c r="AF2141" s="14">
        <f>AF2137</f>
        <v>23.527777777777779</v>
      </c>
      <c r="AG2141" s="1" t="str">
        <f t="shared" si="159"/>
        <v/>
      </c>
    </row>
    <row r="2142" spans="1:33" x14ac:dyDescent="0.2">
      <c r="A2142" s="1" t="s">
        <v>1621</v>
      </c>
      <c r="B2142" s="1" t="s">
        <v>4943</v>
      </c>
      <c r="C2142" s="1">
        <v>10745</v>
      </c>
      <c r="D2142" s="1">
        <v>21</v>
      </c>
      <c r="F2142" s="1">
        <v>2023</v>
      </c>
      <c r="G2142" s="1" t="s">
        <v>1020</v>
      </c>
      <c r="H2142" s="1">
        <v>602307</v>
      </c>
      <c r="I2142" s="1">
        <v>5</v>
      </c>
      <c r="K2142" s="1" t="s">
        <v>4944</v>
      </c>
      <c r="L2142" s="1" t="s">
        <v>4945</v>
      </c>
      <c r="M2142" s="1">
        <v>111</v>
      </c>
      <c r="N2142" s="1" t="s">
        <v>1680</v>
      </c>
      <c r="O2142" s="1">
        <v>43.586100000000002</v>
      </c>
      <c r="P2142" s="1">
        <v>-84.224199999999996</v>
      </c>
      <c r="Q2142" s="1" t="s">
        <v>4946</v>
      </c>
      <c r="T2142" s="1" t="s">
        <v>656</v>
      </c>
      <c r="U2142" s="1" t="s">
        <v>44</v>
      </c>
      <c r="X2142" s="1" t="s">
        <v>90</v>
      </c>
      <c r="AA2142" s="3">
        <v>39853</v>
      </c>
      <c r="AB2142" s="1" t="s">
        <v>46</v>
      </c>
      <c r="AC2142" s="5">
        <v>370</v>
      </c>
      <c r="AD2142" s="1" t="s">
        <v>4960</v>
      </c>
      <c r="AE2142" s="1" t="str">
        <f t="shared" si="160"/>
        <v>10745 21</v>
      </c>
      <c r="AF2142" s="14">
        <f>AF2137</f>
        <v>23.527777777777779</v>
      </c>
      <c r="AG2142" s="1" t="str">
        <f t="shared" si="159"/>
        <v/>
      </c>
    </row>
    <row r="2143" spans="1:33" x14ac:dyDescent="0.2">
      <c r="A2143" s="1" t="s">
        <v>1980</v>
      </c>
      <c r="B2143" s="1" t="s">
        <v>4961</v>
      </c>
      <c r="C2143" s="1">
        <v>10751</v>
      </c>
      <c r="D2143" s="1">
        <v>2001</v>
      </c>
      <c r="F2143" s="1">
        <v>2023</v>
      </c>
      <c r="G2143" s="1" t="s">
        <v>1515</v>
      </c>
      <c r="H2143" s="1">
        <v>601710</v>
      </c>
      <c r="I2143" s="1">
        <v>2</v>
      </c>
      <c r="K2143" s="1" t="s">
        <v>4962</v>
      </c>
      <c r="L2143" s="1" t="s">
        <v>4963</v>
      </c>
      <c r="M2143" s="1">
        <v>7</v>
      </c>
      <c r="N2143" s="1" t="s">
        <v>1680</v>
      </c>
      <c r="O2143" s="1">
        <v>39.917499999999997</v>
      </c>
      <c r="P2143" s="1">
        <v>-75.119200000000006</v>
      </c>
      <c r="Q2143" s="1" t="s">
        <v>4964</v>
      </c>
      <c r="R2143" s="1" t="s">
        <v>41</v>
      </c>
      <c r="T2143" s="1" t="s">
        <v>71</v>
      </c>
      <c r="U2143" s="1" t="s">
        <v>44</v>
      </c>
      <c r="V2143" s="1" t="s">
        <v>1292</v>
      </c>
      <c r="X2143" s="1" t="s">
        <v>4050</v>
      </c>
      <c r="AA2143" s="3">
        <v>34035</v>
      </c>
      <c r="AB2143" s="1" t="s">
        <v>46</v>
      </c>
      <c r="AC2143" s="5">
        <v>1369</v>
      </c>
      <c r="AD2143" s="1" t="s">
        <v>4965</v>
      </c>
      <c r="AE2143" s="1" t="str">
        <f t="shared" si="160"/>
        <v>10751 2001</v>
      </c>
      <c r="AF2143" s="14">
        <f>MID(AD2143,FIND("(",AD2143)+1,FIND(")",AD2143)-FIND("(",AD2143)-1)+95.2</f>
        <v>157</v>
      </c>
      <c r="AG2143" s="1" t="str">
        <f t="shared" si="159"/>
        <v>Y</v>
      </c>
    </row>
    <row r="2144" spans="1:33" x14ac:dyDescent="0.2">
      <c r="A2144" s="1" t="s">
        <v>1903</v>
      </c>
      <c r="B2144" s="1" t="s">
        <v>4966</v>
      </c>
      <c r="C2144" s="1">
        <v>10761</v>
      </c>
      <c r="D2144" s="1">
        <v>1</v>
      </c>
      <c r="F2144" s="1">
        <v>2023</v>
      </c>
      <c r="G2144" s="1" t="s">
        <v>247</v>
      </c>
      <c r="H2144" s="1">
        <v>610268</v>
      </c>
      <c r="I2144" s="1">
        <v>9</v>
      </c>
      <c r="K2144" s="1" t="s">
        <v>170</v>
      </c>
      <c r="L2144" s="1" t="s">
        <v>1906</v>
      </c>
      <c r="M2144" s="1">
        <v>3</v>
      </c>
      <c r="N2144" s="1" t="s">
        <v>39</v>
      </c>
      <c r="O2144" s="1">
        <v>36.231699999999996</v>
      </c>
      <c r="P2144" s="1">
        <v>-115.12350000000001</v>
      </c>
      <c r="Q2144" s="1" t="s">
        <v>4967</v>
      </c>
      <c r="R2144" s="1" t="s">
        <v>41</v>
      </c>
      <c r="T2144" s="1" t="s">
        <v>71</v>
      </c>
      <c r="U2144" s="1" t="s">
        <v>44</v>
      </c>
      <c r="X2144" s="1" t="s">
        <v>223</v>
      </c>
      <c r="AA2144" s="3">
        <v>34469</v>
      </c>
      <c r="AB2144" s="1" t="s">
        <v>46</v>
      </c>
      <c r="AC2144" s="5">
        <v>460</v>
      </c>
      <c r="AD2144" s="1" t="s">
        <v>4968</v>
      </c>
      <c r="AE2144" s="1" t="str">
        <f t="shared" si="160"/>
        <v>10761 1</v>
      </c>
      <c r="AF2144" s="14">
        <f>MID(AD2144,FIND("(",AD2144)+1,FIND(")",AD2144)-FIND("(",AD2144)-1)+49.8</f>
        <v>61.3</v>
      </c>
      <c r="AG2144" s="1" t="str">
        <f t="shared" si="159"/>
        <v>Y</v>
      </c>
    </row>
    <row r="2145" spans="1:33" x14ac:dyDescent="0.2">
      <c r="A2145" s="1" t="s">
        <v>1903</v>
      </c>
      <c r="B2145" s="1" t="s">
        <v>4966</v>
      </c>
      <c r="C2145" s="1">
        <v>10761</v>
      </c>
      <c r="D2145" s="1">
        <v>2</v>
      </c>
      <c r="F2145" s="1">
        <v>2023</v>
      </c>
      <c r="G2145" s="1" t="s">
        <v>247</v>
      </c>
      <c r="H2145" s="1">
        <v>610268</v>
      </c>
      <c r="I2145" s="1">
        <v>9</v>
      </c>
      <c r="K2145" s="1" t="s">
        <v>170</v>
      </c>
      <c r="L2145" s="1" t="s">
        <v>1906</v>
      </c>
      <c r="M2145" s="1">
        <v>3</v>
      </c>
      <c r="N2145" s="1" t="s">
        <v>39</v>
      </c>
      <c r="O2145" s="1">
        <v>36.231699999999996</v>
      </c>
      <c r="P2145" s="1">
        <v>-115.12350000000001</v>
      </c>
      <c r="Q2145" s="1" t="s">
        <v>4967</v>
      </c>
      <c r="R2145" s="1" t="s">
        <v>41</v>
      </c>
      <c r="T2145" s="1" t="s">
        <v>71</v>
      </c>
      <c r="U2145" s="1" t="s">
        <v>44</v>
      </c>
      <c r="X2145" s="1" t="s">
        <v>223</v>
      </c>
      <c r="AA2145" s="3">
        <v>37484</v>
      </c>
      <c r="AB2145" s="1" t="s">
        <v>46</v>
      </c>
      <c r="AC2145" s="5">
        <v>470</v>
      </c>
      <c r="AD2145" s="1" t="s">
        <v>4969</v>
      </c>
      <c r="AE2145" s="1" t="str">
        <f t="shared" si="160"/>
        <v>10761 2</v>
      </c>
      <c r="AF2145" s="14">
        <f>AF2146</f>
        <v>74.400000000000006</v>
      </c>
      <c r="AG2145" s="1" t="str">
        <f t="shared" si="159"/>
        <v>Y</v>
      </c>
    </row>
    <row r="2146" spans="1:33" x14ac:dyDescent="0.2">
      <c r="A2146" s="1" t="s">
        <v>1903</v>
      </c>
      <c r="B2146" s="1" t="s">
        <v>4966</v>
      </c>
      <c r="C2146" s="1">
        <v>10761</v>
      </c>
      <c r="D2146" s="1">
        <v>3</v>
      </c>
      <c r="F2146" s="1">
        <v>2023</v>
      </c>
      <c r="G2146" s="1" t="s">
        <v>247</v>
      </c>
      <c r="H2146" s="1">
        <v>610268</v>
      </c>
      <c r="I2146" s="1">
        <v>9</v>
      </c>
      <c r="K2146" s="1" t="s">
        <v>170</v>
      </c>
      <c r="L2146" s="1" t="s">
        <v>1906</v>
      </c>
      <c r="M2146" s="1">
        <v>3</v>
      </c>
      <c r="N2146" s="1" t="s">
        <v>39</v>
      </c>
      <c r="O2146" s="1">
        <v>36.231699999999996</v>
      </c>
      <c r="P2146" s="1">
        <v>-115.12350000000001</v>
      </c>
      <c r="Q2146" s="1" t="s">
        <v>4967</v>
      </c>
      <c r="R2146" s="1" t="s">
        <v>41</v>
      </c>
      <c r="T2146" s="1" t="s">
        <v>71</v>
      </c>
      <c r="U2146" s="1" t="s">
        <v>44</v>
      </c>
      <c r="X2146" s="1" t="s">
        <v>223</v>
      </c>
      <c r="AA2146" s="3">
        <v>37484</v>
      </c>
      <c r="AB2146" s="1" t="s">
        <v>46</v>
      </c>
      <c r="AC2146" s="5">
        <v>470</v>
      </c>
      <c r="AD2146" s="1" t="s">
        <v>4970</v>
      </c>
      <c r="AE2146" s="1" t="str">
        <f t="shared" si="160"/>
        <v>10761 3</v>
      </c>
      <c r="AF2146" s="14">
        <f>MID(AD2146,FIND("(",AD2146)+1,FIND(")",AD2146)-FIND("(",AD2146)-1)+27.8/2</f>
        <v>74.400000000000006</v>
      </c>
      <c r="AG2146" s="1" t="str">
        <f t="shared" si="159"/>
        <v>Y</v>
      </c>
    </row>
    <row r="2147" spans="1:33" x14ac:dyDescent="0.2">
      <c r="A2147" s="1" t="s">
        <v>1903</v>
      </c>
      <c r="B2147" s="1" t="s">
        <v>4966</v>
      </c>
      <c r="C2147" s="1">
        <v>10761</v>
      </c>
      <c r="D2147" s="1">
        <v>4</v>
      </c>
      <c r="F2147" s="1">
        <v>2023</v>
      </c>
      <c r="G2147" s="1" t="s">
        <v>247</v>
      </c>
      <c r="H2147" s="1">
        <v>610268</v>
      </c>
      <c r="I2147" s="1">
        <v>9</v>
      </c>
      <c r="K2147" s="1" t="s">
        <v>170</v>
      </c>
      <c r="L2147" s="1" t="s">
        <v>1906</v>
      </c>
      <c r="M2147" s="1">
        <v>3</v>
      </c>
      <c r="N2147" s="1" t="s">
        <v>39</v>
      </c>
      <c r="O2147" s="1">
        <v>36.231699999999996</v>
      </c>
      <c r="P2147" s="1">
        <v>-115.12350000000001</v>
      </c>
      <c r="Q2147" s="1" t="s">
        <v>4967</v>
      </c>
      <c r="R2147" s="1" t="s">
        <v>41</v>
      </c>
      <c r="T2147" s="1" t="s">
        <v>71</v>
      </c>
      <c r="U2147" s="1" t="s">
        <v>44</v>
      </c>
      <c r="X2147" s="1" t="s">
        <v>223</v>
      </c>
      <c r="AA2147" s="3">
        <v>37521</v>
      </c>
      <c r="AB2147" s="1" t="s">
        <v>46</v>
      </c>
      <c r="AC2147" s="5">
        <v>470</v>
      </c>
      <c r="AD2147" s="1" t="s">
        <v>4971</v>
      </c>
      <c r="AE2147" s="1" t="str">
        <f t="shared" si="160"/>
        <v>10761 4</v>
      </c>
      <c r="AF2147" s="14">
        <f>AF2148</f>
        <v>74.400000000000006</v>
      </c>
      <c r="AG2147" s="1" t="str">
        <f t="shared" si="159"/>
        <v>Y</v>
      </c>
    </row>
    <row r="2148" spans="1:33" x14ac:dyDescent="0.2">
      <c r="A2148" s="1" t="s">
        <v>1903</v>
      </c>
      <c r="B2148" s="1" t="s">
        <v>4966</v>
      </c>
      <c r="C2148" s="1">
        <v>10761</v>
      </c>
      <c r="D2148" s="1">
        <v>5</v>
      </c>
      <c r="F2148" s="1">
        <v>2023</v>
      </c>
      <c r="G2148" s="1" t="s">
        <v>247</v>
      </c>
      <c r="H2148" s="1">
        <v>610268</v>
      </c>
      <c r="I2148" s="1">
        <v>9</v>
      </c>
      <c r="K2148" s="1" t="s">
        <v>170</v>
      </c>
      <c r="L2148" s="1" t="s">
        <v>1906</v>
      </c>
      <c r="M2148" s="1">
        <v>3</v>
      </c>
      <c r="N2148" s="1" t="s">
        <v>39</v>
      </c>
      <c r="O2148" s="1">
        <v>36.231699999999996</v>
      </c>
      <c r="P2148" s="1">
        <v>-115.12350000000001</v>
      </c>
      <c r="Q2148" s="1" t="s">
        <v>4967</v>
      </c>
      <c r="R2148" s="1" t="s">
        <v>41</v>
      </c>
      <c r="T2148" s="1" t="s">
        <v>71</v>
      </c>
      <c r="U2148" s="1" t="s">
        <v>44</v>
      </c>
      <c r="X2148" s="1" t="s">
        <v>223</v>
      </c>
      <c r="AA2148" s="3">
        <v>37526</v>
      </c>
      <c r="AB2148" s="1" t="s">
        <v>46</v>
      </c>
      <c r="AC2148" s="5">
        <v>470</v>
      </c>
      <c r="AD2148" s="1" t="s">
        <v>4972</v>
      </c>
      <c r="AE2148" s="1" t="str">
        <f t="shared" si="160"/>
        <v>10761 5</v>
      </c>
      <c r="AF2148" s="14">
        <f>MID(AD2148,FIND("(",AD2148)+1,FIND(")",AD2148)-FIND("(",AD2148)-1)+27.8/2</f>
        <v>74.400000000000006</v>
      </c>
      <c r="AG2148" s="1" t="str">
        <f t="shared" si="159"/>
        <v>Y</v>
      </c>
    </row>
    <row r="2149" spans="1:33" x14ac:dyDescent="0.2">
      <c r="A2149" s="1" t="s">
        <v>3095</v>
      </c>
      <c r="B2149" s="1" t="s">
        <v>4973</v>
      </c>
      <c r="C2149" s="1">
        <v>10771</v>
      </c>
      <c r="D2149" s="1">
        <v>1</v>
      </c>
      <c r="E2149" s="1" t="s">
        <v>3161</v>
      </c>
      <c r="F2149" s="1">
        <v>2023</v>
      </c>
      <c r="G2149" s="1" t="s">
        <v>461</v>
      </c>
      <c r="H2149" s="1">
        <v>1525</v>
      </c>
      <c r="I2149" s="1">
        <v>3</v>
      </c>
      <c r="K2149" s="1" t="s">
        <v>4896</v>
      </c>
      <c r="L2149" s="1" t="s">
        <v>4897</v>
      </c>
      <c r="M2149" s="1">
        <v>670</v>
      </c>
      <c r="N2149" s="1" t="s">
        <v>39</v>
      </c>
      <c r="O2149" s="1">
        <v>37.296900000000001</v>
      </c>
      <c r="P2149" s="1">
        <v>-77.283299999999997</v>
      </c>
      <c r="Q2149" s="1" t="s">
        <v>3112</v>
      </c>
      <c r="R2149" s="1" t="s">
        <v>41</v>
      </c>
      <c r="T2149" s="1" t="s">
        <v>1660</v>
      </c>
      <c r="U2149" s="1" t="s">
        <v>657</v>
      </c>
      <c r="W2149" s="1" t="s">
        <v>212</v>
      </c>
      <c r="X2149" s="1" t="s">
        <v>604</v>
      </c>
      <c r="Y2149" s="1" t="s">
        <v>232</v>
      </c>
      <c r="AA2149" s="3">
        <v>33786</v>
      </c>
      <c r="AB2149" s="1" t="s">
        <v>46</v>
      </c>
      <c r="AC2149" s="5">
        <v>410</v>
      </c>
      <c r="AD2149" s="1" t="s">
        <v>4974</v>
      </c>
      <c r="AE2149" s="1" t="str">
        <f t="shared" si="160"/>
        <v>10771 1</v>
      </c>
      <c r="AF2149" s="5" t="str">
        <f>MID(AD2149,FIND("(",AD2149)+1,FIND(")",AD2149)-FIND("(",AD2149)-1)</f>
        <v>71.1</v>
      </c>
      <c r="AG2149" s="1" t="str">
        <f t="shared" si="159"/>
        <v>Y</v>
      </c>
    </row>
    <row r="2150" spans="1:33" x14ac:dyDescent="0.2">
      <c r="A2150" s="1" t="s">
        <v>3095</v>
      </c>
      <c r="B2150" s="1" t="s">
        <v>4973</v>
      </c>
      <c r="C2150" s="1">
        <v>10771</v>
      </c>
      <c r="D2150" s="1">
        <v>2</v>
      </c>
      <c r="E2150" s="1" t="s">
        <v>3161</v>
      </c>
      <c r="F2150" s="1">
        <v>2023</v>
      </c>
      <c r="G2150" s="1" t="s">
        <v>461</v>
      </c>
      <c r="H2150" s="1">
        <v>1525</v>
      </c>
      <c r="I2150" s="1">
        <v>3</v>
      </c>
      <c r="K2150" s="1" t="s">
        <v>4896</v>
      </c>
      <c r="L2150" s="1" t="s">
        <v>4897</v>
      </c>
      <c r="M2150" s="1">
        <v>670</v>
      </c>
      <c r="N2150" s="1" t="s">
        <v>39</v>
      </c>
      <c r="O2150" s="1">
        <v>37.296900000000001</v>
      </c>
      <c r="P2150" s="1">
        <v>-77.283299999999997</v>
      </c>
      <c r="Q2150" s="1" t="s">
        <v>3112</v>
      </c>
      <c r="R2150" s="1" t="s">
        <v>41</v>
      </c>
      <c r="T2150" s="1" t="s">
        <v>1660</v>
      </c>
      <c r="U2150" s="1" t="s">
        <v>657</v>
      </c>
      <c r="W2150" s="1" t="s">
        <v>212</v>
      </c>
      <c r="X2150" s="1" t="s">
        <v>604</v>
      </c>
      <c r="Y2150" s="1" t="s">
        <v>232</v>
      </c>
      <c r="AA2150" s="3">
        <v>33786</v>
      </c>
      <c r="AB2150" s="1" t="s">
        <v>46</v>
      </c>
      <c r="AC2150" s="5">
        <v>410</v>
      </c>
      <c r="AD2150" s="1" t="s">
        <v>4974</v>
      </c>
      <c r="AE2150" s="1" t="str">
        <f t="shared" si="160"/>
        <v>10771 2</v>
      </c>
      <c r="AF2150" s="5" t="str">
        <f>MID(AD2150,FIND("(",AD2150)+1,FIND(")",AD2150)-FIND("(",AD2150)-1)</f>
        <v>71.1</v>
      </c>
      <c r="AG2150" s="1" t="str">
        <f t="shared" si="159"/>
        <v>Y</v>
      </c>
    </row>
    <row r="2151" spans="1:33" x14ac:dyDescent="0.2">
      <c r="A2151" s="1" t="s">
        <v>3095</v>
      </c>
      <c r="B2151" s="1" t="s">
        <v>4975</v>
      </c>
      <c r="C2151" s="1">
        <v>10773</v>
      </c>
      <c r="D2151" s="1">
        <v>1</v>
      </c>
      <c r="E2151" s="1" t="s">
        <v>3161</v>
      </c>
      <c r="F2151" s="1">
        <v>2023</v>
      </c>
      <c r="G2151" s="1" t="s">
        <v>461</v>
      </c>
      <c r="H2151" s="1">
        <v>1525</v>
      </c>
      <c r="I2151" s="1">
        <v>3</v>
      </c>
      <c r="K2151" s="1" t="s">
        <v>3539</v>
      </c>
      <c r="L2151" s="1" t="s">
        <v>4976</v>
      </c>
      <c r="M2151" s="1">
        <v>31</v>
      </c>
      <c r="N2151" s="1" t="s">
        <v>39</v>
      </c>
      <c r="O2151" s="1">
        <v>37.118299999999998</v>
      </c>
      <c r="P2151" s="1">
        <v>-79.272599999999997</v>
      </c>
      <c r="Q2151" s="1" t="s">
        <v>3112</v>
      </c>
      <c r="R2151" s="1" t="s">
        <v>41</v>
      </c>
      <c r="T2151" s="1" t="s">
        <v>1660</v>
      </c>
      <c r="U2151" s="1" t="s">
        <v>657</v>
      </c>
      <c r="W2151" s="1" t="s">
        <v>212</v>
      </c>
      <c r="X2151" s="1" t="s">
        <v>604</v>
      </c>
      <c r="Y2151" s="1" t="s">
        <v>232</v>
      </c>
      <c r="AA2151" s="3">
        <v>33656</v>
      </c>
      <c r="AB2151" s="1" t="s">
        <v>46</v>
      </c>
      <c r="AC2151" s="5">
        <v>410</v>
      </c>
      <c r="AD2151" s="1" t="s">
        <v>4977</v>
      </c>
      <c r="AE2151" s="1" t="str">
        <f t="shared" si="160"/>
        <v>10773 1</v>
      </c>
      <c r="AF2151" s="14">
        <f>MID(AD2151,FIND("(",AD2151)+1,FIND(")",AD2151)-FIND("(",AD2151)-1)+71.1</f>
        <v>142.19999999999999</v>
      </c>
      <c r="AG2151" s="1" t="str">
        <f t="shared" si="159"/>
        <v>Y</v>
      </c>
    </row>
    <row r="2152" spans="1:33" x14ac:dyDescent="0.2">
      <c r="A2152" s="1" t="s">
        <v>3095</v>
      </c>
      <c r="B2152" s="1" t="s">
        <v>4975</v>
      </c>
      <c r="C2152" s="1">
        <v>10773</v>
      </c>
      <c r="D2152" s="1">
        <v>2</v>
      </c>
      <c r="E2152" s="1" t="s">
        <v>3161</v>
      </c>
      <c r="F2152" s="1">
        <v>2023</v>
      </c>
      <c r="G2152" s="1" t="s">
        <v>461</v>
      </c>
      <c r="H2152" s="1">
        <v>1525</v>
      </c>
      <c r="I2152" s="1">
        <v>3</v>
      </c>
      <c r="K2152" s="1" t="s">
        <v>3539</v>
      </c>
      <c r="L2152" s="1" t="s">
        <v>4976</v>
      </c>
      <c r="M2152" s="1">
        <v>31</v>
      </c>
      <c r="N2152" s="1" t="s">
        <v>39</v>
      </c>
      <c r="O2152" s="1">
        <v>37.118299999999998</v>
      </c>
      <c r="P2152" s="1">
        <v>-79.272599999999997</v>
      </c>
      <c r="Q2152" s="1" t="s">
        <v>3112</v>
      </c>
      <c r="R2152" s="1" t="s">
        <v>41</v>
      </c>
      <c r="T2152" s="1" t="s">
        <v>1660</v>
      </c>
      <c r="U2152" s="1" t="s">
        <v>657</v>
      </c>
      <c r="W2152" s="1" t="s">
        <v>212</v>
      </c>
      <c r="X2152" s="1" t="s">
        <v>604</v>
      </c>
      <c r="Y2152" s="1" t="s">
        <v>232</v>
      </c>
      <c r="AA2152" s="3">
        <v>33656</v>
      </c>
      <c r="AB2152" s="1" t="s">
        <v>46</v>
      </c>
      <c r="AC2152" s="5">
        <v>410</v>
      </c>
      <c r="AD2152" s="1" t="s">
        <v>4974</v>
      </c>
      <c r="AE2152" s="1" t="str">
        <f t="shared" si="160"/>
        <v>10773 2</v>
      </c>
      <c r="AF2152" s="5" t="str">
        <f>MID(AD2152,FIND("(",AD2152)+1,FIND(")",AD2152)-FIND("(",AD2152)-1)</f>
        <v>71.1</v>
      </c>
      <c r="AG2152" s="1" t="str">
        <f t="shared" si="159"/>
        <v>Y</v>
      </c>
    </row>
    <row r="2153" spans="1:33" x14ac:dyDescent="0.2">
      <c r="A2153" s="1" t="s">
        <v>3095</v>
      </c>
      <c r="B2153" s="1" t="s">
        <v>4978</v>
      </c>
      <c r="C2153" s="1">
        <v>10774</v>
      </c>
      <c r="D2153" s="1">
        <v>1</v>
      </c>
      <c r="E2153" s="1" t="s">
        <v>3161</v>
      </c>
      <c r="F2153" s="1">
        <v>2023</v>
      </c>
      <c r="G2153" s="1" t="s">
        <v>461</v>
      </c>
      <c r="H2153" s="1">
        <v>1525</v>
      </c>
      <c r="I2153" s="1">
        <v>3</v>
      </c>
      <c r="K2153" s="1" t="s">
        <v>4979</v>
      </c>
      <c r="L2153" s="1" t="s">
        <v>4980</v>
      </c>
      <c r="M2153" s="1">
        <v>175</v>
      </c>
      <c r="N2153" s="1" t="s">
        <v>39</v>
      </c>
      <c r="O2153" s="1">
        <v>36.652500000000003</v>
      </c>
      <c r="P2153" s="1">
        <v>-76.9953</v>
      </c>
      <c r="Q2153" s="1" t="s">
        <v>3112</v>
      </c>
      <c r="R2153" s="1" t="s">
        <v>41</v>
      </c>
      <c r="T2153" s="1" t="s">
        <v>1660</v>
      </c>
      <c r="U2153" s="1" t="s">
        <v>657</v>
      </c>
      <c r="W2153" s="1" t="s">
        <v>212</v>
      </c>
      <c r="X2153" s="1" t="s">
        <v>4981</v>
      </c>
      <c r="Y2153" s="1" t="s">
        <v>232</v>
      </c>
      <c r="AA2153" s="3">
        <v>33670</v>
      </c>
      <c r="AB2153" s="1" t="s">
        <v>46</v>
      </c>
      <c r="AC2153" s="5">
        <v>435</v>
      </c>
      <c r="AD2153" s="1" t="s">
        <v>4974</v>
      </c>
      <c r="AE2153" s="1" t="str">
        <f t="shared" si="160"/>
        <v>10774 1</v>
      </c>
      <c r="AF2153" s="5" t="str">
        <f>MID(AD2153,FIND("(",AD2153)+1,FIND(")",AD2153)-FIND("(",AD2153)-1)</f>
        <v>71.1</v>
      </c>
      <c r="AG2153" s="1" t="str">
        <f t="shared" si="159"/>
        <v>Y</v>
      </c>
    </row>
    <row r="2154" spans="1:33" x14ac:dyDescent="0.2">
      <c r="A2154" s="1" t="s">
        <v>3095</v>
      </c>
      <c r="B2154" s="1" t="s">
        <v>4978</v>
      </c>
      <c r="C2154" s="1">
        <v>10774</v>
      </c>
      <c r="D2154" s="1">
        <v>2</v>
      </c>
      <c r="E2154" s="1" t="s">
        <v>3161</v>
      </c>
      <c r="F2154" s="1">
        <v>2023</v>
      </c>
      <c r="G2154" s="1" t="s">
        <v>461</v>
      </c>
      <c r="H2154" s="1">
        <v>1525</v>
      </c>
      <c r="I2154" s="1">
        <v>3</v>
      </c>
      <c r="K2154" s="1" t="s">
        <v>4979</v>
      </c>
      <c r="L2154" s="1" t="s">
        <v>4980</v>
      </c>
      <c r="M2154" s="1">
        <v>175</v>
      </c>
      <c r="N2154" s="1" t="s">
        <v>39</v>
      </c>
      <c r="O2154" s="1">
        <v>36.652500000000003</v>
      </c>
      <c r="P2154" s="1">
        <v>-76.9953</v>
      </c>
      <c r="Q2154" s="1" t="s">
        <v>3112</v>
      </c>
      <c r="R2154" s="1" t="s">
        <v>41</v>
      </c>
      <c r="T2154" s="1" t="s">
        <v>1660</v>
      </c>
      <c r="U2154" s="1" t="s">
        <v>657</v>
      </c>
      <c r="W2154" s="1" t="s">
        <v>212</v>
      </c>
      <c r="X2154" s="1" t="s">
        <v>4981</v>
      </c>
      <c r="Y2154" s="1" t="s">
        <v>232</v>
      </c>
      <c r="AA2154" s="3">
        <v>33670</v>
      </c>
      <c r="AB2154" s="1" t="s">
        <v>46</v>
      </c>
      <c r="AC2154" s="5">
        <v>435</v>
      </c>
      <c r="AD2154" s="1" t="s">
        <v>4974</v>
      </c>
      <c r="AE2154" s="1" t="str">
        <f t="shared" si="160"/>
        <v>10774 2</v>
      </c>
      <c r="AF2154" s="5" t="str">
        <f>MID(AD2154,FIND("(",AD2154)+1,FIND(")",AD2154)-FIND("(",AD2154)-1)</f>
        <v>71.1</v>
      </c>
      <c r="AG2154" s="1" t="str">
        <f t="shared" si="159"/>
        <v>Y</v>
      </c>
    </row>
    <row r="2155" spans="1:33" x14ac:dyDescent="0.2">
      <c r="A2155" s="1" t="s">
        <v>370</v>
      </c>
      <c r="B2155" s="1" t="s">
        <v>4982</v>
      </c>
      <c r="C2155" s="1">
        <v>10776</v>
      </c>
      <c r="D2155" s="1" t="s">
        <v>4823</v>
      </c>
      <c r="F2155" s="1">
        <v>2023</v>
      </c>
      <c r="G2155" s="1" t="s">
        <v>247</v>
      </c>
      <c r="H2155" s="1">
        <v>605012</v>
      </c>
      <c r="I2155" s="1">
        <v>9</v>
      </c>
      <c r="K2155" s="1" t="s">
        <v>429</v>
      </c>
      <c r="L2155" s="1" t="s">
        <v>430</v>
      </c>
      <c r="M2155" s="1">
        <v>111</v>
      </c>
      <c r="N2155" s="1" t="s">
        <v>39</v>
      </c>
      <c r="O2155" s="1">
        <v>34.196300000000001</v>
      </c>
      <c r="P2155" s="1">
        <v>-119.16630000000001</v>
      </c>
      <c r="Q2155" s="1" t="s">
        <v>4983</v>
      </c>
      <c r="R2155" s="1" t="s">
        <v>41</v>
      </c>
      <c r="T2155" s="1" t="s">
        <v>93</v>
      </c>
      <c r="U2155" s="1" t="s">
        <v>284</v>
      </c>
      <c r="X2155" s="1" t="s">
        <v>223</v>
      </c>
      <c r="AA2155" s="3">
        <v>32976</v>
      </c>
      <c r="AB2155" s="1" t="s">
        <v>46</v>
      </c>
      <c r="AC2155" s="5">
        <v>449.6</v>
      </c>
      <c r="AD2155" s="1" t="s">
        <v>4984</v>
      </c>
      <c r="AE2155" s="1" t="str">
        <f t="shared" si="160"/>
        <v>10776 GTG</v>
      </c>
      <c r="AF2155" s="5" t="str">
        <f>MID(AD2155,FIND("(",AD2155)+1,FIND(")",AD2155)-FIND("(",AD2155)-1)</f>
        <v>48.5</v>
      </c>
      <c r="AG2155" s="1" t="str">
        <f t="shared" si="159"/>
        <v>Y</v>
      </c>
    </row>
    <row r="2156" spans="1:33" x14ac:dyDescent="0.2">
      <c r="A2156" s="1" t="s">
        <v>2089</v>
      </c>
      <c r="B2156" s="1" t="s">
        <v>4985</v>
      </c>
      <c r="C2156" s="1">
        <v>10803</v>
      </c>
      <c r="D2156" s="1">
        <v>1</v>
      </c>
      <c r="F2156" s="1">
        <v>2023</v>
      </c>
      <c r="G2156" s="1" t="s">
        <v>1515</v>
      </c>
      <c r="H2156" s="1">
        <v>2129</v>
      </c>
      <c r="I2156" s="1">
        <v>2</v>
      </c>
      <c r="J2156" s="1" t="s">
        <v>580</v>
      </c>
      <c r="K2156" s="1" t="s">
        <v>4986</v>
      </c>
      <c r="L2156" s="1" t="s">
        <v>4987</v>
      </c>
      <c r="M2156" s="1">
        <v>89</v>
      </c>
      <c r="N2156" s="1" t="s">
        <v>39</v>
      </c>
      <c r="O2156" s="1">
        <v>44.7258</v>
      </c>
      <c r="P2156" s="1">
        <v>-75.441699999999997</v>
      </c>
      <c r="Q2156" s="1" t="s">
        <v>4988</v>
      </c>
      <c r="R2156" s="1" t="s">
        <v>41</v>
      </c>
      <c r="T2156" s="1" t="s">
        <v>71</v>
      </c>
      <c r="U2156" s="1" t="s">
        <v>44</v>
      </c>
      <c r="V2156" s="1" t="s">
        <v>94</v>
      </c>
      <c r="X2156" s="1" t="s">
        <v>176</v>
      </c>
      <c r="AA2156" s="3">
        <v>34473</v>
      </c>
      <c r="AB2156" s="1" t="s">
        <v>46</v>
      </c>
      <c r="AC2156" s="5">
        <v>536</v>
      </c>
      <c r="AD2156" s="1" t="s">
        <v>4989</v>
      </c>
      <c r="AE2156" s="1" t="str">
        <f t="shared" si="160"/>
        <v>10803 1</v>
      </c>
      <c r="AF2156" s="14">
        <f>MID(AD2156,FIND("(",AD2156)+1,FIND(")",AD2156)-FIND("(",AD2156)-1)+26.9/2</f>
        <v>58.45</v>
      </c>
      <c r="AG2156" s="1" t="str">
        <f t="shared" si="159"/>
        <v>Y</v>
      </c>
    </row>
    <row r="2157" spans="1:33" x14ac:dyDescent="0.2">
      <c r="A2157" s="1" t="s">
        <v>2089</v>
      </c>
      <c r="B2157" s="1" t="s">
        <v>4985</v>
      </c>
      <c r="C2157" s="1">
        <v>10803</v>
      </c>
      <c r="D2157" s="1">
        <v>2</v>
      </c>
      <c r="F2157" s="1">
        <v>2023</v>
      </c>
      <c r="G2157" s="1" t="s">
        <v>1515</v>
      </c>
      <c r="H2157" s="1">
        <v>2129</v>
      </c>
      <c r="I2157" s="1">
        <v>2</v>
      </c>
      <c r="J2157" s="1" t="s">
        <v>580</v>
      </c>
      <c r="K2157" s="1" t="s">
        <v>4986</v>
      </c>
      <c r="L2157" s="1" t="s">
        <v>4987</v>
      </c>
      <c r="M2157" s="1">
        <v>89</v>
      </c>
      <c r="N2157" s="1" t="s">
        <v>39</v>
      </c>
      <c r="O2157" s="1">
        <v>44.7258</v>
      </c>
      <c r="P2157" s="1">
        <v>-75.441699999999997</v>
      </c>
      <c r="Q2157" s="1" t="s">
        <v>4988</v>
      </c>
      <c r="R2157" s="1" t="s">
        <v>41</v>
      </c>
      <c r="T2157" s="1" t="s">
        <v>71</v>
      </c>
      <c r="U2157" s="1" t="s">
        <v>44</v>
      </c>
      <c r="V2157" s="1" t="s">
        <v>94</v>
      </c>
      <c r="X2157" s="1" t="s">
        <v>176</v>
      </c>
      <c r="AA2157" s="3">
        <v>34473</v>
      </c>
      <c r="AB2157" s="1" t="s">
        <v>46</v>
      </c>
      <c r="AC2157" s="5">
        <v>254</v>
      </c>
      <c r="AD2157" s="1" t="s">
        <v>4990</v>
      </c>
      <c r="AE2157" s="1" t="str">
        <f t="shared" si="160"/>
        <v>10803 2</v>
      </c>
      <c r="AF2157" s="14">
        <f>AF2156</f>
        <v>58.45</v>
      </c>
      <c r="AG2157" s="1" t="str">
        <f t="shared" si="159"/>
        <v>Y</v>
      </c>
    </row>
    <row r="2158" spans="1:33" x14ac:dyDescent="0.2">
      <c r="A2158" s="1" t="s">
        <v>1621</v>
      </c>
      <c r="B2158" s="1" t="s">
        <v>4991</v>
      </c>
      <c r="C2158" s="1">
        <v>10822</v>
      </c>
      <c r="D2158" s="1">
        <v>1</v>
      </c>
      <c r="F2158" s="1">
        <v>2023</v>
      </c>
      <c r="G2158" s="1" t="s">
        <v>1020</v>
      </c>
      <c r="H2158" s="1">
        <v>606701</v>
      </c>
      <c r="I2158" s="1">
        <v>5</v>
      </c>
      <c r="K2158" s="1" t="s">
        <v>4992</v>
      </c>
      <c r="L2158" s="1" t="s">
        <v>4993</v>
      </c>
      <c r="M2158" s="1">
        <v>39</v>
      </c>
      <c r="N2158" s="1" t="s">
        <v>39</v>
      </c>
      <c r="O2158" s="1">
        <v>44.606200000000001</v>
      </c>
      <c r="P2158" s="1">
        <v>-84.690100000000001</v>
      </c>
      <c r="Q2158" s="1" t="s">
        <v>4994</v>
      </c>
      <c r="T2158" s="1" t="s">
        <v>1660</v>
      </c>
      <c r="U2158" s="1" t="s">
        <v>657</v>
      </c>
      <c r="V2158" s="1" t="s">
        <v>4995</v>
      </c>
      <c r="X2158" s="1" t="s">
        <v>669</v>
      </c>
      <c r="Y2158" s="1" t="s">
        <v>658</v>
      </c>
      <c r="AA2158" s="3">
        <v>33764</v>
      </c>
      <c r="AB2158" s="1" t="s">
        <v>46</v>
      </c>
      <c r="AC2158" s="5">
        <v>635</v>
      </c>
      <c r="AD2158" s="1" t="s">
        <v>4996</v>
      </c>
      <c r="AE2158" s="1" t="str">
        <f t="shared" si="160"/>
        <v>10822 1</v>
      </c>
      <c r="AF2158" s="5" t="str">
        <f t="shared" ref="AF2158:AF2166" si="161">MID(AD2158,FIND("(",AD2158)+1,FIND(")",AD2158)-FIND("(",AD2158)-1)</f>
        <v>38</v>
      </c>
      <c r="AG2158" s="1" t="str">
        <f t="shared" si="159"/>
        <v>Y</v>
      </c>
    </row>
    <row r="2159" spans="1:33" x14ac:dyDescent="0.2">
      <c r="A2159" s="1" t="s">
        <v>1568</v>
      </c>
      <c r="B2159" s="1" t="s">
        <v>4997</v>
      </c>
      <c r="C2159" s="1">
        <v>10823</v>
      </c>
      <c r="D2159" s="1" t="s">
        <v>4998</v>
      </c>
      <c r="F2159" s="1">
        <v>2023</v>
      </c>
      <c r="G2159" s="1" t="s">
        <v>617</v>
      </c>
      <c r="H2159" s="1">
        <v>607975</v>
      </c>
      <c r="I2159" s="1">
        <v>1</v>
      </c>
      <c r="K2159" s="1" t="s">
        <v>2257</v>
      </c>
      <c r="L2159" s="1" t="s">
        <v>4812</v>
      </c>
      <c r="M2159" s="1">
        <v>25</v>
      </c>
      <c r="N2159" s="1" t="s">
        <v>4999</v>
      </c>
      <c r="O2159" s="1">
        <v>42.349699999999999</v>
      </c>
      <c r="P2159" s="1">
        <v>-70.960099999999997</v>
      </c>
      <c r="Q2159" s="1" t="s">
        <v>5000</v>
      </c>
      <c r="T2159" s="1" t="s">
        <v>93</v>
      </c>
      <c r="U2159" s="1" t="s">
        <v>94</v>
      </c>
      <c r="X2159" s="1" t="s">
        <v>95</v>
      </c>
      <c r="AA2159" s="3">
        <v>34928</v>
      </c>
      <c r="AB2159" s="1" t="s">
        <v>46</v>
      </c>
      <c r="AC2159" s="5">
        <v>293.8</v>
      </c>
      <c r="AD2159" s="1" t="s">
        <v>5001</v>
      </c>
      <c r="AE2159" s="1" t="str">
        <f t="shared" si="160"/>
        <v>10823 S42</v>
      </c>
      <c r="AF2159" s="5" t="str">
        <f t="shared" si="161"/>
        <v>26</v>
      </c>
      <c r="AG2159" s="1" t="str">
        <f t="shared" si="159"/>
        <v/>
      </c>
    </row>
    <row r="2160" spans="1:33" x14ac:dyDescent="0.2">
      <c r="A2160" s="1" t="s">
        <v>1568</v>
      </c>
      <c r="B2160" s="1" t="s">
        <v>4997</v>
      </c>
      <c r="C2160" s="1">
        <v>10823</v>
      </c>
      <c r="D2160" s="1" t="s">
        <v>5002</v>
      </c>
      <c r="F2160" s="1">
        <v>2023</v>
      </c>
      <c r="G2160" s="1" t="s">
        <v>617</v>
      </c>
      <c r="H2160" s="1">
        <v>607975</v>
      </c>
      <c r="I2160" s="1">
        <v>1</v>
      </c>
      <c r="K2160" s="1" t="s">
        <v>2257</v>
      </c>
      <c r="L2160" s="1" t="s">
        <v>4812</v>
      </c>
      <c r="M2160" s="1">
        <v>25</v>
      </c>
      <c r="N2160" s="1" t="s">
        <v>4999</v>
      </c>
      <c r="O2160" s="1">
        <v>42.349699999999999</v>
      </c>
      <c r="P2160" s="1">
        <v>-70.960099999999997</v>
      </c>
      <c r="Q2160" s="1" t="s">
        <v>5000</v>
      </c>
      <c r="T2160" s="1" t="s">
        <v>93</v>
      </c>
      <c r="U2160" s="1" t="s">
        <v>94</v>
      </c>
      <c r="X2160" s="1" t="s">
        <v>95</v>
      </c>
      <c r="AA2160" s="3">
        <v>34928</v>
      </c>
      <c r="AB2160" s="1" t="s">
        <v>46</v>
      </c>
      <c r="AC2160" s="5">
        <v>292.89999999999998</v>
      </c>
      <c r="AD2160" s="1" t="s">
        <v>5003</v>
      </c>
      <c r="AE2160" s="1" t="str">
        <f t="shared" si="160"/>
        <v>10823 S43</v>
      </c>
      <c r="AF2160" s="5" t="str">
        <f t="shared" si="161"/>
        <v>26</v>
      </c>
      <c r="AG2160" s="1" t="str">
        <f t="shared" si="159"/>
        <v/>
      </c>
    </row>
    <row r="2161" spans="1:33" x14ac:dyDescent="0.2">
      <c r="A2161" s="1" t="s">
        <v>1663</v>
      </c>
      <c r="B2161" s="1" t="s">
        <v>5004</v>
      </c>
      <c r="C2161" s="1">
        <v>10849</v>
      </c>
      <c r="D2161" s="1" t="s">
        <v>5005</v>
      </c>
      <c r="F2161" s="1">
        <v>2023</v>
      </c>
      <c r="G2161" s="1" t="s">
        <v>1696</v>
      </c>
      <c r="H2161" s="1">
        <v>607678</v>
      </c>
      <c r="I2161" s="1">
        <v>5</v>
      </c>
      <c r="K2161" s="1" t="s">
        <v>1021</v>
      </c>
      <c r="L2161" s="1" t="s">
        <v>5006</v>
      </c>
      <c r="M2161" s="1">
        <v>75</v>
      </c>
      <c r="N2161" s="1" t="s">
        <v>1680</v>
      </c>
      <c r="O2161" s="1">
        <v>47.286000000000001</v>
      </c>
      <c r="P2161" s="1">
        <v>-91.26</v>
      </c>
      <c r="Q2161" s="1" t="s">
        <v>5007</v>
      </c>
      <c r="T2161" s="1" t="s">
        <v>89</v>
      </c>
      <c r="U2161" s="1" t="s">
        <v>55</v>
      </c>
      <c r="V2161" s="1" t="s">
        <v>44</v>
      </c>
      <c r="AA2161" s="3">
        <v>20365</v>
      </c>
      <c r="AB2161" s="1" t="s">
        <v>46</v>
      </c>
      <c r="AC2161" s="5">
        <v>750</v>
      </c>
      <c r="AD2161" s="1" t="s">
        <v>4906</v>
      </c>
      <c r="AE2161" s="1" t="str">
        <f t="shared" si="160"/>
        <v>10849 PB1</v>
      </c>
      <c r="AF2161" s="5" t="str">
        <f t="shared" si="161"/>
        <v>46</v>
      </c>
      <c r="AG2161" s="1" t="str">
        <f t="shared" si="159"/>
        <v/>
      </c>
    </row>
    <row r="2162" spans="1:33" x14ac:dyDescent="0.2">
      <c r="A2162" s="1" t="s">
        <v>1663</v>
      </c>
      <c r="B2162" s="1" t="s">
        <v>5004</v>
      </c>
      <c r="C2162" s="1">
        <v>10849</v>
      </c>
      <c r="D2162" s="1" t="s">
        <v>5008</v>
      </c>
      <c r="F2162" s="1">
        <v>2023</v>
      </c>
      <c r="G2162" s="1" t="s">
        <v>1696</v>
      </c>
      <c r="H2162" s="1">
        <v>607678</v>
      </c>
      <c r="I2162" s="1">
        <v>5</v>
      </c>
      <c r="K2162" s="1" t="s">
        <v>1021</v>
      </c>
      <c r="L2162" s="1" t="s">
        <v>5006</v>
      </c>
      <c r="M2162" s="1">
        <v>75</v>
      </c>
      <c r="N2162" s="1" t="s">
        <v>1680</v>
      </c>
      <c r="O2162" s="1">
        <v>47.286000000000001</v>
      </c>
      <c r="P2162" s="1">
        <v>-91.26</v>
      </c>
      <c r="Q2162" s="1" t="s">
        <v>5007</v>
      </c>
      <c r="T2162" s="1" t="s">
        <v>89</v>
      </c>
      <c r="U2162" s="1" t="s">
        <v>55</v>
      </c>
      <c r="V2162" s="1" t="s">
        <v>44</v>
      </c>
      <c r="Y2162" s="1" t="s">
        <v>232</v>
      </c>
      <c r="AA2162" s="3">
        <v>23040</v>
      </c>
      <c r="AB2162" s="1" t="s">
        <v>46</v>
      </c>
      <c r="AC2162" s="5">
        <v>900</v>
      </c>
      <c r="AD2162" s="1" t="s">
        <v>5009</v>
      </c>
      <c r="AE2162" s="1" t="str">
        <f t="shared" si="160"/>
        <v>10849 PB2</v>
      </c>
      <c r="AF2162" s="5" t="str">
        <f t="shared" si="161"/>
        <v>82</v>
      </c>
      <c r="AG2162" s="1" t="str">
        <f t="shared" si="159"/>
        <v/>
      </c>
    </row>
    <row r="2163" spans="1:33" x14ac:dyDescent="0.2">
      <c r="A2163" s="1" t="s">
        <v>2584</v>
      </c>
      <c r="B2163" s="1" t="s">
        <v>5010</v>
      </c>
      <c r="C2163" s="1">
        <v>10870</v>
      </c>
      <c r="D2163" s="1" t="s">
        <v>5011</v>
      </c>
      <c r="F2163" s="1">
        <v>2023</v>
      </c>
      <c r="G2163" s="1" t="s">
        <v>1515</v>
      </c>
      <c r="H2163" s="1">
        <v>610340</v>
      </c>
      <c r="I2163" s="1">
        <v>3</v>
      </c>
      <c r="K2163" s="1" t="s">
        <v>2675</v>
      </c>
      <c r="L2163" s="1" t="s">
        <v>2676</v>
      </c>
      <c r="M2163" s="1">
        <v>79</v>
      </c>
      <c r="N2163" s="1" t="s">
        <v>1680</v>
      </c>
      <c r="O2163" s="1">
        <v>40.928199999999997</v>
      </c>
      <c r="P2163" s="1">
        <v>-76.041600000000003</v>
      </c>
      <c r="Q2163" s="1" t="s">
        <v>5012</v>
      </c>
      <c r="R2163" s="1" t="s">
        <v>41</v>
      </c>
      <c r="T2163" s="1" t="s">
        <v>93</v>
      </c>
      <c r="U2163" s="1" t="s">
        <v>44</v>
      </c>
      <c r="V2163" s="1" t="s">
        <v>94</v>
      </c>
      <c r="X2163" s="1" t="s">
        <v>95</v>
      </c>
      <c r="AA2163" s="3">
        <v>37316</v>
      </c>
      <c r="AB2163" s="1" t="s">
        <v>46</v>
      </c>
      <c r="AC2163" s="5">
        <v>400.2</v>
      </c>
      <c r="AD2163" s="1" t="s">
        <v>5013</v>
      </c>
      <c r="AE2163" s="1" t="str">
        <f t="shared" si="160"/>
        <v>10870 TURB2</v>
      </c>
      <c r="AF2163" s="5" t="str">
        <f t="shared" si="161"/>
        <v>33</v>
      </c>
      <c r="AG2163" s="1" t="str">
        <f t="shared" si="159"/>
        <v/>
      </c>
    </row>
    <row r="2164" spans="1:33" x14ac:dyDescent="0.2">
      <c r="A2164" s="1" t="s">
        <v>2584</v>
      </c>
      <c r="B2164" s="1" t="s">
        <v>5010</v>
      </c>
      <c r="C2164" s="1">
        <v>10870</v>
      </c>
      <c r="D2164" s="1" t="s">
        <v>5014</v>
      </c>
      <c r="F2164" s="1">
        <v>2023</v>
      </c>
      <c r="G2164" s="1" t="s">
        <v>1515</v>
      </c>
      <c r="H2164" s="1">
        <v>610340</v>
      </c>
      <c r="I2164" s="1">
        <v>3</v>
      </c>
      <c r="K2164" s="1" t="s">
        <v>2675</v>
      </c>
      <c r="L2164" s="1" t="s">
        <v>2676</v>
      </c>
      <c r="M2164" s="1">
        <v>79</v>
      </c>
      <c r="N2164" s="1" t="s">
        <v>1680</v>
      </c>
      <c r="O2164" s="1">
        <v>40.928199999999997</v>
      </c>
      <c r="P2164" s="1">
        <v>-76.041600000000003</v>
      </c>
      <c r="Q2164" s="1" t="s">
        <v>5012</v>
      </c>
      <c r="R2164" s="1" t="s">
        <v>41</v>
      </c>
      <c r="T2164" s="1" t="s">
        <v>93</v>
      </c>
      <c r="U2164" s="1" t="s">
        <v>44</v>
      </c>
      <c r="V2164" s="1" t="s">
        <v>94</v>
      </c>
      <c r="X2164" s="1" t="s">
        <v>95</v>
      </c>
      <c r="AA2164" s="3">
        <v>37316</v>
      </c>
      <c r="AB2164" s="1" t="s">
        <v>46</v>
      </c>
      <c r="AC2164" s="5">
        <v>360</v>
      </c>
      <c r="AD2164" s="1" t="s">
        <v>5015</v>
      </c>
      <c r="AE2164" s="1" t="str">
        <f t="shared" si="160"/>
        <v>10870 TURB3</v>
      </c>
      <c r="AF2164" s="5" t="str">
        <f t="shared" si="161"/>
        <v>33</v>
      </c>
      <c r="AG2164" s="1" t="str">
        <f t="shared" si="159"/>
        <v/>
      </c>
    </row>
    <row r="2165" spans="1:33" x14ac:dyDescent="0.2">
      <c r="A2165" s="1" t="s">
        <v>2584</v>
      </c>
      <c r="B2165" s="1" t="s">
        <v>5010</v>
      </c>
      <c r="C2165" s="1">
        <v>10870</v>
      </c>
      <c r="D2165" s="1" t="s">
        <v>5016</v>
      </c>
      <c r="F2165" s="1">
        <v>2023</v>
      </c>
      <c r="G2165" s="1" t="s">
        <v>1515</v>
      </c>
      <c r="H2165" s="1">
        <v>610340</v>
      </c>
      <c r="I2165" s="1">
        <v>3</v>
      </c>
      <c r="K2165" s="1" t="s">
        <v>2675</v>
      </c>
      <c r="L2165" s="1" t="s">
        <v>2676</v>
      </c>
      <c r="M2165" s="1">
        <v>79</v>
      </c>
      <c r="N2165" s="1" t="s">
        <v>1680</v>
      </c>
      <c r="O2165" s="1">
        <v>40.928199999999997</v>
      </c>
      <c r="P2165" s="1">
        <v>-76.041600000000003</v>
      </c>
      <c r="Q2165" s="1" t="s">
        <v>5012</v>
      </c>
      <c r="R2165" s="1" t="s">
        <v>41</v>
      </c>
      <c r="T2165" s="1" t="s">
        <v>93</v>
      </c>
      <c r="U2165" s="1" t="s">
        <v>44</v>
      </c>
      <c r="V2165" s="1" t="s">
        <v>94</v>
      </c>
      <c r="X2165" s="1" t="s">
        <v>95</v>
      </c>
      <c r="AA2165" s="3">
        <v>37316</v>
      </c>
      <c r="AB2165" s="1" t="s">
        <v>46</v>
      </c>
      <c r="AC2165" s="5">
        <v>360</v>
      </c>
      <c r="AD2165" s="1" t="s">
        <v>5017</v>
      </c>
      <c r="AE2165" s="1" t="str">
        <f t="shared" si="160"/>
        <v>10870 TURB4</v>
      </c>
      <c r="AF2165" s="5" t="str">
        <f t="shared" si="161"/>
        <v>33</v>
      </c>
      <c r="AG2165" s="1" t="str">
        <f t="shared" si="159"/>
        <v/>
      </c>
    </row>
    <row r="2166" spans="1:33" x14ac:dyDescent="0.2">
      <c r="A2166" s="1" t="s">
        <v>2584</v>
      </c>
      <c r="B2166" s="1" t="s">
        <v>5010</v>
      </c>
      <c r="C2166" s="1">
        <v>10870</v>
      </c>
      <c r="D2166" s="1" t="s">
        <v>5018</v>
      </c>
      <c r="F2166" s="1">
        <v>2023</v>
      </c>
      <c r="G2166" s="1" t="s">
        <v>1528</v>
      </c>
      <c r="H2166" s="1">
        <v>610340</v>
      </c>
      <c r="I2166" s="1">
        <v>3</v>
      </c>
      <c r="K2166" s="1" t="s">
        <v>2675</v>
      </c>
      <c r="L2166" s="1" t="s">
        <v>2676</v>
      </c>
      <c r="M2166" s="1">
        <v>79</v>
      </c>
      <c r="N2166" s="1" t="s">
        <v>1680</v>
      </c>
      <c r="O2166" s="1">
        <v>40.928199999999997</v>
      </c>
      <c r="P2166" s="1">
        <v>-76.041600000000003</v>
      </c>
      <c r="Q2166" s="1" t="s">
        <v>5012</v>
      </c>
      <c r="T2166" s="1" t="s">
        <v>93</v>
      </c>
      <c r="U2166" s="1" t="s">
        <v>44</v>
      </c>
      <c r="V2166" s="1" t="s">
        <v>94</v>
      </c>
      <c r="X2166" s="1" t="s">
        <v>95</v>
      </c>
      <c r="AA2166" s="3">
        <v>32843</v>
      </c>
      <c r="AB2166" s="1" t="s">
        <v>46</v>
      </c>
      <c r="AC2166" s="5">
        <v>900</v>
      </c>
      <c r="AD2166" s="1" t="s">
        <v>5019</v>
      </c>
      <c r="AE2166" s="1" t="str">
        <f t="shared" si="160"/>
        <v>10870 TURBIN</v>
      </c>
      <c r="AF2166" s="5" t="str">
        <f t="shared" si="161"/>
        <v>72.5</v>
      </c>
      <c r="AG2166" s="1" t="str">
        <f t="shared" si="159"/>
        <v/>
      </c>
    </row>
    <row r="2167" spans="1:33" x14ac:dyDescent="0.2">
      <c r="A2167" s="1" t="s">
        <v>1568</v>
      </c>
      <c r="B2167" s="1" t="s">
        <v>5020</v>
      </c>
      <c r="C2167" s="1">
        <v>50002</v>
      </c>
      <c r="D2167" s="1">
        <v>1</v>
      </c>
      <c r="F2167" s="1">
        <v>2023</v>
      </c>
      <c r="G2167" s="1" t="s">
        <v>617</v>
      </c>
      <c r="H2167" s="1" t="s">
        <v>3792</v>
      </c>
      <c r="I2167" s="1">
        <v>1</v>
      </c>
      <c r="J2167" s="1" t="s">
        <v>580</v>
      </c>
      <c r="K2167" s="1" t="s">
        <v>5021</v>
      </c>
      <c r="L2167" s="1" t="s">
        <v>5022</v>
      </c>
      <c r="M2167" s="1">
        <v>3</v>
      </c>
      <c r="N2167" s="1" t="s">
        <v>39</v>
      </c>
      <c r="O2167" s="1">
        <v>42.456400000000002</v>
      </c>
      <c r="P2167" s="1">
        <v>-73.218100000000007</v>
      </c>
      <c r="Q2167" s="1" t="s">
        <v>5023</v>
      </c>
      <c r="T2167" s="1" t="s">
        <v>71</v>
      </c>
      <c r="U2167" s="1" t="s">
        <v>44</v>
      </c>
      <c r="V2167" s="1" t="s">
        <v>94</v>
      </c>
      <c r="X2167" s="1" t="s">
        <v>4050</v>
      </c>
      <c r="AA2167" s="3">
        <v>33117</v>
      </c>
      <c r="AB2167" s="1" t="s">
        <v>46</v>
      </c>
      <c r="AC2167" s="5">
        <v>595</v>
      </c>
      <c r="AD2167" s="1" t="s">
        <v>5024</v>
      </c>
      <c r="AE2167" s="1" t="str">
        <f t="shared" si="160"/>
        <v>50002 1</v>
      </c>
      <c r="AF2167" s="14">
        <f>MID(AD2167,FIND("(",AD2167)+1,FIND(")",AD2167)-FIND("(",AD2167)-1)+53.4/3</f>
        <v>57.8</v>
      </c>
      <c r="AG2167" s="1" t="str">
        <f t="shared" si="159"/>
        <v>Y</v>
      </c>
    </row>
    <row r="2168" spans="1:33" x14ac:dyDescent="0.2">
      <c r="A2168" s="1" t="s">
        <v>1568</v>
      </c>
      <c r="B2168" s="1" t="s">
        <v>5020</v>
      </c>
      <c r="C2168" s="1">
        <v>50002</v>
      </c>
      <c r="D2168" s="1">
        <v>2</v>
      </c>
      <c r="F2168" s="1">
        <v>2023</v>
      </c>
      <c r="G2168" s="1" t="s">
        <v>617</v>
      </c>
      <c r="H2168" s="1" t="s">
        <v>3792</v>
      </c>
      <c r="I2168" s="1">
        <v>1</v>
      </c>
      <c r="J2168" s="1" t="s">
        <v>580</v>
      </c>
      <c r="K2168" s="1" t="s">
        <v>5021</v>
      </c>
      <c r="L2168" s="1" t="s">
        <v>5022</v>
      </c>
      <c r="M2168" s="1">
        <v>3</v>
      </c>
      <c r="N2168" s="1" t="s">
        <v>39</v>
      </c>
      <c r="O2168" s="1">
        <v>42.456400000000002</v>
      </c>
      <c r="P2168" s="1">
        <v>-73.218100000000007</v>
      </c>
      <c r="Q2168" s="1" t="s">
        <v>5023</v>
      </c>
      <c r="T2168" s="1" t="s">
        <v>71</v>
      </c>
      <c r="U2168" s="1" t="s">
        <v>44</v>
      </c>
      <c r="V2168" s="1" t="s">
        <v>94</v>
      </c>
      <c r="X2168" s="1" t="s">
        <v>4050</v>
      </c>
      <c r="AA2168" s="3">
        <v>33117</v>
      </c>
      <c r="AB2168" s="1" t="s">
        <v>46</v>
      </c>
      <c r="AC2168" s="5">
        <v>595</v>
      </c>
      <c r="AD2168" s="1" t="s">
        <v>5025</v>
      </c>
      <c r="AE2168" s="1" t="str">
        <f t="shared" si="160"/>
        <v>50002 2</v>
      </c>
      <c r="AF2168" s="14">
        <f>AF2167</f>
        <v>57.8</v>
      </c>
      <c r="AG2168" s="1" t="str">
        <f t="shared" si="159"/>
        <v>Y</v>
      </c>
    </row>
    <row r="2169" spans="1:33" x14ac:dyDescent="0.2">
      <c r="A2169" s="1" t="s">
        <v>1568</v>
      </c>
      <c r="B2169" s="1" t="s">
        <v>5020</v>
      </c>
      <c r="C2169" s="1">
        <v>50002</v>
      </c>
      <c r="D2169" s="1">
        <v>3</v>
      </c>
      <c r="F2169" s="1">
        <v>2023</v>
      </c>
      <c r="G2169" s="1" t="s">
        <v>617</v>
      </c>
      <c r="H2169" s="1" t="s">
        <v>3792</v>
      </c>
      <c r="I2169" s="1">
        <v>1</v>
      </c>
      <c r="J2169" s="1" t="s">
        <v>580</v>
      </c>
      <c r="K2169" s="1" t="s">
        <v>5021</v>
      </c>
      <c r="L2169" s="1" t="s">
        <v>5022</v>
      </c>
      <c r="M2169" s="1">
        <v>3</v>
      </c>
      <c r="N2169" s="1" t="s">
        <v>39</v>
      </c>
      <c r="O2169" s="1">
        <v>42.456400000000002</v>
      </c>
      <c r="P2169" s="1">
        <v>-73.218100000000007</v>
      </c>
      <c r="Q2169" s="1" t="s">
        <v>5023</v>
      </c>
      <c r="T2169" s="1" t="s">
        <v>71</v>
      </c>
      <c r="U2169" s="1" t="s">
        <v>44</v>
      </c>
      <c r="V2169" s="1" t="s">
        <v>94</v>
      </c>
      <c r="X2169" s="1" t="s">
        <v>4050</v>
      </c>
      <c r="AA2169" s="3">
        <v>33117</v>
      </c>
      <c r="AB2169" s="1" t="s">
        <v>46</v>
      </c>
      <c r="AC2169" s="5">
        <v>595</v>
      </c>
      <c r="AD2169" s="1" t="s">
        <v>5026</v>
      </c>
      <c r="AE2169" s="1" t="str">
        <f t="shared" si="160"/>
        <v>50002 3</v>
      </c>
      <c r="AF2169" s="14">
        <f>AF2167</f>
        <v>57.8</v>
      </c>
      <c r="AG2169" s="1" t="str">
        <f t="shared" si="159"/>
        <v>Y</v>
      </c>
    </row>
    <row r="2170" spans="1:33" x14ac:dyDescent="0.2">
      <c r="A2170" s="1" t="s">
        <v>1980</v>
      </c>
      <c r="B2170" s="1" t="s">
        <v>5027</v>
      </c>
      <c r="C2170" s="1">
        <v>50006</v>
      </c>
      <c r="D2170" s="1">
        <v>4001</v>
      </c>
      <c r="F2170" s="1">
        <v>2023</v>
      </c>
      <c r="G2170" s="1" t="s">
        <v>1515</v>
      </c>
      <c r="H2170" s="1">
        <v>605799</v>
      </c>
      <c r="I2170" s="1">
        <v>2</v>
      </c>
      <c r="K2170" s="1" t="s">
        <v>1249</v>
      </c>
      <c r="L2170" s="1" t="s">
        <v>2033</v>
      </c>
      <c r="M2170" s="1">
        <v>39</v>
      </c>
      <c r="N2170" s="1" t="s">
        <v>1680</v>
      </c>
      <c r="O2170" s="1">
        <v>40.632199999999997</v>
      </c>
      <c r="P2170" s="1">
        <v>-74.215599999999995</v>
      </c>
      <c r="Q2170" s="1" t="s">
        <v>5028</v>
      </c>
      <c r="R2170" s="1" t="s">
        <v>41</v>
      </c>
      <c r="T2170" s="1" t="s">
        <v>71</v>
      </c>
      <c r="U2170" s="1" t="s">
        <v>44</v>
      </c>
      <c r="V2170" s="1" t="s">
        <v>5029</v>
      </c>
      <c r="X2170" s="1" t="s">
        <v>643</v>
      </c>
      <c r="AA2170" s="3">
        <v>37208</v>
      </c>
      <c r="AB2170" s="1" t="s">
        <v>46</v>
      </c>
      <c r="AC2170" s="5">
        <v>2119</v>
      </c>
      <c r="AD2170" s="1" t="s">
        <v>5030</v>
      </c>
      <c r="AE2170" s="1" t="str">
        <f t="shared" si="160"/>
        <v>50006 4001</v>
      </c>
      <c r="AF2170" s="14">
        <f>MID(AD2170,FIND("(",AD2170)+1,FIND(")",AD2170)-FIND("(",AD2170)-1)+95.2/6+95.2/6+95.2/6</f>
        <v>219.60000000000002</v>
      </c>
      <c r="AG2170" s="1" t="str">
        <f t="shared" si="159"/>
        <v>Y</v>
      </c>
    </row>
    <row r="2171" spans="1:33" x14ac:dyDescent="0.2">
      <c r="A2171" s="1" t="s">
        <v>1980</v>
      </c>
      <c r="B2171" s="1" t="s">
        <v>5027</v>
      </c>
      <c r="C2171" s="1">
        <v>50006</v>
      </c>
      <c r="D2171" s="1">
        <v>5001</v>
      </c>
      <c r="F2171" s="1">
        <v>2023</v>
      </c>
      <c r="G2171" s="1" t="s">
        <v>1528</v>
      </c>
      <c r="H2171" s="1">
        <v>605799</v>
      </c>
      <c r="I2171" s="1">
        <v>2</v>
      </c>
      <c r="K2171" s="1" t="s">
        <v>1249</v>
      </c>
      <c r="L2171" s="1" t="s">
        <v>2033</v>
      </c>
      <c r="M2171" s="1">
        <v>39</v>
      </c>
      <c r="N2171" s="1" t="s">
        <v>1680</v>
      </c>
      <c r="O2171" s="1">
        <v>40.632199999999997</v>
      </c>
      <c r="P2171" s="1">
        <v>-74.215599999999995</v>
      </c>
      <c r="Q2171" s="1" t="s">
        <v>5028</v>
      </c>
      <c r="T2171" s="1" t="s">
        <v>71</v>
      </c>
      <c r="U2171" s="1" t="s">
        <v>44</v>
      </c>
      <c r="V2171" s="1" t="s">
        <v>288</v>
      </c>
      <c r="X2171" s="1" t="s">
        <v>4050</v>
      </c>
      <c r="AA2171" s="3">
        <v>33732</v>
      </c>
      <c r="AB2171" s="1" t="s">
        <v>46</v>
      </c>
      <c r="AC2171" s="5">
        <v>1416</v>
      </c>
      <c r="AD2171" s="1" t="s">
        <v>5031</v>
      </c>
      <c r="AE2171" s="1" t="str">
        <f t="shared" si="160"/>
        <v>50006 5001</v>
      </c>
      <c r="AF2171" s="14">
        <f>MID(AD2171,FIND("(",AD2171)+1,FIND(")",AD2171)-FIND("(",AD2171)-1)+95.2/6+95.2/6+95.2/6</f>
        <v>135.60000000000002</v>
      </c>
      <c r="AG2171" s="1" t="str">
        <f t="shared" si="159"/>
        <v>Y</v>
      </c>
    </row>
    <row r="2172" spans="1:33" x14ac:dyDescent="0.2">
      <c r="A2172" s="1" t="s">
        <v>1980</v>
      </c>
      <c r="B2172" s="1" t="s">
        <v>5027</v>
      </c>
      <c r="C2172" s="1">
        <v>50006</v>
      </c>
      <c r="D2172" s="1">
        <v>6001</v>
      </c>
      <c r="F2172" s="1">
        <v>2023</v>
      </c>
      <c r="G2172" s="1" t="s">
        <v>1528</v>
      </c>
      <c r="H2172" s="1">
        <v>605799</v>
      </c>
      <c r="I2172" s="1">
        <v>2</v>
      </c>
      <c r="K2172" s="1" t="s">
        <v>1249</v>
      </c>
      <c r="L2172" s="1" t="s">
        <v>2033</v>
      </c>
      <c r="M2172" s="1">
        <v>39</v>
      </c>
      <c r="N2172" s="1" t="s">
        <v>1680</v>
      </c>
      <c r="O2172" s="1">
        <v>40.632199999999997</v>
      </c>
      <c r="P2172" s="1">
        <v>-74.215599999999995</v>
      </c>
      <c r="Q2172" s="1" t="s">
        <v>5028</v>
      </c>
      <c r="T2172" s="1" t="s">
        <v>71</v>
      </c>
      <c r="U2172" s="1" t="s">
        <v>44</v>
      </c>
      <c r="V2172" s="1" t="s">
        <v>288</v>
      </c>
      <c r="X2172" s="1" t="s">
        <v>4050</v>
      </c>
      <c r="AA2172" s="3">
        <v>33732</v>
      </c>
      <c r="AB2172" s="1" t="s">
        <v>46</v>
      </c>
      <c r="AC2172" s="5">
        <v>2140</v>
      </c>
      <c r="AD2172" s="1" t="s">
        <v>5032</v>
      </c>
      <c r="AE2172" s="1" t="str">
        <f t="shared" si="160"/>
        <v>50006 6001</v>
      </c>
      <c r="AF2172" s="14">
        <f>AF2171</f>
        <v>135.60000000000002</v>
      </c>
      <c r="AG2172" s="1" t="str">
        <f t="shared" si="159"/>
        <v>Y</v>
      </c>
    </row>
    <row r="2173" spans="1:33" x14ac:dyDescent="0.2">
      <c r="A2173" s="1" t="s">
        <v>1980</v>
      </c>
      <c r="B2173" s="1" t="s">
        <v>5027</v>
      </c>
      <c r="C2173" s="1">
        <v>50006</v>
      </c>
      <c r="D2173" s="1">
        <v>7001</v>
      </c>
      <c r="F2173" s="1">
        <v>2023</v>
      </c>
      <c r="G2173" s="1" t="s">
        <v>1528</v>
      </c>
      <c r="H2173" s="1">
        <v>605799</v>
      </c>
      <c r="I2173" s="1">
        <v>2</v>
      </c>
      <c r="K2173" s="1" t="s">
        <v>1249</v>
      </c>
      <c r="L2173" s="1" t="s">
        <v>2033</v>
      </c>
      <c r="M2173" s="1">
        <v>39</v>
      </c>
      <c r="N2173" s="1" t="s">
        <v>1680</v>
      </c>
      <c r="O2173" s="1">
        <v>40.632199999999997</v>
      </c>
      <c r="P2173" s="1">
        <v>-74.215599999999995</v>
      </c>
      <c r="Q2173" s="1" t="s">
        <v>5028</v>
      </c>
      <c r="T2173" s="1" t="s">
        <v>71</v>
      </c>
      <c r="U2173" s="1" t="s">
        <v>44</v>
      </c>
      <c r="V2173" s="1" t="s">
        <v>288</v>
      </c>
      <c r="X2173" s="1" t="s">
        <v>4050</v>
      </c>
      <c r="AA2173" s="3">
        <v>33732</v>
      </c>
      <c r="AB2173" s="1" t="s">
        <v>46</v>
      </c>
      <c r="AC2173" s="5">
        <v>1452</v>
      </c>
      <c r="AD2173" s="1" t="s">
        <v>5033</v>
      </c>
      <c r="AE2173" s="1" t="str">
        <f t="shared" si="160"/>
        <v>50006 7001</v>
      </c>
      <c r="AF2173" s="14">
        <f>AF2171</f>
        <v>135.60000000000002</v>
      </c>
      <c r="AG2173" s="1" t="str">
        <f t="shared" si="159"/>
        <v>Y</v>
      </c>
    </row>
    <row r="2174" spans="1:33" x14ac:dyDescent="0.2">
      <c r="A2174" s="1" t="s">
        <v>1980</v>
      </c>
      <c r="B2174" s="1" t="s">
        <v>5027</v>
      </c>
      <c r="C2174" s="1">
        <v>50006</v>
      </c>
      <c r="D2174" s="1">
        <v>8001</v>
      </c>
      <c r="F2174" s="1">
        <v>2023</v>
      </c>
      <c r="G2174" s="1" t="s">
        <v>1528</v>
      </c>
      <c r="H2174" s="1">
        <v>605799</v>
      </c>
      <c r="I2174" s="1">
        <v>2</v>
      </c>
      <c r="K2174" s="1" t="s">
        <v>1249</v>
      </c>
      <c r="L2174" s="1" t="s">
        <v>2033</v>
      </c>
      <c r="M2174" s="1">
        <v>39</v>
      </c>
      <c r="N2174" s="1" t="s">
        <v>1680</v>
      </c>
      <c r="O2174" s="1">
        <v>40.632199999999997</v>
      </c>
      <c r="P2174" s="1">
        <v>-74.215599999999995</v>
      </c>
      <c r="Q2174" s="1" t="s">
        <v>5028</v>
      </c>
      <c r="T2174" s="1" t="s">
        <v>71</v>
      </c>
      <c r="U2174" s="1" t="s">
        <v>44</v>
      </c>
      <c r="V2174" s="1" t="s">
        <v>288</v>
      </c>
      <c r="X2174" s="1" t="s">
        <v>4050</v>
      </c>
      <c r="AA2174" s="3">
        <v>33732</v>
      </c>
      <c r="AB2174" s="1" t="s">
        <v>46</v>
      </c>
      <c r="AC2174" s="5">
        <v>1450</v>
      </c>
      <c r="AD2174" s="1" t="s">
        <v>5034</v>
      </c>
      <c r="AE2174" s="1" t="str">
        <f t="shared" si="160"/>
        <v>50006 8001</v>
      </c>
      <c r="AF2174" s="14">
        <f>AF2171</f>
        <v>135.60000000000002</v>
      </c>
      <c r="AG2174" s="1" t="str">
        <f t="shared" si="159"/>
        <v>Y</v>
      </c>
    </row>
    <row r="2175" spans="1:33" x14ac:dyDescent="0.2">
      <c r="A2175" s="1" t="s">
        <v>1980</v>
      </c>
      <c r="B2175" s="1" t="s">
        <v>5027</v>
      </c>
      <c r="C2175" s="1">
        <v>50006</v>
      </c>
      <c r="D2175" s="1">
        <v>9001</v>
      </c>
      <c r="F2175" s="1">
        <v>2023</v>
      </c>
      <c r="G2175" s="1" t="s">
        <v>1528</v>
      </c>
      <c r="H2175" s="1">
        <v>605799</v>
      </c>
      <c r="I2175" s="1">
        <v>2</v>
      </c>
      <c r="K2175" s="1" t="s">
        <v>1249</v>
      </c>
      <c r="L2175" s="1" t="s">
        <v>2033</v>
      </c>
      <c r="M2175" s="1">
        <v>39</v>
      </c>
      <c r="N2175" s="1" t="s">
        <v>1680</v>
      </c>
      <c r="O2175" s="1">
        <v>40.632199999999997</v>
      </c>
      <c r="P2175" s="1">
        <v>-74.215599999999995</v>
      </c>
      <c r="Q2175" s="1" t="s">
        <v>5028</v>
      </c>
      <c r="T2175" s="1" t="s">
        <v>71</v>
      </c>
      <c r="U2175" s="1" t="s">
        <v>44</v>
      </c>
      <c r="V2175" s="1" t="s">
        <v>288</v>
      </c>
      <c r="X2175" s="1" t="s">
        <v>4050</v>
      </c>
      <c r="AA2175" s="3">
        <v>33732</v>
      </c>
      <c r="AB2175" s="1" t="s">
        <v>46</v>
      </c>
      <c r="AC2175" s="5">
        <v>1610</v>
      </c>
      <c r="AD2175" s="1" t="s">
        <v>5035</v>
      </c>
      <c r="AE2175" s="1" t="str">
        <f t="shared" si="160"/>
        <v>50006 9001</v>
      </c>
      <c r="AF2175" s="14">
        <f>AF2171</f>
        <v>135.60000000000002</v>
      </c>
      <c r="AG2175" s="1" t="str">
        <f t="shared" si="159"/>
        <v>Y</v>
      </c>
    </row>
    <row r="2176" spans="1:33" x14ac:dyDescent="0.2">
      <c r="A2176" s="1" t="s">
        <v>383</v>
      </c>
      <c r="B2176" s="1" t="s">
        <v>5036</v>
      </c>
      <c r="C2176" s="1">
        <v>50109</v>
      </c>
      <c r="D2176" s="1" t="s">
        <v>4201</v>
      </c>
      <c r="F2176" s="1">
        <v>2023</v>
      </c>
      <c r="G2176" s="1" t="s">
        <v>346</v>
      </c>
      <c r="H2176" s="1" t="s">
        <v>5037</v>
      </c>
      <c r="I2176" s="1">
        <v>6</v>
      </c>
      <c r="K2176" s="1" t="s">
        <v>3436</v>
      </c>
      <c r="L2176" s="1" t="s">
        <v>5038</v>
      </c>
      <c r="M2176" s="1">
        <v>277</v>
      </c>
      <c r="N2176" s="1" t="s">
        <v>39</v>
      </c>
      <c r="O2176" s="1">
        <v>33.696800000000003</v>
      </c>
      <c r="P2176" s="1">
        <v>-95.557699999999997</v>
      </c>
      <c r="Q2176" s="1" t="s">
        <v>5039</v>
      </c>
      <c r="R2176" s="1" t="s">
        <v>41</v>
      </c>
      <c r="T2176" s="1" t="s">
        <v>71</v>
      </c>
      <c r="U2176" s="1" t="s">
        <v>44</v>
      </c>
      <c r="V2176" s="1" t="s">
        <v>94</v>
      </c>
      <c r="X2176" s="1" t="s">
        <v>1606</v>
      </c>
      <c r="AA2176" s="3">
        <v>32660</v>
      </c>
      <c r="AB2176" s="1" t="s">
        <v>46</v>
      </c>
      <c r="AC2176" s="5">
        <v>1281</v>
      </c>
      <c r="AD2176" s="1" t="s">
        <v>5040</v>
      </c>
      <c r="AE2176" s="1" t="str">
        <f t="shared" si="160"/>
        <v>50109 HRSG1</v>
      </c>
      <c r="AF2176" s="14">
        <f>MID(AD2176,FIND("(",AD2176)+1,FIND(")",AD2176)-FIND("(",AD2176)-1)+90/2</f>
        <v>125</v>
      </c>
      <c r="AG2176" s="1" t="str">
        <f t="shared" si="159"/>
        <v/>
      </c>
    </row>
    <row r="2177" spans="1:33" x14ac:dyDescent="0.2">
      <c r="A2177" s="1" t="s">
        <v>383</v>
      </c>
      <c r="B2177" s="1" t="s">
        <v>5036</v>
      </c>
      <c r="C2177" s="1">
        <v>50109</v>
      </c>
      <c r="D2177" s="1" t="s">
        <v>4206</v>
      </c>
      <c r="F2177" s="1">
        <v>2023</v>
      </c>
      <c r="G2177" s="1" t="s">
        <v>346</v>
      </c>
      <c r="H2177" s="1" t="s">
        <v>5037</v>
      </c>
      <c r="I2177" s="1">
        <v>6</v>
      </c>
      <c r="K2177" s="1" t="s">
        <v>3436</v>
      </c>
      <c r="L2177" s="1" t="s">
        <v>5038</v>
      </c>
      <c r="M2177" s="1">
        <v>277</v>
      </c>
      <c r="N2177" s="1" t="s">
        <v>39</v>
      </c>
      <c r="O2177" s="1">
        <v>33.696800000000003</v>
      </c>
      <c r="P2177" s="1">
        <v>-95.557699999999997</v>
      </c>
      <c r="Q2177" s="1" t="s">
        <v>5039</v>
      </c>
      <c r="R2177" s="1" t="s">
        <v>41</v>
      </c>
      <c r="T2177" s="1" t="s">
        <v>71</v>
      </c>
      <c r="U2177" s="1" t="s">
        <v>44</v>
      </c>
      <c r="V2177" s="1" t="s">
        <v>94</v>
      </c>
      <c r="X2177" s="1" t="s">
        <v>1606</v>
      </c>
      <c r="AA2177" s="3">
        <v>32660</v>
      </c>
      <c r="AB2177" s="1" t="s">
        <v>46</v>
      </c>
      <c r="AC2177" s="5">
        <v>1281</v>
      </c>
      <c r="AD2177" s="1" t="s">
        <v>5041</v>
      </c>
      <c r="AE2177" s="1" t="str">
        <f t="shared" si="160"/>
        <v>50109 HRSG2</v>
      </c>
      <c r="AF2177" s="14">
        <f>AF2176</f>
        <v>125</v>
      </c>
      <c r="AG2177" s="1" t="str">
        <f t="shared" si="159"/>
        <v/>
      </c>
    </row>
    <row r="2178" spans="1:33" x14ac:dyDescent="0.2">
      <c r="A2178" s="1" t="s">
        <v>383</v>
      </c>
      <c r="B2178" s="1" t="s">
        <v>5042</v>
      </c>
      <c r="C2178" s="1">
        <v>50137</v>
      </c>
      <c r="D2178" s="1">
        <v>1</v>
      </c>
      <c r="F2178" s="1">
        <v>2023</v>
      </c>
      <c r="G2178" s="1" t="s">
        <v>346</v>
      </c>
      <c r="H2178" s="1">
        <v>603984</v>
      </c>
      <c r="I2178" s="1">
        <v>6</v>
      </c>
      <c r="K2178" s="1" t="s">
        <v>5043</v>
      </c>
      <c r="L2178" s="1" t="s">
        <v>5044</v>
      </c>
      <c r="M2178" s="1">
        <v>481</v>
      </c>
      <c r="N2178" s="1" t="s">
        <v>39</v>
      </c>
      <c r="O2178" s="1">
        <v>29.2639</v>
      </c>
      <c r="P2178" s="1">
        <v>-95.899699999999996</v>
      </c>
      <c r="Q2178" s="1" t="s">
        <v>5045</v>
      </c>
      <c r="R2178" s="1" t="s">
        <v>41</v>
      </c>
      <c r="T2178" s="1" t="s">
        <v>93</v>
      </c>
      <c r="U2178" s="1" t="s">
        <v>44</v>
      </c>
      <c r="X2178" s="1" t="s">
        <v>1606</v>
      </c>
      <c r="AA2178" s="3">
        <v>35185</v>
      </c>
      <c r="AB2178" s="1" t="s">
        <v>46</v>
      </c>
      <c r="AC2178" s="5">
        <v>1100</v>
      </c>
      <c r="AD2178" s="1" t="s">
        <v>5046</v>
      </c>
      <c r="AE2178" s="1" t="str">
        <f t="shared" si="160"/>
        <v>50137 1</v>
      </c>
      <c r="AF2178" s="5" t="str">
        <f>MID(AD2178,FIND("(",AD2178)+1,FIND(")",AD2178)-FIND("(",AD2178)-1)</f>
        <v>78.7</v>
      </c>
      <c r="AG2178" s="1" t="str">
        <f t="shared" ref="AG2178:AG2241" si="162">IF(ISNUMBER(SEARCH("selective", X2178)), "Y", "")</f>
        <v/>
      </c>
    </row>
    <row r="2179" spans="1:33" x14ac:dyDescent="0.2">
      <c r="A2179" s="1" t="s">
        <v>1505</v>
      </c>
      <c r="B2179" s="1" t="s">
        <v>5047</v>
      </c>
      <c r="C2179" s="1">
        <v>50243</v>
      </c>
      <c r="D2179" s="1" t="s">
        <v>5048</v>
      </c>
      <c r="F2179" s="1">
        <v>2023</v>
      </c>
      <c r="G2179" s="1" t="s">
        <v>5049</v>
      </c>
      <c r="H2179" s="1">
        <v>609686</v>
      </c>
      <c r="I2179" s="1">
        <v>1</v>
      </c>
      <c r="K2179" s="1" t="s">
        <v>5050</v>
      </c>
      <c r="L2179" s="1" t="s">
        <v>5051</v>
      </c>
      <c r="M2179" s="1">
        <v>9</v>
      </c>
      <c r="N2179" s="1" t="s">
        <v>1680</v>
      </c>
      <c r="O2179" s="1">
        <v>44.573900000000002</v>
      </c>
      <c r="P2179" s="1">
        <v>-68.803299999999993</v>
      </c>
      <c r="Q2179" s="1" t="s">
        <v>5052</v>
      </c>
      <c r="R2179" s="1" t="s">
        <v>41</v>
      </c>
      <c r="T2179" s="1" t="s">
        <v>71</v>
      </c>
      <c r="U2179" s="1" t="s">
        <v>284</v>
      </c>
      <c r="V2179" s="1" t="s">
        <v>94</v>
      </c>
      <c r="X2179" s="1" t="s">
        <v>183</v>
      </c>
      <c r="AA2179" s="3">
        <v>36824</v>
      </c>
      <c r="AB2179" s="1" t="s">
        <v>46</v>
      </c>
      <c r="AC2179" s="5">
        <v>2082</v>
      </c>
      <c r="AD2179" s="1" t="s">
        <v>5053</v>
      </c>
      <c r="AE2179" s="1" t="str">
        <f t="shared" ref="AE2179:AE2242" si="163">C2179&amp;" "&amp;D2179</f>
        <v>50243 GEN4</v>
      </c>
      <c r="AF2179" s="5" t="str">
        <f>MID(AD2179,FIND("(",AD2179)+1,FIND(")",AD2179)-FIND("(",AD2179)-1)</f>
        <v>186.9</v>
      </c>
      <c r="AG2179" s="1" t="str">
        <f t="shared" si="162"/>
        <v/>
      </c>
    </row>
    <row r="2180" spans="1:33" x14ac:dyDescent="0.2">
      <c r="A2180" s="1" t="s">
        <v>2584</v>
      </c>
      <c r="B2180" s="1" t="s">
        <v>5054</v>
      </c>
      <c r="C2180" s="1">
        <v>50279</v>
      </c>
      <c r="D2180" s="1">
        <v>2</v>
      </c>
      <c r="F2180" s="1">
        <v>2023</v>
      </c>
      <c r="G2180" s="1" t="s">
        <v>1515</v>
      </c>
      <c r="H2180" s="1">
        <v>1168</v>
      </c>
      <c r="I2180" s="1">
        <v>3</v>
      </c>
      <c r="K2180" s="1" t="s">
        <v>5055</v>
      </c>
      <c r="L2180" s="1" t="s">
        <v>5056</v>
      </c>
      <c r="M2180" s="1">
        <v>69</v>
      </c>
      <c r="N2180" s="1" t="s">
        <v>39</v>
      </c>
      <c r="O2180" s="1">
        <v>41.484400000000001</v>
      </c>
      <c r="P2180" s="1">
        <v>-75.540300000000002</v>
      </c>
      <c r="Q2180" s="1" t="s">
        <v>5057</v>
      </c>
      <c r="R2180" s="1" t="s">
        <v>41</v>
      </c>
      <c r="T2180" s="1" t="s">
        <v>93</v>
      </c>
      <c r="U2180" s="1" t="s">
        <v>44</v>
      </c>
      <c r="X2180" s="1" t="s">
        <v>95</v>
      </c>
      <c r="AA2180" s="3">
        <v>37035</v>
      </c>
      <c r="AB2180" s="1" t="s">
        <v>46</v>
      </c>
      <c r="AC2180" s="5">
        <v>540</v>
      </c>
      <c r="AD2180" s="1" t="s">
        <v>5058</v>
      </c>
      <c r="AE2180" s="1" t="str">
        <f t="shared" si="163"/>
        <v>50279 2</v>
      </c>
      <c r="AF2180" s="5" t="str">
        <f>MID(AD2180,FIND("(",AD2180)+1,FIND(")",AD2180)-FIND("(",AD2180)-1)</f>
        <v>60.5</v>
      </c>
      <c r="AG2180" s="1" t="str">
        <f t="shared" si="162"/>
        <v/>
      </c>
    </row>
    <row r="2181" spans="1:33" x14ac:dyDescent="0.2">
      <c r="A2181" s="1" t="s">
        <v>680</v>
      </c>
      <c r="B2181" s="1" t="s">
        <v>5059</v>
      </c>
      <c r="C2181" s="1">
        <v>50282</v>
      </c>
      <c r="D2181" s="1" t="s">
        <v>5060</v>
      </c>
      <c r="E2181" s="1" t="s">
        <v>5061</v>
      </c>
      <c r="F2181" s="1">
        <v>2023</v>
      </c>
      <c r="G2181" s="1" t="s">
        <v>617</v>
      </c>
      <c r="H2181" s="1">
        <v>607826</v>
      </c>
      <c r="I2181" s="1">
        <v>3</v>
      </c>
      <c r="K2181" s="1" t="s">
        <v>4884</v>
      </c>
      <c r="L2181" s="1" t="s">
        <v>4915</v>
      </c>
      <c r="M2181" s="1">
        <v>1</v>
      </c>
      <c r="N2181" s="1" t="s">
        <v>5062</v>
      </c>
      <c r="O2181" s="1">
        <v>39.472200000000001</v>
      </c>
      <c r="P2181" s="1">
        <v>-79.057500000000005</v>
      </c>
      <c r="Q2181" s="1" t="s">
        <v>5063</v>
      </c>
      <c r="T2181" s="1" t="s">
        <v>606</v>
      </c>
      <c r="U2181" s="1" t="s">
        <v>55</v>
      </c>
      <c r="V2181" s="1" t="s">
        <v>94</v>
      </c>
      <c r="X2181" s="1" t="s">
        <v>669</v>
      </c>
      <c r="Y2181" s="1" t="s">
        <v>58</v>
      </c>
      <c r="AA2181" s="3">
        <v>21551</v>
      </c>
      <c r="AB2181" s="1" t="s">
        <v>1110</v>
      </c>
      <c r="AC2181" s="5">
        <v>590</v>
      </c>
      <c r="AD2181" s="1" t="s">
        <v>5064</v>
      </c>
      <c r="AE2181" s="1" t="str">
        <f t="shared" si="163"/>
        <v>50282 PR003</v>
      </c>
      <c r="AF2181" s="14">
        <f>MID(AD2181,FIND("(",AD2181)+1,FIND(")",AD2181)-FIND("(",AD2181)-1)/3+35/3</f>
        <v>21.666666666666664</v>
      </c>
      <c r="AG2181" s="1" t="str">
        <f t="shared" si="162"/>
        <v>Y</v>
      </c>
    </row>
    <row r="2182" spans="1:33" x14ac:dyDescent="0.2">
      <c r="A2182" s="1" t="s">
        <v>680</v>
      </c>
      <c r="B2182" s="1" t="s">
        <v>5059</v>
      </c>
      <c r="C2182" s="1">
        <v>50282</v>
      </c>
      <c r="D2182" s="1" t="s">
        <v>5065</v>
      </c>
      <c r="E2182" s="1" t="s">
        <v>5061</v>
      </c>
      <c r="F2182" s="1">
        <v>2023</v>
      </c>
      <c r="G2182" s="1" t="s">
        <v>617</v>
      </c>
      <c r="H2182" s="1">
        <v>607826</v>
      </c>
      <c r="I2182" s="1">
        <v>3</v>
      </c>
      <c r="K2182" s="1" t="s">
        <v>4884</v>
      </c>
      <c r="L2182" s="1" t="s">
        <v>4915</v>
      </c>
      <c r="M2182" s="1">
        <v>1</v>
      </c>
      <c r="N2182" s="1" t="s">
        <v>5062</v>
      </c>
      <c r="O2182" s="1">
        <v>39.472200000000001</v>
      </c>
      <c r="P2182" s="1">
        <v>-79.057500000000005</v>
      </c>
      <c r="Q2182" s="1" t="s">
        <v>5063</v>
      </c>
      <c r="T2182" s="1" t="s">
        <v>43</v>
      </c>
      <c r="U2182" s="1" t="s">
        <v>55</v>
      </c>
      <c r="V2182" s="1" t="s">
        <v>44</v>
      </c>
      <c r="X2182" s="1" t="s">
        <v>45</v>
      </c>
      <c r="Y2182" s="1" t="s">
        <v>658</v>
      </c>
      <c r="AA2182" s="3">
        <v>23743</v>
      </c>
      <c r="AB2182" s="1" t="s">
        <v>1110</v>
      </c>
      <c r="AC2182" s="5">
        <v>785</v>
      </c>
      <c r="AD2182" s="1" t="s">
        <v>5064</v>
      </c>
      <c r="AE2182" s="1" t="str">
        <f t="shared" si="163"/>
        <v>50282 PR004</v>
      </c>
      <c r="AF2182" s="14">
        <f>AF2181</f>
        <v>21.666666666666664</v>
      </c>
      <c r="AG2182" s="1" t="str">
        <f t="shared" si="162"/>
        <v>Y</v>
      </c>
    </row>
    <row r="2183" spans="1:33" x14ac:dyDescent="0.2">
      <c r="A2183" s="1" t="s">
        <v>680</v>
      </c>
      <c r="B2183" s="1" t="s">
        <v>5059</v>
      </c>
      <c r="C2183" s="1">
        <v>50282</v>
      </c>
      <c r="D2183" s="1" t="s">
        <v>5066</v>
      </c>
      <c r="E2183" s="1" t="s">
        <v>5061</v>
      </c>
      <c r="F2183" s="1">
        <v>2023</v>
      </c>
      <c r="G2183" s="1" t="s">
        <v>617</v>
      </c>
      <c r="H2183" s="1">
        <v>607826</v>
      </c>
      <c r="I2183" s="1">
        <v>3</v>
      </c>
      <c r="K2183" s="1" t="s">
        <v>4884</v>
      </c>
      <c r="L2183" s="1" t="s">
        <v>4915</v>
      </c>
      <c r="M2183" s="1">
        <v>1</v>
      </c>
      <c r="N2183" s="1" t="s">
        <v>5062</v>
      </c>
      <c r="O2183" s="1">
        <v>39.472200000000001</v>
      </c>
      <c r="P2183" s="1">
        <v>-79.057500000000005</v>
      </c>
      <c r="Q2183" s="1" t="s">
        <v>5063</v>
      </c>
      <c r="T2183" s="1" t="s">
        <v>656</v>
      </c>
      <c r="U2183" s="1" t="s">
        <v>44</v>
      </c>
      <c r="AA2183" s="3">
        <v>25569</v>
      </c>
      <c r="AB2183" s="1" t="s">
        <v>1110</v>
      </c>
      <c r="AC2183" s="5">
        <v>338</v>
      </c>
      <c r="AD2183" s="1" t="s">
        <v>5067</v>
      </c>
      <c r="AE2183" s="1" t="str">
        <f t="shared" si="163"/>
        <v>50282 PR005</v>
      </c>
      <c r="AF2183" s="14">
        <f>AF2181</f>
        <v>21.666666666666664</v>
      </c>
      <c r="AG2183" s="1" t="str">
        <f t="shared" si="162"/>
        <v/>
      </c>
    </row>
    <row r="2184" spans="1:33" x14ac:dyDescent="0.2">
      <c r="A2184" s="1" t="s">
        <v>2089</v>
      </c>
      <c r="B2184" s="1" t="s">
        <v>5068</v>
      </c>
      <c r="C2184" s="1">
        <v>50292</v>
      </c>
      <c r="D2184" s="1" t="s">
        <v>280</v>
      </c>
      <c r="F2184" s="1">
        <v>2023</v>
      </c>
      <c r="G2184" s="1" t="s">
        <v>1515</v>
      </c>
      <c r="H2184" s="1">
        <v>3292</v>
      </c>
      <c r="I2184" s="1">
        <v>2</v>
      </c>
      <c r="K2184" s="1" t="s">
        <v>2222</v>
      </c>
      <c r="L2184" s="1" t="s">
        <v>2223</v>
      </c>
      <c r="M2184" s="1">
        <v>59</v>
      </c>
      <c r="N2184" s="1" t="s">
        <v>39</v>
      </c>
      <c r="O2184" s="1">
        <v>40.746899999999997</v>
      </c>
      <c r="P2184" s="1">
        <v>-73.499399999999994</v>
      </c>
      <c r="Q2184" s="1" t="s">
        <v>5069</v>
      </c>
      <c r="R2184" s="1" t="s">
        <v>41</v>
      </c>
      <c r="T2184" s="1" t="s">
        <v>71</v>
      </c>
      <c r="U2184" s="1" t="s">
        <v>44</v>
      </c>
      <c r="X2184" s="1" t="s">
        <v>1606</v>
      </c>
      <c r="AA2184" s="3">
        <v>32733</v>
      </c>
      <c r="AB2184" s="1" t="s">
        <v>46</v>
      </c>
      <c r="AC2184" s="5">
        <v>416</v>
      </c>
      <c r="AD2184" s="1" t="s">
        <v>5070</v>
      </c>
      <c r="AE2184" s="1" t="str">
        <f t="shared" si="163"/>
        <v>50292 GT1</v>
      </c>
      <c r="AF2184" s="14">
        <f>MID(AD2184,FIND("(",AD2184)+1,FIND(")",AD2184)-FIND("(",AD2184)-1)+16.2</f>
        <v>49.900000000000006</v>
      </c>
      <c r="AG2184" s="1" t="str">
        <f t="shared" si="162"/>
        <v/>
      </c>
    </row>
    <row r="2185" spans="1:33" x14ac:dyDescent="0.2">
      <c r="A2185" s="1" t="s">
        <v>2089</v>
      </c>
      <c r="B2185" s="1" t="s">
        <v>5068</v>
      </c>
      <c r="C2185" s="1">
        <v>50292</v>
      </c>
      <c r="D2185" s="1" t="s">
        <v>1102</v>
      </c>
      <c r="F2185" s="1">
        <v>2023</v>
      </c>
      <c r="G2185" s="1" t="s">
        <v>1515</v>
      </c>
      <c r="H2185" s="1">
        <v>3292</v>
      </c>
      <c r="I2185" s="1">
        <v>2</v>
      </c>
      <c r="K2185" s="1" t="s">
        <v>2222</v>
      </c>
      <c r="L2185" s="1" t="s">
        <v>2223</v>
      </c>
      <c r="M2185" s="1">
        <v>59</v>
      </c>
      <c r="N2185" s="1" t="s">
        <v>39</v>
      </c>
      <c r="O2185" s="1">
        <v>40.746899999999997</v>
      </c>
      <c r="P2185" s="1">
        <v>-73.499399999999994</v>
      </c>
      <c r="Q2185" s="1" t="s">
        <v>5069</v>
      </c>
      <c r="R2185" s="1" t="s">
        <v>41</v>
      </c>
      <c r="T2185" s="1" t="s">
        <v>71</v>
      </c>
      <c r="U2185" s="1" t="s">
        <v>44</v>
      </c>
      <c r="X2185" s="1" t="s">
        <v>1606</v>
      </c>
      <c r="AA2185" s="3">
        <v>32733</v>
      </c>
      <c r="AB2185" s="1" t="s">
        <v>46</v>
      </c>
      <c r="AC2185" s="5">
        <v>416</v>
      </c>
      <c r="AD2185" s="1" t="s">
        <v>5071</v>
      </c>
      <c r="AE2185" s="1" t="str">
        <f t="shared" si="163"/>
        <v>50292 GT2</v>
      </c>
      <c r="AF2185" s="14">
        <f>MID(AD2185,FIND("(",AD2185)+1,FIND(")",AD2185)-FIND("(",AD2185)-1)+33.7</f>
        <v>49.900000000000006</v>
      </c>
      <c r="AG2185" s="1" t="str">
        <f t="shared" si="162"/>
        <v/>
      </c>
    </row>
    <row r="2186" spans="1:33" x14ac:dyDescent="0.2">
      <c r="A2186" s="1" t="s">
        <v>2089</v>
      </c>
      <c r="B2186" s="1" t="s">
        <v>5068</v>
      </c>
      <c r="C2186" s="1">
        <v>50292</v>
      </c>
      <c r="D2186" s="1" t="s">
        <v>246</v>
      </c>
      <c r="F2186" s="1">
        <v>2023</v>
      </c>
      <c r="G2186" s="1" t="s">
        <v>1515</v>
      </c>
      <c r="H2186" s="1">
        <v>3292</v>
      </c>
      <c r="I2186" s="1">
        <v>2</v>
      </c>
      <c r="K2186" s="1" t="s">
        <v>2222</v>
      </c>
      <c r="L2186" s="1" t="s">
        <v>2223</v>
      </c>
      <c r="M2186" s="1">
        <v>59</v>
      </c>
      <c r="N2186" s="1" t="s">
        <v>39</v>
      </c>
      <c r="O2186" s="1">
        <v>40.746899999999997</v>
      </c>
      <c r="P2186" s="1">
        <v>-73.499399999999994</v>
      </c>
      <c r="Q2186" s="1" t="s">
        <v>5072</v>
      </c>
      <c r="R2186" s="1" t="s">
        <v>41</v>
      </c>
      <c r="T2186" s="1" t="s">
        <v>93</v>
      </c>
      <c r="U2186" s="1" t="s">
        <v>44</v>
      </c>
      <c r="X2186" s="1" t="s">
        <v>176</v>
      </c>
      <c r="AA2186" s="3">
        <v>37438</v>
      </c>
      <c r="AB2186" s="1" t="s">
        <v>46</v>
      </c>
      <c r="AC2186" s="5">
        <v>545</v>
      </c>
      <c r="AD2186" s="1" t="s">
        <v>5073</v>
      </c>
      <c r="AE2186" s="1" t="str">
        <f t="shared" si="163"/>
        <v>50292 GT3</v>
      </c>
      <c r="AF2186" s="5" t="str">
        <f>MID(AD2186,FIND("(",AD2186)+1,FIND(")",AD2186)-FIND("(",AD2186)-1)</f>
        <v>60</v>
      </c>
      <c r="AG2186" s="1" t="str">
        <f t="shared" si="162"/>
        <v>Y</v>
      </c>
    </row>
    <row r="2187" spans="1:33" x14ac:dyDescent="0.2">
      <c r="A2187" s="1" t="s">
        <v>2089</v>
      </c>
      <c r="B2187" s="1" t="s">
        <v>5068</v>
      </c>
      <c r="C2187" s="1">
        <v>50292</v>
      </c>
      <c r="D2187" s="1" t="s">
        <v>251</v>
      </c>
      <c r="F2187" s="1">
        <v>2023</v>
      </c>
      <c r="G2187" s="1" t="s">
        <v>1515</v>
      </c>
      <c r="H2187" s="1">
        <v>3292</v>
      </c>
      <c r="I2187" s="1">
        <v>2</v>
      </c>
      <c r="K2187" s="1" t="s">
        <v>2222</v>
      </c>
      <c r="L2187" s="1" t="s">
        <v>2223</v>
      </c>
      <c r="M2187" s="1">
        <v>59</v>
      </c>
      <c r="N2187" s="1" t="s">
        <v>39</v>
      </c>
      <c r="O2187" s="1">
        <v>40.746899999999997</v>
      </c>
      <c r="P2187" s="1">
        <v>-73.499399999999994</v>
      </c>
      <c r="Q2187" s="1" t="s">
        <v>5074</v>
      </c>
      <c r="R2187" s="1" t="s">
        <v>41</v>
      </c>
      <c r="T2187" s="1" t="s">
        <v>71</v>
      </c>
      <c r="U2187" s="1" t="s">
        <v>44</v>
      </c>
      <c r="X2187" s="1" t="s">
        <v>176</v>
      </c>
      <c r="AA2187" s="3">
        <v>38480</v>
      </c>
      <c r="AB2187" s="1" t="s">
        <v>46</v>
      </c>
      <c r="AC2187" s="5">
        <v>730</v>
      </c>
      <c r="AD2187" s="1" t="s">
        <v>5075</v>
      </c>
      <c r="AE2187" s="1" t="str">
        <f t="shared" si="163"/>
        <v>50292 GT4</v>
      </c>
      <c r="AF2187" s="14">
        <f>MID(AD2187,FIND("(",AD2187)+1,FIND(")",AD2187)-FIND("(",AD2187)-1)+60</f>
        <v>96</v>
      </c>
      <c r="AG2187" s="1" t="str">
        <f t="shared" si="162"/>
        <v>Y</v>
      </c>
    </row>
    <row r="2188" spans="1:33" x14ac:dyDescent="0.2">
      <c r="A2188" s="1" t="s">
        <v>2584</v>
      </c>
      <c r="B2188" s="1" t="s">
        <v>5076</v>
      </c>
      <c r="C2188" s="1">
        <v>50397</v>
      </c>
      <c r="D2188" s="1">
        <v>36</v>
      </c>
      <c r="F2188" s="1">
        <v>2023</v>
      </c>
      <c r="G2188" s="1" t="s">
        <v>617</v>
      </c>
      <c r="H2188" s="1">
        <v>609354</v>
      </c>
      <c r="I2188" s="1">
        <v>3</v>
      </c>
      <c r="K2188" s="1" t="s">
        <v>2604</v>
      </c>
      <c r="L2188" s="1" t="s">
        <v>2605</v>
      </c>
      <c r="M2188" s="1">
        <v>133</v>
      </c>
      <c r="N2188" s="1" t="s">
        <v>5062</v>
      </c>
      <c r="O2188" s="1">
        <v>39.871699999999997</v>
      </c>
      <c r="P2188" s="1">
        <v>-76.866399999999999</v>
      </c>
      <c r="Q2188" s="1" t="s">
        <v>5077</v>
      </c>
      <c r="T2188" s="1" t="s">
        <v>885</v>
      </c>
      <c r="U2188" s="1" t="s">
        <v>55</v>
      </c>
      <c r="V2188" s="1" t="s">
        <v>5078</v>
      </c>
      <c r="W2188" s="1" t="s">
        <v>1069</v>
      </c>
      <c r="X2188" s="1" t="s">
        <v>669</v>
      </c>
      <c r="Y2188" s="1" t="s">
        <v>58</v>
      </c>
      <c r="AA2188" s="3">
        <v>32492</v>
      </c>
      <c r="AB2188" s="1" t="s">
        <v>46</v>
      </c>
      <c r="AC2188" s="5">
        <v>695</v>
      </c>
      <c r="AD2188" s="1" t="s">
        <v>5079</v>
      </c>
      <c r="AE2188" s="1" t="str">
        <f t="shared" si="163"/>
        <v>50397 36</v>
      </c>
      <c r="AF2188" s="14">
        <f>MID(AD2188,FIND("(",AD2188)+1,FIND(")",AD2188)-FIND("(",AD2188)-1)+5.1/2+39.2/2+7.5/2+6+6/2</f>
        <v>80.8</v>
      </c>
      <c r="AG2188" s="1" t="str">
        <f t="shared" si="162"/>
        <v>Y</v>
      </c>
    </row>
    <row r="2189" spans="1:33" x14ac:dyDescent="0.2">
      <c r="A2189" s="1" t="s">
        <v>2584</v>
      </c>
      <c r="B2189" s="1" t="s">
        <v>5076</v>
      </c>
      <c r="C2189" s="1">
        <v>50397</v>
      </c>
      <c r="D2189" s="1">
        <v>39</v>
      </c>
      <c r="F2189" s="1">
        <v>2023</v>
      </c>
      <c r="G2189" s="1" t="s">
        <v>617</v>
      </c>
      <c r="H2189" s="1">
        <v>609354</v>
      </c>
      <c r="I2189" s="1">
        <v>3</v>
      </c>
      <c r="K2189" s="1" t="s">
        <v>2604</v>
      </c>
      <c r="L2189" s="1" t="s">
        <v>2605</v>
      </c>
      <c r="M2189" s="1">
        <v>133</v>
      </c>
      <c r="N2189" s="1" t="s">
        <v>5062</v>
      </c>
      <c r="O2189" s="1">
        <v>39.871699999999997</v>
      </c>
      <c r="P2189" s="1">
        <v>-76.866399999999999</v>
      </c>
      <c r="Q2189" s="1" t="s">
        <v>5077</v>
      </c>
      <c r="T2189" s="1" t="s">
        <v>656</v>
      </c>
      <c r="U2189" s="1" t="s">
        <v>44</v>
      </c>
      <c r="X2189" s="1" t="s">
        <v>90</v>
      </c>
      <c r="AA2189" s="3">
        <v>42710</v>
      </c>
      <c r="AB2189" s="1" t="s">
        <v>46</v>
      </c>
      <c r="AC2189" s="5">
        <v>394.7</v>
      </c>
      <c r="AD2189" s="1" t="s">
        <v>5080</v>
      </c>
      <c r="AE2189" s="1" t="str">
        <f t="shared" si="163"/>
        <v>50397 39</v>
      </c>
      <c r="AF2189" s="14">
        <f>MID(AD2189,FIND("(",AD2189)+1,FIND(")",AD2189)-FIND("(",AD2189)-1)/2+39.2/2+6/2+7.5/2</f>
        <v>28.900000000000002</v>
      </c>
      <c r="AG2189" s="1" t="str">
        <f t="shared" si="162"/>
        <v/>
      </c>
    </row>
    <row r="2190" spans="1:33" x14ac:dyDescent="0.2">
      <c r="A2190" s="1" t="s">
        <v>2089</v>
      </c>
      <c r="B2190" s="1" t="s">
        <v>5081</v>
      </c>
      <c r="C2190" s="1">
        <v>50449</v>
      </c>
      <c r="D2190" s="1">
        <v>1</v>
      </c>
      <c r="F2190" s="1">
        <v>2023</v>
      </c>
      <c r="G2190" s="1" t="s">
        <v>1515</v>
      </c>
      <c r="H2190" s="1">
        <v>2911</v>
      </c>
      <c r="I2190" s="1">
        <v>2</v>
      </c>
      <c r="J2190" s="1" t="s">
        <v>580</v>
      </c>
      <c r="K2190" s="1" t="s">
        <v>5082</v>
      </c>
      <c r="L2190" s="1" t="s">
        <v>5083</v>
      </c>
      <c r="M2190" s="1">
        <v>121</v>
      </c>
      <c r="N2190" s="1" t="s">
        <v>1680</v>
      </c>
      <c r="O2190" s="1">
        <v>42.654400000000003</v>
      </c>
      <c r="P2190" s="1">
        <v>-78.077200000000005</v>
      </c>
      <c r="Q2190" s="1" t="s">
        <v>5084</v>
      </c>
      <c r="R2190" s="1" t="s">
        <v>41</v>
      </c>
      <c r="T2190" s="1" t="s">
        <v>71</v>
      </c>
      <c r="U2190" s="1" t="s">
        <v>44</v>
      </c>
      <c r="V2190" s="1" t="s">
        <v>94</v>
      </c>
      <c r="X2190" s="1" t="s">
        <v>1606</v>
      </c>
      <c r="AA2190" s="3">
        <v>33390</v>
      </c>
      <c r="AB2190" s="1" t="s">
        <v>46</v>
      </c>
      <c r="AC2190" s="5">
        <v>673</v>
      </c>
      <c r="AD2190" s="1" t="s">
        <v>5085</v>
      </c>
      <c r="AE2190" s="1" t="str">
        <f t="shared" si="163"/>
        <v>50449 1</v>
      </c>
      <c r="AF2190" s="14">
        <f>MID(AD2190,FIND("(",AD2190)+1,FIND(")",AD2190)-FIND("(",AD2190)-1)+17.3</f>
        <v>56.7</v>
      </c>
      <c r="AG2190" s="1" t="str">
        <f t="shared" si="162"/>
        <v/>
      </c>
    </row>
    <row r="2191" spans="1:33" x14ac:dyDescent="0.2">
      <c r="A2191" s="1" t="s">
        <v>2089</v>
      </c>
      <c r="B2191" s="1" t="s">
        <v>5086</v>
      </c>
      <c r="C2191" s="1">
        <v>50450</v>
      </c>
      <c r="D2191" s="1">
        <v>1</v>
      </c>
      <c r="F2191" s="1">
        <v>2023</v>
      </c>
      <c r="G2191" s="1" t="s">
        <v>1515</v>
      </c>
      <c r="H2191" s="1">
        <v>2911</v>
      </c>
      <c r="I2191" s="1">
        <v>2</v>
      </c>
      <c r="J2191" s="1" t="s">
        <v>580</v>
      </c>
      <c r="K2191" s="1" t="s">
        <v>2288</v>
      </c>
      <c r="L2191" s="1" t="s">
        <v>2289</v>
      </c>
      <c r="M2191" s="1">
        <v>75</v>
      </c>
      <c r="N2191" s="1" t="s">
        <v>1680</v>
      </c>
      <c r="O2191" s="1">
        <v>43.468200000000003</v>
      </c>
      <c r="P2191" s="1">
        <v>-76.496499999999997</v>
      </c>
      <c r="Q2191" s="1" t="s">
        <v>5087</v>
      </c>
      <c r="R2191" s="1" t="s">
        <v>41</v>
      </c>
      <c r="T2191" s="1" t="s">
        <v>71</v>
      </c>
      <c r="U2191" s="1" t="s">
        <v>44</v>
      </c>
      <c r="V2191" s="1" t="s">
        <v>94</v>
      </c>
      <c r="X2191" s="1" t="s">
        <v>1606</v>
      </c>
      <c r="AA2191" s="3">
        <v>32994</v>
      </c>
      <c r="AB2191" s="1" t="s">
        <v>46</v>
      </c>
      <c r="AC2191" s="5">
        <v>570</v>
      </c>
      <c r="AD2191" s="1" t="s">
        <v>5088</v>
      </c>
      <c r="AE2191" s="1" t="str">
        <f t="shared" si="163"/>
        <v>50450 1</v>
      </c>
      <c r="AF2191" s="14">
        <f>MID(AD2191,FIND("(",AD2191)+1,FIND(")",AD2191)-FIND("(",AD2191)-1)+16.3</f>
        <v>57.599999999999994</v>
      </c>
      <c r="AG2191" s="1" t="str">
        <f t="shared" si="162"/>
        <v/>
      </c>
    </row>
    <row r="2192" spans="1:33" x14ac:dyDescent="0.2">
      <c r="A2192" s="1" t="s">
        <v>2089</v>
      </c>
      <c r="B2192" s="1" t="s">
        <v>5089</v>
      </c>
      <c r="C2192" s="1">
        <v>50451</v>
      </c>
      <c r="D2192" s="1">
        <v>1</v>
      </c>
      <c r="F2192" s="1">
        <v>2023</v>
      </c>
      <c r="G2192" s="1" t="s">
        <v>1515</v>
      </c>
      <c r="H2192" s="1">
        <v>2911</v>
      </c>
      <c r="I2192" s="1">
        <v>2</v>
      </c>
      <c r="J2192" s="1" t="s">
        <v>580</v>
      </c>
      <c r="K2192" s="1" t="s">
        <v>5090</v>
      </c>
      <c r="L2192" s="1" t="s">
        <v>5091</v>
      </c>
      <c r="M2192" s="1">
        <v>29</v>
      </c>
      <c r="N2192" s="1" t="s">
        <v>1680</v>
      </c>
      <c r="O2192" s="1">
        <v>42.967100000000002</v>
      </c>
      <c r="P2192" s="1">
        <v>-78.918199999999999</v>
      </c>
      <c r="Q2192" s="1" t="s">
        <v>5092</v>
      </c>
      <c r="R2192" s="1" t="s">
        <v>41</v>
      </c>
      <c r="T2192" s="1" t="s">
        <v>71</v>
      </c>
      <c r="U2192" s="1" t="s">
        <v>44</v>
      </c>
      <c r="V2192" s="1" t="s">
        <v>94</v>
      </c>
      <c r="X2192" s="1" t="s">
        <v>1606</v>
      </c>
      <c r="AA2192" s="3">
        <v>32143</v>
      </c>
      <c r="AB2192" s="1" t="s">
        <v>46</v>
      </c>
      <c r="AC2192" s="5">
        <v>627</v>
      </c>
      <c r="AD2192" s="1" t="s">
        <v>5093</v>
      </c>
      <c r="AE2192" s="1" t="str">
        <f t="shared" si="163"/>
        <v>50451 1</v>
      </c>
      <c r="AF2192" s="14">
        <f>MID(AD2192,FIND("(",AD2192)+1,FIND(")",AD2192)-FIND("(",AD2192)-1)+19.4</f>
        <v>60.1</v>
      </c>
      <c r="AG2192" s="1" t="str">
        <f t="shared" si="162"/>
        <v/>
      </c>
    </row>
    <row r="2193" spans="1:33" x14ac:dyDescent="0.2">
      <c r="A2193" s="1" t="s">
        <v>2089</v>
      </c>
      <c r="B2193" s="1" t="s">
        <v>5094</v>
      </c>
      <c r="C2193" s="1">
        <v>50458</v>
      </c>
      <c r="D2193" s="1">
        <v>1</v>
      </c>
      <c r="F2193" s="1">
        <v>2023</v>
      </c>
      <c r="G2193" s="1" t="s">
        <v>1515</v>
      </c>
      <c r="H2193" s="1">
        <v>2911</v>
      </c>
      <c r="I2193" s="1">
        <v>2</v>
      </c>
      <c r="J2193" s="1" t="s">
        <v>580</v>
      </c>
      <c r="K2193" s="1" t="s">
        <v>5095</v>
      </c>
      <c r="L2193" s="1" t="s">
        <v>5096</v>
      </c>
      <c r="M2193" s="1">
        <v>91</v>
      </c>
      <c r="N2193" s="1" t="s">
        <v>1680</v>
      </c>
      <c r="O2193" s="1">
        <v>43.25</v>
      </c>
      <c r="P2193" s="1">
        <v>-73.8125</v>
      </c>
      <c r="Q2193" s="1" t="s">
        <v>5097</v>
      </c>
      <c r="R2193" s="1" t="s">
        <v>41</v>
      </c>
      <c r="T2193" s="1" t="s">
        <v>71</v>
      </c>
      <c r="U2193" s="1" t="s">
        <v>44</v>
      </c>
      <c r="V2193" s="1" t="s">
        <v>94</v>
      </c>
      <c r="X2193" s="1" t="s">
        <v>643</v>
      </c>
      <c r="AA2193" s="3">
        <v>34881</v>
      </c>
      <c r="AB2193" s="1" t="s">
        <v>46</v>
      </c>
      <c r="AC2193" s="5">
        <v>1279</v>
      </c>
      <c r="AD2193" s="1" t="s">
        <v>5098</v>
      </c>
      <c r="AE2193" s="1" t="str">
        <f t="shared" si="163"/>
        <v>50458 1</v>
      </c>
      <c r="AF2193" s="14">
        <f>MID(AD2193,FIND("(",AD2193)+1,FIND(")",AD2193)-FIND("(",AD2193)-1)+92</f>
        <v>147</v>
      </c>
      <c r="AG2193" s="1" t="str">
        <f t="shared" si="162"/>
        <v>Y</v>
      </c>
    </row>
    <row r="2194" spans="1:33" x14ac:dyDescent="0.2">
      <c r="A2194" s="1" t="s">
        <v>2584</v>
      </c>
      <c r="B2194" s="1" t="s">
        <v>5099</v>
      </c>
      <c r="C2194" s="1">
        <v>50463</v>
      </c>
      <c r="D2194" s="1">
        <v>328001</v>
      </c>
      <c r="F2194" s="1">
        <v>2023</v>
      </c>
      <c r="G2194" s="1" t="s">
        <v>617</v>
      </c>
      <c r="H2194" s="1" t="s">
        <v>5100</v>
      </c>
      <c r="I2194" s="1">
        <v>3</v>
      </c>
      <c r="K2194" s="1" t="s">
        <v>5082</v>
      </c>
      <c r="L2194" s="1" t="s">
        <v>5101</v>
      </c>
      <c r="M2194" s="1">
        <v>131</v>
      </c>
      <c r="N2194" s="1" t="s">
        <v>1680</v>
      </c>
      <c r="O2194" s="1">
        <v>41.573</v>
      </c>
      <c r="P2194" s="1">
        <v>-76.042599999999993</v>
      </c>
      <c r="Q2194" s="1" t="s">
        <v>5102</v>
      </c>
      <c r="T2194" s="1" t="s">
        <v>93</v>
      </c>
      <c r="U2194" s="1" t="s">
        <v>44</v>
      </c>
      <c r="X2194" s="1" t="s">
        <v>1606</v>
      </c>
      <c r="AA2194" s="3">
        <v>31199</v>
      </c>
      <c r="AB2194" s="1" t="s">
        <v>46</v>
      </c>
      <c r="AC2194" s="5">
        <v>668</v>
      </c>
      <c r="AD2194" s="1" t="s">
        <v>5103</v>
      </c>
      <c r="AE2194" s="1" t="str">
        <f t="shared" si="163"/>
        <v>50463 328001</v>
      </c>
      <c r="AF2194" s="5" t="str">
        <f>MID(AD2194,FIND("(",AD2194)+1,FIND(")",AD2194)-FIND("(",AD2194)-1)</f>
        <v>53.6</v>
      </c>
      <c r="AG2194" s="1" t="str">
        <f t="shared" si="162"/>
        <v/>
      </c>
    </row>
    <row r="2195" spans="1:33" x14ac:dyDescent="0.2">
      <c r="A2195" s="1" t="s">
        <v>2584</v>
      </c>
      <c r="B2195" s="1" t="s">
        <v>5099</v>
      </c>
      <c r="C2195" s="1">
        <v>50463</v>
      </c>
      <c r="D2195" s="1">
        <v>328002</v>
      </c>
      <c r="F2195" s="1">
        <v>2023</v>
      </c>
      <c r="G2195" s="1" t="s">
        <v>617</v>
      </c>
      <c r="H2195" s="1" t="s">
        <v>5100</v>
      </c>
      <c r="I2195" s="1">
        <v>3</v>
      </c>
      <c r="K2195" s="1" t="s">
        <v>5082</v>
      </c>
      <c r="L2195" s="1" t="s">
        <v>5101</v>
      </c>
      <c r="M2195" s="1">
        <v>131</v>
      </c>
      <c r="N2195" s="1" t="s">
        <v>1680</v>
      </c>
      <c r="O2195" s="1">
        <v>41.573</v>
      </c>
      <c r="P2195" s="1">
        <v>-76.042599999999993</v>
      </c>
      <c r="Q2195" s="1" t="s">
        <v>5102</v>
      </c>
      <c r="T2195" s="1" t="s">
        <v>93</v>
      </c>
      <c r="U2195" s="1" t="s">
        <v>44</v>
      </c>
      <c r="X2195" s="1" t="s">
        <v>176</v>
      </c>
      <c r="AA2195" s="3">
        <v>41537</v>
      </c>
      <c r="AB2195" s="1" t="s">
        <v>46</v>
      </c>
      <c r="AC2195" s="5">
        <v>650</v>
      </c>
      <c r="AD2195" s="1" t="s">
        <v>5104</v>
      </c>
      <c r="AE2195" s="1" t="str">
        <f t="shared" si="163"/>
        <v>50463 328002</v>
      </c>
      <c r="AF2195" s="5" t="str">
        <f>MID(AD2195,FIND("(",AD2195)+1,FIND(")",AD2195)-FIND("(",AD2195)-1)</f>
        <v>64</v>
      </c>
      <c r="AG2195" s="1" t="str">
        <f t="shared" si="162"/>
        <v>Y</v>
      </c>
    </row>
    <row r="2196" spans="1:33" x14ac:dyDescent="0.2">
      <c r="A2196" s="1" t="s">
        <v>2089</v>
      </c>
      <c r="B2196" s="1" t="s">
        <v>5105</v>
      </c>
      <c r="C2196" s="1">
        <v>50472</v>
      </c>
      <c r="D2196" s="1" t="s">
        <v>5106</v>
      </c>
      <c r="F2196" s="1">
        <v>2023</v>
      </c>
      <c r="G2196" s="1" t="s">
        <v>617</v>
      </c>
      <c r="H2196" s="1">
        <v>607165</v>
      </c>
      <c r="I2196" s="1">
        <v>2</v>
      </c>
      <c r="K2196" s="1" t="s">
        <v>5107</v>
      </c>
      <c r="L2196" s="1" t="s">
        <v>5108</v>
      </c>
      <c r="M2196" s="1">
        <v>63</v>
      </c>
      <c r="N2196" s="1" t="s">
        <v>1680</v>
      </c>
      <c r="O2196" s="1">
        <v>43.0839</v>
      </c>
      <c r="P2196" s="1">
        <v>-79.005600000000001</v>
      </c>
      <c r="Q2196" s="1" t="s">
        <v>5109</v>
      </c>
      <c r="T2196" s="1" t="s">
        <v>89</v>
      </c>
      <c r="U2196" s="1" t="s">
        <v>284</v>
      </c>
      <c r="X2196" s="1" t="s">
        <v>669</v>
      </c>
      <c r="AA2196" s="3">
        <v>29221</v>
      </c>
      <c r="AB2196" s="1" t="s">
        <v>46</v>
      </c>
      <c r="AC2196" s="5">
        <v>440</v>
      </c>
      <c r="AD2196" s="1" t="s">
        <v>5110</v>
      </c>
      <c r="AE2196" s="1" t="str">
        <f t="shared" si="163"/>
        <v>50472 R1B01</v>
      </c>
      <c r="AF2196" s="14">
        <f>MID(AD2196,FIND("(",AD2196)+1,FIND(")",AD2196)-FIND("(",AD2196)-1)/2+25/2</f>
        <v>25</v>
      </c>
      <c r="AG2196" s="1" t="str">
        <f t="shared" si="162"/>
        <v>Y</v>
      </c>
    </row>
    <row r="2197" spans="1:33" x14ac:dyDescent="0.2">
      <c r="A2197" s="1" t="s">
        <v>2089</v>
      </c>
      <c r="B2197" s="1" t="s">
        <v>5105</v>
      </c>
      <c r="C2197" s="1">
        <v>50472</v>
      </c>
      <c r="D2197" s="1" t="s">
        <v>5111</v>
      </c>
      <c r="F2197" s="1">
        <v>2023</v>
      </c>
      <c r="G2197" s="1" t="s">
        <v>617</v>
      </c>
      <c r="H2197" s="1">
        <v>607165</v>
      </c>
      <c r="I2197" s="1">
        <v>2</v>
      </c>
      <c r="K2197" s="1" t="s">
        <v>5107</v>
      </c>
      <c r="L2197" s="1" t="s">
        <v>5108</v>
      </c>
      <c r="M2197" s="1">
        <v>63</v>
      </c>
      <c r="N2197" s="1" t="s">
        <v>1680</v>
      </c>
      <c r="O2197" s="1">
        <v>43.0839</v>
      </c>
      <c r="P2197" s="1">
        <v>-79.005600000000001</v>
      </c>
      <c r="Q2197" s="1" t="s">
        <v>5109</v>
      </c>
      <c r="T2197" s="1" t="s">
        <v>89</v>
      </c>
      <c r="U2197" s="1" t="s">
        <v>44</v>
      </c>
      <c r="X2197" s="1" t="s">
        <v>669</v>
      </c>
      <c r="AA2197" s="3">
        <v>29221</v>
      </c>
      <c r="AB2197" s="1" t="s">
        <v>46</v>
      </c>
      <c r="AC2197" s="5">
        <v>440</v>
      </c>
      <c r="AD2197" s="1" t="s">
        <v>5110</v>
      </c>
      <c r="AE2197" s="1" t="str">
        <f t="shared" si="163"/>
        <v>50472 R1B02</v>
      </c>
      <c r="AF2197" s="14">
        <f>MID(AD2197,FIND("(",AD2197)+1,FIND(")",AD2197)-FIND("(",AD2197)-1)/2+25/2</f>
        <v>25</v>
      </c>
      <c r="AG2197" s="1" t="str">
        <f t="shared" si="162"/>
        <v>Y</v>
      </c>
    </row>
    <row r="2198" spans="1:33" x14ac:dyDescent="0.2">
      <c r="A2198" s="1" t="s">
        <v>1153</v>
      </c>
      <c r="B2198" s="1" t="s">
        <v>5112</v>
      </c>
      <c r="C2198" s="1">
        <v>50555</v>
      </c>
      <c r="D2198" s="1">
        <v>1</v>
      </c>
      <c r="F2198" s="1">
        <v>2023</v>
      </c>
      <c r="G2198" s="1" t="s">
        <v>2319</v>
      </c>
      <c r="H2198" s="1">
        <v>1525</v>
      </c>
      <c r="I2198" s="1">
        <v>4</v>
      </c>
      <c r="K2198" s="1" t="s">
        <v>3960</v>
      </c>
      <c r="L2198" s="1" t="s">
        <v>5113</v>
      </c>
      <c r="M2198" s="1">
        <v>83</v>
      </c>
      <c r="N2198" s="1" t="s">
        <v>39</v>
      </c>
      <c r="O2198" s="1">
        <v>36.452500000000001</v>
      </c>
      <c r="P2198" s="1">
        <v>-77.659400000000005</v>
      </c>
      <c r="Q2198" s="1" t="s">
        <v>3112</v>
      </c>
      <c r="R2198" s="1" t="s">
        <v>41</v>
      </c>
      <c r="T2198" s="1" t="s">
        <v>71</v>
      </c>
      <c r="U2198" s="1" t="s">
        <v>94</v>
      </c>
      <c r="X2198" s="1" t="s">
        <v>95</v>
      </c>
      <c r="AA2198" s="3">
        <v>33234</v>
      </c>
      <c r="AB2198" s="1" t="s">
        <v>46</v>
      </c>
      <c r="AC2198" s="5">
        <v>1136</v>
      </c>
      <c r="AD2198" s="1" t="s">
        <v>5114</v>
      </c>
      <c r="AE2198" s="1" t="str">
        <f t="shared" si="163"/>
        <v>50555 1</v>
      </c>
      <c r="AF2198" s="14">
        <f>MID(AD2198,FIND("(",AD2198)+1,FIND(")",AD2198)-FIND("(",AD2198)-1)+54/2</f>
        <v>113</v>
      </c>
      <c r="AG2198" s="1" t="str">
        <f t="shared" si="162"/>
        <v/>
      </c>
    </row>
    <row r="2199" spans="1:33" x14ac:dyDescent="0.2">
      <c r="A2199" s="1" t="s">
        <v>1153</v>
      </c>
      <c r="B2199" s="1" t="s">
        <v>5112</v>
      </c>
      <c r="C2199" s="1">
        <v>50555</v>
      </c>
      <c r="D2199" s="1">
        <v>2</v>
      </c>
      <c r="F2199" s="1">
        <v>2023</v>
      </c>
      <c r="G2199" s="1" t="s">
        <v>2319</v>
      </c>
      <c r="H2199" s="1">
        <v>1525</v>
      </c>
      <c r="I2199" s="1">
        <v>4</v>
      </c>
      <c r="K2199" s="1" t="s">
        <v>3960</v>
      </c>
      <c r="L2199" s="1" t="s">
        <v>5113</v>
      </c>
      <c r="M2199" s="1">
        <v>83</v>
      </c>
      <c r="N2199" s="1" t="s">
        <v>39</v>
      </c>
      <c r="O2199" s="1">
        <v>36.452500000000001</v>
      </c>
      <c r="P2199" s="1">
        <v>-77.659400000000005</v>
      </c>
      <c r="Q2199" s="1" t="s">
        <v>3112</v>
      </c>
      <c r="R2199" s="1" t="s">
        <v>41</v>
      </c>
      <c r="T2199" s="1" t="s">
        <v>71</v>
      </c>
      <c r="U2199" s="1" t="s">
        <v>94</v>
      </c>
      <c r="X2199" s="1" t="s">
        <v>95</v>
      </c>
      <c r="AA2199" s="3">
        <v>33234</v>
      </c>
      <c r="AB2199" s="1" t="s">
        <v>46</v>
      </c>
      <c r="AC2199" s="5">
        <v>541</v>
      </c>
      <c r="AD2199" s="1" t="s">
        <v>5115</v>
      </c>
      <c r="AE2199" s="1" t="str">
        <f t="shared" si="163"/>
        <v>50555 2</v>
      </c>
      <c r="AF2199" s="14">
        <f>MID(AD2199,FIND("(",AD2199)+1,FIND(")",AD2199)-FIND("(",AD2199)-1)+54/2</f>
        <v>67</v>
      </c>
      <c r="AG2199" s="1" t="str">
        <f t="shared" si="162"/>
        <v/>
      </c>
    </row>
    <row r="2200" spans="1:33" x14ac:dyDescent="0.2">
      <c r="A2200" s="1" t="s">
        <v>335</v>
      </c>
      <c r="B2200" s="1" t="s">
        <v>5116</v>
      </c>
      <c r="C2200" s="1">
        <v>50558</v>
      </c>
      <c r="D2200" s="1" t="s">
        <v>5117</v>
      </c>
      <c r="F2200" s="1">
        <v>2023</v>
      </c>
      <c r="G2200" s="1" t="s">
        <v>346</v>
      </c>
      <c r="H2200" s="1">
        <v>603925</v>
      </c>
      <c r="I2200" s="1">
        <v>6</v>
      </c>
      <c r="K2200" s="1" t="s">
        <v>2505</v>
      </c>
      <c r="L2200" s="1" t="s">
        <v>2506</v>
      </c>
      <c r="M2200" s="1">
        <v>109</v>
      </c>
      <c r="N2200" s="1" t="s">
        <v>39</v>
      </c>
      <c r="O2200" s="1">
        <v>35.442</v>
      </c>
      <c r="P2200" s="1">
        <v>-97.6477</v>
      </c>
      <c r="Q2200" s="1" t="s">
        <v>2507</v>
      </c>
      <c r="R2200" s="1" t="s">
        <v>41</v>
      </c>
      <c r="T2200" s="1" t="s">
        <v>71</v>
      </c>
      <c r="U2200" s="1" t="s">
        <v>44</v>
      </c>
      <c r="X2200" s="1" t="s">
        <v>1606</v>
      </c>
      <c r="AA2200" s="3">
        <v>32752</v>
      </c>
      <c r="AB2200" s="1" t="s">
        <v>46</v>
      </c>
      <c r="AC2200" s="5">
        <v>1200</v>
      </c>
      <c r="AD2200" s="1" t="s">
        <v>5118</v>
      </c>
      <c r="AE2200" s="1" t="str">
        <f t="shared" si="163"/>
        <v>50558 CC01</v>
      </c>
      <c r="AF2200" s="14">
        <f>MID(AD2200,FIND("(",AD2200)+1,FIND(")",AD2200)-FIND("(",AD2200)-1)+49.9</f>
        <v>122.4</v>
      </c>
      <c r="AG2200" s="1" t="str">
        <f t="shared" si="162"/>
        <v/>
      </c>
    </row>
    <row r="2201" spans="1:33" x14ac:dyDescent="0.2">
      <c r="A2201" s="1" t="s">
        <v>1980</v>
      </c>
      <c r="B2201" s="1" t="s">
        <v>5119</v>
      </c>
      <c r="C2201" s="1">
        <v>50561</v>
      </c>
      <c r="D2201" s="1">
        <v>1</v>
      </c>
      <c r="F2201" s="1">
        <v>2023</v>
      </c>
      <c r="G2201" s="1" t="s">
        <v>1515</v>
      </c>
      <c r="H2201" s="1">
        <v>609608</v>
      </c>
      <c r="I2201" s="1">
        <v>2</v>
      </c>
      <c r="K2201" s="1" t="s">
        <v>4635</v>
      </c>
      <c r="L2201" s="1" t="s">
        <v>4636</v>
      </c>
      <c r="M2201" s="1">
        <v>15</v>
      </c>
      <c r="N2201" s="1" t="s">
        <v>39</v>
      </c>
      <c r="O2201" s="1">
        <v>39.874600000000001</v>
      </c>
      <c r="P2201" s="1">
        <v>-75.159199999999998</v>
      </c>
      <c r="Q2201" s="1" t="s">
        <v>5120</v>
      </c>
      <c r="R2201" s="1" t="s">
        <v>41</v>
      </c>
      <c r="T2201" s="1" t="s">
        <v>71</v>
      </c>
      <c r="U2201" s="1" t="s">
        <v>44</v>
      </c>
      <c r="V2201" s="1" t="s">
        <v>94</v>
      </c>
      <c r="X2201" s="1" t="s">
        <v>183</v>
      </c>
      <c r="AA2201" s="3">
        <v>33359</v>
      </c>
      <c r="AB2201" s="1" t="s">
        <v>46</v>
      </c>
      <c r="AC2201" s="5">
        <v>1675</v>
      </c>
      <c r="AD2201" s="1" t="s">
        <v>5121</v>
      </c>
      <c r="AE2201" s="1" t="str">
        <f t="shared" si="163"/>
        <v>50561 1</v>
      </c>
      <c r="AF2201" s="14">
        <f>MID(AD2201,FIND("(",AD2201)+1,FIND(")",AD2201)-FIND("(",AD2201)-1)+26/2+45/2</f>
        <v>125.5</v>
      </c>
      <c r="AG2201" s="1" t="str">
        <f t="shared" si="162"/>
        <v/>
      </c>
    </row>
    <row r="2202" spans="1:33" x14ac:dyDescent="0.2">
      <c r="A2202" s="1" t="s">
        <v>1980</v>
      </c>
      <c r="B2202" s="1" t="s">
        <v>5119</v>
      </c>
      <c r="C2202" s="1">
        <v>50561</v>
      </c>
      <c r="D2202" s="1">
        <v>2</v>
      </c>
      <c r="F2202" s="1">
        <v>2023</v>
      </c>
      <c r="G2202" s="1" t="s">
        <v>1515</v>
      </c>
      <c r="H2202" s="1">
        <v>609608</v>
      </c>
      <c r="I2202" s="1">
        <v>2</v>
      </c>
      <c r="K2202" s="1" t="s">
        <v>4635</v>
      </c>
      <c r="L2202" s="1" t="s">
        <v>4636</v>
      </c>
      <c r="M2202" s="1">
        <v>15</v>
      </c>
      <c r="N2202" s="1" t="s">
        <v>39</v>
      </c>
      <c r="O2202" s="1">
        <v>39.874600000000001</v>
      </c>
      <c r="P2202" s="1">
        <v>-75.159199999999998</v>
      </c>
      <c r="Q2202" s="1" t="s">
        <v>5120</v>
      </c>
      <c r="R2202" s="1" t="s">
        <v>41</v>
      </c>
      <c r="T2202" s="1" t="s">
        <v>71</v>
      </c>
      <c r="U2202" s="1" t="s">
        <v>44</v>
      </c>
      <c r="V2202" s="1" t="s">
        <v>94</v>
      </c>
      <c r="X2202" s="1" t="s">
        <v>183</v>
      </c>
      <c r="AA2202" s="3">
        <v>33359</v>
      </c>
      <c r="AB2202" s="1" t="s">
        <v>46</v>
      </c>
      <c r="AC2202" s="5">
        <v>1576</v>
      </c>
      <c r="AD2202" s="1" t="s">
        <v>5122</v>
      </c>
      <c r="AE2202" s="1" t="str">
        <f t="shared" si="163"/>
        <v>50561 2</v>
      </c>
      <c r="AF2202" s="14">
        <f>AF2201</f>
        <v>125.5</v>
      </c>
      <c r="AG2202" s="1" t="str">
        <f t="shared" si="162"/>
        <v/>
      </c>
    </row>
    <row r="2203" spans="1:33" x14ac:dyDescent="0.2">
      <c r="A2203" s="1" t="s">
        <v>2584</v>
      </c>
      <c r="B2203" s="1" t="s">
        <v>5123</v>
      </c>
      <c r="C2203" s="1">
        <v>50611</v>
      </c>
      <c r="D2203" s="1">
        <v>31</v>
      </c>
      <c r="F2203" s="1">
        <v>2023</v>
      </c>
      <c r="G2203" s="1" t="s">
        <v>682</v>
      </c>
      <c r="H2203" s="1">
        <v>606911</v>
      </c>
      <c r="I2203" s="1">
        <v>3</v>
      </c>
      <c r="K2203" s="1" t="s">
        <v>4776</v>
      </c>
      <c r="L2203" s="1" t="s">
        <v>4777</v>
      </c>
      <c r="M2203" s="1">
        <v>107</v>
      </c>
      <c r="N2203" s="1" t="s">
        <v>39</v>
      </c>
      <c r="O2203" s="1">
        <v>40.619100000000003</v>
      </c>
      <c r="P2203" s="1">
        <v>-76.45</v>
      </c>
      <c r="Q2203" s="1" t="s">
        <v>5124</v>
      </c>
      <c r="R2203" s="1" t="s">
        <v>41</v>
      </c>
      <c r="T2203" s="1" t="s">
        <v>885</v>
      </c>
      <c r="U2203" s="1" t="s">
        <v>55</v>
      </c>
      <c r="V2203" s="1" t="s">
        <v>94</v>
      </c>
      <c r="W2203" s="1" t="s">
        <v>1069</v>
      </c>
      <c r="Y2203" s="1" t="s">
        <v>232</v>
      </c>
      <c r="AA2203" s="3">
        <v>31789</v>
      </c>
      <c r="AB2203" s="1" t="s">
        <v>46</v>
      </c>
      <c r="AC2203" s="5">
        <v>615</v>
      </c>
      <c r="AD2203" s="1" t="s">
        <v>5125</v>
      </c>
      <c r="AE2203" s="1" t="str">
        <f t="shared" si="163"/>
        <v>50611 31</v>
      </c>
      <c r="AF2203" s="5" t="str">
        <f>MID(AD2203,FIND("(",AD2203)+1,FIND(")",AD2203)-FIND("(",AD2203)-1)</f>
        <v>34</v>
      </c>
      <c r="AG2203" s="1" t="str">
        <f t="shared" si="162"/>
        <v/>
      </c>
    </row>
    <row r="2204" spans="1:33" x14ac:dyDescent="0.2">
      <c r="A2204" s="1" t="s">
        <v>370</v>
      </c>
      <c r="B2204" s="1" t="s">
        <v>5126</v>
      </c>
      <c r="C2204" s="1">
        <v>50612</v>
      </c>
      <c r="D2204" s="1" t="s">
        <v>280</v>
      </c>
      <c r="F2204" s="1">
        <v>2023</v>
      </c>
      <c r="G2204" s="1" t="s">
        <v>247</v>
      </c>
      <c r="H2204" s="1">
        <v>606765</v>
      </c>
      <c r="I2204" s="1">
        <v>9</v>
      </c>
      <c r="K2204" s="1" t="s">
        <v>4903</v>
      </c>
      <c r="L2204" s="1" t="s">
        <v>4904</v>
      </c>
      <c r="M2204" s="1">
        <v>29</v>
      </c>
      <c r="N2204" s="1" t="s">
        <v>39</v>
      </c>
      <c r="O2204" s="1">
        <v>35.319499999999998</v>
      </c>
      <c r="P2204" s="1">
        <v>-119.66200000000001</v>
      </c>
      <c r="Q2204" s="1" t="s">
        <v>4905</v>
      </c>
      <c r="R2204" s="1" t="s">
        <v>41</v>
      </c>
      <c r="T2204" s="1" t="s">
        <v>93</v>
      </c>
      <c r="U2204" s="1" t="s">
        <v>44</v>
      </c>
      <c r="X2204" s="1" t="s">
        <v>223</v>
      </c>
      <c r="AA2204" s="3">
        <v>33298</v>
      </c>
      <c r="AB2204" s="1" t="s">
        <v>46</v>
      </c>
      <c r="AC2204" s="5">
        <v>432</v>
      </c>
      <c r="AD2204" s="1" t="s">
        <v>5127</v>
      </c>
      <c r="AE2204" s="1" t="str">
        <f t="shared" si="163"/>
        <v>50612 GT1</v>
      </c>
      <c r="AF2204" s="5" t="str">
        <f>MID(AD2204,FIND("(",AD2204)+1,FIND(")",AD2204)-FIND("(",AD2204)-1)</f>
        <v>48</v>
      </c>
      <c r="AG2204" s="1" t="str">
        <f t="shared" si="162"/>
        <v>Y</v>
      </c>
    </row>
    <row r="2205" spans="1:33" x14ac:dyDescent="0.2">
      <c r="A2205" s="1" t="s">
        <v>383</v>
      </c>
      <c r="B2205" s="1" t="s">
        <v>5128</v>
      </c>
      <c r="C2205" s="1">
        <v>50625</v>
      </c>
      <c r="D2205" s="1" t="s">
        <v>5129</v>
      </c>
      <c r="F2205" s="1">
        <v>2023</v>
      </c>
      <c r="G2205" s="1" t="s">
        <v>346</v>
      </c>
      <c r="H2205" s="1">
        <v>605442</v>
      </c>
      <c r="I2205" s="1">
        <v>6</v>
      </c>
      <c r="K2205" s="1" t="s">
        <v>1074</v>
      </c>
      <c r="L2205" s="1" t="s">
        <v>5130</v>
      </c>
      <c r="M2205" s="1">
        <v>245</v>
      </c>
      <c r="N2205" s="1" t="s">
        <v>1680</v>
      </c>
      <c r="O2205" s="1">
        <v>30.0639</v>
      </c>
      <c r="P2205" s="1">
        <v>-94.070300000000003</v>
      </c>
      <c r="Q2205" s="1" t="s">
        <v>5131</v>
      </c>
      <c r="R2205" s="1" t="s">
        <v>41</v>
      </c>
      <c r="T2205" s="1" t="s">
        <v>71</v>
      </c>
      <c r="U2205" s="1" t="s">
        <v>284</v>
      </c>
      <c r="V2205" s="1" t="s">
        <v>1432</v>
      </c>
      <c r="X2205" s="1" t="s">
        <v>64</v>
      </c>
      <c r="AA2205" s="3">
        <v>38517</v>
      </c>
      <c r="AB2205" s="1" t="s">
        <v>46</v>
      </c>
      <c r="AC2205" s="5">
        <v>2531</v>
      </c>
      <c r="AD2205" s="1" t="s">
        <v>5132</v>
      </c>
      <c r="AE2205" s="1" t="str">
        <f t="shared" si="163"/>
        <v>50625 61STK1</v>
      </c>
      <c r="AF2205" s="5" t="str">
        <f>MID(AD2205,FIND("(",AD2205)+1,FIND(")",AD2205)-FIND("(",AD2205)-1)</f>
        <v>165</v>
      </c>
      <c r="AG2205" s="1" t="str">
        <f t="shared" si="162"/>
        <v>Y</v>
      </c>
    </row>
    <row r="2206" spans="1:33" x14ac:dyDescent="0.2">
      <c r="A2206" s="1" t="s">
        <v>383</v>
      </c>
      <c r="B2206" s="1" t="s">
        <v>5128</v>
      </c>
      <c r="C2206" s="1">
        <v>50625</v>
      </c>
      <c r="D2206" s="1" t="s">
        <v>5133</v>
      </c>
      <c r="F2206" s="1">
        <v>2023</v>
      </c>
      <c r="G2206" s="1" t="s">
        <v>346</v>
      </c>
      <c r="H2206" s="1">
        <v>605442</v>
      </c>
      <c r="I2206" s="1">
        <v>6</v>
      </c>
      <c r="K2206" s="1" t="s">
        <v>1074</v>
      </c>
      <c r="L2206" s="1" t="s">
        <v>5130</v>
      </c>
      <c r="M2206" s="1">
        <v>245</v>
      </c>
      <c r="N2206" s="1" t="s">
        <v>1680</v>
      </c>
      <c r="O2206" s="1">
        <v>30.0639</v>
      </c>
      <c r="P2206" s="1">
        <v>-94.070300000000003</v>
      </c>
      <c r="Q2206" s="1" t="s">
        <v>5131</v>
      </c>
      <c r="R2206" s="1" t="s">
        <v>41</v>
      </c>
      <c r="T2206" s="1" t="s">
        <v>71</v>
      </c>
      <c r="U2206" s="1" t="s">
        <v>284</v>
      </c>
      <c r="V2206" s="1" t="s">
        <v>1432</v>
      </c>
      <c r="X2206" s="1" t="s">
        <v>64</v>
      </c>
      <c r="AA2206" s="3">
        <v>38421</v>
      </c>
      <c r="AB2206" s="1" t="s">
        <v>46</v>
      </c>
      <c r="AC2206" s="5">
        <v>2531</v>
      </c>
      <c r="AD2206" s="1" t="s">
        <v>5134</v>
      </c>
      <c r="AE2206" s="1" t="str">
        <f t="shared" si="163"/>
        <v>50625 61STK2</v>
      </c>
      <c r="AF2206" s="5" t="str">
        <f>MID(AD2206,FIND("(",AD2206)+1,FIND(")",AD2206)-FIND("(",AD2206)-1)</f>
        <v>165</v>
      </c>
      <c r="AG2206" s="1" t="str">
        <f t="shared" si="162"/>
        <v>Y</v>
      </c>
    </row>
    <row r="2207" spans="1:33" x14ac:dyDescent="0.2">
      <c r="A2207" s="1" t="s">
        <v>383</v>
      </c>
      <c r="B2207" s="1" t="s">
        <v>5128</v>
      </c>
      <c r="C2207" s="1">
        <v>50625</v>
      </c>
      <c r="D2207" s="1" t="s">
        <v>5135</v>
      </c>
      <c r="F2207" s="1">
        <v>2023</v>
      </c>
      <c r="G2207" s="1" t="s">
        <v>346</v>
      </c>
      <c r="H2207" s="1">
        <v>605442</v>
      </c>
      <c r="I2207" s="1">
        <v>6</v>
      </c>
      <c r="K2207" s="1" t="s">
        <v>1074</v>
      </c>
      <c r="L2207" s="1" t="s">
        <v>5130</v>
      </c>
      <c r="M2207" s="1">
        <v>245</v>
      </c>
      <c r="N2207" s="1" t="s">
        <v>1680</v>
      </c>
      <c r="O2207" s="1">
        <v>30.0639</v>
      </c>
      <c r="P2207" s="1">
        <v>-94.070300000000003</v>
      </c>
      <c r="Q2207" s="1" t="s">
        <v>5131</v>
      </c>
      <c r="R2207" s="1" t="s">
        <v>41</v>
      </c>
      <c r="T2207" s="1" t="s">
        <v>71</v>
      </c>
      <c r="U2207" s="1" t="s">
        <v>284</v>
      </c>
      <c r="V2207" s="1" t="s">
        <v>1432</v>
      </c>
      <c r="X2207" s="1" t="s">
        <v>64</v>
      </c>
      <c r="AA2207" s="3">
        <v>38338</v>
      </c>
      <c r="AB2207" s="1" t="s">
        <v>46</v>
      </c>
      <c r="AC2207" s="5">
        <v>2531</v>
      </c>
      <c r="AD2207" s="1" t="s">
        <v>5136</v>
      </c>
      <c r="AE2207" s="1" t="str">
        <f t="shared" si="163"/>
        <v>50625 61STK3</v>
      </c>
      <c r="AF2207" s="5" t="str">
        <f>MID(AD2207,FIND("(",AD2207)+1,FIND(")",AD2207)-FIND("(",AD2207)-1)</f>
        <v>165</v>
      </c>
      <c r="AG2207" s="1" t="str">
        <f t="shared" si="162"/>
        <v>Y</v>
      </c>
    </row>
    <row r="2208" spans="1:33" x14ac:dyDescent="0.2">
      <c r="A2208" s="1" t="s">
        <v>516</v>
      </c>
      <c r="B2208" s="1" t="s">
        <v>5137</v>
      </c>
      <c r="C2208" s="1">
        <v>50707</v>
      </c>
      <c r="D2208" s="1" t="s">
        <v>5138</v>
      </c>
      <c r="F2208" s="1">
        <v>2023</v>
      </c>
      <c r="G2208" s="1" t="s">
        <v>247</v>
      </c>
      <c r="H2208" s="1">
        <v>603008</v>
      </c>
      <c r="I2208" s="1">
        <v>8</v>
      </c>
      <c r="K2208" s="1" t="s">
        <v>3544</v>
      </c>
      <c r="L2208" s="1" t="s">
        <v>3545</v>
      </c>
      <c r="M2208" s="1">
        <v>123</v>
      </c>
      <c r="N2208" s="1" t="s">
        <v>1680</v>
      </c>
      <c r="O2208" s="1">
        <v>40.097900000000003</v>
      </c>
      <c r="P2208" s="1">
        <v>-104.7745</v>
      </c>
      <c r="Q2208" s="1" t="s">
        <v>3343</v>
      </c>
      <c r="R2208" s="1" t="s">
        <v>41</v>
      </c>
      <c r="T2208" s="1" t="s">
        <v>71</v>
      </c>
      <c r="U2208" s="1" t="s">
        <v>44</v>
      </c>
      <c r="X2208" s="1" t="s">
        <v>1606</v>
      </c>
      <c r="AA2208" s="3">
        <v>34516</v>
      </c>
      <c r="AB2208" s="1" t="s">
        <v>46</v>
      </c>
      <c r="AC2208" s="5">
        <v>640</v>
      </c>
      <c r="AD2208" s="1" t="s">
        <v>5139</v>
      </c>
      <c r="AE2208" s="1" t="str">
        <f t="shared" si="163"/>
        <v>50707 S001</v>
      </c>
      <c r="AF2208" s="14">
        <f>MID(AD2208,FIND("(",AD2208)+1,FIND(")",AD2208)-FIND("(",AD2208)-1)+52.2/5+52.2/5</f>
        <v>78.28</v>
      </c>
      <c r="AG2208" s="1" t="str">
        <f t="shared" si="162"/>
        <v/>
      </c>
    </row>
    <row r="2209" spans="1:33" x14ac:dyDescent="0.2">
      <c r="A2209" s="1" t="s">
        <v>516</v>
      </c>
      <c r="B2209" s="1" t="s">
        <v>5137</v>
      </c>
      <c r="C2209" s="1">
        <v>50707</v>
      </c>
      <c r="D2209" s="1" t="s">
        <v>5140</v>
      </c>
      <c r="F2209" s="1">
        <v>2023</v>
      </c>
      <c r="G2209" s="1" t="s">
        <v>247</v>
      </c>
      <c r="H2209" s="1">
        <v>603008</v>
      </c>
      <c r="I2209" s="1">
        <v>8</v>
      </c>
      <c r="K2209" s="1" t="s">
        <v>3544</v>
      </c>
      <c r="L2209" s="1" t="s">
        <v>3545</v>
      </c>
      <c r="M2209" s="1">
        <v>123</v>
      </c>
      <c r="N2209" s="1" t="s">
        <v>1680</v>
      </c>
      <c r="O2209" s="1">
        <v>40.097900000000003</v>
      </c>
      <c r="P2209" s="1">
        <v>-104.7745</v>
      </c>
      <c r="Q2209" s="1" t="s">
        <v>3343</v>
      </c>
      <c r="R2209" s="1" t="s">
        <v>41</v>
      </c>
      <c r="T2209" s="1" t="s">
        <v>71</v>
      </c>
      <c r="U2209" s="1" t="s">
        <v>44</v>
      </c>
      <c r="X2209" s="1" t="s">
        <v>1606</v>
      </c>
      <c r="AA2209" s="3">
        <v>34516</v>
      </c>
      <c r="AB2209" s="1" t="s">
        <v>46</v>
      </c>
      <c r="AC2209" s="5">
        <v>675</v>
      </c>
      <c r="AD2209" s="1" t="s">
        <v>5141</v>
      </c>
      <c r="AE2209" s="1" t="str">
        <f t="shared" si="163"/>
        <v>50707 S002</v>
      </c>
      <c r="AF2209" s="14">
        <f>AF2208</f>
        <v>78.28</v>
      </c>
      <c r="AG2209" s="1" t="str">
        <f t="shared" si="162"/>
        <v/>
      </c>
    </row>
    <row r="2210" spans="1:33" x14ac:dyDescent="0.2">
      <c r="A2210" s="1" t="s">
        <v>516</v>
      </c>
      <c r="B2210" s="1" t="s">
        <v>5137</v>
      </c>
      <c r="C2210" s="1">
        <v>50707</v>
      </c>
      <c r="D2210" s="1" t="s">
        <v>5142</v>
      </c>
      <c r="F2210" s="1">
        <v>2023</v>
      </c>
      <c r="G2210" s="1" t="s">
        <v>247</v>
      </c>
      <c r="H2210" s="1">
        <v>603008</v>
      </c>
      <c r="I2210" s="1">
        <v>8</v>
      </c>
      <c r="K2210" s="1" t="s">
        <v>3544</v>
      </c>
      <c r="L2210" s="1" t="s">
        <v>3545</v>
      </c>
      <c r="M2210" s="1">
        <v>123</v>
      </c>
      <c r="N2210" s="1" t="s">
        <v>1680</v>
      </c>
      <c r="O2210" s="1">
        <v>40.097900000000003</v>
      </c>
      <c r="P2210" s="1">
        <v>-104.7745</v>
      </c>
      <c r="Q2210" s="1" t="s">
        <v>3343</v>
      </c>
      <c r="R2210" s="1" t="s">
        <v>41</v>
      </c>
      <c r="T2210" s="1" t="s">
        <v>71</v>
      </c>
      <c r="U2210" s="1" t="s">
        <v>44</v>
      </c>
      <c r="X2210" s="1" t="s">
        <v>1606</v>
      </c>
      <c r="AA2210" s="3">
        <v>34516</v>
      </c>
      <c r="AB2210" s="1" t="s">
        <v>46</v>
      </c>
      <c r="AC2210" s="5">
        <v>605</v>
      </c>
      <c r="AD2210" s="1" t="s">
        <v>5143</v>
      </c>
      <c r="AE2210" s="1" t="str">
        <f t="shared" si="163"/>
        <v>50707 S003</v>
      </c>
      <c r="AF2210" s="14">
        <f>AF2208</f>
        <v>78.28</v>
      </c>
      <c r="AG2210" s="1" t="str">
        <f t="shared" si="162"/>
        <v/>
      </c>
    </row>
    <row r="2211" spans="1:33" x14ac:dyDescent="0.2">
      <c r="A2211" s="1" t="s">
        <v>516</v>
      </c>
      <c r="B2211" s="1" t="s">
        <v>5137</v>
      </c>
      <c r="C2211" s="1">
        <v>50707</v>
      </c>
      <c r="D2211" s="1" t="s">
        <v>5144</v>
      </c>
      <c r="F2211" s="1">
        <v>2023</v>
      </c>
      <c r="G2211" s="1" t="s">
        <v>247</v>
      </c>
      <c r="H2211" s="1">
        <v>603008</v>
      </c>
      <c r="I2211" s="1">
        <v>8</v>
      </c>
      <c r="K2211" s="1" t="s">
        <v>3544</v>
      </c>
      <c r="L2211" s="1" t="s">
        <v>3545</v>
      </c>
      <c r="M2211" s="1">
        <v>123</v>
      </c>
      <c r="N2211" s="1" t="s">
        <v>1680</v>
      </c>
      <c r="O2211" s="1">
        <v>40.097900000000003</v>
      </c>
      <c r="P2211" s="1">
        <v>-104.7745</v>
      </c>
      <c r="Q2211" s="1" t="s">
        <v>3343</v>
      </c>
      <c r="R2211" s="1" t="s">
        <v>41</v>
      </c>
      <c r="T2211" s="1" t="s">
        <v>71</v>
      </c>
      <c r="U2211" s="1" t="s">
        <v>44</v>
      </c>
      <c r="X2211" s="1" t="s">
        <v>1606</v>
      </c>
      <c r="AA2211" s="3">
        <v>34516</v>
      </c>
      <c r="AB2211" s="1" t="s">
        <v>46</v>
      </c>
      <c r="AC2211" s="5">
        <v>610</v>
      </c>
      <c r="AD2211" s="1" t="s">
        <v>5145</v>
      </c>
      <c r="AE2211" s="1" t="str">
        <f t="shared" si="163"/>
        <v>50707 S004</v>
      </c>
      <c r="AF2211" s="14">
        <f>AF2208</f>
        <v>78.28</v>
      </c>
      <c r="AG2211" s="1" t="str">
        <f t="shared" si="162"/>
        <v/>
      </c>
    </row>
    <row r="2212" spans="1:33" x14ac:dyDescent="0.2">
      <c r="A2212" s="1" t="s">
        <v>516</v>
      </c>
      <c r="B2212" s="1" t="s">
        <v>5137</v>
      </c>
      <c r="C2212" s="1">
        <v>50707</v>
      </c>
      <c r="D2212" s="1" t="s">
        <v>5146</v>
      </c>
      <c r="F2212" s="1">
        <v>2023</v>
      </c>
      <c r="G2212" s="1" t="s">
        <v>247</v>
      </c>
      <c r="H2212" s="1">
        <v>603008</v>
      </c>
      <c r="I2212" s="1">
        <v>8</v>
      </c>
      <c r="K2212" s="1" t="s">
        <v>3544</v>
      </c>
      <c r="L2212" s="1" t="s">
        <v>3545</v>
      </c>
      <c r="M2212" s="1">
        <v>123</v>
      </c>
      <c r="N2212" s="1" t="s">
        <v>1680</v>
      </c>
      <c r="O2212" s="1">
        <v>40.097900000000003</v>
      </c>
      <c r="P2212" s="1">
        <v>-104.7745</v>
      </c>
      <c r="Q2212" s="1" t="s">
        <v>3343</v>
      </c>
      <c r="R2212" s="1" t="s">
        <v>41</v>
      </c>
      <c r="T2212" s="1" t="s">
        <v>71</v>
      </c>
      <c r="U2212" s="1" t="s">
        <v>44</v>
      </c>
      <c r="X2212" s="1" t="s">
        <v>1606</v>
      </c>
      <c r="AA2212" s="3">
        <v>34516</v>
      </c>
      <c r="AB2212" s="1" t="s">
        <v>46</v>
      </c>
      <c r="AC2212" s="5">
        <v>615</v>
      </c>
      <c r="AD2212" s="1" t="s">
        <v>5147</v>
      </c>
      <c r="AE2212" s="1" t="str">
        <f t="shared" si="163"/>
        <v>50707 S005</v>
      </c>
      <c r="AF2212" s="14">
        <f>AF2208</f>
        <v>78.28</v>
      </c>
      <c r="AG2212" s="1" t="str">
        <f t="shared" si="162"/>
        <v/>
      </c>
    </row>
    <row r="2213" spans="1:33" x14ac:dyDescent="0.2">
      <c r="A2213" s="1" t="s">
        <v>2089</v>
      </c>
      <c r="B2213" s="1" t="s">
        <v>5148</v>
      </c>
      <c r="C2213" s="1">
        <v>50744</v>
      </c>
      <c r="D2213" s="1">
        <v>1</v>
      </c>
      <c r="F2213" s="1">
        <v>2023</v>
      </c>
      <c r="G2213" s="1" t="s">
        <v>1515</v>
      </c>
      <c r="H2213" s="1">
        <v>2129</v>
      </c>
      <c r="I2213" s="1">
        <v>2</v>
      </c>
      <c r="J2213" s="1" t="s">
        <v>580</v>
      </c>
      <c r="K2213" s="1" t="s">
        <v>5149</v>
      </c>
      <c r="L2213" s="1" t="s">
        <v>5150</v>
      </c>
      <c r="M2213" s="1">
        <v>65</v>
      </c>
      <c r="N2213" s="1" t="s">
        <v>1680</v>
      </c>
      <c r="O2213" s="1">
        <v>43.080300000000001</v>
      </c>
      <c r="P2213" s="1">
        <v>-75.600300000000004</v>
      </c>
      <c r="Q2213" s="1" t="s">
        <v>5151</v>
      </c>
      <c r="R2213" s="1" t="s">
        <v>41</v>
      </c>
      <c r="T2213" s="1" t="s">
        <v>71</v>
      </c>
      <c r="U2213" s="1" t="s">
        <v>44</v>
      </c>
      <c r="X2213" s="1" t="s">
        <v>1606</v>
      </c>
      <c r="AA2213" s="3">
        <v>33512</v>
      </c>
      <c r="AB2213" s="1" t="s">
        <v>46</v>
      </c>
      <c r="AC2213" s="5">
        <v>551</v>
      </c>
      <c r="AD2213" s="1" t="s">
        <v>5152</v>
      </c>
      <c r="AE2213" s="1" t="str">
        <f t="shared" si="163"/>
        <v>50744 1</v>
      </c>
      <c r="AF2213" s="14">
        <f>MID(AD2213,FIND("(",AD2213)+1,FIND(")",AD2213)-FIND("(",AD2213)-1)+16.5</f>
        <v>64.2</v>
      </c>
      <c r="AG2213" s="1" t="str">
        <f t="shared" si="162"/>
        <v/>
      </c>
    </row>
    <row r="2214" spans="1:33" x14ac:dyDescent="0.2">
      <c r="A2214" s="1" t="s">
        <v>2584</v>
      </c>
      <c r="B2214" s="1" t="s">
        <v>5153</v>
      </c>
      <c r="C2214" s="1">
        <v>50776</v>
      </c>
      <c r="D2214" s="1">
        <v>1</v>
      </c>
      <c r="F2214" s="1">
        <v>2023</v>
      </c>
      <c r="G2214" s="1" t="s">
        <v>5154</v>
      </c>
      <c r="H2214" s="1" t="s">
        <v>5155</v>
      </c>
      <c r="I2214" s="1">
        <v>3</v>
      </c>
      <c r="K2214" s="1" t="s">
        <v>5156</v>
      </c>
      <c r="L2214" s="1" t="s">
        <v>5157</v>
      </c>
      <c r="M2214" s="1">
        <v>25</v>
      </c>
      <c r="N2214" s="1" t="s">
        <v>1031</v>
      </c>
      <c r="O2214" s="1">
        <v>40.855600000000003</v>
      </c>
      <c r="P2214" s="1">
        <v>-75.878100000000003</v>
      </c>
      <c r="Q2214" s="1" t="s">
        <v>5158</v>
      </c>
      <c r="T2214" s="1" t="s">
        <v>885</v>
      </c>
      <c r="U2214" s="1" t="s">
        <v>55</v>
      </c>
      <c r="W2214" s="1" t="s">
        <v>1069</v>
      </c>
      <c r="X2214" s="1" t="s">
        <v>4785</v>
      </c>
      <c r="Y2214" s="1" t="s">
        <v>232</v>
      </c>
      <c r="AA2214" s="3">
        <v>33896</v>
      </c>
      <c r="AB2214" s="1" t="s">
        <v>46</v>
      </c>
      <c r="AC2214" s="5">
        <v>700</v>
      </c>
      <c r="AD2214" s="1" t="s">
        <v>5159</v>
      </c>
      <c r="AE2214" s="1" t="str">
        <f t="shared" si="163"/>
        <v>50776 1</v>
      </c>
      <c r="AF2214" s="5" t="str">
        <f>MID(AD2214,FIND("(",AD2214)+1,FIND(")",AD2214)-FIND("(",AD2214)-1)</f>
        <v>94</v>
      </c>
      <c r="AG2214" s="1" t="str">
        <f t="shared" si="162"/>
        <v/>
      </c>
    </row>
    <row r="2215" spans="1:33" x14ac:dyDescent="0.2">
      <c r="A2215" s="1" t="s">
        <v>2584</v>
      </c>
      <c r="B2215" s="1" t="s">
        <v>5153</v>
      </c>
      <c r="C2215" s="1">
        <v>50776</v>
      </c>
      <c r="D2215" s="1">
        <v>2</v>
      </c>
      <c r="F2215" s="1">
        <v>2023</v>
      </c>
      <c r="G2215" s="1" t="s">
        <v>5154</v>
      </c>
      <c r="H2215" s="1" t="s">
        <v>5155</v>
      </c>
      <c r="I2215" s="1">
        <v>3</v>
      </c>
      <c r="K2215" s="1" t="s">
        <v>5156</v>
      </c>
      <c r="L2215" s="1" t="s">
        <v>5157</v>
      </c>
      <c r="M2215" s="1">
        <v>25</v>
      </c>
      <c r="N2215" s="1" t="s">
        <v>1031</v>
      </c>
      <c r="O2215" s="1">
        <v>40.855600000000003</v>
      </c>
      <c r="P2215" s="1">
        <v>-75.878100000000003</v>
      </c>
      <c r="Q2215" s="1" t="s">
        <v>5158</v>
      </c>
      <c r="T2215" s="1" t="s">
        <v>885</v>
      </c>
      <c r="U2215" s="1" t="s">
        <v>55</v>
      </c>
      <c r="W2215" s="1" t="s">
        <v>1069</v>
      </c>
      <c r="X2215" s="1" t="s">
        <v>4785</v>
      </c>
      <c r="Y2215" s="1" t="s">
        <v>232</v>
      </c>
      <c r="AA2215" s="3">
        <v>33896</v>
      </c>
      <c r="AB2215" s="1" t="s">
        <v>46</v>
      </c>
      <c r="AC2215" s="5">
        <v>700</v>
      </c>
      <c r="AD2215" s="1" t="s">
        <v>5159</v>
      </c>
      <c r="AE2215" s="1" t="str">
        <f t="shared" si="163"/>
        <v>50776 2</v>
      </c>
      <c r="AF2215" s="5" t="str">
        <f>MID(AD2215,FIND("(",AD2215)+1,FIND(")",AD2215)-FIND("(",AD2215)-1)</f>
        <v>94</v>
      </c>
      <c r="AG2215" s="1" t="str">
        <f t="shared" si="162"/>
        <v/>
      </c>
    </row>
    <row r="2216" spans="1:33" x14ac:dyDescent="0.2">
      <c r="A2216" s="1" t="s">
        <v>1980</v>
      </c>
      <c r="B2216" s="1" t="s">
        <v>5160</v>
      </c>
      <c r="C2216" s="1">
        <v>50799</v>
      </c>
      <c r="D2216" s="1">
        <v>1001</v>
      </c>
      <c r="F2216" s="1">
        <v>2023</v>
      </c>
      <c r="G2216" s="1" t="s">
        <v>1515</v>
      </c>
      <c r="H2216" s="1">
        <v>1386</v>
      </c>
      <c r="I2216" s="1">
        <v>2</v>
      </c>
      <c r="K2216" s="1" t="s">
        <v>601</v>
      </c>
      <c r="L2216" s="1" t="s">
        <v>1987</v>
      </c>
      <c r="M2216" s="1">
        <v>23</v>
      </c>
      <c r="N2216" s="1" t="s">
        <v>1680</v>
      </c>
      <c r="O2216" s="1">
        <v>40.458599999999997</v>
      </c>
      <c r="P2216" s="1">
        <v>-74.332700000000003</v>
      </c>
      <c r="Q2216" s="1" t="s">
        <v>5161</v>
      </c>
      <c r="R2216" s="1" t="s">
        <v>41</v>
      </c>
      <c r="T2216" s="1" t="s">
        <v>71</v>
      </c>
      <c r="U2216" s="1" t="s">
        <v>44</v>
      </c>
      <c r="V2216" s="1" t="s">
        <v>94</v>
      </c>
      <c r="X2216" s="1" t="s">
        <v>4050</v>
      </c>
      <c r="AA2216" s="3">
        <v>33360</v>
      </c>
      <c r="AB2216" s="1" t="s">
        <v>46</v>
      </c>
      <c r="AC2216" s="5">
        <v>656</v>
      </c>
      <c r="AD2216" s="1" t="s">
        <v>5162</v>
      </c>
      <c r="AE2216" s="1" t="str">
        <f t="shared" si="163"/>
        <v>50799 1001</v>
      </c>
      <c r="AF2216" s="14">
        <f>MID(AD2216,FIND("(",AD2216)+1,FIND(")",AD2216)-FIND("(",AD2216)-1)+21.6</f>
        <v>67.5</v>
      </c>
      <c r="AG2216" s="1" t="str">
        <f t="shared" si="162"/>
        <v>Y</v>
      </c>
    </row>
    <row r="2217" spans="1:33" x14ac:dyDescent="0.2">
      <c r="A2217" s="1" t="s">
        <v>1980</v>
      </c>
      <c r="B2217" s="1" t="s">
        <v>5160</v>
      </c>
      <c r="C2217" s="1">
        <v>50799</v>
      </c>
      <c r="D2217" s="1">
        <v>3001</v>
      </c>
      <c r="F2217" s="1">
        <v>2023</v>
      </c>
      <c r="G2217" s="1" t="s">
        <v>1515</v>
      </c>
      <c r="H2217" s="1">
        <v>1386</v>
      </c>
      <c r="I2217" s="1">
        <v>2</v>
      </c>
      <c r="K2217" s="1" t="s">
        <v>601</v>
      </c>
      <c r="L2217" s="1" t="s">
        <v>1987</v>
      </c>
      <c r="M2217" s="1">
        <v>23</v>
      </c>
      <c r="N2217" s="1" t="s">
        <v>1680</v>
      </c>
      <c r="O2217" s="1">
        <v>40.458599999999997</v>
      </c>
      <c r="P2217" s="1">
        <v>-74.332700000000003</v>
      </c>
      <c r="Q2217" s="1" t="s">
        <v>5161</v>
      </c>
      <c r="R2217" s="1" t="s">
        <v>41</v>
      </c>
      <c r="T2217" s="1" t="s">
        <v>71</v>
      </c>
      <c r="U2217" s="1" t="s">
        <v>44</v>
      </c>
      <c r="V2217" s="1" t="s">
        <v>94</v>
      </c>
      <c r="X2217" s="1" t="s">
        <v>4050</v>
      </c>
      <c r="AA2217" s="3">
        <v>33360</v>
      </c>
      <c r="AB2217" s="1" t="s">
        <v>46</v>
      </c>
      <c r="AC2217" s="5">
        <v>656</v>
      </c>
      <c r="AD2217" s="1" t="s">
        <v>5163</v>
      </c>
      <c r="AE2217" s="1" t="str">
        <f t="shared" si="163"/>
        <v>50799 3001</v>
      </c>
      <c r="AF2217" s="14">
        <f>MID(AD2217,FIND("(",AD2217)+1,FIND(")",AD2217)-FIND("(",AD2217)-1)+21.6</f>
        <v>67.5</v>
      </c>
      <c r="AG2217" s="1" t="str">
        <f t="shared" si="162"/>
        <v>Y</v>
      </c>
    </row>
    <row r="2218" spans="1:33" x14ac:dyDescent="0.2">
      <c r="A2218" s="1" t="s">
        <v>383</v>
      </c>
      <c r="B2218" s="1" t="s">
        <v>5164</v>
      </c>
      <c r="C2218" s="1">
        <v>50815</v>
      </c>
      <c r="D2218" s="1" t="s">
        <v>5165</v>
      </c>
      <c r="F2218" s="1">
        <v>2023</v>
      </c>
      <c r="G2218" s="1" t="s">
        <v>346</v>
      </c>
      <c r="H2218" s="1">
        <v>606813</v>
      </c>
      <c r="I2218" s="1">
        <v>6</v>
      </c>
      <c r="K2218" s="1" t="s">
        <v>4063</v>
      </c>
      <c r="L2218" s="1" t="s">
        <v>4064</v>
      </c>
      <c r="M2218" s="1">
        <v>201</v>
      </c>
      <c r="N2218" s="1" t="s">
        <v>1680</v>
      </c>
      <c r="O2218" s="1">
        <v>29.8169</v>
      </c>
      <c r="P2218" s="1">
        <v>-95.108599999999996</v>
      </c>
      <c r="Q2218" s="1" t="s">
        <v>5166</v>
      </c>
      <c r="R2218" s="1" t="s">
        <v>41</v>
      </c>
      <c r="T2218" s="1" t="s">
        <v>71</v>
      </c>
      <c r="U2218" s="1" t="s">
        <v>44</v>
      </c>
      <c r="X2218" s="1" t="s">
        <v>140</v>
      </c>
      <c r="AA2218" s="3">
        <v>31399</v>
      </c>
      <c r="AB2218" s="1" t="s">
        <v>46</v>
      </c>
      <c r="AC2218" s="5">
        <v>1182</v>
      </c>
      <c r="AD2218" s="1" t="s">
        <v>5167</v>
      </c>
      <c r="AE2218" s="1" t="str">
        <f t="shared" si="163"/>
        <v>50815 ENG101</v>
      </c>
      <c r="AF2218" s="14">
        <f>AF2219</f>
        <v>106.43333333333334</v>
      </c>
      <c r="AG2218" s="1" t="str">
        <f t="shared" si="162"/>
        <v/>
      </c>
    </row>
    <row r="2219" spans="1:33" x14ac:dyDescent="0.2">
      <c r="A2219" s="1" t="s">
        <v>383</v>
      </c>
      <c r="B2219" s="1" t="s">
        <v>5164</v>
      </c>
      <c r="C2219" s="1">
        <v>50815</v>
      </c>
      <c r="D2219" s="1" t="s">
        <v>5168</v>
      </c>
      <c r="F2219" s="1">
        <v>2023</v>
      </c>
      <c r="G2219" s="1" t="s">
        <v>346</v>
      </c>
      <c r="H2219" s="1">
        <v>606813</v>
      </c>
      <c r="I2219" s="1">
        <v>6</v>
      </c>
      <c r="K2219" s="1" t="s">
        <v>4063</v>
      </c>
      <c r="L2219" s="1" t="s">
        <v>4064</v>
      </c>
      <c r="M2219" s="1">
        <v>201</v>
      </c>
      <c r="N2219" s="1" t="s">
        <v>1680</v>
      </c>
      <c r="O2219" s="1">
        <v>29.8169</v>
      </c>
      <c r="P2219" s="1">
        <v>-95.108599999999996</v>
      </c>
      <c r="Q2219" s="1" t="s">
        <v>5166</v>
      </c>
      <c r="R2219" s="1" t="s">
        <v>41</v>
      </c>
      <c r="T2219" s="1" t="s">
        <v>71</v>
      </c>
      <c r="U2219" s="1" t="s">
        <v>44</v>
      </c>
      <c r="X2219" s="1" t="s">
        <v>140</v>
      </c>
      <c r="AA2219" s="3">
        <v>31386</v>
      </c>
      <c r="AB2219" s="1" t="s">
        <v>46</v>
      </c>
      <c r="AC2219" s="5">
        <v>1182</v>
      </c>
      <c r="AD2219" s="1" t="s">
        <v>5169</v>
      </c>
      <c r="AE2219" s="1" t="str">
        <f t="shared" si="163"/>
        <v>50815 ENG201</v>
      </c>
      <c r="AF2219" s="14">
        <f>MID(AD2219,FIND("(",AD2219)+1,FIND(")",AD2219)-FIND("(",AD2219)-1)+129.2/6</f>
        <v>106.43333333333334</v>
      </c>
      <c r="AG2219" s="1" t="str">
        <f t="shared" si="162"/>
        <v/>
      </c>
    </row>
    <row r="2220" spans="1:33" x14ac:dyDescent="0.2">
      <c r="A2220" s="1" t="s">
        <v>383</v>
      </c>
      <c r="B2220" s="1" t="s">
        <v>5164</v>
      </c>
      <c r="C2220" s="1">
        <v>50815</v>
      </c>
      <c r="D2220" s="1" t="s">
        <v>5170</v>
      </c>
      <c r="F2220" s="1">
        <v>2023</v>
      </c>
      <c r="G2220" s="1" t="s">
        <v>346</v>
      </c>
      <c r="H2220" s="1">
        <v>606813</v>
      </c>
      <c r="I2220" s="1">
        <v>6</v>
      </c>
      <c r="K2220" s="1" t="s">
        <v>4063</v>
      </c>
      <c r="L2220" s="1" t="s">
        <v>4064</v>
      </c>
      <c r="M2220" s="1">
        <v>201</v>
      </c>
      <c r="N2220" s="1" t="s">
        <v>1680</v>
      </c>
      <c r="O2220" s="1">
        <v>29.8169</v>
      </c>
      <c r="P2220" s="1">
        <v>-95.108599999999996</v>
      </c>
      <c r="Q2220" s="1" t="s">
        <v>5166</v>
      </c>
      <c r="R2220" s="1" t="s">
        <v>41</v>
      </c>
      <c r="T2220" s="1" t="s">
        <v>71</v>
      </c>
      <c r="U2220" s="1" t="s">
        <v>44</v>
      </c>
      <c r="X2220" s="1" t="s">
        <v>140</v>
      </c>
      <c r="AA2220" s="3">
        <v>31365</v>
      </c>
      <c r="AB2220" s="1" t="s">
        <v>46</v>
      </c>
      <c r="AC2220" s="5">
        <v>1080</v>
      </c>
      <c r="AD2220" s="1" t="s">
        <v>5171</v>
      </c>
      <c r="AE2220" s="1" t="str">
        <f t="shared" si="163"/>
        <v>50815 ENG301</v>
      </c>
      <c r="AF2220" s="14">
        <f>AF2219</f>
        <v>106.43333333333334</v>
      </c>
      <c r="AG2220" s="1" t="str">
        <f t="shared" si="162"/>
        <v/>
      </c>
    </row>
    <row r="2221" spans="1:33" x14ac:dyDescent="0.2">
      <c r="A2221" s="1" t="s">
        <v>383</v>
      </c>
      <c r="B2221" s="1" t="s">
        <v>5164</v>
      </c>
      <c r="C2221" s="1">
        <v>50815</v>
      </c>
      <c r="D2221" s="1" t="s">
        <v>5172</v>
      </c>
      <c r="F2221" s="1">
        <v>2023</v>
      </c>
      <c r="G2221" s="1" t="s">
        <v>346</v>
      </c>
      <c r="H2221" s="1">
        <v>606813</v>
      </c>
      <c r="I2221" s="1">
        <v>6</v>
      </c>
      <c r="K2221" s="1" t="s">
        <v>4063</v>
      </c>
      <c r="L2221" s="1" t="s">
        <v>4064</v>
      </c>
      <c r="M2221" s="1">
        <v>201</v>
      </c>
      <c r="N2221" s="1" t="s">
        <v>1680</v>
      </c>
      <c r="O2221" s="1">
        <v>29.8169</v>
      </c>
      <c r="P2221" s="1">
        <v>-95.108599999999996</v>
      </c>
      <c r="Q2221" s="1" t="s">
        <v>5166</v>
      </c>
      <c r="R2221" s="1" t="s">
        <v>41</v>
      </c>
      <c r="T2221" s="1" t="s">
        <v>71</v>
      </c>
      <c r="U2221" s="1" t="s">
        <v>44</v>
      </c>
      <c r="X2221" s="1" t="s">
        <v>140</v>
      </c>
      <c r="AA2221" s="3">
        <v>31350</v>
      </c>
      <c r="AB2221" s="1" t="s">
        <v>46</v>
      </c>
      <c r="AC2221" s="5">
        <v>1080</v>
      </c>
      <c r="AD2221" s="1" t="s">
        <v>5173</v>
      </c>
      <c r="AE2221" s="1" t="str">
        <f t="shared" si="163"/>
        <v>50815 ENG401</v>
      </c>
      <c r="AF2221" s="14">
        <f>AF2219</f>
        <v>106.43333333333334</v>
      </c>
      <c r="AG2221" s="1" t="str">
        <f t="shared" si="162"/>
        <v/>
      </c>
    </row>
    <row r="2222" spans="1:33" x14ac:dyDescent="0.2">
      <c r="A2222" s="1" t="s">
        <v>383</v>
      </c>
      <c r="B2222" s="1" t="s">
        <v>5164</v>
      </c>
      <c r="C2222" s="1">
        <v>50815</v>
      </c>
      <c r="D2222" s="1" t="s">
        <v>5174</v>
      </c>
      <c r="F2222" s="1">
        <v>2023</v>
      </c>
      <c r="G2222" s="1" t="s">
        <v>346</v>
      </c>
      <c r="H2222" s="1">
        <v>606813</v>
      </c>
      <c r="I2222" s="1">
        <v>6</v>
      </c>
      <c r="K2222" s="1" t="s">
        <v>4063</v>
      </c>
      <c r="L2222" s="1" t="s">
        <v>4064</v>
      </c>
      <c r="M2222" s="1">
        <v>201</v>
      </c>
      <c r="N2222" s="1" t="s">
        <v>1680</v>
      </c>
      <c r="O2222" s="1">
        <v>29.8169</v>
      </c>
      <c r="P2222" s="1">
        <v>-95.108599999999996</v>
      </c>
      <c r="Q2222" s="1" t="s">
        <v>5166</v>
      </c>
      <c r="R2222" s="1" t="s">
        <v>41</v>
      </c>
      <c r="T2222" s="1" t="s">
        <v>71</v>
      </c>
      <c r="U2222" s="1" t="s">
        <v>44</v>
      </c>
      <c r="X2222" s="1" t="s">
        <v>140</v>
      </c>
      <c r="AA2222" s="3">
        <v>31334</v>
      </c>
      <c r="AB2222" s="1" t="s">
        <v>46</v>
      </c>
      <c r="AC2222" s="5">
        <v>1080</v>
      </c>
      <c r="AD2222" s="1" t="s">
        <v>5175</v>
      </c>
      <c r="AE2222" s="1" t="str">
        <f t="shared" si="163"/>
        <v>50815 ENG501</v>
      </c>
      <c r="AF2222" s="14">
        <f>AF2219</f>
        <v>106.43333333333334</v>
      </c>
      <c r="AG2222" s="1" t="str">
        <f t="shared" si="162"/>
        <v/>
      </c>
    </row>
    <row r="2223" spans="1:33" x14ac:dyDescent="0.2">
      <c r="A2223" s="1" t="s">
        <v>383</v>
      </c>
      <c r="B2223" s="1" t="s">
        <v>5164</v>
      </c>
      <c r="C2223" s="1">
        <v>50815</v>
      </c>
      <c r="D2223" s="1" t="s">
        <v>5176</v>
      </c>
      <c r="F2223" s="1">
        <v>2023</v>
      </c>
      <c r="G2223" s="1" t="s">
        <v>346</v>
      </c>
      <c r="H2223" s="1">
        <v>606813</v>
      </c>
      <c r="I2223" s="1">
        <v>6</v>
      </c>
      <c r="K2223" s="1" t="s">
        <v>4063</v>
      </c>
      <c r="L2223" s="1" t="s">
        <v>4064</v>
      </c>
      <c r="M2223" s="1">
        <v>201</v>
      </c>
      <c r="N2223" s="1" t="s">
        <v>1680</v>
      </c>
      <c r="O2223" s="1">
        <v>29.8169</v>
      </c>
      <c r="P2223" s="1">
        <v>-95.108599999999996</v>
      </c>
      <c r="Q2223" s="1" t="s">
        <v>5166</v>
      </c>
      <c r="R2223" s="1" t="s">
        <v>41</v>
      </c>
      <c r="T2223" s="1" t="s">
        <v>71</v>
      </c>
      <c r="U2223" s="1" t="s">
        <v>44</v>
      </c>
      <c r="X2223" s="1" t="s">
        <v>140</v>
      </c>
      <c r="AA2223" s="3">
        <v>34851</v>
      </c>
      <c r="AB2223" s="1" t="s">
        <v>46</v>
      </c>
      <c r="AC2223" s="5">
        <v>1080</v>
      </c>
      <c r="AD2223" s="1" t="s">
        <v>5177</v>
      </c>
      <c r="AE2223" s="1" t="str">
        <f t="shared" si="163"/>
        <v>50815 ENG601</v>
      </c>
      <c r="AF2223" s="14">
        <f>AF2219</f>
        <v>106.43333333333334</v>
      </c>
      <c r="AG2223" s="1" t="str">
        <f t="shared" si="162"/>
        <v/>
      </c>
    </row>
    <row r="2224" spans="1:33" x14ac:dyDescent="0.2">
      <c r="A2224" s="1" t="s">
        <v>1621</v>
      </c>
      <c r="B2224" s="1" t="s">
        <v>5178</v>
      </c>
      <c r="C2224" s="1">
        <v>50835</v>
      </c>
      <c r="D2224" s="1">
        <v>1</v>
      </c>
      <c r="F2224" s="1">
        <v>2023</v>
      </c>
      <c r="G2224" s="1" t="s">
        <v>5179</v>
      </c>
      <c r="H2224" s="1">
        <v>605080</v>
      </c>
      <c r="I2224" s="1">
        <v>5</v>
      </c>
      <c r="K2224" s="1" t="s">
        <v>5180</v>
      </c>
      <c r="L2224" s="1" t="s">
        <v>5181</v>
      </c>
      <c r="M2224" s="1">
        <v>101</v>
      </c>
      <c r="N2224" s="1" t="s">
        <v>1680</v>
      </c>
      <c r="O2224" s="1">
        <v>44.216999999999999</v>
      </c>
      <c r="P2224" s="1">
        <v>-86.290599999999998</v>
      </c>
      <c r="Q2224" s="1" t="s">
        <v>5182</v>
      </c>
      <c r="T2224" s="1" t="s">
        <v>1660</v>
      </c>
      <c r="U2224" s="1" t="s">
        <v>55</v>
      </c>
      <c r="V2224" s="1" t="s">
        <v>5183</v>
      </c>
      <c r="W2224" s="1" t="s">
        <v>212</v>
      </c>
      <c r="Y2224" s="1" t="s">
        <v>232</v>
      </c>
      <c r="AA2224" s="3">
        <v>32874</v>
      </c>
      <c r="AB2224" s="1" t="s">
        <v>46</v>
      </c>
      <c r="AC2224" s="5">
        <v>450</v>
      </c>
      <c r="AD2224" s="1" t="s">
        <v>5184</v>
      </c>
      <c r="AE2224" s="1" t="str">
        <f t="shared" si="163"/>
        <v>50835 1</v>
      </c>
      <c r="AF2224" s="5" t="str">
        <f>MID(AD2224,FIND("(",AD2224)+1,FIND(")",AD2224)-FIND("(",AD2224)-1)</f>
        <v>70</v>
      </c>
      <c r="AG2224" s="1" t="str">
        <f t="shared" si="162"/>
        <v/>
      </c>
    </row>
    <row r="2225" spans="1:33" x14ac:dyDescent="0.2">
      <c r="A2225" s="1" t="s">
        <v>1621</v>
      </c>
      <c r="B2225" s="1" t="s">
        <v>5178</v>
      </c>
      <c r="C2225" s="1">
        <v>50835</v>
      </c>
      <c r="D2225" s="1">
        <v>2</v>
      </c>
      <c r="F2225" s="1">
        <v>2023</v>
      </c>
      <c r="G2225" s="1" t="s">
        <v>5179</v>
      </c>
      <c r="H2225" s="1">
        <v>605080</v>
      </c>
      <c r="I2225" s="1">
        <v>5</v>
      </c>
      <c r="K2225" s="1" t="s">
        <v>5180</v>
      </c>
      <c r="L2225" s="1" t="s">
        <v>5181</v>
      </c>
      <c r="M2225" s="1">
        <v>101</v>
      </c>
      <c r="N2225" s="1" t="s">
        <v>1680</v>
      </c>
      <c r="O2225" s="1">
        <v>44.216999999999999</v>
      </c>
      <c r="P2225" s="1">
        <v>-86.290599999999998</v>
      </c>
      <c r="Q2225" s="1" t="s">
        <v>5182</v>
      </c>
      <c r="T2225" s="1" t="s">
        <v>1660</v>
      </c>
      <c r="U2225" s="1" t="s">
        <v>55</v>
      </c>
      <c r="V2225" s="1" t="s">
        <v>5183</v>
      </c>
      <c r="W2225" s="1" t="s">
        <v>212</v>
      </c>
      <c r="Y2225" s="1" t="s">
        <v>232</v>
      </c>
      <c r="AA2225" s="3">
        <v>32874</v>
      </c>
      <c r="AB2225" s="1" t="s">
        <v>46</v>
      </c>
      <c r="AC2225" s="5">
        <v>450</v>
      </c>
      <c r="AD2225" s="1" t="s">
        <v>5184</v>
      </c>
      <c r="AE2225" s="1" t="str">
        <f t="shared" si="163"/>
        <v>50835 2</v>
      </c>
      <c r="AF2225" s="5" t="str">
        <f>MID(AD2225,FIND("(",AD2225)+1,FIND(")",AD2225)-FIND("(",AD2225)-1)</f>
        <v>70</v>
      </c>
      <c r="AG2225" s="1" t="str">
        <f t="shared" si="162"/>
        <v/>
      </c>
    </row>
    <row r="2226" spans="1:33" x14ac:dyDescent="0.2">
      <c r="A2226" s="1" t="s">
        <v>1980</v>
      </c>
      <c r="B2226" s="1" t="s">
        <v>5185</v>
      </c>
      <c r="C2226" s="1">
        <v>50852</v>
      </c>
      <c r="D2226" s="1">
        <v>2001</v>
      </c>
      <c r="F2226" s="1">
        <v>2023</v>
      </c>
      <c r="G2226" s="1" t="s">
        <v>1528</v>
      </c>
      <c r="H2226" s="1">
        <v>610185</v>
      </c>
      <c r="I2226" s="1">
        <v>2</v>
      </c>
      <c r="K2226" s="1" t="s">
        <v>2003</v>
      </c>
      <c r="L2226" s="1" t="s">
        <v>2004</v>
      </c>
      <c r="M2226" s="1">
        <v>3</v>
      </c>
      <c r="N2226" s="1" t="s">
        <v>1680</v>
      </c>
      <c r="O2226" s="1">
        <v>40.9056</v>
      </c>
      <c r="P2226" s="1">
        <v>-74.130799999999994</v>
      </c>
      <c r="Q2226" s="1" t="s">
        <v>5186</v>
      </c>
      <c r="T2226" s="1" t="s">
        <v>71</v>
      </c>
      <c r="U2226" s="1" t="s">
        <v>44</v>
      </c>
      <c r="V2226" s="1" t="s">
        <v>94</v>
      </c>
      <c r="X2226" s="1" t="s">
        <v>95</v>
      </c>
      <c r="AA2226" s="3">
        <v>32704</v>
      </c>
      <c r="AB2226" s="1" t="s">
        <v>621</v>
      </c>
      <c r="AC2226" s="5">
        <v>765</v>
      </c>
      <c r="AD2226" s="1" t="s">
        <v>5187</v>
      </c>
      <c r="AE2226" s="1" t="str">
        <f t="shared" si="163"/>
        <v>50852 2001</v>
      </c>
      <c r="AF2226" s="14">
        <f>MID(AD2226,FIND("(",AD2226)+1,FIND(")",AD2226)-FIND("(",AD2226)-1)+16.4</f>
        <v>72.699999999999989</v>
      </c>
      <c r="AG2226" s="1" t="str">
        <f t="shared" si="162"/>
        <v/>
      </c>
    </row>
    <row r="2227" spans="1:33" x14ac:dyDescent="0.2">
      <c r="A2227" s="1" t="s">
        <v>370</v>
      </c>
      <c r="B2227" s="1" t="s">
        <v>5188</v>
      </c>
      <c r="C2227" s="1">
        <v>50865</v>
      </c>
      <c r="D2227" s="1">
        <v>1</v>
      </c>
      <c r="F2227" s="1">
        <v>2023</v>
      </c>
      <c r="G2227" s="1" t="s">
        <v>247</v>
      </c>
      <c r="H2227" s="1">
        <v>609979</v>
      </c>
      <c r="I2227" s="1">
        <v>9</v>
      </c>
      <c r="K2227" s="1" t="s">
        <v>373</v>
      </c>
      <c r="L2227" s="1" t="s">
        <v>374</v>
      </c>
      <c r="M2227" s="1">
        <v>53</v>
      </c>
      <c r="N2227" s="1" t="s">
        <v>1680</v>
      </c>
      <c r="O2227" s="1">
        <v>35.951500000000003</v>
      </c>
      <c r="P2227" s="1">
        <v>-120.86790000000001</v>
      </c>
      <c r="Q2227" s="1" t="s">
        <v>5189</v>
      </c>
      <c r="R2227" s="1" t="s">
        <v>41</v>
      </c>
      <c r="T2227" s="1" t="s">
        <v>93</v>
      </c>
      <c r="U2227" s="1" t="s">
        <v>44</v>
      </c>
      <c r="X2227" s="1" t="s">
        <v>64</v>
      </c>
      <c r="AA2227" s="3">
        <v>33669</v>
      </c>
      <c r="AB2227" s="1" t="s">
        <v>46</v>
      </c>
      <c r="AC2227" s="5">
        <v>525</v>
      </c>
      <c r="AD2227" s="1" t="s">
        <v>5190</v>
      </c>
      <c r="AE2227" s="1" t="str">
        <f t="shared" si="163"/>
        <v>50865 1</v>
      </c>
      <c r="AF2227" s="5" t="str">
        <f>MID(AD2227,FIND("(",AD2227)+1,FIND(")",AD2227)-FIND("(",AD2227)-1)</f>
        <v>38.9</v>
      </c>
      <c r="AG2227" s="1" t="str">
        <f t="shared" si="162"/>
        <v>Y</v>
      </c>
    </row>
    <row r="2228" spans="1:33" x14ac:dyDescent="0.2">
      <c r="A2228" s="1" t="s">
        <v>2584</v>
      </c>
      <c r="B2228" s="1" t="s">
        <v>5191</v>
      </c>
      <c r="C2228" s="1">
        <v>50888</v>
      </c>
      <c r="D2228" s="1" t="s">
        <v>5192</v>
      </c>
      <c r="F2228" s="1">
        <v>2023</v>
      </c>
      <c r="G2228" s="1" t="s">
        <v>682</v>
      </c>
      <c r="H2228" s="1">
        <v>606793</v>
      </c>
      <c r="I2228" s="1">
        <v>3</v>
      </c>
      <c r="K2228" s="1" t="s">
        <v>2599</v>
      </c>
      <c r="L2228" s="1" t="s">
        <v>2600</v>
      </c>
      <c r="M2228" s="1">
        <v>95</v>
      </c>
      <c r="N2228" s="1" t="s">
        <v>1680</v>
      </c>
      <c r="O2228" s="1">
        <v>40.691699999999997</v>
      </c>
      <c r="P2228" s="1">
        <v>-75.479200000000006</v>
      </c>
      <c r="Q2228" s="1" t="s">
        <v>5193</v>
      </c>
      <c r="R2228" s="1" t="s">
        <v>41</v>
      </c>
      <c r="T2228" s="1" t="s">
        <v>885</v>
      </c>
      <c r="U2228" s="1" t="s">
        <v>2622</v>
      </c>
      <c r="V2228" s="1" t="s">
        <v>5194</v>
      </c>
      <c r="W2228" s="1" t="s">
        <v>1069</v>
      </c>
      <c r="X2228" s="1" t="s">
        <v>4785</v>
      </c>
      <c r="Y2228" s="1" t="s">
        <v>232</v>
      </c>
      <c r="AA2228" s="3">
        <v>34939</v>
      </c>
      <c r="AB2228" s="1" t="s">
        <v>46</v>
      </c>
      <c r="AC2228" s="5">
        <v>1530</v>
      </c>
      <c r="AD2228" s="1" t="s">
        <v>5195</v>
      </c>
      <c r="AE2228" s="1" t="str">
        <f t="shared" si="163"/>
        <v>50888 NGC01</v>
      </c>
      <c r="AF2228" s="5" t="str">
        <f>MID(AD2228,FIND("(",AD2228)+1,FIND(")",AD2228)-FIND("(",AD2228)-1)</f>
        <v>125</v>
      </c>
      <c r="AG2228" s="1" t="str">
        <f t="shared" si="162"/>
        <v/>
      </c>
    </row>
    <row r="2229" spans="1:33" x14ac:dyDescent="0.2">
      <c r="A2229" s="1" t="s">
        <v>304</v>
      </c>
      <c r="B2229" s="1" t="s">
        <v>5196</v>
      </c>
      <c r="C2229" s="1">
        <v>50949</v>
      </c>
      <c r="D2229" s="1" t="s">
        <v>1054</v>
      </c>
      <c r="F2229" s="1">
        <v>2023</v>
      </c>
      <c r="G2229" s="1" t="s">
        <v>247</v>
      </c>
      <c r="H2229" s="1">
        <v>606359</v>
      </c>
      <c r="I2229" s="1">
        <v>4</v>
      </c>
      <c r="K2229" s="1" t="s">
        <v>4104</v>
      </c>
      <c r="L2229" s="1" t="s">
        <v>4105</v>
      </c>
      <c r="M2229" s="1">
        <v>49</v>
      </c>
      <c r="N2229" s="1" t="s">
        <v>39</v>
      </c>
      <c r="O2229" s="1">
        <v>27.636399999999998</v>
      </c>
      <c r="P2229" s="1">
        <v>-81.9636</v>
      </c>
      <c r="Q2229" s="1" t="s">
        <v>5197</v>
      </c>
      <c r="R2229" s="1" t="s">
        <v>41</v>
      </c>
      <c r="T2229" s="1" t="s">
        <v>93</v>
      </c>
      <c r="U2229" s="1" t="s">
        <v>44</v>
      </c>
      <c r="V2229" s="1" t="s">
        <v>94</v>
      </c>
      <c r="X2229" s="1" t="s">
        <v>183</v>
      </c>
      <c r="AA2229" s="3">
        <v>36663</v>
      </c>
      <c r="AB2229" s="1" t="s">
        <v>46</v>
      </c>
      <c r="AC2229" s="5">
        <v>1109</v>
      </c>
      <c r="AD2229" s="1" t="s">
        <v>5198</v>
      </c>
      <c r="AE2229" s="1" t="str">
        <f t="shared" si="163"/>
        <v>50949 CT2B</v>
      </c>
      <c r="AF2229" s="5" t="str">
        <f>MID(AD2229,FIND("(",AD2229)+1,FIND(")",AD2229)-FIND("(",AD2229)-1)</f>
        <v>86.5</v>
      </c>
      <c r="AG2229" s="1" t="str">
        <f t="shared" si="162"/>
        <v/>
      </c>
    </row>
    <row r="2230" spans="1:33" x14ac:dyDescent="0.2">
      <c r="A2230" s="1" t="s">
        <v>2584</v>
      </c>
      <c r="B2230" s="1" t="s">
        <v>5199</v>
      </c>
      <c r="C2230" s="1">
        <v>50974</v>
      </c>
      <c r="D2230" s="1">
        <v>1</v>
      </c>
      <c r="F2230" s="1">
        <v>2023</v>
      </c>
      <c r="G2230" s="1" t="s">
        <v>682</v>
      </c>
      <c r="H2230" s="1">
        <v>602154</v>
      </c>
      <c r="I2230" s="1">
        <v>3</v>
      </c>
      <c r="K2230" s="1" t="s">
        <v>5200</v>
      </c>
      <c r="L2230" s="1" t="s">
        <v>5201</v>
      </c>
      <c r="M2230" s="1">
        <v>121</v>
      </c>
      <c r="N2230" s="1" t="s">
        <v>1031</v>
      </c>
      <c r="O2230" s="1">
        <v>41.267800000000001</v>
      </c>
      <c r="P2230" s="1">
        <v>-79.811400000000006</v>
      </c>
      <c r="Q2230" s="1" t="s">
        <v>5202</v>
      </c>
      <c r="R2230" s="1" t="s">
        <v>41</v>
      </c>
      <c r="T2230" s="1" t="s">
        <v>885</v>
      </c>
      <c r="U2230" s="1" t="s">
        <v>55</v>
      </c>
      <c r="W2230" s="1" t="s">
        <v>1069</v>
      </c>
      <c r="X2230" s="1" t="s">
        <v>669</v>
      </c>
      <c r="AA2230" s="3">
        <v>34126</v>
      </c>
      <c r="AB2230" s="1" t="s">
        <v>46</v>
      </c>
      <c r="AC2230" s="5">
        <v>800</v>
      </c>
      <c r="AD2230" s="1" t="s">
        <v>5203</v>
      </c>
      <c r="AE2230" s="1" t="str">
        <f t="shared" si="163"/>
        <v>50974 1</v>
      </c>
      <c r="AF2230" s="5" t="str">
        <f>MID(AD2230,FIND("(",AD2230)+1,FIND(")",AD2230)-FIND("(",AD2230)-1)</f>
        <v>94.8</v>
      </c>
      <c r="AG2230" s="1" t="str">
        <f t="shared" si="162"/>
        <v>Y</v>
      </c>
    </row>
    <row r="2231" spans="1:33" x14ac:dyDescent="0.2">
      <c r="A2231" s="1" t="s">
        <v>2584</v>
      </c>
      <c r="B2231" s="1" t="s">
        <v>5199</v>
      </c>
      <c r="C2231" s="1">
        <v>50974</v>
      </c>
      <c r="D2231" s="1">
        <v>2</v>
      </c>
      <c r="F2231" s="1">
        <v>2023</v>
      </c>
      <c r="G2231" s="1" t="s">
        <v>682</v>
      </c>
      <c r="H2231" s="1">
        <v>602154</v>
      </c>
      <c r="I2231" s="1">
        <v>3</v>
      </c>
      <c r="K2231" s="1" t="s">
        <v>5200</v>
      </c>
      <c r="L2231" s="1" t="s">
        <v>5201</v>
      </c>
      <c r="M2231" s="1">
        <v>121</v>
      </c>
      <c r="N2231" s="1" t="s">
        <v>1031</v>
      </c>
      <c r="O2231" s="1">
        <v>41.267800000000001</v>
      </c>
      <c r="P2231" s="1">
        <v>-79.811400000000006</v>
      </c>
      <c r="Q2231" s="1" t="s">
        <v>5202</v>
      </c>
      <c r="R2231" s="1" t="s">
        <v>41</v>
      </c>
      <c r="T2231" s="1" t="s">
        <v>885</v>
      </c>
      <c r="U2231" s="1" t="s">
        <v>55</v>
      </c>
      <c r="W2231" s="1" t="s">
        <v>1069</v>
      </c>
      <c r="X2231" s="1" t="s">
        <v>669</v>
      </c>
      <c r="AA2231" s="3">
        <v>34126</v>
      </c>
      <c r="AB2231" s="1" t="s">
        <v>46</v>
      </c>
      <c r="AC2231" s="5">
        <v>775</v>
      </c>
      <c r="AD2231" s="1" t="s">
        <v>5203</v>
      </c>
      <c r="AE2231" s="1" t="str">
        <f t="shared" si="163"/>
        <v>50974 2</v>
      </c>
      <c r="AF2231" s="5" t="str">
        <f>MID(AD2231,FIND("(",AD2231)+1,FIND(")",AD2231)-FIND("(",AD2231)-1)</f>
        <v>94.8</v>
      </c>
      <c r="AG2231" s="1" t="str">
        <f t="shared" si="162"/>
        <v>Y</v>
      </c>
    </row>
    <row r="2232" spans="1:33" x14ac:dyDescent="0.2">
      <c r="A2232" s="1" t="s">
        <v>2089</v>
      </c>
      <c r="B2232" s="1" t="s">
        <v>5204</v>
      </c>
      <c r="C2232" s="1">
        <v>50978</v>
      </c>
      <c r="D2232" s="1" t="s">
        <v>3087</v>
      </c>
      <c r="F2232" s="1">
        <v>2023</v>
      </c>
      <c r="G2232" s="1" t="s">
        <v>1515</v>
      </c>
      <c r="H2232" s="1">
        <v>610477</v>
      </c>
      <c r="I2232" s="1">
        <v>2</v>
      </c>
      <c r="K2232" s="1" t="s">
        <v>4892</v>
      </c>
      <c r="L2232" s="1" t="s">
        <v>4893</v>
      </c>
      <c r="M2232" s="1">
        <v>67</v>
      </c>
      <c r="N2232" s="1" t="s">
        <v>39</v>
      </c>
      <c r="O2232" s="1">
        <v>43.061100000000003</v>
      </c>
      <c r="P2232" s="1">
        <v>-76.081900000000005</v>
      </c>
      <c r="Q2232" s="1" t="s">
        <v>5205</v>
      </c>
      <c r="R2232" s="1" t="s">
        <v>41</v>
      </c>
      <c r="T2232" s="1" t="s">
        <v>71</v>
      </c>
      <c r="U2232" s="1" t="s">
        <v>44</v>
      </c>
      <c r="V2232" s="1" t="s">
        <v>94</v>
      </c>
      <c r="X2232" s="1" t="s">
        <v>5206</v>
      </c>
      <c r="AA2232" s="3">
        <v>34314</v>
      </c>
      <c r="AB2232" s="1" t="s">
        <v>46</v>
      </c>
      <c r="AC2232" s="5">
        <v>472</v>
      </c>
      <c r="AD2232" s="1" t="s">
        <v>5207</v>
      </c>
      <c r="AE2232" s="1" t="str">
        <f t="shared" si="163"/>
        <v>50978 A</v>
      </c>
      <c r="AF2232" s="14">
        <f>MID(AD2232,FIND("(",AD2232)+1,FIND(")",AD2232)-FIND("(",AD2232)-1)+27.8/2</f>
        <v>62.699999999999996</v>
      </c>
      <c r="AG2232" s="1" t="str">
        <f t="shared" si="162"/>
        <v/>
      </c>
    </row>
    <row r="2233" spans="1:33" x14ac:dyDescent="0.2">
      <c r="A2233" s="1" t="s">
        <v>2089</v>
      </c>
      <c r="B2233" s="1" t="s">
        <v>5204</v>
      </c>
      <c r="C2233" s="1">
        <v>50978</v>
      </c>
      <c r="D2233" s="1" t="s">
        <v>3091</v>
      </c>
      <c r="F2233" s="1">
        <v>2023</v>
      </c>
      <c r="G2233" s="1" t="s">
        <v>1515</v>
      </c>
      <c r="H2233" s="1">
        <v>610477</v>
      </c>
      <c r="I2233" s="1">
        <v>2</v>
      </c>
      <c r="K2233" s="1" t="s">
        <v>4892</v>
      </c>
      <c r="L2233" s="1" t="s">
        <v>4893</v>
      </c>
      <c r="M2233" s="1">
        <v>67</v>
      </c>
      <c r="N2233" s="1" t="s">
        <v>39</v>
      </c>
      <c r="O2233" s="1">
        <v>43.061100000000003</v>
      </c>
      <c r="P2233" s="1">
        <v>-76.081900000000005</v>
      </c>
      <c r="Q2233" s="1" t="s">
        <v>5205</v>
      </c>
      <c r="R2233" s="1" t="s">
        <v>41</v>
      </c>
      <c r="T2233" s="1" t="s">
        <v>71</v>
      </c>
      <c r="U2233" s="1" t="s">
        <v>44</v>
      </c>
      <c r="V2233" s="1" t="s">
        <v>94</v>
      </c>
      <c r="X2233" s="1" t="s">
        <v>5206</v>
      </c>
      <c r="AA2233" s="3">
        <v>34314</v>
      </c>
      <c r="AB2233" s="1" t="s">
        <v>46</v>
      </c>
      <c r="AC2233" s="5">
        <v>488</v>
      </c>
      <c r="AD2233" s="1" t="s">
        <v>5208</v>
      </c>
      <c r="AE2233" s="1" t="str">
        <f t="shared" si="163"/>
        <v>50978 B</v>
      </c>
      <c r="AF2233" s="14">
        <f>AF2232</f>
        <v>62.699999999999996</v>
      </c>
      <c r="AG2233" s="1" t="str">
        <f t="shared" si="162"/>
        <v/>
      </c>
    </row>
    <row r="2234" spans="1:33" x14ac:dyDescent="0.2">
      <c r="A2234" s="1" t="s">
        <v>651</v>
      </c>
      <c r="B2234" s="1" t="s">
        <v>5209</v>
      </c>
      <c r="C2234" s="1">
        <v>51026</v>
      </c>
      <c r="D2234" s="1">
        <v>1</v>
      </c>
      <c r="F2234" s="1">
        <v>2023</v>
      </c>
      <c r="G2234" s="1" t="s">
        <v>247</v>
      </c>
      <c r="I2234" s="1">
        <v>1</v>
      </c>
      <c r="K2234" s="1" t="s">
        <v>5210</v>
      </c>
      <c r="L2234" s="1" t="s">
        <v>5211</v>
      </c>
      <c r="M2234" s="1">
        <v>5</v>
      </c>
      <c r="N2234" s="1" t="s">
        <v>39</v>
      </c>
      <c r="O2234" s="1">
        <v>44.213099999999997</v>
      </c>
      <c r="P2234" s="1">
        <v>-72.057199999999995</v>
      </c>
      <c r="R2234" s="1" t="s">
        <v>41</v>
      </c>
      <c r="T2234" s="1" t="s">
        <v>1660</v>
      </c>
      <c r="U2234" s="1" t="s">
        <v>657</v>
      </c>
      <c r="AA2234" s="3">
        <v>33848</v>
      </c>
      <c r="AB2234" s="1" t="s">
        <v>46</v>
      </c>
      <c r="AD2234" s="1" t="s">
        <v>5212</v>
      </c>
      <c r="AE2234" s="1" t="str">
        <f t="shared" si="163"/>
        <v>51026 1</v>
      </c>
      <c r="AF2234" s="5" t="str">
        <f>MID(AD2234,FIND("(",AD2234)+1,FIND(")",AD2234)-FIND("(",AD2234)-1)</f>
        <v>20</v>
      </c>
      <c r="AG2234" s="1" t="str">
        <f t="shared" si="162"/>
        <v/>
      </c>
    </row>
    <row r="2235" spans="1:33" x14ac:dyDescent="0.2">
      <c r="A2235" s="1" t="s">
        <v>2680</v>
      </c>
      <c r="B2235" s="1" t="s">
        <v>5213</v>
      </c>
      <c r="C2235" s="1">
        <v>51030</v>
      </c>
      <c r="D2235" s="1">
        <v>1</v>
      </c>
      <c r="F2235" s="1">
        <v>2023</v>
      </c>
      <c r="G2235" s="1" t="s">
        <v>579</v>
      </c>
      <c r="H2235" s="1">
        <v>605624</v>
      </c>
      <c r="I2235" s="1">
        <v>1</v>
      </c>
      <c r="K2235" s="1" t="s">
        <v>2682</v>
      </c>
      <c r="L2235" s="1" t="s">
        <v>2683</v>
      </c>
      <c r="M2235" s="1">
        <v>7</v>
      </c>
      <c r="N2235" s="1" t="s">
        <v>39</v>
      </c>
      <c r="O2235" s="1">
        <v>42.009900000000002</v>
      </c>
      <c r="P2235" s="1">
        <v>-71.670100000000005</v>
      </c>
      <c r="Q2235" s="1" t="s">
        <v>5214</v>
      </c>
      <c r="R2235" s="1" t="s">
        <v>41</v>
      </c>
      <c r="T2235" s="1" t="s">
        <v>71</v>
      </c>
      <c r="U2235" s="1" t="s">
        <v>44</v>
      </c>
      <c r="V2235" s="1" t="s">
        <v>94</v>
      </c>
      <c r="X2235" s="1" t="s">
        <v>176</v>
      </c>
      <c r="AA2235" s="3">
        <v>33208</v>
      </c>
      <c r="AB2235" s="1" t="s">
        <v>46</v>
      </c>
      <c r="AC2235" s="5">
        <v>1650</v>
      </c>
      <c r="AD2235" s="1" t="s">
        <v>5215</v>
      </c>
      <c r="AE2235" s="1" t="str">
        <f t="shared" si="163"/>
        <v>51030 1</v>
      </c>
      <c r="AF2235" s="14">
        <f>MID(AD2235,FIND("(",AD2235)+1,FIND(")",AD2235)-FIND("(",AD2235)-1)+88.6/2</f>
        <v>127.1</v>
      </c>
      <c r="AG2235" s="1" t="str">
        <f t="shared" si="162"/>
        <v>Y</v>
      </c>
    </row>
    <row r="2236" spans="1:33" x14ac:dyDescent="0.2">
      <c r="A2236" s="1" t="s">
        <v>2680</v>
      </c>
      <c r="B2236" s="1" t="s">
        <v>5213</v>
      </c>
      <c r="C2236" s="1">
        <v>51030</v>
      </c>
      <c r="D2236" s="1">
        <v>2</v>
      </c>
      <c r="F2236" s="1">
        <v>2023</v>
      </c>
      <c r="G2236" s="1" t="s">
        <v>579</v>
      </c>
      <c r="H2236" s="1">
        <v>605624</v>
      </c>
      <c r="I2236" s="1">
        <v>1</v>
      </c>
      <c r="K2236" s="1" t="s">
        <v>2682</v>
      </c>
      <c r="L2236" s="1" t="s">
        <v>2683</v>
      </c>
      <c r="M2236" s="1">
        <v>7</v>
      </c>
      <c r="N2236" s="1" t="s">
        <v>39</v>
      </c>
      <c r="O2236" s="1">
        <v>42.009900000000002</v>
      </c>
      <c r="P2236" s="1">
        <v>-71.670100000000005</v>
      </c>
      <c r="Q2236" s="1" t="s">
        <v>5214</v>
      </c>
      <c r="R2236" s="1" t="s">
        <v>41</v>
      </c>
      <c r="T2236" s="1" t="s">
        <v>71</v>
      </c>
      <c r="U2236" s="1" t="s">
        <v>44</v>
      </c>
      <c r="V2236" s="1" t="s">
        <v>94</v>
      </c>
      <c r="X2236" s="1" t="s">
        <v>176</v>
      </c>
      <c r="AA2236" s="3">
        <v>33208</v>
      </c>
      <c r="AB2236" s="1" t="s">
        <v>46</v>
      </c>
      <c r="AC2236" s="5">
        <v>1650</v>
      </c>
      <c r="AD2236" s="1" t="s">
        <v>5216</v>
      </c>
      <c r="AE2236" s="1" t="str">
        <f t="shared" si="163"/>
        <v>51030 2</v>
      </c>
      <c r="AF2236" s="14">
        <f>AF2235</f>
        <v>127.1</v>
      </c>
      <c r="AG2236" s="1" t="str">
        <f t="shared" si="162"/>
        <v>Y</v>
      </c>
    </row>
    <row r="2237" spans="1:33" x14ac:dyDescent="0.2">
      <c r="A2237" s="1" t="s">
        <v>3095</v>
      </c>
      <c r="B2237" s="1" t="s">
        <v>5217</v>
      </c>
      <c r="C2237" s="1">
        <v>52019</v>
      </c>
      <c r="D2237" s="1">
        <v>501</v>
      </c>
      <c r="F2237" s="1">
        <v>2023</v>
      </c>
      <c r="G2237" s="1" t="s">
        <v>1515</v>
      </c>
      <c r="H2237" s="1">
        <v>605624</v>
      </c>
      <c r="I2237" s="1">
        <v>3</v>
      </c>
      <c r="K2237" s="1" t="s">
        <v>5218</v>
      </c>
      <c r="L2237" s="1" t="s">
        <v>5219</v>
      </c>
      <c r="M2237" s="1">
        <v>85</v>
      </c>
      <c r="N2237" s="1" t="s">
        <v>39</v>
      </c>
      <c r="O2237" s="1">
        <v>37.818100000000001</v>
      </c>
      <c r="P2237" s="1">
        <v>-77.447800000000001</v>
      </c>
      <c r="Q2237" s="1" t="s">
        <v>5220</v>
      </c>
      <c r="R2237" s="1" t="s">
        <v>41</v>
      </c>
      <c r="T2237" s="1" t="s">
        <v>71</v>
      </c>
      <c r="U2237" s="1" t="s">
        <v>44</v>
      </c>
      <c r="V2237" s="1" t="s">
        <v>94</v>
      </c>
      <c r="X2237" s="1" t="s">
        <v>2685</v>
      </c>
      <c r="AA2237" s="3">
        <v>33725</v>
      </c>
      <c r="AB2237" s="1" t="s">
        <v>46</v>
      </c>
      <c r="AC2237" s="5">
        <v>1699.9</v>
      </c>
      <c r="AD2237" s="1" t="s">
        <v>5221</v>
      </c>
      <c r="AE2237" s="1" t="str">
        <f t="shared" si="163"/>
        <v>52019 501</v>
      </c>
      <c r="AF2237" s="14">
        <f>MID(AD2237,FIND("(",AD2237)+1,FIND(")",AD2237)-FIND("(",AD2237)-1)+132/4+132/4</f>
        <v>185.6</v>
      </c>
      <c r="AG2237" s="1" t="str">
        <f t="shared" si="162"/>
        <v>Y</v>
      </c>
    </row>
    <row r="2238" spans="1:33" x14ac:dyDescent="0.2">
      <c r="A2238" s="1" t="s">
        <v>3095</v>
      </c>
      <c r="B2238" s="1" t="s">
        <v>5217</v>
      </c>
      <c r="C2238" s="1">
        <v>52019</v>
      </c>
      <c r="D2238" s="1">
        <v>502</v>
      </c>
      <c r="F2238" s="1">
        <v>2023</v>
      </c>
      <c r="G2238" s="1" t="s">
        <v>1515</v>
      </c>
      <c r="H2238" s="1">
        <v>605624</v>
      </c>
      <c r="I2238" s="1">
        <v>3</v>
      </c>
      <c r="K2238" s="1" t="s">
        <v>5218</v>
      </c>
      <c r="L2238" s="1" t="s">
        <v>5219</v>
      </c>
      <c r="M2238" s="1">
        <v>85</v>
      </c>
      <c r="N2238" s="1" t="s">
        <v>39</v>
      </c>
      <c r="O2238" s="1">
        <v>37.818100000000001</v>
      </c>
      <c r="P2238" s="1">
        <v>-77.447800000000001</v>
      </c>
      <c r="Q2238" s="1" t="s">
        <v>5220</v>
      </c>
      <c r="R2238" s="1" t="s">
        <v>41</v>
      </c>
      <c r="T2238" s="1" t="s">
        <v>71</v>
      </c>
      <c r="U2238" s="1" t="s">
        <v>44</v>
      </c>
      <c r="V2238" s="1" t="s">
        <v>94</v>
      </c>
      <c r="X2238" s="1" t="s">
        <v>2685</v>
      </c>
      <c r="AA2238" s="3">
        <v>33725</v>
      </c>
      <c r="AB2238" s="1" t="s">
        <v>46</v>
      </c>
      <c r="AC2238" s="5">
        <v>1845.8</v>
      </c>
      <c r="AD2238" s="1" t="s">
        <v>5222</v>
      </c>
      <c r="AE2238" s="1" t="str">
        <f t="shared" si="163"/>
        <v>52019 502</v>
      </c>
      <c r="AF2238" s="14">
        <f>AF2237</f>
        <v>185.6</v>
      </c>
      <c r="AG2238" s="1" t="str">
        <f t="shared" si="162"/>
        <v>Y</v>
      </c>
    </row>
    <row r="2239" spans="1:33" x14ac:dyDescent="0.2">
      <c r="A2239" s="1" t="s">
        <v>3095</v>
      </c>
      <c r="B2239" s="1" t="s">
        <v>5217</v>
      </c>
      <c r="C2239" s="1">
        <v>52019</v>
      </c>
      <c r="D2239" s="1">
        <v>601</v>
      </c>
      <c r="F2239" s="1">
        <v>2023</v>
      </c>
      <c r="G2239" s="1" t="s">
        <v>1515</v>
      </c>
      <c r="H2239" s="1">
        <v>605624</v>
      </c>
      <c r="I2239" s="1">
        <v>3</v>
      </c>
      <c r="K2239" s="1" t="s">
        <v>5218</v>
      </c>
      <c r="L2239" s="1" t="s">
        <v>5219</v>
      </c>
      <c r="M2239" s="1">
        <v>85</v>
      </c>
      <c r="N2239" s="1" t="s">
        <v>39</v>
      </c>
      <c r="O2239" s="1">
        <v>37.818100000000001</v>
      </c>
      <c r="P2239" s="1">
        <v>-77.447800000000001</v>
      </c>
      <c r="Q2239" s="1" t="s">
        <v>5220</v>
      </c>
      <c r="R2239" s="1" t="s">
        <v>41</v>
      </c>
      <c r="T2239" s="1" t="s">
        <v>71</v>
      </c>
      <c r="U2239" s="1" t="s">
        <v>44</v>
      </c>
      <c r="V2239" s="1" t="s">
        <v>94</v>
      </c>
      <c r="X2239" s="1" t="s">
        <v>2685</v>
      </c>
      <c r="AA2239" s="3">
        <v>33725</v>
      </c>
      <c r="AB2239" s="1" t="s">
        <v>46</v>
      </c>
      <c r="AC2239" s="5">
        <v>1616.9</v>
      </c>
      <c r="AD2239" s="1" t="s">
        <v>5223</v>
      </c>
      <c r="AE2239" s="1" t="str">
        <f t="shared" si="163"/>
        <v>52019 601</v>
      </c>
      <c r="AF2239" s="14">
        <f>AF2237</f>
        <v>185.6</v>
      </c>
      <c r="AG2239" s="1" t="str">
        <f t="shared" si="162"/>
        <v>Y</v>
      </c>
    </row>
    <row r="2240" spans="1:33" x14ac:dyDescent="0.2">
      <c r="A2240" s="1" t="s">
        <v>3095</v>
      </c>
      <c r="B2240" s="1" t="s">
        <v>5217</v>
      </c>
      <c r="C2240" s="1">
        <v>52019</v>
      </c>
      <c r="D2240" s="1">
        <v>602</v>
      </c>
      <c r="F2240" s="1">
        <v>2023</v>
      </c>
      <c r="G2240" s="1" t="s">
        <v>1515</v>
      </c>
      <c r="H2240" s="1">
        <v>605624</v>
      </c>
      <c r="I2240" s="1">
        <v>3</v>
      </c>
      <c r="K2240" s="1" t="s">
        <v>5218</v>
      </c>
      <c r="L2240" s="1" t="s">
        <v>5219</v>
      </c>
      <c r="M2240" s="1">
        <v>85</v>
      </c>
      <c r="N2240" s="1" t="s">
        <v>39</v>
      </c>
      <c r="O2240" s="1">
        <v>37.818100000000001</v>
      </c>
      <c r="P2240" s="1">
        <v>-77.447800000000001</v>
      </c>
      <c r="Q2240" s="1" t="s">
        <v>5220</v>
      </c>
      <c r="R2240" s="1" t="s">
        <v>41</v>
      </c>
      <c r="T2240" s="1" t="s">
        <v>71</v>
      </c>
      <c r="U2240" s="1" t="s">
        <v>44</v>
      </c>
      <c r="V2240" s="1" t="s">
        <v>94</v>
      </c>
      <c r="X2240" s="1" t="s">
        <v>2685</v>
      </c>
      <c r="AA2240" s="3">
        <v>33725</v>
      </c>
      <c r="AB2240" s="1" t="s">
        <v>46</v>
      </c>
      <c r="AC2240" s="5">
        <v>1620.5</v>
      </c>
      <c r="AD2240" s="1" t="s">
        <v>5224</v>
      </c>
      <c r="AE2240" s="1" t="str">
        <f t="shared" si="163"/>
        <v>52019 602</v>
      </c>
      <c r="AF2240" s="14">
        <f>AF2237</f>
        <v>185.6</v>
      </c>
      <c r="AG2240" s="1" t="str">
        <f t="shared" si="162"/>
        <v>Y</v>
      </c>
    </row>
    <row r="2241" spans="1:33" x14ac:dyDescent="0.2">
      <c r="A2241" s="1" t="s">
        <v>3095</v>
      </c>
      <c r="B2241" s="1" t="s">
        <v>5217</v>
      </c>
      <c r="C2241" s="1">
        <v>52019</v>
      </c>
      <c r="D2241" s="1" t="s">
        <v>311</v>
      </c>
      <c r="F2241" s="1">
        <v>2023</v>
      </c>
      <c r="G2241" s="1" t="s">
        <v>1515</v>
      </c>
      <c r="H2241" s="1">
        <v>605624</v>
      </c>
      <c r="I2241" s="1">
        <v>3</v>
      </c>
      <c r="K2241" s="1" t="s">
        <v>5218</v>
      </c>
      <c r="L2241" s="1" t="s">
        <v>5219</v>
      </c>
      <c r="M2241" s="1">
        <v>85</v>
      </c>
      <c r="N2241" s="1" t="s">
        <v>39</v>
      </c>
      <c r="O2241" s="1">
        <v>37.818100000000001</v>
      </c>
      <c r="P2241" s="1">
        <v>-77.447800000000001</v>
      </c>
      <c r="Q2241" s="1" t="s">
        <v>5220</v>
      </c>
      <c r="R2241" s="1" t="s">
        <v>41</v>
      </c>
      <c r="T2241" s="1" t="s">
        <v>93</v>
      </c>
      <c r="U2241" s="1" t="s">
        <v>44</v>
      </c>
      <c r="V2241" s="1" t="s">
        <v>94</v>
      </c>
      <c r="X2241" s="1" t="s">
        <v>183</v>
      </c>
      <c r="AA2241" s="3">
        <v>36960</v>
      </c>
      <c r="AB2241" s="1" t="s">
        <v>46</v>
      </c>
      <c r="AC2241" s="5">
        <v>2141.9</v>
      </c>
      <c r="AD2241" s="1" t="s">
        <v>5225</v>
      </c>
      <c r="AE2241" s="1" t="str">
        <f t="shared" si="163"/>
        <v>52019 CT1</v>
      </c>
      <c r="AF2241" s="5" t="str">
        <f>MID(AD2241,FIND("(",AD2241)+1,FIND(")",AD2241)-FIND("(",AD2241)-1)</f>
        <v>170</v>
      </c>
      <c r="AG2241" s="1" t="str">
        <f t="shared" si="162"/>
        <v/>
      </c>
    </row>
    <row r="2242" spans="1:33" x14ac:dyDescent="0.2">
      <c r="A2242" s="1" t="s">
        <v>3095</v>
      </c>
      <c r="B2242" s="1" t="s">
        <v>5217</v>
      </c>
      <c r="C2242" s="1">
        <v>52019</v>
      </c>
      <c r="D2242" s="1" t="s">
        <v>98</v>
      </c>
      <c r="F2242" s="1">
        <v>2023</v>
      </c>
      <c r="G2242" s="1" t="s">
        <v>1515</v>
      </c>
      <c r="H2242" s="1">
        <v>605624</v>
      </c>
      <c r="I2242" s="1">
        <v>3</v>
      </c>
      <c r="K2242" s="1" t="s">
        <v>5218</v>
      </c>
      <c r="L2242" s="1" t="s">
        <v>5219</v>
      </c>
      <c r="M2242" s="1">
        <v>85</v>
      </c>
      <c r="N2242" s="1" t="s">
        <v>39</v>
      </c>
      <c r="O2242" s="1">
        <v>37.818100000000001</v>
      </c>
      <c r="P2242" s="1">
        <v>-77.447800000000001</v>
      </c>
      <c r="Q2242" s="1" t="s">
        <v>5220</v>
      </c>
      <c r="R2242" s="1" t="s">
        <v>41</v>
      </c>
      <c r="T2242" s="1" t="s">
        <v>93</v>
      </c>
      <c r="U2242" s="1" t="s">
        <v>44</v>
      </c>
      <c r="X2242" s="1" t="s">
        <v>140</v>
      </c>
      <c r="AA2242" s="3">
        <v>43176</v>
      </c>
      <c r="AB2242" s="1" t="s">
        <v>46</v>
      </c>
      <c r="AC2242" s="5">
        <v>2075</v>
      </c>
      <c r="AD2242" s="1" t="s">
        <v>5226</v>
      </c>
      <c r="AE2242" s="1" t="str">
        <f t="shared" si="163"/>
        <v>52019 CT2</v>
      </c>
      <c r="AF2242" s="5" t="str">
        <f>MID(AD2242,FIND("(",AD2242)+1,FIND(")",AD2242)-FIND("(",AD2242)-1)</f>
        <v>170</v>
      </c>
      <c r="AG2242" s="1" t="str">
        <f t="shared" ref="AG2242:AG2305" si="164">IF(ISNUMBER(SEARCH("selective", X2242)), "Y", "")</f>
        <v/>
      </c>
    </row>
    <row r="2243" spans="1:33" x14ac:dyDescent="0.2">
      <c r="A2243" s="1" t="s">
        <v>3095</v>
      </c>
      <c r="B2243" s="1" t="s">
        <v>5217</v>
      </c>
      <c r="C2243" s="1">
        <v>52019</v>
      </c>
      <c r="D2243" s="1" t="s">
        <v>101</v>
      </c>
      <c r="F2243" s="1">
        <v>2023</v>
      </c>
      <c r="G2243" s="1" t="s">
        <v>1515</v>
      </c>
      <c r="H2243" s="1">
        <v>605624</v>
      </c>
      <c r="I2243" s="1">
        <v>3</v>
      </c>
      <c r="K2243" s="1" t="s">
        <v>5218</v>
      </c>
      <c r="L2243" s="1" t="s">
        <v>5219</v>
      </c>
      <c r="M2243" s="1">
        <v>85</v>
      </c>
      <c r="N2243" s="1" t="s">
        <v>39</v>
      </c>
      <c r="O2243" s="1">
        <v>37.818100000000001</v>
      </c>
      <c r="P2243" s="1">
        <v>-77.447800000000001</v>
      </c>
      <c r="Q2243" s="1" t="s">
        <v>5220</v>
      </c>
      <c r="R2243" s="1" t="s">
        <v>41</v>
      </c>
      <c r="T2243" s="1" t="s">
        <v>93</v>
      </c>
      <c r="U2243" s="1" t="s">
        <v>44</v>
      </c>
      <c r="X2243" s="1" t="s">
        <v>140</v>
      </c>
      <c r="AA2243" s="3">
        <v>43201</v>
      </c>
      <c r="AB2243" s="1" t="s">
        <v>46</v>
      </c>
      <c r="AC2243" s="5">
        <v>2051.4</v>
      </c>
      <c r="AD2243" s="1" t="s">
        <v>5227</v>
      </c>
      <c r="AE2243" s="1" t="str">
        <f t="shared" ref="AE2243:AE2306" si="165">C2243&amp;" "&amp;D2243</f>
        <v>52019 CT3</v>
      </c>
      <c r="AF2243" s="5" t="str">
        <f>MID(AD2243,FIND("(",AD2243)+1,FIND(")",AD2243)-FIND("(",AD2243)-1)</f>
        <v>170</v>
      </c>
      <c r="AG2243" s="1" t="str">
        <f t="shared" si="164"/>
        <v/>
      </c>
    </row>
    <row r="2244" spans="1:33" x14ac:dyDescent="0.2">
      <c r="A2244" s="1" t="s">
        <v>1568</v>
      </c>
      <c r="B2244" s="1" t="s">
        <v>5228</v>
      </c>
      <c r="C2244" s="1">
        <v>52026</v>
      </c>
      <c r="D2244" s="1">
        <v>1</v>
      </c>
      <c r="F2244" s="1">
        <v>2023</v>
      </c>
      <c r="G2244" s="1" t="s">
        <v>579</v>
      </c>
      <c r="H2244" s="1">
        <v>601710</v>
      </c>
      <c r="I2244" s="1">
        <v>1</v>
      </c>
      <c r="K2244" s="1" t="s">
        <v>1617</v>
      </c>
      <c r="L2244" s="1" t="s">
        <v>1618</v>
      </c>
      <c r="M2244" s="1">
        <v>5</v>
      </c>
      <c r="N2244" s="1" t="s">
        <v>39</v>
      </c>
      <c r="O2244" s="1">
        <v>41.672800000000002</v>
      </c>
      <c r="P2244" s="1">
        <v>-70.998900000000006</v>
      </c>
      <c r="Q2244" s="1" t="s">
        <v>5229</v>
      </c>
      <c r="R2244" s="1" t="s">
        <v>41</v>
      </c>
      <c r="T2244" s="1" t="s">
        <v>71</v>
      </c>
      <c r="U2244" s="1" t="s">
        <v>44</v>
      </c>
      <c r="V2244" s="1" t="s">
        <v>94</v>
      </c>
      <c r="X2244" s="1" t="s">
        <v>176</v>
      </c>
      <c r="AA2244" s="3">
        <v>33729</v>
      </c>
      <c r="AB2244" s="1" t="s">
        <v>46</v>
      </c>
      <c r="AC2244" s="5">
        <v>656</v>
      </c>
      <c r="AD2244" s="1" t="s">
        <v>5230</v>
      </c>
      <c r="AE2244" s="1" t="str">
        <f t="shared" si="165"/>
        <v>52026 1</v>
      </c>
      <c r="AF2244" s="14">
        <f>MID(AD2244,FIND("(",AD2244)+1,FIND(")",AD2244)-FIND("(",AD2244)-1)+45</f>
        <v>77</v>
      </c>
      <c r="AG2244" s="1" t="str">
        <f t="shared" si="164"/>
        <v>Y</v>
      </c>
    </row>
    <row r="2245" spans="1:33" x14ac:dyDescent="0.2">
      <c r="A2245" s="1" t="s">
        <v>3095</v>
      </c>
      <c r="B2245" s="1" t="s">
        <v>5231</v>
      </c>
      <c r="C2245" s="1">
        <v>52087</v>
      </c>
      <c r="D2245" s="1" t="s">
        <v>1296</v>
      </c>
      <c r="E2245" s="1" t="s">
        <v>1798</v>
      </c>
      <c r="F2245" s="1">
        <v>2023</v>
      </c>
      <c r="G2245" s="1" t="s">
        <v>1515</v>
      </c>
      <c r="H2245" s="1">
        <v>1525</v>
      </c>
      <c r="I2245" s="1">
        <v>3</v>
      </c>
      <c r="K2245" s="1" t="s">
        <v>5232</v>
      </c>
      <c r="L2245" s="1" t="s">
        <v>5233</v>
      </c>
      <c r="M2245" s="1">
        <v>550</v>
      </c>
      <c r="N2245" s="1" t="s">
        <v>39</v>
      </c>
      <c r="O2245" s="1">
        <v>36.774299999999997</v>
      </c>
      <c r="P2245" s="1">
        <v>-76.311899999999994</v>
      </c>
      <c r="Q2245" s="1" t="s">
        <v>3112</v>
      </c>
      <c r="R2245" s="1" t="s">
        <v>41</v>
      </c>
      <c r="T2245" s="1" t="s">
        <v>93</v>
      </c>
      <c r="U2245" s="1" t="s">
        <v>44</v>
      </c>
      <c r="V2245" s="1" t="s">
        <v>94</v>
      </c>
      <c r="X2245" s="1" t="s">
        <v>95</v>
      </c>
      <c r="AA2245" s="3">
        <v>33759</v>
      </c>
      <c r="AB2245" s="1" t="s">
        <v>46</v>
      </c>
      <c r="AC2245" s="5">
        <v>1553</v>
      </c>
      <c r="AD2245" s="1" t="s">
        <v>5234</v>
      </c>
      <c r="AE2245" s="1" t="str">
        <f t="shared" si="165"/>
        <v>52087 CT-1</v>
      </c>
      <c r="AF2245" s="5" t="str">
        <f>MID(AD2245,FIND("(",AD2245)+1,FIND(")",AD2245)-FIND("(",AD2245)-1)</f>
        <v>129.6</v>
      </c>
      <c r="AG2245" s="1" t="str">
        <f t="shared" si="164"/>
        <v/>
      </c>
    </row>
    <row r="2246" spans="1:33" x14ac:dyDescent="0.2">
      <c r="A2246" s="1" t="s">
        <v>3095</v>
      </c>
      <c r="B2246" s="1" t="s">
        <v>5231</v>
      </c>
      <c r="C2246" s="1">
        <v>52087</v>
      </c>
      <c r="D2246" s="1" t="s">
        <v>1300</v>
      </c>
      <c r="E2246" s="1" t="s">
        <v>1798</v>
      </c>
      <c r="F2246" s="1">
        <v>2023</v>
      </c>
      <c r="G2246" s="1" t="s">
        <v>1515</v>
      </c>
      <c r="H2246" s="1">
        <v>1525</v>
      </c>
      <c r="I2246" s="1">
        <v>3</v>
      </c>
      <c r="K2246" s="1" t="s">
        <v>5232</v>
      </c>
      <c r="L2246" s="1" t="s">
        <v>5233</v>
      </c>
      <c r="M2246" s="1">
        <v>550</v>
      </c>
      <c r="N2246" s="1" t="s">
        <v>39</v>
      </c>
      <c r="O2246" s="1">
        <v>36.774299999999997</v>
      </c>
      <c r="P2246" s="1">
        <v>-76.311899999999994</v>
      </c>
      <c r="Q2246" s="1" t="s">
        <v>3112</v>
      </c>
      <c r="R2246" s="1" t="s">
        <v>41</v>
      </c>
      <c r="T2246" s="1" t="s">
        <v>93</v>
      </c>
      <c r="U2246" s="1" t="s">
        <v>44</v>
      </c>
      <c r="V2246" s="1" t="s">
        <v>94</v>
      </c>
      <c r="X2246" s="1" t="s">
        <v>95</v>
      </c>
      <c r="AA2246" s="3">
        <v>33759</v>
      </c>
      <c r="AB2246" s="1" t="s">
        <v>46</v>
      </c>
      <c r="AC2246" s="5">
        <v>1553</v>
      </c>
      <c r="AD2246" s="1" t="s">
        <v>5235</v>
      </c>
      <c r="AE2246" s="1" t="str">
        <f t="shared" si="165"/>
        <v>52087 CT-2</v>
      </c>
      <c r="AF2246" s="5" t="str">
        <f>MID(AD2246,FIND("(",AD2246)+1,FIND(")",AD2246)-FIND("(",AD2246)-1)</f>
        <v>129.6</v>
      </c>
      <c r="AG2246" s="1" t="str">
        <f t="shared" si="164"/>
        <v/>
      </c>
    </row>
    <row r="2247" spans="1:33" x14ac:dyDescent="0.2">
      <c r="A2247" s="1" t="s">
        <v>3095</v>
      </c>
      <c r="B2247" s="1" t="s">
        <v>5231</v>
      </c>
      <c r="C2247" s="1">
        <v>52087</v>
      </c>
      <c r="D2247" s="1" t="s">
        <v>1302</v>
      </c>
      <c r="E2247" s="1" t="s">
        <v>1798</v>
      </c>
      <c r="F2247" s="1">
        <v>2023</v>
      </c>
      <c r="G2247" s="1" t="s">
        <v>1515</v>
      </c>
      <c r="H2247" s="1">
        <v>1525</v>
      </c>
      <c r="I2247" s="1">
        <v>3</v>
      </c>
      <c r="K2247" s="1" t="s">
        <v>5232</v>
      </c>
      <c r="L2247" s="1" t="s">
        <v>5233</v>
      </c>
      <c r="M2247" s="1">
        <v>550</v>
      </c>
      <c r="N2247" s="1" t="s">
        <v>39</v>
      </c>
      <c r="O2247" s="1">
        <v>36.774299999999997</v>
      </c>
      <c r="P2247" s="1">
        <v>-76.311899999999994</v>
      </c>
      <c r="Q2247" s="1" t="s">
        <v>3112</v>
      </c>
      <c r="R2247" s="1" t="s">
        <v>41</v>
      </c>
      <c r="T2247" s="1" t="s">
        <v>93</v>
      </c>
      <c r="U2247" s="1" t="s">
        <v>44</v>
      </c>
      <c r="V2247" s="1" t="s">
        <v>94</v>
      </c>
      <c r="X2247" s="1" t="s">
        <v>95</v>
      </c>
      <c r="AA2247" s="3">
        <v>33759</v>
      </c>
      <c r="AB2247" s="1" t="s">
        <v>46</v>
      </c>
      <c r="AC2247" s="5">
        <v>1553</v>
      </c>
      <c r="AD2247" s="1" t="s">
        <v>5236</v>
      </c>
      <c r="AE2247" s="1" t="str">
        <f t="shared" si="165"/>
        <v>52087 CT-3</v>
      </c>
      <c r="AF2247" s="5" t="str">
        <f>MID(AD2247,FIND("(",AD2247)+1,FIND(")",AD2247)-FIND("(",AD2247)-1)</f>
        <v>129.6</v>
      </c>
      <c r="AG2247" s="1" t="str">
        <f t="shared" si="164"/>
        <v/>
      </c>
    </row>
    <row r="2248" spans="1:33" x14ac:dyDescent="0.2">
      <c r="A2248" s="1" t="s">
        <v>383</v>
      </c>
      <c r="B2248" s="1" t="s">
        <v>5237</v>
      </c>
      <c r="C2248" s="1">
        <v>52088</v>
      </c>
      <c r="D2248" s="1" t="s">
        <v>5238</v>
      </c>
      <c r="F2248" s="1">
        <v>2023</v>
      </c>
      <c r="G2248" s="1" t="s">
        <v>346</v>
      </c>
      <c r="H2248" s="1" t="s">
        <v>5239</v>
      </c>
      <c r="I2248" s="1">
        <v>6</v>
      </c>
      <c r="K2248" s="1" t="s">
        <v>5240</v>
      </c>
      <c r="L2248" s="1" t="s">
        <v>5241</v>
      </c>
      <c r="M2248" s="1">
        <v>167</v>
      </c>
      <c r="N2248" s="1" t="s">
        <v>1680</v>
      </c>
      <c r="O2248" s="1">
        <v>29.378699999999998</v>
      </c>
      <c r="P2248" s="1">
        <v>-94.944000000000003</v>
      </c>
      <c r="Q2248" s="1" t="s">
        <v>5242</v>
      </c>
      <c r="R2248" s="1" t="s">
        <v>41</v>
      </c>
      <c r="T2248" s="1" t="s">
        <v>71</v>
      </c>
      <c r="U2248" s="1" t="s">
        <v>44</v>
      </c>
      <c r="X2248" s="1" t="s">
        <v>1606</v>
      </c>
      <c r="AA2248" s="3">
        <v>31928</v>
      </c>
      <c r="AB2248" s="1" t="s">
        <v>46</v>
      </c>
      <c r="AC2248" s="5">
        <v>1765</v>
      </c>
      <c r="AD2248" s="1" t="s">
        <v>5243</v>
      </c>
      <c r="AE2248" s="1" t="str">
        <f t="shared" si="165"/>
        <v>52088 GT-A</v>
      </c>
      <c r="AF2248" s="14">
        <f>AF2249</f>
        <v>150</v>
      </c>
      <c r="AG2248" s="1" t="str">
        <f t="shared" si="164"/>
        <v/>
      </c>
    </row>
    <row r="2249" spans="1:33" x14ac:dyDescent="0.2">
      <c r="A2249" s="1" t="s">
        <v>383</v>
      </c>
      <c r="B2249" s="1" t="s">
        <v>5237</v>
      </c>
      <c r="C2249" s="1">
        <v>52088</v>
      </c>
      <c r="D2249" s="1" t="s">
        <v>5244</v>
      </c>
      <c r="F2249" s="1">
        <v>2023</v>
      </c>
      <c r="G2249" s="1" t="s">
        <v>346</v>
      </c>
      <c r="H2249" s="1" t="s">
        <v>5239</v>
      </c>
      <c r="I2249" s="1">
        <v>6</v>
      </c>
      <c r="K2249" s="1" t="s">
        <v>5240</v>
      </c>
      <c r="L2249" s="1" t="s">
        <v>5241</v>
      </c>
      <c r="M2249" s="1">
        <v>167</v>
      </c>
      <c r="N2249" s="1" t="s">
        <v>1680</v>
      </c>
      <c r="O2249" s="1">
        <v>29.378699999999998</v>
      </c>
      <c r="P2249" s="1">
        <v>-94.944000000000003</v>
      </c>
      <c r="Q2249" s="1" t="s">
        <v>5242</v>
      </c>
      <c r="R2249" s="1" t="s">
        <v>41</v>
      </c>
      <c r="T2249" s="1" t="s">
        <v>71</v>
      </c>
      <c r="U2249" s="1" t="s">
        <v>44</v>
      </c>
      <c r="X2249" s="1" t="s">
        <v>140</v>
      </c>
      <c r="AA2249" s="3">
        <v>31928</v>
      </c>
      <c r="AB2249" s="1" t="s">
        <v>46</v>
      </c>
      <c r="AC2249" s="5">
        <v>1765</v>
      </c>
      <c r="AD2249" s="1" t="s">
        <v>5245</v>
      </c>
      <c r="AE2249" s="1" t="str">
        <f t="shared" si="165"/>
        <v>52088 GT-B</v>
      </c>
      <c r="AF2249" s="14">
        <f>MID(AD2249,FIND("(",AD2249)+1,FIND(")",AD2249)-FIND("(",AD2249)-1)+141/3</f>
        <v>150</v>
      </c>
      <c r="AG2249" s="1" t="str">
        <f t="shared" si="164"/>
        <v/>
      </c>
    </row>
    <row r="2250" spans="1:33" x14ac:dyDescent="0.2">
      <c r="A2250" s="1" t="s">
        <v>383</v>
      </c>
      <c r="B2250" s="1" t="s">
        <v>5237</v>
      </c>
      <c r="C2250" s="1">
        <v>52088</v>
      </c>
      <c r="D2250" s="1" t="s">
        <v>5246</v>
      </c>
      <c r="F2250" s="1">
        <v>2023</v>
      </c>
      <c r="G2250" s="1" t="s">
        <v>346</v>
      </c>
      <c r="H2250" s="1" t="s">
        <v>5239</v>
      </c>
      <c r="I2250" s="1">
        <v>6</v>
      </c>
      <c r="K2250" s="1" t="s">
        <v>5240</v>
      </c>
      <c r="L2250" s="1" t="s">
        <v>5241</v>
      </c>
      <c r="M2250" s="1">
        <v>167</v>
      </c>
      <c r="N2250" s="1" t="s">
        <v>1680</v>
      </c>
      <c r="O2250" s="1">
        <v>29.378699999999998</v>
      </c>
      <c r="P2250" s="1">
        <v>-94.944000000000003</v>
      </c>
      <c r="Q2250" s="1" t="s">
        <v>5242</v>
      </c>
      <c r="R2250" s="1" t="s">
        <v>41</v>
      </c>
      <c r="T2250" s="1" t="s">
        <v>71</v>
      </c>
      <c r="U2250" s="1" t="s">
        <v>44</v>
      </c>
      <c r="X2250" s="1" t="s">
        <v>140</v>
      </c>
      <c r="AA2250" s="3">
        <v>31928</v>
      </c>
      <c r="AB2250" s="1" t="s">
        <v>46</v>
      </c>
      <c r="AC2250" s="5">
        <v>1765</v>
      </c>
      <c r="AD2250" s="1" t="s">
        <v>5247</v>
      </c>
      <c r="AE2250" s="1" t="str">
        <f t="shared" si="165"/>
        <v>52088 GT-C</v>
      </c>
      <c r="AF2250" s="14">
        <f>AF2249</f>
        <v>150</v>
      </c>
      <c r="AG2250" s="1" t="str">
        <f t="shared" si="164"/>
        <v/>
      </c>
    </row>
    <row r="2251" spans="1:33" x14ac:dyDescent="0.2">
      <c r="A2251" s="1" t="s">
        <v>383</v>
      </c>
      <c r="B2251" s="1" t="s">
        <v>5248</v>
      </c>
      <c r="C2251" s="1">
        <v>52176</v>
      </c>
      <c r="D2251" s="1">
        <v>1</v>
      </c>
      <c r="F2251" s="1">
        <v>2023</v>
      </c>
      <c r="G2251" s="1" t="s">
        <v>346</v>
      </c>
      <c r="H2251" s="1" t="s">
        <v>5249</v>
      </c>
      <c r="I2251" s="1">
        <v>6</v>
      </c>
      <c r="J2251" s="1" t="s">
        <v>387</v>
      </c>
      <c r="K2251" s="1" t="s">
        <v>5250</v>
      </c>
      <c r="L2251" s="1" t="s">
        <v>5251</v>
      </c>
      <c r="M2251" s="1">
        <v>227</v>
      </c>
      <c r="N2251" s="1" t="s">
        <v>1680</v>
      </c>
      <c r="O2251" s="1">
        <v>32.272199999999998</v>
      </c>
      <c r="P2251" s="1">
        <v>-101.4222</v>
      </c>
      <c r="Q2251" s="1" t="s">
        <v>5252</v>
      </c>
      <c r="R2251" s="1" t="s">
        <v>41</v>
      </c>
      <c r="T2251" s="1" t="s">
        <v>71</v>
      </c>
      <c r="U2251" s="1" t="s">
        <v>44</v>
      </c>
      <c r="V2251" s="1" t="s">
        <v>94</v>
      </c>
      <c r="X2251" s="1" t="s">
        <v>1606</v>
      </c>
      <c r="AA2251" s="3">
        <v>31978</v>
      </c>
      <c r="AB2251" s="1" t="s">
        <v>46</v>
      </c>
      <c r="AC2251" s="5">
        <v>1150</v>
      </c>
      <c r="AD2251" s="1" t="s">
        <v>5253</v>
      </c>
      <c r="AE2251" s="1" t="str">
        <f t="shared" si="165"/>
        <v>52176 1</v>
      </c>
      <c r="AF2251" s="14">
        <f>MID(AD2251,FIND("(",AD2251)+1,FIND(")",AD2251)-FIND("(",AD2251)-1)+75/2</f>
        <v>115</v>
      </c>
      <c r="AG2251" s="1" t="str">
        <f t="shared" si="164"/>
        <v/>
      </c>
    </row>
    <row r="2252" spans="1:33" x14ac:dyDescent="0.2">
      <c r="A2252" s="1" t="s">
        <v>383</v>
      </c>
      <c r="B2252" s="1" t="s">
        <v>5248</v>
      </c>
      <c r="C2252" s="1">
        <v>52176</v>
      </c>
      <c r="D2252" s="1">
        <v>2</v>
      </c>
      <c r="F2252" s="1">
        <v>2023</v>
      </c>
      <c r="G2252" s="1" t="s">
        <v>346</v>
      </c>
      <c r="H2252" s="1" t="s">
        <v>5249</v>
      </c>
      <c r="I2252" s="1">
        <v>6</v>
      </c>
      <c r="J2252" s="1" t="s">
        <v>387</v>
      </c>
      <c r="K2252" s="1" t="s">
        <v>5250</v>
      </c>
      <c r="L2252" s="1" t="s">
        <v>5251</v>
      </c>
      <c r="M2252" s="1">
        <v>227</v>
      </c>
      <c r="N2252" s="1" t="s">
        <v>1680</v>
      </c>
      <c r="O2252" s="1">
        <v>32.272199999999998</v>
      </c>
      <c r="P2252" s="1">
        <v>-101.4222</v>
      </c>
      <c r="Q2252" s="1" t="s">
        <v>5252</v>
      </c>
      <c r="R2252" s="1" t="s">
        <v>41</v>
      </c>
      <c r="T2252" s="1" t="s">
        <v>71</v>
      </c>
      <c r="U2252" s="1" t="s">
        <v>44</v>
      </c>
      <c r="V2252" s="1" t="s">
        <v>94</v>
      </c>
      <c r="X2252" s="1" t="s">
        <v>1606</v>
      </c>
      <c r="AA2252" s="3">
        <v>31979</v>
      </c>
      <c r="AB2252" s="1" t="s">
        <v>46</v>
      </c>
      <c r="AC2252" s="5">
        <v>1150</v>
      </c>
      <c r="AD2252" s="1" t="s">
        <v>5254</v>
      </c>
      <c r="AE2252" s="1" t="str">
        <f t="shared" si="165"/>
        <v>52176 2</v>
      </c>
      <c r="AF2252" s="14">
        <f>AF2251</f>
        <v>115</v>
      </c>
      <c r="AG2252" s="1" t="str">
        <f t="shared" si="164"/>
        <v/>
      </c>
    </row>
    <row r="2253" spans="1:33" x14ac:dyDescent="0.2">
      <c r="A2253" s="1" t="s">
        <v>660</v>
      </c>
      <c r="B2253" s="1" t="s">
        <v>5255</v>
      </c>
      <c r="C2253" s="1">
        <v>52193</v>
      </c>
      <c r="D2253" s="1" t="s">
        <v>5256</v>
      </c>
      <c r="F2253" s="1">
        <v>2023</v>
      </c>
      <c r="G2253" s="1" t="s">
        <v>2217</v>
      </c>
      <c r="H2253" s="1">
        <v>607290</v>
      </c>
      <c r="I2253" s="1">
        <v>3</v>
      </c>
      <c r="K2253" s="1" t="s">
        <v>662</v>
      </c>
      <c r="L2253" s="1" t="s">
        <v>663</v>
      </c>
      <c r="M2253" s="1">
        <v>3</v>
      </c>
      <c r="N2253" s="1" t="s">
        <v>5257</v>
      </c>
      <c r="O2253" s="1">
        <v>39.593600000000002</v>
      </c>
      <c r="P2253" s="1">
        <v>-75.633700000000005</v>
      </c>
      <c r="Q2253" s="1" t="s">
        <v>5258</v>
      </c>
      <c r="R2253" s="1" t="s">
        <v>41</v>
      </c>
      <c r="T2253" s="1" t="s">
        <v>89</v>
      </c>
      <c r="U2253" s="1" t="s">
        <v>1432</v>
      </c>
      <c r="AA2253" s="3">
        <v>22282</v>
      </c>
      <c r="AB2253" s="1" t="s">
        <v>46</v>
      </c>
      <c r="AC2253" s="5">
        <v>808</v>
      </c>
      <c r="AD2253" s="1" t="s">
        <v>5259</v>
      </c>
      <c r="AE2253" s="1" t="str">
        <f t="shared" si="165"/>
        <v>52193 DCPP4</v>
      </c>
      <c r="AF2253" s="14">
        <f>MID(AD2253,FIND("(",AD2253)+1,FIND(")",AD2253)-FIND("(",AD2253)-1)+75+10+27.5</f>
        <v>140</v>
      </c>
      <c r="AG2253" s="1" t="str">
        <f t="shared" si="164"/>
        <v/>
      </c>
    </row>
    <row r="2254" spans="1:33" x14ac:dyDescent="0.2">
      <c r="A2254" s="1" t="s">
        <v>2089</v>
      </c>
      <c r="B2254" s="1" t="s">
        <v>5260</v>
      </c>
      <c r="C2254" s="1">
        <v>54034</v>
      </c>
      <c r="D2254" s="1" t="s">
        <v>5261</v>
      </c>
      <c r="F2254" s="1">
        <v>2023</v>
      </c>
      <c r="G2254" s="1" t="s">
        <v>1515</v>
      </c>
      <c r="H2254" s="1">
        <v>1820</v>
      </c>
      <c r="I2254" s="1">
        <v>2</v>
      </c>
      <c r="J2254" s="1" t="s">
        <v>580</v>
      </c>
      <c r="K2254" s="1" t="s">
        <v>4816</v>
      </c>
      <c r="L2254" s="1" t="s">
        <v>4817</v>
      </c>
      <c r="M2254" s="1">
        <v>83</v>
      </c>
      <c r="N2254" s="1" t="s">
        <v>39</v>
      </c>
      <c r="O2254" s="1">
        <v>42.63</v>
      </c>
      <c r="P2254" s="1">
        <v>-73.75</v>
      </c>
      <c r="Q2254" s="1" t="s">
        <v>5262</v>
      </c>
      <c r="R2254" s="1" t="s">
        <v>41</v>
      </c>
      <c r="T2254" s="1" t="s">
        <v>71</v>
      </c>
      <c r="U2254" s="1" t="s">
        <v>44</v>
      </c>
      <c r="V2254" s="1" t="s">
        <v>94</v>
      </c>
      <c r="X2254" s="1" t="s">
        <v>4050</v>
      </c>
      <c r="AA2254" s="3">
        <v>34446</v>
      </c>
      <c r="AB2254" s="1" t="s">
        <v>46</v>
      </c>
      <c r="AC2254" s="5">
        <v>786.8</v>
      </c>
      <c r="AD2254" s="1" t="s">
        <v>5263</v>
      </c>
      <c r="AE2254" s="1" t="str">
        <f t="shared" si="165"/>
        <v>54034 1GTDBS</v>
      </c>
      <c r="AF2254" s="14">
        <f>MID(AD2254,FIND("(",AD2254)+1,FIND(")",AD2254)-FIND("(",AD2254)-1)+45.9</f>
        <v>103.9</v>
      </c>
      <c r="AG2254" s="1" t="str">
        <f t="shared" si="164"/>
        <v>Y</v>
      </c>
    </row>
    <row r="2255" spans="1:33" x14ac:dyDescent="0.2">
      <c r="A2255" s="1" t="s">
        <v>2089</v>
      </c>
      <c r="B2255" s="1" t="s">
        <v>5264</v>
      </c>
      <c r="C2255" s="1">
        <v>54041</v>
      </c>
      <c r="D2255" s="1">
        <v>11854</v>
      </c>
      <c r="F2255" s="1">
        <v>2023</v>
      </c>
      <c r="G2255" s="1" t="s">
        <v>1515</v>
      </c>
      <c r="H2255" s="1">
        <v>2239</v>
      </c>
      <c r="I2255" s="1">
        <v>2</v>
      </c>
      <c r="J2255" s="1" t="s">
        <v>580</v>
      </c>
      <c r="K2255" s="1" t="s">
        <v>5107</v>
      </c>
      <c r="L2255" s="1" t="s">
        <v>5108</v>
      </c>
      <c r="M2255" s="1">
        <v>63</v>
      </c>
      <c r="N2255" s="1" t="s">
        <v>1680</v>
      </c>
      <c r="O2255" s="1">
        <v>43.162199999999999</v>
      </c>
      <c r="P2255" s="1">
        <v>-78.7453</v>
      </c>
      <c r="Q2255" s="1" t="s">
        <v>5265</v>
      </c>
      <c r="R2255" s="1" t="s">
        <v>41</v>
      </c>
      <c r="T2255" s="1" t="s">
        <v>71</v>
      </c>
      <c r="U2255" s="1" t="s">
        <v>44</v>
      </c>
      <c r="V2255" s="1" t="s">
        <v>94</v>
      </c>
      <c r="X2255" s="1" t="s">
        <v>1606</v>
      </c>
      <c r="AA2255" s="3">
        <v>33966</v>
      </c>
      <c r="AB2255" s="1" t="s">
        <v>46</v>
      </c>
      <c r="AC2255" s="5">
        <v>1531</v>
      </c>
      <c r="AD2255" s="1" t="s">
        <v>5266</v>
      </c>
      <c r="AE2255" s="1" t="str">
        <f t="shared" si="165"/>
        <v>54041 11854</v>
      </c>
      <c r="AF2255" s="14">
        <f>AF2256</f>
        <v>76.099999999999994</v>
      </c>
      <c r="AG2255" s="1" t="str">
        <f t="shared" si="164"/>
        <v/>
      </c>
    </row>
    <row r="2256" spans="1:33" x14ac:dyDescent="0.2">
      <c r="A2256" s="1" t="s">
        <v>2089</v>
      </c>
      <c r="B2256" s="1" t="s">
        <v>5264</v>
      </c>
      <c r="C2256" s="1">
        <v>54041</v>
      </c>
      <c r="D2256" s="1">
        <v>11855</v>
      </c>
      <c r="F2256" s="1">
        <v>2023</v>
      </c>
      <c r="G2256" s="1" t="s">
        <v>1515</v>
      </c>
      <c r="H2256" s="1">
        <v>2239</v>
      </c>
      <c r="I2256" s="1">
        <v>2</v>
      </c>
      <c r="J2256" s="1" t="s">
        <v>580</v>
      </c>
      <c r="K2256" s="1" t="s">
        <v>5107</v>
      </c>
      <c r="L2256" s="1" t="s">
        <v>5108</v>
      </c>
      <c r="M2256" s="1">
        <v>63</v>
      </c>
      <c r="N2256" s="1" t="s">
        <v>1680</v>
      </c>
      <c r="O2256" s="1">
        <v>43.162199999999999</v>
      </c>
      <c r="P2256" s="1">
        <v>-78.7453</v>
      </c>
      <c r="Q2256" s="1" t="s">
        <v>5265</v>
      </c>
      <c r="R2256" s="1" t="s">
        <v>41</v>
      </c>
      <c r="T2256" s="1" t="s">
        <v>71</v>
      </c>
      <c r="U2256" s="1" t="s">
        <v>44</v>
      </c>
      <c r="V2256" s="1" t="s">
        <v>94</v>
      </c>
      <c r="X2256" s="1" t="s">
        <v>1606</v>
      </c>
      <c r="AA2256" s="3">
        <v>33966</v>
      </c>
      <c r="AB2256" s="1" t="s">
        <v>46</v>
      </c>
      <c r="AC2256" s="5">
        <v>1531</v>
      </c>
      <c r="AD2256" s="1" t="s">
        <v>5267</v>
      </c>
      <c r="AE2256" s="1" t="str">
        <f t="shared" si="165"/>
        <v>54041 11855</v>
      </c>
      <c r="AF2256" s="14">
        <f>MID(AD2256,FIND("(",AD2256)+1,FIND(")",AD2256)-FIND("(",AD2256)-1)+75.3/3</f>
        <v>76.099999999999994</v>
      </c>
      <c r="AG2256" s="1" t="str">
        <f t="shared" si="164"/>
        <v/>
      </c>
    </row>
    <row r="2257" spans="1:33" x14ac:dyDescent="0.2">
      <c r="A2257" s="1" t="s">
        <v>2089</v>
      </c>
      <c r="B2257" s="1" t="s">
        <v>5264</v>
      </c>
      <c r="C2257" s="1">
        <v>54041</v>
      </c>
      <c r="D2257" s="1">
        <v>11856</v>
      </c>
      <c r="F2257" s="1">
        <v>2023</v>
      </c>
      <c r="G2257" s="1" t="s">
        <v>1515</v>
      </c>
      <c r="H2257" s="1">
        <v>2239</v>
      </c>
      <c r="I2257" s="1">
        <v>2</v>
      </c>
      <c r="J2257" s="1" t="s">
        <v>580</v>
      </c>
      <c r="K2257" s="1" t="s">
        <v>5107</v>
      </c>
      <c r="L2257" s="1" t="s">
        <v>5108</v>
      </c>
      <c r="M2257" s="1">
        <v>63</v>
      </c>
      <c r="N2257" s="1" t="s">
        <v>1680</v>
      </c>
      <c r="O2257" s="1">
        <v>43.162199999999999</v>
      </c>
      <c r="P2257" s="1">
        <v>-78.7453</v>
      </c>
      <c r="Q2257" s="1" t="s">
        <v>5265</v>
      </c>
      <c r="R2257" s="1" t="s">
        <v>41</v>
      </c>
      <c r="T2257" s="1" t="s">
        <v>71</v>
      </c>
      <c r="U2257" s="1" t="s">
        <v>44</v>
      </c>
      <c r="V2257" s="1" t="s">
        <v>94</v>
      </c>
      <c r="X2257" s="1" t="s">
        <v>1606</v>
      </c>
      <c r="AA2257" s="3">
        <v>33966</v>
      </c>
      <c r="AB2257" s="1" t="s">
        <v>46</v>
      </c>
      <c r="AC2257" s="5">
        <v>1531</v>
      </c>
      <c r="AD2257" s="1" t="s">
        <v>5268</v>
      </c>
      <c r="AE2257" s="1" t="str">
        <f t="shared" si="165"/>
        <v>54041 11856</v>
      </c>
      <c r="AF2257" s="14">
        <f>AF2256</f>
        <v>76.099999999999994</v>
      </c>
      <c r="AG2257" s="1" t="str">
        <f t="shared" si="164"/>
        <v/>
      </c>
    </row>
    <row r="2258" spans="1:33" x14ac:dyDescent="0.2">
      <c r="A2258" s="1" t="s">
        <v>2089</v>
      </c>
      <c r="B2258" s="1" t="s">
        <v>5269</v>
      </c>
      <c r="C2258" s="1">
        <v>54076</v>
      </c>
      <c r="D2258" s="1">
        <v>1</v>
      </c>
      <c r="F2258" s="1">
        <v>2023</v>
      </c>
      <c r="G2258" s="1" t="s">
        <v>1515</v>
      </c>
      <c r="H2258" s="1">
        <v>2911</v>
      </c>
      <c r="I2258" s="1">
        <v>2</v>
      </c>
      <c r="J2258" s="1" t="s">
        <v>580</v>
      </c>
      <c r="K2258" s="1" t="s">
        <v>5270</v>
      </c>
      <c r="L2258" s="1" t="s">
        <v>5271</v>
      </c>
      <c r="M2258" s="1">
        <v>9</v>
      </c>
      <c r="N2258" s="1" t="s">
        <v>1680</v>
      </c>
      <c r="O2258" s="1">
        <v>42.087499999999999</v>
      </c>
      <c r="P2258" s="1">
        <v>-78.457800000000006</v>
      </c>
      <c r="Q2258" s="1" t="s">
        <v>5272</v>
      </c>
      <c r="R2258" s="1" t="s">
        <v>41</v>
      </c>
      <c r="T2258" s="1" t="s">
        <v>71</v>
      </c>
      <c r="U2258" s="1" t="s">
        <v>44</v>
      </c>
      <c r="V2258" s="1" t="s">
        <v>94</v>
      </c>
      <c r="X2258" s="1" t="s">
        <v>4050</v>
      </c>
      <c r="AA2258" s="3">
        <v>34493</v>
      </c>
      <c r="AB2258" s="1" t="s">
        <v>46</v>
      </c>
      <c r="AC2258" s="5">
        <v>789</v>
      </c>
      <c r="AD2258" s="1" t="s">
        <v>5273</v>
      </c>
      <c r="AE2258" s="1" t="str">
        <f t="shared" si="165"/>
        <v>54076 1</v>
      </c>
      <c r="AF2258" s="14">
        <f>MID(AD2258,FIND("(",AD2258)+1,FIND(")",AD2258)-FIND("(",AD2258)-1)+46</f>
        <v>90.7</v>
      </c>
      <c r="AG2258" s="1" t="str">
        <f t="shared" si="164"/>
        <v>Y</v>
      </c>
    </row>
    <row r="2259" spans="1:33" x14ac:dyDescent="0.2">
      <c r="A2259" s="1" t="s">
        <v>3095</v>
      </c>
      <c r="B2259" s="1" t="s">
        <v>5274</v>
      </c>
      <c r="C2259" s="1">
        <v>54081</v>
      </c>
      <c r="D2259" s="1" t="s">
        <v>5275</v>
      </c>
      <c r="F2259" s="1">
        <v>2023</v>
      </c>
      <c r="G2259" s="1" t="s">
        <v>461</v>
      </c>
      <c r="H2259" s="1">
        <v>608849</v>
      </c>
      <c r="I2259" s="1">
        <v>3</v>
      </c>
      <c r="K2259" s="1" t="s">
        <v>5276</v>
      </c>
      <c r="L2259" s="1" t="s">
        <v>5277</v>
      </c>
      <c r="M2259" s="1">
        <v>760</v>
      </c>
      <c r="N2259" s="1" t="s">
        <v>1680</v>
      </c>
      <c r="O2259" s="1">
        <v>37.455599999999997</v>
      </c>
      <c r="P2259" s="1">
        <v>-77.430800000000005</v>
      </c>
      <c r="Q2259" s="1" t="s">
        <v>5278</v>
      </c>
      <c r="R2259" s="1" t="s">
        <v>41</v>
      </c>
      <c r="T2259" s="1" t="s">
        <v>1660</v>
      </c>
      <c r="U2259" s="1" t="s">
        <v>44</v>
      </c>
      <c r="X2259" s="1" t="s">
        <v>454</v>
      </c>
      <c r="AA2259" s="3">
        <v>33817</v>
      </c>
      <c r="AB2259" s="1" t="s">
        <v>46</v>
      </c>
      <c r="AC2259" s="5">
        <v>380</v>
      </c>
      <c r="AD2259" s="1" t="s">
        <v>5279</v>
      </c>
      <c r="AE2259" s="1" t="str">
        <f t="shared" si="165"/>
        <v>54081 BLR03A</v>
      </c>
      <c r="AF2259" s="5" t="str">
        <f>MID(AD2259,FIND("(",AD2259)+1,FIND(")",AD2259)-FIND("(",AD2259)-1)</f>
        <v>67.5</v>
      </c>
      <c r="AG2259" s="1" t="str">
        <f t="shared" si="164"/>
        <v/>
      </c>
    </row>
    <row r="2260" spans="1:33" x14ac:dyDescent="0.2">
      <c r="A2260" s="1" t="s">
        <v>3095</v>
      </c>
      <c r="B2260" s="1" t="s">
        <v>5274</v>
      </c>
      <c r="C2260" s="1">
        <v>54081</v>
      </c>
      <c r="D2260" s="1" t="s">
        <v>5280</v>
      </c>
      <c r="F2260" s="1">
        <v>2023</v>
      </c>
      <c r="G2260" s="1" t="s">
        <v>461</v>
      </c>
      <c r="H2260" s="1">
        <v>608849</v>
      </c>
      <c r="I2260" s="1">
        <v>3</v>
      </c>
      <c r="K2260" s="1" t="s">
        <v>5276</v>
      </c>
      <c r="L2260" s="1" t="s">
        <v>5277</v>
      </c>
      <c r="M2260" s="1">
        <v>760</v>
      </c>
      <c r="N2260" s="1" t="s">
        <v>1680</v>
      </c>
      <c r="O2260" s="1">
        <v>37.455599999999997</v>
      </c>
      <c r="P2260" s="1">
        <v>-77.430800000000005</v>
      </c>
      <c r="Q2260" s="1" t="s">
        <v>5278</v>
      </c>
      <c r="R2260" s="1" t="s">
        <v>41</v>
      </c>
      <c r="T2260" s="1" t="s">
        <v>1660</v>
      </c>
      <c r="U2260" s="1" t="s">
        <v>44</v>
      </c>
      <c r="X2260" s="1" t="s">
        <v>454</v>
      </c>
      <c r="AA2260" s="3">
        <v>33817</v>
      </c>
      <c r="AB2260" s="1" t="s">
        <v>46</v>
      </c>
      <c r="AC2260" s="5">
        <v>525</v>
      </c>
      <c r="AD2260" s="1" t="s">
        <v>5279</v>
      </c>
      <c r="AE2260" s="1" t="str">
        <f t="shared" si="165"/>
        <v>54081 BLR03B</v>
      </c>
      <c r="AF2260" s="5" t="str">
        <f>MID(AD2260,FIND("(",AD2260)+1,FIND(")",AD2260)-FIND("(",AD2260)-1)</f>
        <v>67.5</v>
      </c>
      <c r="AG2260" s="1" t="str">
        <f t="shared" si="164"/>
        <v/>
      </c>
    </row>
    <row r="2261" spans="1:33" x14ac:dyDescent="0.2">
      <c r="A2261" s="1" t="s">
        <v>3095</v>
      </c>
      <c r="B2261" s="1" t="s">
        <v>5274</v>
      </c>
      <c r="C2261" s="1">
        <v>54081</v>
      </c>
      <c r="D2261" s="1" t="s">
        <v>5281</v>
      </c>
      <c r="F2261" s="1">
        <v>2023</v>
      </c>
      <c r="G2261" s="1" t="s">
        <v>461</v>
      </c>
      <c r="H2261" s="1">
        <v>608849</v>
      </c>
      <c r="I2261" s="1">
        <v>3</v>
      </c>
      <c r="K2261" s="1" t="s">
        <v>5276</v>
      </c>
      <c r="L2261" s="1" t="s">
        <v>5277</v>
      </c>
      <c r="M2261" s="1">
        <v>760</v>
      </c>
      <c r="N2261" s="1" t="s">
        <v>1680</v>
      </c>
      <c r="O2261" s="1">
        <v>37.455599999999997</v>
      </c>
      <c r="P2261" s="1">
        <v>-77.430800000000005</v>
      </c>
      <c r="Q2261" s="1" t="s">
        <v>5278</v>
      </c>
      <c r="R2261" s="1" t="s">
        <v>41</v>
      </c>
      <c r="T2261" s="1" t="s">
        <v>1660</v>
      </c>
      <c r="U2261" s="1" t="s">
        <v>44</v>
      </c>
      <c r="X2261" s="1" t="s">
        <v>454</v>
      </c>
      <c r="AA2261" s="3">
        <v>33817</v>
      </c>
      <c r="AB2261" s="1" t="s">
        <v>46</v>
      </c>
      <c r="AC2261" s="5">
        <v>380</v>
      </c>
      <c r="AD2261" s="1" t="s">
        <v>5282</v>
      </c>
      <c r="AE2261" s="1" t="str">
        <f t="shared" si="165"/>
        <v>54081 BLR04A</v>
      </c>
      <c r="AF2261" s="5" t="str">
        <f>MID(AD2261,FIND("(",AD2261)+1,FIND(")",AD2261)-FIND("(",AD2261)-1)</f>
        <v>67.5</v>
      </c>
      <c r="AG2261" s="1" t="str">
        <f t="shared" si="164"/>
        <v/>
      </c>
    </row>
    <row r="2262" spans="1:33" x14ac:dyDescent="0.2">
      <c r="A2262" s="1" t="s">
        <v>3095</v>
      </c>
      <c r="B2262" s="1" t="s">
        <v>5274</v>
      </c>
      <c r="C2262" s="1">
        <v>54081</v>
      </c>
      <c r="D2262" s="1" t="s">
        <v>5283</v>
      </c>
      <c r="F2262" s="1">
        <v>2023</v>
      </c>
      <c r="G2262" s="1" t="s">
        <v>461</v>
      </c>
      <c r="H2262" s="1">
        <v>608849</v>
      </c>
      <c r="I2262" s="1">
        <v>3</v>
      </c>
      <c r="K2262" s="1" t="s">
        <v>5276</v>
      </c>
      <c r="L2262" s="1" t="s">
        <v>5277</v>
      </c>
      <c r="M2262" s="1">
        <v>760</v>
      </c>
      <c r="N2262" s="1" t="s">
        <v>1680</v>
      </c>
      <c r="O2262" s="1">
        <v>37.455599999999997</v>
      </c>
      <c r="P2262" s="1">
        <v>-77.430800000000005</v>
      </c>
      <c r="Q2262" s="1" t="s">
        <v>5278</v>
      </c>
      <c r="R2262" s="1" t="s">
        <v>41</v>
      </c>
      <c r="T2262" s="1" t="s">
        <v>1660</v>
      </c>
      <c r="U2262" s="1" t="s">
        <v>44</v>
      </c>
      <c r="X2262" s="1" t="s">
        <v>454</v>
      </c>
      <c r="AA2262" s="3">
        <v>33817</v>
      </c>
      <c r="AB2262" s="1" t="s">
        <v>46</v>
      </c>
      <c r="AC2262" s="5">
        <v>380</v>
      </c>
      <c r="AD2262" s="1" t="s">
        <v>5282</v>
      </c>
      <c r="AE2262" s="1" t="str">
        <f t="shared" si="165"/>
        <v>54081 BLR04B</v>
      </c>
      <c r="AF2262" s="5" t="str">
        <f>MID(AD2262,FIND("(",AD2262)+1,FIND(")",AD2262)-FIND("(",AD2262)-1)</f>
        <v>67.5</v>
      </c>
      <c r="AG2262" s="1" t="str">
        <f t="shared" si="164"/>
        <v/>
      </c>
    </row>
    <row r="2263" spans="1:33" x14ac:dyDescent="0.2">
      <c r="A2263" s="1" t="s">
        <v>2089</v>
      </c>
      <c r="B2263" s="1" t="s">
        <v>5284</v>
      </c>
      <c r="C2263" s="1">
        <v>54114</v>
      </c>
      <c r="D2263" s="1" t="s">
        <v>280</v>
      </c>
      <c r="F2263" s="1">
        <v>2023</v>
      </c>
      <c r="G2263" s="1" t="s">
        <v>1528</v>
      </c>
      <c r="H2263" s="1">
        <v>605705</v>
      </c>
      <c r="I2263" s="1">
        <v>2</v>
      </c>
      <c r="J2263" s="1" t="s">
        <v>580</v>
      </c>
      <c r="K2263" s="1" t="s">
        <v>2202</v>
      </c>
      <c r="L2263" s="1" t="s">
        <v>2203</v>
      </c>
      <c r="M2263" s="1">
        <v>81</v>
      </c>
      <c r="N2263" s="1" t="s">
        <v>1680</v>
      </c>
      <c r="O2263" s="1">
        <v>40.6417</v>
      </c>
      <c r="P2263" s="1">
        <v>-73.777799999999999</v>
      </c>
      <c r="Q2263" s="1" t="s">
        <v>4768</v>
      </c>
      <c r="T2263" s="1" t="s">
        <v>71</v>
      </c>
      <c r="U2263" s="1" t="s">
        <v>44</v>
      </c>
      <c r="V2263" s="1" t="s">
        <v>94</v>
      </c>
      <c r="X2263" s="1" t="s">
        <v>176</v>
      </c>
      <c r="AA2263" s="3">
        <v>34731</v>
      </c>
      <c r="AB2263" s="1" t="s">
        <v>46</v>
      </c>
      <c r="AC2263" s="5">
        <v>718</v>
      </c>
      <c r="AD2263" s="1" t="s">
        <v>5285</v>
      </c>
      <c r="AE2263" s="1" t="str">
        <f t="shared" si="165"/>
        <v>54114 GT1</v>
      </c>
      <c r="AF2263" s="14">
        <f>AF2264</f>
        <v>60.6</v>
      </c>
      <c r="AG2263" s="1" t="str">
        <f t="shared" si="164"/>
        <v>Y</v>
      </c>
    </row>
    <row r="2264" spans="1:33" x14ac:dyDescent="0.2">
      <c r="A2264" s="1" t="s">
        <v>2089</v>
      </c>
      <c r="B2264" s="1" t="s">
        <v>5284</v>
      </c>
      <c r="C2264" s="1">
        <v>54114</v>
      </c>
      <c r="D2264" s="1" t="s">
        <v>1102</v>
      </c>
      <c r="F2264" s="1">
        <v>2023</v>
      </c>
      <c r="G2264" s="1" t="s">
        <v>1528</v>
      </c>
      <c r="H2264" s="1">
        <v>605705</v>
      </c>
      <c r="I2264" s="1">
        <v>2</v>
      </c>
      <c r="J2264" s="1" t="s">
        <v>580</v>
      </c>
      <c r="K2264" s="1" t="s">
        <v>2202</v>
      </c>
      <c r="L2264" s="1" t="s">
        <v>2203</v>
      </c>
      <c r="M2264" s="1">
        <v>81</v>
      </c>
      <c r="N2264" s="1" t="s">
        <v>1680</v>
      </c>
      <c r="O2264" s="1">
        <v>40.6417</v>
      </c>
      <c r="P2264" s="1">
        <v>-73.777799999999999</v>
      </c>
      <c r="Q2264" s="1" t="s">
        <v>4768</v>
      </c>
      <c r="T2264" s="1" t="s">
        <v>71</v>
      </c>
      <c r="U2264" s="1" t="s">
        <v>44</v>
      </c>
      <c r="V2264" s="1" t="s">
        <v>94</v>
      </c>
      <c r="X2264" s="1" t="s">
        <v>176</v>
      </c>
      <c r="AA2264" s="3">
        <v>34731</v>
      </c>
      <c r="AB2264" s="1" t="s">
        <v>46</v>
      </c>
      <c r="AC2264" s="5">
        <v>718</v>
      </c>
      <c r="AD2264" s="1" t="s">
        <v>5286</v>
      </c>
      <c r="AE2264" s="1" t="str">
        <f t="shared" si="165"/>
        <v>54114 GT2</v>
      </c>
      <c r="AF2264" s="14">
        <f>MID(AD2264,FIND("(",AD2264)+1,FIND(")",AD2264)-FIND("(",AD2264)-1)+27/2</f>
        <v>60.6</v>
      </c>
      <c r="AG2264" s="1" t="str">
        <f t="shared" si="164"/>
        <v>Y</v>
      </c>
    </row>
    <row r="2265" spans="1:33" x14ac:dyDescent="0.2">
      <c r="A2265" s="1" t="s">
        <v>2089</v>
      </c>
      <c r="B2265" s="1" t="s">
        <v>5287</v>
      </c>
      <c r="C2265" s="1">
        <v>54131</v>
      </c>
      <c r="D2265" s="1" t="s">
        <v>5288</v>
      </c>
      <c r="F2265" s="1">
        <v>2023</v>
      </c>
      <c r="G2265" s="1" t="s">
        <v>1528</v>
      </c>
      <c r="H2265" s="1">
        <v>2451</v>
      </c>
      <c r="I2265" s="1">
        <v>2</v>
      </c>
      <c r="K2265" s="1" t="s">
        <v>5107</v>
      </c>
      <c r="L2265" s="1" t="s">
        <v>5108</v>
      </c>
      <c r="M2265" s="1">
        <v>63</v>
      </c>
      <c r="N2265" s="1" t="s">
        <v>1680</v>
      </c>
      <c r="O2265" s="1">
        <v>43.048299999999998</v>
      </c>
      <c r="P2265" s="1">
        <v>-78.853899999999996</v>
      </c>
      <c r="Q2265" s="1" t="s">
        <v>5289</v>
      </c>
      <c r="T2265" s="1" t="s">
        <v>71</v>
      </c>
      <c r="U2265" s="1" t="s">
        <v>44</v>
      </c>
      <c r="V2265" s="1" t="s">
        <v>94</v>
      </c>
      <c r="X2265" s="1" t="s">
        <v>1606</v>
      </c>
      <c r="AA2265" s="3">
        <v>34220</v>
      </c>
      <c r="AB2265" s="1" t="s">
        <v>46</v>
      </c>
      <c r="AC2265" s="5">
        <v>650</v>
      </c>
      <c r="AD2265" s="1" t="s">
        <v>5290</v>
      </c>
      <c r="AE2265" s="1" t="str">
        <f t="shared" si="165"/>
        <v>54131 NTCT1</v>
      </c>
      <c r="AF2265" s="14">
        <f>MID(AD2265,FIND("(",AD2265)+1,FIND(")",AD2265)-FIND("(",AD2265)-1)+17</f>
        <v>55.3</v>
      </c>
      <c r="AG2265" s="1" t="str">
        <f t="shared" si="164"/>
        <v/>
      </c>
    </row>
    <row r="2266" spans="1:33" x14ac:dyDescent="0.2">
      <c r="A2266" s="1" t="s">
        <v>2089</v>
      </c>
      <c r="B2266" s="1" t="s">
        <v>5291</v>
      </c>
      <c r="C2266" s="1">
        <v>54149</v>
      </c>
      <c r="D2266" s="1">
        <v>1</v>
      </c>
      <c r="F2266" s="1">
        <v>2023</v>
      </c>
      <c r="G2266" s="1" t="s">
        <v>1528</v>
      </c>
      <c r="H2266" s="1">
        <v>3292</v>
      </c>
      <c r="I2266" s="1">
        <v>2</v>
      </c>
      <c r="K2266" s="1" t="s">
        <v>2257</v>
      </c>
      <c r="L2266" s="1" t="s">
        <v>2258</v>
      </c>
      <c r="M2266" s="1">
        <v>103</v>
      </c>
      <c r="N2266" s="1" t="s">
        <v>1680</v>
      </c>
      <c r="O2266" s="1">
        <v>40.916800000000002</v>
      </c>
      <c r="P2266" s="1">
        <v>-73.129199999999997</v>
      </c>
      <c r="Q2266" s="1" t="s">
        <v>5292</v>
      </c>
      <c r="T2266" s="1" t="s">
        <v>93</v>
      </c>
      <c r="U2266" s="1" t="s">
        <v>44</v>
      </c>
      <c r="V2266" s="1" t="s">
        <v>94</v>
      </c>
      <c r="X2266" s="1" t="s">
        <v>95</v>
      </c>
      <c r="AA2266" s="3">
        <v>34790</v>
      </c>
      <c r="AB2266" s="1" t="s">
        <v>46</v>
      </c>
      <c r="AC2266" s="5">
        <v>670</v>
      </c>
      <c r="AD2266" s="1" t="s">
        <v>5293</v>
      </c>
      <c r="AE2266" s="1" t="str">
        <f t="shared" si="165"/>
        <v>54149 1</v>
      </c>
      <c r="AF2266" s="5" t="str">
        <f>MID(AD2266,FIND("(",AD2266)+1,FIND(")",AD2266)-FIND("(",AD2266)-1)</f>
        <v>42</v>
      </c>
      <c r="AG2266" s="1" t="str">
        <f t="shared" si="164"/>
        <v/>
      </c>
    </row>
    <row r="2267" spans="1:33" x14ac:dyDescent="0.2">
      <c r="A2267" s="1" t="s">
        <v>370</v>
      </c>
      <c r="B2267" s="1" t="s">
        <v>5294</v>
      </c>
      <c r="C2267" s="1">
        <v>54238</v>
      </c>
      <c r="D2267" s="1" t="s">
        <v>5295</v>
      </c>
      <c r="F2267" s="1">
        <v>2023</v>
      </c>
      <c r="G2267" s="1" t="s">
        <v>247</v>
      </c>
      <c r="H2267" s="1">
        <v>603212</v>
      </c>
      <c r="I2267" s="1">
        <v>9</v>
      </c>
      <c r="K2267" s="1" t="s">
        <v>4114</v>
      </c>
      <c r="L2267" s="1" t="s">
        <v>4115</v>
      </c>
      <c r="M2267" s="1">
        <v>77</v>
      </c>
      <c r="N2267" s="1" t="s">
        <v>39</v>
      </c>
      <c r="O2267" s="1">
        <v>37.941600000000001</v>
      </c>
      <c r="P2267" s="1">
        <v>-121.32729999999999</v>
      </c>
      <c r="Q2267" s="1" t="s">
        <v>5296</v>
      </c>
      <c r="R2267" s="1" t="s">
        <v>41</v>
      </c>
      <c r="T2267" s="1" t="s">
        <v>1660</v>
      </c>
      <c r="U2267" s="1" t="s">
        <v>657</v>
      </c>
      <c r="W2267" s="1" t="s">
        <v>241</v>
      </c>
      <c r="X2267" s="1" t="s">
        <v>223</v>
      </c>
      <c r="Y2267" s="1" t="s">
        <v>58</v>
      </c>
      <c r="AA2267" s="3">
        <v>41573</v>
      </c>
      <c r="AB2267" s="1" t="s">
        <v>46</v>
      </c>
      <c r="AC2267" s="5">
        <v>780</v>
      </c>
      <c r="AD2267" s="1" t="s">
        <v>5297</v>
      </c>
      <c r="AE2267" s="1" t="str">
        <f t="shared" si="165"/>
        <v>54238 BIOMS1</v>
      </c>
      <c r="AF2267" s="5" t="str">
        <f>MID(AD2267,FIND("(",AD2267)+1,FIND(")",AD2267)-FIND("(",AD2267)-1)</f>
        <v>49.9</v>
      </c>
      <c r="AG2267" s="1" t="str">
        <f t="shared" si="164"/>
        <v>Y</v>
      </c>
    </row>
    <row r="2268" spans="1:33" x14ac:dyDescent="0.2">
      <c r="A2268" s="1" t="s">
        <v>1903</v>
      </c>
      <c r="B2268" s="1" t="s">
        <v>5298</v>
      </c>
      <c r="C2268" s="1">
        <v>54271</v>
      </c>
      <c r="D2268" s="1" t="s">
        <v>5299</v>
      </c>
      <c r="F2268" s="1">
        <v>2023</v>
      </c>
      <c r="G2268" s="1" t="s">
        <v>247</v>
      </c>
      <c r="H2268" s="1" t="s">
        <v>5300</v>
      </c>
      <c r="I2268" s="1">
        <v>9</v>
      </c>
      <c r="J2268" s="1" t="s">
        <v>237</v>
      </c>
      <c r="K2268" s="1" t="s">
        <v>170</v>
      </c>
      <c r="L2268" s="1" t="s">
        <v>1906</v>
      </c>
      <c r="M2268" s="1">
        <v>3</v>
      </c>
      <c r="N2268" s="1" t="s">
        <v>39</v>
      </c>
      <c r="O2268" s="1">
        <v>36.042200000000001</v>
      </c>
      <c r="P2268" s="1">
        <v>-115.01179999999999</v>
      </c>
      <c r="Q2268" s="1" t="s">
        <v>5301</v>
      </c>
      <c r="R2268" s="1" t="s">
        <v>41</v>
      </c>
      <c r="T2268" s="1" t="s">
        <v>71</v>
      </c>
      <c r="U2268" s="1" t="s">
        <v>44</v>
      </c>
      <c r="X2268" s="1" t="s">
        <v>4050</v>
      </c>
      <c r="AA2268" s="3">
        <v>33587</v>
      </c>
      <c r="AB2268" s="1" t="s">
        <v>46</v>
      </c>
      <c r="AC2268" s="5">
        <v>475</v>
      </c>
      <c r="AD2268" s="1" t="s">
        <v>5302</v>
      </c>
      <c r="AE2268" s="1" t="str">
        <f t="shared" si="165"/>
        <v>54271 A01</v>
      </c>
      <c r="AF2268" s="14">
        <f>MID(AD2268,FIND("(",AD2268)+1,FIND(")",AD2268)-FIND("(",AD2268)-1)+29.1/2</f>
        <v>49.55</v>
      </c>
      <c r="AG2268" s="1" t="str">
        <f t="shared" si="164"/>
        <v>Y</v>
      </c>
    </row>
    <row r="2269" spans="1:33" x14ac:dyDescent="0.2">
      <c r="A2269" s="1" t="s">
        <v>1903</v>
      </c>
      <c r="B2269" s="1" t="s">
        <v>5298</v>
      </c>
      <c r="C2269" s="1">
        <v>54271</v>
      </c>
      <c r="D2269" s="1" t="s">
        <v>5303</v>
      </c>
      <c r="F2269" s="1">
        <v>2023</v>
      </c>
      <c r="G2269" s="1" t="s">
        <v>247</v>
      </c>
      <c r="H2269" s="1" t="s">
        <v>5300</v>
      </c>
      <c r="I2269" s="1">
        <v>9</v>
      </c>
      <c r="J2269" s="1" t="s">
        <v>237</v>
      </c>
      <c r="K2269" s="1" t="s">
        <v>170</v>
      </c>
      <c r="L2269" s="1" t="s">
        <v>1906</v>
      </c>
      <c r="M2269" s="1">
        <v>3</v>
      </c>
      <c r="N2269" s="1" t="s">
        <v>39</v>
      </c>
      <c r="O2269" s="1">
        <v>36.042200000000001</v>
      </c>
      <c r="P2269" s="1">
        <v>-115.01179999999999</v>
      </c>
      <c r="Q2269" s="1" t="s">
        <v>5301</v>
      </c>
      <c r="R2269" s="1" t="s">
        <v>41</v>
      </c>
      <c r="T2269" s="1" t="s">
        <v>71</v>
      </c>
      <c r="U2269" s="1" t="s">
        <v>44</v>
      </c>
      <c r="X2269" s="1" t="s">
        <v>4050</v>
      </c>
      <c r="AA2269" s="3">
        <v>33587</v>
      </c>
      <c r="AB2269" s="1" t="s">
        <v>46</v>
      </c>
      <c r="AC2269" s="5">
        <v>475</v>
      </c>
      <c r="AD2269" s="1" t="s">
        <v>5304</v>
      </c>
      <c r="AE2269" s="1" t="str">
        <f t="shared" si="165"/>
        <v>54271 A02</v>
      </c>
      <c r="AF2269" s="14">
        <f>AF2268</f>
        <v>49.55</v>
      </c>
      <c r="AG2269" s="1" t="str">
        <f t="shared" si="164"/>
        <v>Y</v>
      </c>
    </row>
    <row r="2270" spans="1:33" x14ac:dyDescent="0.2">
      <c r="A2270" s="1" t="s">
        <v>2680</v>
      </c>
      <c r="B2270" s="1" t="s">
        <v>5305</v>
      </c>
      <c r="C2270" s="1">
        <v>54324</v>
      </c>
      <c r="D2270" s="1">
        <v>3</v>
      </c>
      <c r="F2270" s="1">
        <v>2023</v>
      </c>
      <c r="G2270" s="1" t="s">
        <v>579</v>
      </c>
      <c r="H2270" s="1">
        <v>605624</v>
      </c>
      <c r="I2270" s="1">
        <v>1</v>
      </c>
      <c r="K2270" s="1" t="s">
        <v>2682</v>
      </c>
      <c r="L2270" s="1" t="s">
        <v>2683</v>
      </c>
      <c r="M2270" s="1">
        <v>7</v>
      </c>
      <c r="N2270" s="1" t="s">
        <v>39</v>
      </c>
      <c r="O2270" s="1">
        <v>42.009900000000002</v>
      </c>
      <c r="P2270" s="1">
        <v>-71.670100000000005</v>
      </c>
      <c r="Q2270" s="1" t="s">
        <v>5214</v>
      </c>
      <c r="R2270" s="1" t="s">
        <v>41</v>
      </c>
      <c r="T2270" s="1" t="s">
        <v>71</v>
      </c>
      <c r="U2270" s="1" t="s">
        <v>44</v>
      </c>
      <c r="V2270" s="1" t="s">
        <v>94</v>
      </c>
      <c r="X2270" s="1" t="s">
        <v>176</v>
      </c>
      <c r="AA2270" s="3">
        <v>33512</v>
      </c>
      <c r="AB2270" s="1" t="s">
        <v>46</v>
      </c>
      <c r="AC2270" s="5">
        <v>1650</v>
      </c>
      <c r="AD2270" s="1" t="s">
        <v>5306</v>
      </c>
      <c r="AE2270" s="1" t="str">
        <f t="shared" si="165"/>
        <v>54324 3</v>
      </c>
      <c r="AF2270" s="14">
        <f>AF2271</f>
        <v>127.1</v>
      </c>
      <c r="AG2270" s="1" t="str">
        <f t="shared" si="164"/>
        <v>Y</v>
      </c>
    </row>
    <row r="2271" spans="1:33" x14ac:dyDescent="0.2">
      <c r="A2271" s="1" t="s">
        <v>2680</v>
      </c>
      <c r="B2271" s="1" t="s">
        <v>5305</v>
      </c>
      <c r="C2271" s="1">
        <v>54324</v>
      </c>
      <c r="D2271" s="1">
        <v>4</v>
      </c>
      <c r="F2271" s="1">
        <v>2023</v>
      </c>
      <c r="G2271" s="1" t="s">
        <v>579</v>
      </c>
      <c r="H2271" s="1">
        <v>605624</v>
      </c>
      <c r="I2271" s="1">
        <v>1</v>
      </c>
      <c r="K2271" s="1" t="s">
        <v>2682</v>
      </c>
      <c r="L2271" s="1" t="s">
        <v>2683</v>
      </c>
      <c r="M2271" s="1">
        <v>7</v>
      </c>
      <c r="N2271" s="1" t="s">
        <v>39</v>
      </c>
      <c r="O2271" s="1">
        <v>42.009900000000002</v>
      </c>
      <c r="P2271" s="1">
        <v>-71.670100000000005</v>
      </c>
      <c r="Q2271" s="1" t="s">
        <v>5214</v>
      </c>
      <c r="R2271" s="1" t="s">
        <v>41</v>
      </c>
      <c r="T2271" s="1" t="s">
        <v>71</v>
      </c>
      <c r="U2271" s="1" t="s">
        <v>44</v>
      </c>
      <c r="V2271" s="1" t="s">
        <v>94</v>
      </c>
      <c r="X2271" s="1" t="s">
        <v>176</v>
      </c>
      <c r="AA2271" s="3">
        <v>33512</v>
      </c>
      <c r="AB2271" s="1" t="s">
        <v>46</v>
      </c>
      <c r="AC2271" s="5">
        <v>1650</v>
      </c>
      <c r="AD2271" s="1" t="s">
        <v>5307</v>
      </c>
      <c r="AE2271" s="1" t="str">
        <f t="shared" si="165"/>
        <v>54324 4</v>
      </c>
      <c r="AF2271" s="14">
        <f>MID(AD2271,FIND("(",AD2271)+1,FIND(")",AD2271)-FIND("(",AD2271)-1)+88.6/2</f>
        <v>127.1</v>
      </c>
      <c r="AG2271" s="1" t="str">
        <f t="shared" si="164"/>
        <v>Y</v>
      </c>
    </row>
    <row r="2272" spans="1:33" x14ac:dyDescent="0.2">
      <c r="A2272" s="1" t="s">
        <v>304</v>
      </c>
      <c r="B2272" s="1" t="s">
        <v>5308</v>
      </c>
      <c r="C2272" s="1">
        <v>54365</v>
      </c>
      <c r="D2272" s="1">
        <v>1</v>
      </c>
      <c r="F2272" s="1">
        <v>2023</v>
      </c>
      <c r="G2272" s="1" t="s">
        <v>247</v>
      </c>
      <c r="H2272" s="1">
        <v>603364</v>
      </c>
      <c r="I2272" s="1">
        <v>4</v>
      </c>
      <c r="K2272" s="1" t="s">
        <v>896</v>
      </c>
      <c r="L2272" s="1" t="s">
        <v>897</v>
      </c>
      <c r="M2272" s="1">
        <v>105</v>
      </c>
      <c r="N2272" s="1" t="s">
        <v>1680</v>
      </c>
      <c r="O2272" s="1">
        <v>27.870799999999999</v>
      </c>
      <c r="P2272" s="1">
        <v>-81.825299999999999</v>
      </c>
      <c r="Q2272" s="1" t="s">
        <v>5309</v>
      </c>
      <c r="R2272" s="1" t="s">
        <v>41</v>
      </c>
      <c r="T2272" s="1" t="s">
        <v>71</v>
      </c>
      <c r="U2272" s="1" t="s">
        <v>44</v>
      </c>
      <c r="X2272" s="1" t="s">
        <v>3508</v>
      </c>
      <c r="AA2272" s="3">
        <v>34866</v>
      </c>
      <c r="AB2272" s="1" t="s">
        <v>46</v>
      </c>
      <c r="AC2272" s="5">
        <v>565.29999999999995</v>
      </c>
      <c r="AD2272" s="1" t="s">
        <v>5310</v>
      </c>
      <c r="AE2272" s="1" t="str">
        <f t="shared" si="165"/>
        <v>54365 1</v>
      </c>
      <c r="AF2272" s="14">
        <f>MID(AD2272,FIND("(",AD2272)+1,FIND(")",AD2272)-FIND("(",AD2272)-1)+28.7/2</f>
        <v>68.349999999999994</v>
      </c>
      <c r="AG2272" s="1" t="str">
        <f t="shared" si="164"/>
        <v/>
      </c>
    </row>
    <row r="2273" spans="1:33" x14ac:dyDescent="0.2">
      <c r="A2273" s="1" t="s">
        <v>304</v>
      </c>
      <c r="B2273" s="1" t="s">
        <v>5308</v>
      </c>
      <c r="C2273" s="1">
        <v>54365</v>
      </c>
      <c r="D2273" s="1">
        <v>2</v>
      </c>
      <c r="F2273" s="1">
        <v>2023</v>
      </c>
      <c r="G2273" s="1" t="s">
        <v>247</v>
      </c>
      <c r="H2273" s="1">
        <v>603364</v>
      </c>
      <c r="I2273" s="1">
        <v>4</v>
      </c>
      <c r="K2273" s="1" t="s">
        <v>896</v>
      </c>
      <c r="L2273" s="1" t="s">
        <v>897</v>
      </c>
      <c r="M2273" s="1">
        <v>105</v>
      </c>
      <c r="N2273" s="1" t="s">
        <v>1680</v>
      </c>
      <c r="O2273" s="1">
        <v>27.870799999999999</v>
      </c>
      <c r="P2273" s="1">
        <v>-81.825299999999999</v>
      </c>
      <c r="Q2273" s="1" t="s">
        <v>5309</v>
      </c>
      <c r="R2273" s="1" t="s">
        <v>41</v>
      </c>
      <c r="T2273" s="1" t="s">
        <v>71</v>
      </c>
      <c r="U2273" s="1" t="s">
        <v>44</v>
      </c>
      <c r="X2273" s="1" t="s">
        <v>3508</v>
      </c>
      <c r="AA2273" s="3">
        <v>34866</v>
      </c>
      <c r="AB2273" s="1" t="s">
        <v>46</v>
      </c>
      <c r="AC2273" s="5">
        <v>595.4</v>
      </c>
      <c r="AD2273" s="1" t="s">
        <v>5311</v>
      </c>
      <c r="AE2273" s="1" t="str">
        <f t="shared" si="165"/>
        <v>54365 2</v>
      </c>
      <c r="AF2273" s="14">
        <f>AF2272</f>
        <v>68.349999999999994</v>
      </c>
      <c r="AG2273" s="1" t="str">
        <f t="shared" si="164"/>
        <v/>
      </c>
    </row>
    <row r="2274" spans="1:33" x14ac:dyDescent="0.2">
      <c r="A2274" s="1" t="s">
        <v>1621</v>
      </c>
      <c r="B2274" s="1" t="s">
        <v>5312</v>
      </c>
      <c r="C2274" s="1">
        <v>54415</v>
      </c>
      <c r="D2274" s="1" t="s">
        <v>5313</v>
      </c>
      <c r="F2274" s="1">
        <v>2023</v>
      </c>
      <c r="G2274" s="1" t="s">
        <v>1020</v>
      </c>
      <c r="H2274" s="1" t="s">
        <v>5314</v>
      </c>
      <c r="I2274" s="1">
        <v>5</v>
      </c>
      <c r="K2274" s="1" t="s">
        <v>5315</v>
      </c>
      <c r="L2274" s="1" t="s">
        <v>5316</v>
      </c>
      <c r="M2274" s="1">
        <v>165</v>
      </c>
      <c r="N2274" s="1" t="s">
        <v>1031</v>
      </c>
      <c r="O2274" s="1">
        <v>44.263399999999997</v>
      </c>
      <c r="P2274" s="1">
        <v>-85.434799999999996</v>
      </c>
      <c r="Q2274" s="1" t="s">
        <v>5317</v>
      </c>
      <c r="T2274" s="1" t="s">
        <v>1660</v>
      </c>
      <c r="U2274" s="1" t="s">
        <v>657</v>
      </c>
      <c r="X2274" s="1" t="s">
        <v>669</v>
      </c>
      <c r="Y2274" s="1" t="s">
        <v>658</v>
      </c>
      <c r="AA2274" s="3">
        <v>34166</v>
      </c>
      <c r="AB2274" s="1" t="s">
        <v>46</v>
      </c>
      <c r="AC2274" s="5">
        <v>650</v>
      </c>
      <c r="AD2274" s="1" t="s">
        <v>5318</v>
      </c>
      <c r="AE2274" s="1" t="str">
        <f t="shared" si="165"/>
        <v>54415 EUBLR</v>
      </c>
      <c r="AF2274" s="5" t="str">
        <f>MID(AD2274,FIND("(",AD2274)+1,FIND(")",AD2274)-FIND("(",AD2274)-1)</f>
        <v>40</v>
      </c>
      <c r="AG2274" s="1" t="str">
        <f t="shared" si="164"/>
        <v>Y</v>
      </c>
    </row>
    <row r="2275" spans="1:33" x14ac:dyDescent="0.2">
      <c r="A2275" s="1" t="s">
        <v>304</v>
      </c>
      <c r="B2275" s="1" t="s">
        <v>5319</v>
      </c>
      <c r="C2275" s="1">
        <v>54426</v>
      </c>
      <c r="D2275" s="1">
        <v>1</v>
      </c>
      <c r="F2275" s="1">
        <v>2023</v>
      </c>
      <c r="G2275" s="1" t="s">
        <v>247</v>
      </c>
      <c r="H2275" s="1">
        <v>603364</v>
      </c>
      <c r="I2275" s="1">
        <v>4</v>
      </c>
      <c r="K2275" s="1" t="s">
        <v>896</v>
      </c>
      <c r="L2275" s="1" t="s">
        <v>897</v>
      </c>
      <c r="M2275" s="1">
        <v>105</v>
      </c>
      <c r="N2275" s="1" t="s">
        <v>1680</v>
      </c>
      <c r="O2275" s="1">
        <v>27.8489</v>
      </c>
      <c r="P2275" s="1">
        <v>-81.877499999999998</v>
      </c>
      <c r="Q2275" s="1" t="s">
        <v>5320</v>
      </c>
      <c r="R2275" s="1" t="s">
        <v>41</v>
      </c>
      <c r="T2275" s="1" t="s">
        <v>71</v>
      </c>
      <c r="U2275" s="1" t="s">
        <v>44</v>
      </c>
      <c r="V2275" s="1" t="s">
        <v>94</v>
      </c>
      <c r="X2275" s="1" t="s">
        <v>140</v>
      </c>
      <c r="AA2275" s="3">
        <v>34556</v>
      </c>
      <c r="AB2275" s="1" t="s">
        <v>46</v>
      </c>
      <c r="AC2275" s="5">
        <v>1077</v>
      </c>
      <c r="AD2275" s="1" t="s">
        <v>5321</v>
      </c>
      <c r="AE2275" s="1" t="str">
        <f t="shared" si="165"/>
        <v>54426 1</v>
      </c>
      <c r="AF2275" s="14">
        <f>MID(AD2275,FIND("(",AD2275)+1,FIND(")",AD2275)-FIND("(",AD2275)-1)+82</f>
        <v>131.5</v>
      </c>
      <c r="AG2275" s="1" t="str">
        <f t="shared" si="164"/>
        <v/>
      </c>
    </row>
    <row r="2276" spans="1:33" x14ac:dyDescent="0.2">
      <c r="A2276" s="1" t="s">
        <v>304</v>
      </c>
      <c r="B2276" s="1" t="s">
        <v>5322</v>
      </c>
      <c r="C2276" s="1">
        <v>54466</v>
      </c>
      <c r="D2276" s="1">
        <v>1</v>
      </c>
      <c r="F2276" s="1">
        <v>2023</v>
      </c>
      <c r="G2276" s="1" t="s">
        <v>247</v>
      </c>
      <c r="H2276" s="1">
        <v>2865</v>
      </c>
      <c r="I2276" s="1">
        <v>4</v>
      </c>
      <c r="K2276" s="1" t="s">
        <v>418</v>
      </c>
      <c r="L2276" s="1" t="s">
        <v>634</v>
      </c>
      <c r="M2276" s="1">
        <v>95</v>
      </c>
      <c r="N2276" s="1" t="s">
        <v>1680</v>
      </c>
      <c r="O2276" s="1">
        <v>28.4422</v>
      </c>
      <c r="P2276" s="1">
        <v>-81.411900000000003</v>
      </c>
      <c r="Q2276" s="1" t="s">
        <v>5323</v>
      </c>
      <c r="R2276" s="1" t="s">
        <v>41</v>
      </c>
      <c r="T2276" s="1" t="s">
        <v>71</v>
      </c>
      <c r="U2276" s="1" t="s">
        <v>44</v>
      </c>
      <c r="X2276" s="1" t="s">
        <v>140</v>
      </c>
      <c r="AA2276" s="3">
        <v>34237</v>
      </c>
      <c r="AB2276" s="1" t="s">
        <v>46</v>
      </c>
      <c r="AC2276" s="5">
        <v>1256</v>
      </c>
      <c r="AD2276" s="1" t="s">
        <v>5324</v>
      </c>
      <c r="AE2276" s="1" t="str">
        <f t="shared" si="165"/>
        <v>54466 1</v>
      </c>
      <c r="AF2276" s="5" t="str">
        <f>MID(AD2276,FIND("(",AD2276)+1,FIND(")",AD2276)-FIND("(",AD2276)-1)</f>
        <v>144</v>
      </c>
      <c r="AG2276" s="1" t="str">
        <f t="shared" si="164"/>
        <v/>
      </c>
    </row>
    <row r="2277" spans="1:33" x14ac:dyDescent="0.2">
      <c r="A2277" s="1" t="s">
        <v>690</v>
      </c>
      <c r="B2277" s="1" t="s">
        <v>5325</v>
      </c>
      <c r="C2277" s="1">
        <v>54476</v>
      </c>
      <c r="D2277" s="1" t="s">
        <v>1296</v>
      </c>
      <c r="F2277" s="1">
        <v>2023</v>
      </c>
      <c r="G2277" s="1" t="s">
        <v>247</v>
      </c>
      <c r="H2277" s="1" t="s">
        <v>692</v>
      </c>
      <c r="I2277" s="1">
        <v>10</v>
      </c>
      <c r="K2277" s="1" t="s">
        <v>4400</v>
      </c>
      <c r="L2277" s="1" t="s">
        <v>4401</v>
      </c>
      <c r="M2277" s="1">
        <v>73</v>
      </c>
      <c r="N2277" s="1" t="s">
        <v>39</v>
      </c>
      <c r="O2277" s="1">
        <v>48.990499999999997</v>
      </c>
      <c r="P2277" s="1">
        <v>-122.27330000000001</v>
      </c>
      <c r="Q2277" s="1" t="s">
        <v>695</v>
      </c>
      <c r="R2277" s="1" t="s">
        <v>41</v>
      </c>
      <c r="T2277" s="1" t="s">
        <v>71</v>
      </c>
      <c r="U2277" s="1" t="s">
        <v>284</v>
      </c>
      <c r="X2277" s="1" t="s">
        <v>4050</v>
      </c>
      <c r="AA2277" s="3">
        <v>34075</v>
      </c>
      <c r="AB2277" s="1" t="s">
        <v>46</v>
      </c>
      <c r="AC2277" s="5">
        <v>1200</v>
      </c>
      <c r="AD2277" s="1" t="s">
        <v>5326</v>
      </c>
      <c r="AE2277" s="1" t="str">
        <f t="shared" si="165"/>
        <v>54476 CT-1</v>
      </c>
      <c r="AF2277" s="14">
        <f>MID(AD2277,FIND("(",AD2277)+1,FIND(")",AD2277)-FIND("(",AD2277)-1)+87.8</f>
        <v>125.5</v>
      </c>
      <c r="AG2277" s="1" t="str">
        <f t="shared" si="164"/>
        <v>Y</v>
      </c>
    </row>
    <row r="2278" spans="1:33" x14ac:dyDescent="0.2">
      <c r="A2278" s="1" t="s">
        <v>690</v>
      </c>
      <c r="B2278" s="1" t="s">
        <v>5327</v>
      </c>
      <c r="C2278" s="1">
        <v>54537</v>
      </c>
      <c r="D2278" s="1" t="s">
        <v>5328</v>
      </c>
      <c r="F2278" s="1">
        <v>2023</v>
      </c>
      <c r="G2278" s="1" t="s">
        <v>247</v>
      </c>
      <c r="H2278" s="1">
        <v>610011</v>
      </c>
      <c r="I2278" s="1">
        <v>10</v>
      </c>
      <c r="K2278" s="1" t="s">
        <v>4400</v>
      </c>
      <c r="L2278" s="1" t="s">
        <v>4401</v>
      </c>
      <c r="M2278" s="1">
        <v>73</v>
      </c>
      <c r="N2278" s="1" t="s">
        <v>39</v>
      </c>
      <c r="O2278" s="1">
        <v>48.828299999999999</v>
      </c>
      <c r="P2278" s="1">
        <v>-122.6853</v>
      </c>
      <c r="Q2278" s="1" t="s">
        <v>5329</v>
      </c>
      <c r="R2278" s="1" t="s">
        <v>41</v>
      </c>
      <c r="T2278" s="1" t="s">
        <v>71</v>
      </c>
      <c r="U2278" s="1" t="s">
        <v>284</v>
      </c>
      <c r="V2278" s="1" t="s">
        <v>94</v>
      </c>
      <c r="X2278" s="1" t="s">
        <v>4050</v>
      </c>
      <c r="AA2278" s="3">
        <v>34425</v>
      </c>
      <c r="AB2278" s="1" t="s">
        <v>46</v>
      </c>
      <c r="AC2278" s="5">
        <v>1780</v>
      </c>
      <c r="AD2278" s="1" t="s">
        <v>5330</v>
      </c>
      <c r="AE2278" s="1" t="str">
        <f t="shared" si="165"/>
        <v>54537 CT-1A</v>
      </c>
      <c r="AF2278" s="14">
        <f>AF2279</f>
        <v>142.75</v>
      </c>
      <c r="AG2278" s="1" t="str">
        <f t="shared" si="164"/>
        <v>Y</v>
      </c>
    </row>
    <row r="2279" spans="1:33" x14ac:dyDescent="0.2">
      <c r="A2279" s="1" t="s">
        <v>690</v>
      </c>
      <c r="B2279" s="1" t="s">
        <v>5327</v>
      </c>
      <c r="C2279" s="1">
        <v>54537</v>
      </c>
      <c r="D2279" s="1" t="s">
        <v>5331</v>
      </c>
      <c r="F2279" s="1">
        <v>2023</v>
      </c>
      <c r="G2279" s="1" t="s">
        <v>247</v>
      </c>
      <c r="H2279" s="1">
        <v>610011</v>
      </c>
      <c r="I2279" s="1">
        <v>10</v>
      </c>
      <c r="K2279" s="1" t="s">
        <v>4400</v>
      </c>
      <c r="L2279" s="1" t="s">
        <v>4401</v>
      </c>
      <c r="M2279" s="1">
        <v>73</v>
      </c>
      <c r="N2279" s="1" t="s">
        <v>39</v>
      </c>
      <c r="O2279" s="1">
        <v>48.828299999999999</v>
      </c>
      <c r="P2279" s="1">
        <v>-122.6853</v>
      </c>
      <c r="Q2279" s="1" t="s">
        <v>5329</v>
      </c>
      <c r="R2279" s="1" t="s">
        <v>41</v>
      </c>
      <c r="T2279" s="1" t="s">
        <v>71</v>
      </c>
      <c r="U2279" s="1" t="s">
        <v>284</v>
      </c>
      <c r="V2279" s="1" t="s">
        <v>94</v>
      </c>
      <c r="X2279" s="1" t="s">
        <v>4050</v>
      </c>
      <c r="AA2279" s="3">
        <v>34425</v>
      </c>
      <c r="AB2279" s="1" t="s">
        <v>46</v>
      </c>
      <c r="AC2279" s="5">
        <v>1780</v>
      </c>
      <c r="AD2279" s="1" t="s">
        <v>5332</v>
      </c>
      <c r="AE2279" s="1" t="str">
        <f t="shared" si="165"/>
        <v>54537 CT-1B</v>
      </c>
      <c r="AF2279" s="14">
        <f>MID(AD2279,FIND("(",AD2279)+1,FIND(")",AD2279)-FIND("(",AD2279)-1)+93.7/2</f>
        <v>142.75</v>
      </c>
      <c r="AG2279" s="1" t="str">
        <f t="shared" si="164"/>
        <v>Y</v>
      </c>
    </row>
    <row r="2280" spans="1:33" x14ac:dyDescent="0.2">
      <c r="A2280" s="1" t="s">
        <v>2089</v>
      </c>
      <c r="B2280" s="1" t="s">
        <v>3800</v>
      </c>
      <c r="C2280" s="1">
        <v>54547</v>
      </c>
      <c r="D2280" s="1">
        <v>1</v>
      </c>
      <c r="F2280" s="1">
        <v>2023</v>
      </c>
      <c r="G2280" s="1" t="s">
        <v>1515</v>
      </c>
      <c r="H2280" s="1">
        <v>603383</v>
      </c>
      <c r="I2280" s="1">
        <v>2</v>
      </c>
      <c r="K2280" s="1" t="s">
        <v>2288</v>
      </c>
      <c r="L2280" s="1" t="s">
        <v>2289</v>
      </c>
      <c r="M2280" s="1">
        <v>75</v>
      </c>
      <c r="N2280" s="1" t="s">
        <v>1680</v>
      </c>
      <c r="O2280" s="1">
        <v>43.494999999999997</v>
      </c>
      <c r="P2280" s="1">
        <v>-76.450800000000001</v>
      </c>
      <c r="Q2280" s="1" t="s">
        <v>5333</v>
      </c>
      <c r="R2280" s="1" t="s">
        <v>41</v>
      </c>
      <c r="T2280" s="1" t="s">
        <v>71</v>
      </c>
      <c r="U2280" s="1" t="s">
        <v>44</v>
      </c>
      <c r="X2280" s="1" t="s">
        <v>64</v>
      </c>
      <c r="AA2280" s="3">
        <v>34608</v>
      </c>
      <c r="AB2280" s="1" t="s">
        <v>46</v>
      </c>
      <c r="AC2280" s="5">
        <v>2162</v>
      </c>
      <c r="AD2280" s="1" t="s">
        <v>5334</v>
      </c>
      <c r="AE2280" s="1" t="str">
        <f t="shared" si="165"/>
        <v>54547 1</v>
      </c>
      <c r="AF2280" s="14">
        <f>MID(AD2280,FIND("(",AD2280)+1,FIND(")",AD2280)-FIND("(",AD2280)-1)+204.5/2</f>
        <v>271.45</v>
      </c>
      <c r="AG2280" s="1" t="str">
        <f t="shared" si="164"/>
        <v>Y</v>
      </c>
    </row>
    <row r="2281" spans="1:33" x14ac:dyDescent="0.2">
      <c r="A2281" s="1" t="s">
        <v>2089</v>
      </c>
      <c r="B2281" s="1" t="s">
        <v>3800</v>
      </c>
      <c r="C2281" s="1">
        <v>54547</v>
      </c>
      <c r="D2281" s="1">
        <v>2</v>
      </c>
      <c r="F2281" s="1">
        <v>2023</v>
      </c>
      <c r="G2281" s="1" t="s">
        <v>1515</v>
      </c>
      <c r="H2281" s="1">
        <v>603383</v>
      </c>
      <c r="I2281" s="1">
        <v>2</v>
      </c>
      <c r="K2281" s="1" t="s">
        <v>2288</v>
      </c>
      <c r="L2281" s="1" t="s">
        <v>2289</v>
      </c>
      <c r="M2281" s="1">
        <v>75</v>
      </c>
      <c r="N2281" s="1" t="s">
        <v>1680</v>
      </c>
      <c r="O2281" s="1">
        <v>43.494999999999997</v>
      </c>
      <c r="P2281" s="1">
        <v>-76.450800000000001</v>
      </c>
      <c r="Q2281" s="1" t="s">
        <v>5333</v>
      </c>
      <c r="R2281" s="1" t="s">
        <v>41</v>
      </c>
      <c r="T2281" s="1" t="s">
        <v>71</v>
      </c>
      <c r="U2281" s="1" t="s">
        <v>44</v>
      </c>
      <c r="X2281" s="1" t="s">
        <v>64</v>
      </c>
      <c r="AA2281" s="3">
        <v>34578</v>
      </c>
      <c r="AB2281" s="1" t="s">
        <v>46</v>
      </c>
      <c r="AC2281" s="5">
        <v>2162</v>
      </c>
      <c r="AD2281" s="1" t="s">
        <v>5335</v>
      </c>
      <c r="AE2281" s="1" t="str">
        <f t="shared" si="165"/>
        <v>54547 2</v>
      </c>
      <c r="AF2281" s="14">
        <f>AF2280</f>
        <v>271.45</v>
      </c>
      <c r="AG2281" s="1" t="str">
        <f t="shared" si="164"/>
        <v>Y</v>
      </c>
    </row>
    <row r="2282" spans="1:33" x14ac:dyDescent="0.2">
      <c r="A2282" s="1" t="s">
        <v>2089</v>
      </c>
      <c r="B2282" s="1" t="s">
        <v>3800</v>
      </c>
      <c r="C2282" s="1">
        <v>54547</v>
      </c>
      <c r="D2282" s="1">
        <v>3</v>
      </c>
      <c r="F2282" s="1">
        <v>2023</v>
      </c>
      <c r="G2282" s="1" t="s">
        <v>1515</v>
      </c>
      <c r="H2282" s="1">
        <v>603383</v>
      </c>
      <c r="I2282" s="1">
        <v>2</v>
      </c>
      <c r="K2282" s="1" t="s">
        <v>2288</v>
      </c>
      <c r="L2282" s="1" t="s">
        <v>2289</v>
      </c>
      <c r="M2282" s="1">
        <v>75</v>
      </c>
      <c r="N2282" s="1" t="s">
        <v>1680</v>
      </c>
      <c r="O2282" s="1">
        <v>43.494999999999997</v>
      </c>
      <c r="P2282" s="1">
        <v>-76.450800000000001</v>
      </c>
      <c r="Q2282" s="1" t="s">
        <v>5333</v>
      </c>
      <c r="R2282" s="1" t="s">
        <v>41</v>
      </c>
      <c r="T2282" s="1" t="s">
        <v>71</v>
      </c>
      <c r="U2282" s="1" t="s">
        <v>44</v>
      </c>
      <c r="X2282" s="1" t="s">
        <v>64</v>
      </c>
      <c r="AA2282" s="3">
        <v>34547</v>
      </c>
      <c r="AB2282" s="1" t="s">
        <v>46</v>
      </c>
      <c r="AC2282" s="5">
        <v>2162</v>
      </c>
      <c r="AD2282" s="1" t="s">
        <v>5336</v>
      </c>
      <c r="AE2282" s="1" t="str">
        <f t="shared" si="165"/>
        <v>54547 3</v>
      </c>
      <c r="AF2282" s="14">
        <f>MID(AD2282,FIND("(",AD2282)+1,FIND(")",AD2282)-FIND("(",AD2282)-1)+204.5/2</f>
        <v>271.45</v>
      </c>
      <c r="AG2282" s="1" t="str">
        <f t="shared" si="164"/>
        <v>Y</v>
      </c>
    </row>
    <row r="2283" spans="1:33" x14ac:dyDescent="0.2">
      <c r="A2283" s="1" t="s">
        <v>2089</v>
      </c>
      <c r="B2283" s="1" t="s">
        <v>3800</v>
      </c>
      <c r="C2283" s="1">
        <v>54547</v>
      </c>
      <c r="D2283" s="1">
        <v>4</v>
      </c>
      <c r="F2283" s="1">
        <v>2023</v>
      </c>
      <c r="G2283" s="1" t="s">
        <v>1515</v>
      </c>
      <c r="H2283" s="1">
        <v>603383</v>
      </c>
      <c r="I2283" s="1">
        <v>2</v>
      </c>
      <c r="K2283" s="1" t="s">
        <v>2288</v>
      </c>
      <c r="L2283" s="1" t="s">
        <v>2289</v>
      </c>
      <c r="M2283" s="1">
        <v>75</v>
      </c>
      <c r="N2283" s="1" t="s">
        <v>1680</v>
      </c>
      <c r="O2283" s="1">
        <v>43.494999999999997</v>
      </c>
      <c r="P2283" s="1">
        <v>-76.450800000000001</v>
      </c>
      <c r="Q2283" s="1" t="s">
        <v>5333</v>
      </c>
      <c r="R2283" s="1" t="s">
        <v>41</v>
      </c>
      <c r="T2283" s="1" t="s">
        <v>71</v>
      </c>
      <c r="U2283" s="1" t="s">
        <v>44</v>
      </c>
      <c r="X2283" s="1" t="s">
        <v>64</v>
      </c>
      <c r="AA2283" s="3">
        <v>34547</v>
      </c>
      <c r="AB2283" s="1" t="s">
        <v>46</v>
      </c>
      <c r="AC2283" s="5">
        <v>2162</v>
      </c>
      <c r="AD2283" s="1" t="s">
        <v>5337</v>
      </c>
      <c r="AE2283" s="1" t="str">
        <f t="shared" si="165"/>
        <v>54547 4</v>
      </c>
      <c r="AF2283" s="14">
        <f>AF2282</f>
        <v>271.45</v>
      </c>
      <c r="AG2283" s="1" t="str">
        <f t="shared" si="164"/>
        <v>Y</v>
      </c>
    </row>
    <row r="2284" spans="1:33" x14ac:dyDescent="0.2">
      <c r="A2284" s="1" t="s">
        <v>2089</v>
      </c>
      <c r="B2284" s="1" t="s">
        <v>5338</v>
      </c>
      <c r="C2284" s="1">
        <v>54574</v>
      </c>
      <c r="D2284" s="1">
        <v>1</v>
      </c>
      <c r="F2284" s="1">
        <v>2023</v>
      </c>
      <c r="G2284" s="1" t="s">
        <v>1515</v>
      </c>
      <c r="H2284" s="1">
        <v>607918</v>
      </c>
      <c r="I2284" s="1">
        <v>2</v>
      </c>
      <c r="K2284" s="1" t="s">
        <v>5339</v>
      </c>
      <c r="L2284" s="1" t="s">
        <v>5340</v>
      </c>
      <c r="M2284" s="1">
        <v>19</v>
      </c>
      <c r="N2284" s="1" t="s">
        <v>1680</v>
      </c>
      <c r="O2284" s="1">
        <v>44.713200000000001</v>
      </c>
      <c r="P2284" s="1">
        <v>-73.455699999999993</v>
      </c>
      <c r="Q2284" s="1" t="s">
        <v>5341</v>
      </c>
      <c r="R2284" s="1" t="s">
        <v>41</v>
      </c>
      <c r="T2284" s="1" t="s">
        <v>71</v>
      </c>
      <c r="U2284" s="1" t="s">
        <v>44</v>
      </c>
      <c r="X2284" s="1" t="s">
        <v>223</v>
      </c>
      <c r="AA2284" s="3">
        <v>34506</v>
      </c>
      <c r="AB2284" s="1" t="s">
        <v>46</v>
      </c>
      <c r="AC2284" s="5">
        <v>1676</v>
      </c>
      <c r="AD2284" s="1" t="s">
        <v>5342</v>
      </c>
      <c r="AE2284" s="1" t="str">
        <f t="shared" si="165"/>
        <v>54574 1</v>
      </c>
      <c r="AF2284" s="14">
        <f>MID(AD2284,FIND("(",AD2284)+1,FIND(")",AD2284)-FIND("(",AD2284)-1)+95.2/2</f>
        <v>142.80000000000001</v>
      </c>
      <c r="AG2284" s="1" t="str">
        <f t="shared" si="164"/>
        <v>Y</v>
      </c>
    </row>
    <row r="2285" spans="1:33" x14ac:dyDescent="0.2">
      <c r="A2285" s="1" t="s">
        <v>2089</v>
      </c>
      <c r="B2285" s="1" t="s">
        <v>5338</v>
      </c>
      <c r="C2285" s="1">
        <v>54574</v>
      </c>
      <c r="D2285" s="1">
        <v>2</v>
      </c>
      <c r="F2285" s="1">
        <v>2023</v>
      </c>
      <c r="G2285" s="1" t="s">
        <v>1515</v>
      </c>
      <c r="H2285" s="1">
        <v>607918</v>
      </c>
      <c r="I2285" s="1">
        <v>2</v>
      </c>
      <c r="K2285" s="1" t="s">
        <v>5339</v>
      </c>
      <c r="L2285" s="1" t="s">
        <v>5340</v>
      </c>
      <c r="M2285" s="1">
        <v>19</v>
      </c>
      <c r="N2285" s="1" t="s">
        <v>1680</v>
      </c>
      <c r="O2285" s="1">
        <v>44.713200000000001</v>
      </c>
      <c r="P2285" s="1">
        <v>-73.455699999999993</v>
      </c>
      <c r="Q2285" s="1" t="s">
        <v>5341</v>
      </c>
      <c r="R2285" s="1" t="s">
        <v>41</v>
      </c>
      <c r="T2285" s="1" t="s">
        <v>71</v>
      </c>
      <c r="U2285" s="1" t="s">
        <v>44</v>
      </c>
      <c r="X2285" s="1" t="s">
        <v>223</v>
      </c>
      <c r="AA2285" s="3">
        <v>34506</v>
      </c>
      <c r="AB2285" s="1" t="s">
        <v>46</v>
      </c>
      <c r="AC2285" s="5">
        <v>1676</v>
      </c>
      <c r="AD2285" s="1" t="s">
        <v>5343</v>
      </c>
      <c r="AE2285" s="1" t="str">
        <f t="shared" si="165"/>
        <v>54574 2</v>
      </c>
      <c r="AF2285" s="14">
        <f>AF2284</f>
        <v>142.80000000000001</v>
      </c>
      <c r="AG2285" s="1" t="str">
        <f t="shared" si="164"/>
        <v>Y</v>
      </c>
    </row>
    <row r="2286" spans="1:33" x14ac:dyDescent="0.2">
      <c r="A2286" s="1" t="s">
        <v>1568</v>
      </c>
      <c r="B2286" s="1" t="s">
        <v>5344</v>
      </c>
      <c r="C2286" s="1">
        <v>54586</v>
      </c>
      <c r="D2286" s="1">
        <v>2</v>
      </c>
      <c r="F2286" s="1">
        <v>2023</v>
      </c>
      <c r="G2286" s="1" t="s">
        <v>579</v>
      </c>
      <c r="H2286" s="1">
        <v>603585</v>
      </c>
      <c r="I2286" s="1">
        <v>1</v>
      </c>
      <c r="J2286" s="1" t="s">
        <v>580</v>
      </c>
      <c r="K2286" s="1" t="s">
        <v>601</v>
      </c>
      <c r="L2286" s="1" t="s">
        <v>1570</v>
      </c>
      <c r="M2286" s="1">
        <v>17</v>
      </c>
      <c r="N2286" s="1" t="s">
        <v>1680</v>
      </c>
      <c r="O2286" s="1">
        <v>42.630800000000001</v>
      </c>
      <c r="P2286" s="1">
        <v>-71.313299999999998</v>
      </c>
      <c r="Q2286" s="1" t="s">
        <v>5345</v>
      </c>
      <c r="R2286" s="1" t="s">
        <v>41</v>
      </c>
      <c r="T2286" s="1" t="s">
        <v>71</v>
      </c>
      <c r="U2286" s="1" t="s">
        <v>44</v>
      </c>
      <c r="V2286" s="1" t="s">
        <v>94</v>
      </c>
      <c r="X2286" s="1" t="s">
        <v>176</v>
      </c>
      <c r="AA2286" s="3">
        <v>39750</v>
      </c>
      <c r="AB2286" s="1" t="s">
        <v>46</v>
      </c>
      <c r="AC2286" s="5">
        <v>705</v>
      </c>
      <c r="AD2286" s="1" t="s">
        <v>5346</v>
      </c>
      <c r="AE2286" s="1" t="str">
        <f t="shared" si="165"/>
        <v>54586 2</v>
      </c>
      <c r="AF2286" s="14">
        <f>MID(AD2286,FIND("(",AD2286)+1,FIND(")",AD2286)-FIND("(",AD2286)-1)+27.9</f>
        <v>85.8</v>
      </c>
      <c r="AG2286" s="1" t="str">
        <f t="shared" si="164"/>
        <v>Y</v>
      </c>
    </row>
    <row r="2287" spans="1:33" x14ac:dyDescent="0.2">
      <c r="A2287" s="1" t="s">
        <v>2089</v>
      </c>
      <c r="B2287" s="1" t="s">
        <v>5347</v>
      </c>
      <c r="C2287" s="1">
        <v>54592</v>
      </c>
      <c r="D2287" s="1">
        <v>1</v>
      </c>
      <c r="F2287" s="1">
        <v>2023</v>
      </c>
      <c r="G2287" s="1" t="s">
        <v>1515</v>
      </c>
      <c r="H2287" s="1">
        <v>602898</v>
      </c>
      <c r="I2287" s="1">
        <v>2</v>
      </c>
      <c r="K2287" s="1" t="s">
        <v>4986</v>
      </c>
      <c r="L2287" s="1" t="s">
        <v>4987</v>
      </c>
      <c r="M2287" s="1">
        <v>89</v>
      </c>
      <c r="N2287" s="1" t="s">
        <v>1680</v>
      </c>
      <c r="O2287" s="1">
        <v>44.950299999999999</v>
      </c>
      <c r="P2287" s="1">
        <v>-74.892799999999994</v>
      </c>
      <c r="Q2287" s="1" t="s">
        <v>5348</v>
      </c>
      <c r="R2287" s="1" t="s">
        <v>41</v>
      </c>
      <c r="T2287" s="1" t="s">
        <v>71</v>
      </c>
      <c r="U2287" s="1" t="s">
        <v>44</v>
      </c>
      <c r="V2287" s="1" t="s">
        <v>94</v>
      </c>
      <c r="X2287" s="1" t="s">
        <v>4050</v>
      </c>
      <c r="AA2287" s="3">
        <v>34060</v>
      </c>
      <c r="AB2287" s="1" t="s">
        <v>46</v>
      </c>
      <c r="AC2287" s="5">
        <v>900</v>
      </c>
      <c r="AD2287" s="1" t="s">
        <v>5349</v>
      </c>
      <c r="AE2287" s="1" t="str">
        <f t="shared" si="165"/>
        <v>54592 1</v>
      </c>
      <c r="AF2287" s="14">
        <f>MID(AD2287,FIND("(",AD2287)+1,FIND(")",AD2287)-FIND("(",AD2287)-1)+66.6</f>
        <v>101.89999999999999</v>
      </c>
      <c r="AG2287" s="1" t="str">
        <f t="shared" si="164"/>
        <v>Y</v>
      </c>
    </row>
    <row r="2288" spans="1:33" x14ac:dyDescent="0.2">
      <c r="A2288" s="1" t="s">
        <v>2089</v>
      </c>
      <c r="B2288" s="1" t="s">
        <v>5350</v>
      </c>
      <c r="C2288" s="1">
        <v>54593</v>
      </c>
      <c r="D2288" s="1">
        <v>1</v>
      </c>
      <c r="F2288" s="1">
        <v>2023</v>
      </c>
      <c r="G2288" s="1" t="s">
        <v>1515</v>
      </c>
      <c r="H2288" s="1">
        <v>2129</v>
      </c>
      <c r="I2288" s="1">
        <v>2</v>
      </c>
      <c r="J2288" s="1" t="s">
        <v>580</v>
      </c>
      <c r="K2288" s="1" t="s">
        <v>5351</v>
      </c>
      <c r="L2288" s="1" t="s">
        <v>5352</v>
      </c>
      <c r="M2288" s="1">
        <v>37</v>
      </c>
      <c r="N2288" s="1" t="s">
        <v>1680</v>
      </c>
      <c r="O2288" s="1">
        <v>42.982799999999997</v>
      </c>
      <c r="P2288" s="1">
        <v>-78.159199999999998</v>
      </c>
      <c r="Q2288" s="1" t="s">
        <v>5353</v>
      </c>
      <c r="R2288" s="1" t="s">
        <v>41</v>
      </c>
      <c r="T2288" s="1" t="s">
        <v>71</v>
      </c>
      <c r="U2288" s="1" t="s">
        <v>44</v>
      </c>
      <c r="X2288" s="1" t="s">
        <v>1606</v>
      </c>
      <c r="AA2288" s="3">
        <v>33848</v>
      </c>
      <c r="AB2288" s="1" t="s">
        <v>46</v>
      </c>
      <c r="AC2288" s="5">
        <v>551</v>
      </c>
      <c r="AD2288" s="1" t="s">
        <v>5354</v>
      </c>
      <c r="AE2288" s="1" t="str">
        <f t="shared" si="165"/>
        <v>54593 1</v>
      </c>
      <c r="AF2288" s="14">
        <f>MID(AD2288,FIND("(",AD2288)+1,FIND(")",AD2288)-FIND("(",AD2288)-1)+47.7</f>
        <v>66.300000000000011</v>
      </c>
      <c r="AG2288" s="1" t="str">
        <f t="shared" si="164"/>
        <v/>
      </c>
    </row>
    <row r="2289" spans="1:33" x14ac:dyDescent="0.2">
      <c r="A2289" s="1" t="s">
        <v>577</v>
      </c>
      <c r="B2289" s="1" t="s">
        <v>5355</v>
      </c>
      <c r="C2289" s="1">
        <v>54605</v>
      </c>
      <c r="D2289" s="1">
        <v>1</v>
      </c>
      <c r="F2289" s="1">
        <v>2023</v>
      </c>
      <c r="G2289" s="1" t="s">
        <v>617</v>
      </c>
      <c r="H2289" s="1">
        <v>610243</v>
      </c>
      <c r="I2289" s="1">
        <v>1</v>
      </c>
      <c r="K2289" s="1" t="s">
        <v>618</v>
      </c>
      <c r="L2289" s="1" t="s">
        <v>619</v>
      </c>
      <c r="M2289" s="1">
        <v>3</v>
      </c>
      <c r="N2289" s="1" t="s">
        <v>1680</v>
      </c>
      <c r="O2289" s="1">
        <v>41.75</v>
      </c>
      <c r="P2289" s="1">
        <v>-72.634699999999995</v>
      </c>
      <c r="Q2289" s="1" t="s">
        <v>5356</v>
      </c>
      <c r="T2289" s="1" t="s">
        <v>93</v>
      </c>
      <c r="U2289" s="1" t="s">
        <v>44</v>
      </c>
      <c r="V2289" s="1" t="s">
        <v>94</v>
      </c>
      <c r="X2289" s="1" t="s">
        <v>176</v>
      </c>
      <c r="AA2289" s="3">
        <v>33687</v>
      </c>
      <c r="AB2289" s="1" t="s">
        <v>46</v>
      </c>
      <c r="AC2289" s="5">
        <v>365.7</v>
      </c>
      <c r="AD2289" s="1" t="s">
        <v>5357</v>
      </c>
      <c r="AE2289" s="1" t="str">
        <f t="shared" si="165"/>
        <v>54605 1</v>
      </c>
      <c r="AF2289" s="5" t="str">
        <f>MID(AD2289,FIND("(",AD2289)+1,FIND(")",AD2289)-FIND("(",AD2289)-1)</f>
        <v>32</v>
      </c>
      <c r="AG2289" s="1" t="str">
        <f t="shared" si="164"/>
        <v>Y</v>
      </c>
    </row>
    <row r="2290" spans="1:33" x14ac:dyDescent="0.2">
      <c r="A2290" s="1" t="s">
        <v>2584</v>
      </c>
      <c r="B2290" s="1" t="s">
        <v>5358</v>
      </c>
      <c r="C2290" s="1">
        <v>54634</v>
      </c>
      <c r="D2290" s="1">
        <v>1</v>
      </c>
      <c r="F2290" s="1">
        <v>2023</v>
      </c>
      <c r="G2290" s="1" t="s">
        <v>682</v>
      </c>
      <c r="H2290" s="1">
        <v>608145</v>
      </c>
      <c r="I2290" s="1">
        <v>3</v>
      </c>
      <c r="K2290" s="1" t="s">
        <v>4776</v>
      </c>
      <c r="L2290" s="1" t="s">
        <v>4777</v>
      </c>
      <c r="M2290" s="1">
        <v>107</v>
      </c>
      <c r="N2290" s="1" t="s">
        <v>1031</v>
      </c>
      <c r="O2290" s="1">
        <v>40.822200000000002</v>
      </c>
      <c r="P2290" s="1">
        <v>-76.173599999999993</v>
      </c>
      <c r="Q2290" s="1" t="s">
        <v>5359</v>
      </c>
      <c r="R2290" s="1" t="s">
        <v>41</v>
      </c>
      <c r="T2290" s="1" t="s">
        <v>885</v>
      </c>
      <c r="U2290" s="1" t="s">
        <v>2622</v>
      </c>
      <c r="V2290" s="1" t="s">
        <v>173</v>
      </c>
      <c r="W2290" s="1" t="s">
        <v>1069</v>
      </c>
      <c r="Y2290" s="1" t="s">
        <v>232</v>
      </c>
      <c r="AA2290" s="3">
        <v>33055</v>
      </c>
      <c r="AB2290" s="1" t="s">
        <v>46</v>
      </c>
      <c r="AC2290" s="5">
        <v>1560</v>
      </c>
      <c r="AD2290" s="1" t="s">
        <v>5360</v>
      </c>
      <c r="AE2290" s="1" t="str">
        <f t="shared" si="165"/>
        <v>54634 1</v>
      </c>
      <c r="AF2290" s="5" t="str">
        <f>MID(AD2290,FIND("(",AD2290)+1,FIND(")",AD2290)-FIND("(",AD2290)-1)</f>
        <v>99.2</v>
      </c>
      <c r="AG2290" s="1" t="str">
        <f t="shared" si="164"/>
        <v/>
      </c>
    </row>
    <row r="2291" spans="1:33" x14ac:dyDescent="0.2">
      <c r="A2291" s="1" t="s">
        <v>2584</v>
      </c>
      <c r="B2291" s="1" t="s">
        <v>5361</v>
      </c>
      <c r="C2291" s="1">
        <v>54638</v>
      </c>
      <c r="D2291" s="1">
        <v>40</v>
      </c>
      <c r="E2291" s="1" t="s">
        <v>1421</v>
      </c>
      <c r="F2291" s="1">
        <v>2023</v>
      </c>
      <c r="G2291" s="1" t="s">
        <v>617</v>
      </c>
      <c r="H2291" s="1" t="s">
        <v>5362</v>
      </c>
      <c r="I2291" s="1">
        <v>3</v>
      </c>
      <c r="K2291" s="1" t="s">
        <v>5363</v>
      </c>
      <c r="L2291" s="1" t="s">
        <v>5364</v>
      </c>
      <c r="M2291" s="1">
        <v>47</v>
      </c>
      <c r="N2291" s="1" t="s">
        <v>5062</v>
      </c>
      <c r="O2291" s="1">
        <v>41.4908</v>
      </c>
      <c r="P2291" s="1">
        <v>-78.676699999999997</v>
      </c>
      <c r="Q2291" s="1" t="s">
        <v>5365</v>
      </c>
      <c r="T2291" s="1" t="s">
        <v>89</v>
      </c>
      <c r="U2291" s="1" t="s">
        <v>284</v>
      </c>
      <c r="X2291" s="1" t="s">
        <v>90</v>
      </c>
      <c r="AA2291" s="3">
        <v>30258</v>
      </c>
      <c r="AB2291" s="1" t="s">
        <v>46</v>
      </c>
      <c r="AC2291" s="5">
        <v>306</v>
      </c>
      <c r="AD2291" s="1" t="s">
        <v>5366</v>
      </c>
      <c r="AE2291" s="1" t="str">
        <f t="shared" si="165"/>
        <v>54638 40</v>
      </c>
      <c r="AF2291" s="5" t="str">
        <f>MID(AD2291,FIND("(",AD2291)+1,FIND(")",AD2291)-FIND("(",AD2291)-1)</f>
        <v>54</v>
      </c>
      <c r="AG2291" s="1" t="str">
        <f t="shared" si="164"/>
        <v/>
      </c>
    </row>
    <row r="2292" spans="1:33" x14ac:dyDescent="0.2">
      <c r="A2292" s="1" t="s">
        <v>2584</v>
      </c>
      <c r="B2292" s="1" t="s">
        <v>5361</v>
      </c>
      <c r="C2292" s="1">
        <v>54638</v>
      </c>
      <c r="D2292" s="1">
        <v>41</v>
      </c>
      <c r="E2292" s="1" t="s">
        <v>1421</v>
      </c>
      <c r="F2292" s="1">
        <v>2023</v>
      </c>
      <c r="G2292" s="1" t="s">
        <v>617</v>
      </c>
      <c r="H2292" s="1" t="s">
        <v>5362</v>
      </c>
      <c r="I2292" s="1">
        <v>3</v>
      </c>
      <c r="K2292" s="1" t="s">
        <v>5363</v>
      </c>
      <c r="L2292" s="1" t="s">
        <v>5364</v>
      </c>
      <c r="M2292" s="1">
        <v>47</v>
      </c>
      <c r="N2292" s="1" t="s">
        <v>5062</v>
      </c>
      <c r="O2292" s="1">
        <v>41.4908</v>
      </c>
      <c r="P2292" s="1">
        <v>-78.676699999999997</v>
      </c>
      <c r="Q2292" s="1" t="s">
        <v>5365</v>
      </c>
      <c r="T2292" s="1" t="s">
        <v>89</v>
      </c>
      <c r="U2292" s="1" t="s">
        <v>284</v>
      </c>
      <c r="X2292" s="1" t="s">
        <v>90</v>
      </c>
      <c r="AA2292" s="3">
        <v>30258</v>
      </c>
      <c r="AB2292" s="1" t="s">
        <v>46</v>
      </c>
      <c r="AC2292" s="5">
        <v>306</v>
      </c>
      <c r="AD2292" s="1" t="s">
        <v>5366</v>
      </c>
      <c r="AE2292" s="1" t="str">
        <f t="shared" si="165"/>
        <v>54638 41</v>
      </c>
      <c r="AF2292" s="5" t="str">
        <f>MID(AD2292,FIND("(",AD2292)+1,FIND(")",AD2292)-FIND("(",AD2292)-1)</f>
        <v>54</v>
      </c>
      <c r="AG2292" s="1" t="str">
        <f t="shared" si="164"/>
        <v/>
      </c>
    </row>
    <row r="2293" spans="1:33" x14ac:dyDescent="0.2">
      <c r="A2293" s="1" t="s">
        <v>1980</v>
      </c>
      <c r="B2293" s="1" t="s">
        <v>5367</v>
      </c>
      <c r="C2293" s="1">
        <v>54640</v>
      </c>
      <c r="D2293" s="1">
        <v>1001</v>
      </c>
      <c r="F2293" s="1">
        <v>2023</v>
      </c>
      <c r="G2293" s="1" t="s">
        <v>1515</v>
      </c>
      <c r="H2293" s="1" t="s">
        <v>5368</v>
      </c>
      <c r="I2293" s="1">
        <v>2</v>
      </c>
      <c r="K2293" s="1" t="s">
        <v>3888</v>
      </c>
      <c r="L2293" s="1" t="s">
        <v>3889</v>
      </c>
      <c r="M2293" s="1">
        <v>29</v>
      </c>
      <c r="N2293" s="1" t="s">
        <v>1680</v>
      </c>
      <c r="O2293" s="1">
        <v>40.061300000000003</v>
      </c>
      <c r="P2293" s="1">
        <v>-74.168599999999998</v>
      </c>
      <c r="Q2293" s="1" t="s">
        <v>5369</v>
      </c>
      <c r="R2293" s="1" t="s">
        <v>41</v>
      </c>
      <c r="T2293" s="1" t="s">
        <v>71</v>
      </c>
      <c r="U2293" s="1" t="s">
        <v>44</v>
      </c>
      <c r="V2293" s="1" t="s">
        <v>94</v>
      </c>
      <c r="X2293" s="1" t="s">
        <v>176</v>
      </c>
      <c r="AA2293" s="3">
        <v>34457</v>
      </c>
      <c r="AB2293" s="1" t="s">
        <v>46</v>
      </c>
      <c r="AC2293" s="5">
        <v>1190</v>
      </c>
      <c r="AD2293" s="1" t="s">
        <v>5370</v>
      </c>
      <c r="AE2293" s="1" t="str">
        <f t="shared" si="165"/>
        <v>54640 1001</v>
      </c>
      <c r="AF2293" s="14">
        <f>MID(AD2293,FIND("(",AD2293)+1,FIND(")",AD2293)-FIND("(",AD2293)-1)+82.7/2</f>
        <v>119.25</v>
      </c>
      <c r="AG2293" s="1" t="str">
        <f t="shared" si="164"/>
        <v>Y</v>
      </c>
    </row>
    <row r="2294" spans="1:33" x14ac:dyDescent="0.2">
      <c r="A2294" s="1" t="s">
        <v>1980</v>
      </c>
      <c r="B2294" s="1" t="s">
        <v>5367</v>
      </c>
      <c r="C2294" s="1">
        <v>54640</v>
      </c>
      <c r="D2294" s="1">
        <v>2001</v>
      </c>
      <c r="F2294" s="1">
        <v>2023</v>
      </c>
      <c r="G2294" s="1" t="s">
        <v>1515</v>
      </c>
      <c r="H2294" s="1" t="s">
        <v>5368</v>
      </c>
      <c r="I2294" s="1">
        <v>2</v>
      </c>
      <c r="K2294" s="1" t="s">
        <v>3888</v>
      </c>
      <c r="L2294" s="1" t="s">
        <v>3889</v>
      </c>
      <c r="M2294" s="1">
        <v>29</v>
      </c>
      <c r="N2294" s="1" t="s">
        <v>1680</v>
      </c>
      <c r="O2294" s="1">
        <v>40.061300000000003</v>
      </c>
      <c r="P2294" s="1">
        <v>-74.168599999999998</v>
      </c>
      <c r="Q2294" s="1" t="s">
        <v>5369</v>
      </c>
      <c r="R2294" s="1" t="s">
        <v>41</v>
      </c>
      <c r="T2294" s="1" t="s">
        <v>71</v>
      </c>
      <c r="U2294" s="1" t="s">
        <v>44</v>
      </c>
      <c r="V2294" s="1" t="s">
        <v>94</v>
      </c>
      <c r="X2294" s="1" t="s">
        <v>176</v>
      </c>
      <c r="AA2294" s="3">
        <v>34457</v>
      </c>
      <c r="AB2294" s="1" t="s">
        <v>46</v>
      </c>
      <c r="AC2294" s="5">
        <v>1190</v>
      </c>
      <c r="AD2294" s="1" t="s">
        <v>5371</v>
      </c>
      <c r="AE2294" s="1" t="str">
        <f t="shared" si="165"/>
        <v>54640 2001</v>
      </c>
      <c r="AF2294" s="14">
        <f>AF2293</f>
        <v>119.25</v>
      </c>
      <c r="AG2294" s="1" t="str">
        <f t="shared" si="164"/>
        <v>Y</v>
      </c>
    </row>
    <row r="2295" spans="1:33" x14ac:dyDescent="0.2">
      <c r="A2295" s="1" t="s">
        <v>234</v>
      </c>
      <c r="B2295" s="1" t="s">
        <v>5372</v>
      </c>
      <c r="C2295" s="1">
        <v>54694</v>
      </c>
      <c r="D2295" s="1">
        <v>4101</v>
      </c>
      <c r="F2295" s="1">
        <v>2023</v>
      </c>
      <c r="G2295" s="1" t="s">
        <v>247</v>
      </c>
      <c r="H2295" s="1">
        <v>608247</v>
      </c>
      <c r="I2295" s="1">
        <v>9</v>
      </c>
      <c r="K2295" s="1" t="s">
        <v>273</v>
      </c>
      <c r="L2295" s="1" t="s">
        <v>274</v>
      </c>
      <c r="M2295" s="1">
        <v>27</v>
      </c>
      <c r="N2295" s="1" t="s">
        <v>1680</v>
      </c>
      <c r="O2295" s="1">
        <v>32.7286</v>
      </c>
      <c r="P2295" s="1">
        <v>-114.6542</v>
      </c>
      <c r="Q2295" s="1" t="s">
        <v>5373</v>
      </c>
      <c r="R2295" s="1" t="s">
        <v>41</v>
      </c>
      <c r="T2295" s="1" t="s">
        <v>71</v>
      </c>
      <c r="U2295" s="1" t="s">
        <v>44</v>
      </c>
      <c r="X2295" s="1" t="s">
        <v>1606</v>
      </c>
      <c r="AA2295" s="3">
        <v>34465</v>
      </c>
      <c r="AB2295" s="1" t="s">
        <v>46</v>
      </c>
      <c r="AC2295" s="5">
        <v>624</v>
      </c>
      <c r="AD2295" s="1" t="s">
        <v>5374</v>
      </c>
      <c r="AE2295" s="1" t="str">
        <f t="shared" si="165"/>
        <v>54694 4101</v>
      </c>
      <c r="AF2295" s="14">
        <f>MID(AD2295,FIND("(",AD2295)+1,FIND(")",AD2295)-FIND("(",AD2295)-1)+18.5</f>
        <v>62.6</v>
      </c>
      <c r="AG2295" s="1" t="str">
        <f t="shared" si="164"/>
        <v/>
      </c>
    </row>
    <row r="2296" spans="1:33" x14ac:dyDescent="0.2">
      <c r="A2296" s="1" t="s">
        <v>370</v>
      </c>
      <c r="B2296" s="1" t="s">
        <v>5375</v>
      </c>
      <c r="C2296" s="1">
        <v>54749</v>
      </c>
      <c r="D2296" s="1">
        <v>1</v>
      </c>
      <c r="F2296" s="1">
        <v>2023</v>
      </c>
      <c r="G2296" s="1" t="s">
        <v>247</v>
      </c>
      <c r="H2296" s="1">
        <v>603492</v>
      </c>
      <c r="I2296" s="1">
        <v>9</v>
      </c>
      <c r="K2296" s="1" t="s">
        <v>395</v>
      </c>
      <c r="L2296" s="1" t="s">
        <v>396</v>
      </c>
      <c r="M2296" s="1">
        <v>73</v>
      </c>
      <c r="N2296" s="1" t="s">
        <v>1680</v>
      </c>
      <c r="O2296" s="1">
        <v>33.118499999999997</v>
      </c>
      <c r="P2296" s="1">
        <v>-117.09950000000001</v>
      </c>
      <c r="Q2296" s="1" t="s">
        <v>5376</v>
      </c>
      <c r="R2296" s="1" t="s">
        <v>41</v>
      </c>
      <c r="T2296" s="1" t="s">
        <v>71</v>
      </c>
      <c r="U2296" s="1" t="s">
        <v>44</v>
      </c>
      <c r="X2296" s="1" t="s">
        <v>176</v>
      </c>
      <c r="AA2296" s="3">
        <v>34662</v>
      </c>
      <c r="AB2296" s="1" t="s">
        <v>46</v>
      </c>
      <c r="AC2296" s="5">
        <v>448.1</v>
      </c>
      <c r="AD2296" s="1" t="s">
        <v>5377</v>
      </c>
      <c r="AE2296" s="1" t="str">
        <f t="shared" si="165"/>
        <v>54749 1</v>
      </c>
      <c r="AF2296" s="14">
        <f>MID(AD2296,FIND("(",AD2296)+1,FIND(")",AD2296)-FIND("(",AD2296)-1)+41.2</f>
        <v>51.400000000000006</v>
      </c>
      <c r="AG2296" s="1" t="str">
        <f t="shared" si="164"/>
        <v>Y</v>
      </c>
    </row>
    <row r="2297" spans="1:33" x14ac:dyDescent="0.2">
      <c r="A2297" s="1" t="s">
        <v>1621</v>
      </c>
      <c r="B2297" s="1" t="s">
        <v>5378</v>
      </c>
      <c r="C2297" s="1">
        <v>54751</v>
      </c>
      <c r="D2297" s="1">
        <v>1</v>
      </c>
      <c r="F2297" s="1">
        <v>2023</v>
      </c>
      <c r="G2297" s="1" t="s">
        <v>1020</v>
      </c>
      <c r="H2297" s="1" t="s">
        <v>5379</v>
      </c>
      <c r="I2297" s="1">
        <v>5</v>
      </c>
      <c r="K2297" s="1" t="s">
        <v>5351</v>
      </c>
      <c r="L2297" s="1" t="s">
        <v>5380</v>
      </c>
      <c r="M2297" s="1">
        <v>49</v>
      </c>
      <c r="N2297" s="1" t="s">
        <v>1680</v>
      </c>
      <c r="O2297" s="1">
        <v>43.084099999999999</v>
      </c>
      <c r="P2297" s="1">
        <v>-83.674300000000002</v>
      </c>
      <c r="Q2297" s="1" t="s">
        <v>5381</v>
      </c>
      <c r="T2297" s="1" t="s">
        <v>1660</v>
      </c>
      <c r="U2297" s="1" t="s">
        <v>657</v>
      </c>
      <c r="V2297" s="1" t="s">
        <v>5382</v>
      </c>
      <c r="X2297" s="1" t="s">
        <v>669</v>
      </c>
      <c r="Y2297" s="1" t="s">
        <v>658</v>
      </c>
      <c r="AA2297" s="3">
        <v>35043</v>
      </c>
      <c r="AB2297" s="1" t="s">
        <v>46</v>
      </c>
      <c r="AC2297" s="5">
        <v>743</v>
      </c>
      <c r="AD2297" s="1" t="s">
        <v>5383</v>
      </c>
      <c r="AE2297" s="1" t="str">
        <f t="shared" si="165"/>
        <v>54751 1</v>
      </c>
      <c r="AF2297" s="5" t="str">
        <f>MID(AD2297,FIND("(",AD2297)+1,FIND(")",AD2297)-FIND("(",AD2297)-1)</f>
        <v>35</v>
      </c>
      <c r="AG2297" s="1" t="str">
        <f t="shared" si="164"/>
        <v>Y</v>
      </c>
    </row>
    <row r="2298" spans="1:33" x14ac:dyDescent="0.2">
      <c r="A2298" s="1" t="s">
        <v>4093</v>
      </c>
      <c r="B2298" s="1" t="s">
        <v>5384</v>
      </c>
      <c r="C2298" s="1">
        <v>54761</v>
      </c>
      <c r="D2298" s="1">
        <v>1</v>
      </c>
      <c r="F2298" s="1">
        <v>2023</v>
      </c>
      <c r="G2298" s="1" t="s">
        <v>247</v>
      </c>
      <c r="H2298" s="1">
        <v>605660</v>
      </c>
      <c r="I2298" s="1">
        <v>10</v>
      </c>
      <c r="J2298" s="1" t="s">
        <v>237</v>
      </c>
      <c r="K2298" s="1" t="s">
        <v>5385</v>
      </c>
      <c r="L2298" s="1" t="s">
        <v>5386</v>
      </c>
      <c r="M2298" s="1">
        <v>59</v>
      </c>
      <c r="N2298" s="1" t="s">
        <v>39</v>
      </c>
      <c r="O2298" s="1">
        <v>45.804200000000002</v>
      </c>
      <c r="P2298" s="1">
        <v>-119.37</v>
      </c>
      <c r="Q2298" s="1" t="s">
        <v>5387</v>
      </c>
      <c r="R2298" s="1" t="s">
        <v>41</v>
      </c>
      <c r="T2298" s="1" t="s">
        <v>71</v>
      </c>
      <c r="U2298" s="1" t="s">
        <v>44</v>
      </c>
      <c r="X2298" s="1" t="s">
        <v>223</v>
      </c>
      <c r="AA2298" s="3">
        <v>35247</v>
      </c>
      <c r="AB2298" s="1" t="s">
        <v>46</v>
      </c>
      <c r="AC2298" s="5">
        <v>2067</v>
      </c>
      <c r="AD2298" s="1" t="s">
        <v>5388</v>
      </c>
      <c r="AE2298" s="1" t="str">
        <f t="shared" si="165"/>
        <v>54761 1</v>
      </c>
      <c r="AF2298" s="14">
        <f>MID(AD2298,FIND("(",AD2298)+1,FIND(")",AD2298)-FIND("(",AD2298)-1)+106.1</f>
        <v>310.60000000000002</v>
      </c>
      <c r="AG2298" s="1" t="str">
        <f t="shared" si="164"/>
        <v>Y</v>
      </c>
    </row>
    <row r="2299" spans="1:33" x14ac:dyDescent="0.2">
      <c r="A2299" s="1" t="s">
        <v>4093</v>
      </c>
      <c r="B2299" s="1" t="s">
        <v>5384</v>
      </c>
      <c r="C2299" s="1">
        <v>54761</v>
      </c>
      <c r="D2299" s="1">
        <v>2</v>
      </c>
      <c r="F2299" s="1">
        <v>2023</v>
      </c>
      <c r="G2299" s="1" t="s">
        <v>247</v>
      </c>
      <c r="H2299" s="1">
        <v>605660</v>
      </c>
      <c r="I2299" s="1">
        <v>10</v>
      </c>
      <c r="J2299" s="1" t="s">
        <v>237</v>
      </c>
      <c r="K2299" s="1" t="s">
        <v>5385</v>
      </c>
      <c r="L2299" s="1" t="s">
        <v>5386</v>
      </c>
      <c r="M2299" s="1">
        <v>59</v>
      </c>
      <c r="N2299" s="1" t="s">
        <v>39</v>
      </c>
      <c r="O2299" s="1">
        <v>45.804200000000002</v>
      </c>
      <c r="P2299" s="1">
        <v>-119.37</v>
      </c>
      <c r="Q2299" s="1" t="s">
        <v>5387</v>
      </c>
      <c r="R2299" s="1" t="s">
        <v>41</v>
      </c>
      <c r="T2299" s="1" t="s">
        <v>71</v>
      </c>
      <c r="U2299" s="1" t="s">
        <v>44</v>
      </c>
      <c r="X2299" s="1" t="s">
        <v>223</v>
      </c>
      <c r="AA2299" s="3">
        <v>35247</v>
      </c>
      <c r="AB2299" s="1" t="s">
        <v>46</v>
      </c>
      <c r="AC2299" s="5">
        <v>2067</v>
      </c>
      <c r="AD2299" s="1" t="s">
        <v>5389</v>
      </c>
      <c r="AE2299" s="1" t="str">
        <f t="shared" si="165"/>
        <v>54761 2</v>
      </c>
      <c r="AF2299" s="14">
        <f>MID(AD2299,FIND("(",AD2299)+1,FIND(")",AD2299)-FIND("(",AD2299)-1)+204.5</f>
        <v>310.60000000000002</v>
      </c>
      <c r="AG2299" s="1" t="str">
        <f t="shared" si="164"/>
        <v>Y</v>
      </c>
    </row>
    <row r="2300" spans="1:33" x14ac:dyDescent="0.2">
      <c r="A2300" s="1" t="s">
        <v>370</v>
      </c>
      <c r="B2300" s="1" t="s">
        <v>5390</v>
      </c>
      <c r="C2300" s="1">
        <v>54768</v>
      </c>
      <c r="D2300" s="1" t="s">
        <v>280</v>
      </c>
      <c r="F2300" s="1">
        <v>2023</v>
      </c>
      <c r="G2300" s="1" t="s">
        <v>247</v>
      </c>
      <c r="H2300" s="1">
        <v>606765</v>
      </c>
      <c r="I2300" s="1">
        <v>9</v>
      </c>
      <c r="K2300" s="1" t="s">
        <v>4903</v>
      </c>
      <c r="L2300" s="1" t="s">
        <v>4904</v>
      </c>
      <c r="M2300" s="1">
        <v>29</v>
      </c>
      <c r="N2300" s="1" t="s">
        <v>39</v>
      </c>
      <c r="O2300" s="1">
        <v>35.483699999999999</v>
      </c>
      <c r="P2300" s="1">
        <v>-119.02979999999999</v>
      </c>
      <c r="Q2300" s="1" t="s">
        <v>4905</v>
      </c>
      <c r="R2300" s="1" t="s">
        <v>41</v>
      </c>
      <c r="T2300" s="1" t="s">
        <v>93</v>
      </c>
      <c r="U2300" s="1" t="s">
        <v>44</v>
      </c>
      <c r="X2300" s="1" t="s">
        <v>223</v>
      </c>
      <c r="AA2300" s="3">
        <v>33690</v>
      </c>
      <c r="AB2300" s="1" t="s">
        <v>46</v>
      </c>
      <c r="AC2300" s="5">
        <v>450</v>
      </c>
      <c r="AD2300" s="1" t="s">
        <v>4906</v>
      </c>
      <c r="AE2300" s="1" t="str">
        <f t="shared" si="165"/>
        <v>54768 GT1</v>
      </c>
      <c r="AF2300" s="5" t="str">
        <f>MID(AD2300,FIND("(",AD2300)+1,FIND(")",AD2300)-FIND("(",AD2300)-1)</f>
        <v>46</v>
      </c>
      <c r="AG2300" s="1" t="str">
        <f t="shared" si="164"/>
        <v>Y</v>
      </c>
    </row>
    <row r="2301" spans="1:33" x14ac:dyDescent="0.2">
      <c r="A2301" s="1" t="s">
        <v>2584</v>
      </c>
      <c r="B2301" s="1" t="s">
        <v>5391</v>
      </c>
      <c r="C2301" s="1">
        <v>54785</v>
      </c>
      <c r="D2301" s="1">
        <v>2</v>
      </c>
      <c r="F2301" s="1">
        <v>2023</v>
      </c>
      <c r="G2301" s="1" t="s">
        <v>1515</v>
      </c>
      <c r="H2301" s="1">
        <v>602803</v>
      </c>
      <c r="I2301" s="1">
        <v>3</v>
      </c>
      <c r="K2301" s="1" t="s">
        <v>2670</v>
      </c>
      <c r="L2301" s="1" t="s">
        <v>2671</v>
      </c>
      <c r="M2301" s="1">
        <v>101</v>
      </c>
      <c r="N2301" s="1" t="s">
        <v>1680</v>
      </c>
      <c r="O2301" s="1">
        <v>39.941699999999997</v>
      </c>
      <c r="P2301" s="1">
        <v>-75.188299999999998</v>
      </c>
      <c r="Q2301" s="1" t="s">
        <v>5392</v>
      </c>
      <c r="R2301" s="1" t="s">
        <v>41</v>
      </c>
      <c r="T2301" s="1" t="s">
        <v>71</v>
      </c>
      <c r="U2301" s="1" t="s">
        <v>44</v>
      </c>
      <c r="V2301" s="1" t="s">
        <v>94</v>
      </c>
      <c r="X2301" s="1" t="s">
        <v>64</v>
      </c>
      <c r="AA2301" s="3">
        <v>35796</v>
      </c>
      <c r="AB2301" s="1" t="s">
        <v>46</v>
      </c>
      <c r="AC2301" s="5">
        <v>1881</v>
      </c>
      <c r="AD2301" s="1" t="s">
        <v>5393</v>
      </c>
      <c r="AE2301" s="1" t="str">
        <f t="shared" si="165"/>
        <v>54785 2</v>
      </c>
      <c r="AF2301" s="14">
        <f>MID(AD2301,FIND("(",AD2301)+1,FIND(")",AD2301)-FIND("(",AD2301)-1)+57.6</f>
        <v>192.6</v>
      </c>
      <c r="AG2301" s="1" t="str">
        <f t="shared" si="164"/>
        <v>Y</v>
      </c>
    </row>
    <row r="2302" spans="1:33" x14ac:dyDescent="0.2">
      <c r="A2302" s="1" t="s">
        <v>2584</v>
      </c>
      <c r="B2302" s="1" t="s">
        <v>5391</v>
      </c>
      <c r="C2302" s="1">
        <v>54785</v>
      </c>
      <c r="D2302" s="1">
        <v>25</v>
      </c>
      <c r="F2302" s="1">
        <v>2023</v>
      </c>
      <c r="G2302" s="1" t="s">
        <v>1528</v>
      </c>
      <c r="H2302" s="1">
        <v>602803</v>
      </c>
      <c r="I2302" s="1">
        <v>3</v>
      </c>
      <c r="K2302" s="1" t="s">
        <v>2670</v>
      </c>
      <c r="L2302" s="1" t="s">
        <v>2671</v>
      </c>
      <c r="M2302" s="1">
        <v>101</v>
      </c>
      <c r="N2302" s="1" t="s">
        <v>1680</v>
      </c>
      <c r="O2302" s="1">
        <v>39.941699999999997</v>
      </c>
      <c r="P2302" s="1">
        <v>-75.188299999999998</v>
      </c>
      <c r="Q2302" s="1" t="s">
        <v>5392</v>
      </c>
      <c r="T2302" s="1" t="s">
        <v>89</v>
      </c>
      <c r="U2302" s="1" t="s">
        <v>44</v>
      </c>
      <c r="V2302" s="1" t="s">
        <v>94</v>
      </c>
      <c r="X2302" s="1" t="s">
        <v>1498</v>
      </c>
      <c r="AA2302" s="3">
        <v>35786</v>
      </c>
      <c r="AB2302" s="1" t="s">
        <v>46</v>
      </c>
      <c r="AC2302" s="5">
        <v>1103</v>
      </c>
      <c r="AD2302" s="1" t="s">
        <v>4878</v>
      </c>
      <c r="AE2302" s="1" t="str">
        <f t="shared" si="165"/>
        <v>54785 25</v>
      </c>
      <c r="AF2302" s="5" t="str">
        <f>MID(AD2302,FIND("(",AD2302)+1,FIND(")",AD2302)-FIND("(",AD2302)-1)</f>
        <v>57.6</v>
      </c>
      <c r="AG2302" s="1" t="str">
        <f t="shared" si="164"/>
        <v/>
      </c>
    </row>
    <row r="2303" spans="1:33" x14ac:dyDescent="0.2">
      <c r="A2303" s="1" t="s">
        <v>1568</v>
      </c>
      <c r="B2303" s="1" t="s">
        <v>5394</v>
      </c>
      <c r="C2303" s="1">
        <v>54805</v>
      </c>
      <c r="D2303" s="1">
        <v>1</v>
      </c>
      <c r="F2303" s="1">
        <v>2023</v>
      </c>
      <c r="G2303" s="1" t="s">
        <v>579</v>
      </c>
      <c r="H2303" s="1">
        <v>3095</v>
      </c>
      <c r="I2303" s="1">
        <v>1</v>
      </c>
      <c r="K2303" s="1" t="s">
        <v>5395</v>
      </c>
      <c r="L2303" s="1" t="s">
        <v>5396</v>
      </c>
      <c r="M2303" s="1">
        <v>27</v>
      </c>
      <c r="N2303" s="1" t="s">
        <v>39</v>
      </c>
      <c r="O2303" s="1">
        <v>42.129199999999997</v>
      </c>
      <c r="P2303" s="1">
        <v>-71.512200000000007</v>
      </c>
      <c r="Q2303" s="1" t="s">
        <v>5397</v>
      </c>
      <c r="R2303" s="1" t="s">
        <v>41</v>
      </c>
      <c r="T2303" s="1" t="s">
        <v>71</v>
      </c>
      <c r="U2303" s="1" t="s">
        <v>44</v>
      </c>
      <c r="X2303" s="1" t="s">
        <v>4050</v>
      </c>
      <c r="AA2303" s="3">
        <v>34090</v>
      </c>
      <c r="AB2303" s="1" t="s">
        <v>46</v>
      </c>
      <c r="AC2303" s="5">
        <v>1947.9</v>
      </c>
      <c r="AD2303" s="1" t="s">
        <v>5398</v>
      </c>
      <c r="AE2303" s="1" t="str">
        <f t="shared" si="165"/>
        <v>54805 1</v>
      </c>
      <c r="AF2303" s="14">
        <f>MID(AD2303,FIND("(",AD2303)+1,FIND(")",AD2303)-FIND("(",AD2303)-1)+43</f>
        <v>172</v>
      </c>
      <c r="AG2303" s="1" t="str">
        <f t="shared" si="164"/>
        <v>Y</v>
      </c>
    </row>
    <row r="2304" spans="1:33" x14ac:dyDescent="0.2">
      <c r="A2304" s="1" t="s">
        <v>383</v>
      </c>
      <c r="B2304" s="1" t="s">
        <v>5399</v>
      </c>
      <c r="C2304" s="1">
        <v>54817</v>
      </c>
      <c r="D2304" s="1" t="s">
        <v>5400</v>
      </c>
      <c r="F2304" s="1">
        <v>2023</v>
      </c>
      <c r="G2304" s="1" t="s">
        <v>346</v>
      </c>
      <c r="H2304" s="1" t="s">
        <v>3065</v>
      </c>
      <c r="I2304" s="1">
        <v>6</v>
      </c>
      <c r="K2304" s="1" t="s">
        <v>4384</v>
      </c>
      <c r="L2304" s="1" t="s">
        <v>5401</v>
      </c>
      <c r="M2304" s="1">
        <v>251</v>
      </c>
      <c r="N2304" s="1" t="s">
        <v>39</v>
      </c>
      <c r="O2304" s="1">
        <v>32.3994</v>
      </c>
      <c r="P2304" s="1">
        <v>-97.407799999999995</v>
      </c>
      <c r="Q2304" s="1" t="s">
        <v>3068</v>
      </c>
      <c r="R2304" s="1" t="s">
        <v>41</v>
      </c>
      <c r="T2304" s="1" t="s">
        <v>71</v>
      </c>
      <c r="U2304" s="1" t="s">
        <v>44</v>
      </c>
      <c r="V2304" s="1" t="s">
        <v>94</v>
      </c>
      <c r="X2304" s="1" t="s">
        <v>223</v>
      </c>
      <c r="AA2304" s="3">
        <v>35296</v>
      </c>
      <c r="AB2304" s="1" t="s">
        <v>46</v>
      </c>
      <c r="AC2304" s="5">
        <v>2500</v>
      </c>
      <c r="AD2304" s="1" t="s">
        <v>5402</v>
      </c>
      <c r="AE2304" s="1" t="str">
        <f t="shared" si="165"/>
        <v>54817 EAST</v>
      </c>
      <c r="AF2304" s="14">
        <f>MID(AD2304,FIND("(",AD2304)+1,FIND(")",AD2304)-FIND("(",AD2304)-1)+154</f>
        <v>258</v>
      </c>
      <c r="AG2304" s="1" t="str">
        <f t="shared" si="164"/>
        <v>Y</v>
      </c>
    </row>
    <row r="2305" spans="1:33" x14ac:dyDescent="0.2">
      <c r="A2305" s="1" t="s">
        <v>680</v>
      </c>
      <c r="B2305" s="1" t="s">
        <v>5403</v>
      </c>
      <c r="C2305" s="1">
        <v>54832</v>
      </c>
      <c r="D2305" s="1">
        <v>1</v>
      </c>
      <c r="F2305" s="1">
        <v>2023</v>
      </c>
      <c r="G2305" s="1" t="s">
        <v>1515</v>
      </c>
      <c r="H2305" s="1" t="s">
        <v>5404</v>
      </c>
      <c r="I2305" s="1">
        <v>3</v>
      </c>
      <c r="J2305" s="1" t="s">
        <v>668</v>
      </c>
      <c r="K2305" s="1" t="s">
        <v>1538</v>
      </c>
      <c r="L2305" s="1" t="s">
        <v>1539</v>
      </c>
      <c r="M2305" s="1">
        <v>33</v>
      </c>
      <c r="N2305" s="1" t="s">
        <v>1680</v>
      </c>
      <c r="O2305" s="1">
        <v>38.668100000000003</v>
      </c>
      <c r="P2305" s="1">
        <v>-76.867800000000003</v>
      </c>
      <c r="Q2305" s="1" t="s">
        <v>5405</v>
      </c>
      <c r="R2305" s="1" t="s">
        <v>41</v>
      </c>
      <c r="T2305" s="1" t="s">
        <v>71</v>
      </c>
      <c r="U2305" s="1" t="s">
        <v>44</v>
      </c>
      <c r="V2305" s="1" t="s">
        <v>5406</v>
      </c>
      <c r="X2305" s="1" t="s">
        <v>4587</v>
      </c>
      <c r="AA2305" s="3">
        <v>35369</v>
      </c>
      <c r="AB2305" s="1" t="s">
        <v>46</v>
      </c>
      <c r="AC2305" s="5">
        <v>1200</v>
      </c>
      <c r="AD2305" s="1" t="s">
        <v>5407</v>
      </c>
      <c r="AE2305" s="1" t="str">
        <f t="shared" si="165"/>
        <v>54832 1</v>
      </c>
      <c r="AF2305" s="14">
        <f>MID(AD2305,FIND("(",AD2305)+1,FIND(")",AD2305)-FIND("(",AD2305)-1)+91.4/2</f>
        <v>144.5</v>
      </c>
      <c r="AG2305" s="1" t="str">
        <f t="shared" si="164"/>
        <v/>
      </c>
    </row>
    <row r="2306" spans="1:33" x14ac:dyDescent="0.2">
      <c r="A2306" s="1" t="s">
        <v>680</v>
      </c>
      <c r="B2306" s="1" t="s">
        <v>5403</v>
      </c>
      <c r="C2306" s="1">
        <v>54832</v>
      </c>
      <c r="D2306" s="1">
        <v>2</v>
      </c>
      <c r="F2306" s="1">
        <v>2023</v>
      </c>
      <c r="G2306" s="1" t="s">
        <v>1515</v>
      </c>
      <c r="H2306" s="1" t="s">
        <v>5404</v>
      </c>
      <c r="I2306" s="1">
        <v>3</v>
      </c>
      <c r="J2306" s="1" t="s">
        <v>668</v>
      </c>
      <c r="K2306" s="1" t="s">
        <v>1538</v>
      </c>
      <c r="L2306" s="1" t="s">
        <v>1539</v>
      </c>
      <c r="M2306" s="1">
        <v>33</v>
      </c>
      <c r="N2306" s="1" t="s">
        <v>1680</v>
      </c>
      <c r="O2306" s="1">
        <v>38.668100000000003</v>
      </c>
      <c r="P2306" s="1">
        <v>-76.867800000000003</v>
      </c>
      <c r="Q2306" s="1" t="s">
        <v>5405</v>
      </c>
      <c r="R2306" s="1" t="s">
        <v>41</v>
      </c>
      <c r="T2306" s="1" t="s">
        <v>71</v>
      </c>
      <c r="U2306" s="1" t="s">
        <v>44</v>
      </c>
      <c r="V2306" s="1" t="s">
        <v>5406</v>
      </c>
      <c r="X2306" s="1" t="s">
        <v>4587</v>
      </c>
      <c r="AA2306" s="3">
        <v>35369</v>
      </c>
      <c r="AB2306" s="1" t="s">
        <v>46</v>
      </c>
      <c r="AC2306" s="5">
        <v>1200</v>
      </c>
      <c r="AD2306" s="1" t="s">
        <v>5408</v>
      </c>
      <c r="AE2306" s="1" t="str">
        <f t="shared" si="165"/>
        <v>54832 2</v>
      </c>
      <c r="AF2306" s="14">
        <f>AF2305</f>
        <v>144.5</v>
      </c>
      <c r="AG2306" s="1" t="str">
        <f t="shared" ref="AG2306:AG2369" si="166">IF(ISNUMBER(SEARCH("selective", X2306)), "Y", "")</f>
        <v/>
      </c>
    </row>
    <row r="2307" spans="1:33" x14ac:dyDescent="0.2">
      <c r="A2307" s="1" t="s">
        <v>3095</v>
      </c>
      <c r="B2307" s="1" t="s">
        <v>5409</v>
      </c>
      <c r="C2307" s="1">
        <v>54844</v>
      </c>
      <c r="D2307" s="1">
        <v>1</v>
      </c>
      <c r="F2307" s="1">
        <v>2023</v>
      </c>
      <c r="G2307" s="1" t="s">
        <v>1515</v>
      </c>
      <c r="H2307" s="1">
        <v>1525</v>
      </c>
      <c r="I2307" s="1">
        <v>3</v>
      </c>
      <c r="K2307" s="1" t="s">
        <v>3810</v>
      </c>
      <c r="L2307" s="1" t="s">
        <v>4318</v>
      </c>
      <c r="M2307" s="1">
        <v>109</v>
      </c>
      <c r="N2307" s="1" t="s">
        <v>39</v>
      </c>
      <c r="O2307" s="1">
        <v>38.124499999999998</v>
      </c>
      <c r="P2307" s="1">
        <v>-78.203100000000006</v>
      </c>
      <c r="Q2307" s="1" t="s">
        <v>3112</v>
      </c>
      <c r="R2307" s="1" t="s">
        <v>41</v>
      </c>
      <c r="T2307" s="1" t="s">
        <v>71</v>
      </c>
      <c r="U2307" s="1" t="s">
        <v>44</v>
      </c>
      <c r="V2307" s="1" t="s">
        <v>94</v>
      </c>
      <c r="X2307" s="1" t="s">
        <v>643</v>
      </c>
      <c r="AA2307" s="3">
        <v>34486</v>
      </c>
      <c r="AB2307" s="1" t="s">
        <v>46</v>
      </c>
      <c r="AC2307" s="5">
        <v>1510</v>
      </c>
      <c r="AD2307" s="1" t="s">
        <v>5410</v>
      </c>
      <c r="AE2307" s="1" t="str">
        <f t="shared" ref="AE2307:AE2370" si="167">C2307&amp;" "&amp;D2307</f>
        <v>54844 1</v>
      </c>
      <c r="AF2307" s="14">
        <f>MID(AD2307,FIND("(",AD2307)+1,FIND(")",AD2307)-FIND("(",AD2307)-1)+53</f>
        <v>150.19999999999999</v>
      </c>
      <c r="AG2307" s="1" t="str">
        <f t="shared" si="166"/>
        <v>Y</v>
      </c>
    </row>
    <row r="2308" spans="1:33" x14ac:dyDescent="0.2">
      <c r="A2308" s="1" t="s">
        <v>3095</v>
      </c>
      <c r="B2308" s="1" t="s">
        <v>5409</v>
      </c>
      <c r="C2308" s="1">
        <v>54844</v>
      </c>
      <c r="D2308" s="1">
        <v>2</v>
      </c>
      <c r="F2308" s="1">
        <v>2023</v>
      </c>
      <c r="G2308" s="1" t="s">
        <v>1515</v>
      </c>
      <c r="H2308" s="1">
        <v>1525</v>
      </c>
      <c r="I2308" s="1">
        <v>3</v>
      </c>
      <c r="K2308" s="1" t="s">
        <v>3810</v>
      </c>
      <c r="L2308" s="1" t="s">
        <v>4318</v>
      </c>
      <c r="M2308" s="1">
        <v>109</v>
      </c>
      <c r="N2308" s="1" t="s">
        <v>39</v>
      </c>
      <c r="O2308" s="1">
        <v>38.124499999999998</v>
      </c>
      <c r="P2308" s="1">
        <v>-78.203100000000006</v>
      </c>
      <c r="Q2308" s="1" t="s">
        <v>3112</v>
      </c>
      <c r="R2308" s="1" t="s">
        <v>41</v>
      </c>
      <c r="T2308" s="1" t="s">
        <v>71</v>
      </c>
      <c r="U2308" s="1" t="s">
        <v>44</v>
      </c>
      <c r="V2308" s="1" t="s">
        <v>94</v>
      </c>
      <c r="X2308" s="1" t="s">
        <v>643</v>
      </c>
      <c r="AA2308" s="3">
        <v>34486</v>
      </c>
      <c r="AB2308" s="1" t="s">
        <v>46</v>
      </c>
      <c r="AC2308" s="5">
        <v>1510</v>
      </c>
      <c r="AD2308" s="1" t="s">
        <v>5411</v>
      </c>
      <c r="AE2308" s="1" t="str">
        <f t="shared" si="167"/>
        <v>54844 2</v>
      </c>
      <c r="AF2308" s="14">
        <f>MID(AD2308,FIND("(",AD2308)+1,FIND(")",AD2308)-FIND("(",AD2308)-1)+53</f>
        <v>150.19999999999999</v>
      </c>
      <c r="AG2308" s="1" t="str">
        <f t="shared" si="166"/>
        <v>Y</v>
      </c>
    </row>
    <row r="2309" spans="1:33" x14ac:dyDescent="0.2">
      <c r="A2309" s="1" t="s">
        <v>1903</v>
      </c>
      <c r="B2309" s="1" t="s">
        <v>5412</v>
      </c>
      <c r="C2309" s="1">
        <v>54854</v>
      </c>
      <c r="D2309" s="1">
        <v>3</v>
      </c>
      <c r="F2309" s="1">
        <v>2023</v>
      </c>
      <c r="G2309" s="1" t="s">
        <v>247</v>
      </c>
      <c r="H2309" s="1">
        <v>610268</v>
      </c>
      <c r="I2309" s="1">
        <v>9</v>
      </c>
      <c r="K2309" s="1" t="s">
        <v>170</v>
      </c>
      <c r="L2309" s="1" t="s">
        <v>1906</v>
      </c>
      <c r="M2309" s="1">
        <v>3</v>
      </c>
      <c r="N2309" s="1" t="s">
        <v>39</v>
      </c>
      <c r="O2309" s="1">
        <v>36.139200000000002</v>
      </c>
      <c r="P2309" s="1">
        <v>-115.03400000000001</v>
      </c>
      <c r="Q2309" s="1" t="s">
        <v>4967</v>
      </c>
      <c r="R2309" s="1" t="s">
        <v>41</v>
      </c>
      <c r="T2309" s="1" t="s">
        <v>93</v>
      </c>
      <c r="U2309" s="1" t="s">
        <v>44</v>
      </c>
      <c r="V2309" s="1" t="s">
        <v>94</v>
      </c>
      <c r="X2309" s="1" t="s">
        <v>95</v>
      </c>
      <c r="AA2309" s="3">
        <v>33397</v>
      </c>
      <c r="AB2309" s="1" t="s">
        <v>46</v>
      </c>
      <c r="AC2309" s="5">
        <v>1039</v>
      </c>
      <c r="AD2309" s="1" t="s">
        <v>5413</v>
      </c>
      <c r="AE2309" s="1" t="str">
        <f t="shared" si="167"/>
        <v>54854 3</v>
      </c>
      <c r="AF2309" s="5" t="str">
        <f>MID(AD2309,FIND("(",AD2309)+1,FIND(")",AD2309)-FIND("(",AD2309)-1)</f>
        <v>74</v>
      </c>
      <c r="AG2309" s="1" t="str">
        <f t="shared" si="166"/>
        <v/>
      </c>
    </row>
    <row r="2310" spans="1:33" x14ac:dyDescent="0.2">
      <c r="A2310" s="1" t="s">
        <v>1903</v>
      </c>
      <c r="B2310" s="1" t="s">
        <v>5412</v>
      </c>
      <c r="C2310" s="1">
        <v>54854</v>
      </c>
      <c r="D2310" s="1">
        <v>4</v>
      </c>
      <c r="F2310" s="1">
        <v>2023</v>
      </c>
      <c r="G2310" s="1" t="s">
        <v>247</v>
      </c>
      <c r="H2310" s="1">
        <v>610268</v>
      </c>
      <c r="I2310" s="1">
        <v>9</v>
      </c>
      <c r="K2310" s="1" t="s">
        <v>170</v>
      </c>
      <c r="L2310" s="1" t="s">
        <v>1906</v>
      </c>
      <c r="M2310" s="1">
        <v>3</v>
      </c>
      <c r="N2310" s="1" t="s">
        <v>39</v>
      </c>
      <c r="O2310" s="1">
        <v>36.139200000000002</v>
      </c>
      <c r="P2310" s="1">
        <v>-115.03400000000001</v>
      </c>
      <c r="Q2310" s="1" t="s">
        <v>4967</v>
      </c>
      <c r="R2310" s="1" t="s">
        <v>41</v>
      </c>
      <c r="T2310" s="1" t="s">
        <v>93</v>
      </c>
      <c r="U2310" s="1" t="s">
        <v>44</v>
      </c>
      <c r="V2310" s="1" t="s">
        <v>94</v>
      </c>
      <c r="X2310" s="1" t="s">
        <v>95</v>
      </c>
      <c r="AA2310" s="3">
        <v>33397</v>
      </c>
      <c r="AB2310" s="1" t="s">
        <v>46</v>
      </c>
      <c r="AC2310" s="5">
        <v>1039</v>
      </c>
      <c r="AD2310" s="1" t="s">
        <v>5414</v>
      </c>
      <c r="AE2310" s="1" t="str">
        <f t="shared" si="167"/>
        <v>54854 4</v>
      </c>
      <c r="AF2310" s="5" t="str">
        <f>MID(AD2310,FIND("(",AD2310)+1,FIND(")",AD2310)-FIND("(",AD2310)-1)</f>
        <v>74</v>
      </c>
      <c r="AG2310" s="1" t="str">
        <f t="shared" si="166"/>
        <v/>
      </c>
    </row>
    <row r="2311" spans="1:33" x14ac:dyDescent="0.2">
      <c r="A2311" s="1" t="s">
        <v>1903</v>
      </c>
      <c r="B2311" s="1" t="s">
        <v>5412</v>
      </c>
      <c r="C2311" s="1">
        <v>54854</v>
      </c>
      <c r="D2311" s="1">
        <v>5</v>
      </c>
      <c r="F2311" s="1">
        <v>2023</v>
      </c>
      <c r="G2311" s="1" t="s">
        <v>247</v>
      </c>
      <c r="H2311" s="1">
        <v>610268</v>
      </c>
      <c r="I2311" s="1">
        <v>9</v>
      </c>
      <c r="K2311" s="1" t="s">
        <v>170</v>
      </c>
      <c r="L2311" s="1" t="s">
        <v>1906</v>
      </c>
      <c r="M2311" s="1">
        <v>3</v>
      </c>
      <c r="N2311" s="1" t="s">
        <v>39</v>
      </c>
      <c r="O2311" s="1">
        <v>36.139200000000002</v>
      </c>
      <c r="P2311" s="1">
        <v>-115.03400000000001</v>
      </c>
      <c r="Q2311" s="1" t="s">
        <v>4967</v>
      </c>
      <c r="R2311" s="1" t="s">
        <v>41</v>
      </c>
      <c r="T2311" s="1" t="s">
        <v>93</v>
      </c>
      <c r="U2311" s="1" t="s">
        <v>44</v>
      </c>
      <c r="V2311" s="1" t="s">
        <v>94</v>
      </c>
      <c r="X2311" s="1" t="s">
        <v>95</v>
      </c>
      <c r="AA2311" s="3">
        <v>33397</v>
      </c>
      <c r="AB2311" s="1" t="s">
        <v>46</v>
      </c>
      <c r="AC2311" s="5">
        <v>1039</v>
      </c>
      <c r="AD2311" s="1" t="s">
        <v>5415</v>
      </c>
      <c r="AE2311" s="1" t="str">
        <f t="shared" si="167"/>
        <v>54854 5</v>
      </c>
      <c r="AF2311" s="5" t="str">
        <f>MID(AD2311,FIND("(",AD2311)+1,FIND(")",AD2311)-FIND("(",AD2311)-1)</f>
        <v>74</v>
      </c>
      <c r="AG2311" s="1" t="str">
        <f t="shared" si="166"/>
        <v/>
      </c>
    </row>
    <row r="2312" spans="1:33" x14ac:dyDescent="0.2">
      <c r="A2312" s="1" t="s">
        <v>2089</v>
      </c>
      <c r="B2312" s="1" t="s">
        <v>5416</v>
      </c>
      <c r="C2312" s="1">
        <v>54914</v>
      </c>
      <c r="D2312" s="1">
        <v>1</v>
      </c>
      <c r="F2312" s="1">
        <v>2023</v>
      </c>
      <c r="G2312" s="1" t="s">
        <v>1515</v>
      </c>
      <c r="H2312" s="1">
        <v>1009</v>
      </c>
      <c r="I2312" s="1">
        <v>2</v>
      </c>
      <c r="J2312" s="1" t="s">
        <v>580</v>
      </c>
      <c r="K2312" s="1" t="s">
        <v>2118</v>
      </c>
      <c r="L2312" s="1" t="s">
        <v>2119</v>
      </c>
      <c r="M2312" s="1">
        <v>47</v>
      </c>
      <c r="N2312" s="1" t="s">
        <v>1680</v>
      </c>
      <c r="O2312" s="1">
        <v>40.699399999999997</v>
      </c>
      <c r="P2312" s="1">
        <v>-73.975800000000007</v>
      </c>
      <c r="Q2312" s="1" t="s">
        <v>5417</v>
      </c>
      <c r="R2312" s="1" t="s">
        <v>41</v>
      </c>
      <c r="T2312" s="1" t="s">
        <v>71</v>
      </c>
      <c r="U2312" s="1" t="s">
        <v>44</v>
      </c>
      <c r="V2312" s="1" t="s">
        <v>94</v>
      </c>
      <c r="X2312" s="1" t="s">
        <v>643</v>
      </c>
      <c r="AA2312" s="3">
        <v>35125</v>
      </c>
      <c r="AB2312" s="1" t="s">
        <v>46</v>
      </c>
      <c r="AC2312" s="5">
        <v>1503</v>
      </c>
      <c r="AD2312" s="1" t="s">
        <v>5418</v>
      </c>
      <c r="AE2312" s="1" t="str">
        <f t="shared" si="167"/>
        <v>54914 1</v>
      </c>
      <c r="AF2312" s="14">
        <f>MID(AD2312,FIND("(",AD2312)+1,FIND(")",AD2312)-FIND("(",AD2312)-1)+40.3</f>
        <v>168.3</v>
      </c>
      <c r="AG2312" s="1" t="str">
        <f t="shared" si="166"/>
        <v>Y</v>
      </c>
    </row>
    <row r="2313" spans="1:33" x14ac:dyDescent="0.2">
      <c r="A2313" s="1" t="s">
        <v>2089</v>
      </c>
      <c r="B2313" s="1" t="s">
        <v>5416</v>
      </c>
      <c r="C2313" s="1">
        <v>54914</v>
      </c>
      <c r="D2313" s="1">
        <v>2</v>
      </c>
      <c r="F2313" s="1">
        <v>2023</v>
      </c>
      <c r="G2313" s="1" t="s">
        <v>1515</v>
      </c>
      <c r="H2313" s="1">
        <v>1009</v>
      </c>
      <c r="I2313" s="1">
        <v>2</v>
      </c>
      <c r="J2313" s="1" t="s">
        <v>580</v>
      </c>
      <c r="K2313" s="1" t="s">
        <v>2118</v>
      </c>
      <c r="L2313" s="1" t="s">
        <v>2119</v>
      </c>
      <c r="M2313" s="1">
        <v>47</v>
      </c>
      <c r="N2313" s="1" t="s">
        <v>1680</v>
      </c>
      <c r="O2313" s="1">
        <v>40.699399999999997</v>
      </c>
      <c r="P2313" s="1">
        <v>-73.975800000000007</v>
      </c>
      <c r="Q2313" s="1" t="s">
        <v>5417</v>
      </c>
      <c r="R2313" s="1" t="s">
        <v>41</v>
      </c>
      <c r="T2313" s="1" t="s">
        <v>71</v>
      </c>
      <c r="U2313" s="1" t="s">
        <v>44</v>
      </c>
      <c r="V2313" s="1" t="s">
        <v>94</v>
      </c>
      <c r="X2313" s="1" t="s">
        <v>643</v>
      </c>
      <c r="AA2313" s="3">
        <v>35125</v>
      </c>
      <c r="AB2313" s="1" t="s">
        <v>46</v>
      </c>
      <c r="AC2313" s="5">
        <v>1503</v>
      </c>
      <c r="AD2313" s="1" t="s">
        <v>5419</v>
      </c>
      <c r="AE2313" s="1" t="str">
        <f t="shared" si="167"/>
        <v>54914 2</v>
      </c>
      <c r="AF2313" s="14">
        <f>MID(AD2313,FIND("(",AD2313)+1,FIND(")",AD2313)-FIND("(",AD2313)-1)+40.3</f>
        <v>168.3</v>
      </c>
      <c r="AG2313" s="1" t="str">
        <f t="shared" si="166"/>
        <v>Y</v>
      </c>
    </row>
    <row r="2314" spans="1:33" x14ac:dyDescent="0.2">
      <c r="A2314" s="1" t="s">
        <v>1621</v>
      </c>
      <c r="B2314" s="1" t="s">
        <v>5420</v>
      </c>
      <c r="C2314" s="1">
        <v>54915</v>
      </c>
      <c r="D2314" s="1">
        <v>1</v>
      </c>
      <c r="F2314" s="1">
        <v>2023</v>
      </c>
      <c r="G2314" s="1" t="s">
        <v>461</v>
      </c>
      <c r="H2314" s="1" t="s">
        <v>5421</v>
      </c>
      <c r="I2314" s="1">
        <v>5</v>
      </c>
      <c r="K2314" s="1" t="s">
        <v>3368</v>
      </c>
      <c r="L2314" s="1" t="s">
        <v>5422</v>
      </c>
      <c r="M2314" s="1">
        <v>105</v>
      </c>
      <c r="N2314" s="1" t="s">
        <v>1680</v>
      </c>
      <c r="O2314" s="1">
        <v>43.94</v>
      </c>
      <c r="P2314" s="1">
        <v>-86.424700000000001</v>
      </c>
      <c r="Q2314" s="1" t="s">
        <v>5423</v>
      </c>
      <c r="R2314" s="1" t="s">
        <v>41</v>
      </c>
      <c r="T2314" s="1" t="s">
        <v>71</v>
      </c>
      <c r="U2314" s="1" t="s">
        <v>44</v>
      </c>
      <c r="X2314" s="1" t="s">
        <v>140</v>
      </c>
      <c r="AA2314" s="3">
        <v>34994</v>
      </c>
      <c r="AB2314" s="1" t="s">
        <v>46</v>
      </c>
      <c r="AC2314" s="5">
        <v>1478</v>
      </c>
      <c r="AD2314" s="1" t="s">
        <v>5424</v>
      </c>
      <c r="AE2314" s="1" t="str">
        <f t="shared" si="167"/>
        <v>54915 1</v>
      </c>
      <c r="AF2314" s="14">
        <f>MID(AD2314,FIND("(",AD2314)+1,FIND(")",AD2314)-FIND("(",AD2314)-1)+58</f>
        <v>141.5</v>
      </c>
      <c r="AG2314" s="1" t="str">
        <f t="shared" si="166"/>
        <v/>
      </c>
    </row>
    <row r="2315" spans="1:33" x14ac:dyDescent="0.2">
      <c r="A2315" s="1" t="s">
        <v>1663</v>
      </c>
      <c r="B2315" s="1" t="s">
        <v>5425</v>
      </c>
      <c r="C2315" s="1">
        <v>55010</v>
      </c>
      <c r="D2315" s="1">
        <v>1</v>
      </c>
      <c r="F2315" s="1">
        <v>2023</v>
      </c>
      <c r="G2315" s="1" t="s">
        <v>1666</v>
      </c>
      <c r="H2315" s="1" t="s">
        <v>5426</v>
      </c>
      <c r="I2315" s="1">
        <v>5</v>
      </c>
      <c r="K2315" s="1" t="s">
        <v>196</v>
      </c>
      <c r="L2315" s="1" t="s">
        <v>1704</v>
      </c>
      <c r="M2315" s="1">
        <v>163</v>
      </c>
      <c r="N2315" s="1" t="s">
        <v>1680</v>
      </c>
      <c r="O2315" s="1">
        <v>44.7956</v>
      </c>
      <c r="P2315" s="1">
        <v>-92.911900000000003</v>
      </c>
      <c r="Q2315" s="1" t="s">
        <v>5427</v>
      </c>
      <c r="R2315" s="1" t="s">
        <v>41</v>
      </c>
      <c r="T2315" s="1" t="s">
        <v>71</v>
      </c>
      <c r="U2315" s="1" t="s">
        <v>44</v>
      </c>
      <c r="V2315" s="1" t="s">
        <v>94</v>
      </c>
      <c r="X2315" s="1" t="s">
        <v>223</v>
      </c>
      <c r="AA2315" s="3">
        <v>35494</v>
      </c>
      <c r="AB2315" s="1" t="s">
        <v>46</v>
      </c>
      <c r="AC2315" s="5">
        <v>2258</v>
      </c>
      <c r="AD2315" s="1" t="s">
        <v>5428</v>
      </c>
      <c r="AE2315" s="1" t="str">
        <f t="shared" si="167"/>
        <v>55010 1</v>
      </c>
      <c r="AF2315" s="14">
        <f>MID(AD2315,FIND("(",AD2315)+1,FIND(")",AD2315)-FIND("(",AD2315)-1)+185</f>
        <v>287</v>
      </c>
      <c r="AG2315" s="1" t="str">
        <f t="shared" si="166"/>
        <v>Y</v>
      </c>
    </row>
    <row r="2316" spans="1:33" x14ac:dyDescent="0.2">
      <c r="A2316" s="1" t="s">
        <v>3167</v>
      </c>
      <c r="B2316" s="1" t="s">
        <v>5429</v>
      </c>
      <c r="C2316" s="1">
        <v>55011</v>
      </c>
      <c r="D2316" s="1">
        <v>1</v>
      </c>
      <c r="F2316" s="1">
        <v>2023</v>
      </c>
      <c r="G2316" s="1" t="s">
        <v>461</v>
      </c>
      <c r="H2316" s="1" t="s">
        <v>5430</v>
      </c>
      <c r="I2316" s="1">
        <v>5</v>
      </c>
      <c r="K2316" s="1" t="s">
        <v>1074</v>
      </c>
      <c r="L2316" s="1" t="s">
        <v>3931</v>
      </c>
      <c r="M2316" s="1">
        <v>55</v>
      </c>
      <c r="N2316" s="1" t="s">
        <v>1680</v>
      </c>
      <c r="O2316" s="1">
        <v>42.854300000000002</v>
      </c>
      <c r="P2316" s="1">
        <v>-88.729699999999994</v>
      </c>
      <c r="Q2316" s="1" t="s">
        <v>5431</v>
      </c>
      <c r="R2316" s="1" t="s">
        <v>41</v>
      </c>
      <c r="T2316" s="1" t="s">
        <v>71</v>
      </c>
      <c r="U2316" s="1" t="s">
        <v>44</v>
      </c>
      <c r="V2316" s="1" t="s">
        <v>94</v>
      </c>
      <c r="X2316" s="1" t="s">
        <v>223</v>
      </c>
      <c r="AA2316" s="3">
        <v>35507</v>
      </c>
      <c r="AB2316" s="1" t="s">
        <v>46</v>
      </c>
      <c r="AC2316" s="5">
        <v>2236</v>
      </c>
      <c r="AD2316" s="1" t="s">
        <v>5432</v>
      </c>
      <c r="AE2316" s="1" t="str">
        <f t="shared" si="167"/>
        <v>55011 1</v>
      </c>
      <c r="AF2316" s="14">
        <f>MID(AD2316,FIND("(",AD2316)+1,FIND(")",AD2316)-FIND("(",AD2316)-1)+197</f>
        <v>303.2</v>
      </c>
      <c r="AG2316" s="1" t="str">
        <f t="shared" si="166"/>
        <v>Y</v>
      </c>
    </row>
    <row r="2317" spans="1:33" x14ac:dyDescent="0.2">
      <c r="A2317" s="1" t="s">
        <v>383</v>
      </c>
      <c r="B2317" s="1" t="s">
        <v>5433</v>
      </c>
      <c r="C2317" s="1">
        <v>55015</v>
      </c>
      <c r="D2317" s="1">
        <v>1</v>
      </c>
      <c r="E2317" s="1" t="s">
        <v>1156</v>
      </c>
      <c r="F2317" s="1">
        <v>2023</v>
      </c>
      <c r="G2317" s="1" t="s">
        <v>346</v>
      </c>
      <c r="H2317" s="1" t="s">
        <v>5434</v>
      </c>
      <c r="I2317" s="1">
        <v>6</v>
      </c>
      <c r="J2317" s="1" t="s">
        <v>387</v>
      </c>
      <c r="K2317" s="1" t="s">
        <v>4794</v>
      </c>
      <c r="L2317" s="1" t="s">
        <v>4795</v>
      </c>
      <c r="M2317" s="1">
        <v>39</v>
      </c>
      <c r="N2317" s="1" t="s">
        <v>1680</v>
      </c>
      <c r="O2317" s="1">
        <v>29.072800000000001</v>
      </c>
      <c r="P2317" s="1">
        <v>-95.745000000000005</v>
      </c>
      <c r="Q2317" s="1" t="s">
        <v>5435</v>
      </c>
      <c r="R2317" s="1" t="s">
        <v>41</v>
      </c>
      <c r="T2317" s="1" t="s">
        <v>93</v>
      </c>
      <c r="U2317" s="1" t="s">
        <v>44</v>
      </c>
      <c r="V2317" s="1" t="s">
        <v>5436</v>
      </c>
      <c r="X2317" s="1" t="s">
        <v>140</v>
      </c>
      <c r="AA2317" s="3">
        <v>35643</v>
      </c>
      <c r="AB2317" s="1" t="s">
        <v>46</v>
      </c>
      <c r="AC2317" s="5">
        <v>2342</v>
      </c>
      <c r="AD2317" s="1" t="s">
        <v>5437</v>
      </c>
      <c r="AE2317" s="1" t="str">
        <f t="shared" si="167"/>
        <v>55015 1</v>
      </c>
      <c r="AF2317" s="5" t="str">
        <f t="shared" ref="AF2317:AF2326" si="168">MID(AD2317,FIND("(",AD2317)+1,FIND(")",AD2317)-FIND("(",AD2317)-1)</f>
        <v>115</v>
      </c>
      <c r="AG2317" s="1" t="str">
        <f t="shared" si="166"/>
        <v/>
      </c>
    </row>
    <row r="2318" spans="1:33" x14ac:dyDescent="0.2">
      <c r="A2318" s="1" t="s">
        <v>383</v>
      </c>
      <c r="B2318" s="1" t="s">
        <v>5433</v>
      </c>
      <c r="C2318" s="1">
        <v>55015</v>
      </c>
      <c r="D2318" s="1">
        <v>2</v>
      </c>
      <c r="E2318" s="1" t="s">
        <v>1156</v>
      </c>
      <c r="F2318" s="1">
        <v>2023</v>
      </c>
      <c r="G2318" s="1" t="s">
        <v>346</v>
      </c>
      <c r="H2318" s="1" t="s">
        <v>5434</v>
      </c>
      <c r="I2318" s="1">
        <v>6</v>
      </c>
      <c r="J2318" s="1" t="s">
        <v>387</v>
      </c>
      <c r="K2318" s="1" t="s">
        <v>4794</v>
      </c>
      <c r="L2318" s="1" t="s">
        <v>4795</v>
      </c>
      <c r="M2318" s="1">
        <v>39</v>
      </c>
      <c r="N2318" s="1" t="s">
        <v>1680</v>
      </c>
      <c r="O2318" s="1">
        <v>29.072800000000001</v>
      </c>
      <c r="P2318" s="1">
        <v>-95.745000000000005</v>
      </c>
      <c r="Q2318" s="1" t="s">
        <v>5435</v>
      </c>
      <c r="R2318" s="1" t="s">
        <v>41</v>
      </c>
      <c r="T2318" s="1" t="s">
        <v>93</v>
      </c>
      <c r="U2318" s="1" t="s">
        <v>44</v>
      </c>
      <c r="V2318" s="1" t="s">
        <v>5436</v>
      </c>
      <c r="X2318" s="1" t="s">
        <v>140</v>
      </c>
      <c r="AA2318" s="3">
        <v>35643</v>
      </c>
      <c r="AB2318" s="1" t="s">
        <v>46</v>
      </c>
      <c r="AC2318" s="5">
        <v>2342</v>
      </c>
      <c r="AD2318" s="1" t="s">
        <v>5438</v>
      </c>
      <c r="AE2318" s="1" t="str">
        <f t="shared" si="167"/>
        <v>55015 2</v>
      </c>
      <c r="AF2318" s="5" t="str">
        <f t="shared" si="168"/>
        <v>115</v>
      </c>
      <c r="AG2318" s="1" t="str">
        <f t="shared" si="166"/>
        <v/>
      </c>
    </row>
    <row r="2319" spans="1:33" x14ac:dyDescent="0.2">
      <c r="A2319" s="1" t="s">
        <v>383</v>
      </c>
      <c r="B2319" s="1" t="s">
        <v>5433</v>
      </c>
      <c r="C2319" s="1">
        <v>55015</v>
      </c>
      <c r="D2319" s="1">
        <v>3</v>
      </c>
      <c r="E2319" s="1" t="s">
        <v>1156</v>
      </c>
      <c r="F2319" s="1">
        <v>2023</v>
      </c>
      <c r="G2319" s="1" t="s">
        <v>346</v>
      </c>
      <c r="H2319" s="1" t="s">
        <v>5434</v>
      </c>
      <c r="I2319" s="1">
        <v>6</v>
      </c>
      <c r="J2319" s="1" t="s">
        <v>387</v>
      </c>
      <c r="K2319" s="1" t="s">
        <v>4794</v>
      </c>
      <c r="L2319" s="1" t="s">
        <v>4795</v>
      </c>
      <c r="M2319" s="1">
        <v>39</v>
      </c>
      <c r="N2319" s="1" t="s">
        <v>1680</v>
      </c>
      <c r="O2319" s="1">
        <v>29.072800000000001</v>
      </c>
      <c r="P2319" s="1">
        <v>-95.745000000000005</v>
      </c>
      <c r="Q2319" s="1" t="s">
        <v>5435</v>
      </c>
      <c r="R2319" s="1" t="s">
        <v>41</v>
      </c>
      <c r="T2319" s="1" t="s">
        <v>93</v>
      </c>
      <c r="U2319" s="1" t="s">
        <v>44</v>
      </c>
      <c r="V2319" s="1" t="s">
        <v>5436</v>
      </c>
      <c r="X2319" s="1" t="s">
        <v>140</v>
      </c>
      <c r="AA2319" s="3">
        <v>35643</v>
      </c>
      <c r="AB2319" s="1" t="s">
        <v>46</v>
      </c>
      <c r="AC2319" s="5">
        <v>2342</v>
      </c>
      <c r="AD2319" s="1" t="s">
        <v>5439</v>
      </c>
      <c r="AE2319" s="1" t="str">
        <f t="shared" si="167"/>
        <v>55015 3</v>
      </c>
      <c r="AF2319" s="5" t="str">
        <f t="shared" si="168"/>
        <v>115</v>
      </c>
      <c r="AG2319" s="1" t="str">
        <f t="shared" si="166"/>
        <v/>
      </c>
    </row>
    <row r="2320" spans="1:33" x14ac:dyDescent="0.2">
      <c r="A2320" s="1" t="s">
        <v>383</v>
      </c>
      <c r="B2320" s="1" t="s">
        <v>5433</v>
      </c>
      <c r="C2320" s="1">
        <v>55015</v>
      </c>
      <c r="D2320" s="1">
        <v>4</v>
      </c>
      <c r="E2320" s="1" t="s">
        <v>1156</v>
      </c>
      <c r="F2320" s="1">
        <v>2023</v>
      </c>
      <c r="G2320" s="1" t="s">
        <v>346</v>
      </c>
      <c r="H2320" s="1" t="s">
        <v>5434</v>
      </c>
      <c r="I2320" s="1">
        <v>6</v>
      </c>
      <c r="J2320" s="1" t="s">
        <v>387</v>
      </c>
      <c r="K2320" s="1" t="s">
        <v>4794</v>
      </c>
      <c r="L2320" s="1" t="s">
        <v>4795</v>
      </c>
      <c r="M2320" s="1">
        <v>39</v>
      </c>
      <c r="N2320" s="1" t="s">
        <v>1680</v>
      </c>
      <c r="O2320" s="1">
        <v>29.072800000000001</v>
      </c>
      <c r="P2320" s="1">
        <v>-95.745000000000005</v>
      </c>
      <c r="Q2320" s="1" t="s">
        <v>5435</v>
      </c>
      <c r="R2320" s="1" t="s">
        <v>41</v>
      </c>
      <c r="T2320" s="1" t="s">
        <v>93</v>
      </c>
      <c r="U2320" s="1" t="s">
        <v>44</v>
      </c>
      <c r="V2320" s="1" t="s">
        <v>5436</v>
      </c>
      <c r="X2320" s="1" t="s">
        <v>140</v>
      </c>
      <c r="AA2320" s="3">
        <v>36861</v>
      </c>
      <c r="AB2320" s="1" t="s">
        <v>46</v>
      </c>
      <c r="AC2320" s="5">
        <v>2342</v>
      </c>
      <c r="AD2320" s="1" t="s">
        <v>5440</v>
      </c>
      <c r="AE2320" s="1" t="str">
        <f t="shared" si="167"/>
        <v>55015 4</v>
      </c>
      <c r="AF2320" s="5" t="str">
        <f t="shared" si="168"/>
        <v>115</v>
      </c>
      <c r="AG2320" s="1" t="str">
        <f t="shared" si="166"/>
        <v/>
      </c>
    </row>
    <row r="2321" spans="1:33" x14ac:dyDescent="0.2">
      <c r="A2321" s="1" t="s">
        <v>1568</v>
      </c>
      <c r="B2321" s="1" t="s">
        <v>5441</v>
      </c>
      <c r="C2321" s="1">
        <v>55026</v>
      </c>
      <c r="D2321" s="1">
        <v>1</v>
      </c>
      <c r="F2321" s="1">
        <v>2023</v>
      </c>
      <c r="G2321" s="1" t="s">
        <v>579</v>
      </c>
      <c r="H2321" s="1">
        <v>3095</v>
      </c>
      <c r="I2321" s="1">
        <v>1</v>
      </c>
      <c r="K2321" s="1" t="s">
        <v>1617</v>
      </c>
      <c r="L2321" s="1" t="s">
        <v>1618</v>
      </c>
      <c r="M2321" s="1">
        <v>5</v>
      </c>
      <c r="N2321" s="1" t="s">
        <v>39</v>
      </c>
      <c r="O2321" s="1">
        <v>41.831200000000003</v>
      </c>
      <c r="P2321" s="1">
        <v>-71.123900000000006</v>
      </c>
      <c r="Q2321" s="1" t="s">
        <v>5442</v>
      </c>
      <c r="R2321" s="1" t="s">
        <v>41</v>
      </c>
      <c r="T2321" s="1" t="s">
        <v>71</v>
      </c>
      <c r="U2321" s="1" t="s">
        <v>44</v>
      </c>
      <c r="X2321" s="1" t="s">
        <v>223</v>
      </c>
      <c r="AA2321" s="3">
        <v>36283</v>
      </c>
      <c r="AB2321" s="1" t="s">
        <v>46</v>
      </c>
      <c r="AC2321" s="5">
        <v>1636</v>
      </c>
      <c r="AD2321" s="1" t="s">
        <v>5443</v>
      </c>
      <c r="AE2321" s="1" t="str">
        <f t="shared" si="167"/>
        <v>55026 1</v>
      </c>
      <c r="AF2321" s="5" t="str">
        <f t="shared" si="168"/>
        <v>170</v>
      </c>
      <c r="AG2321" s="1" t="str">
        <f t="shared" si="166"/>
        <v>Y</v>
      </c>
    </row>
    <row r="2322" spans="1:33" x14ac:dyDescent="0.2">
      <c r="A2322" s="1" t="s">
        <v>3167</v>
      </c>
      <c r="B2322" s="1" t="s">
        <v>5444</v>
      </c>
      <c r="C2322" s="1">
        <v>55029</v>
      </c>
      <c r="D2322" s="1" t="s">
        <v>5445</v>
      </c>
      <c r="F2322" s="1">
        <v>2023</v>
      </c>
      <c r="G2322" s="1" t="s">
        <v>461</v>
      </c>
      <c r="H2322" s="1" t="s">
        <v>3193</v>
      </c>
      <c r="I2322" s="1">
        <v>5</v>
      </c>
      <c r="K2322" s="1" t="s">
        <v>1713</v>
      </c>
      <c r="L2322" s="1" t="s">
        <v>3217</v>
      </c>
      <c r="M2322" s="1">
        <v>9</v>
      </c>
      <c r="N2322" s="1" t="s">
        <v>39</v>
      </c>
      <c r="O2322" s="1">
        <v>44.448900000000002</v>
      </c>
      <c r="P2322" s="1">
        <v>-88.073099999999997</v>
      </c>
      <c r="Q2322" s="1" t="s">
        <v>3218</v>
      </c>
      <c r="R2322" s="1" t="s">
        <v>41</v>
      </c>
      <c r="T2322" s="1" t="s">
        <v>93</v>
      </c>
      <c r="U2322" s="1" t="s">
        <v>44</v>
      </c>
      <c r="V2322" s="1" t="s">
        <v>94</v>
      </c>
      <c r="X2322" s="1" t="s">
        <v>95</v>
      </c>
      <c r="AA2322" s="3">
        <v>36312</v>
      </c>
      <c r="AB2322" s="1" t="s">
        <v>46</v>
      </c>
      <c r="AC2322" s="5">
        <v>2193</v>
      </c>
      <c r="AD2322" s="1" t="s">
        <v>5446</v>
      </c>
      <c r="AE2322" s="1" t="str">
        <f t="shared" si="167"/>
        <v>55029 B01</v>
      </c>
      <c r="AF2322" s="5" t="str">
        <f t="shared" si="168"/>
        <v>187.3</v>
      </c>
      <c r="AG2322" s="1" t="str">
        <f t="shared" si="166"/>
        <v/>
      </c>
    </row>
    <row r="2323" spans="1:33" x14ac:dyDescent="0.2">
      <c r="A2323" s="1" t="s">
        <v>1505</v>
      </c>
      <c r="B2323" s="1" t="s">
        <v>5447</v>
      </c>
      <c r="C2323" s="1">
        <v>55031</v>
      </c>
      <c r="D2323" s="1" t="s">
        <v>993</v>
      </c>
      <c r="F2323" s="1">
        <v>2023</v>
      </c>
      <c r="G2323" s="1" t="s">
        <v>247</v>
      </c>
      <c r="H2323" s="1" t="s">
        <v>5448</v>
      </c>
      <c r="I2323" s="1">
        <v>1</v>
      </c>
      <c r="J2323" s="1" t="s">
        <v>580</v>
      </c>
      <c r="K2323" s="1" t="s">
        <v>357</v>
      </c>
      <c r="L2323" s="1" t="s">
        <v>5449</v>
      </c>
      <c r="M2323" s="1">
        <v>7</v>
      </c>
      <c r="N2323" s="1" t="s">
        <v>1680</v>
      </c>
      <c r="O2323" s="1">
        <v>44.506</v>
      </c>
      <c r="P2323" s="1">
        <v>-70.242000000000004</v>
      </c>
      <c r="Q2323" s="1" t="s">
        <v>5450</v>
      </c>
      <c r="R2323" s="1" t="s">
        <v>41</v>
      </c>
      <c r="T2323" s="1" t="s">
        <v>93</v>
      </c>
      <c r="U2323" s="1" t="s">
        <v>44</v>
      </c>
      <c r="V2323" s="1" t="s">
        <v>94</v>
      </c>
      <c r="X2323" s="1" t="s">
        <v>223</v>
      </c>
      <c r="AA2323" s="3">
        <v>36457</v>
      </c>
      <c r="AB2323" s="1" t="s">
        <v>46</v>
      </c>
      <c r="AC2323" s="5">
        <v>979</v>
      </c>
      <c r="AD2323" s="1" t="s">
        <v>5451</v>
      </c>
      <c r="AE2323" s="1" t="str">
        <f t="shared" si="167"/>
        <v>55031 CT01</v>
      </c>
      <c r="AF2323" s="5" t="str">
        <f t="shared" si="168"/>
        <v>54.6</v>
      </c>
      <c r="AG2323" s="1" t="str">
        <f t="shared" si="166"/>
        <v>Y</v>
      </c>
    </row>
    <row r="2324" spans="1:33" x14ac:dyDescent="0.2">
      <c r="A2324" s="1" t="s">
        <v>1505</v>
      </c>
      <c r="B2324" s="1" t="s">
        <v>5447</v>
      </c>
      <c r="C2324" s="1">
        <v>55031</v>
      </c>
      <c r="D2324" s="1" t="s">
        <v>998</v>
      </c>
      <c r="F2324" s="1">
        <v>2023</v>
      </c>
      <c r="G2324" s="1" t="s">
        <v>247</v>
      </c>
      <c r="H2324" s="1" t="s">
        <v>5448</v>
      </c>
      <c r="I2324" s="1">
        <v>1</v>
      </c>
      <c r="J2324" s="1" t="s">
        <v>580</v>
      </c>
      <c r="K2324" s="1" t="s">
        <v>357</v>
      </c>
      <c r="L2324" s="1" t="s">
        <v>5449</v>
      </c>
      <c r="M2324" s="1">
        <v>7</v>
      </c>
      <c r="N2324" s="1" t="s">
        <v>1680</v>
      </c>
      <c r="O2324" s="1">
        <v>44.506</v>
      </c>
      <c r="P2324" s="1">
        <v>-70.242000000000004</v>
      </c>
      <c r="Q2324" s="1" t="s">
        <v>5450</v>
      </c>
      <c r="R2324" s="1" t="s">
        <v>41</v>
      </c>
      <c r="T2324" s="1" t="s">
        <v>93</v>
      </c>
      <c r="U2324" s="1" t="s">
        <v>44</v>
      </c>
      <c r="V2324" s="1" t="s">
        <v>94</v>
      </c>
      <c r="X2324" s="1" t="s">
        <v>223</v>
      </c>
      <c r="AA2324" s="3">
        <v>36483</v>
      </c>
      <c r="AB2324" s="1" t="s">
        <v>46</v>
      </c>
      <c r="AC2324" s="5">
        <v>979</v>
      </c>
      <c r="AD2324" s="1" t="s">
        <v>5452</v>
      </c>
      <c r="AE2324" s="1" t="str">
        <f t="shared" si="167"/>
        <v>55031 CT02</v>
      </c>
      <c r="AF2324" s="5" t="str">
        <f t="shared" si="168"/>
        <v>54.6</v>
      </c>
      <c r="AG2324" s="1" t="str">
        <f t="shared" si="166"/>
        <v>Y</v>
      </c>
    </row>
    <row r="2325" spans="1:33" x14ac:dyDescent="0.2">
      <c r="A2325" s="1" t="s">
        <v>1505</v>
      </c>
      <c r="B2325" s="1" t="s">
        <v>5447</v>
      </c>
      <c r="C2325" s="1">
        <v>55031</v>
      </c>
      <c r="D2325" s="1" t="s">
        <v>1043</v>
      </c>
      <c r="F2325" s="1">
        <v>2023</v>
      </c>
      <c r="G2325" s="1" t="s">
        <v>247</v>
      </c>
      <c r="H2325" s="1" t="s">
        <v>5448</v>
      </c>
      <c r="I2325" s="1">
        <v>1</v>
      </c>
      <c r="J2325" s="1" t="s">
        <v>580</v>
      </c>
      <c r="K2325" s="1" t="s">
        <v>357</v>
      </c>
      <c r="L2325" s="1" t="s">
        <v>5449</v>
      </c>
      <c r="M2325" s="1">
        <v>7</v>
      </c>
      <c r="N2325" s="1" t="s">
        <v>1680</v>
      </c>
      <c r="O2325" s="1">
        <v>44.506</v>
      </c>
      <c r="P2325" s="1">
        <v>-70.242000000000004</v>
      </c>
      <c r="Q2325" s="1" t="s">
        <v>5450</v>
      </c>
      <c r="R2325" s="1" t="s">
        <v>41</v>
      </c>
      <c r="T2325" s="1" t="s">
        <v>93</v>
      </c>
      <c r="U2325" s="1" t="s">
        <v>44</v>
      </c>
      <c r="V2325" s="1" t="s">
        <v>94</v>
      </c>
      <c r="X2325" s="1" t="s">
        <v>223</v>
      </c>
      <c r="AA2325" s="3">
        <v>36717</v>
      </c>
      <c r="AB2325" s="1" t="s">
        <v>46</v>
      </c>
      <c r="AC2325" s="5">
        <v>979</v>
      </c>
      <c r="AD2325" s="1" t="s">
        <v>5453</v>
      </c>
      <c r="AE2325" s="1" t="str">
        <f t="shared" si="167"/>
        <v>55031 CT03</v>
      </c>
      <c r="AF2325" s="5" t="str">
        <f t="shared" si="168"/>
        <v>54.6</v>
      </c>
      <c r="AG2325" s="1" t="str">
        <f t="shared" si="166"/>
        <v>Y</v>
      </c>
    </row>
    <row r="2326" spans="1:33" x14ac:dyDescent="0.2">
      <c r="A2326" s="1" t="s">
        <v>2054</v>
      </c>
      <c r="B2326" s="1" t="s">
        <v>5454</v>
      </c>
      <c r="C2326" s="1">
        <v>55039</v>
      </c>
      <c r="D2326" s="1" t="s">
        <v>1155</v>
      </c>
      <c r="F2326" s="1">
        <v>2023</v>
      </c>
      <c r="G2326" s="1" t="s">
        <v>247</v>
      </c>
      <c r="H2326" s="1">
        <v>608871</v>
      </c>
      <c r="I2326" s="1">
        <v>6</v>
      </c>
      <c r="K2326" s="1" t="s">
        <v>2076</v>
      </c>
      <c r="L2326" s="1" t="s">
        <v>2077</v>
      </c>
      <c r="M2326" s="1">
        <v>1</v>
      </c>
      <c r="N2326" s="1" t="s">
        <v>39</v>
      </c>
      <c r="O2326" s="1">
        <v>35.026000000000003</v>
      </c>
      <c r="P2326" s="1">
        <v>-106.64400000000001</v>
      </c>
      <c r="Q2326" s="1" t="s">
        <v>2078</v>
      </c>
      <c r="R2326" s="1" t="s">
        <v>41</v>
      </c>
      <c r="T2326" s="1" t="s">
        <v>93</v>
      </c>
      <c r="U2326" s="1" t="s">
        <v>44</v>
      </c>
      <c r="V2326" s="1" t="s">
        <v>94</v>
      </c>
      <c r="X2326" s="1" t="s">
        <v>183</v>
      </c>
      <c r="AA2326" s="3">
        <v>36661</v>
      </c>
      <c r="AB2326" s="1" t="s">
        <v>46</v>
      </c>
      <c r="AC2326" s="5">
        <v>2600</v>
      </c>
      <c r="AD2326" s="1" t="s">
        <v>174</v>
      </c>
      <c r="AE2326" s="1" t="str">
        <f t="shared" si="167"/>
        <v>55039 GT-1</v>
      </c>
      <c r="AF2326" s="5" t="str">
        <f t="shared" si="168"/>
        <v>150</v>
      </c>
      <c r="AG2326" s="1" t="str">
        <f t="shared" si="166"/>
        <v/>
      </c>
    </row>
    <row r="2327" spans="1:33" x14ac:dyDescent="0.2">
      <c r="A2327" s="1" t="s">
        <v>921</v>
      </c>
      <c r="B2327" s="1" t="s">
        <v>5455</v>
      </c>
      <c r="C2327" s="1">
        <v>55040</v>
      </c>
      <c r="D2327" s="1">
        <v>1</v>
      </c>
      <c r="F2327" s="1">
        <v>2023</v>
      </c>
      <c r="G2327" s="1" t="s">
        <v>952</v>
      </c>
      <c r="H2327" s="1">
        <v>604224</v>
      </c>
      <c r="I2327" s="1">
        <v>4</v>
      </c>
      <c r="K2327" s="1" t="s">
        <v>4089</v>
      </c>
      <c r="L2327" s="1" t="s">
        <v>4090</v>
      </c>
      <c r="M2327" s="1">
        <v>153</v>
      </c>
      <c r="N2327" s="1" t="s">
        <v>1680</v>
      </c>
      <c r="O2327" s="1">
        <v>32.485300000000002</v>
      </c>
      <c r="P2327" s="1">
        <v>-83.6036</v>
      </c>
      <c r="Q2327" s="1" t="s">
        <v>5456</v>
      </c>
      <c r="R2327" s="1" t="s">
        <v>41</v>
      </c>
      <c r="T2327" s="1" t="s">
        <v>71</v>
      </c>
      <c r="U2327" s="1" t="s">
        <v>44</v>
      </c>
      <c r="V2327" s="1" t="s">
        <v>94</v>
      </c>
      <c r="X2327" s="1" t="s">
        <v>643</v>
      </c>
      <c r="AA2327" s="3">
        <v>35733</v>
      </c>
      <c r="AB2327" s="1" t="s">
        <v>46</v>
      </c>
      <c r="AC2327" s="5">
        <v>1375</v>
      </c>
      <c r="AD2327" s="1" t="s">
        <v>5457</v>
      </c>
      <c r="AE2327" s="1" t="str">
        <f t="shared" si="167"/>
        <v>55040 1</v>
      </c>
      <c r="AF2327" s="14">
        <f>AF2328</f>
        <v>161.5</v>
      </c>
      <c r="AG2327" s="1" t="str">
        <f t="shared" si="166"/>
        <v>Y</v>
      </c>
    </row>
    <row r="2328" spans="1:33" x14ac:dyDescent="0.2">
      <c r="A2328" s="1" t="s">
        <v>921</v>
      </c>
      <c r="B2328" s="1" t="s">
        <v>5455</v>
      </c>
      <c r="C2328" s="1">
        <v>55040</v>
      </c>
      <c r="D2328" s="1">
        <v>2</v>
      </c>
      <c r="F2328" s="1">
        <v>2023</v>
      </c>
      <c r="G2328" s="1" t="s">
        <v>952</v>
      </c>
      <c r="H2328" s="1">
        <v>604224</v>
      </c>
      <c r="I2328" s="1">
        <v>4</v>
      </c>
      <c r="K2328" s="1" t="s">
        <v>4089</v>
      </c>
      <c r="L2328" s="1" t="s">
        <v>4090</v>
      </c>
      <c r="M2328" s="1">
        <v>153</v>
      </c>
      <c r="N2328" s="1" t="s">
        <v>1680</v>
      </c>
      <c r="O2328" s="1">
        <v>32.485300000000002</v>
      </c>
      <c r="P2328" s="1">
        <v>-83.6036</v>
      </c>
      <c r="Q2328" s="1" t="s">
        <v>5456</v>
      </c>
      <c r="R2328" s="1" t="s">
        <v>41</v>
      </c>
      <c r="T2328" s="1" t="s">
        <v>71</v>
      </c>
      <c r="U2328" s="1" t="s">
        <v>44</v>
      </c>
      <c r="V2328" s="1" t="s">
        <v>94</v>
      </c>
      <c r="X2328" s="1" t="s">
        <v>643</v>
      </c>
      <c r="AA2328" s="3">
        <v>35828</v>
      </c>
      <c r="AB2328" s="1" t="s">
        <v>46</v>
      </c>
      <c r="AC2328" s="5">
        <v>1920</v>
      </c>
      <c r="AD2328" s="1" t="s">
        <v>5458</v>
      </c>
      <c r="AE2328" s="1" t="str">
        <f t="shared" si="167"/>
        <v>55040 2</v>
      </c>
      <c r="AF2328" s="14">
        <f>MID(AD2328,FIND("(",AD2328)+1,FIND(")",AD2328)-FIND("(",AD2328)-1)+110/2</f>
        <v>161.5</v>
      </c>
      <c r="AG2328" s="1" t="str">
        <f t="shared" si="166"/>
        <v>Y</v>
      </c>
    </row>
    <row r="2329" spans="1:33" x14ac:dyDescent="0.2">
      <c r="A2329" s="1" t="s">
        <v>1568</v>
      </c>
      <c r="B2329" s="1" t="s">
        <v>5459</v>
      </c>
      <c r="C2329" s="1">
        <v>55041</v>
      </c>
      <c r="D2329" s="1">
        <v>1</v>
      </c>
      <c r="F2329" s="1">
        <v>2023</v>
      </c>
      <c r="G2329" s="1" t="s">
        <v>579</v>
      </c>
      <c r="H2329" s="1">
        <v>604188</v>
      </c>
      <c r="I2329" s="1">
        <v>1</v>
      </c>
      <c r="J2329" s="1" t="s">
        <v>580</v>
      </c>
      <c r="K2329" s="1" t="s">
        <v>3504</v>
      </c>
      <c r="L2329" s="1" t="s">
        <v>3505</v>
      </c>
      <c r="M2329" s="1">
        <v>13</v>
      </c>
      <c r="N2329" s="1" t="s">
        <v>39</v>
      </c>
      <c r="O2329" s="1">
        <v>42.047600000000003</v>
      </c>
      <c r="P2329" s="1">
        <v>-72.647800000000004</v>
      </c>
      <c r="Q2329" s="1" t="s">
        <v>5460</v>
      </c>
      <c r="R2329" s="1" t="s">
        <v>41</v>
      </c>
      <c r="T2329" s="1" t="s">
        <v>71</v>
      </c>
      <c r="U2329" s="1" t="s">
        <v>44</v>
      </c>
      <c r="X2329" s="1" t="s">
        <v>223</v>
      </c>
      <c r="AA2329" s="3">
        <v>36431</v>
      </c>
      <c r="AB2329" s="1" t="s">
        <v>46</v>
      </c>
      <c r="AC2329" s="5">
        <v>2112</v>
      </c>
      <c r="AD2329" s="1" t="s">
        <v>5461</v>
      </c>
      <c r="AE2329" s="1" t="str">
        <f t="shared" si="167"/>
        <v>55041 1</v>
      </c>
      <c r="AF2329" s="5" t="str">
        <f>MID(AD2329,FIND("(",AD2329)+1,FIND(")",AD2329)-FIND("(",AD2329)-1)</f>
        <v>289</v>
      </c>
      <c r="AG2329" s="1" t="str">
        <f t="shared" si="166"/>
        <v>Y</v>
      </c>
    </row>
    <row r="2330" spans="1:33" x14ac:dyDescent="0.2">
      <c r="A2330" s="1" t="s">
        <v>577</v>
      </c>
      <c r="B2330" s="1" t="s">
        <v>5462</v>
      </c>
      <c r="C2330" s="1">
        <v>55042</v>
      </c>
      <c r="D2330" s="1" t="s">
        <v>5463</v>
      </c>
      <c r="F2330" s="1">
        <v>2023</v>
      </c>
      <c r="G2330" s="1" t="s">
        <v>579</v>
      </c>
      <c r="H2330" s="1">
        <v>2709</v>
      </c>
      <c r="I2330" s="1">
        <v>1</v>
      </c>
      <c r="K2330" s="1" t="s">
        <v>647</v>
      </c>
      <c r="L2330" s="1" t="s">
        <v>648</v>
      </c>
      <c r="M2330" s="1">
        <v>1</v>
      </c>
      <c r="N2330" s="1" t="s">
        <v>39</v>
      </c>
      <c r="O2330" s="1">
        <v>41.169199999999996</v>
      </c>
      <c r="P2330" s="1">
        <v>-73.184399999999997</v>
      </c>
      <c r="Q2330" s="1" t="s">
        <v>5464</v>
      </c>
      <c r="R2330" s="1" t="s">
        <v>41</v>
      </c>
      <c r="T2330" s="1" t="s">
        <v>71</v>
      </c>
      <c r="U2330" s="1" t="s">
        <v>44</v>
      </c>
      <c r="X2330" s="1" t="s">
        <v>223</v>
      </c>
      <c r="AA2330" s="3">
        <v>36003</v>
      </c>
      <c r="AB2330" s="1" t="s">
        <v>46</v>
      </c>
      <c r="AC2330" s="5">
        <v>2100</v>
      </c>
      <c r="AD2330" s="1" t="s">
        <v>5465</v>
      </c>
      <c r="AE2330" s="1" t="str">
        <f t="shared" si="167"/>
        <v>55042 BE1</v>
      </c>
      <c r="AF2330" s="14">
        <f>AF2331</f>
        <v>260</v>
      </c>
      <c r="AG2330" s="1" t="str">
        <f t="shared" si="166"/>
        <v>Y</v>
      </c>
    </row>
    <row r="2331" spans="1:33" x14ac:dyDescent="0.2">
      <c r="A2331" s="1" t="s">
        <v>577</v>
      </c>
      <c r="B2331" s="1" t="s">
        <v>5462</v>
      </c>
      <c r="C2331" s="1">
        <v>55042</v>
      </c>
      <c r="D2331" s="1" t="s">
        <v>5466</v>
      </c>
      <c r="F2331" s="1">
        <v>2023</v>
      </c>
      <c r="G2331" s="1" t="s">
        <v>579</v>
      </c>
      <c r="H2331" s="1">
        <v>2709</v>
      </c>
      <c r="I2331" s="1">
        <v>1</v>
      </c>
      <c r="K2331" s="1" t="s">
        <v>647</v>
      </c>
      <c r="L2331" s="1" t="s">
        <v>648</v>
      </c>
      <c r="M2331" s="1">
        <v>1</v>
      </c>
      <c r="N2331" s="1" t="s">
        <v>39</v>
      </c>
      <c r="O2331" s="1">
        <v>41.169199999999996</v>
      </c>
      <c r="P2331" s="1">
        <v>-73.184399999999997</v>
      </c>
      <c r="Q2331" s="1" t="s">
        <v>5464</v>
      </c>
      <c r="R2331" s="1" t="s">
        <v>41</v>
      </c>
      <c r="T2331" s="1" t="s">
        <v>71</v>
      </c>
      <c r="U2331" s="1" t="s">
        <v>44</v>
      </c>
      <c r="X2331" s="1" t="s">
        <v>223</v>
      </c>
      <c r="AA2331" s="3">
        <v>36003</v>
      </c>
      <c r="AB2331" s="1" t="s">
        <v>46</v>
      </c>
      <c r="AC2331" s="5">
        <v>2100</v>
      </c>
      <c r="AD2331" s="1" t="s">
        <v>5467</v>
      </c>
      <c r="AE2331" s="1" t="str">
        <f t="shared" si="167"/>
        <v>55042 BE2</v>
      </c>
      <c r="AF2331" s="14">
        <f>MID(AD2331,FIND("(",AD2331)+1,FIND(")",AD2331)-FIND("(",AD2331)-1)+180/2</f>
        <v>260</v>
      </c>
      <c r="AG2331" s="1" t="str">
        <f t="shared" si="166"/>
        <v>Y</v>
      </c>
    </row>
    <row r="2332" spans="1:33" x14ac:dyDescent="0.2">
      <c r="A2332" s="1" t="s">
        <v>291</v>
      </c>
      <c r="B2332" s="1" t="s">
        <v>5468</v>
      </c>
      <c r="C2332" s="1">
        <v>55043</v>
      </c>
      <c r="D2332" s="1" t="s">
        <v>5469</v>
      </c>
      <c r="F2332" s="1">
        <v>2023</v>
      </c>
      <c r="G2332" s="1" t="s">
        <v>2690</v>
      </c>
      <c r="H2332" s="1">
        <v>605624</v>
      </c>
      <c r="I2332" s="1">
        <v>4</v>
      </c>
      <c r="K2332" s="1" t="s">
        <v>1275</v>
      </c>
      <c r="L2332" s="1" t="s">
        <v>4575</v>
      </c>
      <c r="M2332" s="1">
        <v>21</v>
      </c>
      <c r="N2332" s="1" t="s">
        <v>1680</v>
      </c>
      <c r="O2332" s="1">
        <v>35.072699999999998</v>
      </c>
      <c r="P2332" s="1">
        <v>-81.613</v>
      </c>
      <c r="Q2332" s="1" t="s">
        <v>5470</v>
      </c>
      <c r="R2332" s="1" t="s">
        <v>41</v>
      </c>
      <c r="T2332" s="1" t="s">
        <v>71</v>
      </c>
      <c r="U2332" s="1" t="s">
        <v>44</v>
      </c>
      <c r="X2332" s="1" t="s">
        <v>223</v>
      </c>
      <c r="AA2332" s="3">
        <v>35977</v>
      </c>
      <c r="AB2332" s="1" t="s">
        <v>46</v>
      </c>
      <c r="AC2332" s="5">
        <v>910</v>
      </c>
      <c r="AD2332" s="1" t="s">
        <v>5471</v>
      </c>
      <c r="AE2332" s="1" t="str">
        <f t="shared" si="167"/>
        <v>55043 CCCP1</v>
      </c>
      <c r="AF2332" s="14">
        <f>MID(AD2332,FIND("(",AD2332)+1,FIND(")",AD2332)-FIND("(",AD2332)-1)+41.2</f>
        <v>117.7</v>
      </c>
      <c r="AG2332" s="1" t="str">
        <f t="shared" si="166"/>
        <v>Y</v>
      </c>
    </row>
    <row r="2333" spans="1:33" x14ac:dyDescent="0.2">
      <c r="A2333" s="1" t="s">
        <v>383</v>
      </c>
      <c r="B2333" s="1" t="s">
        <v>5472</v>
      </c>
      <c r="C2333" s="1">
        <v>55047</v>
      </c>
      <c r="D2333" s="1" t="s">
        <v>5473</v>
      </c>
      <c r="F2333" s="1">
        <v>2023</v>
      </c>
      <c r="G2333" s="1" t="s">
        <v>346</v>
      </c>
      <c r="H2333" s="1" t="s">
        <v>5474</v>
      </c>
      <c r="I2333" s="1">
        <v>6</v>
      </c>
      <c r="K2333" s="1" t="s">
        <v>4063</v>
      </c>
      <c r="L2333" s="1" t="s">
        <v>4064</v>
      </c>
      <c r="M2333" s="1">
        <v>201</v>
      </c>
      <c r="N2333" s="1" t="s">
        <v>1680</v>
      </c>
      <c r="O2333" s="1">
        <v>29.723299999999998</v>
      </c>
      <c r="P2333" s="1">
        <v>-95.176900000000003</v>
      </c>
      <c r="Q2333" s="1" t="s">
        <v>5475</v>
      </c>
      <c r="R2333" s="1" t="s">
        <v>41</v>
      </c>
      <c r="T2333" s="1" t="s">
        <v>71</v>
      </c>
      <c r="U2333" s="1" t="s">
        <v>44</v>
      </c>
      <c r="X2333" s="1" t="s">
        <v>64</v>
      </c>
      <c r="AA2333" s="3">
        <v>35977</v>
      </c>
      <c r="AB2333" s="1" t="s">
        <v>46</v>
      </c>
      <c r="AC2333" s="5">
        <v>1910</v>
      </c>
      <c r="AD2333" s="1" t="s">
        <v>5476</v>
      </c>
      <c r="AE2333" s="1" t="str">
        <f t="shared" si="167"/>
        <v>55047 CG-1</v>
      </c>
      <c r="AF2333" s="14">
        <f>MID(AD2333,FIND("(",AD2333)+1,FIND(")",AD2333)-FIND("(",AD2333)-1)+175</f>
        <v>260</v>
      </c>
      <c r="AG2333" s="1" t="str">
        <f t="shared" si="166"/>
        <v>Y</v>
      </c>
    </row>
    <row r="2334" spans="1:33" x14ac:dyDescent="0.2">
      <c r="A2334" s="1" t="s">
        <v>383</v>
      </c>
      <c r="B2334" s="1" t="s">
        <v>5472</v>
      </c>
      <c r="C2334" s="1">
        <v>55047</v>
      </c>
      <c r="D2334" s="1" t="s">
        <v>5477</v>
      </c>
      <c r="F2334" s="1">
        <v>2023</v>
      </c>
      <c r="G2334" s="1" t="s">
        <v>346</v>
      </c>
      <c r="H2334" s="1" t="s">
        <v>5474</v>
      </c>
      <c r="I2334" s="1">
        <v>6</v>
      </c>
      <c r="K2334" s="1" t="s">
        <v>4063</v>
      </c>
      <c r="L2334" s="1" t="s">
        <v>4064</v>
      </c>
      <c r="M2334" s="1">
        <v>201</v>
      </c>
      <c r="N2334" s="1" t="s">
        <v>1680</v>
      </c>
      <c r="O2334" s="1">
        <v>29.723299999999998</v>
      </c>
      <c r="P2334" s="1">
        <v>-95.176900000000003</v>
      </c>
      <c r="Q2334" s="1" t="s">
        <v>5475</v>
      </c>
      <c r="R2334" s="1" t="s">
        <v>41</v>
      </c>
      <c r="T2334" s="1" t="s">
        <v>71</v>
      </c>
      <c r="U2334" s="1" t="s">
        <v>44</v>
      </c>
      <c r="X2334" s="1" t="s">
        <v>64</v>
      </c>
      <c r="AA2334" s="3">
        <v>36708</v>
      </c>
      <c r="AB2334" s="1" t="s">
        <v>46</v>
      </c>
      <c r="AC2334" s="5">
        <v>1960</v>
      </c>
      <c r="AD2334" s="1" t="s">
        <v>5478</v>
      </c>
      <c r="AE2334" s="1" t="str">
        <f t="shared" si="167"/>
        <v>55047 CG-2</v>
      </c>
      <c r="AF2334" s="14">
        <f>AF2335</f>
        <v>277.5</v>
      </c>
      <c r="AG2334" s="1" t="str">
        <f t="shared" si="166"/>
        <v>Y</v>
      </c>
    </row>
    <row r="2335" spans="1:33" x14ac:dyDescent="0.2">
      <c r="A2335" s="1" t="s">
        <v>383</v>
      </c>
      <c r="B2335" s="1" t="s">
        <v>5472</v>
      </c>
      <c r="C2335" s="1">
        <v>55047</v>
      </c>
      <c r="D2335" s="1" t="s">
        <v>5479</v>
      </c>
      <c r="F2335" s="1">
        <v>2023</v>
      </c>
      <c r="G2335" s="1" t="s">
        <v>346</v>
      </c>
      <c r="H2335" s="1" t="s">
        <v>5474</v>
      </c>
      <c r="I2335" s="1">
        <v>6</v>
      </c>
      <c r="K2335" s="1" t="s">
        <v>4063</v>
      </c>
      <c r="L2335" s="1" t="s">
        <v>4064</v>
      </c>
      <c r="M2335" s="1">
        <v>201</v>
      </c>
      <c r="N2335" s="1" t="s">
        <v>1680</v>
      </c>
      <c r="O2335" s="1">
        <v>29.723299999999998</v>
      </c>
      <c r="P2335" s="1">
        <v>-95.176900000000003</v>
      </c>
      <c r="Q2335" s="1" t="s">
        <v>5475</v>
      </c>
      <c r="R2335" s="1" t="s">
        <v>41</v>
      </c>
      <c r="T2335" s="1" t="s">
        <v>71</v>
      </c>
      <c r="U2335" s="1" t="s">
        <v>44</v>
      </c>
      <c r="X2335" s="1" t="s">
        <v>64</v>
      </c>
      <c r="AA2335" s="3">
        <v>36708</v>
      </c>
      <c r="AB2335" s="1" t="s">
        <v>46</v>
      </c>
      <c r="AC2335" s="5">
        <v>1980</v>
      </c>
      <c r="AD2335" s="1" t="s">
        <v>5480</v>
      </c>
      <c r="AE2335" s="1" t="str">
        <f t="shared" si="167"/>
        <v>55047 CG-3</v>
      </c>
      <c r="AF2335" s="14">
        <f>MID(AD2335,FIND("(",AD2335)+1,FIND(")",AD2335)-FIND("(",AD2335)-1)+185/2</f>
        <v>277.5</v>
      </c>
      <c r="AG2335" s="1" t="str">
        <f t="shared" si="166"/>
        <v>Y</v>
      </c>
    </row>
    <row r="2336" spans="1:33" x14ac:dyDescent="0.2">
      <c r="A2336" s="1" t="s">
        <v>2680</v>
      </c>
      <c r="B2336" s="1" t="s">
        <v>5481</v>
      </c>
      <c r="C2336" s="1">
        <v>55048</v>
      </c>
      <c r="D2336" s="1">
        <v>1</v>
      </c>
      <c r="F2336" s="1">
        <v>2023</v>
      </c>
      <c r="G2336" s="1" t="s">
        <v>579</v>
      </c>
      <c r="H2336" s="1" t="s">
        <v>5482</v>
      </c>
      <c r="I2336" s="1">
        <v>1</v>
      </c>
      <c r="J2336" s="1" t="s">
        <v>580</v>
      </c>
      <c r="K2336" s="1" t="s">
        <v>5483</v>
      </c>
      <c r="L2336" s="1" t="s">
        <v>5484</v>
      </c>
      <c r="M2336" s="1">
        <v>5</v>
      </c>
      <c r="N2336" s="1" t="s">
        <v>39</v>
      </c>
      <c r="O2336" s="1">
        <v>41.6417</v>
      </c>
      <c r="P2336" s="1">
        <v>-71.17</v>
      </c>
      <c r="Q2336" s="1" t="s">
        <v>5485</v>
      </c>
      <c r="R2336" s="1" t="s">
        <v>41</v>
      </c>
      <c r="T2336" s="1" t="s">
        <v>71</v>
      </c>
      <c r="U2336" s="1" t="s">
        <v>44</v>
      </c>
      <c r="X2336" s="1" t="s">
        <v>223</v>
      </c>
      <c r="AA2336" s="3">
        <v>36557</v>
      </c>
      <c r="AB2336" s="1" t="s">
        <v>46</v>
      </c>
      <c r="AC2336" s="5">
        <v>2130</v>
      </c>
      <c r="AD2336" s="1" t="s">
        <v>5486</v>
      </c>
      <c r="AE2336" s="1" t="str">
        <f t="shared" si="167"/>
        <v>55048 1</v>
      </c>
      <c r="AF2336" s="14">
        <f>MID(AD2336,FIND("(",AD2336)+1,FIND(")",AD2336)-FIND("(",AD2336)-1)+179.3</f>
        <v>272.5</v>
      </c>
      <c r="AG2336" s="1" t="str">
        <f t="shared" si="166"/>
        <v>Y</v>
      </c>
    </row>
    <row r="2337" spans="1:33" x14ac:dyDescent="0.2">
      <c r="A2337" s="1" t="s">
        <v>921</v>
      </c>
      <c r="B2337" s="1" t="s">
        <v>5487</v>
      </c>
      <c r="C2337" s="1">
        <v>55061</v>
      </c>
      <c r="D2337" s="1" t="s">
        <v>311</v>
      </c>
      <c r="F2337" s="1">
        <v>2023</v>
      </c>
      <c r="G2337" s="1" t="s">
        <v>952</v>
      </c>
      <c r="H2337" s="1">
        <v>604188</v>
      </c>
      <c r="I2337" s="1">
        <v>4</v>
      </c>
      <c r="J2337" s="1" t="s">
        <v>36</v>
      </c>
      <c r="K2337" s="1" t="s">
        <v>4509</v>
      </c>
      <c r="L2337" s="1" t="s">
        <v>4510</v>
      </c>
      <c r="M2337" s="1">
        <v>149</v>
      </c>
      <c r="N2337" s="1" t="s">
        <v>39</v>
      </c>
      <c r="O2337" s="1">
        <v>33.351599999999998</v>
      </c>
      <c r="P2337" s="1">
        <v>-84.999600000000001</v>
      </c>
      <c r="Q2337" s="1" t="s">
        <v>5488</v>
      </c>
      <c r="R2337" s="1" t="s">
        <v>41</v>
      </c>
      <c r="T2337" s="1" t="s">
        <v>93</v>
      </c>
      <c r="U2337" s="1" t="s">
        <v>44</v>
      </c>
      <c r="V2337" s="1" t="s">
        <v>94</v>
      </c>
      <c r="X2337" s="1" t="s">
        <v>183</v>
      </c>
      <c r="AA2337" s="3">
        <v>37043</v>
      </c>
      <c r="AB2337" s="1" t="s">
        <v>46</v>
      </c>
      <c r="AC2337" s="5">
        <v>2586</v>
      </c>
      <c r="AD2337" s="1" t="s">
        <v>5489</v>
      </c>
      <c r="AE2337" s="1" t="str">
        <f t="shared" si="167"/>
        <v>55061 CT1</v>
      </c>
      <c r="AF2337" s="5" t="str">
        <f t="shared" ref="AF2337:AF2342" si="169">MID(AD2337,FIND("(",AD2337)+1,FIND(")",AD2337)-FIND("(",AD2337)-1)</f>
        <v>183.2</v>
      </c>
      <c r="AG2337" s="1" t="str">
        <f t="shared" si="166"/>
        <v/>
      </c>
    </row>
    <row r="2338" spans="1:33" x14ac:dyDescent="0.2">
      <c r="A2338" s="1" t="s">
        <v>921</v>
      </c>
      <c r="B2338" s="1" t="s">
        <v>5487</v>
      </c>
      <c r="C2338" s="1">
        <v>55061</v>
      </c>
      <c r="D2338" s="1" t="s">
        <v>98</v>
      </c>
      <c r="F2338" s="1">
        <v>2023</v>
      </c>
      <c r="G2338" s="1" t="s">
        <v>952</v>
      </c>
      <c r="H2338" s="1">
        <v>604188</v>
      </c>
      <c r="I2338" s="1">
        <v>4</v>
      </c>
      <c r="J2338" s="1" t="s">
        <v>36</v>
      </c>
      <c r="K2338" s="1" t="s">
        <v>4509</v>
      </c>
      <c r="L2338" s="1" t="s">
        <v>4510</v>
      </c>
      <c r="M2338" s="1">
        <v>149</v>
      </c>
      <c r="N2338" s="1" t="s">
        <v>39</v>
      </c>
      <c r="O2338" s="1">
        <v>33.351599999999998</v>
      </c>
      <c r="P2338" s="1">
        <v>-84.999600000000001</v>
      </c>
      <c r="Q2338" s="1" t="s">
        <v>5488</v>
      </c>
      <c r="R2338" s="1" t="s">
        <v>41</v>
      </c>
      <c r="T2338" s="1" t="s">
        <v>93</v>
      </c>
      <c r="U2338" s="1" t="s">
        <v>44</v>
      </c>
      <c r="V2338" s="1" t="s">
        <v>94</v>
      </c>
      <c r="X2338" s="1" t="s">
        <v>183</v>
      </c>
      <c r="AA2338" s="3">
        <v>37133</v>
      </c>
      <c r="AB2338" s="1" t="s">
        <v>46</v>
      </c>
      <c r="AC2338" s="5">
        <v>2586</v>
      </c>
      <c r="AD2338" s="1" t="s">
        <v>5490</v>
      </c>
      <c r="AE2338" s="1" t="str">
        <f t="shared" si="167"/>
        <v>55061 CT2</v>
      </c>
      <c r="AF2338" s="5" t="str">
        <f t="shared" si="169"/>
        <v>183.2</v>
      </c>
      <c r="AG2338" s="1" t="str">
        <f t="shared" si="166"/>
        <v/>
      </c>
    </row>
    <row r="2339" spans="1:33" x14ac:dyDescent="0.2">
      <c r="A2339" s="1" t="s">
        <v>921</v>
      </c>
      <c r="B2339" s="1" t="s">
        <v>5487</v>
      </c>
      <c r="C2339" s="1">
        <v>55061</v>
      </c>
      <c r="D2339" s="1" t="s">
        <v>101</v>
      </c>
      <c r="F2339" s="1">
        <v>2023</v>
      </c>
      <c r="G2339" s="1" t="s">
        <v>952</v>
      </c>
      <c r="H2339" s="1">
        <v>604188</v>
      </c>
      <c r="I2339" s="1">
        <v>4</v>
      </c>
      <c r="J2339" s="1" t="s">
        <v>36</v>
      </c>
      <c r="K2339" s="1" t="s">
        <v>4509</v>
      </c>
      <c r="L2339" s="1" t="s">
        <v>4510</v>
      </c>
      <c r="M2339" s="1">
        <v>149</v>
      </c>
      <c r="N2339" s="1" t="s">
        <v>39</v>
      </c>
      <c r="O2339" s="1">
        <v>33.351599999999998</v>
      </c>
      <c r="P2339" s="1">
        <v>-84.999600000000001</v>
      </c>
      <c r="Q2339" s="1" t="s">
        <v>5488</v>
      </c>
      <c r="R2339" s="1" t="s">
        <v>41</v>
      </c>
      <c r="T2339" s="1" t="s">
        <v>93</v>
      </c>
      <c r="U2339" s="1" t="s">
        <v>44</v>
      </c>
      <c r="V2339" s="1" t="s">
        <v>94</v>
      </c>
      <c r="X2339" s="1" t="s">
        <v>183</v>
      </c>
      <c r="AA2339" s="3">
        <v>37043</v>
      </c>
      <c r="AB2339" s="1" t="s">
        <v>46</v>
      </c>
      <c r="AC2339" s="5">
        <v>2586</v>
      </c>
      <c r="AD2339" s="1" t="s">
        <v>5491</v>
      </c>
      <c r="AE2339" s="1" t="str">
        <f t="shared" si="167"/>
        <v>55061 CT3</v>
      </c>
      <c r="AF2339" s="5" t="str">
        <f t="shared" si="169"/>
        <v>183.2</v>
      </c>
      <c r="AG2339" s="1" t="str">
        <f t="shared" si="166"/>
        <v/>
      </c>
    </row>
    <row r="2340" spans="1:33" x14ac:dyDescent="0.2">
      <c r="A2340" s="1" t="s">
        <v>921</v>
      </c>
      <c r="B2340" s="1" t="s">
        <v>5487</v>
      </c>
      <c r="C2340" s="1">
        <v>55061</v>
      </c>
      <c r="D2340" s="1" t="s">
        <v>103</v>
      </c>
      <c r="F2340" s="1">
        <v>2023</v>
      </c>
      <c r="G2340" s="1" t="s">
        <v>952</v>
      </c>
      <c r="H2340" s="1">
        <v>604188</v>
      </c>
      <c r="I2340" s="1">
        <v>4</v>
      </c>
      <c r="J2340" s="1" t="s">
        <v>36</v>
      </c>
      <c r="K2340" s="1" t="s">
        <v>4509</v>
      </c>
      <c r="L2340" s="1" t="s">
        <v>4510</v>
      </c>
      <c r="M2340" s="1">
        <v>149</v>
      </c>
      <c r="N2340" s="1" t="s">
        <v>39</v>
      </c>
      <c r="O2340" s="1">
        <v>33.351599999999998</v>
      </c>
      <c r="P2340" s="1">
        <v>-84.999600000000001</v>
      </c>
      <c r="Q2340" s="1" t="s">
        <v>5488</v>
      </c>
      <c r="R2340" s="1" t="s">
        <v>41</v>
      </c>
      <c r="T2340" s="1" t="s">
        <v>93</v>
      </c>
      <c r="U2340" s="1" t="s">
        <v>44</v>
      </c>
      <c r="V2340" s="1" t="s">
        <v>94</v>
      </c>
      <c r="X2340" s="1" t="s">
        <v>183</v>
      </c>
      <c r="AA2340" s="3">
        <v>37347</v>
      </c>
      <c r="AB2340" s="1" t="s">
        <v>46</v>
      </c>
      <c r="AC2340" s="5">
        <v>2586</v>
      </c>
      <c r="AD2340" s="1" t="s">
        <v>5492</v>
      </c>
      <c r="AE2340" s="1" t="str">
        <f t="shared" si="167"/>
        <v>55061 CT4</v>
      </c>
      <c r="AF2340" s="5" t="str">
        <f t="shared" si="169"/>
        <v>183.2</v>
      </c>
      <c r="AG2340" s="1" t="str">
        <f t="shared" si="166"/>
        <v/>
      </c>
    </row>
    <row r="2341" spans="1:33" x14ac:dyDescent="0.2">
      <c r="A2341" s="1" t="s">
        <v>921</v>
      </c>
      <c r="B2341" s="1" t="s">
        <v>5487</v>
      </c>
      <c r="C2341" s="1">
        <v>55061</v>
      </c>
      <c r="D2341" s="1" t="s">
        <v>105</v>
      </c>
      <c r="F2341" s="1">
        <v>2023</v>
      </c>
      <c r="G2341" s="1" t="s">
        <v>952</v>
      </c>
      <c r="H2341" s="1">
        <v>604188</v>
      </c>
      <c r="I2341" s="1">
        <v>4</v>
      </c>
      <c r="J2341" s="1" t="s">
        <v>36</v>
      </c>
      <c r="K2341" s="1" t="s">
        <v>4509</v>
      </c>
      <c r="L2341" s="1" t="s">
        <v>4510</v>
      </c>
      <c r="M2341" s="1">
        <v>149</v>
      </c>
      <c r="N2341" s="1" t="s">
        <v>39</v>
      </c>
      <c r="O2341" s="1">
        <v>33.351599999999998</v>
      </c>
      <c r="P2341" s="1">
        <v>-84.999600000000001</v>
      </c>
      <c r="Q2341" s="1" t="s">
        <v>5488</v>
      </c>
      <c r="R2341" s="1" t="s">
        <v>41</v>
      </c>
      <c r="T2341" s="1" t="s">
        <v>93</v>
      </c>
      <c r="U2341" s="1" t="s">
        <v>44</v>
      </c>
      <c r="V2341" s="1" t="s">
        <v>94</v>
      </c>
      <c r="X2341" s="1" t="s">
        <v>183</v>
      </c>
      <c r="AA2341" s="3">
        <v>37347</v>
      </c>
      <c r="AB2341" s="1" t="s">
        <v>46</v>
      </c>
      <c r="AC2341" s="5">
        <v>2586</v>
      </c>
      <c r="AD2341" s="1" t="s">
        <v>5493</v>
      </c>
      <c r="AE2341" s="1" t="str">
        <f t="shared" si="167"/>
        <v>55061 CT5</v>
      </c>
      <c r="AF2341" s="5" t="str">
        <f t="shared" si="169"/>
        <v>183.2</v>
      </c>
      <c r="AG2341" s="1" t="str">
        <f t="shared" si="166"/>
        <v/>
      </c>
    </row>
    <row r="2342" spans="1:33" x14ac:dyDescent="0.2">
      <c r="A2342" s="1" t="s">
        <v>921</v>
      </c>
      <c r="B2342" s="1" t="s">
        <v>5487</v>
      </c>
      <c r="C2342" s="1">
        <v>55061</v>
      </c>
      <c r="D2342" s="1" t="s">
        <v>107</v>
      </c>
      <c r="F2342" s="1">
        <v>2023</v>
      </c>
      <c r="G2342" s="1" t="s">
        <v>952</v>
      </c>
      <c r="H2342" s="1">
        <v>604188</v>
      </c>
      <c r="I2342" s="1">
        <v>4</v>
      </c>
      <c r="J2342" s="1" t="s">
        <v>36</v>
      </c>
      <c r="K2342" s="1" t="s">
        <v>4509</v>
      </c>
      <c r="L2342" s="1" t="s">
        <v>4510</v>
      </c>
      <c r="M2342" s="1">
        <v>149</v>
      </c>
      <c r="N2342" s="1" t="s">
        <v>39</v>
      </c>
      <c r="O2342" s="1">
        <v>33.351599999999998</v>
      </c>
      <c r="P2342" s="1">
        <v>-84.999600000000001</v>
      </c>
      <c r="Q2342" s="1" t="s">
        <v>5488</v>
      </c>
      <c r="R2342" s="1" t="s">
        <v>41</v>
      </c>
      <c r="T2342" s="1" t="s">
        <v>93</v>
      </c>
      <c r="U2342" s="1" t="s">
        <v>44</v>
      </c>
      <c r="V2342" s="1" t="s">
        <v>94</v>
      </c>
      <c r="X2342" s="1" t="s">
        <v>183</v>
      </c>
      <c r="AA2342" s="3">
        <v>37347</v>
      </c>
      <c r="AB2342" s="1" t="s">
        <v>46</v>
      </c>
      <c r="AC2342" s="5">
        <v>2586</v>
      </c>
      <c r="AD2342" s="1" t="s">
        <v>5494</v>
      </c>
      <c r="AE2342" s="1" t="str">
        <f t="shared" si="167"/>
        <v>55061 CT6</v>
      </c>
      <c r="AF2342" s="5" t="str">
        <f t="shared" si="169"/>
        <v>183.2</v>
      </c>
      <c r="AG2342" s="1" t="str">
        <f t="shared" si="166"/>
        <v/>
      </c>
    </row>
    <row r="2343" spans="1:33" x14ac:dyDescent="0.2">
      <c r="A2343" s="1" t="s">
        <v>383</v>
      </c>
      <c r="B2343" s="1" t="s">
        <v>5495</v>
      </c>
      <c r="C2343" s="1">
        <v>55062</v>
      </c>
      <c r="D2343" s="1">
        <v>1</v>
      </c>
      <c r="F2343" s="1">
        <v>2023</v>
      </c>
      <c r="G2343" s="1" t="s">
        <v>346</v>
      </c>
      <c r="H2343" s="1">
        <v>604188</v>
      </c>
      <c r="I2343" s="1">
        <v>6</v>
      </c>
      <c r="K2343" s="1" t="s">
        <v>5496</v>
      </c>
      <c r="L2343" s="1" t="s">
        <v>5497</v>
      </c>
      <c r="M2343" s="1">
        <v>185</v>
      </c>
      <c r="N2343" s="1" t="s">
        <v>39</v>
      </c>
      <c r="O2343" s="1">
        <v>30.592400000000001</v>
      </c>
      <c r="P2343" s="1">
        <v>-95.9178</v>
      </c>
      <c r="Q2343" s="1" t="s">
        <v>5498</v>
      </c>
      <c r="R2343" s="1" t="s">
        <v>41</v>
      </c>
      <c r="T2343" s="1" t="s">
        <v>71</v>
      </c>
      <c r="U2343" s="1" t="s">
        <v>44</v>
      </c>
      <c r="V2343" s="1" t="s">
        <v>94</v>
      </c>
      <c r="X2343" s="1" t="s">
        <v>140</v>
      </c>
      <c r="AA2343" s="3">
        <v>36657</v>
      </c>
      <c r="AB2343" s="1" t="s">
        <v>46</v>
      </c>
      <c r="AC2343" s="5">
        <v>2405</v>
      </c>
      <c r="AD2343" s="1" t="s">
        <v>5499</v>
      </c>
      <c r="AE2343" s="1" t="str">
        <f t="shared" si="167"/>
        <v>55062 1</v>
      </c>
      <c r="AF2343" s="14">
        <f>MID(AD2343,FIND("(",AD2343)+1,FIND(")",AD2343)-FIND("(",AD2343)-1)+390.1/3</f>
        <v>313.23333333333335</v>
      </c>
      <c r="AG2343" s="1" t="str">
        <f t="shared" si="166"/>
        <v/>
      </c>
    </row>
    <row r="2344" spans="1:33" x14ac:dyDescent="0.2">
      <c r="A2344" s="1" t="s">
        <v>383</v>
      </c>
      <c r="B2344" s="1" t="s">
        <v>5495</v>
      </c>
      <c r="C2344" s="1">
        <v>55062</v>
      </c>
      <c r="D2344" s="1">
        <v>2</v>
      </c>
      <c r="F2344" s="1">
        <v>2023</v>
      </c>
      <c r="G2344" s="1" t="s">
        <v>346</v>
      </c>
      <c r="H2344" s="1">
        <v>604188</v>
      </c>
      <c r="I2344" s="1">
        <v>6</v>
      </c>
      <c r="K2344" s="1" t="s">
        <v>5496</v>
      </c>
      <c r="L2344" s="1" t="s">
        <v>5497</v>
      </c>
      <c r="M2344" s="1">
        <v>185</v>
      </c>
      <c r="N2344" s="1" t="s">
        <v>39</v>
      </c>
      <c r="O2344" s="1">
        <v>30.592400000000001</v>
      </c>
      <c r="P2344" s="1">
        <v>-95.9178</v>
      </c>
      <c r="Q2344" s="1" t="s">
        <v>5498</v>
      </c>
      <c r="R2344" s="1" t="s">
        <v>41</v>
      </c>
      <c r="T2344" s="1" t="s">
        <v>71</v>
      </c>
      <c r="U2344" s="1" t="s">
        <v>44</v>
      </c>
      <c r="V2344" s="1" t="s">
        <v>94</v>
      </c>
      <c r="X2344" s="1" t="s">
        <v>140</v>
      </c>
      <c r="AA2344" s="3">
        <v>36667</v>
      </c>
      <c r="AB2344" s="1" t="s">
        <v>46</v>
      </c>
      <c r="AC2344" s="5">
        <v>2405</v>
      </c>
      <c r="AD2344" s="1" t="s">
        <v>5500</v>
      </c>
      <c r="AE2344" s="1" t="str">
        <f t="shared" si="167"/>
        <v>55062 2</v>
      </c>
      <c r="AF2344" s="14">
        <f>AF2343</f>
        <v>313.23333333333335</v>
      </c>
      <c r="AG2344" s="1" t="str">
        <f t="shared" si="166"/>
        <v/>
      </c>
    </row>
    <row r="2345" spans="1:33" x14ac:dyDescent="0.2">
      <c r="A2345" s="1" t="s">
        <v>383</v>
      </c>
      <c r="B2345" s="1" t="s">
        <v>5495</v>
      </c>
      <c r="C2345" s="1">
        <v>55062</v>
      </c>
      <c r="D2345" s="1">
        <v>3</v>
      </c>
      <c r="F2345" s="1">
        <v>2023</v>
      </c>
      <c r="G2345" s="1" t="s">
        <v>346</v>
      </c>
      <c r="H2345" s="1">
        <v>604188</v>
      </c>
      <c r="I2345" s="1">
        <v>6</v>
      </c>
      <c r="K2345" s="1" t="s">
        <v>5496</v>
      </c>
      <c r="L2345" s="1" t="s">
        <v>5497</v>
      </c>
      <c r="M2345" s="1">
        <v>185</v>
      </c>
      <c r="N2345" s="1" t="s">
        <v>39</v>
      </c>
      <c r="O2345" s="1">
        <v>30.592400000000001</v>
      </c>
      <c r="P2345" s="1">
        <v>-95.9178</v>
      </c>
      <c r="Q2345" s="1" t="s">
        <v>5498</v>
      </c>
      <c r="R2345" s="1" t="s">
        <v>41</v>
      </c>
      <c r="T2345" s="1" t="s">
        <v>71</v>
      </c>
      <c r="U2345" s="1" t="s">
        <v>44</v>
      </c>
      <c r="V2345" s="1" t="s">
        <v>94</v>
      </c>
      <c r="X2345" s="1" t="s">
        <v>140</v>
      </c>
      <c r="AA2345" s="3">
        <v>36667</v>
      </c>
      <c r="AB2345" s="1" t="s">
        <v>46</v>
      </c>
      <c r="AC2345" s="5">
        <v>2405</v>
      </c>
      <c r="AD2345" s="1" t="s">
        <v>5501</v>
      </c>
      <c r="AE2345" s="1" t="str">
        <f t="shared" si="167"/>
        <v>55062 3</v>
      </c>
      <c r="AF2345" s="14">
        <f>AF2343</f>
        <v>313.23333333333335</v>
      </c>
      <c r="AG2345" s="1" t="str">
        <f t="shared" si="166"/>
        <v/>
      </c>
    </row>
    <row r="2346" spans="1:33" x14ac:dyDescent="0.2">
      <c r="A2346" s="1" t="s">
        <v>1732</v>
      </c>
      <c r="B2346" s="1" t="s">
        <v>5502</v>
      </c>
      <c r="C2346" s="1">
        <v>55063</v>
      </c>
      <c r="D2346" s="1">
        <v>1</v>
      </c>
      <c r="F2346" s="1">
        <v>2023</v>
      </c>
      <c r="G2346" s="1" t="s">
        <v>346</v>
      </c>
      <c r="H2346" s="1">
        <v>609473</v>
      </c>
      <c r="I2346" s="1">
        <v>4</v>
      </c>
      <c r="J2346" s="1" t="s">
        <v>36</v>
      </c>
      <c r="K2346" s="1" t="s">
        <v>5503</v>
      </c>
      <c r="L2346" s="1" t="s">
        <v>5504</v>
      </c>
      <c r="M2346" s="1">
        <v>107</v>
      </c>
      <c r="N2346" s="1" t="s">
        <v>39</v>
      </c>
      <c r="O2346" s="1">
        <v>34.334499999999998</v>
      </c>
      <c r="P2346" s="1">
        <v>-89.927199999999999</v>
      </c>
      <c r="Q2346" s="1" t="s">
        <v>1750</v>
      </c>
      <c r="R2346" s="1" t="s">
        <v>41</v>
      </c>
      <c r="T2346" s="1" t="s">
        <v>71</v>
      </c>
      <c r="U2346" s="1" t="s">
        <v>44</v>
      </c>
      <c r="X2346" s="1" t="s">
        <v>223</v>
      </c>
      <c r="AA2346" s="3">
        <v>36576</v>
      </c>
      <c r="AB2346" s="1" t="s">
        <v>46</v>
      </c>
      <c r="AC2346" s="5">
        <v>2300</v>
      </c>
      <c r="AD2346" s="1" t="s">
        <v>5505</v>
      </c>
      <c r="AE2346" s="1" t="str">
        <f t="shared" si="167"/>
        <v>55063 1</v>
      </c>
      <c r="AF2346" s="14">
        <f>MID(AD2346,FIND("(",AD2346)+1,FIND(")",AD2346)-FIND("(",AD2346)-1)+112.5</f>
        <v>297</v>
      </c>
      <c r="AG2346" s="1" t="str">
        <f t="shared" si="166"/>
        <v>Y</v>
      </c>
    </row>
    <row r="2347" spans="1:33" x14ac:dyDescent="0.2">
      <c r="A2347" s="1" t="s">
        <v>1732</v>
      </c>
      <c r="B2347" s="1" t="s">
        <v>5502</v>
      </c>
      <c r="C2347" s="1">
        <v>55063</v>
      </c>
      <c r="D2347" s="1">
        <v>2</v>
      </c>
      <c r="F2347" s="1">
        <v>2023</v>
      </c>
      <c r="G2347" s="1" t="s">
        <v>346</v>
      </c>
      <c r="H2347" s="1">
        <v>609473</v>
      </c>
      <c r="I2347" s="1">
        <v>4</v>
      </c>
      <c r="J2347" s="1" t="s">
        <v>36</v>
      </c>
      <c r="K2347" s="1" t="s">
        <v>5503</v>
      </c>
      <c r="L2347" s="1" t="s">
        <v>5504</v>
      </c>
      <c r="M2347" s="1">
        <v>107</v>
      </c>
      <c r="N2347" s="1" t="s">
        <v>39</v>
      </c>
      <c r="O2347" s="1">
        <v>34.334499999999998</v>
      </c>
      <c r="P2347" s="1">
        <v>-89.927199999999999</v>
      </c>
      <c r="Q2347" s="1" t="s">
        <v>1750</v>
      </c>
      <c r="R2347" s="1" t="s">
        <v>41</v>
      </c>
      <c r="T2347" s="1" t="s">
        <v>71</v>
      </c>
      <c r="U2347" s="1" t="s">
        <v>44</v>
      </c>
      <c r="X2347" s="1" t="s">
        <v>223</v>
      </c>
      <c r="AA2347" s="3">
        <v>36614</v>
      </c>
      <c r="AB2347" s="1" t="s">
        <v>46</v>
      </c>
      <c r="AC2347" s="5">
        <v>2300</v>
      </c>
      <c r="AD2347" s="1" t="s">
        <v>5506</v>
      </c>
      <c r="AE2347" s="1" t="str">
        <f t="shared" si="167"/>
        <v>55063 2</v>
      </c>
      <c r="AF2347" s="14">
        <f>MID(AD2347,FIND("(",AD2347)+1,FIND(")",AD2347)-FIND("(",AD2347)-1)+184.5</f>
        <v>297</v>
      </c>
      <c r="AG2347" s="1" t="str">
        <f t="shared" si="166"/>
        <v>Y</v>
      </c>
    </row>
    <row r="2348" spans="1:33" x14ac:dyDescent="0.2">
      <c r="A2348" s="1" t="s">
        <v>1732</v>
      </c>
      <c r="B2348" s="1" t="s">
        <v>5502</v>
      </c>
      <c r="C2348" s="1">
        <v>55063</v>
      </c>
      <c r="D2348" s="1">
        <v>3</v>
      </c>
      <c r="F2348" s="1">
        <v>2023</v>
      </c>
      <c r="G2348" s="1" t="s">
        <v>346</v>
      </c>
      <c r="H2348" s="1">
        <v>609473</v>
      </c>
      <c r="I2348" s="1">
        <v>4</v>
      </c>
      <c r="J2348" s="1" t="s">
        <v>36</v>
      </c>
      <c r="K2348" s="1" t="s">
        <v>5503</v>
      </c>
      <c r="L2348" s="1" t="s">
        <v>5504</v>
      </c>
      <c r="M2348" s="1">
        <v>107</v>
      </c>
      <c r="N2348" s="1" t="s">
        <v>39</v>
      </c>
      <c r="O2348" s="1">
        <v>34.334499999999998</v>
      </c>
      <c r="P2348" s="1">
        <v>-89.927199999999999</v>
      </c>
      <c r="Q2348" s="1" t="s">
        <v>1750</v>
      </c>
      <c r="R2348" s="1" t="s">
        <v>41</v>
      </c>
      <c r="T2348" s="1" t="s">
        <v>71</v>
      </c>
      <c r="U2348" s="1" t="s">
        <v>44</v>
      </c>
      <c r="X2348" s="1" t="s">
        <v>223</v>
      </c>
      <c r="AA2348" s="3">
        <v>36644</v>
      </c>
      <c r="AB2348" s="1" t="s">
        <v>46</v>
      </c>
      <c r="AC2348" s="5">
        <v>2500</v>
      </c>
      <c r="AD2348" s="1" t="s">
        <v>5507</v>
      </c>
      <c r="AE2348" s="1" t="str">
        <f t="shared" si="167"/>
        <v>55063 3</v>
      </c>
      <c r="AF2348" s="14">
        <f>MID(AD2348,FIND("(",AD2348)+1,FIND(")",AD2348)-FIND("(",AD2348)-1)+184.5</f>
        <v>297</v>
      </c>
      <c r="AG2348" s="1" t="str">
        <f t="shared" si="166"/>
        <v>Y</v>
      </c>
    </row>
    <row r="2349" spans="1:33" x14ac:dyDescent="0.2">
      <c r="A2349" s="1" t="s">
        <v>383</v>
      </c>
      <c r="B2349" s="1" t="s">
        <v>5508</v>
      </c>
      <c r="C2349" s="1">
        <v>55064</v>
      </c>
      <c r="D2349" s="1">
        <v>1</v>
      </c>
      <c r="F2349" s="1">
        <v>2023</v>
      </c>
      <c r="G2349" s="1" t="s">
        <v>346</v>
      </c>
      <c r="H2349" s="1">
        <v>605902</v>
      </c>
      <c r="I2349" s="1">
        <v>6</v>
      </c>
      <c r="K2349" s="1" t="s">
        <v>5509</v>
      </c>
      <c r="L2349" s="1" t="s">
        <v>5510</v>
      </c>
      <c r="M2349" s="1">
        <v>233</v>
      </c>
      <c r="N2349" s="1" t="s">
        <v>1680</v>
      </c>
      <c r="O2349" s="1">
        <v>35.695700000000002</v>
      </c>
      <c r="P2349" s="1">
        <v>-101.36</v>
      </c>
      <c r="Q2349" s="1" t="s">
        <v>5511</v>
      </c>
      <c r="R2349" s="1" t="s">
        <v>41</v>
      </c>
      <c r="T2349" s="1" t="s">
        <v>93</v>
      </c>
      <c r="U2349" s="1" t="s">
        <v>44</v>
      </c>
      <c r="V2349" s="1" t="s">
        <v>1432</v>
      </c>
      <c r="X2349" s="1" t="s">
        <v>858</v>
      </c>
      <c r="AA2349" s="3">
        <v>36028</v>
      </c>
      <c r="AB2349" s="1" t="s">
        <v>46</v>
      </c>
      <c r="AC2349" s="5">
        <v>2002</v>
      </c>
      <c r="AD2349" s="1" t="s">
        <v>5512</v>
      </c>
      <c r="AE2349" s="1" t="str">
        <f t="shared" si="167"/>
        <v>55064 1</v>
      </c>
      <c r="AF2349" s="5" t="str">
        <f>MID(AD2349,FIND("(",AD2349)+1,FIND(")",AD2349)-FIND("(",AD2349)-1)</f>
        <v>126.9</v>
      </c>
      <c r="AG2349" s="1" t="str">
        <f t="shared" si="166"/>
        <v>Y</v>
      </c>
    </row>
    <row r="2350" spans="1:33" x14ac:dyDescent="0.2">
      <c r="A2350" s="1" t="s">
        <v>383</v>
      </c>
      <c r="B2350" s="1" t="s">
        <v>5508</v>
      </c>
      <c r="C2350" s="1">
        <v>55064</v>
      </c>
      <c r="D2350" s="1">
        <v>2</v>
      </c>
      <c r="F2350" s="1">
        <v>2023</v>
      </c>
      <c r="G2350" s="1" t="s">
        <v>346</v>
      </c>
      <c r="H2350" s="1">
        <v>605902</v>
      </c>
      <c r="I2350" s="1">
        <v>6</v>
      </c>
      <c r="K2350" s="1" t="s">
        <v>5509</v>
      </c>
      <c r="L2350" s="1" t="s">
        <v>5510</v>
      </c>
      <c r="M2350" s="1">
        <v>233</v>
      </c>
      <c r="N2350" s="1" t="s">
        <v>1680</v>
      </c>
      <c r="O2350" s="1">
        <v>35.695700000000002</v>
      </c>
      <c r="P2350" s="1">
        <v>-101.36</v>
      </c>
      <c r="Q2350" s="1" t="s">
        <v>5511</v>
      </c>
      <c r="R2350" s="1" t="s">
        <v>41</v>
      </c>
      <c r="T2350" s="1" t="s">
        <v>93</v>
      </c>
      <c r="U2350" s="1" t="s">
        <v>44</v>
      </c>
      <c r="V2350" s="1" t="s">
        <v>1432</v>
      </c>
      <c r="X2350" s="1" t="s">
        <v>858</v>
      </c>
      <c r="AA2350" s="3">
        <v>36031</v>
      </c>
      <c r="AB2350" s="1" t="s">
        <v>46</v>
      </c>
      <c r="AC2350" s="5">
        <v>2002</v>
      </c>
      <c r="AD2350" s="1" t="s">
        <v>5513</v>
      </c>
      <c r="AE2350" s="1" t="str">
        <f t="shared" si="167"/>
        <v>55064 2</v>
      </c>
      <c r="AF2350" s="14">
        <f>MID(AD2350,FIND("(",AD2350)+1,FIND(")",AD2350)-FIND("(",AD2350)-1)+126.9</f>
        <v>243.9</v>
      </c>
      <c r="AG2350" s="1" t="str">
        <f t="shared" si="166"/>
        <v>Y</v>
      </c>
    </row>
    <row r="2351" spans="1:33" x14ac:dyDescent="0.2">
      <c r="A2351" s="1" t="s">
        <v>383</v>
      </c>
      <c r="B2351" s="1" t="s">
        <v>5514</v>
      </c>
      <c r="C2351" s="1">
        <v>55065</v>
      </c>
      <c r="D2351" s="1">
        <v>1</v>
      </c>
      <c r="F2351" s="1">
        <v>2023</v>
      </c>
      <c r="G2351" s="1" t="s">
        <v>346</v>
      </c>
      <c r="H2351" s="1" t="s">
        <v>5515</v>
      </c>
      <c r="I2351" s="1">
        <v>6</v>
      </c>
      <c r="K2351" s="1" t="s">
        <v>5516</v>
      </c>
      <c r="L2351" s="1" t="s">
        <v>5517</v>
      </c>
      <c r="M2351" s="1">
        <v>501</v>
      </c>
      <c r="N2351" s="1" t="s">
        <v>39</v>
      </c>
      <c r="O2351" s="1">
        <v>32.972799999999999</v>
      </c>
      <c r="P2351" s="1">
        <v>-102.74169999999999</v>
      </c>
      <c r="Q2351" s="1" t="s">
        <v>5518</v>
      </c>
      <c r="R2351" s="1" t="s">
        <v>41</v>
      </c>
      <c r="T2351" s="1" t="s">
        <v>71</v>
      </c>
      <c r="U2351" s="1" t="s">
        <v>44</v>
      </c>
      <c r="X2351" s="1" t="s">
        <v>140</v>
      </c>
      <c r="AA2351" s="3">
        <v>36257</v>
      </c>
      <c r="AB2351" s="1" t="s">
        <v>46</v>
      </c>
      <c r="AC2351" s="5">
        <v>1920</v>
      </c>
      <c r="AD2351" s="1" t="s">
        <v>5519</v>
      </c>
      <c r="AE2351" s="1" t="str">
        <f t="shared" si="167"/>
        <v>55065 1</v>
      </c>
      <c r="AF2351" s="14">
        <f>MID(AD2351,FIND("(",AD2351)+1,FIND(")",AD2351)-FIND("(",AD2351)-1)+172.6/2</f>
        <v>260.5</v>
      </c>
      <c r="AG2351" s="1" t="str">
        <f t="shared" si="166"/>
        <v/>
      </c>
    </row>
    <row r="2352" spans="1:33" x14ac:dyDescent="0.2">
      <c r="A2352" s="1" t="s">
        <v>383</v>
      </c>
      <c r="B2352" s="1" t="s">
        <v>5514</v>
      </c>
      <c r="C2352" s="1">
        <v>55065</v>
      </c>
      <c r="D2352" s="1">
        <v>2</v>
      </c>
      <c r="F2352" s="1">
        <v>2023</v>
      </c>
      <c r="G2352" s="1" t="s">
        <v>346</v>
      </c>
      <c r="H2352" s="1" t="s">
        <v>5515</v>
      </c>
      <c r="I2352" s="1">
        <v>6</v>
      </c>
      <c r="K2352" s="1" t="s">
        <v>5516</v>
      </c>
      <c r="L2352" s="1" t="s">
        <v>5517</v>
      </c>
      <c r="M2352" s="1">
        <v>501</v>
      </c>
      <c r="N2352" s="1" t="s">
        <v>39</v>
      </c>
      <c r="O2352" s="1">
        <v>32.972799999999999</v>
      </c>
      <c r="P2352" s="1">
        <v>-102.74169999999999</v>
      </c>
      <c r="Q2352" s="1" t="s">
        <v>5518</v>
      </c>
      <c r="R2352" s="1" t="s">
        <v>41</v>
      </c>
      <c r="T2352" s="1" t="s">
        <v>71</v>
      </c>
      <c r="U2352" s="1" t="s">
        <v>44</v>
      </c>
      <c r="X2352" s="1" t="s">
        <v>140</v>
      </c>
      <c r="AA2352" s="3">
        <v>36283</v>
      </c>
      <c r="AB2352" s="1" t="s">
        <v>46</v>
      </c>
      <c r="AC2352" s="5">
        <v>1920</v>
      </c>
      <c r="AD2352" s="1" t="s">
        <v>5520</v>
      </c>
      <c r="AE2352" s="1" t="str">
        <f t="shared" si="167"/>
        <v>55065 2</v>
      </c>
      <c r="AF2352" s="14">
        <f>AF2351</f>
        <v>260.5</v>
      </c>
      <c r="AG2352" s="1" t="str">
        <f t="shared" si="166"/>
        <v/>
      </c>
    </row>
    <row r="2353" spans="1:33" x14ac:dyDescent="0.2">
      <c r="A2353" s="1" t="s">
        <v>1505</v>
      </c>
      <c r="B2353" s="1" t="s">
        <v>5521</v>
      </c>
      <c r="C2353" s="1">
        <v>55068</v>
      </c>
      <c r="D2353" s="1">
        <v>1</v>
      </c>
      <c r="F2353" s="1">
        <v>2023</v>
      </c>
      <c r="G2353" s="1" t="s">
        <v>5049</v>
      </c>
      <c r="H2353" s="1">
        <v>603383</v>
      </c>
      <c r="I2353" s="1">
        <v>1</v>
      </c>
      <c r="K2353" s="1" t="s">
        <v>5522</v>
      </c>
      <c r="L2353" s="1" t="s">
        <v>5523</v>
      </c>
      <c r="M2353" s="1">
        <v>19</v>
      </c>
      <c r="N2353" s="1" t="s">
        <v>39</v>
      </c>
      <c r="O2353" s="1">
        <v>44.823599999999999</v>
      </c>
      <c r="P2353" s="1">
        <v>-68.710599999999999</v>
      </c>
      <c r="Q2353" s="1" t="s">
        <v>5524</v>
      </c>
      <c r="R2353" s="1" t="s">
        <v>41</v>
      </c>
      <c r="T2353" s="1" t="s">
        <v>71</v>
      </c>
      <c r="U2353" s="1" t="s">
        <v>44</v>
      </c>
      <c r="X2353" s="1" t="s">
        <v>64</v>
      </c>
      <c r="AA2353" s="3">
        <v>36600</v>
      </c>
      <c r="AB2353" s="1" t="s">
        <v>46</v>
      </c>
      <c r="AC2353" s="5">
        <v>1937</v>
      </c>
      <c r="AD2353" s="1" t="s">
        <v>5525</v>
      </c>
      <c r="AE2353" s="1" t="str">
        <f t="shared" si="167"/>
        <v>55068 1</v>
      </c>
      <c r="AF2353" s="14">
        <f>AF2354</f>
        <v>273.89999999999998</v>
      </c>
      <c r="AG2353" s="1" t="str">
        <f t="shared" si="166"/>
        <v>Y</v>
      </c>
    </row>
    <row r="2354" spans="1:33" x14ac:dyDescent="0.2">
      <c r="A2354" s="1" t="s">
        <v>1505</v>
      </c>
      <c r="B2354" s="1" t="s">
        <v>5521</v>
      </c>
      <c r="C2354" s="1">
        <v>55068</v>
      </c>
      <c r="D2354" s="1">
        <v>2</v>
      </c>
      <c r="F2354" s="1">
        <v>2023</v>
      </c>
      <c r="G2354" s="1" t="s">
        <v>5049</v>
      </c>
      <c r="H2354" s="1">
        <v>603383</v>
      </c>
      <c r="I2354" s="1">
        <v>1</v>
      </c>
      <c r="K2354" s="1" t="s">
        <v>5522</v>
      </c>
      <c r="L2354" s="1" t="s">
        <v>5523</v>
      </c>
      <c r="M2354" s="1">
        <v>19</v>
      </c>
      <c r="N2354" s="1" t="s">
        <v>39</v>
      </c>
      <c r="O2354" s="1">
        <v>44.823599999999999</v>
      </c>
      <c r="P2354" s="1">
        <v>-68.710599999999999</v>
      </c>
      <c r="Q2354" s="1" t="s">
        <v>5524</v>
      </c>
      <c r="R2354" s="1" t="s">
        <v>41</v>
      </c>
      <c r="T2354" s="1" t="s">
        <v>71</v>
      </c>
      <c r="U2354" s="1" t="s">
        <v>44</v>
      </c>
      <c r="X2354" s="1" t="s">
        <v>64</v>
      </c>
      <c r="AA2354" s="3">
        <v>36607</v>
      </c>
      <c r="AB2354" s="1" t="s">
        <v>46</v>
      </c>
      <c r="AC2354" s="5">
        <v>1937</v>
      </c>
      <c r="AD2354" s="1" t="s">
        <v>5526</v>
      </c>
      <c r="AE2354" s="1" t="str">
        <f t="shared" si="167"/>
        <v>55068 2</v>
      </c>
      <c r="AF2354" s="14">
        <f>MID(AD2354,FIND("(",AD2354)+1,FIND(")",AD2354)-FIND("(",AD2354)-1)+194.6/2</f>
        <v>273.89999999999998</v>
      </c>
      <c r="AG2354" s="1" t="str">
        <f t="shared" si="166"/>
        <v>Y</v>
      </c>
    </row>
    <row r="2355" spans="1:33" x14ac:dyDescent="0.2">
      <c r="A2355" s="1" t="s">
        <v>348</v>
      </c>
      <c r="B2355" s="1" t="s">
        <v>5527</v>
      </c>
      <c r="C2355" s="1">
        <v>55075</v>
      </c>
      <c r="D2355" s="1" t="s">
        <v>1296</v>
      </c>
      <c r="F2355" s="1">
        <v>2023</v>
      </c>
      <c r="G2355" s="1" t="s">
        <v>346</v>
      </c>
      <c r="H2355" s="1">
        <v>604633</v>
      </c>
      <c r="I2355" s="1">
        <v>6</v>
      </c>
      <c r="K2355" s="1" t="s">
        <v>1074</v>
      </c>
      <c r="L2355" s="1" t="s">
        <v>3317</v>
      </c>
      <c r="M2355" s="1">
        <v>69</v>
      </c>
      <c r="N2355" s="1" t="s">
        <v>1680</v>
      </c>
      <c r="O2355" s="1">
        <v>34.2181</v>
      </c>
      <c r="P2355" s="1">
        <v>-91.902500000000003</v>
      </c>
      <c r="Q2355" s="1" t="s">
        <v>5528</v>
      </c>
      <c r="R2355" s="1" t="s">
        <v>41</v>
      </c>
      <c r="T2355" s="1" t="s">
        <v>71</v>
      </c>
      <c r="U2355" s="1" t="s">
        <v>44</v>
      </c>
      <c r="X2355" s="1" t="s">
        <v>140</v>
      </c>
      <c r="AA2355" s="3">
        <v>37134</v>
      </c>
      <c r="AB2355" s="1" t="s">
        <v>46</v>
      </c>
      <c r="AC2355" s="5">
        <v>2406</v>
      </c>
      <c r="AD2355" s="1" t="s">
        <v>5529</v>
      </c>
      <c r="AE2355" s="1" t="str">
        <f t="shared" si="167"/>
        <v>55075 CT-1</v>
      </c>
      <c r="AF2355" s="14">
        <f>MID(AD2355,FIND("(",AD2355)+1,FIND(")",AD2355)-FIND("(",AD2355)-1)+56</f>
        <v>236</v>
      </c>
      <c r="AG2355" s="1" t="str">
        <f t="shared" si="166"/>
        <v/>
      </c>
    </row>
    <row r="2356" spans="1:33" x14ac:dyDescent="0.2">
      <c r="A2356" s="1" t="s">
        <v>1732</v>
      </c>
      <c r="B2356" s="1" t="s">
        <v>5530</v>
      </c>
      <c r="C2356" s="1">
        <v>55076</v>
      </c>
      <c r="D2356" s="1" t="s">
        <v>5531</v>
      </c>
      <c r="E2356" s="1" t="s">
        <v>1963</v>
      </c>
      <c r="F2356" s="1">
        <v>2023</v>
      </c>
      <c r="G2356" s="1" t="s">
        <v>337</v>
      </c>
      <c r="H2356" s="1">
        <v>607049</v>
      </c>
      <c r="I2356" s="1">
        <v>4</v>
      </c>
      <c r="K2356" s="1" t="s">
        <v>3840</v>
      </c>
      <c r="L2356" s="1" t="s">
        <v>5532</v>
      </c>
      <c r="M2356" s="1">
        <v>19</v>
      </c>
      <c r="N2356" s="1" t="s">
        <v>39</v>
      </c>
      <c r="O2356" s="1">
        <v>33.376100000000001</v>
      </c>
      <c r="P2356" s="1">
        <v>-89.218299999999999</v>
      </c>
      <c r="Q2356" s="1" t="s">
        <v>5533</v>
      </c>
      <c r="R2356" s="1" t="s">
        <v>41</v>
      </c>
      <c r="T2356" s="1" t="s">
        <v>885</v>
      </c>
      <c r="U2356" s="1" t="s">
        <v>55</v>
      </c>
      <c r="V2356" s="1" t="s">
        <v>284</v>
      </c>
      <c r="W2356" s="1" t="s">
        <v>1069</v>
      </c>
      <c r="X2356" s="1" t="s">
        <v>454</v>
      </c>
      <c r="Y2356" s="1" t="s">
        <v>232</v>
      </c>
      <c r="Z2356" s="1" t="s">
        <v>344</v>
      </c>
      <c r="AA2356" s="3">
        <v>36944</v>
      </c>
      <c r="AB2356" s="1" t="s">
        <v>46</v>
      </c>
      <c r="AC2356" s="5">
        <v>3500</v>
      </c>
      <c r="AD2356" s="1" t="s">
        <v>5534</v>
      </c>
      <c r="AE2356" s="1" t="str">
        <f t="shared" si="167"/>
        <v>55076 AA001</v>
      </c>
      <c r="AF2356" s="5" t="str">
        <f>MID(AD2356,FIND("(",AD2356)+1,FIND(")",AD2356)-FIND("(",AD2356)-1)</f>
        <v>513.7</v>
      </c>
      <c r="AG2356" s="1" t="str">
        <f t="shared" si="166"/>
        <v/>
      </c>
    </row>
    <row r="2357" spans="1:33" x14ac:dyDescent="0.2">
      <c r="A2357" s="1" t="s">
        <v>1732</v>
      </c>
      <c r="B2357" s="1" t="s">
        <v>5530</v>
      </c>
      <c r="C2357" s="1">
        <v>55076</v>
      </c>
      <c r="D2357" s="1" t="s">
        <v>5535</v>
      </c>
      <c r="E2357" s="1" t="s">
        <v>1963</v>
      </c>
      <c r="F2357" s="1">
        <v>2023</v>
      </c>
      <c r="G2357" s="1" t="s">
        <v>337</v>
      </c>
      <c r="H2357" s="1">
        <v>607049</v>
      </c>
      <c r="I2357" s="1">
        <v>4</v>
      </c>
      <c r="K2357" s="1" t="s">
        <v>3840</v>
      </c>
      <c r="L2357" s="1" t="s">
        <v>5532</v>
      </c>
      <c r="M2357" s="1">
        <v>19</v>
      </c>
      <c r="N2357" s="1" t="s">
        <v>39</v>
      </c>
      <c r="O2357" s="1">
        <v>33.376100000000001</v>
      </c>
      <c r="P2357" s="1">
        <v>-89.218299999999999</v>
      </c>
      <c r="Q2357" s="1" t="s">
        <v>5533</v>
      </c>
      <c r="R2357" s="1" t="s">
        <v>41</v>
      </c>
      <c r="T2357" s="1" t="s">
        <v>885</v>
      </c>
      <c r="U2357" s="1" t="s">
        <v>55</v>
      </c>
      <c r="V2357" s="1" t="s">
        <v>284</v>
      </c>
      <c r="W2357" s="1" t="s">
        <v>1069</v>
      </c>
      <c r="X2357" s="1" t="s">
        <v>454</v>
      </c>
      <c r="Y2357" s="1" t="s">
        <v>232</v>
      </c>
      <c r="Z2357" s="1" t="s">
        <v>344</v>
      </c>
      <c r="AA2357" s="3">
        <v>36936</v>
      </c>
      <c r="AB2357" s="1" t="s">
        <v>46</v>
      </c>
      <c r="AC2357" s="5">
        <v>3500</v>
      </c>
      <c r="AD2357" s="1" t="s">
        <v>5534</v>
      </c>
      <c r="AE2357" s="1" t="str">
        <f t="shared" si="167"/>
        <v>55076 AA002</v>
      </c>
      <c r="AF2357" s="5" t="str">
        <f>MID(AD2357,FIND("(",AD2357)+1,FIND(")",AD2357)-FIND("(",AD2357)-1)</f>
        <v>513.7</v>
      </c>
      <c r="AG2357" s="1" t="str">
        <f t="shared" si="166"/>
        <v/>
      </c>
    </row>
    <row r="2358" spans="1:33" x14ac:dyDescent="0.2">
      <c r="A2358" s="1" t="s">
        <v>1903</v>
      </c>
      <c r="B2358" s="1" t="s">
        <v>5536</v>
      </c>
      <c r="C2358" s="1">
        <v>55077</v>
      </c>
      <c r="D2358" s="1" t="s">
        <v>5537</v>
      </c>
      <c r="F2358" s="1">
        <v>2023</v>
      </c>
      <c r="G2358" s="1" t="s">
        <v>247</v>
      </c>
      <c r="H2358" s="1">
        <v>604517</v>
      </c>
      <c r="I2358" s="1">
        <v>9</v>
      </c>
      <c r="K2358" s="1" t="s">
        <v>170</v>
      </c>
      <c r="L2358" s="1" t="s">
        <v>1906</v>
      </c>
      <c r="M2358" s="1">
        <v>3</v>
      </c>
      <c r="N2358" s="1" t="s">
        <v>39</v>
      </c>
      <c r="O2358" s="1">
        <v>35.786700000000003</v>
      </c>
      <c r="P2358" s="1">
        <v>-114.9928</v>
      </c>
      <c r="Q2358" s="1" t="s">
        <v>5538</v>
      </c>
      <c r="R2358" s="1" t="s">
        <v>41</v>
      </c>
      <c r="T2358" s="1" t="s">
        <v>71</v>
      </c>
      <c r="U2358" s="1" t="s">
        <v>44</v>
      </c>
      <c r="X2358" s="1" t="s">
        <v>223</v>
      </c>
      <c r="AA2358" s="3">
        <v>36635</v>
      </c>
      <c r="AB2358" s="1" t="s">
        <v>46</v>
      </c>
      <c r="AC2358" s="5">
        <v>1925</v>
      </c>
      <c r="AD2358" s="1" t="s">
        <v>5539</v>
      </c>
      <c r="AE2358" s="1" t="str">
        <f t="shared" si="167"/>
        <v>55077 EDE1</v>
      </c>
      <c r="AF2358" s="14">
        <f>MID(AD2358,FIND("(",AD2358)+1,FIND(")",AD2358)-FIND("(",AD2358)-1)+196/2</f>
        <v>299</v>
      </c>
      <c r="AG2358" s="1" t="str">
        <f t="shared" si="166"/>
        <v>Y</v>
      </c>
    </row>
    <row r="2359" spans="1:33" x14ac:dyDescent="0.2">
      <c r="A2359" s="1" t="s">
        <v>1903</v>
      </c>
      <c r="B2359" s="1" t="s">
        <v>5536</v>
      </c>
      <c r="C2359" s="1">
        <v>55077</v>
      </c>
      <c r="D2359" s="1" t="s">
        <v>5540</v>
      </c>
      <c r="F2359" s="1">
        <v>2023</v>
      </c>
      <c r="G2359" s="1" t="s">
        <v>247</v>
      </c>
      <c r="H2359" s="1">
        <v>604517</v>
      </c>
      <c r="I2359" s="1">
        <v>9</v>
      </c>
      <c r="K2359" s="1" t="s">
        <v>170</v>
      </c>
      <c r="L2359" s="1" t="s">
        <v>1906</v>
      </c>
      <c r="M2359" s="1">
        <v>3</v>
      </c>
      <c r="N2359" s="1" t="s">
        <v>39</v>
      </c>
      <c r="O2359" s="1">
        <v>35.786700000000003</v>
      </c>
      <c r="P2359" s="1">
        <v>-114.9928</v>
      </c>
      <c r="Q2359" s="1" t="s">
        <v>5538</v>
      </c>
      <c r="R2359" s="1" t="s">
        <v>41</v>
      </c>
      <c r="T2359" s="1" t="s">
        <v>71</v>
      </c>
      <c r="U2359" s="1" t="s">
        <v>44</v>
      </c>
      <c r="X2359" s="1" t="s">
        <v>223</v>
      </c>
      <c r="AA2359" s="3">
        <v>36635</v>
      </c>
      <c r="AB2359" s="1" t="s">
        <v>46</v>
      </c>
      <c r="AC2359" s="5">
        <v>1925</v>
      </c>
      <c r="AD2359" s="1" t="s">
        <v>5541</v>
      </c>
      <c r="AE2359" s="1" t="str">
        <f t="shared" si="167"/>
        <v>55077 EDE2</v>
      </c>
      <c r="AF2359" s="14">
        <f>AF2358</f>
        <v>299</v>
      </c>
      <c r="AG2359" s="1" t="str">
        <f t="shared" si="166"/>
        <v>Y</v>
      </c>
    </row>
    <row r="2360" spans="1:33" x14ac:dyDescent="0.2">
      <c r="A2360" s="1" t="s">
        <v>1568</v>
      </c>
      <c r="B2360" s="1" t="s">
        <v>5542</v>
      </c>
      <c r="C2360" s="1">
        <v>55079</v>
      </c>
      <c r="D2360" s="1">
        <v>1</v>
      </c>
      <c r="F2360" s="1">
        <v>2023</v>
      </c>
      <c r="G2360" s="1" t="s">
        <v>579</v>
      </c>
      <c r="H2360" s="1">
        <v>603354</v>
      </c>
      <c r="I2360" s="1">
        <v>1</v>
      </c>
      <c r="J2360" s="1" t="s">
        <v>580</v>
      </c>
      <c r="K2360" s="1" t="s">
        <v>5395</v>
      </c>
      <c r="L2360" s="1" t="s">
        <v>5396</v>
      </c>
      <c r="M2360" s="1">
        <v>27</v>
      </c>
      <c r="N2360" s="1" t="s">
        <v>39</v>
      </c>
      <c r="O2360" s="1">
        <v>42.112699999999997</v>
      </c>
      <c r="P2360" s="1">
        <v>-72.015199999999993</v>
      </c>
      <c r="Q2360" s="1" t="s">
        <v>5543</v>
      </c>
      <c r="R2360" s="1" t="s">
        <v>41</v>
      </c>
      <c r="T2360" s="1" t="s">
        <v>71</v>
      </c>
      <c r="U2360" s="1" t="s">
        <v>44</v>
      </c>
      <c r="V2360" s="1" t="s">
        <v>94</v>
      </c>
      <c r="X2360" s="1" t="s">
        <v>176</v>
      </c>
      <c r="AA2360" s="3">
        <v>36724</v>
      </c>
      <c r="AB2360" s="1" t="s">
        <v>46</v>
      </c>
      <c r="AC2360" s="5">
        <v>2842</v>
      </c>
      <c r="AD2360" s="1" t="s">
        <v>5544</v>
      </c>
      <c r="AE2360" s="1" t="str">
        <f t="shared" si="167"/>
        <v>55079 1</v>
      </c>
      <c r="AF2360" s="14">
        <f>MID(AD2360,FIND("(",AD2360)+1,FIND(")",AD2360)-FIND("(",AD2360)-1)+230</f>
        <v>360</v>
      </c>
      <c r="AG2360" s="1" t="str">
        <f t="shared" si="166"/>
        <v>Y</v>
      </c>
    </row>
    <row r="2361" spans="1:33" x14ac:dyDescent="0.2">
      <c r="A2361" s="1" t="s">
        <v>2762</v>
      </c>
      <c r="B2361" s="1" t="s">
        <v>5545</v>
      </c>
      <c r="C2361" s="1">
        <v>55081</v>
      </c>
      <c r="D2361" s="1" t="s">
        <v>5546</v>
      </c>
      <c r="F2361" s="1">
        <v>2023</v>
      </c>
      <c r="G2361" s="1" t="s">
        <v>1207</v>
      </c>
      <c r="H2361" s="1">
        <v>609315</v>
      </c>
      <c r="I2361" s="1">
        <v>4</v>
      </c>
      <c r="K2361" s="1" t="s">
        <v>4353</v>
      </c>
      <c r="L2361" s="1" t="s">
        <v>4354</v>
      </c>
      <c r="M2361" s="1">
        <v>75</v>
      </c>
      <c r="N2361" s="1" t="s">
        <v>39</v>
      </c>
      <c r="O2361" s="1">
        <v>35.543799999999997</v>
      </c>
      <c r="P2361" s="1">
        <v>-89.197999999999993</v>
      </c>
      <c r="Q2361" s="1" t="s">
        <v>136</v>
      </c>
      <c r="R2361" s="1" t="s">
        <v>41</v>
      </c>
      <c r="T2361" s="1" t="s">
        <v>93</v>
      </c>
      <c r="U2361" s="1" t="s">
        <v>44</v>
      </c>
      <c r="X2361" s="1" t="s">
        <v>1606</v>
      </c>
      <c r="AA2361" s="3">
        <v>36318</v>
      </c>
      <c r="AB2361" s="1" t="s">
        <v>46</v>
      </c>
      <c r="AC2361" s="5">
        <v>1510</v>
      </c>
      <c r="AD2361" s="1" t="s">
        <v>5547</v>
      </c>
      <c r="AE2361" s="1" t="str">
        <f t="shared" si="167"/>
        <v>55081 AA-001</v>
      </c>
      <c r="AF2361" s="5" t="str">
        <f>MID(AD2361,FIND("(",AD2361)+1,FIND(")",AD2361)-FIND("(",AD2361)-1)</f>
        <v>112</v>
      </c>
      <c r="AG2361" s="1" t="str">
        <f t="shared" si="166"/>
        <v/>
      </c>
    </row>
    <row r="2362" spans="1:33" x14ac:dyDescent="0.2">
      <c r="A2362" s="1" t="s">
        <v>2762</v>
      </c>
      <c r="B2362" s="1" t="s">
        <v>5545</v>
      </c>
      <c r="C2362" s="1">
        <v>55081</v>
      </c>
      <c r="D2362" s="1" t="s">
        <v>5548</v>
      </c>
      <c r="F2362" s="1">
        <v>2023</v>
      </c>
      <c r="G2362" s="1" t="s">
        <v>1207</v>
      </c>
      <c r="H2362" s="1">
        <v>609315</v>
      </c>
      <c r="I2362" s="1">
        <v>4</v>
      </c>
      <c r="K2362" s="1" t="s">
        <v>4353</v>
      </c>
      <c r="L2362" s="1" t="s">
        <v>4354</v>
      </c>
      <c r="M2362" s="1">
        <v>75</v>
      </c>
      <c r="N2362" s="1" t="s">
        <v>39</v>
      </c>
      <c r="O2362" s="1">
        <v>35.543799999999997</v>
      </c>
      <c r="P2362" s="1">
        <v>-89.197999999999993</v>
      </c>
      <c r="Q2362" s="1" t="s">
        <v>136</v>
      </c>
      <c r="R2362" s="1" t="s">
        <v>41</v>
      </c>
      <c r="T2362" s="1" t="s">
        <v>93</v>
      </c>
      <c r="U2362" s="1" t="s">
        <v>44</v>
      </c>
      <c r="X2362" s="1" t="s">
        <v>1606</v>
      </c>
      <c r="AA2362" s="3">
        <v>36318</v>
      </c>
      <c r="AB2362" s="1" t="s">
        <v>46</v>
      </c>
      <c r="AC2362" s="5">
        <v>1460</v>
      </c>
      <c r="AD2362" s="1" t="s">
        <v>5549</v>
      </c>
      <c r="AE2362" s="1" t="str">
        <f t="shared" si="167"/>
        <v>55081 AA-002</v>
      </c>
      <c r="AF2362" s="5" t="str">
        <f>MID(AD2362,FIND("(",AD2362)+1,FIND(")",AD2362)-FIND("(",AD2362)-1)</f>
        <v>112</v>
      </c>
      <c r="AG2362" s="1" t="str">
        <f t="shared" si="166"/>
        <v/>
      </c>
    </row>
    <row r="2363" spans="1:33" x14ac:dyDescent="0.2">
      <c r="A2363" s="1" t="s">
        <v>2762</v>
      </c>
      <c r="B2363" s="1" t="s">
        <v>5545</v>
      </c>
      <c r="C2363" s="1">
        <v>55081</v>
      </c>
      <c r="D2363" s="1" t="s">
        <v>5550</v>
      </c>
      <c r="F2363" s="1">
        <v>2023</v>
      </c>
      <c r="G2363" s="1" t="s">
        <v>1207</v>
      </c>
      <c r="H2363" s="1">
        <v>609315</v>
      </c>
      <c r="I2363" s="1">
        <v>4</v>
      </c>
      <c r="K2363" s="1" t="s">
        <v>4353</v>
      </c>
      <c r="L2363" s="1" t="s">
        <v>4354</v>
      </c>
      <c r="M2363" s="1">
        <v>75</v>
      </c>
      <c r="N2363" s="1" t="s">
        <v>39</v>
      </c>
      <c r="O2363" s="1">
        <v>35.543799999999997</v>
      </c>
      <c r="P2363" s="1">
        <v>-89.197999999999993</v>
      </c>
      <c r="Q2363" s="1" t="s">
        <v>136</v>
      </c>
      <c r="R2363" s="1" t="s">
        <v>41</v>
      </c>
      <c r="T2363" s="1" t="s">
        <v>93</v>
      </c>
      <c r="U2363" s="1" t="s">
        <v>44</v>
      </c>
      <c r="X2363" s="1" t="s">
        <v>95</v>
      </c>
      <c r="AA2363" s="3">
        <v>36318</v>
      </c>
      <c r="AB2363" s="1" t="s">
        <v>46</v>
      </c>
      <c r="AC2363" s="5">
        <v>1690</v>
      </c>
      <c r="AD2363" s="1" t="s">
        <v>5551</v>
      </c>
      <c r="AE2363" s="1" t="str">
        <f t="shared" si="167"/>
        <v>55081 AA-003</v>
      </c>
      <c r="AF2363" s="5" t="str">
        <f>MID(AD2363,FIND("(",AD2363)+1,FIND(")",AD2363)-FIND("(",AD2363)-1)</f>
        <v>118</v>
      </c>
      <c r="AG2363" s="1" t="str">
        <f t="shared" si="166"/>
        <v/>
      </c>
    </row>
    <row r="2364" spans="1:33" x14ac:dyDescent="0.2">
      <c r="A2364" s="1" t="s">
        <v>2762</v>
      </c>
      <c r="B2364" s="1" t="s">
        <v>5545</v>
      </c>
      <c r="C2364" s="1">
        <v>55081</v>
      </c>
      <c r="D2364" s="1" t="s">
        <v>5552</v>
      </c>
      <c r="F2364" s="1">
        <v>2023</v>
      </c>
      <c r="G2364" s="1" t="s">
        <v>1207</v>
      </c>
      <c r="H2364" s="1">
        <v>609315</v>
      </c>
      <c r="I2364" s="1">
        <v>4</v>
      </c>
      <c r="K2364" s="1" t="s">
        <v>4353</v>
      </c>
      <c r="L2364" s="1" t="s">
        <v>4354</v>
      </c>
      <c r="M2364" s="1">
        <v>75</v>
      </c>
      <c r="N2364" s="1" t="s">
        <v>39</v>
      </c>
      <c r="O2364" s="1">
        <v>35.543799999999997</v>
      </c>
      <c r="P2364" s="1">
        <v>-89.197999999999993</v>
      </c>
      <c r="Q2364" s="1" t="s">
        <v>136</v>
      </c>
      <c r="R2364" s="1" t="s">
        <v>41</v>
      </c>
      <c r="T2364" s="1" t="s">
        <v>93</v>
      </c>
      <c r="U2364" s="1" t="s">
        <v>44</v>
      </c>
      <c r="X2364" s="1" t="s">
        <v>95</v>
      </c>
      <c r="AA2364" s="3">
        <v>36318</v>
      </c>
      <c r="AB2364" s="1" t="s">
        <v>46</v>
      </c>
      <c r="AC2364" s="5">
        <v>1700</v>
      </c>
      <c r="AD2364" s="1" t="s">
        <v>5553</v>
      </c>
      <c r="AE2364" s="1" t="str">
        <f t="shared" si="167"/>
        <v>55081 AA-004</v>
      </c>
      <c r="AF2364" s="5" t="str">
        <f>MID(AD2364,FIND("(",AD2364)+1,FIND(")",AD2364)-FIND("(",AD2364)-1)</f>
        <v>118</v>
      </c>
      <c r="AG2364" s="1" t="str">
        <f t="shared" si="166"/>
        <v/>
      </c>
    </row>
    <row r="2365" spans="1:33" x14ac:dyDescent="0.2">
      <c r="A2365" s="1" t="s">
        <v>383</v>
      </c>
      <c r="B2365" s="1" t="s">
        <v>5554</v>
      </c>
      <c r="C2365" s="1">
        <v>55086</v>
      </c>
      <c r="D2365" s="1">
        <v>101</v>
      </c>
      <c r="F2365" s="1">
        <v>2023</v>
      </c>
      <c r="G2365" s="1" t="s">
        <v>346</v>
      </c>
      <c r="H2365" s="1">
        <v>602998</v>
      </c>
      <c r="I2365" s="1">
        <v>6</v>
      </c>
      <c r="K2365" s="1" t="s">
        <v>5555</v>
      </c>
      <c r="L2365" s="1" t="s">
        <v>5556</v>
      </c>
      <c r="M2365" s="1">
        <v>409</v>
      </c>
      <c r="N2365" s="1" t="s">
        <v>1680</v>
      </c>
      <c r="O2365" s="1">
        <v>27.888100000000001</v>
      </c>
      <c r="P2365" s="1">
        <v>-97.257199999999997</v>
      </c>
      <c r="Q2365" s="1" t="s">
        <v>5557</v>
      </c>
      <c r="R2365" s="1" t="s">
        <v>41</v>
      </c>
      <c r="T2365" s="1" t="s">
        <v>71</v>
      </c>
      <c r="U2365" s="1" t="s">
        <v>44</v>
      </c>
      <c r="X2365" s="1" t="s">
        <v>140</v>
      </c>
      <c r="AA2365" s="3">
        <v>36540</v>
      </c>
      <c r="AB2365" s="1" t="s">
        <v>46</v>
      </c>
      <c r="AC2365" s="5">
        <v>2378.1</v>
      </c>
      <c r="AD2365" s="1" t="s">
        <v>5558</v>
      </c>
      <c r="AE2365" s="1" t="str">
        <f t="shared" si="167"/>
        <v>55086 101</v>
      </c>
      <c r="AF2365" s="14">
        <f>MID(AD2365,FIND("(",AD2365)+1,FIND(")",AD2365)-FIND("(",AD2365)-1)+100</f>
        <v>268</v>
      </c>
      <c r="AG2365" s="1" t="str">
        <f t="shared" si="166"/>
        <v/>
      </c>
    </row>
    <row r="2366" spans="1:33" x14ac:dyDescent="0.2">
      <c r="A2366" s="1" t="s">
        <v>383</v>
      </c>
      <c r="B2366" s="1" t="s">
        <v>5554</v>
      </c>
      <c r="C2366" s="1">
        <v>55086</v>
      </c>
      <c r="D2366" s="1">
        <v>102</v>
      </c>
      <c r="F2366" s="1">
        <v>2023</v>
      </c>
      <c r="G2366" s="1" t="s">
        <v>346</v>
      </c>
      <c r="H2366" s="1">
        <v>602998</v>
      </c>
      <c r="I2366" s="1">
        <v>6</v>
      </c>
      <c r="K2366" s="1" t="s">
        <v>5555</v>
      </c>
      <c r="L2366" s="1" t="s">
        <v>5556</v>
      </c>
      <c r="M2366" s="1">
        <v>409</v>
      </c>
      <c r="N2366" s="1" t="s">
        <v>1680</v>
      </c>
      <c r="O2366" s="1">
        <v>27.888100000000001</v>
      </c>
      <c r="P2366" s="1">
        <v>-97.257199999999997</v>
      </c>
      <c r="Q2366" s="1" t="s">
        <v>5557</v>
      </c>
      <c r="R2366" s="1" t="s">
        <v>41</v>
      </c>
      <c r="T2366" s="1" t="s">
        <v>71</v>
      </c>
      <c r="U2366" s="1" t="s">
        <v>44</v>
      </c>
      <c r="X2366" s="1" t="s">
        <v>140</v>
      </c>
      <c r="AA2366" s="3">
        <v>36540</v>
      </c>
      <c r="AB2366" s="1" t="s">
        <v>46</v>
      </c>
      <c r="AC2366" s="5">
        <v>2318.5</v>
      </c>
      <c r="AD2366" s="1" t="s">
        <v>5559</v>
      </c>
      <c r="AE2366" s="1" t="str">
        <f t="shared" si="167"/>
        <v>55086 102</v>
      </c>
      <c r="AF2366" s="14">
        <f>MID(AD2366,FIND("(",AD2366)+1,FIND(")",AD2366)-FIND("(",AD2366)-1)+168</f>
        <v>268</v>
      </c>
      <c r="AG2366" s="1" t="str">
        <f t="shared" si="166"/>
        <v/>
      </c>
    </row>
    <row r="2367" spans="1:33" x14ac:dyDescent="0.2">
      <c r="A2367" s="1" t="s">
        <v>1621</v>
      </c>
      <c r="B2367" s="1" t="s">
        <v>5560</v>
      </c>
      <c r="C2367" s="1">
        <v>55087</v>
      </c>
      <c r="D2367" s="1" t="s">
        <v>194</v>
      </c>
      <c r="F2367" s="1">
        <v>2023</v>
      </c>
      <c r="G2367" s="1" t="s">
        <v>461</v>
      </c>
      <c r="H2367" s="1">
        <v>607360</v>
      </c>
      <c r="I2367" s="1">
        <v>5</v>
      </c>
      <c r="K2367" s="1" t="s">
        <v>1631</v>
      </c>
      <c r="L2367" s="1" t="s">
        <v>1632</v>
      </c>
      <c r="M2367" s="1">
        <v>139</v>
      </c>
      <c r="N2367" s="1" t="s">
        <v>1680</v>
      </c>
      <c r="O2367" s="1">
        <v>42.82</v>
      </c>
      <c r="P2367" s="1">
        <v>-85.998800000000003</v>
      </c>
      <c r="Q2367" s="1" t="s">
        <v>1624</v>
      </c>
      <c r="R2367" s="1" t="s">
        <v>41</v>
      </c>
      <c r="T2367" s="1" t="s">
        <v>93</v>
      </c>
      <c r="U2367" s="1" t="s">
        <v>44</v>
      </c>
      <c r="X2367" s="1" t="s">
        <v>140</v>
      </c>
      <c r="AA2367" s="3">
        <v>36951</v>
      </c>
      <c r="AB2367" s="1" t="s">
        <v>46</v>
      </c>
      <c r="AC2367" s="5">
        <v>2204.8000000000002</v>
      </c>
      <c r="AD2367" s="1" t="s">
        <v>5561</v>
      </c>
      <c r="AE2367" s="1" t="str">
        <f t="shared" si="167"/>
        <v>55087 CC1</v>
      </c>
      <c r="AF2367" s="5" t="str">
        <f>MID(AD2367,FIND("(",AD2367)+1,FIND(")",AD2367)-FIND("(",AD2367)-1)</f>
        <v>154</v>
      </c>
      <c r="AG2367" s="1" t="str">
        <f t="shared" si="166"/>
        <v/>
      </c>
    </row>
    <row r="2368" spans="1:33" x14ac:dyDescent="0.2">
      <c r="A2368" s="1" t="s">
        <v>1621</v>
      </c>
      <c r="B2368" s="1" t="s">
        <v>5560</v>
      </c>
      <c r="C2368" s="1">
        <v>55087</v>
      </c>
      <c r="D2368" s="1" t="s">
        <v>5562</v>
      </c>
      <c r="F2368" s="1">
        <v>2023</v>
      </c>
      <c r="G2368" s="1" t="s">
        <v>461</v>
      </c>
      <c r="H2368" s="1">
        <v>607360</v>
      </c>
      <c r="I2368" s="1">
        <v>5</v>
      </c>
      <c r="K2368" s="1" t="s">
        <v>1631</v>
      </c>
      <c r="L2368" s="1" t="s">
        <v>1632</v>
      </c>
      <c r="M2368" s="1">
        <v>139</v>
      </c>
      <c r="N2368" s="1" t="s">
        <v>1680</v>
      </c>
      <c r="O2368" s="1">
        <v>42.82</v>
      </c>
      <c r="P2368" s="1">
        <v>-85.998800000000003</v>
      </c>
      <c r="Q2368" s="1" t="s">
        <v>1624</v>
      </c>
      <c r="R2368" s="1" t="s">
        <v>41</v>
      </c>
      <c r="T2368" s="1" t="s">
        <v>93</v>
      </c>
      <c r="U2368" s="1" t="s">
        <v>44</v>
      </c>
      <c r="X2368" s="1" t="s">
        <v>140</v>
      </c>
      <c r="AA2368" s="3">
        <v>36951</v>
      </c>
      <c r="AB2368" s="1" t="s">
        <v>46</v>
      </c>
      <c r="AC2368" s="5">
        <v>2204.8000000000002</v>
      </c>
      <c r="AD2368" s="1" t="s">
        <v>5563</v>
      </c>
      <c r="AE2368" s="1" t="str">
        <f t="shared" si="167"/>
        <v>55087 CC2</v>
      </c>
      <c r="AF2368" s="5" t="str">
        <f>MID(AD2368,FIND("(",AD2368)+1,FIND(")",AD2368)-FIND("(",AD2368)-1)</f>
        <v>154</v>
      </c>
      <c r="AG2368" s="1" t="str">
        <f t="shared" si="166"/>
        <v/>
      </c>
    </row>
    <row r="2369" spans="1:33" x14ac:dyDescent="0.2">
      <c r="A2369" s="1" t="s">
        <v>1621</v>
      </c>
      <c r="B2369" s="1" t="s">
        <v>5560</v>
      </c>
      <c r="C2369" s="1">
        <v>55087</v>
      </c>
      <c r="D2369" s="1" t="s">
        <v>5564</v>
      </c>
      <c r="F2369" s="1">
        <v>2023</v>
      </c>
      <c r="G2369" s="1" t="s">
        <v>461</v>
      </c>
      <c r="H2369" s="1">
        <v>607360</v>
      </c>
      <c r="I2369" s="1">
        <v>5</v>
      </c>
      <c r="K2369" s="1" t="s">
        <v>1631</v>
      </c>
      <c r="L2369" s="1" t="s">
        <v>1632</v>
      </c>
      <c r="M2369" s="1">
        <v>139</v>
      </c>
      <c r="N2369" s="1" t="s">
        <v>1680</v>
      </c>
      <c r="O2369" s="1">
        <v>42.82</v>
      </c>
      <c r="P2369" s="1">
        <v>-85.998800000000003</v>
      </c>
      <c r="Q2369" s="1" t="s">
        <v>1624</v>
      </c>
      <c r="R2369" s="1" t="s">
        <v>41</v>
      </c>
      <c r="T2369" s="1" t="s">
        <v>71</v>
      </c>
      <c r="U2369" s="1" t="s">
        <v>44</v>
      </c>
      <c r="X2369" s="1" t="s">
        <v>64</v>
      </c>
      <c r="AA2369" s="3">
        <v>37357</v>
      </c>
      <c r="AB2369" s="1" t="s">
        <v>46</v>
      </c>
      <c r="AC2369" s="5">
        <v>2323</v>
      </c>
      <c r="AD2369" s="1" t="s">
        <v>5565</v>
      </c>
      <c r="AE2369" s="1" t="str">
        <f t="shared" si="167"/>
        <v>55087 CC3</v>
      </c>
      <c r="AF2369" s="14">
        <f>AF2370</f>
        <v>277.64999999999998</v>
      </c>
      <c r="AG2369" s="1" t="str">
        <f t="shared" si="166"/>
        <v>Y</v>
      </c>
    </row>
    <row r="2370" spans="1:33" x14ac:dyDescent="0.2">
      <c r="A2370" s="1" t="s">
        <v>1621</v>
      </c>
      <c r="B2370" s="1" t="s">
        <v>5560</v>
      </c>
      <c r="C2370" s="1">
        <v>55087</v>
      </c>
      <c r="D2370" s="1" t="s">
        <v>260</v>
      </c>
      <c r="F2370" s="1">
        <v>2023</v>
      </c>
      <c r="G2370" s="1" t="s">
        <v>461</v>
      </c>
      <c r="H2370" s="1">
        <v>607360</v>
      </c>
      <c r="I2370" s="1">
        <v>5</v>
      </c>
      <c r="K2370" s="1" t="s">
        <v>1631</v>
      </c>
      <c r="L2370" s="1" t="s">
        <v>1632</v>
      </c>
      <c r="M2370" s="1">
        <v>139</v>
      </c>
      <c r="N2370" s="1" t="s">
        <v>1680</v>
      </c>
      <c r="O2370" s="1">
        <v>42.82</v>
      </c>
      <c r="P2370" s="1">
        <v>-85.998800000000003</v>
      </c>
      <c r="Q2370" s="1" t="s">
        <v>1624</v>
      </c>
      <c r="R2370" s="1" t="s">
        <v>41</v>
      </c>
      <c r="T2370" s="1" t="s">
        <v>71</v>
      </c>
      <c r="U2370" s="1" t="s">
        <v>44</v>
      </c>
      <c r="X2370" s="1" t="s">
        <v>64</v>
      </c>
      <c r="AA2370" s="3">
        <v>37366</v>
      </c>
      <c r="AB2370" s="1" t="s">
        <v>46</v>
      </c>
      <c r="AC2370" s="5">
        <v>2345</v>
      </c>
      <c r="AD2370" s="1" t="s">
        <v>5566</v>
      </c>
      <c r="AE2370" s="1" t="str">
        <f t="shared" si="167"/>
        <v>55087 CC4</v>
      </c>
      <c r="AF2370" s="14">
        <f>MID(AD2370,FIND("(",AD2370)+1,FIND(")",AD2370)-FIND("(",AD2370)-1)+213.3/2</f>
        <v>277.64999999999998</v>
      </c>
      <c r="AG2370" s="1" t="str">
        <f t="shared" ref="AG2370:AG2433" si="170">IF(ISNUMBER(SEARCH("selective", X2370)), "Y", "")</f>
        <v>Y</v>
      </c>
    </row>
    <row r="2371" spans="1:33" x14ac:dyDescent="0.2">
      <c r="A2371" s="1" t="s">
        <v>1621</v>
      </c>
      <c r="B2371" s="1" t="s">
        <v>5567</v>
      </c>
      <c r="C2371" s="1">
        <v>55088</v>
      </c>
      <c r="D2371" s="1" t="s">
        <v>5568</v>
      </c>
      <c r="F2371" s="1">
        <v>2023</v>
      </c>
      <c r="G2371" s="1" t="s">
        <v>461</v>
      </c>
      <c r="H2371" s="1" t="s">
        <v>5569</v>
      </c>
      <c r="I2371" s="1">
        <v>5</v>
      </c>
      <c r="K2371" s="1" t="s">
        <v>1178</v>
      </c>
      <c r="L2371" s="1" t="s">
        <v>1640</v>
      </c>
      <c r="M2371" s="1">
        <v>163</v>
      </c>
      <c r="N2371" s="1" t="s">
        <v>39</v>
      </c>
      <c r="O2371" s="1">
        <v>42.302599999999998</v>
      </c>
      <c r="P2371" s="1">
        <v>-83.153999999999996</v>
      </c>
      <c r="Q2371" s="1" t="s">
        <v>5570</v>
      </c>
      <c r="R2371" s="1" t="s">
        <v>41</v>
      </c>
      <c r="T2371" s="1" t="s">
        <v>656</v>
      </c>
      <c r="U2371" s="1" t="s">
        <v>288</v>
      </c>
      <c r="V2371" s="1" t="s">
        <v>44</v>
      </c>
      <c r="X2371" s="1" t="s">
        <v>90</v>
      </c>
      <c r="AA2371" s="3">
        <v>37043</v>
      </c>
      <c r="AB2371" s="1" t="s">
        <v>46</v>
      </c>
      <c r="AC2371" s="5">
        <v>835</v>
      </c>
      <c r="AD2371" s="1" t="s">
        <v>5571</v>
      </c>
      <c r="AE2371" s="1" t="str">
        <f t="shared" ref="AE2371:AE2434" si="171">C2371&amp;" "&amp;D2371</f>
        <v>55088 BL1100</v>
      </c>
      <c r="AF2371" s="5" t="str">
        <f>MID(AD2371,FIND("(",AD2371)+1,FIND(")",AD2371)-FIND("(",AD2371)-1)</f>
        <v>189</v>
      </c>
      <c r="AG2371" s="1" t="str">
        <f t="shared" si="170"/>
        <v/>
      </c>
    </row>
    <row r="2372" spans="1:33" x14ac:dyDescent="0.2">
      <c r="A2372" s="1" t="s">
        <v>1621</v>
      </c>
      <c r="B2372" s="1" t="s">
        <v>5567</v>
      </c>
      <c r="C2372" s="1">
        <v>55088</v>
      </c>
      <c r="D2372" s="1" t="s">
        <v>5572</v>
      </c>
      <c r="F2372" s="1">
        <v>2023</v>
      </c>
      <c r="G2372" s="1" t="s">
        <v>461</v>
      </c>
      <c r="H2372" s="1" t="s">
        <v>5569</v>
      </c>
      <c r="I2372" s="1">
        <v>5</v>
      </c>
      <c r="K2372" s="1" t="s">
        <v>1178</v>
      </c>
      <c r="L2372" s="1" t="s">
        <v>1640</v>
      </c>
      <c r="M2372" s="1">
        <v>163</v>
      </c>
      <c r="N2372" s="1" t="s">
        <v>39</v>
      </c>
      <c r="O2372" s="1">
        <v>42.302599999999998</v>
      </c>
      <c r="P2372" s="1">
        <v>-83.153999999999996</v>
      </c>
      <c r="Q2372" s="1" t="s">
        <v>5570</v>
      </c>
      <c r="R2372" s="1" t="s">
        <v>41</v>
      </c>
      <c r="T2372" s="1" t="s">
        <v>656</v>
      </c>
      <c r="U2372" s="1" t="s">
        <v>288</v>
      </c>
      <c r="V2372" s="1" t="s">
        <v>44</v>
      </c>
      <c r="X2372" s="1" t="s">
        <v>90</v>
      </c>
      <c r="AA2372" s="3">
        <v>37043</v>
      </c>
      <c r="AB2372" s="1" t="s">
        <v>46</v>
      </c>
      <c r="AC2372" s="5">
        <v>746.7</v>
      </c>
      <c r="AD2372" s="1" t="s">
        <v>5571</v>
      </c>
      <c r="AE2372" s="1" t="str">
        <f t="shared" si="171"/>
        <v>55088 BL2100</v>
      </c>
      <c r="AF2372" s="5" t="str">
        <f>MID(AD2372,FIND("(",AD2372)+1,FIND(")",AD2372)-FIND("(",AD2372)-1)</f>
        <v>189</v>
      </c>
      <c r="AG2372" s="1" t="str">
        <f t="shared" si="170"/>
        <v/>
      </c>
    </row>
    <row r="2373" spans="1:33" x14ac:dyDescent="0.2">
      <c r="A2373" s="1" t="s">
        <v>1621</v>
      </c>
      <c r="B2373" s="1" t="s">
        <v>5567</v>
      </c>
      <c r="C2373" s="1">
        <v>55088</v>
      </c>
      <c r="D2373" s="1" t="s">
        <v>5573</v>
      </c>
      <c r="F2373" s="1">
        <v>2023</v>
      </c>
      <c r="G2373" s="1" t="s">
        <v>461</v>
      </c>
      <c r="H2373" s="1" t="s">
        <v>5569</v>
      </c>
      <c r="I2373" s="1">
        <v>5</v>
      </c>
      <c r="K2373" s="1" t="s">
        <v>1178</v>
      </c>
      <c r="L2373" s="1" t="s">
        <v>1640</v>
      </c>
      <c r="M2373" s="1">
        <v>163</v>
      </c>
      <c r="N2373" s="1" t="s">
        <v>39</v>
      </c>
      <c r="O2373" s="1">
        <v>42.302599999999998</v>
      </c>
      <c r="P2373" s="1">
        <v>-83.153999999999996</v>
      </c>
      <c r="Q2373" s="1" t="s">
        <v>5570</v>
      </c>
      <c r="R2373" s="1" t="s">
        <v>41</v>
      </c>
      <c r="T2373" s="1" t="s">
        <v>656</v>
      </c>
      <c r="U2373" s="1" t="s">
        <v>288</v>
      </c>
      <c r="V2373" s="1" t="s">
        <v>44</v>
      </c>
      <c r="X2373" s="1" t="s">
        <v>90</v>
      </c>
      <c r="AA2373" s="3">
        <v>37043</v>
      </c>
      <c r="AB2373" s="1" t="s">
        <v>46</v>
      </c>
      <c r="AC2373" s="5">
        <v>746.7</v>
      </c>
      <c r="AD2373" s="1" t="s">
        <v>5571</v>
      </c>
      <c r="AE2373" s="1" t="str">
        <f t="shared" si="171"/>
        <v>55088 BL3100</v>
      </c>
      <c r="AF2373" s="5" t="str">
        <f>MID(AD2373,FIND("(",AD2373)+1,FIND(")",AD2373)-FIND("(",AD2373)-1)</f>
        <v>189</v>
      </c>
      <c r="AG2373" s="1" t="str">
        <f t="shared" si="170"/>
        <v/>
      </c>
    </row>
    <row r="2374" spans="1:33" x14ac:dyDescent="0.2">
      <c r="A2374" s="1" t="s">
        <v>1621</v>
      </c>
      <c r="B2374" s="1" t="s">
        <v>5567</v>
      </c>
      <c r="C2374" s="1">
        <v>55088</v>
      </c>
      <c r="D2374" s="1" t="s">
        <v>5574</v>
      </c>
      <c r="F2374" s="1">
        <v>2023</v>
      </c>
      <c r="G2374" s="1" t="s">
        <v>461</v>
      </c>
      <c r="H2374" s="1" t="s">
        <v>5569</v>
      </c>
      <c r="I2374" s="1">
        <v>5</v>
      </c>
      <c r="K2374" s="1" t="s">
        <v>1178</v>
      </c>
      <c r="L2374" s="1" t="s">
        <v>1640</v>
      </c>
      <c r="M2374" s="1">
        <v>163</v>
      </c>
      <c r="N2374" s="1" t="s">
        <v>39</v>
      </c>
      <c r="O2374" s="1">
        <v>42.302599999999998</v>
      </c>
      <c r="P2374" s="1">
        <v>-83.153999999999996</v>
      </c>
      <c r="Q2374" s="1" t="s">
        <v>5570</v>
      </c>
      <c r="R2374" s="1" t="s">
        <v>41</v>
      </c>
      <c r="T2374" s="1" t="s">
        <v>71</v>
      </c>
      <c r="U2374" s="1" t="s">
        <v>44</v>
      </c>
      <c r="X2374" s="1" t="s">
        <v>140</v>
      </c>
      <c r="AA2374" s="3">
        <v>37043</v>
      </c>
      <c r="AB2374" s="1" t="s">
        <v>46</v>
      </c>
      <c r="AC2374" s="5">
        <v>2164</v>
      </c>
      <c r="AD2374" s="1" t="s">
        <v>5575</v>
      </c>
      <c r="AE2374" s="1" t="str">
        <f t="shared" si="171"/>
        <v>55088 GT2100</v>
      </c>
      <c r="AF2374" s="14">
        <f>MID(AD2374,FIND("(",AD2374)+1,FIND(")",AD2374)-FIND("(",AD2374)-1)+189/2</f>
        <v>261</v>
      </c>
      <c r="AG2374" s="1" t="str">
        <f t="shared" si="170"/>
        <v/>
      </c>
    </row>
    <row r="2375" spans="1:33" x14ac:dyDescent="0.2">
      <c r="A2375" s="1" t="s">
        <v>1621</v>
      </c>
      <c r="B2375" s="1" t="s">
        <v>5567</v>
      </c>
      <c r="C2375" s="1">
        <v>55088</v>
      </c>
      <c r="D2375" s="1" t="s">
        <v>5576</v>
      </c>
      <c r="F2375" s="1">
        <v>2023</v>
      </c>
      <c r="G2375" s="1" t="s">
        <v>461</v>
      </c>
      <c r="H2375" s="1" t="s">
        <v>5569</v>
      </c>
      <c r="I2375" s="1">
        <v>5</v>
      </c>
      <c r="K2375" s="1" t="s">
        <v>1178</v>
      </c>
      <c r="L2375" s="1" t="s">
        <v>1640</v>
      </c>
      <c r="M2375" s="1">
        <v>163</v>
      </c>
      <c r="N2375" s="1" t="s">
        <v>39</v>
      </c>
      <c r="O2375" s="1">
        <v>42.302599999999998</v>
      </c>
      <c r="P2375" s="1">
        <v>-83.153999999999996</v>
      </c>
      <c r="Q2375" s="1" t="s">
        <v>5570</v>
      </c>
      <c r="R2375" s="1" t="s">
        <v>41</v>
      </c>
      <c r="T2375" s="1" t="s">
        <v>71</v>
      </c>
      <c r="U2375" s="1" t="s">
        <v>44</v>
      </c>
      <c r="X2375" s="1" t="s">
        <v>140</v>
      </c>
      <c r="AA2375" s="3">
        <v>37043</v>
      </c>
      <c r="AB2375" s="1" t="s">
        <v>46</v>
      </c>
      <c r="AC2375" s="5">
        <v>3210</v>
      </c>
      <c r="AD2375" s="1" t="s">
        <v>5577</v>
      </c>
      <c r="AE2375" s="1" t="str">
        <f t="shared" si="171"/>
        <v>55088 GT3100</v>
      </c>
      <c r="AF2375" s="14">
        <f>AF2374</f>
        <v>261</v>
      </c>
      <c r="AG2375" s="1" t="str">
        <f t="shared" si="170"/>
        <v/>
      </c>
    </row>
    <row r="2376" spans="1:33" x14ac:dyDescent="0.2">
      <c r="A2376" s="1" t="s">
        <v>1621</v>
      </c>
      <c r="B2376" s="1" t="s">
        <v>5567</v>
      </c>
      <c r="C2376" s="1">
        <v>55088</v>
      </c>
      <c r="D2376" s="1" t="s">
        <v>5578</v>
      </c>
      <c r="F2376" s="1">
        <v>2023</v>
      </c>
      <c r="G2376" s="1" t="s">
        <v>461</v>
      </c>
      <c r="H2376" s="1" t="s">
        <v>5569</v>
      </c>
      <c r="I2376" s="1">
        <v>5</v>
      </c>
      <c r="K2376" s="1" t="s">
        <v>1178</v>
      </c>
      <c r="L2376" s="1" t="s">
        <v>1640</v>
      </c>
      <c r="M2376" s="1">
        <v>163</v>
      </c>
      <c r="N2376" s="1" t="s">
        <v>39</v>
      </c>
      <c r="O2376" s="1">
        <v>42.302599999999998</v>
      </c>
      <c r="P2376" s="1">
        <v>-83.153999999999996</v>
      </c>
      <c r="Q2376" s="1" t="s">
        <v>5570</v>
      </c>
      <c r="R2376" s="1" t="s">
        <v>41</v>
      </c>
      <c r="T2376" s="1" t="s">
        <v>93</v>
      </c>
      <c r="U2376" s="1" t="s">
        <v>44</v>
      </c>
      <c r="X2376" s="1" t="s">
        <v>140</v>
      </c>
      <c r="AA2376" s="3">
        <v>36373</v>
      </c>
      <c r="AB2376" s="1" t="s">
        <v>46</v>
      </c>
      <c r="AC2376" s="5">
        <v>2410</v>
      </c>
      <c r="AD2376" s="1" t="s">
        <v>5579</v>
      </c>
      <c r="AE2376" s="1" t="str">
        <f t="shared" si="171"/>
        <v>55088 GTP1</v>
      </c>
      <c r="AF2376" s="5" t="str">
        <f>MID(AD2376,FIND("(",AD2376)+1,FIND(")",AD2376)-FIND("(",AD2376)-1)</f>
        <v>170</v>
      </c>
      <c r="AG2376" s="1" t="str">
        <f t="shared" si="170"/>
        <v/>
      </c>
    </row>
    <row r="2377" spans="1:33" x14ac:dyDescent="0.2">
      <c r="A2377" s="1" t="s">
        <v>1426</v>
      </c>
      <c r="B2377" s="1" t="s">
        <v>5580</v>
      </c>
      <c r="C2377" s="1">
        <v>55089</v>
      </c>
      <c r="D2377" s="1" t="s">
        <v>311</v>
      </c>
      <c r="F2377" s="1">
        <v>2023</v>
      </c>
      <c r="G2377" s="1" t="s">
        <v>1428</v>
      </c>
      <c r="H2377" s="1">
        <v>610401</v>
      </c>
      <c r="I2377" s="1">
        <v>6</v>
      </c>
      <c r="K2377" s="1" t="s">
        <v>1458</v>
      </c>
      <c r="L2377" s="1" t="s">
        <v>1459</v>
      </c>
      <c r="M2377" s="1">
        <v>89</v>
      </c>
      <c r="N2377" s="1" t="s">
        <v>1680</v>
      </c>
      <c r="O2377" s="1">
        <v>29.9861</v>
      </c>
      <c r="P2377" s="1">
        <v>-90.457499999999996</v>
      </c>
      <c r="Q2377" s="1" t="s">
        <v>5581</v>
      </c>
      <c r="R2377" s="1" t="s">
        <v>41</v>
      </c>
      <c r="T2377" s="1" t="s">
        <v>71</v>
      </c>
      <c r="U2377" s="1" t="s">
        <v>44</v>
      </c>
      <c r="V2377" s="1" t="s">
        <v>288</v>
      </c>
      <c r="X2377" s="1" t="s">
        <v>140</v>
      </c>
      <c r="AA2377" s="3">
        <v>37452</v>
      </c>
      <c r="AB2377" s="1" t="s">
        <v>46</v>
      </c>
      <c r="AC2377" s="5">
        <v>2385</v>
      </c>
      <c r="AD2377" s="1" t="s">
        <v>5582</v>
      </c>
      <c r="AE2377" s="1" t="str">
        <f t="shared" si="171"/>
        <v>55089 CT1</v>
      </c>
      <c r="AF2377" s="14">
        <f>MID(AD2377,FIND("(",AD2377)+1,FIND(")",AD2377)-FIND("(",AD2377)-1)+358.7/3</f>
        <v>298.06666666666666</v>
      </c>
      <c r="AG2377" s="1" t="str">
        <f t="shared" si="170"/>
        <v/>
      </c>
    </row>
    <row r="2378" spans="1:33" x14ac:dyDescent="0.2">
      <c r="A2378" s="1" t="s">
        <v>1426</v>
      </c>
      <c r="B2378" s="1" t="s">
        <v>5580</v>
      </c>
      <c r="C2378" s="1">
        <v>55089</v>
      </c>
      <c r="D2378" s="1" t="s">
        <v>98</v>
      </c>
      <c r="F2378" s="1">
        <v>2023</v>
      </c>
      <c r="G2378" s="1" t="s">
        <v>1428</v>
      </c>
      <c r="H2378" s="1">
        <v>610401</v>
      </c>
      <c r="I2378" s="1">
        <v>6</v>
      </c>
      <c r="K2378" s="1" t="s">
        <v>1458</v>
      </c>
      <c r="L2378" s="1" t="s">
        <v>1459</v>
      </c>
      <c r="M2378" s="1">
        <v>89</v>
      </c>
      <c r="N2378" s="1" t="s">
        <v>1680</v>
      </c>
      <c r="O2378" s="1">
        <v>29.9861</v>
      </c>
      <c r="P2378" s="1">
        <v>-90.457499999999996</v>
      </c>
      <c r="Q2378" s="1" t="s">
        <v>5581</v>
      </c>
      <c r="R2378" s="1" t="s">
        <v>41</v>
      </c>
      <c r="T2378" s="1" t="s">
        <v>71</v>
      </c>
      <c r="U2378" s="1" t="s">
        <v>44</v>
      </c>
      <c r="V2378" s="1" t="s">
        <v>288</v>
      </c>
      <c r="X2378" s="1" t="s">
        <v>140</v>
      </c>
      <c r="AA2378" s="3">
        <v>37477</v>
      </c>
      <c r="AB2378" s="1" t="s">
        <v>46</v>
      </c>
      <c r="AC2378" s="5">
        <v>2385</v>
      </c>
      <c r="AD2378" s="1" t="s">
        <v>5583</v>
      </c>
      <c r="AE2378" s="1" t="str">
        <f t="shared" si="171"/>
        <v>55089 CT2</v>
      </c>
      <c r="AF2378" s="14">
        <f>AF2377</f>
        <v>298.06666666666666</v>
      </c>
      <c r="AG2378" s="1" t="str">
        <f t="shared" si="170"/>
        <v/>
      </c>
    </row>
    <row r="2379" spans="1:33" x14ac:dyDescent="0.2">
      <c r="A2379" s="1" t="s">
        <v>1426</v>
      </c>
      <c r="B2379" s="1" t="s">
        <v>5580</v>
      </c>
      <c r="C2379" s="1">
        <v>55089</v>
      </c>
      <c r="D2379" s="1" t="s">
        <v>101</v>
      </c>
      <c r="F2379" s="1">
        <v>2023</v>
      </c>
      <c r="G2379" s="1" t="s">
        <v>1428</v>
      </c>
      <c r="H2379" s="1">
        <v>610401</v>
      </c>
      <c r="I2379" s="1">
        <v>6</v>
      </c>
      <c r="K2379" s="1" t="s">
        <v>1458</v>
      </c>
      <c r="L2379" s="1" t="s">
        <v>1459</v>
      </c>
      <c r="M2379" s="1">
        <v>89</v>
      </c>
      <c r="N2379" s="1" t="s">
        <v>1680</v>
      </c>
      <c r="O2379" s="1">
        <v>29.9861</v>
      </c>
      <c r="P2379" s="1">
        <v>-90.457499999999996</v>
      </c>
      <c r="Q2379" s="1" t="s">
        <v>5581</v>
      </c>
      <c r="R2379" s="1" t="s">
        <v>41</v>
      </c>
      <c r="T2379" s="1" t="s">
        <v>71</v>
      </c>
      <c r="U2379" s="1" t="s">
        <v>44</v>
      </c>
      <c r="V2379" s="1" t="s">
        <v>288</v>
      </c>
      <c r="X2379" s="1" t="s">
        <v>140</v>
      </c>
      <c r="AA2379" s="3">
        <v>37505</v>
      </c>
      <c r="AB2379" s="1" t="s">
        <v>46</v>
      </c>
      <c r="AC2379" s="5">
        <v>2385</v>
      </c>
      <c r="AD2379" s="1" t="s">
        <v>5584</v>
      </c>
      <c r="AE2379" s="1" t="str">
        <f t="shared" si="171"/>
        <v>55089 CT3</v>
      </c>
      <c r="AF2379" s="14">
        <f>AF2377</f>
        <v>298.06666666666666</v>
      </c>
      <c r="AG2379" s="1" t="str">
        <f t="shared" si="170"/>
        <v/>
      </c>
    </row>
    <row r="2380" spans="1:33" x14ac:dyDescent="0.2">
      <c r="A2380" s="1" t="s">
        <v>383</v>
      </c>
      <c r="B2380" s="1" t="s">
        <v>5585</v>
      </c>
      <c r="C2380" s="1">
        <v>55091</v>
      </c>
      <c r="D2380" s="1" t="s">
        <v>5586</v>
      </c>
      <c r="F2380" s="1">
        <v>2023</v>
      </c>
      <c r="G2380" s="1" t="s">
        <v>346</v>
      </c>
      <c r="H2380" s="1">
        <v>603383</v>
      </c>
      <c r="I2380" s="1">
        <v>6</v>
      </c>
      <c r="J2380" s="1" t="s">
        <v>387</v>
      </c>
      <c r="K2380" s="1" t="s">
        <v>5587</v>
      </c>
      <c r="L2380" s="1" t="s">
        <v>5588</v>
      </c>
      <c r="M2380" s="1">
        <v>139</v>
      </c>
      <c r="N2380" s="1" t="s">
        <v>39</v>
      </c>
      <c r="O2380" s="1">
        <v>32.430199999999999</v>
      </c>
      <c r="P2380" s="1">
        <v>-97.053700000000006</v>
      </c>
      <c r="Q2380" s="1" t="s">
        <v>5589</v>
      </c>
      <c r="R2380" s="1" t="s">
        <v>41</v>
      </c>
      <c r="T2380" s="1" t="s">
        <v>71</v>
      </c>
      <c r="U2380" s="1" t="s">
        <v>44</v>
      </c>
      <c r="V2380" s="1" t="s">
        <v>94</v>
      </c>
      <c r="X2380" s="1" t="s">
        <v>643</v>
      </c>
      <c r="AA2380" s="3">
        <v>36662</v>
      </c>
      <c r="AB2380" s="1" t="s">
        <v>46</v>
      </c>
      <c r="AC2380" s="5">
        <v>2140</v>
      </c>
      <c r="AD2380" s="1" t="s">
        <v>5590</v>
      </c>
      <c r="AE2380" s="1" t="str">
        <f t="shared" si="171"/>
        <v>55091 STK1</v>
      </c>
      <c r="AF2380" s="5" t="str">
        <f t="shared" ref="AF2380:AF2385" si="172">MID(AD2380,FIND("(",AD2380)+1,FIND(")",AD2380)-FIND("(",AD2380)-1)</f>
        <v>289</v>
      </c>
      <c r="AG2380" s="1" t="str">
        <f t="shared" si="170"/>
        <v>Y</v>
      </c>
    </row>
    <row r="2381" spans="1:33" x14ac:dyDescent="0.2">
      <c r="A2381" s="1" t="s">
        <v>383</v>
      </c>
      <c r="B2381" s="1" t="s">
        <v>5585</v>
      </c>
      <c r="C2381" s="1">
        <v>55091</v>
      </c>
      <c r="D2381" s="1" t="s">
        <v>5591</v>
      </c>
      <c r="F2381" s="1">
        <v>2023</v>
      </c>
      <c r="G2381" s="1" t="s">
        <v>346</v>
      </c>
      <c r="H2381" s="1">
        <v>603383</v>
      </c>
      <c r="I2381" s="1">
        <v>6</v>
      </c>
      <c r="J2381" s="1" t="s">
        <v>387</v>
      </c>
      <c r="K2381" s="1" t="s">
        <v>5587</v>
      </c>
      <c r="L2381" s="1" t="s">
        <v>5588</v>
      </c>
      <c r="M2381" s="1">
        <v>139</v>
      </c>
      <c r="N2381" s="1" t="s">
        <v>39</v>
      </c>
      <c r="O2381" s="1">
        <v>32.430199999999999</v>
      </c>
      <c r="P2381" s="1">
        <v>-97.053700000000006</v>
      </c>
      <c r="Q2381" s="1" t="s">
        <v>5589</v>
      </c>
      <c r="R2381" s="1" t="s">
        <v>41</v>
      </c>
      <c r="T2381" s="1" t="s">
        <v>71</v>
      </c>
      <c r="U2381" s="1" t="s">
        <v>44</v>
      </c>
      <c r="V2381" s="1" t="s">
        <v>94</v>
      </c>
      <c r="X2381" s="1" t="s">
        <v>643</v>
      </c>
      <c r="AA2381" s="3">
        <v>36671</v>
      </c>
      <c r="AB2381" s="1" t="s">
        <v>46</v>
      </c>
      <c r="AC2381" s="5">
        <v>2140</v>
      </c>
      <c r="AD2381" s="1" t="s">
        <v>5592</v>
      </c>
      <c r="AE2381" s="1" t="str">
        <f t="shared" si="171"/>
        <v>55091 STK2</v>
      </c>
      <c r="AF2381" s="5" t="str">
        <f t="shared" si="172"/>
        <v>289</v>
      </c>
      <c r="AG2381" s="1" t="str">
        <f t="shared" si="170"/>
        <v>Y</v>
      </c>
    </row>
    <row r="2382" spans="1:33" x14ac:dyDescent="0.2">
      <c r="A2382" s="1" t="s">
        <v>383</v>
      </c>
      <c r="B2382" s="1" t="s">
        <v>5585</v>
      </c>
      <c r="C2382" s="1">
        <v>55091</v>
      </c>
      <c r="D2382" s="1" t="s">
        <v>5593</v>
      </c>
      <c r="F2382" s="1">
        <v>2023</v>
      </c>
      <c r="G2382" s="1" t="s">
        <v>346</v>
      </c>
      <c r="H2382" s="1">
        <v>603383</v>
      </c>
      <c r="I2382" s="1">
        <v>6</v>
      </c>
      <c r="J2382" s="1" t="s">
        <v>387</v>
      </c>
      <c r="K2382" s="1" t="s">
        <v>5587</v>
      </c>
      <c r="L2382" s="1" t="s">
        <v>5588</v>
      </c>
      <c r="M2382" s="1">
        <v>139</v>
      </c>
      <c r="N2382" s="1" t="s">
        <v>39</v>
      </c>
      <c r="O2382" s="1">
        <v>32.430199999999999</v>
      </c>
      <c r="P2382" s="1">
        <v>-97.053700000000006</v>
      </c>
      <c r="Q2382" s="1" t="s">
        <v>5589</v>
      </c>
      <c r="R2382" s="1" t="s">
        <v>41</v>
      </c>
      <c r="T2382" s="1" t="s">
        <v>71</v>
      </c>
      <c r="U2382" s="1" t="s">
        <v>44</v>
      </c>
      <c r="V2382" s="1" t="s">
        <v>94</v>
      </c>
      <c r="X2382" s="1" t="s">
        <v>643</v>
      </c>
      <c r="AA2382" s="3">
        <v>36735</v>
      </c>
      <c r="AB2382" s="1" t="s">
        <v>46</v>
      </c>
      <c r="AC2382" s="5">
        <v>2140</v>
      </c>
      <c r="AD2382" s="1" t="s">
        <v>5594</v>
      </c>
      <c r="AE2382" s="1" t="str">
        <f t="shared" si="171"/>
        <v>55091 STK3</v>
      </c>
      <c r="AF2382" s="5" t="str">
        <f t="shared" si="172"/>
        <v>289</v>
      </c>
      <c r="AG2382" s="1" t="str">
        <f t="shared" si="170"/>
        <v>Y</v>
      </c>
    </row>
    <row r="2383" spans="1:33" x14ac:dyDescent="0.2">
      <c r="A2383" s="1" t="s">
        <v>383</v>
      </c>
      <c r="B2383" s="1" t="s">
        <v>5585</v>
      </c>
      <c r="C2383" s="1">
        <v>55091</v>
      </c>
      <c r="D2383" s="1" t="s">
        <v>5595</v>
      </c>
      <c r="F2383" s="1">
        <v>2023</v>
      </c>
      <c r="G2383" s="1" t="s">
        <v>346</v>
      </c>
      <c r="H2383" s="1">
        <v>603383</v>
      </c>
      <c r="I2383" s="1">
        <v>6</v>
      </c>
      <c r="J2383" s="1" t="s">
        <v>387</v>
      </c>
      <c r="K2383" s="1" t="s">
        <v>5587</v>
      </c>
      <c r="L2383" s="1" t="s">
        <v>5588</v>
      </c>
      <c r="M2383" s="1">
        <v>139</v>
      </c>
      <c r="N2383" s="1" t="s">
        <v>39</v>
      </c>
      <c r="O2383" s="1">
        <v>32.430199999999999</v>
      </c>
      <c r="P2383" s="1">
        <v>-97.053700000000006</v>
      </c>
      <c r="Q2383" s="1" t="s">
        <v>5589</v>
      </c>
      <c r="R2383" s="1" t="s">
        <v>41</v>
      </c>
      <c r="T2383" s="1" t="s">
        <v>71</v>
      </c>
      <c r="U2383" s="1" t="s">
        <v>44</v>
      </c>
      <c r="X2383" s="1" t="s">
        <v>64</v>
      </c>
      <c r="AA2383" s="3">
        <v>36781</v>
      </c>
      <c r="AB2383" s="1" t="s">
        <v>46</v>
      </c>
      <c r="AC2383" s="5">
        <v>2140</v>
      </c>
      <c r="AD2383" s="1" t="s">
        <v>5596</v>
      </c>
      <c r="AE2383" s="1" t="str">
        <f t="shared" si="171"/>
        <v>55091 STK4</v>
      </c>
      <c r="AF2383" s="5" t="str">
        <f t="shared" si="172"/>
        <v>289</v>
      </c>
      <c r="AG2383" s="1" t="str">
        <f t="shared" si="170"/>
        <v>Y</v>
      </c>
    </row>
    <row r="2384" spans="1:33" x14ac:dyDescent="0.2">
      <c r="A2384" s="1" t="s">
        <v>383</v>
      </c>
      <c r="B2384" s="1" t="s">
        <v>5585</v>
      </c>
      <c r="C2384" s="1">
        <v>55091</v>
      </c>
      <c r="D2384" s="1" t="s">
        <v>5597</v>
      </c>
      <c r="F2384" s="1">
        <v>2023</v>
      </c>
      <c r="G2384" s="1" t="s">
        <v>346</v>
      </c>
      <c r="H2384" s="1">
        <v>603383</v>
      </c>
      <c r="I2384" s="1">
        <v>6</v>
      </c>
      <c r="J2384" s="1" t="s">
        <v>387</v>
      </c>
      <c r="K2384" s="1" t="s">
        <v>5587</v>
      </c>
      <c r="L2384" s="1" t="s">
        <v>5588</v>
      </c>
      <c r="M2384" s="1">
        <v>139</v>
      </c>
      <c r="N2384" s="1" t="s">
        <v>39</v>
      </c>
      <c r="O2384" s="1">
        <v>32.430199999999999</v>
      </c>
      <c r="P2384" s="1">
        <v>-97.053700000000006</v>
      </c>
      <c r="Q2384" s="1" t="s">
        <v>5589</v>
      </c>
      <c r="R2384" s="1" t="s">
        <v>41</v>
      </c>
      <c r="T2384" s="1" t="s">
        <v>71</v>
      </c>
      <c r="U2384" s="1" t="s">
        <v>44</v>
      </c>
      <c r="X2384" s="1" t="s">
        <v>64</v>
      </c>
      <c r="AA2384" s="3">
        <v>37110</v>
      </c>
      <c r="AB2384" s="1" t="s">
        <v>46</v>
      </c>
      <c r="AC2384" s="5">
        <v>2520</v>
      </c>
      <c r="AD2384" s="1" t="s">
        <v>5598</v>
      </c>
      <c r="AE2384" s="1" t="str">
        <f t="shared" si="171"/>
        <v>55091 STK5</v>
      </c>
      <c r="AF2384" s="5" t="str">
        <f t="shared" si="172"/>
        <v>289</v>
      </c>
      <c r="AG2384" s="1" t="str">
        <f t="shared" si="170"/>
        <v>Y</v>
      </c>
    </row>
    <row r="2385" spans="1:33" x14ac:dyDescent="0.2">
      <c r="A2385" s="1" t="s">
        <v>383</v>
      </c>
      <c r="B2385" s="1" t="s">
        <v>5585</v>
      </c>
      <c r="C2385" s="1">
        <v>55091</v>
      </c>
      <c r="D2385" s="1" t="s">
        <v>5599</v>
      </c>
      <c r="F2385" s="1">
        <v>2023</v>
      </c>
      <c r="G2385" s="1" t="s">
        <v>346</v>
      </c>
      <c r="H2385" s="1">
        <v>603383</v>
      </c>
      <c r="I2385" s="1">
        <v>6</v>
      </c>
      <c r="J2385" s="1" t="s">
        <v>387</v>
      </c>
      <c r="K2385" s="1" t="s">
        <v>5587</v>
      </c>
      <c r="L2385" s="1" t="s">
        <v>5588</v>
      </c>
      <c r="M2385" s="1">
        <v>139</v>
      </c>
      <c r="N2385" s="1" t="s">
        <v>39</v>
      </c>
      <c r="O2385" s="1">
        <v>32.430199999999999</v>
      </c>
      <c r="P2385" s="1">
        <v>-97.053700000000006</v>
      </c>
      <c r="Q2385" s="1" t="s">
        <v>5589</v>
      </c>
      <c r="R2385" s="1" t="s">
        <v>41</v>
      </c>
      <c r="T2385" s="1" t="s">
        <v>71</v>
      </c>
      <c r="U2385" s="1" t="s">
        <v>44</v>
      </c>
      <c r="X2385" s="1" t="s">
        <v>64</v>
      </c>
      <c r="AA2385" s="3">
        <v>37152</v>
      </c>
      <c r="AB2385" s="1" t="s">
        <v>46</v>
      </c>
      <c r="AC2385" s="5">
        <v>2520</v>
      </c>
      <c r="AD2385" s="1" t="s">
        <v>5600</v>
      </c>
      <c r="AE2385" s="1" t="str">
        <f t="shared" si="171"/>
        <v>55091 STK6</v>
      </c>
      <c r="AF2385" s="5" t="str">
        <f t="shared" si="172"/>
        <v>289</v>
      </c>
      <c r="AG2385" s="1" t="str">
        <f t="shared" si="170"/>
        <v>Y</v>
      </c>
    </row>
    <row r="2386" spans="1:33" x14ac:dyDescent="0.2">
      <c r="A2386" s="1" t="s">
        <v>383</v>
      </c>
      <c r="B2386" s="1" t="s">
        <v>5601</v>
      </c>
      <c r="C2386" s="1">
        <v>55097</v>
      </c>
      <c r="D2386" s="1">
        <v>1</v>
      </c>
      <c r="F2386" s="1">
        <v>2023</v>
      </c>
      <c r="G2386" s="1" t="s">
        <v>346</v>
      </c>
      <c r="H2386" s="1">
        <v>603383</v>
      </c>
      <c r="I2386" s="1">
        <v>6</v>
      </c>
      <c r="K2386" s="1" t="s">
        <v>3436</v>
      </c>
      <c r="L2386" s="1" t="s">
        <v>5038</v>
      </c>
      <c r="M2386" s="1">
        <v>277</v>
      </c>
      <c r="N2386" s="1" t="s">
        <v>39</v>
      </c>
      <c r="O2386" s="1">
        <v>33.631399999999999</v>
      </c>
      <c r="P2386" s="1">
        <v>-95.588999999999999</v>
      </c>
      <c r="Q2386" s="1" t="s">
        <v>5602</v>
      </c>
      <c r="R2386" s="1" t="s">
        <v>41</v>
      </c>
      <c r="T2386" s="1" t="s">
        <v>71</v>
      </c>
      <c r="U2386" s="1" t="s">
        <v>44</v>
      </c>
      <c r="X2386" s="1" t="s">
        <v>140</v>
      </c>
      <c r="AA2386" s="3">
        <v>36647</v>
      </c>
      <c r="AB2386" s="1" t="s">
        <v>46</v>
      </c>
      <c r="AC2386" s="5">
        <v>2116</v>
      </c>
      <c r="AD2386" s="1" t="s">
        <v>5603</v>
      </c>
      <c r="AE2386" s="1" t="str">
        <f t="shared" si="171"/>
        <v>55097 1</v>
      </c>
      <c r="AF2386" s="14">
        <f>MID(AD2386,FIND("(",AD2386)+1,FIND(")",AD2386)-FIND("(",AD2386)-1)+202/2</f>
        <v>272.7</v>
      </c>
      <c r="AG2386" s="1" t="str">
        <f t="shared" si="170"/>
        <v/>
      </c>
    </row>
    <row r="2387" spans="1:33" x14ac:dyDescent="0.2">
      <c r="A2387" s="1" t="s">
        <v>383</v>
      </c>
      <c r="B2387" s="1" t="s">
        <v>5601</v>
      </c>
      <c r="C2387" s="1">
        <v>55097</v>
      </c>
      <c r="D2387" s="1">
        <v>2</v>
      </c>
      <c r="F2387" s="1">
        <v>2023</v>
      </c>
      <c r="G2387" s="1" t="s">
        <v>346</v>
      </c>
      <c r="H2387" s="1">
        <v>603383</v>
      </c>
      <c r="I2387" s="1">
        <v>6</v>
      </c>
      <c r="K2387" s="1" t="s">
        <v>3436</v>
      </c>
      <c r="L2387" s="1" t="s">
        <v>5038</v>
      </c>
      <c r="M2387" s="1">
        <v>277</v>
      </c>
      <c r="N2387" s="1" t="s">
        <v>39</v>
      </c>
      <c r="O2387" s="1">
        <v>33.631399999999999</v>
      </c>
      <c r="P2387" s="1">
        <v>-95.588999999999999</v>
      </c>
      <c r="Q2387" s="1" t="s">
        <v>5602</v>
      </c>
      <c r="R2387" s="1" t="s">
        <v>41</v>
      </c>
      <c r="T2387" s="1" t="s">
        <v>71</v>
      </c>
      <c r="U2387" s="1" t="s">
        <v>44</v>
      </c>
      <c r="X2387" s="1" t="s">
        <v>140</v>
      </c>
      <c r="AA2387" s="3">
        <v>36647</v>
      </c>
      <c r="AB2387" s="1" t="s">
        <v>46</v>
      </c>
      <c r="AC2387" s="5">
        <v>2116</v>
      </c>
      <c r="AD2387" s="1" t="s">
        <v>5604</v>
      </c>
      <c r="AE2387" s="1" t="str">
        <f t="shared" si="171"/>
        <v>55097 2</v>
      </c>
      <c r="AF2387" s="14">
        <f>AF2386</f>
        <v>272.7</v>
      </c>
      <c r="AG2387" s="1" t="str">
        <f t="shared" si="170"/>
        <v/>
      </c>
    </row>
    <row r="2388" spans="1:33" x14ac:dyDescent="0.2">
      <c r="A2388" s="1" t="s">
        <v>383</v>
      </c>
      <c r="B2388" s="1" t="s">
        <v>5601</v>
      </c>
      <c r="C2388" s="1">
        <v>55097</v>
      </c>
      <c r="D2388" s="1">
        <v>3</v>
      </c>
      <c r="F2388" s="1">
        <v>2023</v>
      </c>
      <c r="G2388" s="1" t="s">
        <v>346</v>
      </c>
      <c r="H2388" s="1">
        <v>603383</v>
      </c>
      <c r="I2388" s="1">
        <v>6</v>
      </c>
      <c r="K2388" s="1" t="s">
        <v>3436</v>
      </c>
      <c r="L2388" s="1" t="s">
        <v>5038</v>
      </c>
      <c r="M2388" s="1">
        <v>277</v>
      </c>
      <c r="N2388" s="1" t="s">
        <v>39</v>
      </c>
      <c r="O2388" s="1">
        <v>33.631399999999999</v>
      </c>
      <c r="P2388" s="1">
        <v>-95.588999999999999</v>
      </c>
      <c r="Q2388" s="1" t="s">
        <v>5602</v>
      </c>
      <c r="R2388" s="1" t="s">
        <v>41</v>
      </c>
      <c r="T2388" s="1" t="s">
        <v>71</v>
      </c>
      <c r="U2388" s="1" t="s">
        <v>44</v>
      </c>
      <c r="X2388" s="1" t="s">
        <v>140</v>
      </c>
      <c r="AA2388" s="3">
        <v>36861</v>
      </c>
      <c r="AB2388" s="1" t="s">
        <v>46</v>
      </c>
      <c r="AC2388" s="5">
        <v>2116</v>
      </c>
      <c r="AD2388" s="1" t="s">
        <v>5605</v>
      </c>
      <c r="AE2388" s="1" t="str">
        <f t="shared" si="171"/>
        <v>55097 3</v>
      </c>
      <c r="AF2388" s="14">
        <f>MID(AD2388,FIND("(",AD2388)+1,FIND(")",AD2388)-FIND("(",AD2388)-1)+202/2</f>
        <v>272.7</v>
      </c>
      <c r="AG2388" s="1" t="str">
        <f t="shared" si="170"/>
        <v/>
      </c>
    </row>
    <row r="2389" spans="1:33" x14ac:dyDescent="0.2">
      <c r="A2389" s="1" t="s">
        <v>383</v>
      </c>
      <c r="B2389" s="1" t="s">
        <v>5601</v>
      </c>
      <c r="C2389" s="1">
        <v>55097</v>
      </c>
      <c r="D2389" s="1">
        <v>4</v>
      </c>
      <c r="F2389" s="1">
        <v>2023</v>
      </c>
      <c r="G2389" s="1" t="s">
        <v>346</v>
      </c>
      <c r="H2389" s="1">
        <v>603383</v>
      </c>
      <c r="I2389" s="1">
        <v>6</v>
      </c>
      <c r="K2389" s="1" t="s">
        <v>3436</v>
      </c>
      <c r="L2389" s="1" t="s">
        <v>5038</v>
      </c>
      <c r="M2389" s="1">
        <v>277</v>
      </c>
      <c r="N2389" s="1" t="s">
        <v>39</v>
      </c>
      <c r="O2389" s="1">
        <v>33.631399999999999</v>
      </c>
      <c r="P2389" s="1">
        <v>-95.588999999999999</v>
      </c>
      <c r="Q2389" s="1" t="s">
        <v>5602</v>
      </c>
      <c r="R2389" s="1" t="s">
        <v>41</v>
      </c>
      <c r="T2389" s="1" t="s">
        <v>71</v>
      </c>
      <c r="U2389" s="1" t="s">
        <v>44</v>
      </c>
      <c r="X2389" s="1" t="s">
        <v>140</v>
      </c>
      <c r="AA2389" s="3">
        <v>36861</v>
      </c>
      <c r="AB2389" s="1" t="s">
        <v>46</v>
      </c>
      <c r="AC2389" s="5">
        <v>2116</v>
      </c>
      <c r="AD2389" s="1" t="s">
        <v>5606</v>
      </c>
      <c r="AE2389" s="1" t="str">
        <f t="shared" si="171"/>
        <v>55097 4</v>
      </c>
      <c r="AF2389" s="14">
        <f>AF2388</f>
        <v>272.7</v>
      </c>
      <c r="AG2389" s="1" t="str">
        <f t="shared" si="170"/>
        <v/>
      </c>
    </row>
    <row r="2390" spans="1:33" x14ac:dyDescent="0.2">
      <c r="A2390" s="1" t="s">
        <v>383</v>
      </c>
      <c r="B2390" s="1" t="s">
        <v>5607</v>
      </c>
      <c r="C2390" s="1">
        <v>55098</v>
      </c>
      <c r="D2390" s="1">
        <v>1</v>
      </c>
      <c r="F2390" s="1">
        <v>2023</v>
      </c>
      <c r="G2390" s="1" t="s">
        <v>346</v>
      </c>
      <c r="H2390" s="1">
        <v>605110</v>
      </c>
      <c r="I2390" s="1">
        <v>6</v>
      </c>
      <c r="K2390" s="1" t="s">
        <v>4202</v>
      </c>
      <c r="L2390" s="1" t="s">
        <v>4203</v>
      </c>
      <c r="M2390" s="1">
        <v>215</v>
      </c>
      <c r="N2390" s="1" t="s">
        <v>39</v>
      </c>
      <c r="O2390" s="1">
        <v>26.207999999999998</v>
      </c>
      <c r="P2390" s="1">
        <v>-98.399199999999993</v>
      </c>
      <c r="Q2390" s="1" t="s">
        <v>5608</v>
      </c>
      <c r="R2390" s="1" t="s">
        <v>41</v>
      </c>
      <c r="T2390" s="1" t="s">
        <v>71</v>
      </c>
      <c r="U2390" s="1" t="s">
        <v>44</v>
      </c>
      <c r="X2390" s="1" t="s">
        <v>140</v>
      </c>
      <c r="AA2390" s="3">
        <v>36344</v>
      </c>
      <c r="AB2390" s="1" t="s">
        <v>46</v>
      </c>
      <c r="AC2390" s="5">
        <v>1860</v>
      </c>
      <c r="AD2390" s="1" t="s">
        <v>5609</v>
      </c>
      <c r="AE2390" s="1" t="str">
        <f t="shared" si="171"/>
        <v>55098 1</v>
      </c>
      <c r="AF2390" s="14">
        <f>MID(AD2390,FIND("(",AD2390)+1,FIND(")",AD2390)-FIND("(",AD2390)-1)+185/2</f>
        <v>264.5</v>
      </c>
      <c r="AG2390" s="1" t="str">
        <f t="shared" si="170"/>
        <v/>
      </c>
    </row>
    <row r="2391" spans="1:33" x14ac:dyDescent="0.2">
      <c r="A2391" s="1" t="s">
        <v>383</v>
      </c>
      <c r="B2391" s="1" t="s">
        <v>5607</v>
      </c>
      <c r="C2391" s="1">
        <v>55098</v>
      </c>
      <c r="D2391" s="1">
        <v>2</v>
      </c>
      <c r="F2391" s="1">
        <v>2023</v>
      </c>
      <c r="G2391" s="1" t="s">
        <v>346</v>
      </c>
      <c r="H2391" s="1">
        <v>605110</v>
      </c>
      <c r="I2391" s="1">
        <v>6</v>
      </c>
      <c r="K2391" s="1" t="s">
        <v>4202</v>
      </c>
      <c r="L2391" s="1" t="s">
        <v>4203</v>
      </c>
      <c r="M2391" s="1">
        <v>215</v>
      </c>
      <c r="N2391" s="1" t="s">
        <v>39</v>
      </c>
      <c r="O2391" s="1">
        <v>26.207999999999998</v>
      </c>
      <c r="P2391" s="1">
        <v>-98.399199999999993</v>
      </c>
      <c r="Q2391" s="1" t="s">
        <v>5608</v>
      </c>
      <c r="R2391" s="1" t="s">
        <v>41</v>
      </c>
      <c r="T2391" s="1" t="s">
        <v>71</v>
      </c>
      <c r="U2391" s="1" t="s">
        <v>44</v>
      </c>
      <c r="X2391" s="1" t="s">
        <v>140</v>
      </c>
      <c r="AA2391" s="3">
        <v>36369</v>
      </c>
      <c r="AB2391" s="1" t="s">
        <v>46</v>
      </c>
      <c r="AC2391" s="5">
        <v>1860</v>
      </c>
      <c r="AD2391" s="1" t="s">
        <v>5610</v>
      </c>
      <c r="AE2391" s="1" t="str">
        <f t="shared" si="171"/>
        <v>55098 2</v>
      </c>
      <c r="AF2391" s="14">
        <f>AF2390</f>
        <v>264.5</v>
      </c>
      <c r="AG2391" s="1" t="str">
        <f t="shared" si="170"/>
        <v/>
      </c>
    </row>
    <row r="2392" spans="1:33" x14ac:dyDescent="0.2">
      <c r="A2392" s="1" t="s">
        <v>1505</v>
      </c>
      <c r="B2392" s="1" t="s">
        <v>5611</v>
      </c>
      <c r="C2392" s="1">
        <v>55100</v>
      </c>
      <c r="D2392" s="1">
        <v>1</v>
      </c>
      <c r="F2392" s="1">
        <v>2023</v>
      </c>
      <c r="G2392" s="1" t="s">
        <v>5049</v>
      </c>
      <c r="H2392" s="1">
        <v>604345</v>
      </c>
      <c r="I2392" s="1">
        <v>1</v>
      </c>
      <c r="J2392" s="1" t="s">
        <v>580</v>
      </c>
      <c r="K2392" s="1" t="s">
        <v>5612</v>
      </c>
      <c r="L2392" s="1" t="s">
        <v>5613</v>
      </c>
      <c r="M2392" s="1">
        <v>17</v>
      </c>
      <c r="N2392" s="1" t="s">
        <v>39</v>
      </c>
      <c r="O2392" s="1">
        <v>44.530299999999997</v>
      </c>
      <c r="P2392" s="1">
        <v>-70.521900000000002</v>
      </c>
      <c r="Q2392" s="1" t="s">
        <v>5614</v>
      </c>
      <c r="R2392" s="1" t="s">
        <v>41</v>
      </c>
      <c r="T2392" s="1" t="s">
        <v>71</v>
      </c>
      <c r="U2392" s="1" t="s">
        <v>44</v>
      </c>
      <c r="X2392" s="1" t="s">
        <v>223</v>
      </c>
      <c r="AA2392" s="3">
        <v>36713</v>
      </c>
      <c r="AB2392" s="1" t="s">
        <v>46</v>
      </c>
      <c r="AC2392" s="5">
        <v>1975</v>
      </c>
      <c r="AD2392" s="1" t="s">
        <v>5615</v>
      </c>
      <c r="AE2392" s="1" t="str">
        <f t="shared" si="171"/>
        <v>55100 1</v>
      </c>
      <c r="AF2392" s="14">
        <f>MID(AD2392,FIND("(",AD2392)+1,FIND(")",AD2392)-FIND("(",AD2392)-1)+179.4</f>
        <v>272.89999999999998</v>
      </c>
      <c r="AG2392" s="1" t="str">
        <f t="shared" si="170"/>
        <v>Y</v>
      </c>
    </row>
    <row r="2393" spans="1:33" x14ac:dyDescent="0.2">
      <c r="A2393" s="1" t="s">
        <v>1621</v>
      </c>
      <c r="B2393" s="1" t="s">
        <v>5616</v>
      </c>
      <c r="C2393" s="1">
        <v>55101</v>
      </c>
      <c r="D2393" s="1">
        <v>1</v>
      </c>
      <c r="F2393" s="1">
        <v>2023</v>
      </c>
      <c r="G2393" s="1" t="s">
        <v>461</v>
      </c>
      <c r="H2393" s="1" t="s">
        <v>5569</v>
      </c>
      <c r="I2393" s="1">
        <v>5</v>
      </c>
      <c r="K2393" s="1" t="s">
        <v>5617</v>
      </c>
      <c r="L2393" s="1" t="s">
        <v>5618</v>
      </c>
      <c r="M2393" s="1">
        <v>77</v>
      </c>
      <c r="N2393" s="1" t="s">
        <v>39</v>
      </c>
      <c r="O2393" s="1">
        <v>42.279699999999998</v>
      </c>
      <c r="P2393" s="1">
        <v>-85.492199999999997</v>
      </c>
      <c r="Q2393" s="1" t="s">
        <v>5619</v>
      </c>
      <c r="R2393" s="1" t="s">
        <v>41</v>
      </c>
      <c r="T2393" s="1" t="s">
        <v>93</v>
      </c>
      <c r="U2393" s="1" t="s">
        <v>44</v>
      </c>
      <c r="X2393" s="1" t="s">
        <v>454</v>
      </c>
      <c r="AA2393" s="3">
        <v>36321</v>
      </c>
      <c r="AB2393" s="1" t="s">
        <v>46</v>
      </c>
      <c r="AC2393" s="5">
        <v>1200</v>
      </c>
      <c r="AD2393" s="1" t="s">
        <v>5620</v>
      </c>
      <c r="AE2393" s="1" t="str">
        <f t="shared" si="171"/>
        <v>55101 1</v>
      </c>
      <c r="AF2393" s="14">
        <f>MID(AD2393,FIND("(",AD2393)+1,FIND(")",AD2393)-FIND("(",AD2393)-1)+73.5</f>
        <v>147</v>
      </c>
      <c r="AG2393" s="1" t="str">
        <f t="shared" si="170"/>
        <v/>
      </c>
    </row>
    <row r="2394" spans="1:33" x14ac:dyDescent="0.2">
      <c r="A2394" s="1" t="s">
        <v>1621</v>
      </c>
      <c r="B2394" s="1" t="s">
        <v>5621</v>
      </c>
      <c r="C2394" s="1">
        <v>55102</v>
      </c>
      <c r="D2394" s="1">
        <v>1</v>
      </c>
      <c r="F2394" s="1">
        <v>2023</v>
      </c>
      <c r="G2394" s="1" t="s">
        <v>461</v>
      </c>
      <c r="H2394" s="1" t="s">
        <v>5569</v>
      </c>
      <c r="I2394" s="1">
        <v>5</v>
      </c>
      <c r="K2394" s="1" t="s">
        <v>5622</v>
      </c>
      <c r="L2394" s="1" t="s">
        <v>5623</v>
      </c>
      <c r="M2394" s="1">
        <v>137</v>
      </c>
      <c r="N2394" s="1" t="s">
        <v>39</v>
      </c>
      <c r="O2394" s="1">
        <v>45.0291</v>
      </c>
      <c r="P2394" s="1">
        <v>-84.733199999999997</v>
      </c>
      <c r="Q2394" s="1" t="s">
        <v>5619</v>
      </c>
      <c r="R2394" s="1" t="s">
        <v>41</v>
      </c>
      <c r="T2394" s="1" t="s">
        <v>93</v>
      </c>
      <c r="U2394" s="1" t="s">
        <v>44</v>
      </c>
      <c r="X2394" s="1" t="s">
        <v>95</v>
      </c>
      <c r="AA2394" s="3">
        <v>36318</v>
      </c>
      <c r="AB2394" s="1" t="s">
        <v>46</v>
      </c>
      <c r="AC2394" s="5">
        <v>550</v>
      </c>
      <c r="AD2394" s="1" t="s">
        <v>5624</v>
      </c>
      <c r="AE2394" s="1" t="str">
        <f t="shared" si="171"/>
        <v>55102 1</v>
      </c>
      <c r="AF2394" s="5" t="str">
        <f>MID(AD2394,FIND("(",AD2394)+1,FIND(")",AD2394)-FIND("(",AD2394)-1)</f>
        <v>42.9</v>
      </c>
      <c r="AG2394" s="1" t="str">
        <f t="shared" si="170"/>
        <v/>
      </c>
    </row>
    <row r="2395" spans="1:33" x14ac:dyDescent="0.2">
      <c r="A2395" s="1" t="s">
        <v>1621</v>
      </c>
      <c r="B2395" s="1" t="s">
        <v>5621</v>
      </c>
      <c r="C2395" s="1">
        <v>55102</v>
      </c>
      <c r="D2395" s="1">
        <v>2</v>
      </c>
      <c r="F2395" s="1">
        <v>2023</v>
      </c>
      <c r="G2395" s="1" t="s">
        <v>461</v>
      </c>
      <c r="H2395" s="1" t="s">
        <v>5569</v>
      </c>
      <c r="I2395" s="1">
        <v>5</v>
      </c>
      <c r="K2395" s="1" t="s">
        <v>5622</v>
      </c>
      <c r="L2395" s="1" t="s">
        <v>5623</v>
      </c>
      <c r="M2395" s="1">
        <v>137</v>
      </c>
      <c r="N2395" s="1" t="s">
        <v>39</v>
      </c>
      <c r="O2395" s="1">
        <v>45.0291</v>
      </c>
      <c r="P2395" s="1">
        <v>-84.733199999999997</v>
      </c>
      <c r="Q2395" s="1" t="s">
        <v>5619</v>
      </c>
      <c r="R2395" s="1" t="s">
        <v>41</v>
      </c>
      <c r="T2395" s="1" t="s">
        <v>93</v>
      </c>
      <c r="U2395" s="1" t="s">
        <v>44</v>
      </c>
      <c r="X2395" s="1" t="s">
        <v>95</v>
      </c>
      <c r="AA2395" s="3">
        <v>36318</v>
      </c>
      <c r="AB2395" s="1" t="s">
        <v>46</v>
      </c>
      <c r="AC2395" s="5">
        <v>550</v>
      </c>
      <c r="AD2395" s="1" t="s">
        <v>5625</v>
      </c>
      <c r="AE2395" s="1" t="str">
        <f t="shared" si="171"/>
        <v>55102 2</v>
      </c>
      <c r="AF2395" s="5" t="str">
        <f>MID(AD2395,FIND("(",AD2395)+1,FIND(")",AD2395)-FIND("(",AD2395)-1)</f>
        <v>42.4</v>
      </c>
      <c r="AG2395" s="1" t="str">
        <f t="shared" si="170"/>
        <v/>
      </c>
    </row>
    <row r="2396" spans="1:33" x14ac:dyDescent="0.2">
      <c r="A2396" s="1" t="s">
        <v>1621</v>
      </c>
      <c r="B2396" s="1" t="s">
        <v>5621</v>
      </c>
      <c r="C2396" s="1">
        <v>55102</v>
      </c>
      <c r="D2396" s="1">
        <v>3</v>
      </c>
      <c r="F2396" s="1">
        <v>2023</v>
      </c>
      <c r="G2396" s="1" t="s">
        <v>461</v>
      </c>
      <c r="H2396" s="1" t="s">
        <v>5569</v>
      </c>
      <c r="I2396" s="1">
        <v>5</v>
      </c>
      <c r="K2396" s="1" t="s">
        <v>5622</v>
      </c>
      <c r="L2396" s="1" t="s">
        <v>5623</v>
      </c>
      <c r="M2396" s="1">
        <v>137</v>
      </c>
      <c r="N2396" s="1" t="s">
        <v>39</v>
      </c>
      <c r="O2396" s="1">
        <v>45.0291</v>
      </c>
      <c r="P2396" s="1">
        <v>-84.733199999999997</v>
      </c>
      <c r="Q2396" s="1" t="s">
        <v>5619</v>
      </c>
      <c r="R2396" s="1" t="s">
        <v>41</v>
      </c>
      <c r="T2396" s="1" t="s">
        <v>93</v>
      </c>
      <c r="U2396" s="1" t="s">
        <v>44</v>
      </c>
      <c r="X2396" s="1" t="s">
        <v>95</v>
      </c>
      <c r="AA2396" s="3">
        <v>36318</v>
      </c>
      <c r="AB2396" s="1" t="s">
        <v>46</v>
      </c>
      <c r="AC2396" s="5">
        <v>550</v>
      </c>
      <c r="AD2396" s="1" t="s">
        <v>5626</v>
      </c>
      <c r="AE2396" s="1" t="str">
        <f t="shared" si="171"/>
        <v>55102 3</v>
      </c>
      <c r="AF2396" s="5" t="str">
        <f>MID(AD2396,FIND("(",AD2396)+1,FIND(")",AD2396)-FIND("(",AD2396)-1)</f>
        <v>42.4</v>
      </c>
      <c r="AG2396" s="1" t="str">
        <f t="shared" si="170"/>
        <v/>
      </c>
    </row>
    <row r="2397" spans="1:33" x14ac:dyDescent="0.2">
      <c r="A2397" s="1" t="s">
        <v>1621</v>
      </c>
      <c r="B2397" s="1" t="s">
        <v>5621</v>
      </c>
      <c r="C2397" s="1">
        <v>55102</v>
      </c>
      <c r="D2397" s="1">
        <v>4</v>
      </c>
      <c r="F2397" s="1">
        <v>2023</v>
      </c>
      <c r="G2397" s="1" t="s">
        <v>461</v>
      </c>
      <c r="H2397" s="1" t="s">
        <v>5569</v>
      </c>
      <c r="I2397" s="1">
        <v>5</v>
      </c>
      <c r="K2397" s="1" t="s">
        <v>5622</v>
      </c>
      <c r="L2397" s="1" t="s">
        <v>5623</v>
      </c>
      <c r="M2397" s="1">
        <v>137</v>
      </c>
      <c r="N2397" s="1" t="s">
        <v>39</v>
      </c>
      <c r="O2397" s="1">
        <v>45.0291</v>
      </c>
      <c r="P2397" s="1">
        <v>-84.733199999999997</v>
      </c>
      <c r="Q2397" s="1" t="s">
        <v>5619</v>
      </c>
      <c r="R2397" s="1" t="s">
        <v>41</v>
      </c>
      <c r="T2397" s="1" t="s">
        <v>93</v>
      </c>
      <c r="U2397" s="1" t="s">
        <v>44</v>
      </c>
      <c r="X2397" s="1" t="s">
        <v>95</v>
      </c>
      <c r="AA2397" s="3">
        <v>36318</v>
      </c>
      <c r="AB2397" s="1" t="s">
        <v>46</v>
      </c>
      <c r="AC2397" s="5">
        <v>550</v>
      </c>
      <c r="AD2397" s="1" t="s">
        <v>5627</v>
      </c>
      <c r="AE2397" s="1" t="str">
        <f t="shared" si="171"/>
        <v>55102 4</v>
      </c>
      <c r="AF2397" s="5" t="str">
        <f>MID(AD2397,FIND("(",AD2397)+1,FIND(")",AD2397)-FIND("(",AD2397)-1)</f>
        <v>42.4</v>
      </c>
      <c r="AG2397" s="1" t="str">
        <f t="shared" si="170"/>
        <v/>
      </c>
    </row>
    <row r="2398" spans="1:33" x14ac:dyDescent="0.2">
      <c r="A2398" s="1" t="s">
        <v>4093</v>
      </c>
      <c r="B2398" s="1" t="s">
        <v>5628</v>
      </c>
      <c r="C2398" s="1">
        <v>55103</v>
      </c>
      <c r="D2398" s="1" t="s">
        <v>311</v>
      </c>
      <c r="F2398" s="1">
        <v>2023</v>
      </c>
      <c r="G2398" s="1" t="s">
        <v>247</v>
      </c>
      <c r="H2398" s="1">
        <v>610050</v>
      </c>
      <c r="I2398" s="1">
        <v>10</v>
      </c>
      <c r="K2398" s="1" t="s">
        <v>5629</v>
      </c>
      <c r="L2398" s="1" t="s">
        <v>5630</v>
      </c>
      <c r="M2398" s="1">
        <v>35</v>
      </c>
      <c r="N2398" s="1" t="s">
        <v>1680</v>
      </c>
      <c r="O2398" s="1">
        <v>42.173999999999999</v>
      </c>
      <c r="P2398" s="1">
        <v>-121.8112</v>
      </c>
      <c r="Q2398" s="1" t="s">
        <v>5631</v>
      </c>
      <c r="R2398" s="1" t="s">
        <v>41</v>
      </c>
      <c r="T2398" s="1" t="s">
        <v>71</v>
      </c>
      <c r="U2398" s="1" t="s">
        <v>44</v>
      </c>
      <c r="X2398" s="1" t="s">
        <v>223</v>
      </c>
      <c r="AA2398" s="3">
        <v>37029</v>
      </c>
      <c r="AB2398" s="1" t="s">
        <v>46</v>
      </c>
      <c r="AC2398" s="5">
        <v>2100</v>
      </c>
      <c r="AD2398" s="1" t="s">
        <v>5632</v>
      </c>
      <c r="AE2398" s="1" t="str">
        <f t="shared" si="171"/>
        <v>55103 CT1</v>
      </c>
      <c r="AF2398" s="14">
        <f>AF2399</f>
        <v>250.75</v>
      </c>
      <c r="AG2398" s="1" t="str">
        <f t="shared" si="170"/>
        <v>Y</v>
      </c>
    </row>
    <row r="2399" spans="1:33" x14ac:dyDescent="0.2">
      <c r="A2399" s="1" t="s">
        <v>4093</v>
      </c>
      <c r="B2399" s="1" t="s">
        <v>5628</v>
      </c>
      <c r="C2399" s="1">
        <v>55103</v>
      </c>
      <c r="D2399" s="1" t="s">
        <v>98</v>
      </c>
      <c r="F2399" s="1">
        <v>2023</v>
      </c>
      <c r="G2399" s="1" t="s">
        <v>247</v>
      </c>
      <c r="H2399" s="1">
        <v>610050</v>
      </c>
      <c r="I2399" s="1">
        <v>10</v>
      </c>
      <c r="K2399" s="1" t="s">
        <v>5629</v>
      </c>
      <c r="L2399" s="1" t="s">
        <v>5630</v>
      </c>
      <c r="M2399" s="1">
        <v>35</v>
      </c>
      <c r="N2399" s="1" t="s">
        <v>1680</v>
      </c>
      <c r="O2399" s="1">
        <v>42.173999999999999</v>
      </c>
      <c r="P2399" s="1">
        <v>-121.8112</v>
      </c>
      <c r="Q2399" s="1" t="s">
        <v>5631</v>
      </c>
      <c r="R2399" s="1" t="s">
        <v>41</v>
      </c>
      <c r="T2399" s="1" t="s">
        <v>71</v>
      </c>
      <c r="U2399" s="1" t="s">
        <v>44</v>
      </c>
      <c r="X2399" s="1" t="s">
        <v>223</v>
      </c>
      <c r="AA2399" s="3">
        <v>37029</v>
      </c>
      <c r="AB2399" s="1" t="s">
        <v>46</v>
      </c>
      <c r="AC2399" s="5">
        <v>2100</v>
      </c>
      <c r="AD2399" s="1" t="s">
        <v>5633</v>
      </c>
      <c r="AE2399" s="1" t="str">
        <f t="shared" si="171"/>
        <v>55103 CT2</v>
      </c>
      <c r="AF2399" s="14">
        <f>MID(AD2399,FIND("(",AD2399)+1,FIND(")",AD2399)-FIND("(",AD2399)-1)+178.5/2</f>
        <v>250.75</v>
      </c>
      <c r="AG2399" s="1" t="str">
        <f t="shared" si="170"/>
        <v>Y</v>
      </c>
    </row>
    <row r="2400" spans="1:33" x14ac:dyDescent="0.2">
      <c r="A2400" s="1" t="s">
        <v>2680</v>
      </c>
      <c r="B2400" s="1" t="s">
        <v>5634</v>
      </c>
      <c r="C2400" s="1">
        <v>55107</v>
      </c>
      <c r="D2400" s="1" t="s">
        <v>5635</v>
      </c>
      <c r="F2400" s="1">
        <v>2023</v>
      </c>
      <c r="G2400" s="1" t="s">
        <v>579</v>
      </c>
      <c r="H2400" s="1" t="s">
        <v>5636</v>
      </c>
      <c r="I2400" s="1">
        <v>1</v>
      </c>
      <c r="K2400" s="1" t="s">
        <v>2682</v>
      </c>
      <c r="L2400" s="1" t="s">
        <v>2683</v>
      </c>
      <c r="M2400" s="1">
        <v>7</v>
      </c>
      <c r="N2400" s="1" t="s">
        <v>39</v>
      </c>
      <c r="O2400" s="1">
        <v>41.801699999999997</v>
      </c>
      <c r="P2400" s="1">
        <v>-71.518600000000006</v>
      </c>
      <c r="Q2400" s="1" t="s">
        <v>5637</v>
      </c>
      <c r="R2400" s="1" t="s">
        <v>41</v>
      </c>
      <c r="T2400" s="1" t="s">
        <v>71</v>
      </c>
      <c r="U2400" s="1" t="s">
        <v>44</v>
      </c>
      <c r="X2400" s="1" t="s">
        <v>64</v>
      </c>
      <c r="AA2400" s="3">
        <v>37466</v>
      </c>
      <c r="AB2400" s="1" t="s">
        <v>46</v>
      </c>
      <c r="AC2400" s="5">
        <v>2294.6</v>
      </c>
      <c r="AD2400" s="1" t="s">
        <v>5638</v>
      </c>
      <c r="AE2400" s="1" t="str">
        <f t="shared" si="171"/>
        <v>55107 RISEP1</v>
      </c>
      <c r="AF2400" s="14">
        <f>MID(AD2400,FIND("(",AD2400)+1,FIND(")",AD2400)-FIND("(",AD2400)-1)+204/2</f>
        <v>298</v>
      </c>
      <c r="AG2400" s="1" t="str">
        <f t="shared" si="170"/>
        <v>Y</v>
      </c>
    </row>
    <row r="2401" spans="1:33" x14ac:dyDescent="0.2">
      <c r="A2401" s="1" t="s">
        <v>2680</v>
      </c>
      <c r="B2401" s="1" t="s">
        <v>5634</v>
      </c>
      <c r="C2401" s="1">
        <v>55107</v>
      </c>
      <c r="D2401" s="1" t="s">
        <v>5639</v>
      </c>
      <c r="F2401" s="1">
        <v>2023</v>
      </c>
      <c r="G2401" s="1" t="s">
        <v>579</v>
      </c>
      <c r="H2401" s="1" t="s">
        <v>5636</v>
      </c>
      <c r="I2401" s="1">
        <v>1</v>
      </c>
      <c r="K2401" s="1" t="s">
        <v>2682</v>
      </c>
      <c r="L2401" s="1" t="s">
        <v>2683</v>
      </c>
      <c r="M2401" s="1">
        <v>7</v>
      </c>
      <c r="N2401" s="1" t="s">
        <v>39</v>
      </c>
      <c r="O2401" s="1">
        <v>41.801699999999997</v>
      </c>
      <c r="P2401" s="1">
        <v>-71.518600000000006</v>
      </c>
      <c r="Q2401" s="1" t="s">
        <v>5637</v>
      </c>
      <c r="R2401" s="1" t="s">
        <v>41</v>
      </c>
      <c r="T2401" s="1" t="s">
        <v>71</v>
      </c>
      <c r="U2401" s="1" t="s">
        <v>44</v>
      </c>
      <c r="X2401" s="1" t="s">
        <v>64</v>
      </c>
      <c r="AA2401" s="3">
        <v>37471</v>
      </c>
      <c r="AB2401" s="1" t="s">
        <v>46</v>
      </c>
      <c r="AC2401" s="5">
        <v>2294.6</v>
      </c>
      <c r="AD2401" s="1" t="s">
        <v>5640</v>
      </c>
      <c r="AE2401" s="1" t="str">
        <f t="shared" si="171"/>
        <v>55107 RISEP2</v>
      </c>
      <c r="AF2401" s="14">
        <f>AF2400</f>
        <v>298</v>
      </c>
      <c r="AG2401" s="1" t="str">
        <f t="shared" si="170"/>
        <v>Y</v>
      </c>
    </row>
    <row r="2402" spans="1:33" x14ac:dyDescent="0.2">
      <c r="A2402" s="1" t="s">
        <v>458</v>
      </c>
      <c r="B2402" s="1" t="s">
        <v>5641</v>
      </c>
      <c r="C2402" s="1">
        <v>55109</v>
      </c>
      <c r="D2402" s="1" t="s">
        <v>5642</v>
      </c>
      <c r="F2402" s="1">
        <v>2023</v>
      </c>
      <c r="G2402" s="1" t="s">
        <v>461</v>
      </c>
      <c r="H2402" s="1">
        <v>609316</v>
      </c>
      <c r="I2402" s="1">
        <v>5</v>
      </c>
      <c r="K2402" s="1" t="s">
        <v>5643</v>
      </c>
      <c r="L2402" s="1" t="s">
        <v>5644</v>
      </c>
      <c r="M2402" s="1">
        <v>89</v>
      </c>
      <c r="N2402" s="1" t="s">
        <v>39</v>
      </c>
      <c r="O2402" s="1">
        <v>42.0931</v>
      </c>
      <c r="P2402" s="1">
        <v>-88.239699999999999</v>
      </c>
      <c r="Q2402" s="1" t="s">
        <v>5645</v>
      </c>
      <c r="R2402" s="1" t="s">
        <v>41</v>
      </c>
      <c r="T2402" s="1" t="s">
        <v>93</v>
      </c>
      <c r="U2402" s="1" t="s">
        <v>44</v>
      </c>
      <c r="X2402" s="1" t="s">
        <v>140</v>
      </c>
      <c r="AA2402" s="3">
        <v>36329</v>
      </c>
      <c r="AB2402" s="1" t="s">
        <v>46</v>
      </c>
      <c r="AC2402" s="5">
        <v>1439</v>
      </c>
      <c r="AD2402" s="1" t="s">
        <v>5646</v>
      </c>
      <c r="AE2402" s="1" t="str">
        <f t="shared" si="171"/>
        <v>55109 T1</v>
      </c>
      <c r="AF2402" s="5" t="str">
        <f t="shared" ref="AF2402:AF2421" si="173">MID(AD2402,FIND("(",AD2402)+1,FIND(")",AD2402)-FIND("(",AD2402)-1)</f>
        <v>121</v>
      </c>
      <c r="AG2402" s="1" t="str">
        <f t="shared" si="170"/>
        <v/>
      </c>
    </row>
    <row r="2403" spans="1:33" x14ac:dyDescent="0.2">
      <c r="A2403" s="1" t="s">
        <v>458</v>
      </c>
      <c r="B2403" s="1" t="s">
        <v>5641</v>
      </c>
      <c r="C2403" s="1">
        <v>55109</v>
      </c>
      <c r="D2403" s="1" t="s">
        <v>5647</v>
      </c>
      <c r="F2403" s="1">
        <v>2023</v>
      </c>
      <c r="G2403" s="1" t="s">
        <v>461</v>
      </c>
      <c r="H2403" s="1">
        <v>609316</v>
      </c>
      <c r="I2403" s="1">
        <v>5</v>
      </c>
      <c r="K2403" s="1" t="s">
        <v>5643</v>
      </c>
      <c r="L2403" s="1" t="s">
        <v>5644</v>
      </c>
      <c r="M2403" s="1">
        <v>89</v>
      </c>
      <c r="N2403" s="1" t="s">
        <v>39</v>
      </c>
      <c r="O2403" s="1">
        <v>42.0931</v>
      </c>
      <c r="P2403" s="1">
        <v>-88.239699999999999</v>
      </c>
      <c r="Q2403" s="1" t="s">
        <v>5645</v>
      </c>
      <c r="R2403" s="1" t="s">
        <v>41</v>
      </c>
      <c r="T2403" s="1" t="s">
        <v>93</v>
      </c>
      <c r="U2403" s="1" t="s">
        <v>44</v>
      </c>
      <c r="X2403" s="1" t="s">
        <v>140</v>
      </c>
      <c r="AA2403" s="3">
        <v>36329</v>
      </c>
      <c r="AB2403" s="1" t="s">
        <v>46</v>
      </c>
      <c r="AC2403" s="5">
        <v>1439</v>
      </c>
      <c r="AD2403" s="1" t="s">
        <v>5648</v>
      </c>
      <c r="AE2403" s="1" t="str">
        <f t="shared" si="171"/>
        <v>55109 T2</v>
      </c>
      <c r="AF2403" s="5" t="str">
        <f t="shared" si="173"/>
        <v>121</v>
      </c>
      <c r="AG2403" s="1" t="str">
        <f t="shared" si="170"/>
        <v/>
      </c>
    </row>
    <row r="2404" spans="1:33" x14ac:dyDescent="0.2">
      <c r="A2404" s="1" t="s">
        <v>458</v>
      </c>
      <c r="B2404" s="1" t="s">
        <v>5641</v>
      </c>
      <c r="C2404" s="1">
        <v>55109</v>
      </c>
      <c r="D2404" s="1" t="s">
        <v>5649</v>
      </c>
      <c r="F2404" s="1">
        <v>2023</v>
      </c>
      <c r="G2404" s="1" t="s">
        <v>461</v>
      </c>
      <c r="H2404" s="1">
        <v>609316</v>
      </c>
      <c r="I2404" s="1">
        <v>5</v>
      </c>
      <c r="K2404" s="1" t="s">
        <v>5643</v>
      </c>
      <c r="L2404" s="1" t="s">
        <v>5644</v>
      </c>
      <c r="M2404" s="1">
        <v>89</v>
      </c>
      <c r="N2404" s="1" t="s">
        <v>39</v>
      </c>
      <c r="O2404" s="1">
        <v>42.0931</v>
      </c>
      <c r="P2404" s="1">
        <v>-88.239699999999999</v>
      </c>
      <c r="Q2404" s="1" t="s">
        <v>5645</v>
      </c>
      <c r="R2404" s="1" t="s">
        <v>41</v>
      </c>
      <c r="T2404" s="1" t="s">
        <v>93</v>
      </c>
      <c r="U2404" s="1" t="s">
        <v>44</v>
      </c>
      <c r="X2404" s="1" t="s">
        <v>95</v>
      </c>
      <c r="AA2404" s="3">
        <v>36329</v>
      </c>
      <c r="AB2404" s="1" t="s">
        <v>46</v>
      </c>
      <c r="AC2404" s="5">
        <v>367</v>
      </c>
      <c r="AD2404" s="1" t="s">
        <v>5650</v>
      </c>
      <c r="AE2404" s="1" t="str">
        <f t="shared" si="171"/>
        <v>55109 T3</v>
      </c>
      <c r="AF2404" s="5" t="str">
        <f t="shared" si="173"/>
        <v>35</v>
      </c>
      <c r="AG2404" s="1" t="str">
        <f t="shared" si="170"/>
        <v/>
      </c>
    </row>
    <row r="2405" spans="1:33" x14ac:dyDescent="0.2">
      <c r="A2405" s="1" t="s">
        <v>458</v>
      </c>
      <c r="B2405" s="1" t="s">
        <v>5641</v>
      </c>
      <c r="C2405" s="1">
        <v>55109</v>
      </c>
      <c r="D2405" s="1" t="s">
        <v>5651</v>
      </c>
      <c r="F2405" s="1">
        <v>2023</v>
      </c>
      <c r="G2405" s="1" t="s">
        <v>461</v>
      </c>
      <c r="H2405" s="1">
        <v>609316</v>
      </c>
      <c r="I2405" s="1">
        <v>5</v>
      </c>
      <c r="K2405" s="1" t="s">
        <v>5643</v>
      </c>
      <c r="L2405" s="1" t="s">
        <v>5644</v>
      </c>
      <c r="M2405" s="1">
        <v>89</v>
      </c>
      <c r="N2405" s="1" t="s">
        <v>39</v>
      </c>
      <c r="O2405" s="1">
        <v>42.0931</v>
      </c>
      <c r="P2405" s="1">
        <v>-88.239699999999999</v>
      </c>
      <c r="Q2405" s="1" t="s">
        <v>5645</v>
      </c>
      <c r="R2405" s="1" t="s">
        <v>41</v>
      </c>
      <c r="T2405" s="1" t="s">
        <v>93</v>
      </c>
      <c r="U2405" s="1" t="s">
        <v>44</v>
      </c>
      <c r="X2405" s="1" t="s">
        <v>140</v>
      </c>
      <c r="AA2405" s="3">
        <v>36678</v>
      </c>
      <c r="AB2405" s="1" t="s">
        <v>46</v>
      </c>
      <c r="AC2405" s="5">
        <v>1439</v>
      </c>
      <c r="AD2405" s="1" t="s">
        <v>5652</v>
      </c>
      <c r="AE2405" s="1" t="str">
        <f t="shared" si="171"/>
        <v>55109 T4</v>
      </c>
      <c r="AF2405" s="5" t="str">
        <f t="shared" si="173"/>
        <v>121</v>
      </c>
      <c r="AG2405" s="1" t="str">
        <f t="shared" si="170"/>
        <v/>
      </c>
    </row>
    <row r="2406" spans="1:33" x14ac:dyDescent="0.2">
      <c r="A2406" s="1" t="s">
        <v>2430</v>
      </c>
      <c r="B2406" s="1" t="s">
        <v>5653</v>
      </c>
      <c r="C2406" s="1">
        <v>55110</v>
      </c>
      <c r="D2406" s="1">
        <v>1</v>
      </c>
      <c r="F2406" s="1">
        <v>2023</v>
      </c>
      <c r="G2406" s="1" t="s">
        <v>461</v>
      </c>
      <c r="H2406" s="1">
        <v>609289</v>
      </c>
      <c r="I2406" s="1">
        <v>5</v>
      </c>
      <c r="K2406" s="1" t="s">
        <v>2439</v>
      </c>
      <c r="L2406" s="1" t="s">
        <v>2440</v>
      </c>
      <c r="M2406" s="1">
        <v>17</v>
      </c>
      <c r="N2406" s="1" t="s">
        <v>39</v>
      </c>
      <c r="O2406" s="1">
        <v>39.452199999999998</v>
      </c>
      <c r="P2406" s="1">
        <v>-84.465000000000003</v>
      </c>
      <c r="Q2406" s="1" t="s">
        <v>4007</v>
      </c>
      <c r="R2406" s="1" t="s">
        <v>41</v>
      </c>
      <c r="T2406" s="1" t="s">
        <v>93</v>
      </c>
      <c r="U2406" s="1" t="s">
        <v>44</v>
      </c>
      <c r="X2406" s="1" t="s">
        <v>140</v>
      </c>
      <c r="AA2406" s="3">
        <v>36675</v>
      </c>
      <c r="AB2406" s="1" t="s">
        <v>46</v>
      </c>
      <c r="AC2406" s="5">
        <v>1169</v>
      </c>
      <c r="AD2406" s="1" t="s">
        <v>5654</v>
      </c>
      <c r="AE2406" s="1" t="str">
        <f t="shared" si="171"/>
        <v>55110 1</v>
      </c>
      <c r="AF2406" s="5" t="str">
        <f t="shared" si="173"/>
        <v>84.7</v>
      </c>
      <c r="AG2406" s="1" t="str">
        <f t="shared" si="170"/>
        <v/>
      </c>
    </row>
    <row r="2407" spans="1:33" x14ac:dyDescent="0.2">
      <c r="A2407" s="1" t="s">
        <v>2430</v>
      </c>
      <c r="B2407" s="1" t="s">
        <v>5653</v>
      </c>
      <c r="C2407" s="1">
        <v>55110</v>
      </c>
      <c r="D2407" s="1">
        <v>2</v>
      </c>
      <c r="F2407" s="1">
        <v>2023</v>
      </c>
      <c r="G2407" s="1" t="s">
        <v>461</v>
      </c>
      <c r="H2407" s="1">
        <v>609289</v>
      </c>
      <c r="I2407" s="1">
        <v>5</v>
      </c>
      <c r="K2407" s="1" t="s">
        <v>2439</v>
      </c>
      <c r="L2407" s="1" t="s">
        <v>2440</v>
      </c>
      <c r="M2407" s="1">
        <v>17</v>
      </c>
      <c r="N2407" s="1" t="s">
        <v>39</v>
      </c>
      <c r="O2407" s="1">
        <v>39.452199999999998</v>
      </c>
      <c r="P2407" s="1">
        <v>-84.465000000000003</v>
      </c>
      <c r="Q2407" s="1" t="s">
        <v>4007</v>
      </c>
      <c r="R2407" s="1" t="s">
        <v>41</v>
      </c>
      <c r="T2407" s="1" t="s">
        <v>93</v>
      </c>
      <c r="U2407" s="1" t="s">
        <v>44</v>
      </c>
      <c r="X2407" s="1" t="s">
        <v>140</v>
      </c>
      <c r="AA2407" s="3">
        <v>36675</v>
      </c>
      <c r="AB2407" s="1" t="s">
        <v>46</v>
      </c>
      <c r="AC2407" s="5">
        <v>1169</v>
      </c>
      <c r="AD2407" s="1" t="s">
        <v>5655</v>
      </c>
      <c r="AE2407" s="1" t="str">
        <f t="shared" si="171"/>
        <v>55110 2</v>
      </c>
      <c r="AF2407" s="5" t="str">
        <f t="shared" si="173"/>
        <v>84.7</v>
      </c>
      <c r="AG2407" s="1" t="str">
        <f t="shared" si="170"/>
        <v/>
      </c>
    </row>
    <row r="2408" spans="1:33" x14ac:dyDescent="0.2">
      <c r="A2408" s="1" t="s">
        <v>2430</v>
      </c>
      <c r="B2408" s="1" t="s">
        <v>5653</v>
      </c>
      <c r="C2408" s="1">
        <v>55110</v>
      </c>
      <c r="D2408" s="1">
        <v>3</v>
      </c>
      <c r="F2408" s="1">
        <v>2023</v>
      </c>
      <c r="G2408" s="1" t="s">
        <v>461</v>
      </c>
      <c r="H2408" s="1">
        <v>609289</v>
      </c>
      <c r="I2408" s="1">
        <v>5</v>
      </c>
      <c r="K2408" s="1" t="s">
        <v>2439</v>
      </c>
      <c r="L2408" s="1" t="s">
        <v>2440</v>
      </c>
      <c r="M2408" s="1">
        <v>17</v>
      </c>
      <c r="N2408" s="1" t="s">
        <v>39</v>
      </c>
      <c r="O2408" s="1">
        <v>39.452199999999998</v>
      </c>
      <c r="P2408" s="1">
        <v>-84.465000000000003</v>
      </c>
      <c r="Q2408" s="1" t="s">
        <v>4007</v>
      </c>
      <c r="R2408" s="1" t="s">
        <v>41</v>
      </c>
      <c r="T2408" s="1" t="s">
        <v>93</v>
      </c>
      <c r="U2408" s="1" t="s">
        <v>44</v>
      </c>
      <c r="X2408" s="1" t="s">
        <v>140</v>
      </c>
      <c r="AA2408" s="3">
        <v>36675</v>
      </c>
      <c r="AB2408" s="1" t="s">
        <v>46</v>
      </c>
      <c r="AC2408" s="5">
        <v>1169</v>
      </c>
      <c r="AD2408" s="1" t="s">
        <v>5656</v>
      </c>
      <c r="AE2408" s="1" t="str">
        <f t="shared" si="171"/>
        <v>55110 3</v>
      </c>
      <c r="AF2408" s="5" t="str">
        <f t="shared" si="173"/>
        <v>84.7</v>
      </c>
      <c r="AG2408" s="1" t="str">
        <f t="shared" si="170"/>
        <v/>
      </c>
    </row>
    <row r="2409" spans="1:33" x14ac:dyDescent="0.2">
      <c r="A2409" s="1" t="s">
        <v>2430</v>
      </c>
      <c r="B2409" s="1" t="s">
        <v>5653</v>
      </c>
      <c r="C2409" s="1">
        <v>55110</v>
      </c>
      <c r="D2409" s="1">
        <v>4</v>
      </c>
      <c r="F2409" s="1">
        <v>2023</v>
      </c>
      <c r="G2409" s="1" t="s">
        <v>461</v>
      </c>
      <c r="H2409" s="1">
        <v>609289</v>
      </c>
      <c r="I2409" s="1">
        <v>5</v>
      </c>
      <c r="K2409" s="1" t="s">
        <v>2439</v>
      </c>
      <c r="L2409" s="1" t="s">
        <v>2440</v>
      </c>
      <c r="M2409" s="1">
        <v>17</v>
      </c>
      <c r="N2409" s="1" t="s">
        <v>39</v>
      </c>
      <c r="O2409" s="1">
        <v>39.452199999999998</v>
      </c>
      <c r="P2409" s="1">
        <v>-84.465000000000003</v>
      </c>
      <c r="Q2409" s="1" t="s">
        <v>4007</v>
      </c>
      <c r="R2409" s="1" t="s">
        <v>41</v>
      </c>
      <c r="T2409" s="1" t="s">
        <v>93</v>
      </c>
      <c r="U2409" s="1" t="s">
        <v>44</v>
      </c>
      <c r="X2409" s="1" t="s">
        <v>140</v>
      </c>
      <c r="AA2409" s="3">
        <v>36675</v>
      </c>
      <c r="AB2409" s="1" t="s">
        <v>46</v>
      </c>
      <c r="AC2409" s="5">
        <v>1169</v>
      </c>
      <c r="AD2409" s="1" t="s">
        <v>5657</v>
      </c>
      <c r="AE2409" s="1" t="str">
        <f t="shared" si="171"/>
        <v>55110 4</v>
      </c>
      <c r="AF2409" s="5" t="str">
        <f t="shared" si="173"/>
        <v>84.7</v>
      </c>
      <c r="AG2409" s="1" t="str">
        <f t="shared" si="170"/>
        <v/>
      </c>
    </row>
    <row r="2410" spans="1:33" x14ac:dyDescent="0.2">
      <c r="A2410" s="1" t="s">
        <v>2430</v>
      </c>
      <c r="B2410" s="1" t="s">
        <v>5653</v>
      </c>
      <c r="C2410" s="1">
        <v>55110</v>
      </c>
      <c r="D2410" s="1">
        <v>5</v>
      </c>
      <c r="F2410" s="1">
        <v>2023</v>
      </c>
      <c r="G2410" s="1" t="s">
        <v>461</v>
      </c>
      <c r="H2410" s="1">
        <v>609289</v>
      </c>
      <c r="I2410" s="1">
        <v>5</v>
      </c>
      <c r="K2410" s="1" t="s">
        <v>2439</v>
      </c>
      <c r="L2410" s="1" t="s">
        <v>2440</v>
      </c>
      <c r="M2410" s="1">
        <v>17</v>
      </c>
      <c r="N2410" s="1" t="s">
        <v>39</v>
      </c>
      <c r="O2410" s="1">
        <v>39.452199999999998</v>
      </c>
      <c r="P2410" s="1">
        <v>-84.465000000000003</v>
      </c>
      <c r="Q2410" s="1" t="s">
        <v>4007</v>
      </c>
      <c r="R2410" s="1" t="s">
        <v>41</v>
      </c>
      <c r="T2410" s="1" t="s">
        <v>93</v>
      </c>
      <c r="U2410" s="1" t="s">
        <v>44</v>
      </c>
      <c r="X2410" s="1" t="s">
        <v>140</v>
      </c>
      <c r="AA2410" s="3">
        <v>36692</v>
      </c>
      <c r="AB2410" s="1" t="s">
        <v>46</v>
      </c>
      <c r="AC2410" s="5">
        <v>1169</v>
      </c>
      <c r="AD2410" s="1" t="s">
        <v>5658</v>
      </c>
      <c r="AE2410" s="1" t="str">
        <f t="shared" si="171"/>
        <v>55110 5</v>
      </c>
      <c r="AF2410" s="5" t="str">
        <f t="shared" si="173"/>
        <v>84.7</v>
      </c>
      <c r="AG2410" s="1" t="str">
        <f t="shared" si="170"/>
        <v/>
      </c>
    </row>
    <row r="2411" spans="1:33" x14ac:dyDescent="0.2">
      <c r="A2411" s="1" t="s">
        <v>2430</v>
      </c>
      <c r="B2411" s="1" t="s">
        <v>5653</v>
      </c>
      <c r="C2411" s="1">
        <v>55110</v>
      </c>
      <c r="D2411" s="1">
        <v>6</v>
      </c>
      <c r="F2411" s="1">
        <v>2023</v>
      </c>
      <c r="G2411" s="1" t="s">
        <v>461</v>
      </c>
      <c r="H2411" s="1">
        <v>609289</v>
      </c>
      <c r="I2411" s="1">
        <v>5</v>
      </c>
      <c r="K2411" s="1" t="s">
        <v>2439</v>
      </c>
      <c r="L2411" s="1" t="s">
        <v>2440</v>
      </c>
      <c r="M2411" s="1">
        <v>17</v>
      </c>
      <c r="N2411" s="1" t="s">
        <v>39</v>
      </c>
      <c r="O2411" s="1">
        <v>39.452199999999998</v>
      </c>
      <c r="P2411" s="1">
        <v>-84.465000000000003</v>
      </c>
      <c r="Q2411" s="1" t="s">
        <v>4007</v>
      </c>
      <c r="R2411" s="1" t="s">
        <v>41</v>
      </c>
      <c r="T2411" s="1" t="s">
        <v>93</v>
      </c>
      <c r="U2411" s="1" t="s">
        <v>44</v>
      </c>
      <c r="X2411" s="1" t="s">
        <v>140</v>
      </c>
      <c r="AA2411" s="3">
        <v>36706</v>
      </c>
      <c r="AB2411" s="1" t="s">
        <v>46</v>
      </c>
      <c r="AC2411" s="5">
        <v>1169</v>
      </c>
      <c r="AD2411" s="1" t="s">
        <v>5659</v>
      </c>
      <c r="AE2411" s="1" t="str">
        <f t="shared" si="171"/>
        <v>55110 6</v>
      </c>
      <c r="AF2411" s="5" t="str">
        <f t="shared" si="173"/>
        <v>84.7</v>
      </c>
      <c r="AG2411" s="1" t="str">
        <f t="shared" si="170"/>
        <v/>
      </c>
    </row>
    <row r="2412" spans="1:33" x14ac:dyDescent="0.2">
      <c r="A2412" s="1" t="s">
        <v>2430</v>
      </c>
      <c r="B2412" s="1" t="s">
        <v>5653</v>
      </c>
      <c r="C2412" s="1">
        <v>55110</v>
      </c>
      <c r="D2412" s="1">
        <v>7</v>
      </c>
      <c r="F2412" s="1">
        <v>2023</v>
      </c>
      <c r="G2412" s="1" t="s">
        <v>461</v>
      </c>
      <c r="H2412" s="1">
        <v>609289</v>
      </c>
      <c r="I2412" s="1">
        <v>5</v>
      </c>
      <c r="K2412" s="1" t="s">
        <v>2439</v>
      </c>
      <c r="L2412" s="1" t="s">
        <v>2440</v>
      </c>
      <c r="M2412" s="1">
        <v>17</v>
      </c>
      <c r="N2412" s="1" t="s">
        <v>39</v>
      </c>
      <c r="O2412" s="1">
        <v>39.452199999999998</v>
      </c>
      <c r="P2412" s="1">
        <v>-84.465000000000003</v>
      </c>
      <c r="Q2412" s="1" t="s">
        <v>4007</v>
      </c>
      <c r="R2412" s="1" t="s">
        <v>41</v>
      </c>
      <c r="T2412" s="1" t="s">
        <v>93</v>
      </c>
      <c r="U2412" s="1" t="s">
        <v>44</v>
      </c>
      <c r="X2412" s="1" t="s">
        <v>140</v>
      </c>
      <c r="AA2412" s="3">
        <v>36692</v>
      </c>
      <c r="AB2412" s="1" t="s">
        <v>46</v>
      </c>
      <c r="AC2412" s="5">
        <v>1169</v>
      </c>
      <c r="AD2412" s="1" t="s">
        <v>5660</v>
      </c>
      <c r="AE2412" s="1" t="str">
        <f t="shared" si="171"/>
        <v>55110 7</v>
      </c>
      <c r="AF2412" s="5" t="str">
        <f t="shared" si="173"/>
        <v>84.7</v>
      </c>
      <c r="AG2412" s="1" t="str">
        <f t="shared" si="170"/>
        <v/>
      </c>
    </row>
    <row r="2413" spans="1:33" x14ac:dyDescent="0.2">
      <c r="A2413" s="1" t="s">
        <v>2430</v>
      </c>
      <c r="B2413" s="1" t="s">
        <v>5653</v>
      </c>
      <c r="C2413" s="1">
        <v>55110</v>
      </c>
      <c r="D2413" s="1">
        <v>8</v>
      </c>
      <c r="F2413" s="1">
        <v>2023</v>
      </c>
      <c r="G2413" s="1" t="s">
        <v>461</v>
      </c>
      <c r="H2413" s="1">
        <v>609289</v>
      </c>
      <c r="I2413" s="1">
        <v>5</v>
      </c>
      <c r="K2413" s="1" t="s">
        <v>2439</v>
      </c>
      <c r="L2413" s="1" t="s">
        <v>2440</v>
      </c>
      <c r="M2413" s="1">
        <v>17</v>
      </c>
      <c r="N2413" s="1" t="s">
        <v>39</v>
      </c>
      <c r="O2413" s="1">
        <v>39.452199999999998</v>
      </c>
      <c r="P2413" s="1">
        <v>-84.465000000000003</v>
      </c>
      <c r="Q2413" s="1" t="s">
        <v>4007</v>
      </c>
      <c r="R2413" s="1" t="s">
        <v>41</v>
      </c>
      <c r="T2413" s="1" t="s">
        <v>93</v>
      </c>
      <c r="U2413" s="1" t="s">
        <v>44</v>
      </c>
      <c r="X2413" s="1" t="s">
        <v>140</v>
      </c>
      <c r="AA2413" s="3">
        <v>36706</v>
      </c>
      <c r="AB2413" s="1" t="s">
        <v>46</v>
      </c>
      <c r="AC2413" s="5">
        <v>1169</v>
      </c>
      <c r="AD2413" s="1" t="s">
        <v>5661</v>
      </c>
      <c r="AE2413" s="1" t="str">
        <f t="shared" si="171"/>
        <v>55110 8</v>
      </c>
      <c r="AF2413" s="5" t="str">
        <f t="shared" si="173"/>
        <v>84.7</v>
      </c>
      <c r="AG2413" s="1" t="str">
        <f t="shared" si="170"/>
        <v/>
      </c>
    </row>
    <row r="2414" spans="1:33" x14ac:dyDescent="0.2">
      <c r="A2414" s="1" t="s">
        <v>1071</v>
      </c>
      <c r="B2414" s="1" t="s">
        <v>5662</v>
      </c>
      <c r="C2414" s="1">
        <v>55111</v>
      </c>
      <c r="D2414" s="1">
        <v>1</v>
      </c>
      <c r="F2414" s="1">
        <v>2023</v>
      </c>
      <c r="G2414" s="1" t="s">
        <v>461</v>
      </c>
      <c r="H2414" s="1">
        <v>609289</v>
      </c>
      <c r="I2414" s="1">
        <v>5</v>
      </c>
      <c r="K2414" s="1" t="s">
        <v>1122</v>
      </c>
      <c r="L2414" s="1" t="s">
        <v>1123</v>
      </c>
      <c r="M2414" s="1">
        <v>165</v>
      </c>
      <c r="N2414" s="1" t="s">
        <v>39</v>
      </c>
      <c r="O2414" s="1">
        <v>39.9208</v>
      </c>
      <c r="P2414" s="1">
        <v>-87.444999999999993</v>
      </c>
      <c r="Q2414" s="1" t="s">
        <v>5663</v>
      </c>
      <c r="R2414" s="1" t="s">
        <v>41</v>
      </c>
      <c r="T2414" s="1" t="s">
        <v>93</v>
      </c>
      <c r="U2414" s="1" t="s">
        <v>44</v>
      </c>
      <c r="X2414" s="1" t="s">
        <v>140</v>
      </c>
      <c r="AA2414" s="3">
        <v>36601</v>
      </c>
      <c r="AB2414" s="1" t="s">
        <v>46</v>
      </c>
      <c r="AC2414" s="5">
        <v>1272</v>
      </c>
      <c r="AD2414" s="1" t="s">
        <v>3563</v>
      </c>
      <c r="AE2414" s="1" t="str">
        <f t="shared" si="171"/>
        <v>55111 1</v>
      </c>
      <c r="AF2414" s="5" t="str">
        <f t="shared" si="173"/>
        <v>80</v>
      </c>
      <c r="AG2414" s="1" t="str">
        <f t="shared" si="170"/>
        <v/>
      </c>
    </row>
    <row r="2415" spans="1:33" x14ac:dyDescent="0.2">
      <c r="A2415" s="1" t="s">
        <v>1071</v>
      </c>
      <c r="B2415" s="1" t="s">
        <v>5662</v>
      </c>
      <c r="C2415" s="1">
        <v>55111</v>
      </c>
      <c r="D2415" s="1">
        <v>2</v>
      </c>
      <c r="F2415" s="1">
        <v>2023</v>
      </c>
      <c r="G2415" s="1" t="s">
        <v>461</v>
      </c>
      <c r="H2415" s="1">
        <v>609289</v>
      </c>
      <c r="I2415" s="1">
        <v>5</v>
      </c>
      <c r="K2415" s="1" t="s">
        <v>1122</v>
      </c>
      <c r="L2415" s="1" t="s">
        <v>1123</v>
      </c>
      <c r="M2415" s="1">
        <v>165</v>
      </c>
      <c r="N2415" s="1" t="s">
        <v>39</v>
      </c>
      <c r="O2415" s="1">
        <v>39.9208</v>
      </c>
      <c r="P2415" s="1">
        <v>-87.444999999999993</v>
      </c>
      <c r="Q2415" s="1" t="s">
        <v>5663</v>
      </c>
      <c r="R2415" s="1" t="s">
        <v>41</v>
      </c>
      <c r="T2415" s="1" t="s">
        <v>93</v>
      </c>
      <c r="U2415" s="1" t="s">
        <v>44</v>
      </c>
      <c r="X2415" s="1" t="s">
        <v>140</v>
      </c>
      <c r="AA2415" s="3">
        <v>36608</v>
      </c>
      <c r="AB2415" s="1" t="s">
        <v>46</v>
      </c>
      <c r="AC2415" s="5">
        <v>1272</v>
      </c>
      <c r="AD2415" s="1" t="s">
        <v>3564</v>
      </c>
      <c r="AE2415" s="1" t="str">
        <f t="shared" si="171"/>
        <v>55111 2</v>
      </c>
      <c r="AF2415" s="5" t="str">
        <f t="shared" si="173"/>
        <v>80</v>
      </c>
      <c r="AG2415" s="1" t="str">
        <f t="shared" si="170"/>
        <v/>
      </c>
    </row>
    <row r="2416" spans="1:33" x14ac:dyDescent="0.2">
      <c r="A2416" s="1" t="s">
        <v>1071</v>
      </c>
      <c r="B2416" s="1" t="s">
        <v>5662</v>
      </c>
      <c r="C2416" s="1">
        <v>55111</v>
      </c>
      <c r="D2416" s="1">
        <v>3</v>
      </c>
      <c r="F2416" s="1">
        <v>2023</v>
      </c>
      <c r="G2416" s="1" t="s">
        <v>461</v>
      </c>
      <c r="H2416" s="1">
        <v>609289</v>
      </c>
      <c r="I2416" s="1">
        <v>5</v>
      </c>
      <c r="K2416" s="1" t="s">
        <v>1122</v>
      </c>
      <c r="L2416" s="1" t="s">
        <v>1123</v>
      </c>
      <c r="M2416" s="1">
        <v>165</v>
      </c>
      <c r="N2416" s="1" t="s">
        <v>39</v>
      </c>
      <c r="O2416" s="1">
        <v>39.9208</v>
      </c>
      <c r="P2416" s="1">
        <v>-87.444999999999993</v>
      </c>
      <c r="Q2416" s="1" t="s">
        <v>5663</v>
      </c>
      <c r="R2416" s="1" t="s">
        <v>41</v>
      </c>
      <c r="T2416" s="1" t="s">
        <v>93</v>
      </c>
      <c r="U2416" s="1" t="s">
        <v>44</v>
      </c>
      <c r="X2416" s="1" t="s">
        <v>140</v>
      </c>
      <c r="AA2416" s="3">
        <v>36627</v>
      </c>
      <c r="AB2416" s="1" t="s">
        <v>46</v>
      </c>
      <c r="AC2416" s="5">
        <v>1272</v>
      </c>
      <c r="AD2416" s="1" t="s">
        <v>3565</v>
      </c>
      <c r="AE2416" s="1" t="str">
        <f t="shared" si="171"/>
        <v>55111 3</v>
      </c>
      <c r="AF2416" s="5" t="str">
        <f t="shared" si="173"/>
        <v>80</v>
      </c>
      <c r="AG2416" s="1" t="str">
        <f t="shared" si="170"/>
        <v/>
      </c>
    </row>
    <row r="2417" spans="1:33" x14ac:dyDescent="0.2">
      <c r="A2417" s="1" t="s">
        <v>1071</v>
      </c>
      <c r="B2417" s="1" t="s">
        <v>5662</v>
      </c>
      <c r="C2417" s="1">
        <v>55111</v>
      </c>
      <c r="D2417" s="1">
        <v>4</v>
      </c>
      <c r="F2417" s="1">
        <v>2023</v>
      </c>
      <c r="G2417" s="1" t="s">
        <v>461</v>
      </c>
      <c r="H2417" s="1">
        <v>609289</v>
      </c>
      <c r="I2417" s="1">
        <v>5</v>
      </c>
      <c r="K2417" s="1" t="s">
        <v>1122</v>
      </c>
      <c r="L2417" s="1" t="s">
        <v>1123</v>
      </c>
      <c r="M2417" s="1">
        <v>165</v>
      </c>
      <c r="N2417" s="1" t="s">
        <v>39</v>
      </c>
      <c r="O2417" s="1">
        <v>39.9208</v>
      </c>
      <c r="P2417" s="1">
        <v>-87.444999999999993</v>
      </c>
      <c r="Q2417" s="1" t="s">
        <v>5663</v>
      </c>
      <c r="R2417" s="1" t="s">
        <v>41</v>
      </c>
      <c r="T2417" s="1" t="s">
        <v>93</v>
      </c>
      <c r="U2417" s="1" t="s">
        <v>44</v>
      </c>
      <c r="X2417" s="1" t="s">
        <v>140</v>
      </c>
      <c r="AA2417" s="3">
        <v>36630</v>
      </c>
      <c r="AB2417" s="1" t="s">
        <v>46</v>
      </c>
      <c r="AC2417" s="5">
        <v>1272</v>
      </c>
      <c r="AD2417" s="1" t="s">
        <v>3566</v>
      </c>
      <c r="AE2417" s="1" t="str">
        <f t="shared" si="171"/>
        <v>55111 4</v>
      </c>
      <c r="AF2417" s="5" t="str">
        <f t="shared" si="173"/>
        <v>80</v>
      </c>
      <c r="AG2417" s="1" t="str">
        <f t="shared" si="170"/>
        <v/>
      </c>
    </row>
    <row r="2418" spans="1:33" x14ac:dyDescent="0.2">
      <c r="A2418" s="1" t="s">
        <v>1071</v>
      </c>
      <c r="B2418" s="1" t="s">
        <v>5662</v>
      </c>
      <c r="C2418" s="1">
        <v>55111</v>
      </c>
      <c r="D2418" s="1">
        <v>5</v>
      </c>
      <c r="F2418" s="1">
        <v>2023</v>
      </c>
      <c r="G2418" s="1" t="s">
        <v>461</v>
      </c>
      <c r="H2418" s="1">
        <v>609289</v>
      </c>
      <c r="I2418" s="1">
        <v>5</v>
      </c>
      <c r="K2418" s="1" t="s">
        <v>1122</v>
      </c>
      <c r="L2418" s="1" t="s">
        <v>1123</v>
      </c>
      <c r="M2418" s="1">
        <v>165</v>
      </c>
      <c r="N2418" s="1" t="s">
        <v>39</v>
      </c>
      <c r="O2418" s="1">
        <v>39.9208</v>
      </c>
      <c r="P2418" s="1">
        <v>-87.444999999999993</v>
      </c>
      <c r="Q2418" s="1" t="s">
        <v>5663</v>
      </c>
      <c r="R2418" s="1" t="s">
        <v>41</v>
      </c>
      <c r="T2418" s="1" t="s">
        <v>93</v>
      </c>
      <c r="U2418" s="1" t="s">
        <v>44</v>
      </c>
      <c r="X2418" s="1" t="s">
        <v>140</v>
      </c>
      <c r="AA2418" s="3">
        <v>36636</v>
      </c>
      <c r="AB2418" s="1" t="s">
        <v>46</v>
      </c>
      <c r="AC2418" s="5">
        <v>1272</v>
      </c>
      <c r="AD2418" s="1" t="s">
        <v>3567</v>
      </c>
      <c r="AE2418" s="1" t="str">
        <f t="shared" si="171"/>
        <v>55111 5</v>
      </c>
      <c r="AF2418" s="5" t="str">
        <f t="shared" si="173"/>
        <v>80</v>
      </c>
      <c r="AG2418" s="1" t="str">
        <f t="shared" si="170"/>
        <v/>
      </c>
    </row>
    <row r="2419" spans="1:33" x14ac:dyDescent="0.2">
      <c r="A2419" s="1" t="s">
        <v>1071</v>
      </c>
      <c r="B2419" s="1" t="s">
        <v>5662</v>
      </c>
      <c r="C2419" s="1">
        <v>55111</v>
      </c>
      <c r="D2419" s="1">
        <v>6</v>
      </c>
      <c r="F2419" s="1">
        <v>2023</v>
      </c>
      <c r="G2419" s="1" t="s">
        <v>461</v>
      </c>
      <c r="H2419" s="1">
        <v>609289</v>
      </c>
      <c r="I2419" s="1">
        <v>5</v>
      </c>
      <c r="K2419" s="1" t="s">
        <v>1122</v>
      </c>
      <c r="L2419" s="1" t="s">
        <v>1123</v>
      </c>
      <c r="M2419" s="1">
        <v>165</v>
      </c>
      <c r="N2419" s="1" t="s">
        <v>39</v>
      </c>
      <c r="O2419" s="1">
        <v>39.9208</v>
      </c>
      <c r="P2419" s="1">
        <v>-87.444999999999993</v>
      </c>
      <c r="Q2419" s="1" t="s">
        <v>5663</v>
      </c>
      <c r="R2419" s="1" t="s">
        <v>41</v>
      </c>
      <c r="T2419" s="1" t="s">
        <v>93</v>
      </c>
      <c r="U2419" s="1" t="s">
        <v>44</v>
      </c>
      <c r="X2419" s="1" t="s">
        <v>140</v>
      </c>
      <c r="AA2419" s="3">
        <v>36645</v>
      </c>
      <c r="AB2419" s="1" t="s">
        <v>46</v>
      </c>
      <c r="AC2419" s="5">
        <v>1272</v>
      </c>
      <c r="AD2419" s="1" t="s">
        <v>3568</v>
      </c>
      <c r="AE2419" s="1" t="str">
        <f t="shared" si="171"/>
        <v>55111 6</v>
      </c>
      <c r="AF2419" s="5" t="str">
        <f t="shared" si="173"/>
        <v>80</v>
      </c>
      <c r="AG2419" s="1" t="str">
        <f t="shared" si="170"/>
        <v/>
      </c>
    </row>
    <row r="2420" spans="1:33" x14ac:dyDescent="0.2">
      <c r="A2420" s="1" t="s">
        <v>1071</v>
      </c>
      <c r="B2420" s="1" t="s">
        <v>5662</v>
      </c>
      <c r="C2420" s="1">
        <v>55111</v>
      </c>
      <c r="D2420" s="1">
        <v>7</v>
      </c>
      <c r="F2420" s="1">
        <v>2023</v>
      </c>
      <c r="G2420" s="1" t="s">
        <v>461</v>
      </c>
      <c r="H2420" s="1">
        <v>609289</v>
      </c>
      <c r="I2420" s="1">
        <v>5</v>
      </c>
      <c r="K2420" s="1" t="s">
        <v>1122</v>
      </c>
      <c r="L2420" s="1" t="s">
        <v>1123</v>
      </c>
      <c r="M2420" s="1">
        <v>165</v>
      </c>
      <c r="N2420" s="1" t="s">
        <v>39</v>
      </c>
      <c r="O2420" s="1">
        <v>39.9208</v>
      </c>
      <c r="P2420" s="1">
        <v>-87.444999999999993</v>
      </c>
      <c r="Q2420" s="1" t="s">
        <v>5663</v>
      </c>
      <c r="R2420" s="1" t="s">
        <v>41</v>
      </c>
      <c r="T2420" s="1" t="s">
        <v>93</v>
      </c>
      <c r="U2420" s="1" t="s">
        <v>44</v>
      </c>
      <c r="X2420" s="1" t="s">
        <v>140</v>
      </c>
      <c r="AA2420" s="3">
        <v>36654</v>
      </c>
      <c r="AB2420" s="1" t="s">
        <v>46</v>
      </c>
      <c r="AC2420" s="5">
        <v>1272</v>
      </c>
      <c r="AD2420" s="1" t="s">
        <v>3569</v>
      </c>
      <c r="AE2420" s="1" t="str">
        <f t="shared" si="171"/>
        <v>55111 7</v>
      </c>
      <c r="AF2420" s="5" t="str">
        <f t="shared" si="173"/>
        <v>80</v>
      </c>
      <c r="AG2420" s="1" t="str">
        <f t="shared" si="170"/>
        <v/>
      </c>
    </row>
    <row r="2421" spans="1:33" x14ac:dyDescent="0.2">
      <c r="A2421" s="1" t="s">
        <v>1071</v>
      </c>
      <c r="B2421" s="1" t="s">
        <v>5662</v>
      </c>
      <c r="C2421" s="1">
        <v>55111</v>
      </c>
      <c r="D2421" s="1">
        <v>8</v>
      </c>
      <c r="F2421" s="1">
        <v>2023</v>
      </c>
      <c r="G2421" s="1" t="s">
        <v>461</v>
      </c>
      <c r="H2421" s="1">
        <v>609289</v>
      </c>
      <c r="I2421" s="1">
        <v>5</v>
      </c>
      <c r="K2421" s="1" t="s">
        <v>1122</v>
      </c>
      <c r="L2421" s="1" t="s">
        <v>1123</v>
      </c>
      <c r="M2421" s="1">
        <v>165</v>
      </c>
      <c r="N2421" s="1" t="s">
        <v>39</v>
      </c>
      <c r="O2421" s="1">
        <v>39.9208</v>
      </c>
      <c r="P2421" s="1">
        <v>-87.444999999999993</v>
      </c>
      <c r="Q2421" s="1" t="s">
        <v>5663</v>
      </c>
      <c r="R2421" s="1" t="s">
        <v>41</v>
      </c>
      <c r="T2421" s="1" t="s">
        <v>93</v>
      </c>
      <c r="U2421" s="1" t="s">
        <v>44</v>
      </c>
      <c r="X2421" s="1" t="s">
        <v>140</v>
      </c>
      <c r="AA2421" s="3">
        <v>36661</v>
      </c>
      <c r="AB2421" s="1" t="s">
        <v>46</v>
      </c>
      <c r="AC2421" s="5">
        <v>1272</v>
      </c>
      <c r="AD2421" s="1" t="s">
        <v>3570</v>
      </c>
      <c r="AE2421" s="1" t="str">
        <f t="shared" si="171"/>
        <v>55111 8</v>
      </c>
      <c r="AF2421" s="5" t="str">
        <f t="shared" si="173"/>
        <v>80</v>
      </c>
      <c r="AG2421" s="1" t="str">
        <f t="shared" si="170"/>
        <v/>
      </c>
    </row>
    <row r="2422" spans="1:33" x14ac:dyDescent="0.2">
      <c r="A2422" s="1" t="s">
        <v>370</v>
      </c>
      <c r="B2422" s="1" t="s">
        <v>5664</v>
      </c>
      <c r="C2422" s="1">
        <v>55112</v>
      </c>
      <c r="D2422" s="1" t="s">
        <v>993</v>
      </c>
      <c r="F2422" s="1">
        <v>2023</v>
      </c>
      <c r="G2422" s="1" t="s">
        <v>247</v>
      </c>
      <c r="H2422" s="1">
        <v>606775</v>
      </c>
      <c r="I2422" s="1">
        <v>9</v>
      </c>
      <c r="K2422" s="1" t="s">
        <v>4843</v>
      </c>
      <c r="L2422" s="1" t="s">
        <v>4844</v>
      </c>
      <c r="M2422" s="1">
        <v>101</v>
      </c>
      <c r="N2422" s="1" t="s">
        <v>39</v>
      </c>
      <c r="O2422" s="1">
        <v>39.053100000000001</v>
      </c>
      <c r="P2422" s="1">
        <v>-121.6939</v>
      </c>
      <c r="Q2422" s="1" t="s">
        <v>4768</v>
      </c>
      <c r="R2422" s="1" t="s">
        <v>41</v>
      </c>
      <c r="T2422" s="1" t="s">
        <v>71</v>
      </c>
      <c r="U2422" s="1" t="s">
        <v>44</v>
      </c>
      <c r="X2422" s="1" t="s">
        <v>64</v>
      </c>
      <c r="AA2422" s="3">
        <v>36983</v>
      </c>
      <c r="AB2422" s="1" t="s">
        <v>46</v>
      </c>
      <c r="AC2422" s="5">
        <v>2070</v>
      </c>
      <c r="AD2422" s="1" t="s">
        <v>5665</v>
      </c>
      <c r="AE2422" s="1" t="str">
        <f t="shared" si="171"/>
        <v>55112 CT01</v>
      </c>
      <c r="AF2422" s="14">
        <f>MID(AD2422,FIND("(",AD2422)+1,FIND(")",AD2422)-FIND("(",AD2422)-1)+212/2</f>
        <v>318</v>
      </c>
      <c r="AG2422" s="1" t="str">
        <f t="shared" si="170"/>
        <v>Y</v>
      </c>
    </row>
    <row r="2423" spans="1:33" x14ac:dyDescent="0.2">
      <c r="A2423" s="1" t="s">
        <v>370</v>
      </c>
      <c r="B2423" s="1" t="s">
        <v>5664</v>
      </c>
      <c r="C2423" s="1">
        <v>55112</v>
      </c>
      <c r="D2423" s="1" t="s">
        <v>998</v>
      </c>
      <c r="F2423" s="1">
        <v>2023</v>
      </c>
      <c r="G2423" s="1" t="s">
        <v>247</v>
      </c>
      <c r="H2423" s="1">
        <v>606775</v>
      </c>
      <c r="I2423" s="1">
        <v>9</v>
      </c>
      <c r="K2423" s="1" t="s">
        <v>4843</v>
      </c>
      <c r="L2423" s="1" t="s">
        <v>4844</v>
      </c>
      <c r="M2423" s="1">
        <v>101</v>
      </c>
      <c r="N2423" s="1" t="s">
        <v>39</v>
      </c>
      <c r="O2423" s="1">
        <v>39.053100000000001</v>
      </c>
      <c r="P2423" s="1">
        <v>-121.6939</v>
      </c>
      <c r="Q2423" s="1" t="s">
        <v>4768</v>
      </c>
      <c r="R2423" s="1" t="s">
        <v>41</v>
      </c>
      <c r="T2423" s="1" t="s">
        <v>71</v>
      </c>
      <c r="U2423" s="1" t="s">
        <v>44</v>
      </c>
      <c r="X2423" s="1" t="s">
        <v>64</v>
      </c>
      <c r="AA2423" s="3">
        <v>36992</v>
      </c>
      <c r="AB2423" s="1" t="s">
        <v>46</v>
      </c>
      <c r="AC2423" s="5">
        <v>2070</v>
      </c>
      <c r="AD2423" s="1" t="s">
        <v>5666</v>
      </c>
      <c r="AE2423" s="1" t="str">
        <f t="shared" si="171"/>
        <v>55112 CT02</v>
      </c>
      <c r="AF2423" s="14">
        <f>AF2422</f>
        <v>318</v>
      </c>
      <c r="AG2423" s="1" t="str">
        <f t="shared" si="170"/>
        <v>Y</v>
      </c>
    </row>
    <row r="2424" spans="1:33" x14ac:dyDescent="0.2">
      <c r="A2424" s="1" t="s">
        <v>1153</v>
      </c>
      <c r="B2424" s="1" t="s">
        <v>5667</v>
      </c>
      <c r="C2424" s="1">
        <v>55116</v>
      </c>
      <c r="D2424" s="1" t="s">
        <v>311</v>
      </c>
      <c r="F2424" s="1">
        <v>2023</v>
      </c>
      <c r="G2424" s="1" t="s">
        <v>2319</v>
      </c>
      <c r="H2424" s="1" t="s">
        <v>2320</v>
      </c>
      <c r="I2424" s="1">
        <v>4</v>
      </c>
      <c r="K2424" s="1" t="s">
        <v>1970</v>
      </c>
      <c r="L2424" s="1" t="s">
        <v>2399</v>
      </c>
      <c r="M2424" s="1">
        <v>157</v>
      </c>
      <c r="N2424" s="1" t="s">
        <v>39</v>
      </c>
      <c r="O2424" s="1">
        <v>36.329700000000003</v>
      </c>
      <c r="P2424" s="1">
        <v>-79.829700000000003</v>
      </c>
      <c r="Q2424" s="1" t="s">
        <v>4007</v>
      </c>
      <c r="R2424" s="1" t="s">
        <v>41</v>
      </c>
      <c r="T2424" s="1" t="s">
        <v>93</v>
      </c>
      <c r="U2424" s="1" t="s">
        <v>44</v>
      </c>
      <c r="V2424" s="1" t="s">
        <v>94</v>
      </c>
      <c r="X2424" s="1" t="s">
        <v>183</v>
      </c>
      <c r="AA2424" s="3">
        <v>36676</v>
      </c>
      <c r="AB2424" s="1" t="s">
        <v>46</v>
      </c>
      <c r="AC2424" s="5">
        <v>1920</v>
      </c>
      <c r="AD2424" s="1" t="s">
        <v>5668</v>
      </c>
      <c r="AE2424" s="1" t="str">
        <f t="shared" si="171"/>
        <v>55116 CT1</v>
      </c>
      <c r="AF2424" s="5" t="str">
        <f>MID(AD2424,FIND("(",AD2424)+1,FIND(")",AD2424)-FIND("(",AD2424)-1)</f>
        <v>180</v>
      </c>
      <c r="AG2424" s="1" t="str">
        <f t="shared" si="170"/>
        <v/>
      </c>
    </row>
    <row r="2425" spans="1:33" x14ac:dyDescent="0.2">
      <c r="A2425" s="1" t="s">
        <v>1153</v>
      </c>
      <c r="B2425" s="1" t="s">
        <v>5667</v>
      </c>
      <c r="C2425" s="1">
        <v>55116</v>
      </c>
      <c r="D2425" s="1" t="s">
        <v>98</v>
      </c>
      <c r="F2425" s="1">
        <v>2023</v>
      </c>
      <c r="G2425" s="1" t="s">
        <v>2319</v>
      </c>
      <c r="H2425" s="1" t="s">
        <v>2320</v>
      </c>
      <c r="I2425" s="1">
        <v>4</v>
      </c>
      <c r="K2425" s="1" t="s">
        <v>1970</v>
      </c>
      <c r="L2425" s="1" t="s">
        <v>2399</v>
      </c>
      <c r="M2425" s="1">
        <v>157</v>
      </c>
      <c r="N2425" s="1" t="s">
        <v>39</v>
      </c>
      <c r="O2425" s="1">
        <v>36.329700000000003</v>
      </c>
      <c r="P2425" s="1">
        <v>-79.829700000000003</v>
      </c>
      <c r="Q2425" s="1" t="s">
        <v>4007</v>
      </c>
      <c r="R2425" s="1" t="s">
        <v>41</v>
      </c>
      <c r="T2425" s="1" t="s">
        <v>93</v>
      </c>
      <c r="U2425" s="1" t="s">
        <v>44</v>
      </c>
      <c r="V2425" s="1" t="s">
        <v>94</v>
      </c>
      <c r="X2425" s="1" t="s">
        <v>183</v>
      </c>
      <c r="AA2425" s="3">
        <v>36689</v>
      </c>
      <c r="AB2425" s="1" t="s">
        <v>46</v>
      </c>
      <c r="AC2425" s="5">
        <v>1920</v>
      </c>
      <c r="AD2425" s="1" t="s">
        <v>5669</v>
      </c>
      <c r="AE2425" s="1" t="str">
        <f t="shared" si="171"/>
        <v>55116 CT2</v>
      </c>
      <c r="AF2425" s="5" t="str">
        <f>MID(AD2425,FIND("(",AD2425)+1,FIND(")",AD2425)-FIND("(",AD2425)-1)</f>
        <v>180</v>
      </c>
      <c r="AG2425" s="1" t="str">
        <f t="shared" si="170"/>
        <v/>
      </c>
    </row>
    <row r="2426" spans="1:33" x14ac:dyDescent="0.2">
      <c r="A2426" s="1" t="s">
        <v>1153</v>
      </c>
      <c r="B2426" s="1" t="s">
        <v>5667</v>
      </c>
      <c r="C2426" s="1">
        <v>55116</v>
      </c>
      <c r="D2426" s="1" t="s">
        <v>101</v>
      </c>
      <c r="F2426" s="1">
        <v>2023</v>
      </c>
      <c r="G2426" s="1" t="s">
        <v>2319</v>
      </c>
      <c r="H2426" s="1" t="s">
        <v>2320</v>
      </c>
      <c r="I2426" s="1">
        <v>4</v>
      </c>
      <c r="K2426" s="1" t="s">
        <v>1970</v>
      </c>
      <c r="L2426" s="1" t="s">
        <v>2399</v>
      </c>
      <c r="M2426" s="1">
        <v>157</v>
      </c>
      <c r="N2426" s="1" t="s">
        <v>39</v>
      </c>
      <c r="O2426" s="1">
        <v>36.329700000000003</v>
      </c>
      <c r="P2426" s="1">
        <v>-79.829700000000003</v>
      </c>
      <c r="Q2426" s="1" t="s">
        <v>4007</v>
      </c>
      <c r="R2426" s="1" t="s">
        <v>41</v>
      </c>
      <c r="T2426" s="1" t="s">
        <v>93</v>
      </c>
      <c r="U2426" s="1" t="s">
        <v>44</v>
      </c>
      <c r="V2426" s="1" t="s">
        <v>94</v>
      </c>
      <c r="X2426" s="1" t="s">
        <v>183</v>
      </c>
      <c r="AA2426" s="3">
        <v>36704</v>
      </c>
      <c r="AB2426" s="1" t="s">
        <v>46</v>
      </c>
      <c r="AC2426" s="5">
        <v>1920</v>
      </c>
      <c r="AD2426" s="1" t="s">
        <v>5670</v>
      </c>
      <c r="AE2426" s="1" t="str">
        <f t="shared" si="171"/>
        <v>55116 CT3</v>
      </c>
      <c r="AF2426" s="5" t="str">
        <f>MID(AD2426,FIND("(",AD2426)+1,FIND(")",AD2426)-FIND("(",AD2426)-1)</f>
        <v>180</v>
      </c>
      <c r="AG2426" s="1" t="str">
        <f t="shared" si="170"/>
        <v/>
      </c>
    </row>
    <row r="2427" spans="1:33" x14ac:dyDescent="0.2">
      <c r="A2427" s="1" t="s">
        <v>1153</v>
      </c>
      <c r="B2427" s="1" t="s">
        <v>5667</v>
      </c>
      <c r="C2427" s="1">
        <v>55116</v>
      </c>
      <c r="D2427" s="1" t="s">
        <v>103</v>
      </c>
      <c r="F2427" s="1">
        <v>2023</v>
      </c>
      <c r="G2427" s="1" t="s">
        <v>2319</v>
      </c>
      <c r="H2427" s="1" t="s">
        <v>2320</v>
      </c>
      <c r="I2427" s="1">
        <v>4</v>
      </c>
      <c r="K2427" s="1" t="s">
        <v>1970</v>
      </c>
      <c r="L2427" s="1" t="s">
        <v>2399</v>
      </c>
      <c r="M2427" s="1">
        <v>157</v>
      </c>
      <c r="N2427" s="1" t="s">
        <v>39</v>
      </c>
      <c r="O2427" s="1">
        <v>36.329700000000003</v>
      </c>
      <c r="P2427" s="1">
        <v>-79.829700000000003</v>
      </c>
      <c r="Q2427" s="1" t="s">
        <v>4007</v>
      </c>
      <c r="R2427" s="1" t="s">
        <v>41</v>
      </c>
      <c r="T2427" s="1" t="s">
        <v>93</v>
      </c>
      <c r="U2427" s="1" t="s">
        <v>44</v>
      </c>
      <c r="V2427" s="1" t="s">
        <v>94</v>
      </c>
      <c r="X2427" s="1" t="s">
        <v>183</v>
      </c>
      <c r="AA2427" s="3">
        <v>36712</v>
      </c>
      <c r="AB2427" s="1" t="s">
        <v>46</v>
      </c>
      <c r="AC2427" s="5">
        <v>1920</v>
      </c>
      <c r="AD2427" s="1" t="s">
        <v>5671</v>
      </c>
      <c r="AE2427" s="1" t="str">
        <f t="shared" si="171"/>
        <v>55116 CT4</v>
      </c>
      <c r="AF2427" s="5" t="str">
        <f>MID(AD2427,FIND("(",AD2427)+1,FIND(")",AD2427)-FIND("(",AD2427)-1)</f>
        <v>180</v>
      </c>
      <c r="AG2427" s="1" t="str">
        <f t="shared" si="170"/>
        <v/>
      </c>
    </row>
    <row r="2428" spans="1:33" x14ac:dyDescent="0.2">
      <c r="A2428" s="1" t="s">
        <v>1153</v>
      </c>
      <c r="B2428" s="1" t="s">
        <v>5667</v>
      </c>
      <c r="C2428" s="1">
        <v>55116</v>
      </c>
      <c r="D2428" s="1" t="s">
        <v>105</v>
      </c>
      <c r="F2428" s="1">
        <v>2023</v>
      </c>
      <c r="G2428" s="1" t="s">
        <v>2319</v>
      </c>
      <c r="H2428" s="1" t="s">
        <v>2320</v>
      </c>
      <c r="I2428" s="1">
        <v>4</v>
      </c>
      <c r="K2428" s="1" t="s">
        <v>1970</v>
      </c>
      <c r="L2428" s="1" t="s">
        <v>2399</v>
      </c>
      <c r="M2428" s="1">
        <v>157</v>
      </c>
      <c r="N2428" s="1" t="s">
        <v>39</v>
      </c>
      <c r="O2428" s="1">
        <v>36.329700000000003</v>
      </c>
      <c r="P2428" s="1">
        <v>-79.829700000000003</v>
      </c>
      <c r="Q2428" s="1" t="s">
        <v>4007</v>
      </c>
      <c r="R2428" s="1" t="s">
        <v>41</v>
      </c>
      <c r="T2428" s="1" t="s">
        <v>93</v>
      </c>
      <c r="U2428" s="1" t="s">
        <v>44</v>
      </c>
      <c r="V2428" s="1" t="s">
        <v>94</v>
      </c>
      <c r="X2428" s="1" t="s">
        <v>183</v>
      </c>
      <c r="AA2428" s="3">
        <v>36725</v>
      </c>
      <c r="AB2428" s="1" t="s">
        <v>46</v>
      </c>
      <c r="AC2428" s="5">
        <v>1920</v>
      </c>
      <c r="AD2428" s="1" t="s">
        <v>5672</v>
      </c>
      <c r="AE2428" s="1" t="str">
        <f t="shared" si="171"/>
        <v>55116 CT5</v>
      </c>
      <c r="AF2428" s="5" t="str">
        <f>MID(AD2428,FIND("(",AD2428)+1,FIND(")",AD2428)-FIND("(",AD2428)-1)</f>
        <v>180</v>
      </c>
      <c r="AG2428" s="1" t="str">
        <f t="shared" si="170"/>
        <v/>
      </c>
    </row>
    <row r="2429" spans="1:33" x14ac:dyDescent="0.2">
      <c r="A2429" s="1" t="s">
        <v>1426</v>
      </c>
      <c r="B2429" s="1" t="s">
        <v>5673</v>
      </c>
      <c r="C2429" s="1">
        <v>55117</v>
      </c>
      <c r="D2429" s="1" t="s">
        <v>5674</v>
      </c>
      <c r="F2429" s="1">
        <v>2023</v>
      </c>
      <c r="G2429" s="1" t="s">
        <v>1428</v>
      </c>
      <c r="H2429" s="1" t="s">
        <v>5675</v>
      </c>
      <c r="I2429" s="1">
        <v>6</v>
      </c>
      <c r="K2429" s="1" t="s">
        <v>1441</v>
      </c>
      <c r="L2429" s="1" t="s">
        <v>1442</v>
      </c>
      <c r="M2429" s="1">
        <v>19</v>
      </c>
      <c r="N2429" s="1" t="s">
        <v>1680</v>
      </c>
      <c r="O2429" s="1">
        <v>30.221</v>
      </c>
      <c r="P2429" s="1">
        <v>-93.282600000000002</v>
      </c>
      <c r="Q2429" s="1" t="s">
        <v>5676</v>
      </c>
      <c r="R2429" s="1" t="s">
        <v>41</v>
      </c>
      <c r="T2429" s="1" t="s">
        <v>71</v>
      </c>
      <c r="U2429" s="1" t="s">
        <v>44</v>
      </c>
      <c r="X2429" s="1" t="s">
        <v>64</v>
      </c>
      <c r="AA2429" s="3">
        <v>37407</v>
      </c>
      <c r="AB2429" s="1" t="s">
        <v>46</v>
      </c>
      <c r="AC2429" s="5">
        <v>2155</v>
      </c>
      <c r="AD2429" s="1" t="s">
        <v>5677</v>
      </c>
      <c r="AE2429" s="1" t="str">
        <f t="shared" si="171"/>
        <v>55117 RS-5</v>
      </c>
      <c r="AF2429" s="14">
        <f>MID(AD2429,FIND("(",AD2429)+1,FIND(")",AD2429)-FIND("(",AD2429)-1)+103</f>
        <v>298</v>
      </c>
      <c r="AG2429" s="1" t="str">
        <f t="shared" si="170"/>
        <v>Y</v>
      </c>
    </row>
    <row r="2430" spans="1:33" x14ac:dyDescent="0.2">
      <c r="A2430" s="1" t="s">
        <v>1426</v>
      </c>
      <c r="B2430" s="1" t="s">
        <v>5673</v>
      </c>
      <c r="C2430" s="1">
        <v>55117</v>
      </c>
      <c r="D2430" s="1" t="s">
        <v>5678</v>
      </c>
      <c r="F2430" s="1">
        <v>2023</v>
      </c>
      <c r="G2430" s="1" t="s">
        <v>1428</v>
      </c>
      <c r="H2430" s="1" t="s">
        <v>5675</v>
      </c>
      <c r="I2430" s="1">
        <v>6</v>
      </c>
      <c r="K2430" s="1" t="s">
        <v>1441</v>
      </c>
      <c r="L2430" s="1" t="s">
        <v>1442</v>
      </c>
      <c r="M2430" s="1">
        <v>19</v>
      </c>
      <c r="N2430" s="1" t="s">
        <v>1680</v>
      </c>
      <c r="O2430" s="1">
        <v>30.221</v>
      </c>
      <c r="P2430" s="1">
        <v>-93.282600000000002</v>
      </c>
      <c r="Q2430" s="1" t="s">
        <v>5676</v>
      </c>
      <c r="R2430" s="1" t="s">
        <v>41</v>
      </c>
      <c r="T2430" s="1" t="s">
        <v>71</v>
      </c>
      <c r="U2430" s="1" t="s">
        <v>44</v>
      </c>
      <c r="X2430" s="1" t="s">
        <v>64</v>
      </c>
      <c r="AA2430" s="3">
        <v>37413</v>
      </c>
      <c r="AB2430" s="1" t="s">
        <v>46</v>
      </c>
      <c r="AC2430" s="5">
        <v>2155</v>
      </c>
      <c r="AD2430" s="1" t="s">
        <v>5679</v>
      </c>
      <c r="AE2430" s="1" t="str">
        <f t="shared" si="171"/>
        <v>55117 RS-6</v>
      </c>
      <c r="AF2430" s="14">
        <f>MID(AD2430,FIND("(",AD2430)+1,FIND(")",AD2430)-FIND("(",AD2430)-1)+103</f>
        <v>298</v>
      </c>
      <c r="AG2430" s="1" t="str">
        <f t="shared" si="170"/>
        <v>Y</v>
      </c>
    </row>
    <row r="2431" spans="1:33" x14ac:dyDescent="0.2">
      <c r="A2431" s="1" t="s">
        <v>383</v>
      </c>
      <c r="B2431" s="1" t="s">
        <v>5680</v>
      </c>
      <c r="C2431" s="1">
        <v>55120</v>
      </c>
      <c r="D2431" s="1" t="s">
        <v>5681</v>
      </c>
      <c r="F2431" s="1">
        <v>2023</v>
      </c>
      <c r="G2431" s="1" t="s">
        <v>346</v>
      </c>
      <c r="H2431" s="1">
        <v>610223</v>
      </c>
      <c r="I2431" s="1">
        <v>6</v>
      </c>
      <c r="K2431" s="1" t="s">
        <v>418</v>
      </c>
      <c r="L2431" s="1" t="s">
        <v>2914</v>
      </c>
      <c r="M2431" s="1">
        <v>361</v>
      </c>
      <c r="N2431" s="1" t="s">
        <v>1680</v>
      </c>
      <c r="O2431" s="1">
        <v>30.056100000000001</v>
      </c>
      <c r="P2431" s="1">
        <v>-93.753900000000002</v>
      </c>
      <c r="Q2431" s="1" t="s">
        <v>5682</v>
      </c>
      <c r="R2431" s="1" t="s">
        <v>41</v>
      </c>
      <c r="T2431" s="1" t="s">
        <v>71</v>
      </c>
      <c r="U2431" s="1" t="s">
        <v>44</v>
      </c>
      <c r="V2431" s="1" t="s">
        <v>1432</v>
      </c>
      <c r="X2431" s="1" t="s">
        <v>64</v>
      </c>
      <c r="AA2431" s="3">
        <v>37090</v>
      </c>
      <c r="AB2431" s="1" t="s">
        <v>46</v>
      </c>
      <c r="AC2431" s="5">
        <v>2250</v>
      </c>
      <c r="AD2431" s="1" t="s">
        <v>5683</v>
      </c>
      <c r="AE2431" s="1" t="str">
        <f t="shared" si="171"/>
        <v>55120 CTG-1</v>
      </c>
      <c r="AF2431" s="14">
        <f>MID(AD2431,FIND("(",AD2431)+1,FIND(")",AD2431)-FIND("(",AD2431)-1)+145/2</f>
        <v>257</v>
      </c>
      <c r="AG2431" s="1" t="str">
        <f t="shared" si="170"/>
        <v>Y</v>
      </c>
    </row>
    <row r="2432" spans="1:33" x14ac:dyDescent="0.2">
      <c r="A2432" s="1" t="s">
        <v>383</v>
      </c>
      <c r="B2432" s="1" t="s">
        <v>5680</v>
      </c>
      <c r="C2432" s="1">
        <v>55120</v>
      </c>
      <c r="D2432" s="1" t="s">
        <v>5684</v>
      </c>
      <c r="F2432" s="1">
        <v>2023</v>
      </c>
      <c r="G2432" s="1" t="s">
        <v>346</v>
      </c>
      <c r="H2432" s="1">
        <v>610223</v>
      </c>
      <c r="I2432" s="1">
        <v>6</v>
      </c>
      <c r="K2432" s="1" t="s">
        <v>418</v>
      </c>
      <c r="L2432" s="1" t="s">
        <v>2914</v>
      </c>
      <c r="M2432" s="1">
        <v>361</v>
      </c>
      <c r="N2432" s="1" t="s">
        <v>1680</v>
      </c>
      <c r="O2432" s="1">
        <v>30.056100000000001</v>
      </c>
      <c r="P2432" s="1">
        <v>-93.753900000000002</v>
      </c>
      <c r="Q2432" s="1" t="s">
        <v>5682</v>
      </c>
      <c r="R2432" s="1" t="s">
        <v>41</v>
      </c>
      <c r="T2432" s="1" t="s">
        <v>71</v>
      </c>
      <c r="U2432" s="1" t="s">
        <v>44</v>
      </c>
      <c r="V2432" s="1" t="s">
        <v>1432</v>
      </c>
      <c r="X2432" s="1" t="s">
        <v>64</v>
      </c>
      <c r="AA2432" s="3">
        <v>37114</v>
      </c>
      <c r="AB2432" s="1" t="s">
        <v>46</v>
      </c>
      <c r="AC2432" s="5">
        <v>2170</v>
      </c>
      <c r="AD2432" s="1" t="s">
        <v>5685</v>
      </c>
      <c r="AE2432" s="1" t="str">
        <f t="shared" si="171"/>
        <v>55120 CTG-2</v>
      </c>
      <c r="AF2432" s="14">
        <f>AF2431</f>
        <v>257</v>
      </c>
      <c r="AG2432" s="1" t="str">
        <f t="shared" si="170"/>
        <v>Y</v>
      </c>
    </row>
    <row r="2433" spans="1:33" x14ac:dyDescent="0.2">
      <c r="A2433" s="1" t="s">
        <v>383</v>
      </c>
      <c r="B2433" s="1" t="s">
        <v>5686</v>
      </c>
      <c r="C2433" s="1">
        <v>55123</v>
      </c>
      <c r="D2433" s="1" t="s">
        <v>5681</v>
      </c>
      <c r="F2433" s="1">
        <v>2023</v>
      </c>
      <c r="G2433" s="1" t="s">
        <v>346</v>
      </c>
      <c r="H2433" s="1">
        <v>605562</v>
      </c>
      <c r="I2433" s="1">
        <v>6</v>
      </c>
      <c r="K2433" s="1" t="s">
        <v>4202</v>
      </c>
      <c r="L2433" s="1" t="s">
        <v>4203</v>
      </c>
      <c r="M2433" s="1">
        <v>215</v>
      </c>
      <c r="N2433" s="1" t="s">
        <v>39</v>
      </c>
      <c r="O2433" s="1">
        <v>26.340299999999999</v>
      </c>
      <c r="P2433" s="1">
        <v>-98.19</v>
      </c>
      <c r="Q2433" s="1" t="s">
        <v>5687</v>
      </c>
      <c r="R2433" s="1" t="s">
        <v>41</v>
      </c>
      <c r="T2433" s="1" t="s">
        <v>71</v>
      </c>
      <c r="U2433" s="1" t="s">
        <v>44</v>
      </c>
      <c r="X2433" s="1" t="s">
        <v>223</v>
      </c>
      <c r="AA2433" s="3">
        <v>37101</v>
      </c>
      <c r="AB2433" s="1" t="s">
        <v>46</v>
      </c>
      <c r="AC2433" s="5">
        <v>2700</v>
      </c>
      <c r="AD2433" s="1" t="s">
        <v>5688</v>
      </c>
      <c r="AE2433" s="1" t="str">
        <f t="shared" si="171"/>
        <v>55123 CTG-1</v>
      </c>
      <c r="AF2433" s="14">
        <f>MID(AD2433,FIND("(",AD2433)+1,FIND(")",AD2433)-FIND("(",AD2433)-1)+267/2</f>
        <v>400.5</v>
      </c>
      <c r="AG2433" s="1" t="str">
        <f t="shared" si="170"/>
        <v>Y</v>
      </c>
    </row>
    <row r="2434" spans="1:33" x14ac:dyDescent="0.2">
      <c r="A2434" s="1" t="s">
        <v>383</v>
      </c>
      <c r="B2434" s="1" t="s">
        <v>5686</v>
      </c>
      <c r="C2434" s="1">
        <v>55123</v>
      </c>
      <c r="D2434" s="1" t="s">
        <v>5684</v>
      </c>
      <c r="F2434" s="1">
        <v>2023</v>
      </c>
      <c r="G2434" s="1" t="s">
        <v>346</v>
      </c>
      <c r="H2434" s="1">
        <v>605562</v>
      </c>
      <c r="I2434" s="1">
        <v>6</v>
      </c>
      <c r="K2434" s="1" t="s">
        <v>4202</v>
      </c>
      <c r="L2434" s="1" t="s">
        <v>4203</v>
      </c>
      <c r="M2434" s="1">
        <v>215</v>
      </c>
      <c r="N2434" s="1" t="s">
        <v>39</v>
      </c>
      <c r="O2434" s="1">
        <v>26.340299999999999</v>
      </c>
      <c r="P2434" s="1">
        <v>-98.19</v>
      </c>
      <c r="Q2434" s="1" t="s">
        <v>5687</v>
      </c>
      <c r="R2434" s="1" t="s">
        <v>41</v>
      </c>
      <c r="T2434" s="1" t="s">
        <v>71</v>
      </c>
      <c r="U2434" s="1" t="s">
        <v>44</v>
      </c>
      <c r="X2434" s="1" t="s">
        <v>223</v>
      </c>
      <c r="AA2434" s="3">
        <v>37097</v>
      </c>
      <c r="AB2434" s="1" t="s">
        <v>46</v>
      </c>
      <c r="AC2434" s="5">
        <v>2700</v>
      </c>
      <c r="AD2434" s="1" t="s">
        <v>5689</v>
      </c>
      <c r="AE2434" s="1" t="str">
        <f t="shared" si="171"/>
        <v>55123 CTG-2</v>
      </c>
      <c r="AF2434" s="14">
        <f>AF2433</f>
        <v>400.5</v>
      </c>
      <c r="AG2434" s="1" t="str">
        <f t="shared" ref="AG2434:AG2497" si="174">IF(ISNUMBER(SEARCH("selective", X2434)), "Y", "")</f>
        <v>Y</v>
      </c>
    </row>
    <row r="2435" spans="1:33" x14ac:dyDescent="0.2">
      <c r="A2435" s="1" t="s">
        <v>234</v>
      </c>
      <c r="B2435" s="1" t="s">
        <v>5690</v>
      </c>
      <c r="C2435" s="1">
        <v>55124</v>
      </c>
      <c r="D2435" s="1" t="s">
        <v>5691</v>
      </c>
      <c r="F2435" s="1">
        <v>2023</v>
      </c>
      <c r="G2435" s="1" t="s">
        <v>247</v>
      </c>
      <c r="H2435" s="1">
        <v>609746</v>
      </c>
      <c r="I2435" s="1">
        <v>9</v>
      </c>
      <c r="K2435" s="1" t="s">
        <v>5692</v>
      </c>
      <c r="L2435" s="1" t="s">
        <v>5693</v>
      </c>
      <c r="M2435" s="1">
        <v>15</v>
      </c>
      <c r="N2435" s="1" t="s">
        <v>39</v>
      </c>
      <c r="O2435" s="1">
        <v>35.051699999999997</v>
      </c>
      <c r="P2435" s="1">
        <v>-114.13339999999999</v>
      </c>
      <c r="Q2435" s="1" t="s">
        <v>5694</v>
      </c>
      <c r="R2435" s="1" t="s">
        <v>41</v>
      </c>
      <c r="T2435" s="1" t="s">
        <v>71</v>
      </c>
      <c r="U2435" s="1" t="s">
        <v>44</v>
      </c>
      <c r="X2435" s="1" t="s">
        <v>64</v>
      </c>
      <c r="AA2435" s="3">
        <v>36997</v>
      </c>
      <c r="AB2435" s="1" t="s">
        <v>46</v>
      </c>
      <c r="AC2435" s="5">
        <v>2506</v>
      </c>
      <c r="AD2435" s="1" t="s">
        <v>5695</v>
      </c>
      <c r="AE2435" s="1" t="str">
        <f t="shared" ref="AE2435:AE2498" si="175">C2435&amp;" "&amp;D2435</f>
        <v>55124 P1</v>
      </c>
      <c r="AF2435" s="14">
        <f>MID(AD2435,FIND("(",AD2435)+1,FIND(")",AD2435)-FIND("(",AD2435)-1)+301.8/2</f>
        <v>327.60000000000002</v>
      </c>
      <c r="AG2435" s="1" t="str">
        <f t="shared" si="174"/>
        <v>Y</v>
      </c>
    </row>
    <row r="2436" spans="1:33" x14ac:dyDescent="0.2">
      <c r="A2436" s="1" t="s">
        <v>234</v>
      </c>
      <c r="B2436" s="1" t="s">
        <v>5690</v>
      </c>
      <c r="C2436" s="1">
        <v>55124</v>
      </c>
      <c r="D2436" s="1" t="s">
        <v>5696</v>
      </c>
      <c r="F2436" s="1">
        <v>2023</v>
      </c>
      <c r="G2436" s="1" t="s">
        <v>247</v>
      </c>
      <c r="H2436" s="1">
        <v>609746</v>
      </c>
      <c r="I2436" s="1">
        <v>9</v>
      </c>
      <c r="K2436" s="1" t="s">
        <v>5692</v>
      </c>
      <c r="L2436" s="1" t="s">
        <v>5693</v>
      </c>
      <c r="M2436" s="1">
        <v>15</v>
      </c>
      <c r="N2436" s="1" t="s">
        <v>39</v>
      </c>
      <c r="O2436" s="1">
        <v>35.051699999999997</v>
      </c>
      <c r="P2436" s="1">
        <v>-114.13339999999999</v>
      </c>
      <c r="Q2436" s="1" t="s">
        <v>5694</v>
      </c>
      <c r="R2436" s="1" t="s">
        <v>41</v>
      </c>
      <c r="T2436" s="1" t="s">
        <v>71</v>
      </c>
      <c r="U2436" s="1" t="s">
        <v>44</v>
      </c>
      <c r="X2436" s="1" t="s">
        <v>64</v>
      </c>
      <c r="AA2436" s="3">
        <v>36958</v>
      </c>
      <c r="AB2436" s="1" t="s">
        <v>46</v>
      </c>
      <c r="AC2436" s="5">
        <v>2506</v>
      </c>
      <c r="AD2436" s="1" t="s">
        <v>5697</v>
      </c>
      <c r="AE2436" s="1" t="str">
        <f t="shared" si="175"/>
        <v>55124 P2</v>
      </c>
      <c r="AF2436" s="14">
        <f>AF2435</f>
        <v>327.60000000000002</v>
      </c>
      <c r="AG2436" s="1" t="str">
        <f t="shared" si="174"/>
        <v>Y</v>
      </c>
    </row>
    <row r="2437" spans="1:33" x14ac:dyDescent="0.2">
      <c r="A2437" s="1" t="s">
        <v>577</v>
      </c>
      <c r="B2437" s="1" t="s">
        <v>5698</v>
      </c>
      <c r="C2437" s="1">
        <v>55126</v>
      </c>
      <c r="D2437" s="1" t="s">
        <v>993</v>
      </c>
      <c r="F2437" s="1">
        <v>2023</v>
      </c>
      <c r="G2437" s="1" t="s">
        <v>579</v>
      </c>
      <c r="H2437" s="1">
        <v>603383</v>
      </c>
      <c r="I2437" s="1">
        <v>1</v>
      </c>
      <c r="J2437" s="1" t="s">
        <v>580</v>
      </c>
      <c r="K2437" s="1" t="s">
        <v>581</v>
      </c>
      <c r="L2437" s="1" t="s">
        <v>582</v>
      </c>
      <c r="M2437" s="1">
        <v>9</v>
      </c>
      <c r="N2437" s="1" t="s">
        <v>39</v>
      </c>
      <c r="O2437" s="1">
        <v>41.2239</v>
      </c>
      <c r="P2437" s="1">
        <v>-73.099999999999994</v>
      </c>
      <c r="Q2437" s="1" t="s">
        <v>5699</v>
      </c>
      <c r="R2437" s="1" t="s">
        <v>41</v>
      </c>
      <c r="T2437" s="1" t="s">
        <v>71</v>
      </c>
      <c r="U2437" s="1" t="s">
        <v>44</v>
      </c>
      <c r="V2437" s="1" t="s">
        <v>94</v>
      </c>
      <c r="X2437" s="1" t="s">
        <v>176</v>
      </c>
      <c r="AA2437" s="3">
        <v>37405</v>
      </c>
      <c r="AB2437" s="1" t="s">
        <v>46</v>
      </c>
      <c r="AC2437" s="5">
        <v>2180</v>
      </c>
      <c r="AD2437" s="1" t="s">
        <v>5700</v>
      </c>
      <c r="AE2437" s="1" t="str">
        <f t="shared" si="175"/>
        <v>55126 CT01</v>
      </c>
      <c r="AF2437" s="5" t="str">
        <f t="shared" ref="AF2437:AF2443" si="176">MID(AD2437,FIND("(",AD2437)+1,FIND(")",AD2437)-FIND("(",AD2437)-1)</f>
        <v>289</v>
      </c>
      <c r="AG2437" s="1" t="str">
        <f t="shared" si="174"/>
        <v>Y</v>
      </c>
    </row>
    <row r="2438" spans="1:33" x14ac:dyDescent="0.2">
      <c r="A2438" s="1" t="s">
        <v>577</v>
      </c>
      <c r="B2438" s="1" t="s">
        <v>5698</v>
      </c>
      <c r="C2438" s="1">
        <v>55126</v>
      </c>
      <c r="D2438" s="1" t="s">
        <v>998</v>
      </c>
      <c r="F2438" s="1">
        <v>2023</v>
      </c>
      <c r="G2438" s="1" t="s">
        <v>579</v>
      </c>
      <c r="H2438" s="1">
        <v>603383</v>
      </c>
      <c r="I2438" s="1">
        <v>1</v>
      </c>
      <c r="J2438" s="1" t="s">
        <v>580</v>
      </c>
      <c r="K2438" s="1" t="s">
        <v>581</v>
      </c>
      <c r="L2438" s="1" t="s">
        <v>582</v>
      </c>
      <c r="M2438" s="1">
        <v>9</v>
      </c>
      <c r="N2438" s="1" t="s">
        <v>39</v>
      </c>
      <c r="O2438" s="1">
        <v>41.2239</v>
      </c>
      <c r="P2438" s="1">
        <v>-73.099999999999994</v>
      </c>
      <c r="Q2438" s="1" t="s">
        <v>5699</v>
      </c>
      <c r="R2438" s="1" t="s">
        <v>41</v>
      </c>
      <c r="T2438" s="1" t="s">
        <v>71</v>
      </c>
      <c r="U2438" s="1" t="s">
        <v>44</v>
      </c>
      <c r="V2438" s="1" t="s">
        <v>94</v>
      </c>
      <c r="X2438" s="1" t="s">
        <v>176</v>
      </c>
      <c r="AA2438" s="3">
        <v>37323</v>
      </c>
      <c r="AB2438" s="1" t="s">
        <v>46</v>
      </c>
      <c r="AC2438" s="5">
        <v>2180</v>
      </c>
      <c r="AD2438" s="1" t="s">
        <v>5701</v>
      </c>
      <c r="AE2438" s="1" t="str">
        <f t="shared" si="175"/>
        <v>55126 CT02</v>
      </c>
      <c r="AF2438" s="5" t="str">
        <f t="shared" si="176"/>
        <v>289</v>
      </c>
      <c r="AG2438" s="1" t="str">
        <f t="shared" si="174"/>
        <v>Y</v>
      </c>
    </row>
    <row r="2439" spans="1:33" x14ac:dyDescent="0.2">
      <c r="A2439" s="1" t="s">
        <v>516</v>
      </c>
      <c r="B2439" s="1" t="s">
        <v>5702</v>
      </c>
      <c r="C2439" s="1">
        <v>55127</v>
      </c>
      <c r="D2439" s="1" t="s">
        <v>311</v>
      </c>
      <c r="F2439" s="1">
        <v>2023</v>
      </c>
      <c r="G2439" s="1" t="s">
        <v>247</v>
      </c>
      <c r="H2439" s="1">
        <v>608791</v>
      </c>
      <c r="I2439" s="1">
        <v>8</v>
      </c>
      <c r="J2439" s="1" t="s">
        <v>237</v>
      </c>
      <c r="K2439" s="1" t="s">
        <v>1098</v>
      </c>
      <c r="L2439" s="1" t="s">
        <v>3707</v>
      </c>
      <c r="M2439" s="1">
        <v>87</v>
      </c>
      <c r="N2439" s="1" t="s">
        <v>39</v>
      </c>
      <c r="O2439" s="1">
        <v>40.220100000000002</v>
      </c>
      <c r="P2439" s="1">
        <v>-103.679</v>
      </c>
      <c r="Q2439" s="1" t="s">
        <v>519</v>
      </c>
      <c r="R2439" s="1" t="s">
        <v>41</v>
      </c>
      <c r="T2439" s="1" t="s">
        <v>93</v>
      </c>
      <c r="U2439" s="1" t="s">
        <v>44</v>
      </c>
      <c r="X2439" s="1" t="s">
        <v>140</v>
      </c>
      <c r="AA2439" s="3">
        <v>36721</v>
      </c>
      <c r="AB2439" s="1" t="s">
        <v>46</v>
      </c>
      <c r="AC2439" s="5">
        <v>1520</v>
      </c>
      <c r="AD2439" s="1" t="s">
        <v>5703</v>
      </c>
      <c r="AE2439" s="1" t="str">
        <f t="shared" si="175"/>
        <v>55127 CT1</v>
      </c>
      <c r="AF2439" s="5" t="str">
        <f t="shared" si="176"/>
        <v>142</v>
      </c>
      <c r="AG2439" s="1" t="str">
        <f t="shared" si="174"/>
        <v/>
      </c>
    </row>
    <row r="2440" spans="1:33" x14ac:dyDescent="0.2">
      <c r="A2440" s="1" t="s">
        <v>516</v>
      </c>
      <c r="B2440" s="1" t="s">
        <v>5702</v>
      </c>
      <c r="C2440" s="1">
        <v>55127</v>
      </c>
      <c r="D2440" s="1" t="s">
        <v>98</v>
      </c>
      <c r="F2440" s="1">
        <v>2023</v>
      </c>
      <c r="G2440" s="1" t="s">
        <v>247</v>
      </c>
      <c r="H2440" s="1">
        <v>608791</v>
      </c>
      <c r="I2440" s="1">
        <v>8</v>
      </c>
      <c r="J2440" s="1" t="s">
        <v>237</v>
      </c>
      <c r="K2440" s="1" t="s">
        <v>1098</v>
      </c>
      <c r="L2440" s="1" t="s">
        <v>3707</v>
      </c>
      <c r="M2440" s="1">
        <v>87</v>
      </c>
      <c r="N2440" s="1" t="s">
        <v>39</v>
      </c>
      <c r="O2440" s="1">
        <v>40.220100000000002</v>
      </c>
      <c r="P2440" s="1">
        <v>-103.679</v>
      </c>
      <c r="Q2440" s="1" t="s">
        <v>519</v>
      </c>
      <c r="R2440" s="1" t="s">
        <v>41</v>
      </c>
      <c r="T2440" s="1" t="s">
        <v>93</v>
      </c>
      <c r="U2440" s="1" t="s">
        <v>44</v>
      </c>
      <c r="X2440" s="1" t="s">
        <v>140</v>
      </c>
      <c r="AA2440" s="3">
        <v>36728</v>
      </c>
      <c r="AB2440" s="1" t="s">
        <v>46</v>
      </c>
      <c r="AC2440" s="5">
        <v>1553</v>
      </c>
      <c r="AD2440" s="1" t="s">
        <v>5704</v>
      </c>
      <c r="AE2440" s="1" t="str">
        <f t="shared" si="175"/>
        <v>55127 CT2</v>
      </c>
      <c r="AF2440" s="5" t="str">
        <f t="shared" si="176"/>
        <v>142</v>
      </c>
      <c r="AG2440" s="1" t="str">
        <f t="shared" si="174"/>
        <v/>
      </c>
    </row>
    <row r="2441" spans="1:33" x14ac:dyDescent="0.2">
      <c r="A2441" s="1" t="s">
        <v>921</v>
      </c>
      <c r="B2441" s="1" t="s">
        <v>5705</v>
      </c>
      <c r="C2441" s="1">
        <v>55128</v>
      </c>
      <c r="D2441" s="1" t="s">
        <v>5642</v>
      </c>
      <c r="F2441" s="1">
        <v>2023</v>
      </c>
      <c r="G2441" s="1" t="s">
        <v>952</v>
      </c>
      <c r="H2441" s="1">
        <v>606323</v>
      </c>
      <c r="I2441" s="1">
        <v>4</v>
      </c>
      <c r="K2441" s="1" t="s">
        <v>4215</v>
      </c>
      <c r="L2441" s="1" t="s">
        <v>4216</v>
      </c>
      <c r="M2441" s="1">
        <v>297</v>
      </c>
      <c r="N2441" s="1" t="s">
        <v>39</v>
      </c>
      <c r="O2441" s="1">
        <v>33.814700000000002</v>
      </c>
      <c r="P2441" s="1">
        <v>-83.696899999999999</v>
      </c>
      <c r="Q2441" s="1" t="s">
        <v>5706</v>
      </c>
      <c r="R2441" s="1" t="s">
        <v>41</v>
      </c>
      <c r="T2441" s="1" t="s">
        <v>93</v>
      </c>
      <c r="U2441" s="1" t="s">
        <v>44</v>
      </c>
      <c r="X2441" s="1" t="s">
        <v>140</v>
      </c>
      <c r="AA2441" s="3">
        <v>37004</v>
      </c>
      <c r="AB2441" s="1" t="s">
        <v>46</v>
      </c>
      <c r="AC2441" s="5">
        <v>1809</v>
      </c>
      <c r="AD2441" s="1" t="s">
        <v>5707</v>
      </c>
      <c r="AE2441" s="1" t="str">
        <f t="shared" si="175"/>
        <v>55128 T1</v>
      </c>
      <c r="AF2441" s="5" t="str">
        <f t="shared" si="176"/>
        <v>176</v>
      </c>
      <c r="AG2441" s="1" t="str">
        <f t="shared" si="174"/>
        <v/>
      </c>
    </row>
    <row r="2442" spans="1:33" x14ac:dyDescent="0.2">
      <c r="A2442" s="1" t="s">
        <v>921</v>
      </c>
      <c r="B2442" s="1" t="s">
        <v>5705</v>
      </c>
      <c r="C2442" s="1">
        <v>55128</v>
      </c>
      <c r="D2442" s="1" t="s">
        <v>5647</v>
      </c>
      <c r="F2442" s="1">
        <v>2023</v>
      </c>
      <c r="G2442" s="1" t="s">
        <v>952</v>
      </c>
      <c r="H2442" s="1">
        <v>606323</v>
      </c>
      <c r="I2442" s="1">
        <v>4</v>
      </c>
      <c r="K2442" s="1" t="s">
        <v>4215</v>
      </c>
      <c r="L2442" s="1" t="s">
        <v>4216</v>
      </c>
      <c r="M2442" s="1">
        <v>297</v>
      </c>
      <c r="N2442" s="1" t="s">
        <v>39</v>
      </c>
      <c r="O2442" s="1">
        <v>33.814700000000002</v>
      </c>
      <c r="P2442" s="1">
        <v>-83.696899999999999</v>
      </c>
      <c r="Q2442" s="1" t="s">
        <v>5706</v>
      </c>
      <c r="R2442" s="1" t="s">
        <v>41</v>
      </c>
      <c r="T2442" s="1" t="s">
        <v>93</v>
      </c>
      <c r="U2442" s="1" t="s">
        <v>44</v>
      </c>
      <c r="X2442" s="1" t="s">
        <v>140</v>
      </c>
      <c r="AA2442" s="3">
        <v>37016</v>
      </c>
      <c r="AB2442" s="1" t="s">
        <v>46</v>
      </c>
      <c r="AC2442" s="5">
        <v>1809</v>
      </c>
      <c r="AD2442" s="1" t="s">
        <v>5708</v>
      </c>
      <c r="AE2442" s="1" t="str">
        <f t="shared" si="175"/>
        <v>55128 T2</v>
      </c>
      <c r="AF2442" s="5" t="str">
        <f t="shared" si="176"/>
        <v>176</v>
      </c>
      <c r="AG2442" s="1" t="str">
        <f t="shared" si="174"/>
        <v/>
      </c>
    </row>
    <row r="2443" spans="1:33" x14ac:dyDescent="0.2">
      <c r="A2443" s="1" t="s">
        <v>921</v>
      </c>
      <c r="B2443" s="1" t="s">
        <v>5705</v>
      </c>
      <c r="C2443" s="1">
        <v>55128</v>
      </c>
      <c r="D2443" s="1" t="s">
        <v>5649</v>
      </c>
      <c r="F2443" s="1">
        <v>2023</v>
      </c>
      <c r="G2443" s="1" t="s">
        <v>952</v>
      </c>
      <c r="H2443" s="1">
        <v>606323</v>
      </c>
      <c r="I2443" s="1">
        <v>4</v>
      </c>
      <c r="K2443" s="1" t="s">
        <v>4215</v>
      </c>
      <c r="L2443" s="1" t="s">
        <v>4216</v>
      </c>
      <c r="M2443" s="1">
        <v>297</v>
      </c>
      <c r="N2443" s="1" t="s">
        <v>39</v>
      </c>
      <c r="O2443" s="1">
        <v>33.814700000000002</v>
      </c>
      <c r="P2443" s="1">
        <v>-83.696899999999999</v>
      </c>
      <c r="Q2443" s="1" t="s">
        <v>5706</v>
      </c>
      <c r="R2443" s="1" t="s">
        <v>41</v>
      </c>
      <c r="T2443" s="1" t="s">
        <v>93</v>
      </c>
      <c r="U2443" s="1" t="s">
        <v>44</v>
      </c>
      <c r="X2443" s="1" t="s">
        <v>140</v>
      </c>
      <c r="AA2443" s="3">
        <v>37036</v>
      </c>
      <c r="AB2443" s="1" t="s">
        <v>46</v>
      </c>
      <c r="AC2443" s="5">
        <v>1809</v>
      </c>
      <c r="AD2443" s="1" t="s">
        <v>5709</v>
      </c>
      <c r="AE2443" s="1" t="str">
        <f t="shared" si="175"/>
        <v>55128 T3</v>
      </c>
      <c r="AF2443" s="5" t="str">
        <f t="shared" si="176"/>
        <v>176</v>
      </c>
      <c r="AG2443" s="1" t="str">
        <f t="shared" si="174"/>
        <v/>
      </c>
    </row>
    <row r="2444" spans="1:33" x14ac:dyDescent="0.2">
      <c r="A2444" s="1" t="s">
        <v>234</v>
      </c>
      <c r="B2444" s="1" t="s">
        <v>5710</v>
      </c>
      <c r="C2444" s="1">
        <v>55129</v>
      </c>
      <c r="D2444" s="1" t="s">
        <v>5711</v>
      </c>
      <c r="F2444" s="1">
        <v>2023</v>
      </c>
      <c r="G2444" s="1" t="s">
        <v>247</v>
      </c>
      <c r="H2444" s="1">
        <v>608572</v>
      </c>
      <c r="I2444" s="1">
        <v>9</v>
      </c>
      <c r="K2444" s="1" t="s">
        <v>268</v>
      </c>
      <c r="L2444" s="1" t="s">
        <v>269</v>
      </c>
      <c r="M2444" s="1">
        <v>21</v>
      </c>
      <c r="N2444" s="1" t="s">
        <v>39</v>
      </c>
      <c r="O2444" s="1">
        <v>32.904200000000003</v>
      </c>
      <c r="P2444" s="1">
        <v>-111.7889</v>
      </c>
      <c r="Q2444" s="1" t="s">
        <v>316</v>
      </c>
      <c r="R2444" s="1" t="s">
        <v>41</v>
      </c>
      <c r="T2444" s="1" t="s">
        <v>71</v>
      </c>
      <c r="U2444" s="1" t="s">
        <v>44</v>
      </c>
      <c r="X2444" s="1" t="s">
        <v>223</v>
      </c>
      <c r="AA2444" s="3">
        <v>37149</v>
      </c>
      <c r="AB2444" s="1" t="s">
        <v>46</v>
      </c>
      <c r="AC2444" s="5">
        <v>2500</v>
      </c>
      <c r="AD2444" s="1" t="s">
        <v>5712</v>
      </c>
      <c r="AE2444" s="1" t="str">
        <f t="shared" si="175"/>
        <v>55129 DBG1</v>
      </c>
      <c r="AF2444" s="14">
        <f>AF2445</f>
        <v>323.05</v>
      </c>
      <c r="AG2444" s="1" t="str">
        <f t="shared" si="174"/>
        <v>Y</v>
      </c>
    </row>
    <row r="2445" spans="1:33" x14ac:dyDescent="0.2">
      <c r="A2445" s="1" t="s">
        <v>234</v>
      </c>
      <c r="B2445" s="1" t="s">
        <v>5710</v>
      </c>
      <c r="C2445" s="1">
        <v>55129</v>
      </c>
      <c r="D2445" s="1" t="s">
        <v>5713</v>
      </c>
      <c r="F2445" s="1">
        <v>2023</v>
      </c>
      <c r="G2445" s="1" t="s">
        <v>247</v>
      </c>
      <c r="H2445" s="1">
        <v>608572</v>
      </c>
      <c r="I2445" s="1">
        <v>9</v>
      </c>
      <c r="K2445" s="1" t="s">
        <v>268</v>
      </c>
      <c r="L2445" s="1" t="s">
        <v>269</v>
      </c>
      <c r="M2445" s="1">
        <v>21</v>
      </c>
      <c r="N2445" s="1" t="s">
        <v>39</v>
      </c>
      <c r="O2445" s="1">
        <v>32.904200000000003</v>
      </c>
      <c r="P2445" s="1">
        <v>-111.7889</v>
      </c>
      <c r="Q2445" s="1" t="s">
        <v>316</v>
      </c>
      <c r="R2445" s="1" t="s">
        <v>41</v>
      </c>
      <c r="T2445" s="1" t="s">
        <v>71</v>
      </c>
      <c r="U2445" s="1" t="s">
        <v>44</v>
      </c>
      <c r="X2445" s="1" t="s">
        <v>223</v>
      </c>
      <c r="AA2445" s="3">
        <v>37149</v>
      </c>
      <c r="AB2445" s="1" t="s">
        <v>46</v>
      </c>
      <c r="AC2445" s="5">
        <v>2500</v>
      </c>
      <c r="AD2445" s="1" t="s">
        <v>5714</v>
      </c>
      <c r="AE2445" s="1" t="str">
        <f t="shared" si="175"/>
        <v>55129 DBG2</v>
      </c>
      <c r="AF2445" s="14">
        <f>MID(AD2445,FIND("(",AD2445)+1,FIND(")",AD2445)-FIND("(",AD2445)-1)+272.1/2</f>
        <v>323.05</v>
      </c>
      <c r="AG2445" s="1" t="str">
        <f t="shared" si="174"/>
        <v>Y</v>
      </c>
    </row>
    <row r="2446" spans="1:33" x14ac:dyDescent="0.2">
      <c r="A2446" s="1" t="s">
        <v>234</v>
      </c>
      <c r="B2446" s="1" t="s">
        <v>5710</v>
      </c>
      <c r="C2446" s="1">
        <v>55129</v>
      </c>
      <c r="D2446" s="1" t="s">
        <v>5715</v>
      </c>
      <c r="F2446" s="1">
        <v>2023</v>
      </c>
      <c r="G2446" s="1" t="s">
        <v>247</v>
      </c>
      <c r="H2446" s="1">
        <v>608572</v>
      </c>
      <c r="I2446" s="1">
        <v>9</v>
      </c>
      <c r="K2446" s="1" t="s">
        <v>268</v>
      </c>
      <c r="L2446" s="1" t="s">
        <v>269</v>
      </c>
      <c r="M2446" s="1">
        <v>21</v>
      </c>
      <c r="N2446" s="1" t="s">
        <v>39</v>
      </c>
      <c r="O2446" s="1">
        <v>32.904200000000003</v>
      </c>
      <c r="P2446" s="1">
        <v>-111.7889</v>
      </c>
      <c r="Q2446" s="1" t="s">
        <v>316</v>
      </c>
      <c r="R2446" s="1" t="s">
        <v>41</v>
      </c>
      <c r="T2446" s="1" t="s">
        <v>93</v>
      </c>
      <c r="U2446" s="1" t="s">
        <v>44</v>
      </c>
      <c r="X2446" s="1" t="s">
        <v>176</v>
      </c>
      <c r="AA2446" s="3">
        <v>44791</v>
      </c>
      <c r="AB2446" s="1" t="s">
        <v>46</v>
      </c>
      <c r="AC2446" s="5">
        <v>435.2</v>
      </c>
      <c r="AD2446" s="1" t="s">
        <v>5716</v>
      </c>
      <c r="AE2446" s="1" t="str">
        <f t="shared" si="175"/>
        <v>55129 DBG4</v>
      </c>
      <c r="AF2446" s="5" t="str">
        <f>MID(AD2446,FIND("(",AD2446)+1,FIND(")",AD2446)-FIND("(",AD2446)-1)</f>
        <v>49.5</v>
      </c>
      <c r="AG2446" s="1" t="str">
        <f t="shared" si="174"/>
        <v>Y</v>
      </c>
    </row>
    <row r="2447" spans="1:33" x14ac:dyDescent="0.2">
      <c r="A2447" s="1" t="s">
        <v>234</v>
      </c>
      <c r="B2447" s="1" t="s">
        <v>5710</v>
      </c>
      <c r="C2447" s="1">
        <v>55129</v>
      </c>
      <c r="D2447" s="1" t="s">
        <v>5717</v>
      </c>
      <c r="F2447" s="1">
        <v>2023</v>
      </c>
      <c r="G2447" s="1" t="s">
        <v>247</v>
      </c>
      <c r="H2447" s="1">
        <v>608572</v>
      </c>
      <c r="I2447" s="1">
        <v>9</v>
      </c>
      <c r="K2447" s="1" t="s">
        <v>268</v>
      </c>
      <c r="L2447" s="1" t="s">
        <v>269</v>
      </c>
      <c r="M2447" s="1">
        <v>21</v>
      </c>
      <c r="N2447" s="1" t="s">
        <v>39</v>
      </c>
      <c r="O2447" s="1">
        <v>32.904200000000003</v>
      </c>
      <c r="P2447" s="1">
        <v>-111.7889</v>
      </c>
      <c r="Q2447" s="1" t="s">
        <v>316</v>
      </c>
      <c r="R2447" s="1" t="s">
        <v>41</v>
      </c>
      <c r="T2447" s="1" t="s">
        <v>93</v>
      </c>
      <c r="U2447" s="1" t="s">
        <v>44</v>
      </c>
      <c r="X2447" s="1" t="s">
        <v>176</v>
      </c>
      <c r="AA2447" s="3">
        <v>44771</v>
      </c>
      <c r="AB2447" s="1" t="s">
        <v>46</v>
      </c>
      <c r="AC2447" s="5">
        <v>435.2</v>
      </c>
      <c r="AD2447" s="1" t="s">
        <v>5718</v>
      </c>
      <c r="AE2447" s="1" t="str">
        <f t="shared" si="175"/>
        <v>55129 DBG5</v>
      </c>
      <c r="AF2447" s="5" t="str">
        <f>MID(AD2447,FIND("(",AD2447)+1,FIND(")",AD2447)-FIND("(",AD2447)-1)</f>
        <v>49.5</v>
      </c>
      <c r="AG2447" s="1" t="str">
        <f t="shared" si="174"/>
        <v>Y</v>
      </c>
    </row>
    <row r="2448" spans="1:33" x14ac:dyDescent="0.2">
      <c r="A2448" s="1" t="s">
        <v>458</v>
      </c>
      <c r="B2448" s="1" t="s">
        <v>5719</v>
      </c>
      <c r="C2448" s="1">
        <v>55131</v>
      </c>
      <c r="D2448" s="1" t="s">
        <v>5720</v>
      </c>
      <c r="F2448" s="1">
        <v>2023</v>
      </c>
      <c r="G2448" s="1" t="s">
        <v>461</v>
      </c>
      <c r="H2448" s="1">
        <v>603383</v>
      </c>
      <c r="I2448" s="1">
        <v>5</v>
      </c>
      <c r="K2448" s="1" t="s">
        <v>5721</v>
      </c>
      <c r="L2448" s="1" t="s">
        <v>5722</v>
      </c>
      <c r="M2448" s="1">
        <v>93</v>
      </c>
      <c r="N2448" s="1" t="s">
        <v>39</v>
      </c>
      <c r="O2448" s="1">
        <v>41.479700000000001</v>
      </c>
      <c r="P2448" s="1">
        <v>-88.258099999999999</v>
      </c>
      <c r="Q2448" s="1" t="s">
        <v>5723</v>
      </c>
      <c r="R2448" s="1" t="s">
        <v>41</v>
      </c>
      <c r="T2448" s="1" t="s">
        <v>71</v>
      </c>
      <c r="U2448" s="1" t="s">
        <v>44</v>
      </c>
      <c r="X2448" s="1" t="s">
        <v>2685</v>
      </c>
      <c r="AA2448" s="3">
        <v>37216</v>
      </c>
      <c r="AB2448" s="1" t="s">
        <v>46</v>
      </c>
      <c r="AC2448" s="5">
        <v>2500</v>
      </c>
      <c r="AD2448" s="1" t="s">
        <v>5724</v>
      </c>
      <c r="AE2448" s="1" t="str">
        <f t="shared" si="175"/>
        <v>55131 GTG-1</v>
      </c>
      <c r="AF2448" s="14">
        <f>MID(AD2448,FIND("(",AD2448)+1,FIND(")",AD2448)-FIND("(",AD2448)-1)+133</f>
        <v>313</v>
      </c>
      <c r="AG2448" s="1" t="str">
        <f t="shared" si="174"/>
        <v>Y</v>
      </c>
    </row>
    <row r="2449" spans="1:33" x14ac:dyDescent="0.2">
      <c r="A2449" s="1" t="s">
        <v>458</v>
      </c>
      <c r="B2449" s="1" t="s">
        <v>5719</v>
      </c>
      <c r="C2449" s="1">
        <v>55131</v>
      </c>
      <c r="D2449" s="1" t="s">
        <v>5725</v>
      </c>
      <c r="F2449" s="1">
        <v>2023</v>
      </c>
      <c r="G2449" s="1" t="s">
        <v>461</v>
      </c>
      <c r="H2449" s="1">
        <v>603383</v>
      </c>
      <c r="I2449" s="1">
        <v>5</v>
      </c>
      <c r="K2449" s="1" t="s">
        <v>5721</v>
      </c>
      <c r="L2449" s="1" t="s">
        <v>5722</v>
      </c>
      <c r="M2449" s="1">
        <v>93</v>
      </c>
      <c r="N2449" s="1" t="s">
        <v>39</v>
      </c>
      <c r="O2449" s="1">
        <v>41.479700000000001</v>
      </c>
      <c r="P2449" s="1">
        <v>-88.258099999999999</v>
      </c>
      <c r="Q2449" s="1" t="s">
        <v>5723</v>
      </c>
      <c r="R2449" s="1" t="s">
        <v>41</v>
      </c>
      <c r="T2449" s="1" t="s">
        <v>71</v>
      </c>
      <c r="U2449" s="1" t="s">
        <v>44</v>
      </c>
      <c r="X2449" s="1" t="s">
        <v>2685</v>
      </c>
      <c r="AA2449" s="3">
        <v>37284</v>
      </c>
      <c r="AB2449" s="1" t="s">
        <v>46</v>
      </c>
      <c r="AC2449" s="5">
        <v>2500</v>
      </c>
      <c r="AD2449" s="1" t="s">
        <v>5726</v>
      </c>
      <c r="AE2449" s="1" t="str">
        <f t="shared" si="175"/>
        <v>55131 GTG-2</v>
      </c>
      <c r="AF2449" s="14">
        <f>MID(AD2449,FIND("(",AD2449)+1,FIND(")",AD2449)-FIND("(",AD2449)-1)+133</f>
        <v>313</v>
      </c>
      <c r="AG2449" s="1" t="str">
        <f t="shared" si="174"/>
        <v>Y</v>
      </c>
    </row>
    <row r="2450" spans="1:33" x14ac:dyDescent="0.2">
      <c r="A2450" s="1" t="s">
        <v>458</v>
      </c>
      <c r="B2450" s="1" t="s">
        <v>5719</v>
      </c>
      <c r="C2450" s="1">
        <v>55131</v>
      </c>
      <c r="D2450" s="1" t="s">
        <v>5727</v>
      </c>
      <c r="F2450" s="1">
        <v>2023</v>
      </c>
      <c r="G2450" s="1" t="s">
        <v>461</v>
      </c>
      <c r="H2450" s="1">
        <v>603383</v>
      </c>
      <c r="I2450" s="1">
        <v>5</v>
      </c>
      <c r="K2450" s="1" t="s">
        <v>5721</v>
      </c>
      <c r="L2450" s="1" t="s">
        <v>5722</v>
      </c>
      <c r="M2450" s="1">
        <v>93</v>
      </c>
      <c r="N2450" s="1" t="s">
        <v>39</v>
      </c>
      <c r="O2450" s="1">
        <v>41.479700000000001</v>
      </c>
      <c r="P2450" s="1">
        <v>-88.258099999999999</v>
      </c>
      <c r="Q2450" s="1" t="s">
        <v>5723</v>
      </c>
      <c r="R2450" s="1" t="s">
        <v>41</v>
      </c>
      <c r="T2450" s="1" t="s">
        <v>71</v>
      </c>
      <c r="U2450" s="1" t="s">
        <v>44</v>
      </c>
      <c r="X2450" s="1" t="s">
        <v>2685</v>
      </c>
      <c r="AA2450" s="3">
        <v>37300</v>
      </c>
      <c r="AB2450" s="1" t="s">
        <v>46</v>
      </c>
      <c r="AC2450" s="5">
        <v>2500</v>
      </c>
      <c r="AD2450" s="1" t="s">
        <v>5728</v>
      </c>
      <c r="AE2450" s="1" t="str">
        <f t="shared" si="175"/>
        <v>55131 GTG-3</v>
      </c>
      <c r="AF2450" s="14">
        <f>MID(AD2450,FIND("(",AD2450)+1,FIND(")",AD2450)-FIND("(",AD2450)-1)+180</f>
        <v>313</v>
      </c>
      <c r="AG2450" s="1" t="str">
        <f t="shared" si="174"/>
        <v>Y</v>
      </c>
    </row>
    <row r="2451" spans="1:33" x14ac:dyDescent="0.2">
      <c r="A2451" s="1" t="s">
        <v>458</v>
      </c>
      <c r="B2451" s="1" t="s">
        <v>5719</v>
      </c>
      <c r="C2451" s="1">
        <v>55131</v>
      </c>
      <c r="D2451" s="1" t="s">
        <v>5729</v>
      </c>
      <c r="F2451" s="1">
        <v>2023</v>
      </c>
      <c r="G2451" s="1" t="s">
        <v>461</v>
      </c>
      <c r="H2451" s="1">
        <v>603383</v>
      </c>
      <c r="I2451" s="1">
        <v>5</v>
      </c>
      <c r="K2451" s="1" t="s">
        <v>5721</v>
      </c>
      <c r="L2451" s="1" t="s">
        <v>5722</v>
      </c>
      <c r="M2451" s="1">
        <v>93</v>
      </c>
      <c r="N2451" s="1" t="s">
        <v>39</v>
      </c>
      <c r="O2451" s="1">
        <v>41.479700000000001</v>
      </c>
      <c r="P2451" s="1">
        <v>-88.258099999999999</v>
      </c>
      <c r="Q2451" s="1" t="s">
        <v>5723</v>
      </c>
      <c r="R2451" s="1" t="s">
        <v>41</v>
      </c>
      <c r="T2451" s="1" t="s">
        <v>71</v>
      </c>
      <c r="U2451" s="1" t="s">
        <v>44</v>
      </c>
      <c r="X2451" s="1" t="s">
        <v>2685</v>
      </c>
      <c r="AA2451" s="3">
        <v>37328</v>
      </c>
      <c r="AB2451" s="1" t="s">
        <v>46</v>
      </c>
      <c r="AC2451" s="5">
        <v>2500</v>
      </c>
      <c r="AD2451" s="1" t="s">
        <v>5730</v>
      </c>
      <c r="AE2451" s="1" t="str">
        <f t="shared" si="175"/>
        <v>55131 GTG-4</v>
      </c>
      <c r="AF2451" s="14">
        <f>MID(AD2451,FIND("(",AD2451)+1,FIND(")",AD2451)-FIND("(",AD2451)-1)+133</f>
        <v>313</v>
      </c>
      <c r="AG2451" s="1" t="str">
        <f t="shared" si="174"/>
        <v>Y</v>
      </c>
    </row>
    <row r="2452" spans="1:33" x14ac:dyDescent="0.2">
      <c r="A2452" s="1" t="s">
        <v>383</v>
      </c>
      <c r="B2452" s="1" t="s">
        <v>5731</v>
      </c>
      <c r="C2452" s="1">
        <v>55132</v>
      </c>
      <c r="D2452" s="1" t="s">
        <v>5732</v>
      </c>
      <c r="F2452" s="1">
        <v>2023</v>
      </c>
      <c r="G2452" s="1" t="s">
        <v>346</v>
      </c>
      <c r="H2452" s="1">
        <v>604188</v>
      </c>
      <c r="I2452" s="1">
        <v>6</v>
      </c>
      <c r="K2452" s="1" t="s">
        <v>3588</v>
      </c>
      <c r="L2452" s="1" t="s">
        <v>3589</v>
      </c>
      <c r="M2452" s="1">
        <v>401</v>
      </c>
      <c r="N2452" s="1" t="s">
        <v>39</v>
      </c>
      <c r="O2452" s="1">
        <v>32.016399999999997</v>
      </c>
      <c r="P2452" s="1">
        <v>-94.618899999999996</v>
      </c>
      <c r="Q2452" s="1" t="s">
        <v>5733</v>
      </c>
      <c r="R2452" s="1" t="s">
        <v>41</v>
      </c>
      <c r="T2452" s="1" t="s">
        <v>71</v>
      </c>
      <c r="U2452" s="1" t="s">
        <v>44</v>
      </c>
      <c r="V2452" s="1" t="s">
        <v>94</v>
      </c>
      <c r="X2452" s="1" t="s">
        <v>140</v>
      </c>
      <c r="AA2452" s="3">
        <v>36991</v>
      </c>
      <c r="AB2452" s="1" t="s">
        <v>46</v>
      </c>
      <c r="AC2452" s="5">
        <v>2405</v>
      </c>
      <c r="AD2452" s="1" t="s">
        <v>5734</v>
      </c>
      <c r="AE2452" s="1" t="str">
        <f t="shared" si="175"/>
        <v>55132 OGTDB1</v>
      </c>
      <c r="AF2452" s="14">
        <f>AF2454</f>
        <v>313.2</v>
      </c>
      <c r="AG2452" s="1" t="str">
        <f t="shared" si="174"/>
        <v/>
      </c>
    </row>
    <row r="2453" spans="1:33" x14ac:dyDescent="0.2">
      <c r="A2453" s="1" t="s">
        <v>383</v>
      </c>
      <c r="B2453" s="1" t="s">
        <v>5731</v>
      </c>
      <c r="C2453" s="1">
        <v>55132</v>
      </c>
      <c r="D2453" s="1" t="s">
        <v>5735</v>
      </c>
      <c r="F2453" s="1">
        <v>2023</v>
      </c>
      <c r="G2453" s="1" t="s">
        <v>346</v>
      </c>
      <c r="H2453" s="1">
        <v>604188</v>
      </c>
      <c r="I2453" s="1">
        <v>6</v>
      </c>
      <c r="K2453" s="1" t="s">
        <v>3588</v>
      </c>
      <c r="L2453" s="1" t="s">
        <v>3589</v>
      </c>
      <c r="M2453" s="1">
        <v>401</v>
      </c>
      <c r="N2453" s="1" t="s">
        <v>39</v>
      </c>
      <c r="O2453" s="1">
        <v>32.016399999999997</v>
      </c>
      <c r="P2453" s="1">
        <v>-94.618899999999996</v>
      </c>
      <c r="Q2453" s="1" t="s">
        <v>5733</v>
      </c>
      <c r="R2453" s="1" t="s">
        <v>41</v>
      </c>
      <c r="T2453" s="1" t="s">
        <v>71</v>
      </c>
      <c r="U2453" s="1" t="s">
        <v>44</v>
      </c>
      <c r="V2453" s="1" t="s">
        <v>94</v>
      </c>
      <c r="X2453" s="1" t="s">
        <v>140</v>
      </c>
      <c r="AA2453" s="3">
        <v>37003</v>
      </c>
      <c r="AB2453" s="1" t="s">
        <v>46</v>
      </c>
      <c r="AC2453" s="5">
        <v>2405</v>
      </c>
      <c r="AD2453" s="1" t="s">
        <v>5736</v>
      </c>
      <c r="AE2453" s="1" t="str">
        <f t="shared" si="175"/>
        <v>55132 OGTDB2</v>
      </c>
      <c r="AF2453" s="14">
        <f>AF2454</f>
        <v>313.2</v>
      </c>
      <c r="AG2453" s="1" t="str">
        <f t="shared" si="174"/>
        <v/>
      </c>
    </row>
    <row r="2454" spans="1:33" x14ac:dyDescent="0.2">
      <c r="A2454" s="1" t="s">
        <v>383</v>
      </c>
      <c r="B2454" s="1" t="s">
        <v>5731</v>
      </c>
      <c r="C2454" s="1">
        <v>55132</v>
      </c>
      <c r="D2454" s="1" t="s">
        <v>5737</v>
      </c>
      <c r="F2454" s="1">
        <v>2023</v>
      </c>
      <c r="G2454" s="1" t="s">
        <v>346</v>
      </c>
      <c r="H2454" s="1">
        <v>604188</v>
      </c>
      <c r="I2454" s="1">
        <v>6</v>
      </c>
      <c r="K2454" s="1" t="s">
        <v>3588</v>
      </c>
      <c r="L2454" s="1" t="s">
        <v>3589</v>
      </c>
      <c r="M2454" s="1">
        <v>401</v>
      </c>
      <c r="N2454" s="1" t="s">
        <v>39</v>
      </c>
      <c r="O2454" s="1">
        <v>32.016399999999997</v>
      </c>
      <c r="P2454" s="1">
        <v>-94.618899999999996</v>
      </c>
      <c r="Q2454" s="1" t="s">
        <v>5733</v>
      </c>
      <c r="R2454" s="1" t="s">
        <v>41</v>
      </c>
      <c r="T2454" s="1" t="s">
        <v>71</v>
      </c>
      <c r="U2454" s="1" t="s">
        <v>44</v>
      </c>
      <c r="V2454" s="1" t="s">
        <v>94</v>
      </c>
      <c r="X2454" s="1" t="s">
        <v>140</v>
      </c>
      <c r="AA2454" s="3">
        <v>37011</v>
      </c>
      <c r="AB2454" s="1" t="s">
        <v>46</v>
      </c>
      <c r="AC2454" s="5">
        <v>2405</v>
      </c>
      <c r="AD2454" s="1" t="s">
        <v>5738</v>
      </c>
      <c r="AE2454" s="1" t="str">
        <f t="shared" si="175"/>
        <v>55132 OGTDB3</v>
      </c>
      <c r="AF2454" s="14">
        <f>MID(AD2454,FIND("(",AD2454)+1,FIND(")",AD2454)-FIND("(",AD2454)-1)+390/3</f>
        <v>313.2</v>
      </c>
      <c r="AG2454" s="1" t="str">
        <f t="shared" si="174"/>
        <v/>
      </c>
    </row>
    <row r="2455" spans="1:33" x14ac:dyDescent="0.2">
      <c r="A2455" s="1" t="s">
        <v>3167</v>
      </c>
      <c r="B2455" s="1" t="s">
        <v>5739</v>
      </c>
      <c r="C2455" s="1">
        <v>55135</v>
      </c>
      <c r="D2455" s="1" t="s">
        <v>993</v>
      </c>
      <c r="F2455" s="1">
        <v>2023</v>
      </c>
      <c r="G2455" s="1" t="s">
        <v>461</v>
      </c>
      <c r="H2455" s="1">
        <v>608055</v>
      </c>
      <c r="I2455" s="1">
        <v>5</v>
      </c>
      <c r="K2455" s="1" t="s">
        <v>5740</v>
      </c>
      <c r="L2455" s="1" t="s">
        <v>5741</v>
      </c>
      <c r="M2455" s="1">
        <v>139</v>
      </c>
      <c r="N2455" s="1" t="s">
        <v>39</v>
      </c>
      <c r="O2455" s="1">
        <v>44.193399999999997</v>
      </c>
      <c r="P2455" s="1">
        <v>-88.505499999999998</v>
      </c>
      <c r="Q2455" s="1" t="s">
        <v>3214</v>
      </c>
      <c r="R2455" s="1" t="s">
        <v>41</v>
      </c>
      <c r="T2455" s="1" t="s">
        <v>93</v>
      </c>
      <c r="U2455" s="1" t="s">
        <v>44</v>
      </c>
      <c r="X2455" s="1" t="s">
        <v>140</v>
      </c>
      <c r="AA2455" s="3">
        <v>36617</v>
      </c>
      <c r="AB2455" s="1" t="s">
        <v>46</v>
      </c>
      <c r="AC2455" s="5">
        <v>1897</v>
      </c>
      <c r="AD2455" s="1" t="s">
        <v>5742</v>
      </c>
      <c r="AE2455" s="1" t="str">
        <f t="shared" si="175"/>
        <v>55135 CT01</v>
      </c>
      <c r="AF2455" s="5" t="str">
        <f>MID(AD2455,FIND("(",AD2455)+1,FIND(")",AD2455)-FIND("(",AD2455)-1)</f>
        <v>186.6</v>
      </c>
      <c r="AG2455" s="1" t="str">
        <f t="shared" si="174"/>
        <v/>
      </c>
    </row>
    <row r="2456" spans="1:33" x14ac:dyDescent="0.2">
      <c r="A2456" s="1" t="s">
        <v>3167</v>
      </c>
      <c r="B2456" s="1" t="s">
        <v>5739</v>
      </c>
      <c r="C2456" s="1">
        <v>55135</v>
      </c>
      <c r="D2456" s="1" t="s">
        <v>998</v>
      </c>
      <c r="F2456" s="1">
        <v>2023</v>
      </c>
      <c r="G2456" s="1" t="s">
        <v>461</v>
      </c>
      <c r="H2456" s="1">
        <v>608055</v>
      </c>
      <c r="I2456" s="1">
        <v>5</v>
      </c>
      <c r="K2456" s="1" t="s">
        <v>5740</v>
      </c>
      <c r="L2456" s="1" t="s">
        <v>5741</v>
      </c>
      <c r="M2456" s="1">
        <v>139</v>
      </c>
      <c r="N2456" s="1" t="s">
        <v>39</v>
      </c>
      <c r="O2456" s="1">
        <v>44.193399999999997</v>
      </c>
      <c r="P2456" s="1">
        <v>-88.505499999999998</v>
      </c>
      <c r="Q2456" s="1" t="s">
        <v>3214</v>
      </c>
      <c r="R2456" s="1" t="s">
        <v>41</v>
      </c>
      <c r="T2456" s="1" t="s">
        <v>93</v>
      </c>
      <c r="U2456" s="1" t="s">
        <v>44</v>
      </c>
      <c r="X2456" s="1" t="s">
        <v>140</v>
      </c>
      <c r="AA2456" s="3">
        <v>36617</v>
      </c>
      <c r="AB2456" s="1" t="s">
        <v>46</v>
      </c>
      <c r="AC2456" s="5">
        <v>1897</v>
      </c>
      <c r="AD2456" s="1" t="s">
        <v>5743</v>
      </c>
      <c r="AE2456" s="1" t="str">
        <f t="shared" si="175"/>
        <v>55135 CT02</v>
      </c>
      <c r="AF2456" s="5" t="str">
        <f>MID(AD2456,FIND("(",AD2456)+1,FIND(")",AD2456)-FIND("(",AD2456)-1)</f>
        <v>186.6</v>
      </c>
      <c r="AG2456" s="1" t="str">
        <f t="shared" si="174"/>
        <v/>
      </c>
    </row>
    <row r="2457" spans="1:33" x14ac:dyDescent="0.2">
      <c r="A2457" s="1" t="s">
        <v>383</v>
      </c>
      <c r="B2457" s="1" t="s">
        <v>5744</v>
      </c>
      <c r="C2457" s="1">
        <v>55137</v>
      </c>
      <c r="D2457" s="1" t="s">
        <v>5681</v>
      </c>
      <c r="F2457" s="1">
        <v>2023</v>
      </c>
      <c r="G2457" s="1" t="s">
        <v>346</v>
      </c>
      <c r="H2457" s="1">
        <v>604200</v>
      </c>
      <c r="I2457" s="1">
        <v>6</v>
      </c>
      <c r="K2457" s="1" t="s">
        <v>5745</v>
      </c>
      <c r="L2457" s="1" t="s">
        <v>5746</v>
      </c>
      <c r="M2457" s="1">
        <v>187</v>
      </c>
      <c r="N2457" s="1" t="s">
        <v>39</v>
      </c>
      <c r="O2457" s="1">
        <v>29.5932</v>
      </c>
      <c r="P2457" s="1">
        <v>-97.972399999999993</v>
      </c>
      <c r="Q2457" s="1" t="s">
        <v>5747</v>
      </c>
      <c r="R2457" s="1" t="s">
        <v>41</v>
      </c>
      <c r="T2457" s="1" t="s">
        <v>71</v>
      </c>
      <c r="U2457" s="1" t="s">
        <v>44</v>
      </c>
      <c r="X2457" s="1" t="s">
        <v>140</v>
      </c>
      <c r="AA2457" s="3">
        <v>37347</v>
      </c>
      <c r="AB2457" s="1" t="s">
        <v>46</v>
      </c>
      <c r="AC2457" s="5">
        <v>2090</v>
      </c>
      <c r="AD2457" s="1" t="s">
        <v>5748</v>
      </c>
      <c r="AE2457" s="1" t="str">
        <f t="shared" si="175"/>
        <v>55137 CTG-1</v>
      </c>
      <c r="AF2457" s="14">
        <f>AF2459</f>
        <v>299.39999999999998</v>
      </c>
      <c r="AG2457" s="1" t="str">
        <f t="shared" si="174"/>
        <v/>
      </c>
    </row>
    <row r="2458" spans="1:33" x14ac:dyDescent="0.2">
      <c r="A2458" s="1" t="s">
        <v>383</v>
      </c>
      <c r="B2458" s="1" t="s">
        <v>5744</v>
      </c>
      <c r="C2458" s="1">
        <v>55137</v>
      </c>
      <c r="D2458" s="1" t="s">
        <v>5684</v>
      </c>
      <c r="F2458" s="1">
        <v>2023</v>
      </c>
      <c r="G2458" s="1" t="s">
        <v>346</v>
      </c>
      <c r="H2458" s="1">
        <v>604200</v>
      </c>
      <c r="I2458" s="1">
        <v>6</v>
      </c>
      <c r="K2458" s="1" t="s">
        <v>5745</v>
      </c>
      <c r="L2458" s="1" t="s">
        <v>5746</v>
      </c>
      <c r="M2458" s="1">
        <v>187</v>
      </c>
      <c r="N2458" s="1" t="s">
        <v>39</v>
      </c>
      <c r="O2458" s="1">
        <v>29.5932</v>
      </c>
      <c r="P2458" s="1">
        <v>-97.972399999999993</v>
      </c>
      <c r="Q2458" s="1" t="s">
        <v>5747</v>
      </c>
      <c r="R2458" s="1" t="s">
        <v>41</v>
      </c>
      <c r="T2458" s="1" t="s">
        <v>71</v>
      </c>
      <c r="U2458" s="1" t="s">
        <v>44</v>
      </c>
      <c r="X2458" s="1" t="s">
        <v>140</v>
      </c>
      <c r="AA2458" s="3">
        <v>37347</v>
      </c>
      <c r="AB2458" s="1" t="s">
        <v>46</v>
      </c>
      <c r="AC2458" s="5">
        <v>2105</v>
      </c>
      <c r="AD2458" s="1" t="s">
        <v>5749</v>
      </c>
      <c r="AE2458" s="1" t="str">
        <f t="shared" si="175"/>
        <v>55137 CTG-2</v>
      </c>
      <c r="AF2458" s="14">
        <f>AF2459</f>
        <v>299.39999999999998</v>
      </c>
      <c r="AG2458" s="1" t="str">
        <f t="shared" si="174"/>
        <v/>
      </c>
    </row>
    <row r="2459" spans="1:33" x14ac:dyDescent="0.2">
      <c r="A2459" s="1" t="s">
        <v>383</v>
      </c>
      <c r="B2459" s="1" t="s">
        <v>5744</v>
      </c>
      <c r="C2459" s="1">
        <v>55137</v>
      </c>
      <c r="D2459" s="1" t="s">
        <v>5750</v>
      </c>
      <c r="F2459" s="1">
        <v>2023</v>
      </c>
      <c r="G2459" s="1" t="s">
        <v>346</v>
      </c>
      <c r="H2459" s="1">
        <v>604200</v>
      </c>
      <c r="I2459" s="1">
        <v>6</v>
      </c>
      <c r="K2459" s="1" t="s">
        <v>5745</v>
      </c>
      <c r="L2459" s="1" t="s">
        <v>5746</v>
      </c>
      <c r="M2459" s="1">
        <v>187</v>
      </c>
      <c r="N2459" s="1" t="s">
        <v>39</v>
      </c>
      <c r="O2459" s="1">
        <v>29.5932</v>
      </c>
      <c r="P2459" s="1">
        <v>-97.972399999999993</v>
      </c>
      <c r="Q2459" s="1" t="s">
        <v>5747</v>
      </c>
      <c r="R2459" s="1" t="s">
        <v>41</v>
      </c>
      <c r="T2459" s="1" t="s">
        <v>71</v>
      </c>
      <c r="U2459" s="1" t="s">
        <v>44</v>
      </c>
      <c r="X2459" s="1" t="s">
        <v>140</v>
      </c>
      <c r="AA2459" s="3">
        <v>37347</v>
      </c>
      <c r="AB2459" s="1" t="s">
        <v>46</v>
      </c>
      <c r="AC2459" s="5">
        <v>2105</v>
      </c>
      <c r="AD2459" s="1" t="s">
        <v>5751</v>
      </c>
      <c r="AE2459" s="1" t="str">
        <f t="shared" si="175"/>
        <v>55137 CTG-3</v>
      </c>
      <c r="AF2459" s="14">
        <f>MID(AD2459,FIND("(",AD2459)+1,FIND(")",AD2459)-FIND("(",AD2459)-1)+373.2/3</f>
        <v>299.39999999999998</v>
      </c>
      <c r="AG2459" s="1" t="str">
        <f t="shared" si="174"/>
        <v/>
      </c>
    </row>
    <row r="2460" spans="1:33" x14ac:dyDescent="0.2">
      <c r="A2460" s="1" t="s">
        <v>32</v>
      </c>
      <c r="B2460" s="1" t="s">
        <v>5752</v>
      </c>
      <c r="C2460" s="1">
        <v>55138</v>
      </c>
      <c r="D2460" s="1" t="s">
        <v>372</v>
      </c>
      <c r="F2460" s="1">
        <v>2023</v>
      </c>
      <c r="G2460" s="1" t="s">
        <v>133</v>
      </c>
      <c r="H2460" s="1">
        <v>2650</v>
      </c>
      <c r="I2460" s="1">
        <v>4</v>
      </c>
      <c r="J2460" s="1" t="s">
        <v>36</v>
      </c>
      <c r="K2460" s="1" t="s">
        <v>710</v>
      </c>
      <c r="L2460" s="1" t="s">
        <v>4162</v>
      </c>
      <c r="M2460" s="1">
        <v>81</v>
      </c>
      <c r="N2460" s="1" t="s">
        <v>39</v>
      </c>
      <c r="O2460" s="1">
        <v>32.541200000000003</v>
      </c>
      <c r="P2460" s="1">
        <v>-85.038399999999996</v>
      </c>
      <c r="Q2460" s="1" t="s">
        <v>5753</v>
      </c>
      <c r="T2460" s="1" t="s">
        <v>93</v>
      </c>
      <c r="U2460" s="1" t="s">
        <v>44</v>
      </c>
      <c r="X2460" s="1" t="s">
        <v>95</v>
      </c>
      <c r="AA2460" s="3">
        <v>36333</v>
      </c>
      <c r="AB2460" s="1" t="s">
        <v>46</v>
      </c>
      <c r="AC2460" s="5">
        <v>415</v>
      </c>
      <c r="AD2460" s="1" t="s">
        <v>5754</v>
      </c>
      <c r="AE2460" s="1" t="str">
        <f t="shared" si="175"/>
        <v>55138 1A</v>
      </c>
      <c r="AF2460" s="5" t="str">
        <f>MID(AD2460,FIND("(",AD2460)+1,FIND(")",AD2460)-FIND("(",AD2460)-1)</f>
        <v>51.5</v>
      </c>
      <c r="AG2460" s="1" t="str">
        <f t="shared" si="174"/>
        <v/>
      </c>
    </row>
    <row r="2461" spans="1:33" x14ac:dyDescent="0.2">
      <c r="A2461" s="1" t="s">
        <v>32</v>
      </c>
      <c r="B2461" s="1" t="s">
        <v>5752</v>
      </c>
      <c r="C2461" s="1">
        <v>55138</v>
      </c>
      <c r="D2461" s="1" t="s">
        <v>1199</v>
      </c>
      <c r="F2461" s="1">
        <v>2023</v>
      </c>
      <c r="G2461" s="1" t="s">
        <v>133</v>
      </c>
      <c r="H2461" s="1">
        <v>2650</v>
      </c>
      <c r="I2461" s="1">
        <v>4</v>
      </c>
      <c r="J2461" s="1" t="s">
        <v>36</v>
      </c>
      <c r="K2461" s="1" t="s">
        <v>710</v>
      </c>
      <c r="L2461" s="1" t="s">
        <v>4162</v>
      </c>
      <c r="M2461" s="1">
        <v>81</v>
      </c>
      <c r="N2461" s="1" t="s">
        <v>39</v>
      </c>
      <c r="O2461" s="1">
        <v>32.541200000000003</v>
      </c>
      <c r="P2461" s="1">
        <v>-85.038399999999996</v>
      </c>
      <c r="Q2461" s="1" t="s">
        <v>5753</v>
      </c>
      <c r="T2461" s="1" t="s">
        <v>93</v>
      </c>
      <c r="U2461" s="1" t="s">
        <v>44</v>
      </c>
      <c r="X2461" s="1" t="s">
        <v>95</v>
      </c>
      <c r="AA2461" s="3">
        <v>36333</v>
      </c>
      <c r="AB2461" s="1" t="s">
        <v>46</v>
      </c>
      <c r="AC2461" s="5">
        <v>415</v>
      </c>
      <c r="AD2461" s="1" t="s">
        <v>5754</v>
      </c>
      <c r="AE2461" s="1" t="str">
        <f t="shared" si="175"/>
        <v>55138 1B</v>
      </c>
      <c r="AF2461" s="5" t="str">
        <f>MID(AD2461,FIND("(",AD2461)+1,FIND(")",AD2461)-FIND("(",AD2461)-1)</f>
        <v>51.5</v>
      </c>
      <c r="AG2461" s="1" t="str">
        <f t="shared" si="174"/>
        <v/>
      </c>
    </row>
    <row r="2462" spans="1:33" x14ac:dyDescent="0.2">
      <c r="A2462" s="1" t="s">
        <v>32</v>
      </c>
      <c r="B2462" s="1" t="s">
        <v>5752</v>
      </c>
      <c r="C2462" s="1">
        <v>55138</v>
      </c>
      <c r="D2462" s="1" t="s">
        <v>377</v>
      </c>
      <c r="F2462" s="1">
        <v>2023</v>
      </c>
      <c r="G2462" s="1" t="s">
        <v>133</v>
      </c>
      <c r="H2462" s="1">
        <v>2650</v>
      </c>
      <c r="I2462" s="1">
        <v>4</v>
      </c>
      <c r="J2462" s="1" t="s">
        <v>36</v>
      </c>
      <c r="K2462" s="1" t="s">
        <v>710</v>
      </c>
      <c r="L2462" s="1" t="s">
        <v>4162</v>
      </c>
      <c r="M2462" s="1">
        <v>81</v>
      </c>
      <c r="N2462" s="1" t="s">
        <v>39</v>
      </c>
      <c r="O2462" s="1">
        <v>32.541200000000003</v>
      </c>
      <c r="P2462" s="1">
        <v>-85.038399999999996</v>
      </c>
      <c r="Q2462" s="1" t="s">
        <v>5753</v>
      </c>
      <c r="T2462" s="1" t="s">
        <v>93</v>
      </c>
      <c r="U2462" s="1" t="s">
        <v>44</v>
      </c>
      <c r="X2462" s="1" t="s">
        <v>95</v>
      </c>
      <c r="AA2462" s="3">
        <v>36330</v>
      </c>
      <c r="AB2462" s="1" t="s">
        <v>46</v>
      </c>
      <c r="AC2462" s="5">
        <v>415</v>
      </c>
      <c r="AD2462" s="1" t="s">
        <v>5755</v>
      </c>
      <c r="AE2462" s="1" t="str">
        <f t="shared" si="175"/>
        <v>55138 2A</v>
      </c>
      <c r="AF2462" s="5" t="str">
        <f>MID(AD2462,FIND("(",AD2462)+1,FIND(")",AD2462)-FIND("(",AD2462)-1)</f>
        <v>51.5</v>
      </c>
      <c r="AG2462" s="1" t="str">
        <f t="shared" si="174"/>
        <v/>
      </c>
    </row>
    <row r="2463" spans="1:33" x14ac:dyDescent="0.2">
      <c r="A2463" s="1" t="s">
        <v>32</v>
      </c>
      <c r="B2463" s="1" t="s">
        <v>5752</v>
      </c>
      <c r="C2463" s="1">
        <v>55138</v>
      </c>
      <c r="D2463" s="1" t="s">
        <v>1201</v>
      </c>
      <c r="F2463" s="1">
        <v>2023</v>
      </c>
      <c r="G2463" s="1" t="s">
        <v>133</v>
      </c>
      <c r="H2463" s="1">
        <v>2650</v>
      </c>
      <c r="I2463" s="1">
        <v>4</v>
      </c>
      <c r="J2463" s="1" t="s">
        <v>36</v>
      </c>
      <c r="K2463" s="1" t="s">
        <v>710</v>
      </c>
      <c r="L2463" s="1" t="s">
        <v>4162</v>
      </c>
      <c r="M2463" s="1">
        <v>81</v>
      </c>
      <c r="N2463" s="1" t="s">
        <v>39</v>
      </c>
      <c r="O2463" s="1">
        <v>32.541200000000003</v>
      </c>
      <c r="P2463" s="1">
        <v>-85.038399999999996</v>
      </c>
      <c r="Q2463" s="1" t="s">
        <v>5753</v>
      </c>
      <c r="T2463" s="1" t="s">
        <v>93</v>
      </c>
      <c r="U2463" s="1" t="s">
        <v>44</v>
      </c>
      <c r="X2463" s="1" t="s">
        <v>95</v>
      </c>
      <c r="AA2463" s="3">
        <v>36330</v>
      </c>
      <c r="AB2463" s="1" t="s">
        <v>46</v>
      </c>
      <c r="AC2463" s="5">
        <v>415</v>
      </c>
      <c r="AD2463" s="1" t="s">
        <v>5755</v>
      </c>
      <c r="AE2463" s="1" t="str">
        <f t="shared" si="175"/>
        <v>55138 2B</v>
      </c>
      <c r="AF2463" s="5" t="str">
        <f>MID(AD2463,FIND("(",AD2463)+1,FIND(")",AD2463)-FIND("(",AD2463)-1)</f>
        <v>51.5</v>
      </c>
      <c r="AG2463" s="1" t="str">
        <f t="shared" si="174"/>
        <v/>
      </c>
    </row>
    <row r="2464" spans="1:33" x14ac:dyDescent="0.2">
      <c r="A2464" s="1" t="s">
        <v>383</v>
      </c>
      <c r="B2464" s="1" t="s">
        <v>5756</v>
      </c>
      <c r="C2464" s="1">
        <v>55139</v>
      </c>
      <c r="D2464" s="1" t="s">
        <v>1129</v>
      </c>
      <c r="F2464" s="1">
        <v>2023</v>
      </c>
      <c r="G2464" s="1" t="s">
        <v>346</v>
      </c>
      <c r="H2464" s="1">
        <v>2469</v>
      </c>
      <c r="I2464" s="1">
        <v>6</v>
      </c>
      <c r="J2464" s="1" t="s">
        <v>387</v>
      </c>
      <c r="K2464" s="1" t="s">
        <v>5757</v>
      </c>
      <c r="L2464" s="1" t="s">
        <v>5758</v>
      </c>
      <c r="M2464" s="1">
        <v>221</v>
      </c>
      <c r="N2464" s="1" t="s">
        <v>39</v>
      </c>
      <c r="O2464" s="1">
        <v>32.334699999999998</v>
      </c>
      <c r="P2464" s="1">
        <v>-97.734399999999994</v>
      </c>
      <c r="Q2464" s="1" t="s">
        <v>5759</v>
      </c>
      <c r="R2464" s="1" t="s">
        <v>41</v>
      </c>
      <c r="T2464" s="1" t="s">
        <v>71</v>
      </c>
      <c r="U2464" s="1" t="s">
        <v>44</v>
      </c>
      <c r="X2464" s="1" t="s">
        <v>223</v>
      </c>
      <c r="AA2464" s="3">
        <v>37738</v>
      </c>
      <c r="AB2464" s="1" t="s">
        <v>46</v>
      </c>
      <c r="AC2464" s="5">
        <v>3055.6</v>
      </c>
      <c r="AD2464" s="1" t="s">
        <v>5760</v>
      </c>
      <c r="AE2464" s="1" t="str">
        <f t="shared" si="175"/>
        <v>55139 CTG1</v>
      </c>
      <c r="AF2464" s="14">
        <f>MID(AD2464,FIND("(",AD2464)+1,FIND(")",AD2464)-FIND("(",AD2464)-1)+280/2</f>
        <v>404.8</v>
      </c>
      <c r="AG2464" s="1" t="str">
        <f t="shared" si="174"/>
        <v>Y</v>
      </c>
    </row>
    <row r="2465" spans="1:33" x14ac:dyDescent="0.2">
      <c r="A2465" s="1" t="s">
        <v>383</v>
      </c>
      <c r="B2465" s="1" t="s">
        <v>5756</v>
      </c>
      <c r="C2465" s="1">
        <v>55139</v>
      </c>
      <c r="D2465" s="1" t="s">
        <v>1135</v>
      </c>
      <c r="F2465" s="1">
        <v>2023</v>
      </c>
      <c r="G2465" s="1" t="s">
        <v>346</v>
      </c>
      <c r="H2465" s="1">
        <v>2469</v>
      </c>
      <c r="I2465" s="1">
        <v>6</v>
      </c>
      <c r="J2465" s="1" t="s">
        <v>387</v>
      </c>
      <c r="K2465" s="1" t="s">
        <v>5757</v>
      </c>
      <c r="L2465" s="1" t="s">
        <v>5758</v>
      </c>
      <c r="M2465" s="1">
        <v>221</v>
      </c>
      <c r="N2465" s="1" t="s">
        <v>39</v>
      </c>
      <c r="O2465" s="1">
        <v>32.334699999999998</v>
      </c>
      <c r="P2465" s="1">
        <v>-97.734399999999994</v>
      </c>
      <c r="Q2465" s="1" t="s">
        <v>5759</v>
      </c>
      <c r="R2465" s="1" t="s">
        <v>41</v>
      </c>
      <c r="T2465" s="1" t="s">
        <v>71</v>
      </c>
      <c r="U2465" s="1" t="s">
        <v>44</v>
      </c>
      <c r="X2465" s="1" t="s">
        <v>223</v>
      </c>
      <c r="AA2465" s="3">
        <v>37740</v>
      </c>
      <c r="AB2465" s="1" t="s">
        <v>46</v>
      </c>
      <c r="AC2465" s="5">
        <v>3511.5</v>
      </c>
      <c r="AD2465" s="1" t="s">
        <v>5761</v>
      </c>
      <c r="AE2465" s="1" t="str">
        <f t="shared" si="175"/>
        <v>55139 CTG2</v>
      </c>
      <c r="AF2465" s="14">
        <f>AF2464</f>
        <v>404.8</v>
      </c>
      <c r="AG2465" s="1" t="str">
        <f t="shared" si="174"/>
        <v>Y</v>
      </c>
    </row>
    <row r="2466" spans="1:33" x14ac:dyDescent="0.2">
      <c r="A2466" s="1" t="s">
        <v>921</v>
      </c>
      <c r="B2466" s="1" t="s">
        <v>5762</v>
      </c>
      <c r="C2466" s="1">
        <v>55141</v>
      </c>
      <c r="D2466" s="1" t="s">
        <v>311</v>
      </c>
      <c r="F2466" s="1">
        <v>2023</v>
      </c>
      <c r="G2466" s="1" t="s">
        <v>952</v>
      </c>
      <c r="H2466" s="1" t="s">
        <v>4261</v>
      </c>
      <c r="I2466" s="1">
        <v>4</v>
      </c>
      <c r="J2466" s="1" t="s">
        <v>36</v>
      </c>
      <c r="K2466" s="1" t="s">
        <v>4509</v>
      </c>
      <c r="L2466" s="1" t="s">
        <v>4510</v>
      </c>
      <c r="M2466" s="1">
        <v>149</v>
      </c>
      <c r="N2466" s="1" t="s">
        <v>39</v>
      </c>
      <c r="O2466" s="1">
        <v>33.357700000000001</v>
      </c>
      <c r="P2466" s="1">
        <v>-84.991200000000006</v>
      </c>
      <c r="Q2466" s="1" t="s">
        <v>4503</v>
      </c>
      <c r="R2466" s="1" t="s">
        <v>41</v>
      </c>
      <c r="T2466" s="1" t="s">
        <v>93</v>
      </c>
      <c r="U2466" s="1" t="s">
        <v>44</v>
      </c>
      <c r="X2466" s="1" t="s">
        <v>140</v>
      </c>
      <c r="AA2466" s="3">
        <v>36934</v>
      </c>
      <c r="AB2466" s="1" t="s">
        <v>46</v>
      </c>
      <c r="AC2466" s="5">
        <v>2076</v>
      </c>
      <c r="AD2466" s="1" t="s">
        <v>5763</v>
      </c>
      <c r="AE2466" s="1" t="str">
        <f t="shared" si="175"/>
        <v>55141 CT1</v>
      </c>
      <c r="AF2466" s="5" t="str">
        <f t="shared" ref="AF2466:AF2472" si="177">MID(AD2466,FIND("(",AD2466)+1,FIND(")",AD2466)-FIND("(",AD2466)-1)</f>
        <v>165</v>
      </c>
      <c r="AG2466" s="1" t="str">
        <f t="shared" si="174"/>
        <v/>
      </c>
    </row>
    <row r="2467" spans="1:33" x14ac:dyDescent="0.2">
      <c r="A2467" s="1" t="s">
        <v>921</v>
      </c>
      <c r="B2467" s="1" t="s">
        <v>5762</v>
      </c>
      <c r="C2467" s="1">
        <v>55141</v>
      </c>
      <c r="D2467" s="1" t="s">
        <v>98</v>
      </c>
      <c r="F2467" s="1">
        <v>2023</v>
      </c>
      <c r="G2467" s="1" t="s">
        <v>952</v>
      </c>
      <c r="H2467" s="1" t="s">
        <v>4261</v>
      </c>
      <c r="I2467" s="1">
        <v>4</v>
      </c>
      <c r="J2467" s="1" t="s">
        <v>36</v>
      </c>
      <c r="K2467" s="1" t="s">
        <v>4509</v>
      </c>
      <c r="L2467" s="1" t="s">
        <v>4510</v>
      </c>
      <c r="M2467" s="1">
        <v>149</v>
      </c>
      <c r="N2467" s="1" t="s">
        <v>39</v>
      </c>
      <c r="O2467" s="1">
        <v>33.357700000000001</v>
      </c>
      <c r="P2467" s="1">
        <v>-84.991200000000006</v>
      </c>
      <c r="Q2467" s="1" t="s">
        <v>4503</v>
      </c>
      <c r="R2467" s="1" t="s">
        <v>41</v>
      </c>
      <c r="T2467" s="1" t="s">
        <v>93</v>
      </c>
      <c r="U2467" s="1" t="s">
        <v>44</v>
      </c>
      <c r="X2467" s="1" t="s">
        <v>140</v>
      </c>
      <c r="AA2467" s="3">
        <v>36934</v>
      </c>
      <c r="AB2467" s="1" t="s">
        <v>46</v>
      </c>
      <c r="AC2467" s="5">
        <v>2076</v>
      </c>
      <c r="AD2467" s="1" t="s">
        <v>5764</v>
      </c>
      <c r="AE2467" s="1" t="str">
        <f t="shared" si="175"/>
        <v>55141 CT2</v>
      </c>
      <c r="AF2467" s="5" t="str">
        <f t="shared" si="177"/>
        <v>165</v>
      </c>
      <c r="AG2467" s="1" t="str">
        <f t="shared" si="174"/>
        <v/>
      </c>
    </row>
    <row r="2468" spans="1:33" x14ac:dyDescent="0.2">
      <c r="A2468" s="1" t="s">
        <v>921</v>
      </c>
      <c r="B2468" s="1" t="s">
        <v>5762</v>
      </c>
      <c r="C2468" s="1">
        <v>55141</v>
      </c>
      <c r="D2468" s="1" t="s">
        <v>101</v>
      </c>
      <c r="F2468" s="1">
        <v>2023</v>
      </c>
      <c r="G2468" s="1" t="s">
        <v>952</v>
      </c>
      <c r="H2468" s="1" t="s">
        <v>4261</v>
      </c>
      <c r="I2468" s="1">
        <v>4</v>
      </c>
      <c r="J2468" s="1" t="s">
        <v>36</v>
      </c>
      <c r="K2468" s="1" t="s">
        <v>4509</v>
      </c>
      <c r="L2468" s="1" t="s">
        <v>4510</v>
      </c>
      <c r="M2468" s="1">
        <v>149</v>
      </c>
      <c r="N2468" s="1" t="s">
        <v>39</v>
      </c>
      <c r="O2468" s="1">
        <v>33.357700000000001</v>
      </c>
      <c r="P2468" s="1">
        <v>-84.991200000000006</v>
      </c>
      <c r="Q2468" s="1" t="s">
        <v>4503</v>
      </c>
      <c r="R2468" s="1" t="s">
        <v>41</v>
      </c>
      <c r="T2468" s="1" t="s">
        <v>93</v>
      </c>
      <c r="U2468" s="1" t="s">
        <v>44</v>
      </c>
      <c r="X2468" s="1" t="s">
        <v>140</v>
      </c>
      <c r="AA2468" s="3">
        <v>36934</v>
      </c>
      <c r="AB2468" s="1" t="s">
        <v>46</v>
      </c>
      <c r="AC2468" s="5">
        <v>2171</v>
      </c>
      <c r="AD2468" s="1" t="s">
        <v>5765</v>
      </c>
      <c r="AE2468" s="1" t="str">
        <f t="shared" si="175"/>
        <v>55141 CT3</v>
      </c>
      <c r="AF2468" s="5" t="str">
        <f t="shared" si="177"/>
        <v>165</v>
      </c>
      <c r="AG2468" s="1" t="str">
        <f t="shared" si="174"/>
        <v/>
      </c>
    </row>
    <row r="2469" spans="1:33" x14ac:dyDescent="0.2">
      <c r="A2469" s="1" t="s">
        <v>383</v>
      </c>
      <c r="B2469" s="1" t="s">
        <v>5766</v>
      </c>
      <c r="C2469" s="1">
        <v>55144</v>
      </c>
      <c r="D2469" s="1" t="s">
        <v>5586</v>
      </c>
      <c r="F2469" s="1">
        <v>2023</v>
      </c>
      <c r="G2469" s="1" t="s">
        <v>346</v>
      </c>
      <c r="H2469" s="1">
        <v>603383</v>
      </c>
      <c r="I2469" s="1">
        <v>6</v>
      </c>
      <c r="K2469" s="1" t="s">
        <v>5767</v>
      </c>
      <c r="L2469" s="1" t="s">
        <v>5768</v>
      </c>
      <c r="M2469" s="1">
        <v>209</v>
      </c>
      <c r="N2469" s="1" t="s">
        <v>39</v>
      </c>
      <c r="O2469" s="1">
        <v>29.7806</v>
      </c>
      <c r="P2469" s="1">
        <v>-97.989400000000003</v>
      </c>
      <c r="Q2469" s="1" t="s">
        <v>5769</v>
      </c>
      <c r="R2469" s="1" t="s">
        <v>41</v>
      </c>
      <c r="T2469" s="1" t="s">
        <v>71</v>
      </c>
      <c r="U2469" s="1" t="s">
        <v>44</v>
      </c>
      <c r="X2469" s="1" t="s">
        <v>223</v>
      </c>
      <c r="AA2469" s="3">
        <v>37057</v>
      </c>
      <c r="AB2469" s="1" t="s">
        <v>46</v>
      </c>
      <c r="AC2469" s="5">
        <v>2140</v>
      </c>
      <c r="AD2469" s="1" t="s">
        <v>5770</v>
      </c>
      <c r="AE2469" s="1" t="str">
        <f t="shared" si="175"/>
        <v>55144 STK1</v>
      </c>
      <c r="AF2469" s="5" t="str">
        <f t="shared" si="177"/>
        <v>300</v>
      </c>
      <c r="AG2469" s="1" t="str">
        <f t="shared" si="174"/>
        <v>Y</v>
      </c>
    </row>
    <row r="2470" spans="1:33" x14ac:dyDescent="0.2">
      <c r="A2470" s="1" t="s">
        <v>383</v>
      </c>
      <c r="B2470" s="1" t="s">
        <v>5766</v>
      </c>
      <c r="C2470" s="1">
        <v>55144</v>
      </c>
      <c r="D2470" s="1" t="s">
        <v>5591</v>
      </c>
      <c r="F2470" s="1">
        <v>2023</v>
      </c>
      <c r="G2470" s="1" t="s">
        <v>346</v>
      </c>
      <c r="H2470" s="1">
        <v>603383</v>
      </c>
      <c r="I2470" s="1">
        <v>6</v>
      </c>
      <c r="K2470" s="1" t="s">
        <v>5767</v>
      </c>
      <c r="L2470" s="1" t="s">
        <v>5768</v>
      </c>
      <c r="M2470" s="1">
        <v>209</v>
      </c>
      <c r="N2470" s="1" t="s">
        <v>39</v>
      </c>
      <c r="O2470" s="1">
        <v>29.7806</v>
      </c>
      <c r="P2470" s="1">
        <v>-97.989400000000003</v>
      </c>
      <c r="Q2470" s="1" t="s">
        <v>5769</v>
      </c>
      <c r="R2470" s="1" t="s">
        <v>41</v>
      </c>
      <c r="T2470" s="1" t="s">
        <v>71</v>
      </c>
      <c r="U2470" s="1" t="s">
        <v>44</v>
      </c>
      <c r="X2470" s="1" t="s">
        <v>223</v>
      </c>
      <c r="AA2470" s="3">
        <v>37057</v>
      </c>
      <c r="AB2470" s="1" t="s">
        <v>46</v>
      </c>
      <c r="AC2470" s="5">
        <v>2140</v>
      </c>
      <c r="AD2470" s="1" t="s">
        <v>5771</v>
      </c>
      <c r="AE2470" s="1" t="str">
        <f t="shared" si="175"/>
        <v>55144 STK2</v>
      </c>
      <c r="AF2470" s="5" t="str">
        <f t="shared" si="177"/>
        <v>300</v>
      </c>
      <c r="AG2470" s="1" t="str">
        <f t="shared" si="174"/>
        <v>Y</v>
      </c>
    </row>
    <row r="2471" spans="1:33" x14ac:dyDescent="0.2">
      <c r="A2471" s="1" t="s">
        <v>383</v>
      </c>
      <c r="B2471" s="1" t="s">
        <v>5766</v>
      </c>
      <c r="C2471" s="1">
        <v>55144</v>
      </c>
      <c r="D2471" s="1" t="s">
        <v>5593</v>
      </c>
      <c r="F2471" s="1">
        <v>2023</v>
      </c>
      <c r="G2471" s="1" t="s">
        <v>346</v>
      </c>
      <c r="H2471" s="1">
        <v>603383</v>
      </c>
      <c r="I2471" s="1">
        <v>6</v>
      </c>
      <c r="K2471" s="1" t="s">
        <v>5767</v>
      </c>
      <c r="L2471" s="1" t="s">
        <v>5768</v>
      </c>
      <c r="M2471" s="1">
        <v>209</v>
      </c>
      <c r="N2471" s="1" t="s">
        <v>39</v>
      </c>
      <c r="O2471" s="1">
        <v>29.7806</v>
      </c>
      <c r="P2471" s="1">
        <v>-97.989400000000003</v>
      </c>
      <c r="Q2471" s="1" t="s">
        <v>5769</v>
      </c>
      <c r="R2471" s="1" t="s">
        <v>41</v>
      </c>
      <c r="T2471" s="1" t="s">
        <v>71</v>
      </c>
      <c r="U2471" s="1" t="s">
        <v>44</v>
      </c>
      <c r="X2471" s="1" t="s">
        <v>223</v>
      </c>
      <c r="AA2471" s="3">
        <v>37073</v>
      </c>
      <c r="AB2471" s="1" t="s">
        <v>46</v>
      </c>
      <c r="AC2471" s="5">
        <v>2140</v>
      </c>
      <c r="AD2471" s="1" t="s">
        <v>5772</v>
      </c>
      <c r="AE2471" s="1" t="str">
        <f t="shared" si="175"/>
        <v>55144 STK3</v>
      </c>
      <c r="AF2471" s="5" t="str">
        <f t="shared" si="177"/>
        <v>300</v>
      </c>
      <c r="AG2471" s="1" t="str">
        <f t="shared" si="174"/>
        <v>Y</v>
      </c>
    </row>
    <row r="2472" spans="1:33" x14ac:dyDescent="0.2">
      <c r="A2472" s="1" t="s">
        <v>383</v>
      </c>
      <c r="B2472" s="1" t="s">
        <v>5766</v>
      </c>
      <c r="C2472" s="1">
        <v>55144</v>
      </c>
      <c r="D2472" s="1" t="s">
        <v>5595</v>
      </c>
      <c r="F2472" s="1">
        <v>2023</v>
      </c>
      <c r="G2472" s="1" t="s">
        <v>346</v>
      </c>
      <c r="H2472" s="1">
        <v>603383</v>
      </c>
      <c r="I2472" s="1">
        <v>6</v>
      </c>
      <c r="K2472" s="1" t="s">
        <v>5767</v>
      </c>
      <c r="L2472" s="1" t="s">
        <v>5768</v>
      </c>
      <c r="M2472" s="1">
        <v>209</v>
      </c>
      <c r="N2472" s="1" t="s">
        <v>39</v>
      </c>
      <c r="O2472" s="1">
        <v>29.7806</v>
      </c>
      <c r="P2472" s="1">
        <v>-97.989400000000003</v>
      </c>
      <c r="Q2472" s="1" t="s">
        <v>5769</v>
      </c>
      <c r="R2472" s="1" t="s">
        <v>41</v>
      </c>
      <c r="T2472" s="1" t="s">
        <v>71</v>
      </c>
      <c r="U2472" s="1" t="s">
        <v>44</v>
      </c>
      <c r="X2472" s="1" t="s">
        <v>223</v>
      </c>
      <c r="AA2472" s="3">
        <v>37073</v>
      </c>
      <c r="AB2472" s="1" t="s">
        <v>46</v>
      </c>
      <c r="AC2472" s="5">
        <v>2140</v>
      </c>
      <c r="AD2472" s="1" t="s">
        <v>5773</v>
      </c>
      <c r="AE2472" s="1" t="str">
        <f t="shared" si="175"/>
        <v>55144 STK4</v>
      </c>
      <c r="AF2472" s="5" t="str">
        <f t="shared" si="177"/>
        <v>300</v>
      </c>
      <c r="AG2472" s="1" t="str">
        <f t="shared" si="174"/>
        <v>Y</v>
      </c>
    </row>
    <row r="2473" spans="1:33" x14ac:dyDescent="0.2">
      <c r="A2473" s="1" t="s">
        <v>335</v>
      </c>
      <c r="B2473" s="1" t="s">
        <v>5774</v>
      </c>
      <c r="C2473" s="1">
        <v>55146</v>
      </c>
      <c r="D2473" s="1" t="s">
        <v>5775</v>
      </c>
      <c r="F2473" s="1">
        <v>2023</v>
      </c>
      <c r="G2473" s="1" t="s">
        <v>346</v>
      </c>
      <c r="H2473" s="1">
        <v>608505</v>
      </c>
      <c r="I2473" s="1">
        <v>6</v>
      </c>
      <c r="J2473" s="1" t="s">
        <v>228</v>
      </c>
      <c r="K2473" s="1" t="s">
        <v>2565</v>
      </c>
      <c r="L2473" s="1" t="s">
        <v>2566</v>
      </c>
      <c r="M2473" s="1">
        <v>143</v>
      </c>
      <c r="N2473" s="1" t="s">
        <v>39</v>
      </c>
      <c r="O2473" s="1">
        <v>35.9833</v>
      </c>
      <c r="P2473" s="1">
        <v>-95.934600000000003</v>
      </c>
      <c r="Q2473" s="1" t="s">
        <v>5776</v>
      </c>
      <c r="R2473" s="1" t="s">
        <v>41</v>
      </c>
      <c r="T2473" s="1" t="s">
        <v>71</v>
      </c>
      <c r="U2473" s="1" t="s">
        <v>44</v>
      </c>
      <c r="X2473" s="1" t="s">
        <v>223</v>
      </c>
      <c r="AA2473" s="3">
        <v>37192</v>
      </c>
      <c r="AB2473" s="1" t="s">
        <v>46</v>
      </c>
      <c r="AC2473" s="5">
        <v>2335</v>
      </c>
      <c r="AD2473" s="1" t="s">
        <v>5777</v>
      </c>
      <c r="AE2473" s="1" t="str">
        <f t="shared" si="175"/>
        <v>55146 CTGEN1</v>
      </c>
      <c r="AF2473" s="14">
        <f>MID(AD2473,FIND("(",AD2473)+1,FIND(")",AD2473)-FIND("(",AD2473)-1)+179.3</f>
        <v>301.3</v>
      </c>
      <c r="AG2473" s="1" t="str">
        <f t="shared" si="174"/>
        <v>Y</v>
      </c>
    </row>
    <row r="2474" spans="1:33" x14ac:dyDescent="0.2">
      <c r="A2474" s="1" t="s">
        <v>335</v>
      </c>
      <c r="B2474" s="1" t="s">
        <v>5774</v>
      </c>
      <c r="C2474" s="1">
        <v>55146</v>
      </c>
      <c r="D2474" s="1" t="s">
        <v>5778</v>
      </c>
      <c r="F2474" s="1">
        <v>2023</v>
      </c>
      <c r="G2474" s="1" t="s">
        <v>346</v>
      </c>
      <c r="H2474" s="1">
        <v>608505</v>
      </c>
      <c r="I2474" s="1">
        <v>6</v>
      </c>
      <c r="J2474" s="1" t="s">
        <v>228</v>
      </c>
      <c r="K2474" s="1" t="s">
        <v>2565</v>
      </c>
      <c r="L2474" s="1" t="s">
        <v>2566</v>
      </c>
      <c r="M2474" s="1">
        <v>143</v>
      </c>
      <c r="N2474" s="1" t="s">
        <v>39</v>
      </c>
      <c r="O2474" s="1">
        <v>35.9833</v>
      </c>
      <c r="P2474" s="1">
        <v>-95.934600000000003</v>
      </c>
      <c r="Q2474" s="1" t="s">
        <v>5776</v>
      </c>
      <c r="R2474" s="1" t="s">
        <v>41</v>
      </c>
      <c r="T2474" s="1" t="s">
        <v>71</v>
      </c>
      <c r="U2474" s="1" t="s">
        <v>44</v>
      </c>
      <c r="X2474" s="1" t="s">
        <v>223</v>
      </c>
      <c r="AA2474" s="3">
        <v>37202</v>
      </c>
      <c r="AB2474" s="1" t="s">
        <v>46</v>
      </c>
      <c r="AC2474" s="5">
        <v>2335</v>
      </c>
      <c r="AD2474" s="1" t="s">
        <v>5779</v>
      </c>
      <c r="AE2474" s="1" t="str">
        <f t="shared" si="175"/>
        <v>55146 CTGEN2</v>
      </c>
      <c r="AF2474" s="14">
        <v>179.3</v>
      </c>
      <c r="AG2474" s="1" t="str">
        <f t="shared" si="174"/>
        <v>Y</v>
      </c>
    </row>
    <row r="2475" spans="1:33" x14ac:dyDescent="0.2">
      <c r="A2475" s="1" t="s">
        <v>335</v>
      </c>
      <c r="B2475" s="1" t="s">
        <v>5774</v>
      </c>
      <c r="C2475" s="1">
        <v>55146</v>
      </c>
      <c r="D2475" s="1" t="s">
        <v>5780</v>
      </c>
      <c r="F2475" s="1">
        <v>2023</v>
      </c>
      <c r="G2475" s="1" t="s">
        <v>346</v>
      </c>
      <c r="H2475" s="1">
        <v>608505</v>
      </c>
      <c r="I2475" s="1">
        <v>6</v>
      </c>
      <c r="J2475" s="1" t="s">
        <v>228</v>
      </c>
      <c r="K2475" s="1" t="s">
        <v>2565</v>
      </c>
      <c r="L2475" s="1" t="s">
        <v>2566</v>
      </c>
      <c r="M2475" s="1">
        <v>143</v>
      </c>
      <c r="N2475" s="1" t="s">
        <v>39</v>
      </c>
      <c r="O2475" s="1">
        <v>35.9833</v>
      </c>
      <c r="P2475" s="1">
        <v>-95.934600000000003</v>
      </c>
      <c r="Q2475" s="1" t="s">
        <v>5776</v>
      </c>
      <c r="R2475" s="1" t="s">
        <v>41</v>
      </c>
      <c r="T2475" s="1" t="s">
        <v>71</v>
      </c>
      <c r="U2475" s="1" t="s">
        <v>44</v>
      </c>
      <c r="X2475" s="1" t="s">
        <v>223</v>
      </c>
      <c r="AA2475" s="3">
        <v>37229</v>
      </c>
      <c r="AB2475" s="1" t="s">
        <v>46</v>
      </c>
      <c r="AC2475" s="5">
        <v>2335</v>
      </c>
      <c r="AD2475" s="1" t="s">
        <v>5781</v>
      </c>
      <c r="AE2475" s="1" t="str">
        <f t="shared" si="175"/>
        <v>55146 CTGEN3</v>
      </c>
      <c r="AF2475" s="14">
        <v>122</v>
      </c>
      <c r="AG2475" s="1" t="str">
        <f t="shared" si="174"/>
        <v>Y</v>
      </c>
    </row>
    <row r="2476" spans="1:33" x14ac:dyDescent="0.2">
      <c r="A2476" s="1" t="s">
        <v>1071</v>
      </c>
      <c r="B2476" s="1" t="s">
        <v>5782</v>
      </c>
      <c r="C2476" s="1">
        <v>55148</v>
      </c>
      <c r="D2476" s="1">
        <v>1</v>
      </c>
      <c r="F2476" s="1">
        <v>2023</v>
      </c>
      <c r="G2476" s="1" t="s">
        <v>461</v>
      </c>
      <c r="H2476" s="1">
        <v>604624</v>
      </c>
      <c r="I2476" s="1">
        <v>5</v>
      </c>
      <c r="K2476" s="1" t="s">
        <v>81</v>
      </c>
      <c r="L2476" s="1" t="s">
        <v>5783</v>
      </c>
      <c r="M2476" s="1">
        <v>55</v>
      </c>
      <c r="N2476" s="1" t="s">
        <v>39</v>
      </c>
      <c r="O2476" s="1">
        <v>39.0717</v>
      </c>
      <c r="P2476" s="1">
        <v>-87.012799999999999</v>
      </c>
      <c r="Q2476" s="1" t="s">
        <v>4536</v>
      </c>
      <c r="R2476" s="1" t="s">
        <v>41</v>
      </c>
      <c r="T2476" s="1" t="s">
        <v>93</v>
      </c>
      <c r="U2476" s="1" t="s">
        <v>44</v>
      </c>
      <c r="X2476" s="1" t="s">
        <v>95</v>
      </c>
      <c r="AA2476" s="3">
        <v>36678</v>
      </c>
      <c r="AB2476" s="1" t="s">
        <v>46</v>
      </c>
      <c r="AC2476" s="5">
        <v>508</v>
      </c>
      <c r="AD2476" s="1" t="s">
        <v>4196</v>
      </c>
      <c r="AE2476" s="1" t="str">
        <f t="shared" si="175"/>
        <v>55148 1</v>
      </c>
      <c r="AF2476" s="5" t="str">
        <f t="shared" ref="AF2476:AF2486" si="178">MID(AD2476,FIND("(",AD2476)+1,FIND(")",AD2476)-FIND("(",AD2476)-1)</f>
        <v>47</v>
      </c>
      <c r="AG2476" s="1" t="str">
        <f t="shared" si="174"/>
        <v/>
      </c>
    </row>
    <row r="2477" spans="1:33" x14ac:dyDescent="0.2">
      <c r="A2477" s="1" t="s">
        <v>1071</v>
      </c>
      <c r="B2477" s="1" t="s">
        <v>5782</v>
      </c>
      <c r="C2477" s="1">
        <v>55148</v>
      </c>
      <c r="D2477" s="1">
        <v>2</v>
      </c>
      <c r="F2477" s="1">
        <v>2023</v>
      </c>
      <c r="G2477" s="1" t="s">
        <v>461</v>
      </c>
      <c r="H2477" s="1">
        <v>604624</v>
      </c>
      <c r="I2477" s="1">
        <v>5</v>
      </c>
      <c r="K2477" s="1" t="s">
        <v>81</v>
      </c>
      <c r="L2477" s="1" t="s">
        <v>5783</v>
      </c>
      <c r="M2477" s="1">
        <v>55</v>
      </c>
      <c r="N2477" s="1" t="s">
        <v>39</v>
      </c>
      <c r="O2477" s="1">
        <v>39.0717</v>
      </c>
      <c r="P2477" s="1">
        <v>-87.012799999999999</v>
      </c>
      <c r="Q2477" s="1" t="s">
        <v>4536</v>
      </c>
      <c r="R2477" s="1" t="s">
        <v>41</v>
      </c>
      <c r="T2477" s="1" t="s">
        <v>93</v>
      </c>
      <c r="U2477" s="1" t="s">
        <v>44</v>
      </c>
      <c r="X2477" s="1" t="s">
        <v>95</v>
      </c>
      <c r="AA2477" s="3">
        <v>36678</v>
      </c>
      <c r="AB2477" s="1" t="s">
        <v>46</v>
      </c>
      <c r="AC2477" s="5">
        <v>508</v>
      </c>
      <c r="AD2477" s="1" t="s">
        <v>4197</v>
      </c>
      <c r="AE2477" s="1" t="str">
        <f t="shared" si="175"/>
        <v>55148 2</v>
      </c>
      <c r="AF2477" s="5" t="str">
        <f t="shared" si="178"/>
        <v>47</v>
      </c>
      <c r="AG2477" s="1" t="str">
        <f t="shared" si="174"/>
        <v/>
      </c>
    </row>
    <row r="2478" spans="1:33" x14ac:dyDescent="0.2">
      <c r="A2478" s="1" t="s">
        <v>1071</v>
      </c>
      <c r="B2478" s="1" t="s">
        <v>5782</v>
      </c>
      <c r="C2478" s="1">
        <v>55148</v>
      </c>
      <c r="D2478" s="1">
        <v>3</v>
      </c>
      <c r="F2478" s="1">
        <v>2023</v>
      </c>
      <c r="G2478" s="1" t="s">
        <v>461</v>
      </c>
      <c r="H2478" s="1">
        <v>604624</v>
      </c>
      <c r="I2478" s="1">
        <v>5</v>
      </c>
      <c r="K2478" s="1" t="s">
        <v>81</v>
      </c>
      <c r="L2478" s="1" t="s">
        <v>5783</v>
      </c>
      <c r="M2478" s="1">
        <v>55</v>
      </c>
      <c r="N2478" s="1" t="s">
        <v>39</v>
      </c>
      <c r="O2478" s="1">
        <v>39.0717</v>
      </c>
      <c r="P2478" s="1">
        <v>-87.012799999999999</v>
      </c>
      <c r="Q2478" s="1" t="s">
        <v>4536</v>
      </c>
      <c r="R2478" s="1" t="s">
        <v>41</v>
      </c>
      <c r="T2478" s="1" t="s">
        <v>93</v>
      </c>
      <c r="U2478" s="1" t="s">
        <v>44</v>
      </c>
      <c r="X2478" s="1" t="s">
        <v>95</v>
      </c>
      <c r="AA2478" s="3">
        <v>36678</v>
      </c>
      <c r="AB2478" s="1" t="s">
        <v>46</v>
      </c>
      <c r="AC2478" s="5">
        <v>508</v>
      </c>
      <c r="AD2478" s="1" t="s">
        <v>4198</v>
      </c>
      <c r="AE2478" s="1" t="str">
        <f t="shared" si="175"/>
        <v>55148 3</v>
      </c>
      <c r="AF2478" s="5" t="str">
        <f t="shared" si="178"/>
        <v>47</v>
      </c>
      <c r="AG2478" s="1" t="str">
        <f t="shared" si="174"/>
        <v/>
      </c>
    </row>
    <row r="2479" spans="1:33" x14ac:dyDescent="0.2">
      <c r="A2479" s="1" t="s">
        <v>1071</v>
      </c>
      <c r="B2479" s="1" t="s">
        <v>5782</v>
      </c>
      <c r="C2479" s="1">
        <v>55148</v>
      </c>
      <c r="D2479" s="1">
        <v>4</v>
      </c>
      <c r="F2479" s="1">
        <v>2023</v>
      </c>
      <c r="G2479" s="1" t="s">
        <v>461</v>
      </c>
      <c r="H2479" s="1">
        <v>604624</v>
      </c>
      <c r="I2479" s="1">
        <v>5</v>
      </c>
      <c r="K2479" s="1" t="s">
        <v>81</v>
      </c>
      <c r="L2479" s="1" t="s">
        <v>5783</v>
      </c>
      <c r="M2479" s="1">
        <v>55</v>
      </c>
      <c r="N2479" s="1" t="s">
        <v>39</v>
      </c>
      <c r="O2479" s="1">
        <v>39.0717</v>
      </c>
      <c r="P2479" s="1">
        <v>-87.012799999999999</v>
      </c>
      <c r="Q2479" s="1" t="s">
        <v>4536</v>
      </c>
      <c r="R2479" s="1" t="s">
        <v>41</v>
      </c>
      <c r="T2479" s="1" t="s">
        <v>93</v>
      </c>
      <c r="U2479" s="1" t="s">
        <v>44</v>
      </c>
      <c r="X2479" s="1" t="s">
        <v>95</v>
      </c>
      <c r="AA2479" s="3">
        <v>36678</v>
      </c>
      <c r="AB2479" s="1" t="s">
        <v>46</v>
      </c>
      <c r="AC2479" s="5">
        <v>508</v>
      </c>
      <c r="AD2479" s="1" t="s">
        <v>4199</v>
      </c>
      <c r="AE2479" s="1" t="str">
        <f t="shared" si="175"/>
        <v>55148 4</v>
      </c>
      <c r="AF2479" s="5" t="str">
        <f t="shared" si="178"/>
        <v>47</v>
      </c>
      <c r="AG2479" s="1" t="str">
        <f t="shared" si="174"/>
        <v/>
      </c>
    </row>
    <row r="2480" spans="1:33" x14ac:dyDescent="0.2">
      <c r="A2480" s="1" t="s">
        <v>577</v>
      </c>
      <c r="B2480" s="1" t="s">
        <v>5784</v>
      </c>
      <c r="C2480" s="1">
        <v>55149</v>
      </c>
      <c r="D2480" s="1" t="s">
        <v>5785</v>
      </c>
      <c r="F2480" s="1">
        <v>2023</v>
      </c>
      <c r="G2480" s="1" t="s">
        <v>579</v>
      </c>
      <c r="H2480" s="1">
        <v>603383</v>
      </c>
      <c r="I2480" s="1">
        <v>1</v>
      </c>
      <c r="K2480" s="1" t="s">
        <v>5786</v>
      </c>
      <c r="L2480" s="1" t="s">
        <v>5787</v>
      </c>
      <c r="M2480" s="1">
        <v>15</v>
      </c>
      <c r="N2480" s="1" t="s">
        <v>39</v>
      </c>
      <c r="O2480" s="1">
        <v>41.873600000000003</v>
      </c>
      <c r="P2480" s="1">
        <v>-71.8947</v>
      </c>
      <c r="Q2480" s="1" t="s">
        <v>5788</v>
      </c>
      <c r="R2480" s="1" t="s">
        <v>41</v>
      </c>
      <c r="T2480" s="1" t="s">
        <v>71</v>
      </c>
      <c r="U2480" s="1" t="s">
        <v>44</v>
      </c>
      <c r="V2480" s="1" t="s">
        <v>94</v>
      </c>
      <c r="X2480" s="1" t="s">
        <v>643</v>
      </c>
      <c r="AA2480" s="3">
        <v>37104</v>
      </c>
      <c r="AB2480" s="1" t="s">
        <v>46</v>
      </c>
      <c r="AC2480" s="5">
        <v>2276</v>
      </c>
      <c r="AD2480" s="1" t="s">
        <v>5789</v>
      </c>
      <c r="AE2480" s="1" t="str">
        <f t="shared" si="175"/>
        <v>55149 LRG1</v>
      </c>
      <c r="AF2480" s="5" t="str">
        <f t="shared" si="178"/>
        <v>280</v>
      </c>
      <c r="AG2480" s="1" t="str">
        <f t="shared" si="174"/>
        <v>Y</v>
      </c>
    </row>
    <row r="2481" spans="1:33" x14ac:dyDescent="0.2">
      <c r="A2481" s="1" t="s">
        <v>577</v>
      </c>
      <c r="B2481" s="1" t="s">
        <v>5784</v>
      </c>
      <c r="C2481" s="1">
        <v>55149</v>
      </c>
      <c r="D2481" s="1" t="s">
        <v>5790</v>
      </c>
      <c r="F2481" s="1">
        <v>2023</v>
      </c>
      <c r="G2481" s="1" t="s">
        <v>579</v>
      </c>
      <c r="H2481" s="1">
        <v>603383</v>
      </c>
      <c r="I2481" s="1">
        <v>1</v>
      </c>
      <c r="K2481" s="1" t="s">
        <v>5786</v>
      </c>
      <c r="L2481" s="1" t="s">
        <v>5787</v>
      </c>
      <c r="M2481" s="1">
        <v>15</v>
      </c>
      <c r="N2481" s="1" t="s">
        <v>39</v>
      </c>
      <c r="O2481" s="1">
        <v>41.873600000000003</v>
      </c>
      <c r="P2481" s="1">
        <v>-71.8947</v>
      </c>
      <c r="Q2481" s="1" t="s">
        <v>5788</v>
      </c>
      <c r="R2481" s="1" t="s">
        <v>41</v>
      </c>
      <c r="T2481" s="1" t="s">
        <v>71</v>
      </c>
      <c r="U2481" s="1" t="s">
        <v>44</v>
      </c>
      <c r="V2481" s="1" t="s">
        <v>94</v>
      </c>
      <c r="X2481" s="1" t="s">
        <v>643</v>
      </c>
      <c r="AA2481" s="3">
        <v>37203</v>
      </c>
      <c r="AB2481" s="1" t="s">
        <v>46</v>
      </c>
      <c r="AC2481" s="5">
        <v>2276</v>
      </c>
      <c r="AD2481" s="1" t="s">
        <v>5791</v>
      </c>
      <c r="AE2481" s="1" t="str">
        <f t="shared" si="175"/>
        <v>55149 LRG2</v>
      </c>
      <c r="AF2481" s="5" t="str">
        <f t="shared" si="178"/>
        <v>280</v>
      </c>
      <c r="AG2481" s="1" t="str">
        <f t="shared" si="174"/>
        <v>Y</v>
      </c>
    </row>
    <row r="2482" spans="1:33" x14ac:dyDescent="0.2">
      <c r="A2482" s="1" t="s">
        <v>577</v>
      </c>
      <c r="B2482" s="1" t="s">
        <v>5784</v>
      </c>
      <c r="C2482" s="1">
        <v>55149</v>
      </c>
      <c r="D2482" s="1" t="s">
        <v>5792</v>
      </c>
      <c r="F2482" s="1">
        <v>2023</v>
      </c>
      <c r="G2482" s="1" t="s">
        <v>579</v>
      </c>
      <c r="H2482" s="1">
        <v>603383</v>
      </c>
      <c r="I2482" s="1">
        <v>1</v>
      </c>
      <c r="K2482" s="1" t="s">
        <v>5786</v>
      </c>
      <c r="L2482" s="1" t="s">
        <v>5787</v>
      </c>
      <c r="M2482" s="1">
        <v>15</v>
      </c>
      <c r="N2482" s="1" t="s">
        <v>39</v>
      </c>
      <c r="O2482" s="1">
        <v>41.873600000000003</v>
      </c>
      <c r="P2482" s="1">
        <v>-71.8947</v>
      </c>
      <c r="Q2482" s="1" t="s">
        <v>5788</v>
      </c>
      <c r="R2482" s="1" t="s">
        <v>41</v>
      </c>
      <c r="T2482" s="1" t="s">
        <v>71</v>
      </c>
      <c r="U2482" s="1" t="s">
        <v>44</v>
      </c>
      <c r="V2482" s="1" t="s">
        <v>94</v>
      </c>
      <c r="X2482" s="1" t="s">
        <v>643</v>
      </c>
      <c r="AA2482" s="3">
        <v>37226</v>
      </c>
      <c r="AB2482" s="1" t="s">
        <v>46</v>
      </c>
      <c r="AC2482" s="5">
        <v>2276</v>
      </c>
      <c r="AD2482" s="1" t="s">
        <v>5793</v>
      </c>
      <c r="AE2482" s="1" t="str">
        <f t="shared" si="175"/>
        <v>55149 LRG3</v>
      </c>
      <c r="AF2482" s="5" t="str">
        <f t="shared" si="178"/>
        <v>280</v>
      </c>
      <c r="AG2482" s="1" t="str">
        <f t="shared" si="174"/>
        <v>Y</v>
      </c>
    </row>
    <row r="2483" spans="1:33" x14ac:dyDescent="0.2">
      <c r="A2483" s="1" t="s">
        <v>370</v>
      </c>
      <c r="B2483" s="1" t="s">
        <v>5794</v>
      </c>
      <c r="C2483" s="1">
        <v>55151</v>
      </c>
      <c r="D2483" s="1" t="s">
        <v>5681</v>
      </c>
      <c r="F2483" s="1">
        <v>2023</v>
      </c>
      <c r="G2483" s="1" t="s">
        <v>247</v>
      </c>
      <c r="H2483" s="1">
        <v>603354</v>
      </c>
      <c r="I2483" s="1">
        <v>9</v>
      </c>
      <c r="K2483" s="1" t="s">
        <v>4903</v>
      </c>
      <c r="L2483" s="1" t="s">
        <v>4904</v>
      </c>
      <c r="M2483" s="1">
        <v>29</v>
      </c>
      <c r="N2483" s="1" t="s">
        <v>39</v>
      </c>
      <c r="O2483" s="1">
        <v>35.2956</v>
      </c>
      <c r="P2483" s="1">
        <v>-119.5919</v>
      </c>
      <c r="Q2483" s="1" t="s">
        <v>5795</v>
      </c>
      <c r="R2483" s="1" t="s">
        <v>41</v>
      </c>
      <c r="T2483" s="1" t="s">
        <v>71</v>
      </c>
      <c r="U2483" s="1" t="s">
        <v>44</v>
      </c>
      <c r="X2483" s="1" t="s">
        <v>64</v>
      </c>
      <c r="AA2483" s="3">
        <v>37339</v>
      </c>
      <c r="AB2483" s="1" t="s">
        <v>46</v>
      </c>
      <c r="AC2483" s="5">
        <v>2200</v>
      </c>
      <c r="AD2483" s="1" t="s">
        <v>5796</v>
      </c>
      <c r="AE2483" s="1" t="str">
        <f t="shared" si="175"/>
        <v>55151 CTG-1</v>
      </c>
      <c r="AF2483" s="5" t="str">
        <f t="shared" si="178"/>
        <v>300</v>
      </c>
      <c r="AG2483" s="1" t="str">
        <f t="shared" si="174"/>
        <v>Y</v>
      </c>
    </row>
    <row r="2484" spans="1:33" x14ac:dyDescent="0.2">
      <c r="A2484" s="1" t="s">
        <v>370</v>
      </c>
      <c r="B2484" s="1" t="s">
        <v>5794</v>
      </c>
      <c r="C2484" s="1">
        <v>55151</v>
      </c>
      <c r="D2484" s="1" t="s">
        <v>5684</v>
      </c>
      <c r="F2484" s="1">
        <v>2023</v>
      </c>
      <c r="G2484" s="1" t="s">
        <v>247</v>
      </c>
      <c r="H2484" s="1">
        <v>603354</v>
      </c>
      <c r="I2484" s="1">
        <v>9</v>
      </c>
      <c r="K2484" s="1" t="s">
        <v>4903</v>
      </c>
      <c r="L2484" s="1" t="s">
        <v>4904</v>
      </c>
      <c r="M2484" s="1">
        <v>29</v>
      </c>
      <c r="N2484" s="1" t="s">
        <v>39</v>
      </c>
      <c r="O2484" s="1">
        <v>35.2956</v>
      </c>
      <c r="P2484" s="1">
        <v>-119.5919</v>
      </c>
      <c r="Q2484" s="1" t="s">
        <v>5795</v>
      </c>
      <c r="R2484" s="1" t="s">
        <v>41</v>
      </c>
      <c r="T2484" s="1" t="s">
        <v>71</v>
      </c>
      <c r="U2484" s="1" t="s">
        <v>44</v>
      </c>
      <c r="X2484" s="1" t="s">
        <v>64</v>
      </c>
      <c r="AA2484" s="3">
        <v>37414</v>
      </c>
      <c r="AB2484" s="1" t="s">
        <v>46</v>
      </c>
      <c r="AC2484" s="5">
        <v>2200</v>
      </c>
      <c r="AD2484" s="1" t="s">
        <v>5797</v>
      </c>
      <c r="AE2484" s="1" t="str">
        <f t="shared" si="175"/>
        <v>55151 CTG-2</v>
      </c>
      <c r="AF2484" s="5" t="str">
        <f t="shared" si="178"/>
        <v>300</v>
      </c>
      <c r="AG2484" s="1" t="str">
        <f t="shared" si="174"/>
        <v>Y</v>
      </c>
    </row>
    <row r="2485" spans="1:33" x14ac:dyDescent="0.2">
      <c r="A2485" s="1" t="s">
        <v>370</v>
      </c>
      <c r="B2485" s="1" t="s">
        <v>5794</v>
      </c>
      <c r="C2485" s="1">
        <v>55151</v>
      </c>
      <c r="D2485" s="1" t="s">
        <v>5750</v>
      </c>
      <c r="F2485" s="1">
        <v>2023</v>
      </c>
      <c r="G2485" s="1" t="s">
        <v>247</v>
      </c>
      <c r="H2485" s="1">
        <v>603354</v>
      </c>
      <c r="I2485" s="1">
        <v>9</v>
      </c>
      <c r="K2485" s="1" t="s">
        <v>4903</v>
      </c>
      <c r="L2485" s="1" t="s">
        <v>4904</v>
      </c>
      <c r="M2485" s="1">
        <v>29</v>
      </c>
      <c r="N2485" s="1" t="s">
        <v>39</v>
      </c>
      <c r="O2485" s="1">
        <v>35.2956</v>
      </c>
      <c r="P2485" s="1">
        <v>-119.5919</v>
      </c>
      <c r="Q2485" s="1" t="s">
        <v>5795</v>
      </c>
      <c r="R2485" s="1" t="s">
        <v>41</v>
      </c>
      <c r="T2485" s="1" t="s">
        <v>71</v>
      </c>
      <c r="U2485" s="1" t="s">
        <v>44</v>
      </c>
      <c r="X2485" s="1" t="s">
        <v>64</v>
      </c>
      <c r="AA2485" s="3">
        <v>37462</v>
      </c>
      <c r="AB2485" s="1" t="s">
        <v>46</v>
      </c>
      <c r="AC2485" s="5">
        <v>2200</v>
      </c>
      <c r="AD2485" s="1" t="s">
        <v>5798</v>
      </c>
      <c r="AE2485" s="1" t="str">
        <f t="shared" si="175"/>
        <v>55151 CTG-3</v>
      </c>
      <c r="AF2485" s="5" t="str">
        <f t="shared" si="178"/>
        <v>300</v>
      </c>
      <c r="AG2485" s="1" t="str">
        <f t="shared" si="174"/>
        <v>Y</v>
      </c>
    </row>
    <row r="2486" spans="1:33" x14ac:dyDescent="0.2">
      <c r="A2486" s="1" t="s">
        <v>370</v>
      </c>
      <c r="B2486" s="1" t="s">
        <v>5794</v>
      </c>
      <c r="C2486" s="1">
        <v>55151</v>
      </c>
      <c r="D2486" s="1" t="s">
        <v>5799</v>
      </c>
      <c r="F2486" s="1">
        <v>2023</v>
      </c>
      <c r="G2486" s="1" t="s">
        <v>247</v>
      </c>
      <c r="H2486" s="1">
        <v>603354</v>
      </c>
      <c r="I2486" s="1">
        <v>9</v>
      </c>
      <c r="K2486" s="1" t="s">
        <v>4903</v>
      </c>
      <c r="L2486" s="1" t="s">
        <v>4904</v>
      </c>
      <c r="M2486" s="1">
        <v>29</v>
      </c>
      <c r="N2486" s="1" t="s">
        <v>39</v>
      </c>
      <c r="O2486" s="1">
        <v>35.2956</v>
      </c>
      <c r="P2486" s="1">
        <v>-119.5919</v>
      </c>
      <c r="Q2486" s="1" t="s">
        <v>5795</v>
      </c>
      <c r="R2486" s="1" t="s">
        <v>41</v>
      </c>
      <c r="T2486" s="1" t="s">
        <v>71</v>
      </c>
      <c r="U2486" s="1" t="s">
        <v>44</v>
      </c>
      <c r="X2486" s="1" t="s">
        <v>64</v>
      </c>
      <c r="AA2486" s="3">
        <v>37515</v>
      </c>
      <c r="AB2486" s="1" t="s">
        <v>46</v>
      </c>
      <c r="AC2486" s="5">
        <v>2200</v>
      </c>
      <c r="AD2486" s="1" t="s">
        <v>5800</v>
      </c>
      <c r="AE2486" s="1" t="str">
        <f t="shared" si="175"/>
        <v>55151 CTG-4</v>
      </c>
      <c r="AF2486" s="5" t="str">
        <f t="shared" si="178"/>
        <v>300</v>
      </c>
      <c r="AG2486" s="1" t="str">
        <f t="shared" si="174"/>
        <v>Y</v>
      </c>
    </row>
    <row r="2487" spans="1:33" x14ac:dyDescent="0.2">
      <c r="A2487" s="1" t="s">
        <v>383</v>
      </c>
      <c r="B2487" s="1" t="s">
        <v>5801</v>
      </c>
      <c r="C2487" s="1">
        <v>55153</v>
      </c>
      <c r="D2487" s="1" t="s">
        <v>5681</v>
      </c>
      <c r="F2487" s="1">
        <v>2023</v>
      </c>
      <c r="G2487" s="1" t="s">
        <v>346</v>
      </c>
      <c r="H2487" s="1" t="s">
        <v>5802</v>
      </c>
      <c r="I2487" s="1">
        <v>6</v>
      </c>
      <c r="J2487" s="1" t="s">
        <v>387</v>
      </c>
      <c r="K2487" s="1" t="s">
        <v>5745</v>
      </c>
      <c r="L2487" s="1" t="s">
        <v>5746</v>
      </c>
      <c r="M2487" s="1">
        <v>187</v>
      </c>
      <c r="N2487" s="1" t="s">
        <v>1680</v>
      </c>
      <c r="O2487" s="1">
        <v>29.623699999999999</v>
      </c>
      <c r="P2487" s="1">
        <v>-98.139499999999998</v>
      </c>
      <c r="Q2487" s="1" t="s">
        <v>5803</v>
      </c>
      <c r="R2487" s="1" t="s">
        <v>41</v>
      </c>
      <c r="T2487" s="1" t="s">
        <v>71</v>
      </c>
      <c r="U2487" s="1" t="s">
        <v>44</v>
      </c>
      <c r="X2487" s="1" t="s">
        <v>140</v>
      </c>
      <c r="AA2487" s="3">
        <v>36880</v>
      </c>
      <c r="AB2487" s="1" t="s">
        <v>46</v>
      </c>
      <c r="AC2487" s="5">
        <v>2225</v>
      </c>
      <c r="AD2487" s="1" t="s">
        <v>5804</v>
      </c>
      <c r="AE2487" s="1" t="str">
        <f t="shared" si="175"/>
        <v>55153 CTG-1</v>
      </c>
      <c r="AF2487" s="14">
        <f>MID(AD2487,FIND("(",AD2487)+1,FIND(")",AD2487)-FIND("(",AD2487)-1)+201.9/2</f>
        <v>285.55</v>
      </c>
      <c r="AG2487" s="1" t="str">
        <f t="shared" si="174"/>
        <v/>
      </c>
    </row>
    <row r="2488" spans="1:33" x14ac:dyDescent="0.2">
      <c r="A2488" s="1" t="s">
        <v>383</v>
      </c>
      <c r="B2488" s="1" t="s">
        <v>5801</v>
      </c>
      <c r="C2488" s="1">
        <v>55153</v>
      </c>
      <c r="D2488" s="1" t="s">
        <v>5684</v>
      </c>
      <c r="F2488" s="1">
        <v>2023</v>
      </c>
      <c r="G2488" s="1" t="s">
        <v>346</v>
      </c>
      <c r="H2488" s="1" t="s">
        <v>5802</v>
      </c>
      <c r="I2488" s="1">
        <v>6</v>
      </c>
      <c r="J2488" s="1" t="s">
        <v>387</v>
      </c>
      <c r="K2488" s="1" t="s">
        <v>5745</v>
      </c>
      <c r="L2488" s="1" t="s">
        <v>5746</v>
      </c>
      <c r="M2488" s="1">
        <v>187</v>
      </c>
      <c r="N2488" s="1" t="s">
        <v>1680</v>
      </c>
      <c r="O2488" s="1">
        <v>29.623699999999999</v>
      </c>
      <c r="P2488" s="1">
        <v>-98.139499999999998</v>
      </c>
      <c r="Q2488" s="1" t="s">
        <v>5803</v>
      </c>
      <c r="R2488" s="1" t="s">
        <v>41</v>
      </c>
      <c r="T2488" s="1" t="s">
        <v>71</v>
      </c>
      <c r="U2488" s="1" t="s">
        <v>44</v>
      </c>
      <c r="X2488" s="1" t="s">
        <v>140</v>
      </c>
      <c r="AA2488" s="3">
        <v>36880</v>
      </c>
      <c r="AB2488" s="1" t="s">
        <v>46</v>
      </c>
      <c r="AC2488" s="5">
        <v>2225</v>
      </c>
      <c r="AD2488" s="1" t="s">
        <v>5805</v>
      </c>
      <c r="AE2488" s="1" t="str">
        <f t="shared" si="175"/>
        <v>55153 CTG-2</v>
      </c>
      <c r="AF2488" s="14">
        <f>AF2487</f>
        <v>285.55</v>
      </c>
      <c r="AG2488" s="1" t="str">
        <f t="shared" si="174"/>
        <v/>
      </c>
    </row>
    <row r="2489" spans="1:33" x14ac:dyDescent="0.2">
      <c r="A2489" s="1" t="s">
        <v>383</v>
      </c>
      <c r="B2489" s="1" t="s">
        <v>5801</v>
      </c>
      <c r="C2489" s="1">
        <v>55153</v>
      </c>
      <c r="D2489" s="1" t="s">
        <v>5750</v>
      </c>
      <c r="F2489" s="1">
        <v>2023</v>
      </c>
      <c r="G2489" s="1" t="s">
        <v>346</v>
      </c>
      <c r="H2489" s="1" t="s">
        <v>5802</v>
      </c>
      <c r="I2489" s="1">
        <v>6</v>
      </c>
      <c r="J2489" s="1" t="s">
        <v>387</v>
      </c>
      <c r="K2489" s="1" t="s">
        <v>5745</v>
      </c>
      <c r="L2489" s="1" t="s">
        <v>5746</v>
      </c>
      <c r="M2489" s="1">
        <v>187</v>
      </c>
      <c r="N2489" s="1" t="s">
        <v>1680</v>
      </c>
      <c r="O2489" s="1">
        <v>29.623699999999999</v>
      </c>
      <c r="P2489" s="1">
        <v>-98.139499999999998</v>
      </c>
      <c r="Q2489" s="1" t="s">
        <v>5803</v>
      </c>
      <c r="R2489" s="1" t="s">
        <v>41</v>
      </c>
      <c r="T2489" s="1" t="s">
        <v>71</v>
      </c>
      <c r="U2489" s="1" t="s">
        <v>44</v>
      </c>
      <c r="X2489" s="1" t="s">
        <v>140</v>
      </c>
      <c r="AA2489" s="3">
        <v>36880</v>
      </c>
      <c r="AB2489" s="1" t="s">
        <v>46</v>
      </c>
      <c r="AC2489" s="5">
        <v>2225</v>
      </c>
      <c r="AD2489" s="1" t="s">
        <v>5806</v>
      </c>
      <c r="AE2489" s="1" t="str">
        <f t="shared" si="175"/>
        <v>55153 CTG-3</v>
      </c>
      <c r="AF2489" s="14">
        <f>MID(AD2489,FIND("(",AD2489)+1,FIND(")",AD2489)-FIND("(",AD2489)-1)+201.9/2</f>
        <v>285.55</v>
      </c>
      <c r="AG2489" s="1" t="str">
        <f t="shared" si="174"/>
        <v/>
      </c>
    </row>
    <row r="2490" spans="1:33" x14ac:dyDescent="0.2">
      <c r="A2490" s="1" t="s">
        <v>383</v>
      </c>
      <c r="B2490" s="1" t="s">
        <v>5801</v>
      </c>
      <c r="C2490" s="1">
        <v>55153</v>
      </c>
      <c r="D2490" s="1" t="s">
        <v>5799</v>
      </c>
      <c r="F2490" s="1">
        <v>2023</v>
      </c>
      <c r="G2490" s="1" t="s">
        <v>346</v>
      </c>
      <c r="H2490" s="1" t="s">
        <v>5802</v>
      </c>
      <c r="I2490" s="1">
        <v>6</v>
      </c>
      <c r="J2490" s="1" t="s">
        <v>387</v>
      </c>
      <c r="K2490" s="1" t="s">
        <v>5745</v>
      </c>
      <c r="L2490" s="1" t="s">
        <v>5746</v>
      </c>
      <c r="M2490" s="1">
        <v>187</v>
      </c>
      <c r="N2490" s="1" t="s">
        <v>1680</v>
      </c>
      <c r="O2490" s="1">
        <v>29.623699999999999</v>
      </c>
      <c r="P2490" s="1">
        <v>-98.139499999999998</v>
      </c>
      <c r="Q2490" s="1" t="s">
        <v>5803</v>
      </c>
      <c r="R2490" s="1" t="s">
        <v>41</v>
      </c>
      <c r="T2490" s="1" t="s">
        <v>71</v>
      </c>
      <c r="U2490" s="1" t="s">
        <v>44</v>
      </c>
      <c r="X2490" s="1" t="s">
        <v>140</v>
      </c>
      <c r="AA2490" s="3">
        <v>36880</v>
      </c>
      <c r="AB2490" s="1" t="s">
        <v>46</v>
      </c>
      <c r="AC2490" s="5">
        <v>2225</v>
      </c>
      <c r="AD2490" s="1" t="s">
        <v>5807</v>
      </c>
      <c r="AE2490" s="1" t="str">
        <f t="shared" si="175"/>
        <v>55153 CTG-4</v>
      </c>
      <c r="AF2490" s="14">
        <f>AF2489</f>
        <v>285.55</v>
      </c>
      <c r="AG2490" s="1" t="str">
        <f t="shared" si="174"/>
        <v/>
      </c>
    </row>
    <row r="2491" spans="1:33" x14ac:dyDescent="0.2">
      <c r="A2491" s="1" t="s">
        <v>383</v>
      </c>
      <c r="B2491" s="1" t="s">
        <v>5808</v>
      </c>
      <c r="C2491" s="1">
        <v>55154</v>
      </c>
      <c r="D2491" s="1">
        <v>1</v>
      </c>
      <c r="F2491" s="1">
        <v>2023</v>
      </c>
      <c r="G2491" s="1" t="s">
        <v>346</v>
      </c>
      <c r="H2491" s="1">
        <v>605940</v>
      </c>
      <c r="I2491" s="1">
        <v>6</v>
      </c>
      <c r="K2491" s="1" t="s">
        <v>3026</v>
      </c>
      <c r="L2491" s="1" t="s">
        <v>3027</v>
      </c>
      <c r="M2491" s="1">
        <v>21</v>
      </c>
      <c r="N2491" s="1" t="s">
        <v>39</v>
      </c>
      <c r="O2491" s="1">
        <v>30.1478</v>
      </c>
      <c r="P2491" s="1">
        <v>-97.27</v>
      </c>
      <c r="Q2491" s="1" t="s">
        <v>5809</v>
      </c>
      <c r="R2491" s="1" t="s">
        <v>41</v>
      </c>
      <c r="T2491" s="1" t="s">
        <v>71</v>
      </c>
      <c r="U2491" s="1" t="s">
        <v>44</v>
      </c>
      <c r="X2491" s="1" t="s">
        <v>223</v>
      </c>
      <c r="AA2491" s="3">
        <v>36963</v>
      </c>
      <c r="AB2491" s="1" t="s">
        <v>46</v>
      </c>
      <c r="AC2491" s="5">
        <v>1990</v>
      </c>
      <c r="AD2491" s="1" t="s">
        <v>5810</v>
      </c>
      <c r="AE2491" s="1" t="str">
        <f t="shared" si="175"/>
        <v>55154 1</v>
      </c>
      <c r="AF2491" s="14">
        <f>MID(AD2491,FIND("(",AD2491)+1,FIND(")",AD2491)-FIND("(",AD2491)-1)+204/2</f>
        <v>297.5</v>
      </c>
      <c r="AG2491" s="1" t="str">
        <f t="shared" si="174"/>
        <v>Y</v>
      </c>
    </row>
    <row r="2492" spans="1:33" x14ac:dyDescent="0.2">
      <c r="A2492" s="1" t="s">
        <v>383</v>
      </c>
      <c r="B2492" s="1" t="s">
        <v>5808</v>
      </c>
      <c r="C2492" s="1">
        <v>55154</v>
      </c>
      <c r="D2492" s="1">
        <v>2</v>
      </c>
      <c r="F2492" s="1">
        <v>2023</v>
      </c>
      <c r="G2492" s="1" t="s">
        <v>346</v>
      </c>
      <c r="H2492" s="1">
        <v>605940</v>
      </c>
      <c r="I2492" s="1">
        <v>6</v>
      </c>
      <c r="K2492" s="1" t="s">
        <v>3026</v>
      </c>
      <c r="L2492" s="1" t="s">
        <v>3027</v>
      </c>
      <c r="M2492" s="1">
        <v>21</v>
      </c>
      <c r="N2492" s="1" t="s">
        <v>39</v>
      </c>
      <c r="O2492" s="1">
        <v>30.1478</v>
      </c>
      <c r="P2492" s="1">
        <v>-97.27</v>
      </c>
      <c r="Q2492" s="1" t="s">
        <v>5809</v>
      </c>
      <c r="R2492" s="1" t="s">
        <v>41</v>
      </c>
      <c r="T2492" s="1" t="s">
        <v>71</v>
      </c>
      <c r="U2492" s="1" t="s">
        <v>44</v>
      </c>
      <c r="X2492" s="1" t="s">
        <v>223</v>
      </c>
      <c r="AA2492" s="3">
        <v>36963</v>
      </c>
      <c r="AB2492" s="1" t="s">
        <v>46</v>
      </c>
      <c r="AC2492" s="5">
        <v>1990</v>
      </c>
      <c r="AD2492" s="1" t="s">
        <v>5811</v>
      </c>
      <c r="AE2492" s="1" t="str">
        <f t="shared" si="175"/>
        <v>55154 2</v>
      </c>
      <c r="AF2492" s="14">
        <f>AF2491</f>
        <v>297.5</v>
      </c>
      <c r="AG2492" s="1" t="str">
        <f t="shared" si="174"/>
        <v>Y</v>
      </c>
    </row>
    <row r="2493" spans="1:33" x14ac:dyDescent="0.2">
      <c r="A2493" s="1" t="s">
        <v>165</v>
      </c>
      <c r="B2493" s="1" t="s">
        <v>5812</v>
      </c>
      <c r="C2493" s="1">
        <v>55164</v>
      </c>
      <c r="D2493" s="1" t="s">
        <v>5813</v>
      </c>
      <c r="F2493" s="1">
        <v>2023</v>
      </c>
      <c r="G2493" s="1" t="s">
        <v>168</v>
      </c>
      <c r="H2493" s="1">
        <v>605834</v>
      </c>
      <c r="I2493" s="1">
        <v>4</v>
      </c>
      <c r="K2493" s="1" t="s">
        <v>5814</v>
      </c>
      <c r="L2493" s="1" t="s">
        <v>5815</v>
      </c>
      <c r="M2493" s="1">
        <v>185</v>
      </c>
      <c r="N2493" s="1" t="s">
        <v>39</v>
      </c>
      <c r="O2493" s="1">
        <v>38.3902</v>
      </c>
      <c r="P2493" s="1">
        <v>-85.413300000000007</v>
      </c>
      <c r="Q2493" s="1" t="s">
        <v>172</v>
      </c>
      <c r="R2493" s="1" t="s">
        <v>41</v>
      </c>
      <c r="T2493" s="1" t="s">
        <v>93</v>
      </c>
      <c r="U2493" s="1" t="s">
        <v>44</v>
      </c>
      <c r="V2493" s="1" t="s">
        <v>94</v>
      </c>
      <c r="X2493" s="1" t="s">
        <v>64</v>
      </c>
      <c r="AA2493" s="3">
        <v>37326</v>
      </c>
      <c r="AB2493" s="1" t="s">
        <v>46</v>
      </c>
      <c r="AC2493" s="5">
        <v>2076</v>
      </c>
      <c r="AD2493" s="1" t="s">
        <v>5816</v>
      </c>
      <c r="AE2493" s="1" t="str">
        <f t="shared" si="175"/>
        <v>55164 GTG1</v>
      </c>
      <c r="AF2493" s="5" t="str">
        <f t="shared" ref="AF2493:AF2502" si="179">MID(AD2493,FIND("(",AD2493)+1,FIND(")",AD2493)-FIND("(",AD2493)-1)</f>
        <v>208</v>
      </c>
      <c r="AG2493" s="1" t="str">
        <f t="shared" si="174"/>
        <v>Y</v>
      </c>
    </row>
    <row r="2494" spans="1:33" x14ac:dyDescent="0.2">
      <c r="A2494" s="1" t="s">
        <v>165</v>
      </c>
      <c r="B2494" s="1" t="s">
        <v>5812</v>
      </c>
      <c r="C2494" s="1">
        <v>55164</v>
      </c>
      <c r="D2494" s="1" t="s">
        <v>5817</v>
      </c>
      <c r="F2494" s="1">
        <v>2023</v>
      </c>
      <c r="G2494" s="1" t="s">
        <v>168</v>
      </c>
      <c r="H2494" s="1">
        <v>605834</v>
      </c>
      <c r="I2494" s="1">
        <v>4</v>
      </c>
      <c r="K2494" s="1" t="s">
        <v>5814</v>
      </c>
      <c r="L2494" s="1" t="s">
        <v>5815</v>
      </c>
      <c r="M2494" s="1">
        <v>185</v>
      </c>
      <c r="N2494" s="1" t="s">
        <v>39</v>
      </c>
      <c r="O2494" s="1">
        <v>38.3902</v>
      </c>
      <c r="P2494" s="1">
        <v>-85.413300000000007</v>
      </c>
      <c r="Q2494" s="1" t="s">
        <v>172</v>
      </c>
      <c r="R2494" s="1" t="s">
        <v>41</v>
      </c>
      <c r="T2494" s="1" t="s">
        <v>93</v>
      </c>
      <c r="U2494" s="1" t="s">
        <v>44</v>
      </c>
      <c r="V2494" s="1" t="s">
        <v>94</v>
      </c>
      <c r="X2494" s="1" t="s">
        <v>64</v>
      </c>
      <c r="AA2494" s="3">
        <v>37306</v>
      </c>
      <c r="AB2494" s="1" t="s">
        <v>46</v>
      </c>
      <c r="AC2494" s="5">
        <v>2076</v>
      </c>
      <c r="AD2494" s="1" t="s">
        <v>5818</v>
      </c>
      <c r="AE2494" s="1" t="str">
        <f t="shared" si="175"/>
        <v>55164 GTG2</v>
      </c>
      <c r="AF2494" s="5" t="str">
        <f t="shared" si="179"/>
        <v>208</v>
      </c>
      <c r="AG2494" s="1" t="str">
        <f t="shared" si="174"/>
        <v>Y</v>
      </c>
    </row>
    <row r="2495" spans="1:33" x14ac:dyDescent="0.2">
      <c r="A2495" s="1" t="s">
        <v>165</v>
      </c>
      <c r="B2495" s="1" t="s">
        <v>5812</v>
      </c>
      <c r="C2495" s="1">
        <v>55164</v>
      </c>
      <c r="D2495" s="1" t="s">
        <v>5819</v>
      </c>
      <c r="F2495" s="1">
        <v>2023</v>
      </c>
      <c r="G2495" s="1" t="s">
        <v>168</v>
      </c>
      <c r="H2495" s="1">
        <v>605834</v>
      </c>
      <c r="I2495" s="1">
        <v>4</v>
      </c>
      <c r="K2495" s="1" t="s">
        <v>5814</v>
      </c>
      <c r="L2495" s="1" t="s">
        <v>5815</v>
      </c>
      <c r="M2495" s="1">
        <v>185</v>
      </c>
      <c r="N2495" s="1" t="s">
        <v>39</v>
      </c>
      <c r="O2495" s="1">
        <v>38.3902</v>
      </c>
      <c r="P2495" s="1">
        <v>-85.413300000000007</v>
      </c>
      <c r="Q2495" s="1" t="s">
        <v>172</v>
      </c>
      <c r="R2495" s="1" t="s">
        <v>41</v>
      </c>
      <c r="T2495" s="1" t="s">
        <v>93</v>
      </c>
      <c r="U2495" s="1" t="s">
        <v>44</v>
      </c>
      <c r="V2495" s="1" t="s">
        <v>94</v>
      </c>
      <c r="X2495" s="1" t="s">
        <v>140</v>
      </c>
      <c r="AA2495" s="3">
        <v>37349</v>
      </c>
      <c r="AB2495" s="1" t="s">
        <v>46</v>
      </c>
      <c r="AC2495" s="5">
        <v>2076</v>
      </c>
      <c r="AD2495" s="1" t="s">
        <v>5820</v>
      </c>
      <c r="AE2495" s="1" t="str">
        <f t="shared" si="175"/>
        <v>55164 GTG3</v>
      </c>
      <c r="AF2495" s="5" t="str">
        <f t="shared" si="179"/>
        <v>208</v>
      </c>
      <c r="AG2495" s="1" t="str">
        <f t="shared" si="174"/>
        <v/>
      </c>
    </row>
    <row r="2496" spans="1:33" x14ac:dyDescent="0.2">
      <c r="A2496" s="1" t="s">
        <v>1426</v>
      </c>
      <c r="B2496" s="1" t="s">
        <v>5821</v>
      </c>
      <c r="C2496" s="1">
        <v>55165</v>
      </c>
      <c r="D2496" s="1" t="s">
        <v>5813</v>
      </c>
      <c r="F2496" s="1">
        <v>2023</v>
      </c>
      <c r="G2496" s="1" t="s">
        <v>1428</v>
      </c>
      <c r="H2496" s="1" t="s">
        <v>350</v>
      </c>
      <c r="I2496" s="1">
        <v>6</v>
      </c>
      <c r="K2496" s="1" t="s">
        <v>1441</v>
      </c>
      <c r="L2496" s="1" t="s">
        <v>1442</v>
      </c>
      <c r="M2496" s="1">
        <v>19</v>
      </c>
      <c r="N2496" s="1" t="s">
        <v>39</v>
      </c>
      <c r="O2496" s="1">
        <v>30.160299999999999</v>
      </c>
      <c r="P2496" s="1">
        <v>-93.345799999999997</v>
      </c>
      <c r="Q2496" s="1" t="s">
        <v>353</v>
      </c>
      <c r="R2496" s="1" t="s">
        <v>41</v>
      </c>
      <c r="T2496" s="1" t="s">
        <v>93</v>
      </c>
      <c r="U2496" s="1" t="s">
        <v>44</v>
      </c>
      <c r="X2496" s="1" t="s">
        <v>140</v>
      </c>
      <c r="AA2496" s="3">
        <v>36663</v>
      </c>
      <c r="AB2496" s="1" t="s">
        <v>46</v>
      </c>
      <c r="AC2496" s="5">
        <v>1950</v>
      </c>
      <c r="AD2496" s="1" t="s">
        <v>5822</v>
      </c>
      <c r="AE2496" s="1" t="str">
        <f t="shared" si="175"/>
        <v>55165 GTG1</v>
      </c>
      <c r="AF2496" s="5" t="str">
        <f t="shared" si="179"/>
        <v>155</v>
      </c>
      <c r="AG2496" s="1" t="str">
        <f t="shared" si="174"/>
        <v/>
      </c>
    </row>
    <row r="2497" spans="1:33" x14ac:dyDescent="0.2">
      <c r="A2497" s="1" t="s">
        <v>1426</v>
      </c>
      <c r="B2497" s="1" t="s">
        <v>5821</v>
      </c>
      <c r="C2497" s="1">
        <v>55165</v>
      </c>
      <c r="D2497" s="1" t="s">
        <v>5817</v>
      </c>
      <c r="F2497" s="1">
        <v>2023</v>
      </c>
      <c r="G2497" s="1" t="s">
        <v>1428</v>
      </c>
      <c r="H2497" s="1" t="s">
        <v>350</v>
      </c>
      <c r="I2497" s="1">
        <v>6</v>
      </c>
      <c r="K2497" s="1" t="s">
        <v>1441</v>
      </c>
      <c r="L2497" s="1" t="s">
        <v>1442</v>
      </c>
      <c r="M2497" s="1">
        <v>19</v>
      </c>
      <c r="N2497" s="1" t="s">
        <v>39</v>
      </c>
      <c r="O2497" s="1">
        <v>30.160299999999999</v>
      </c>
      <c r="P2497" s="1">
        <v>-93.345799999999997</v>
      </c>
      <c r="Q2497" s="1" t="s">
        <v>353</v>
      </c>
      <c r="R2497" s="1" t="s">
        <v>41</v>
      </c>
      <c r="T2497" s="1" t="s">
        <v>93</v>
      </c>
      <c r="U2497" s="1" t="s">
        <v>44</v>
      </c>
      <c r="X2497" s="1" t="s">
        <v>140</v>
      </c>
      <c r="AA2497" s="3">
        <v>36994</v>
      </c>
      <c r="AB2497" s="1" t="s">
        <v>46</v>
      </c>
      <c r="AC2497" s="5">
        <v>2100</v>
      </c>
      <c r="AD2497" s="1" t="s">
        <v>5823</v>
      </c>
      <c r="AE2497" s="1" t="str">
        <f t="shared" si="175"/>
        <v>55165 GTG2</v>
      </c>
      <c r="AF2497" s="5" t="str">
        <f t="shared" si="179"/>
        <v>165</v>
      </c>
      <c r="AG2497" s="1" t="str">
        <f t="shared" si="174"/>
        <v/>
      </c>
    </row>
    <row r="2498" spans="1:33" x14ac:dyDescent="0.2">
      <c r="A2498" s="1" t="s">
        <v>291</v>
      </c>
      <c r="B2498" s="1" t="s">
        <v>5824</v>
      </c>
      <c r="C2498" s="1">
        <v>55166</v>
      </c>
      <c r="D2498" s="1" t="s">
        <v>1296</v>
      </c>
      <c r="F2498" s="1">
        <v>2023</v>
      </c>
      <c r="G2498" s="1" t="s">
        <v>2690</v>
      </c>
      <c r="H2498" s="1">
        <v>604603</v>
      </c>
      <c r="I2498" s="1">
        <v>4</v>
      </c>
      <c r="K2498" s="1" t="s">
        <v>1275</v>
      </c>
      <c r="L2498" s="1" t="s">
        <v>4575</v>
      </c>
      <c r="M2498" s="1">
        <v>21</v>
      </c>
      <c r="N2498" s="1" t="s">
        <v>39</v>
      </c>
      <c r="O2498" s="1">
        <v>35.078600000000002</v>
      </c>
      <c r="P2498" s="1">
        <v>-81.575000000000003</v>
      </c>
      <c r="Q2498" s="1" t="s">
        <v>5825</v>
      </c>
      <c r="R2498" s="1" t="s">
        <v>41</v>
      </c>
      <c r="T2498" s="1" t="s">
        <v>93</v>
      </c>
      <c r="U2498" s="1" t="s">
        <v>44</v>
      </c>
      <c r="V2498" s="1" t="s">
        <v>94</v>
      </c>
      <c r="X2498" s="1" t="s">
        <v>140</v>
      </c>
      <c r="AA2498" s="3">
        <v>36653</v>
      </c>
      <c r="AB2498" s="1" t="s">
        <v>46</v>
      </c>
      <c r="AC2498" s="5">
        <v>2137.5</v>
      </c>
      <c r="AD2498" s="1" t="s">
        <v>5826</v>
      </c>
      <c r="AE2498" s="1" t="str">
        <f t="shared" si="175"/>
        <v>55166 CT-1</v>
      </c>
      <c r="AF2498" s="5" t="str">
        <f t="shared" si="179"/>
        <v>197</v>
      </c>
      <c r="AG2498" s="1" t="str">
        <f t="shared" ref="AG2498:AG2561" si="180">IF(ISNUMBER(SEARCH("selective", X2498)), "Y", "")</f>
        <v/>
      </c>
    </row>
    <row r="2499" spans="1:33" x14ac:dyDescent="0.2">
      <c r="A2499" s="1" t="s">
        <v>291</v>
      </c>
      <c r="B2499" s="1" t="s">
        <v>5824</v>
      </c>
      <c r="C2499" s="1">
        <v>55166</v>
      </c>
      <c r="D2499" s="1" t="s">
        <v>1300</v>
      </c>
      <c r="F2499" s="1">
        <v>2023</v>
      </c>
      <c r="G2499" s="1" t="s">
        <v>2690</v>
      </c>
      <c r="H2499" s="1">
        <v>604603</v>
      </c>
      <c r="I2499" s="1">
        <v>4</v>
      </c>
      <c r="K2499" s="1" t="s">
        <v>1275</v>
      </c>
      <c r="L2499" s="1" t="s">
        <v>4575</v>
      </c>
      <c r="M2499" s="1">
        <v>21</v>
      </c>
      <c r="N2499" s="1" t="s">
        <v>39</v>
      </c>
      <c r="O2499" s="1">
        <v>35.078600000000002</v>
      </c>
      <c r="P2499" s="1">
        <v>-81.575000000000003</v>
      </c>
      <c r="Q2499" s="1" t="s">
        <v>5825</v>
      </c>
      <c r="R2499" s="1" t="s">
        <v>41</v>
      </c>
      <c r="T2499" s="1" t="s">
        <v>93</v>
      </c>
      <c r="U2499" s="1" t="s">
        <v>44</v>
      </c>
      <c r="V2499" s="1" t="s">
        <v>94</v>
      </c>
      <c r="X2499" s="1" t="s">
        <v>140</v>
      </c>
      <c r="AA2499" s="3">
        <v>36660</v>
      </c>
      <c r="AB2499" s="1" t="s">
        <v>46</v>
      </c>
      <c r="AC2499" s="5">
        <v>2137.5</v>
      </c>
      <c r="AD2499" s="1" t="s">
        <v>5827</v>
      </c>
      <c r="AE2499" s="1" t="str">
        <f t="shared" ref="AE2499:AE2562" si="181">C2499&amp;" "&amp;D2499</f>
        <v>55166 CT-2</v>
      </c>
      <c r="AF2499" s="5" t="str">
        <f t="shared" si="179"/>
        <v>197</v>
      </c>
      <c r="AG2499" s="1" t="str">
        <f t="shared" si="180"/>
        <v/>
      </c>
    </row>
    <row r="2500" spans="1:33" x14ac:dyDescent="0.2">
      <c r="A2500" s="1" t="s">
        <v>291</v>
      </c>
      <c r="B2500" s="1" t="s">
        <v>5824</v>
      </c>
      <c r="C2500" s="1">
        <v>55166</v>
      </c>
      <c r="D2500" s="1" t="s">
        <v>1302</v>
      </c>
      <c r="F2500" s="1">
        <v>2023</v>
      </c>
      <c r="G2500" s="1" t="s">
        <v>2690</v>
      </c>
      <c r="H2500" s="1">
        <v>604603</v>
      </c>
      <c r="I2500" s="1">
        <v>4</v>
      </c>
      <c r="K2500" s="1" t="s">
        <v>1275</v>
      </c>
      <c r="L2500" s="1" t="s">
        <v>4575</v>
      </c>
      <c r="M2500" s="1">
        <v>21</v>
      </c>
      <c r="N2500" s="1" t="s">
        <v>39</v>
      </c>
      <c r="O2500" s="1">
        <v>35.078600000000002</v>
      </c>
      <c r="P2500" s="1">
        <v>-81.575000000000003</v>
      </c>
      <c r="Q2500" s="1" t="s">
        <v>5825</v>
      </c>
      <c r="R2500" s="1" t="s">
        <v>41</v>
      </c>
      <c r="T2500" s="1" t="s">
        <v>93</v>
      </c>
      <c r="U2500" s="1" t="s">
        <v>44</v>
      </c>
      <c r="V2500" s="1" t="s">
        <v>94</v>
      </c>
      <c r="X2500" s="1" t="s">
        <v>140</v>
      </c>
      <c r="AA2500" s="3">
        <v>36667</v>
      </c>
      <c r="AB2500" s="1" t="s">
        <v>46</v>
      </c>
      <c r="AC2500" s="5">
        <v>2137.5</v>
      </c>
      <c r="AD2500" s="1" t="s">
        <v>5828</v>
      </c>
      <c r="AE2500" s="1" t="str">
        <f t="shared" si="181"/>
        <v>55166 CT-3</v>
      </c>
      <c r="AF2500" s="5" t="str">
        <f t="shared" si="179"/>
        <v>197</v>
      </c>
      <c r="AG2500" s="1" t="str">
        <f t="shared" si="180"/>
        <v/>
      </c>
    </row>
    <row r="2501" spans="1:33" x14ac:dyDescent="0.2">
      <c r="A2501" s="1" t="s">
        <v>291</v>
      </c>
      <c r="B2501" s="1" t="s">
        <v>5824</v>
      </c>
      <c r="C2501" s="1">
        <v>55166</v>
      </c>
      <c r="D2501" s="1" t="s">
        <v>1304</v>
      </c>
      <c r="F2501" s="1">
        <v>2023</v>
      </c>
      <c r="G2501" s="1" t="s">
        <v>2690</v>
      </c>
      <c r="H2501" s="1">
        <v>604603</v>
      </c>
      <c r="I2501" s="1">
        <v>4</v>
      </c>
      <c r="K2501" s="1" t="s">
        <v>1275</v>
      </c>
      <c r="L2501" s="1" t="s">
        <v>4575</v>
      </c>
      <c r="M2501" s="1">
        <v>21</v>
      </c>
      <c r="N2501" s="1" t="s">
        <v>39</v>
      </c>
      <c r="O2501" s="1">
        <v>35.078600000000002</v>
      </c>
      <c r="P2501" s="1">
        <v>-81.575000000000003</v>
      </c>
      <c r="Q2501" s="1" t="s">
        <v>5825</v>
      </c>
      <c r="R2501" s="1" t="s">
        <v>41</v>
      </c>
      <c r="T2501" s="1" t="s">
        <v>93</v>
      </c>
      <c r="U2501" s="1" t="s">
        <v>44</v>
      </c>
      <c r="V2501" s="1" t="s">
        <v>94</v>
      </c>
      <c r="X2501" s="1" t="s">
        <v>140</v>
      </c>
      <c r="AA2501" s="3">
        <v>36980</v>
      </c>
      <c r="AB2501" s="1" t="s">
        <v>46</v>
      </c>
      <c r="AC2501" s="5">
        <v>2137.5</v>
      </c>
      <c r="AD2501" s="1" t="s">
        <v>5829</v>
      </c>
      <c r="AE2501" s="1" t="str">
        <f t="shared" si="181"/>
        <v>55166 CT-4</v>
      </c>
      <c r="AF2501" s="5" t="str">
        <f t="shared" si="179"/>
        <v>197</v>
      </c>
      <c r="AG2501" s="1" t="str">
        <f t="shared" si="180"/>
        <v/>
      </c>
    </row>
    <row r="2502" spans="1:33" x14ac:dyDescent="0.2">
      <c r="A2502" s="1" t="s">
        <v>291</v>
      </c>
      <c r="B2502" s="1" t="s">
        <v>5824</v>
      </c>
      <c r="C2502" s="1">
        <v>55166</v>
      </c>
      <c r="D2502" s="1" t="s">
        <v>5830</v>
      </c>
      <c r="F2502" s="1">
        <v>2023</v>
      </c>
      <c r="G2502" s="1" t="s">
        <v>2690</v>
      </c>
      <c r="H2502" s="1">
        <v>604603</v>
      </c>
      <c r="I2502" s="1">
        <v>4</v>
      </c>
      <c r="K2502" s="1" t="s">
        <v>1275</v>
      </c>
      <c r="L2502" s="1" t="s">
        <v>4575</v>
      </c>
      <c r="M2502" s="1">
        <v>21</v>
      </c>
      <c r="N2502" s="1" t="s">
        <v>39</v>
      </c>
      <c r="O2502" s="1">
        <v>35.078600000000002</v>
      </c>
      <c r="P2502" s="1">
        <v>-81.575000000000003</v>
      </c>
      <c r="Q2502" s="1" t="s">
        <v>5825</v>
      </c>
      <c r="R2502" s="1" t="s">
        <v>41</v>
      </c>
      <c r="T2502" s="1" t="s">
        <v>93</v>
      </c>
      <c r="U2502" s="1" t="s">
        <v>44</v>
      </c>
      <c r="V2502" s="1" t="s">
        <v>94</v>
      </c>
      <c r="X2502" s="1" t="s">
        <v>140</v>
      </c>
      <c r="AA2502" s="3">
        <v>36980</v>
      </c>
      <c r="AB2502" s="1" t="s">
        <v>46</v>
      </c>
      <c r="AC2502" s="5">
        <v>2137.5</v>
      </c>
      <c r="AD2502" s="1" t="s">
        <v>5831</v>
      </c>
      <c r="AE2502" s="1" t="str">
        <f t="shared" si="181"/>
        <v>55166 CT-5</v>
      </c>
      <c r="AF2502" s="5" t="str">
        <f t="shared" si="179"/>
        <v>197</v>
      </c>
      <c r="AG2502" s="1" t="str">
        <f t="shared" si="180"/>
        <v/>
      </c>
    </row>
    <row r="2503" spans="1:33" x14ac:dyDescent="0.2">
      <c r="A2503" s="1" t="s">
        <v>383</v>
      </c>
      <c r="B2503" s="1" t="s">
        <v>5832</v>
      </c>
      <c r="C2503" s="1">
        <v>55168</v>
      </c>
      <c r="D2503" s="1" t="s">
        <v>5833</v>
      </c>
      <c r="F2503" s="1">
        <v>2023</v>
      </c>
      <c r="G2503" s="1" t="s">
        <v>346</v>
      </c>
      <c r="H2503" s="1" t="s">
        <v>5037</v>
      </c>
      <c r="I2503" s="1">
        <v>6</v>
      </c>
      <c r="K2503" s="1" t="s">
        <v>3026</v>
      </c>
      <c r="L2503" s="1" t="s">
        <v>3027</v>
      </c>
      <c r="M2503" s="1">
        <v>21</v>
      </c>
      <c r="N2503" s="1" t="s">
        <v>39</v>
      </c>
      <c r="O2503" s="1">
        <v>30.145800000000001</v>
      </c>
      <c r="P2503" s="1">
        <v>-97.55</v>
      </c>
      <c r="Q2503" s="1" t="s">
        <v>5834</v>
      </c>
      <c r="R2503" s="1" t="s">
        <v>41</v>
      </c>
      <c r="T2503" s="1" t="s">
        <v>71</v>
      </c>
      <c r="U2503" s="1" t="s">
        <v>44</v>
      </c>
      <c r="X2503" s="1" t="s">
        <v>140</v>
      </c>
      <c r="AA2503" s="3">
        <v>37346</v>
      </c>
      <c r="AB2503" s="1" t="s">
        <v>46</v>
      </c>
      <c r="AC2503" s="5">
        <v>2450</v>
      </c>
      <c r="AD2503" s="1" t="s">
        <v>5835</v>
      </c>
      <c r="AE2503" s="1" t="str">
        <f t="shared" si="181"/>
        <v>55168 CTG-1A</v>
      </c>
      <c r="AF2503" s="14">
        <f>MID(AD2503,FIND("(",AD2503)+1,FIND(")",AD2503)-FIND("(",AD2503)-1)+242.3/2</f>
        <v>309.45000000000005</v>
      </c>
      <c r="AG2503" s="1" t="str">
        <f t="shared" si="180"/>
        <v/>
      </c>
    </row>
    <row r="2504" spans="1:33" x14ac:dyDescent="0.2">
      <c r="A2504" s="1" t="s">
        <v>383</v>
      </c>
      <c r="B2504" s="1" t="s">
        <v>5832</v>
      </c>
      <c r="C2504" s="1">
        <v>55168</v>
      </c>
      <c r="D2504" s="1" t="s">
        <v>5836</v>
      </c>
      <c r="F2504" s="1">
        <v>2023</v>
      </c>
      <c r="G2504" s="1" t="s">
        <v>346</v>
      </c>
      <c r="H2504" s="1" t="s">
        <v>5037</v>
      </c>
      <c r="I2504" s="1">
        <v>6</v>
      </c>
      <c r="K2504" s="1" t="s">
        <v>3026</v>
      </c>
      <c r="L2504" s="1" t="s">
        <v>3027</v>
      </c>
      <c r="M2504" s="1">
        <v>21</v>
      </c>
      <c r="N2504" s="1" t="s">
        <v>39</v>
      </c>
      <c r="O2504" s="1">
        <v>30.145800000000001</v>
      </c>
      <c r="P2504" s="1">
        <v>-97.55</v>
      </c>
      <c r="Q2504" s="1" t="s">
        <v>5834</v>
      </c>
      <c r="R2504" s="1" t="s">
        <v>41</v>
      </c>
      <c r="T2504" s="1" t="s">
        <v>71</v>
      </c>
      <c r="U2504" s="1" t="s">
        <v>44</v>
      </c>
      <c r="X2504" s="1" t="s">
        <v>140</v>
      </c>
      <c r="AA2504" s="3">
        <v>37257</v>
      </c>
      <c r="AB2504" s="1" t="s">
        <v>46</v>
      </c>
      <c r="AC2504" s="5">
        <v>2450</v>
      </c>
      <c r="AD2504" s="1" t="s">
        <v>5837</v>
      </c>
      <c r="AE2504" s="1" t="str">
        <f t="shared" si="181"/>
        <v>55168 CTG-1B</v>
      </c>
      <c r="AF2504" s="14">
        <f>AF2503</f>
        <v>309.45000000000005</v>
      </c>
      <c r="AG2504" s="1" t="str">
        <f t="shared" si="180"/>
        <v/>
      </c>
    </row>
    <row r="2505" spans="1:33" x14ac:dyDescent="0.2">
      <c r="A2505" s="1" t="s">
        <v>1961</v>
      </c>
      <c r="B2505" s="1" t="s">
        <v>5838</v>
      </c>
      <c r="C2505" s="1">
        <v>55170</v>
      </c>
      <c r="D2505" s="1">
        <v>1</v>
      </c>
      <c r="F2505" s="1">
        <v>2023</v>
      </c>
      <c r="G2505" s="1" t="s">
        <v>1976</v>
      </c>
      <c r="H2505" s="1">
        <v>604977</v>
      </c>
      <c r="I2505" s="1">
        <v>1</v>
      </c>
      <c r="K2505" s="1" t="s">
        <v>1970</v>
      </c>
      <c r="L2505" s="1" t="s">
        <v>1971</v>
      </c>
      <c r="M2505" s="1">
        <v>15</v>
      </c>
      <c r="N2505" s="1" t="s">
        <v>39</v>
      </c>
      <c r="O2505" s="1">
        <v>42.904299999999999</v>
      </c>
      <c r="P2505" s="1">
        <v>-71.4251</v>
      </c>
      <c r="Q2505" s="1" t="s">
        <v>5839</v>
      </c>
      <c r="R2505" s="1" t="s">
        <v>41</v>
      </c>
      <c r="T2505" s="1" t="s">
        <v>71</v>
      </c>
      <c r="U2505" s="1" t="s">
        <v>44</v>
      </c>
      <c r="X2505" s="1" t="s">
        <v>2214</v>
      </c>
      <c r="AA2505" s="3">
        <v>37671</v>
      </c>
      <c r="AB2505" s="1" t="s">
        <v>46</v>
      </c>
      <c r="AC2505" s="5">
        <v>2849</v>
      </c>
      <c r="AD2505" s="1" t="s">
        <v>5840</v>
      </c>
      <c r="AE2505" s="1" t="str">
        <f t="shared" si="181"/>
        <v>55170 1</v>
      </c>
      <c r="AF2505" s="14">
        <f>MID(AD2505,FIND("(",AD2505)+1,FIND(")",AD2505)-FIND("(",AD2505)-1)+270/2</f>
        <v>395</v>
      </c>
      <c r="AG2505" s="1" t="str">
        <f t="shared" si="180"/>
        <v/>
      </c>
    </row>
    <row r="2506" spans="1:33" x14ac:dyDescent="0.2">
      <c r="A2506" s="1" t="s">
        <v>1961</v>
      </c>
      <c r="B2506" s="1" t="s">
        <v>5838</v>
      </c>
      <c r="C2506" s="1">
        <v>55170</v>
      </c>
      <c r="D2506" s="1">
        <v>2</v>
      </c>
      <c r="F2506" s="1">
        <v>2023</v>
      </c>
      <c r="G2506" s="1" t="s">
        <v>1976</v>
      </c>
      <c r="H2506" s="1">
        <v>604977</v>
      </c>
      <c r="I2506" s="1">
        <v>1</v>
      </c>
      <c r="K2506" s="1" t="s">
        <v>1970</v>
      </c>
      <c r="L2506" s="1" t="s">
        <v>1971</v>
      </c>
      <c r="M2506" s="1">
        <v>15</v>
      </c>
      <c r="N2506" s="1" t="s">
        <v>39</v>
      </c>
      <c r="O2506" s="1">
        <v>42.904299999999999</v>
      </c>
      <c r="P2506" s="1">
        <v>-71.4251</v>
      </c>
      <c r="Q2506" s="1" t="s">
        <v>5839</v>
      </c>
      <c r="R2506" s="1" t="s">
        <v>41</v>
      </c>
      <c r="T2506" s="1" t="s">
        <v>71</v>
      </c>
      <c r="U2506" s="1" t="s">
        <v>44</v>
      </c>
      <c r="X2506" s="1" t="s">
        <v>2214</v>
      </c>
      <c r="AA2506" s="3">
        <v>37671</v>
      </c>
      <c r="AB2506" s="1" t="s">
        <v>46</v>
      </c>
      <c r="AC2506" s="5">
        <v>2849</v>
      </c>
      <c r="AD2506" s="1" t="s">
        <v>5841</v>
      </c>
      <c r="AE2506" s="1" t="str">
        <f t="shared" si="181"/>
        <v>55170 2</v>
      </c>
      <c r="AF2506" s="14">
        <f>AF2505</f>
        <v>395</v>
      </c>
      <c r="AG2506" s="1" t="str">
        <f t="shared" si="180"/>
        <v/>
      </c>
    </row>
    <row r="2507" spans="1:33" x14ac:dyDescent="0.2">
      <c r="A2507" s="1" t="s">
        <v>383</v>
      </c>
      <c r="B2507" s="1" t="s">
        <v>5842</v>
      </c>
      <c r="C2507" s="1">
        <v>55172</v>
      </c>
      <c r="D2507" s="1" t="s">
        <v>1155</v>
      </c>
      <c r="F2507" s="1">
        <v>2023</v>
      </c>
      <c r="G2507" s="1" t="s">
        <v>346</v>
      </c>
      <c r="H2507" s="1" t="s">
        <v>5843</v>
      </c>
      <c r="I2507" s="1">
        <v>6</v>
      </c>
      <c r="K2507" s="1" t="s">
        <v>5844</v>
      </c>
      <c r="L2507" s="1" t="s">
        <v>5845</v>
      </c>
      <c r="M2507" s="1">
        <v>35</v>
      </c>
      <c r="N2507" s="1" t="s">
        <v>39</v>
      </c>
      <c r="O2507" s="1">
        <v>31.859400000000001</v>
      </c>
      <c r="P2507" s="1">
        <v>-97.358599999999996</v>
      </c>
      <c r="Q2507" s="1" t="s">
        <v>5846</v>
      </c>
      <c r="R2507" s="1" t="s">
        <v>41</v>
      </c>
      <c r="T2507" s="1" t="s">
        <v>71</v>
      </c>
      <c r="U2507" s="1" t="s">
        <v>44</v>
      </c>
      <c r="X2507" s="1" t="s">
        <v>858</v>
      </c>
      <c r="AA2507" s="3">
        <v>36678</v>
      </c>
      <c r="AB2507" s="1" t="s">
        <v>46</v>
      </c>
      <c r="AC2507" s="5">
        <v>2136</v>
      </c>
      <c r="AD2507" s="1" t="s">
        <v>5847</v>
      </c>
      <c r="AE2507" s="1" t="str">
        <f t="shared" si="181"/>
        <v>55172 GT-1</v>
      </c>
      <c r="AF2507" s="14">
        <f>MID(AD2507,FIND("(",AD2507)+1,FIND(")",AD2507)-FIND("(",AD2507)-1)+250/2</f>
        <v>279</v>
      </c>
      <c r="AG2507" s="1" t="str">
        <f t="shared" si="180"/>
        <v>Y</v>
      </c>
    </row>
    <row r="2508" spans="1:33" x14ac:dyDescent="0.2">
      <c r="A2508" s="1" t="s">
        <v>383</v>
      </c>
      <c r="B2508" s="1" t="s">
        <v>5842</v>
      </c>
      <c r="C2508" s="1">
        <v>55172</v>
      </c>
      <c r="D2508" s="1" t="s">
        <v>1162</v>
      </c>
      <c r="F2508" s="1">
        <v>2023</v>
      </c>
      <c r="G2508" s="1" t="s">
        <v>346</v>
      </c>
      <c r="H2508" s="1" t="s">
        <v>5843</v>
      </c>
      <c r="I2508" s="1">
        <v>6</v>
      </c>
      <c r="K2508" s="1" t="s">
        <v>5844</v>
      </c>
      <c r="L2508" s="1" t="s">
        <v>5845</v>
      </c>
      <c r="M2508" s="1">
        <v>35</v>
      </c>
      <c r="N2508" s="1" t="s">
        <v>39</v>
      </c>
      <c r="O2508" s="1">
        <v>31.859400000000001</v>
      </c>
      <c r="P2508" s="1">
        <v>-97.358599999999996</v>
      </c>
      <c r="Q2508" s="1" t="s">
        <v>5846</v>
      </c>
      <c r="R2508" s="1" t="s">
        <v>41</v>
      </c>
      <c r="T2508" s="1" t="s">
        <v>71</v>
      </c>
      <c r="U2508" s="1" t="s">
        <v>44</v>
      </c>
      <c r="X2508" s="1" t="s">
        <v>858</v>
      </c>
      <c r="AA2508" s="3">
        <v>36678</v>
      </c>
      <c r="AB2508" s="1" t="s">
        <v>46</v>
      </c>
      <c r="AC2508" s="5">
        <v>2136</v>
      </c>
      <c r="AD2508" s="1" t="s">
        <v>5848</v>
      </c>
      <c r="AE2508" s="1" t="str">
        <f t="shared" si="181"/>
        <v>55172 GT-2</v>
      </c>
      <c r="AF2508" s="14">
        <f>AF2507</f>
        <v>279</v>
      </c>
      <c r="AG2508" s="1" t="str">
        <f t="shared" si="180"/>
        <v>Y</v>
      </c>
    </row>
    <row r="2509" spans="1:33" x14ac:dyDescent="0.2">
      <c r="A2509" s="1" t="s">
        <v>383</v>
      </c>
      <c r="B2509" s="1" t="s">
        <v>5842</v>
      </c>
      <c r="C2509" s="1">
        <v>55172</v>
      </c>
      <c r="D2509" s="1" t="s">
        <v>1164</v>
      </c>
      <c r="F2509" s="1">
        <v>2023</v>
      </c>
      <c r="G2509" s="1" t="s">
        <v>346</v>
      </c>
      <c r="H2509" s="1" t="s">
        <v>5843</v>
      </c>
      <c r="I2509" s="1">
        <v>6</v>
      </c>
      <c r="K2509" s="1" t="s">
        <v>5844</v>
      </c>
      <c r="L2509" s="1" t="s">
        <v>5845</v>
      </c>
      <c r="M2509" s="1">
        <v>35</v>
      </c>
      <c r="N2509" s="1" t="s">
        <v>39</v>
      </c>
      <c r="O2509" s="1">
        <v>31.859400000000001</v>
      </c>
      <c r="P2509" s="1">
        <v>-97.358599999999996</v>
      </c>
      <c r="Q2509" s="1" t="s">
        <v>5846</v>
      </c>
      <c r="R2509" s="1" t="s">
        <v>41</v>
      </c>
      <c r="T2509" s="1" t="s">
        <v>71</v>
      </c>
      <c r="U2509" s="1" t="s">
        <v>44</v>
      </c>
      <c r="X2509" s="1" t="s">
        <v>140</v>
      </c>
      <c r="AA2509" s="3">
        <v>36915</v>
      </c>
      <c r="AB2509" s="1" t="s">
        <v>46</v>
      </c>
      <c r="AC2509" s="5">
        <v>1910</v>
      </c>
      <c r="AD2509" s="1" t="s">
        <v>5849</v>
      </c>
      <c r="AE2509" s="1" t="str">
        <f t="shared" si="181"/>
        <v>55172 GT-3</v>
      </c>
      <c r="AF2509" s="14">
        <f>MID(AD2509,FIND("(",AD2509)+1,FIND(")",AD2509)-FIND("(",AD2509)-1)+95</f>
        <v>249</v>
      </c>
      <c r="AG2509" s="1" t="str">
        <f t="shared" si="180"/>
        <v/>
      </c>
    </row>
    <row r="2510" spans="1:33" x14ac:dyDescent="0.2">
      <c r="A2510" s="1" t="s">
        <v>1426</v>
      </c>
      <c r="B2510" s="1" t="s">
        <v>5850</v>
      </c>
      <c r="C2510" s="1">
        <v>55173</v>
      </c>
      <c r="D2510" s="1" t="s">
        <v>311</v>
      </c>
      <c r="F2510" s="1">
        <v>2023</v>
      </c>
      <c r="G2510" s="1" t="s">
        <v>1428</v>
      </c>
      <c r="H2510" s="1">
        <v>610205</v>
      </c>
      <c r="I2510" s="1">
        <v>6</v>
      </c>
      <c r="K2510" s="1" t="s">
        <v>5851</v>
      </c>
      <c r="L2510" s="1" t="s">
        <v>5852</v>
      </c>
      <c r="M2510" s="1">
        <v>1</v>
      </c>
      <c r="N2510" s="1" t="s">
        <v>39</v>
      </c>
      <c r="O2510" s="1">
        <v>30.4284</v>
      </c>
      <c r="P2510" s="1">
        <v>-92.411199999999994</v>
      </c>
      <c r="Q2510" s="1" t="s">
        <v>1448</v>
      </c>
      <c r="R2510" s="1" t="s">
        <v>41</v>
      </c>
      <c r="T2510" s="1" t="s">
        <v>71</v>
      </c>
      <c r="U2510" s="1" t="s">
        <v>44</v>
      </c>
      <c r="X2510" s="1" t="s">
        <v>223</v>
      </c>
      <c r="AA2510" s="3">
        <v>37469</v>
      </c>
      <c r="AB2510" s="1" t="s">
        <v>46</v>
      </c>
      <c r="AC2510" s="5">
        <v>2500</v>
      </c>
      <c r="AD2510" s="1" t="s">
        <v>5853</v>
      </c>
      <c r="AE2510" s="1" t="str">
        <f t="shared" si="181"/>
        <v>55173 CT1</v>
      </c>
      <c r="AF2510" s="14">
        <f>MID(AD2510,FIND("(",AD2510)+1,FIND(")",AD2510)-FIND("(",AD2510)-1)+264/2</f>
        <v>344</v>
      </c>
      <c r="AG2510" s="1" t="str">
        <f t="shared" si="180"/>
        <v>Y</v>
      </c>
    </row>
    <row r="2511" spans="1:33" x14ac:dyDescent="0.2">
      <c r="A2511" s="1" t="s">
        <v>1426</v>
      </c>
      <c r="B2511" s="1" t="s">
        <v>5850</v>
      </c>
      <c r="C2511" s="1">
        <v>55173</v>
      </c>
      <c r="D2511" s="1" t="s">
        <v>98</v>
      </c>
      <c r="F2511" s="1">
        <v>2023</v>
      </c>
      <c r="G2511" s="1" t="s">
        <v>1428</v>
      </c>
      <c r="H2511" s="1">
        <v>610205</v>
      </c>
      <c r="I2511" s="1">
        <v>6</v>
      </c>
      <c r="K2511" s="1" t="s">
        <v>5851</v>
      </c>
      <c r="L2511" s="1" t="s">
        <v>5852</v>
      </c>
      <c r="M2511" s="1">
        <v>1</v>
      </c>
      <c r="N2511" s="1" t="s">
        <v>39</v>
      </c>
      <c r="O2511" s="1">
        <v>30.4284</v>
      </c>
      <c r="P2511" s="1">
        <v>-92.411199999999994</v>
      </c>
      <c r="Q2511" s="1" t="s">
        <v>1448</v>
      </c>
      <c r="R2511" s="1" t="s">
        <v>41</v>
      </c>
      <c r="T2511" s="1" t="s">
        <v>71</v>
      </c>
      <c r="U2511" s="1" t="s">
        <v>44</v>
      </c>
      <c r="X2511" s="1" t="s">
        <v>223</v>
      </c>
      <c r="AA2511" s="3">
        <v>37469</v>
      </c>
      <c r="AB2511" s="1" t="s">
        <v>46</v>
      </c>
      <c r="AC2511" s="5">
        <v>2500</v>
      </c>
      <c r="AD2511" s="1" t="s">
        <v>5854</v>
      </c>
      <c r="AE2511" s="1" t="str">
        <f t="shared" si="181"/>
        <v>55173 CT2</v>
      </c>
      <c r="AF2511" s="14">
        <f>AF2510</f>
        <v>344</v>
      </c>
      <c r="AG2511" s="1" t="str">
        <f t="shared" si="180"/>
        <v>Y</v>
      </c>
    </row>
    <row r="2512" spans="1:33" x14ac:dyDescent="0.2">
      <c r="A2512" s="1" t="s">
        <v>1426</v>
      </c>
      <c r="B2512" s="1" t="s">
        <v>5850</v>
      </c>
      <c r="C2512" s="1">
        <v>55173</v>
      </c>
      <c r="D2512" s="1" t="s">
        <v>101</v>
      </c>
      <c r="F2512" s="1">
        <v>2023</v>
      </c>
      <c r="G2512" s="1" t="s">
        <v>1428</v>
      </c>
      <c r="H2512" s="1">
        <v>610205</v>
      </c>
      <c r="I2512" s="1">
        <v>6</v>
      </c>
      <c r="K2512" s="1" t="s">
        <v>5851</v>
      </c>
      <c r="L2512" s="1" t="s">
        <v>5852</v>
      </c>
      <c r="M2512" s="1">
        <v>1</v>
      </c>
      <c r="N2512" s="1" t="s">
        <v>39</v>
      </c>
      <c r="O2512" s="1">
        <v>30.4284</v>
      </c>
      <c r="P2512" s="1">
        <v>-92.411199999999994</v>
      </c>
      <c r="Q2512" s="1" t="s">
        <v>5855</v>
      </c>
      <c r="R2512" s="1" t="s">
        <v>41</v>
      </c>
      <c r="T2512" s="1" t="s">
        <v>71</v>
      </c>
      <c r="U2512" s="1" t="s">
        <v>44</v>
      </c>
      <c r="X2512" s="1" t="s">
        <v>223</v>
      </c>
      <c r="AA2512" s="3">
        <v>37469</v>
      </c>
      <c r="AB2512" s="1" t="s">
        <v>46</v>
      </c>
      <c r="AC2512" s="5">
        <v>2500</v>
      </c>
      <c r="AD2512" s="1" t="s">
        <v>5856</v>
      </c>
      <c r="AE2512" s="1" t="str">
        <f t="shared" si="181"/>
        <v>55173 CT3</v>
      </c>
      <c r="AF2512" s="14">
        <f>MID(AD2512,FIND("(",AD2512)+1,FIND(")",AD2512)-FIND("(",AD2512)-1)+264/2</f>
        <v>344</v>
      </c>
      <c r="AG2512" s="1" t="str">
        <f t="shared" si="180"/>
        <v>Y</v>
      </c>
    </row>
    <row r="2513" spans="1:33" x14ac:dyDescent="0.2">
      <c r="A2513" s="1" t="s">
        <v>1426</v>
      </c>
      <c r="B2513" s="1" t="s">
        <v>5850</v>
      </c>
      <c r="C2513" s="1">
        <v>55173</v>
      </c>
      <c r="D2513" s="1" t="s">
        <v>103</v>
      </c>
      <c r="F2513" s="1">
        <v>2023</v>
      </c>
      <c r="G2513" s="1" t="s">
        <v>1428</v>
      </c>
      <c r="H2513" s="1">
        <v>610205</v>
      </c>
      <c r="I2513" s="1">
        <v>6</v>
      </c>
      <c r="K2513" s="1" t="s">
        <v>5851</v>
      </c>
      <c r="L2513" s="1" t="s">
        <v>5852</v>
      </c>
      <c r="M2513" s="1">
        <v>1</v>
      </c>
      <c r="N2513" s="1" t="s">
        <v>39</v>
      </c>
      <c r="O2513" s="1">
        <v>30.4284</v>
      </c>
      <c r="P2513" s="1">
        <v>-92.411199999999994</v>
      </c>
      <c r="Q2513" s="1" t="s">
        <v>5855</v>
      </c>
      <c r="R2513" s="1" t="s">
        <v>41</v>
      </c>
      <c r="T2513" s="1" t="s">
        <v>71</v>
      </c>
      <c r="U2513" s="1" t="s">
        <v>44</v>
      </c>
      <c r="X2513" s="1" t="s">
        <v>223</v>
      </c>
      <c r="AA2513" s="3">
        <v>37469</v>
      </c>
      <c r="AB2513" s="1" t="s">
        <v>46</v>
      </c>
      <c r="AC2513" s="5">
        <v>2500</v>
      </c>
      <c r="AD2513" s="1" t="s">
        <v>5857</v>
      </c>
      <c r="AE2513" s="1" t="str">
        <f t="shared" si="181"/>
        <v>55173 CT4</v>
      </c>
      <c r="AF2513" s="14">
        <f>AF2512</f>
        <v>344</v>
      </c>
      <c r="AG2513" s="1" t="str">
        <f t="shared" si="180"/>
        <v>Y</v>
      </c>
    </row>
    <row r="2514" spans="1:33" x14ac:dyDescent="0.2">
      <c r="A2514" s="1" t="s">
        <v>383</v>
      </c>
      <c r="B2514" s="1" t="s">
        <v>5858</v>
      </c>
      <c r="C2514" s="1">
        <v>55176</v>
      </c>
      <c r="D2514" s="1">
        <v>1</v>
      </c>
      <c r="F2514" s="1">
        <v>2023</v>
      </c>
      <c r="G2514" s="1" t="s">
        <v>346</v>
      </c>
      <c r="H2514" s="1" t="s">
        <v>5859</v>
      </c>
      <c r="I2514" s="1">
        <v>6</v>
      </c>
      <c r="K2514" s="1" t="s">
        <v>1738</v>
      </c>
      <c r="L2514" s="1" t="s">
        <v>4465</v>
      </c>
      <c r="M2514" s="1">
        <v>203</v>
      </c>
      <c r="N2514" s="1" t="s">
        <v>1680</v>
      </c>
      <c r="O2514" s="1">
        <v>32.447200000000002</v>
      </c>
      <c r="P2514" s="1">
        <v>-94.691699999999997</v>
      </c>
      <c r="Q2514" s="1" t="s">
        <v>5860</v>
      </c>
      <c r="R2514" s="1" t="s">
        <v>41</v>
      </c>
      <c r="T2514" s="1" t="s">
        <v>71</v>
      </c>
      <c r="U2514" s="1" t="s">
        <v>44</v>
      </c>
      <c r="V2514" s="1" t="s">
        <v>5436</v>
      </c>
      <c r="X2514" s="1" t="s">
        <v>140</v>
      </c>
      <c r="AA2514" s="3">
        <v>37001</v>
      </c>
      <c r="AB2514" s="1" t="s">
        <v>46</v>
      </c>
      <c r="AC2514" s="5">
        <v>2335</v>
      </c>
      <c r="AD2514" s="1" t="s">
        <v>5861</v>
      </c>
      <c r="AE2514" s="1" t="str">
        <f t="shared" si="181"/>
        <v>55176 1</v>
      </c>
      <c r="AF2514" s="14">
        <f>MID(AD2514,FIND("(",AD2514)+1,FIND(")",AD2514)-FIND("(",AD2514)-1)+127/2</f>
        <v>230.5</v>
      </c>
      <c r="AG2514" s="1" t="str">
        <f t="shared" si="180"/>
        <v/>
      </c>
    </row>
    <row r="2515" spans="1:33" x14ac:dyDescent="0.2">
      <c r="A2515" s="1" t="s">
        <v>383</v>
      </c>
      <c r="B2515" s="1" t="s">
        <v>5858</v>
      </c>
      <c r="C2515" s="1">
        <v>55176</v>
      </c>
      <c r="D2515" s="1">
        <v>2</v>
      </c>
      <c r="F2515" s="1">
        <v>2023</v>
      </c>
      <c r="G2515" s="1" t="s">
        <v>346</v>
      </c>
      <c r="H2515" s="1" t="s">
        <v>5859</v>
      </c>
      <c r="I2515" s="1">
        <v>6</v>
      </c>
      <c r="K2515" s="1" t="s">
        <v>1738</v>
      </c>
      <c r="L2515" s="1" t="s">
        <v>4465</v>
      </c>
      <c r="M2515" s="1">
        <v>203</v>
      </c>
      <c r="N2515" s="1" t="s">
        <v>1680</v>
      </c>
      <c r="O2515" s="1">
        <v>32.447200000000002</v>
      </c>
      <c r="P2515" s="1">
        <v>-94.691699999999997</v>
      </c>
      <c r="Q2515" s="1" t="s">
        <v>5860</v>
      </c>
      <c r="R2515" s="1" t="s">
        <v>41</v>
      </c>
      <c r="T2515" s="1" t="s">
        <v>71</v>
      </c>
      <c r="U2515" s="1" t="s">
        <v>44</v>
      </c>
      <c r="V2515" s="1" t="s">
        <v>5436</v>
      </c>
      <c r="X2515" s="1" t="s">
        <v>140</v>
      </c>
      <c r="AA2515" s="3">
        <v>37098</v>
      </c>
      <c r="AB2515" s="1" t="s">
        <v>46</v>
      </c>
      <c r="AC2515" s="5">
        <v>2335</v>
      </c>
      <c r="AD2515" s="1" t="s">
        <v>5862</v>
      </c>
      <c r="AE2515" s="1" t="str">
        <f t="shared" si="181"/>
        <v>55176 2</v>
      </c>
      <c r="AF2515" s="14">
        <f>AF2514</f>
        <v>230.5</v>
      </c>
      <c r="AG2515" s="1" t="str">
        <f t="shared" si="180"/>
        <v/>
      </c>
    </row>
    <row r="2516" spans="1:33" x14ac:dyDescent="0.2">
      <c r="A2516" s="1" t="s">
        <v>234</v>
      </c>
      <c r="B2516" s="1" t="s">
        <v>5863</v>
      </c>
      <c r="C2516" s="1">
        <v>55177</v>
      </c>
      <c r="D2516" s="1" t="s">
        <v>3087</v>
      </c>
      <c r="F2516" s="1">
        <v>2023</v>
      </c>
      <c r="G2516" s="1" t="s">
        <v>247</v>
      </c>
      <c r="H2516" s="1">
        <v>606777</v>
      </c>
      <c r="I2516" s="1">
        <v>9</v>
      </c>
      <c r="J2516" s="1" t="s">
        <v>237</v>
      </c>
      <c r="K2516" s="1" t="s">
        <v>5692</v>
      </c>
      <c r="L2516" s="1" t="s">
        <v>5693</v>
      </c>
      <c r="M2516" s="1">
        <v>15</v>
      </c>
      <c r="N2516" s="1" t="s">
        <v>39</v>
      </c>
      <c r="O2516" s="1">
        <v>34.867800000000003</v>
      </c>
      <c r="P2516" s="1">
        <v>-114.5317</v>
      </c>
      <c r="Q2516" s="1" t="s">
        <v>4768</v>
      </c>
      <c r="R2516" s="1" t="s">
        <v>41</v>
      </c>
      <c r="T2516" s="1" t="s">
        <v>71</v>
      </c>
      <c r="U2516" s="1" t="s">
        <v>44</v>
      </c>
      <c r="X2516" s="1" t="s">
        <v>64</v>
      </c>
      <c r="AA2516" s="3">
        <v>36951</v>
      </c>
      <c r="AB2516" s="1" t="s">
        <v>46</v>
      </c>
      <c r="AC2516" s="5">
        <v>2150</v>
      </c>
      <c r="AD2516" s="1" t="s">
        <v>5864</v>
      </c>
      <c r="AE2516" s="1" t="str">
        <f t="shared" si="181"/>
        <v>55177 A</v>
      </c>
      <c r="AF2516" s="14">
        <f>MID(AD2516,FIND("(",AD2516)+1,FIND(")",AD2516)-FIND("(",AD2516)-1)+236/2</f>
        <v>354</v>
      </c>
      <c r="AG2516" s="1" t="str">
        <f t="shared" si="180"/>
        <v>Y</v>
      </c>
    </row>
    <row r="2517" spans="1:33" x14ac:dyDescent="0.2">
      <c r="A2517" s="1" t="s">
        <v>234</v>
      </c>
      <c r="B2517" s="1" t="s">
        <v>5863</v>
      </c>
      <c r="C2517" s="1">
        <v>55177</v>
      </c>
      <c r="D2517" s="1" t="s">
        <v>3091</v>
      </c>
      <c r="F2517" s="1">
        <v>2023</v>
      </c>
      <c r="G2517" s="1" t="s">
        <v>247</v>
      </c>
      <c r="H2517" s="1">
        <v>606777</v>
      </c>
      <c r="I2517" s="1">
        <v>9</v>
      </c>
      <c r="J2517" s="1" t="s">
        <v>237</v>
      </c>
      <c r="K2517" s="1" t="s">
        <v>5692</v>
      </c>
      <c r="L2517" s="1" t="s">
        <v>5693</v>
      </c>
      <c r="M2517" s="1">
        <v>15</v>
      </c>
      <c r="N2517" s="1" t="s">
        <v>39</v>
      </c>
      <c r="O2517" s="1">
        <v>34.867800000000003</v>
      </c>
      <c r="P2517" s="1">
        <v>-114.5317</v>
      </c>
      <c r="Q2517" s="1" t="s">
        <v>4768</v>
      </c>
      <c r="R2517" s="1" t="s">
        <v>41</v>
      </c>
      <c r="T2517" s="1" t="s">
        <v>71</v>
      </c>
      <c r="U2517" s="1" t="s">
        <v>44</v>
      </c>
      <c r="X2517" s="1" t="s">
        <v>64</v>
      </c>
      <c r="AA2517" s="3">
        <v>36951</v>
      </c>
      <c r="AB2517" s="1" t="s">
        <v>46</v>
      </c>
      <c r="AC2517" s="5">
        <v>2150</v>
      </c>
      <c r="AD2517" s="1" t="s">
        <v>5865</v>
      </c>
      <c r="AE2517" s="1" t="str">
        <f t="shared" si="181"/>
        <v>55177 B</v>
      </c>
      <c r="AF2517" s="14">
        <f>AF2516</f>
        <v>354</v>
      </c>
      <c r="AG2517" s="1" t="str">
        <f t="shared" si="180"/>
        <v>Y</v>
      </c>
    </row>
    <row r="2518" spans="1:33" x14ac:dyDescent="0.2">
      <c r="A2518" s="1" t="s">
        <v>1755</v>
      </c>
      <c r="B2518" s="1" t="s">
        <v>5866</v>
      </c>
      <c r="C2518" s="1">
        <v>55178</v>
      </c>
      <c r="D2518" s="1" t="s">
        <v>1296</v>
      </c>
      <c r="F2518" s="1">
        <v>2023</v>
      </c>
      <c r="G2518" s="1" t="s">
        <v>1207</v>
      </c>
      <c r="H2518" s="1">
        <v>603354</v>
      </c>
      <c r="I2518" s="1">
        <v>7</v>
      </c>
      <c r="J2518" s="1" t="s">
        <v>228</v>
      </c>
      <c r="K2518" s="1" t="s">
        <v>1777</v>
      </c>
      <c r="L2518" s="1" t="s">
        <v>1778</v>
      </c>
      <c r="M2518" s="1">
        <v>37</v>
      </c>
      <c r="N2518" s="1" t="s">
        <v>39</v>
      </c>
      <c r="O2518" s="1">
        <v>38.793100000000003</v>
      </c>
      <c r="P2518" s="1">
        <v>-94.300600000000003</v>
      </c>
      <c r="Q2518" s="1" t="s">
        <v>5867</v>
      </c>
      <c r="R2518" s="1" t="s">
        <v>41</v>
      </c>
      <c r="T2518" s="1" t="s">
        <v>71</v>
      </c>
      <c r="U2518" s="1" t="s">
        <v>44</v>
      </c>
      <c r="X2518" s="1" t="s">
        <v>64</v>
      </c>
      <c r="AA2518" s="3">
        <v>37042</v>
      </c>
      <c r="AB2518" s="1" t="s">
        <v>46</v>
      </c>
      <c r="AC2518" s="5">
        <v>2600</v>
      </c>
      <c r="AD2518" s="1" t="s">
        <v>5868</v>
      </c>
      <c r="AE2518" s="1" t="str">
        <f t="shared" si="181"/>
        <v>55178 CT-1</v>
      </c>
      <c r="AF2518" s="14">
        <f>AF2519</f>
        <v>340.5</v>
      </c>
      <c r="AG2518" s="1" t="str">
        <f t="shared" si="180"/>
        <v>Y</v>
      </c>
    </row>
    <row r="2519" spans="1:33" x14ac:dyDescent="0.2">
      <c r="A2519" s="1" t="s">
        <v>1755</v>
      </c>
      <c r="B2519" s="1" t="s">
        <v>5866</v>
      </c>
      <c r="C2519" s="1">
        <v>55178</v>
      </c>
      <c r="D2519" s="1" t="s">
        <v>1300</v>
      </c>
      <c r="F2519" s="1">
        <v>2023</v>
      </c>
      <c r="G2519" s="1" t="s">
        <v>1207</v>
      </c>
      <c r="H2519" s="1">
        <v>603354</v>
      </c>
      <c r="I2519" s="1">
        <v>7</v>
      </c>
      <c r="J2519" s="1" t="s">
        <v>228</v>
      </c>
      <c r="K2519" s="1" t="s">
        <v>1777</v>
      </c>
      <c r="L2519" s="1" t="s">
        <v>1778</v>
      </c>
      <c r="M2519" s="1">
        <v>37</v>
      </c>
      <c r="N2519" s="1" t="s">
        <v>39</v>
      </c>
      <c r="O2519" s="1">
        <v>38.793100000000003</v>
      </c>
      <c r="P2519" s="1">
        <v>-94.300600000000003</v>
      </c>
      <c r="Q2519" s="1" t="s">
        <v>5867</v>
      </c>
      <c r="R2519" s="1" t="s">
        <v>41</v>
      </c>
      <c r="T2519" s="1" t="s">
        <v>71</v>
      </c>
      <c r="U2519" s="1" t="s">
        <v>44</v>
      </c>
      <c r="X2519" s="1" t="s">
        <v>64</v>
      </c>
      <c r="AA2519" s="3">
        <v>37042</v>
      </c>
      <c r="AB2519" s="1" t="s">
        <v>46</v>
      </c>
      <c r="AC2519" s="5">
        <v>2600</v>
      </c>
      <c r="AD2519" s="1" t="s">
        <v>5869</v>
      </c>
      <c r="AE2519" s="1" t="str">
        <f t="shared" si="181"/>
        <v>55178 CT-2</v>
      </c>
      <c r="AF2519" s="14">
        <f>MID(AD2519,FIND("(",AD2519)+1,FIND(")",AD2519)-FIND("(",AD2519)-1)+265/2</f>
        <v>340.5</v>
      </c>
      <c r="AG2519" s="1" t="str">
        <f t="shared" si="180"/>
        <v>Y</v>
      </c>
    </row>
    <row r="2520" spans="1:33" x14ac:dyDescent="0.2">
      <c r="A2520" s="1" t="s">
        <v>4118</v>
      </c>
      <c r="B2520" s="1" t="s">
        <v>5870</v>
      </c>
      <c r="C2520" s="1">
        <v>55179</v>
      </c>
      <c r="D2520" s="1" t="s">
        <v>5775</v>
      </c>
      <c r="F2520" s="1">
        <v>2023</v>
      </c>
      <c r="G2520" s="1" t="s">
        <v>247</v>
      </c>
      <c r="H2520" s="1" t="s">
        <v>5871</v>
      </c>
      <c r="I2520" s="1">
        <v>10</v>
      </c>
      <c r="K2520" s="1" t="s">
        <v>4120</v>
      </c>
      <c r="L2520" s="1" t="s">
        <v>4121</v>
      </c>
      <c r="M2520" s="1">
        <v>55</v>
      </c>
      <c r="N2520" s="1" t="s">
        <v>39</v>
      </c>
      <c r="O2520" s="1">
        <v>47.786099999999998</v>
      </c>
      <c r="P2520" s="1">
        <v>-116.92140000000001</v>
      </c>
      <c r="Q2520" s="1" t="s">
        <v>5872</v>
      </c>
      <c r="R2520" s="1" t="s">
        <v>41</v>
      </c>
      <c r="T2520" s="1" t="s">
        <v>71</v>
      </c>
      <c r="U2520" s="1" t="s">
        <v>44</v>
      </c>
      <c r="X2520" s="1" t="s">
        <v>64</v>
      </c>
      <c r="AA2520" s="3">
        <v>37095</v>
      </c>
      <c r="AB2520" s="1" t="s">
        <v>46</v>
      </c>
      <c r="AC2520" s="5">
        <v>2040</v>
      </c>
      <c r="AD2520" s="1" t="s">
        <v>5873</v>
      </c>
      <c r="AE2520" s="1" t="str">
        <f t="shared" si="181"/>
        <v>55179 CTGEN1</v>
      </c>
      <c r="AF2520" s="14">
        <f>MID(AD2520,FIND("(",AD2520)+1,FIND(")",AD2520)-FIND("(",AD2520)-1)+122.1</f>
        <v>301.5</v>
      </c>
      <c r="AG2520" s="1" t="str">
        <f t="shared" si="180"/>
        <v>Y</v>
      </c>
    </row>
    <row r="2521" spans="1:33" x14ac:dyDescent="0.2">
      <c r="A2521" s="1" t="s">
        <v>370</v>
      </c>
      <c r="B2521" s="1" t="s">
        <v>5874</v>
      </c>
      <c r="C2521" s="1">
        <v>55182</v>
      </c>
      <c r="D2521" s="1" t="s">
        <v>1129</v>
      </c>
      <c r="F2521" s="1">
        <v>2023</v>
      </c>
      <c r="G2521" s="1" t="s">
        <v>247</v>
      </c>
      <c r="H2521" s="1">
        <v>607614</v>
      </c>
      <c r="I2521" s="1">
        <v>9</v>
      </c>
      <c r="K2521" s="1" t="s">
        <v>4903</v>
      </c>
      <c r="L2521" s="1" t="s">
        <v>4904</v>
      </c>
      <c r="M2521" s="1">
        <v>29</v>
      </c>
      <c r="N2521" s="1" t="s">
        <v>39</v>
      </c>
      <c r="O2521" s="1">
        <v>35.209699999999998</v>
      </c>
      <c r="P2521" s="1">
        <v>-119.58499999999999</v>
      </c>
      <c r="Q2521" s="1" t="s">
        <v>5875</v>
      </c>
      <c r="R2521" s="1" t="s">
        <v>41</v>
      </c>
      <c r="T2521" s="1" t="s">
        <v>71</v>
      </c>
      <c r="U2521" s="1" t="s">
        <v>44</v>
      </c>
      <c r="X2521" s="1" t="s">
        <v>858</v>
      </c>
      <c r="AA2521" s="3">
        <v>37070</v>
      </c>
      <c r="AB2521" s="1" t="s">
        <v>46</v>
      </c>
      <c r="AC2521" s="5">
        <v>2175</v>
      </c>
      <c r="AD2521" s="1" t="s">
        <v>5876</v>
      </c>
      <c r="AE2521" s="1" t="str">
        <f t="shared" si="181"/>
        <v>55182 CTG1</v>
      </c>
      <c r="AF2521" s="14">
        <f>MID(AD2521,FIND("(",AD2521)+1,FIND(")",AD2521)-FIND("(",AD2521)-1)+270/2</f>
        <v>302.7</v>
      </c>
      <c r="AG2521" s="1" t="str">
        <f t="shared" si="180"/>
        <v>Y</v>
      </c>
    </row>
    <row r="2522" spans="1:33" x14ac:dyDescent="0.2">
      <c r="A2522" s="1" t="s">
        <v>370</v>
      </c>
      <c r="B2522" s="1" t="s">
        <v>5874</v>
      </c>
      <c r="C2522" s="1">
        <v>55182</v>
      </c>
      <c r="D2522" s="1" t="s">
        <v>1135</v>
      </c>
      <c r="F2522" s="1">
        <v>2023</v>
      </c>
      <c r="G2522" s="1" t="s">
        <v>247</v>
      </c>
      <c r="H2522" s="1">
        <v>607614</v>
      </c>
      <c r="I2522" s="1">
        <v>9</v>
      </c>
      <c r="K2522" s="1" t="s">
        <v>4903</v>
      </c>
      <c r="L2522" s="1" t="s">
        <v>4904</v>
      </c>
      <c r="M2522" s="1">
        <v>29</v>
      </c>
      <c r="N2522" s="1" t="s">
        <v>39</v>
      </c>
      <c r="O2522" s="1">
        <v>35.209699999999998</v>
      </c>
      <c r="P2522" s="1">
        <v>-119.58499999999999</v>
      </c>
      <c r="Q2522" s="1" t="s">
        <v>5875</v>
      </c>
      <c r="R2522" s="1" t="s">
        <v>41</v>
      </c>
      <c r="T2522" s="1" t="s">
        <v>71</v>
      </c>
      <c r="U2522" s="1" t="s">
        <v>44</v>
      </c>
      <c r="X2522" s="1" t="s">
        <v>858</v>
      </c>
      <c r="AA2522" s="3">
        <v>37071</v>
      </c>
      <c r="AB2522" s="1" t="s">
        <v>46</v>
      </c>
      <c r="AC2522" s="5">
        <v>2200</v>
      </c>
      <c r="AD2522" s="1" t="s">
        <v>5877</v>
      </c>
      <c r="AE2522" s="1" t="str">
        <f t="shared" si="181"/>
        <v>55182 CTG2</v>
      </c>
      <c r="AF2522" s="14">
        <f>AF2521</f>
        <v>302.7</v>
      </c>
      <c r="AG2522" s="1" t="str">
        <f t="shared" si="180"/>
        <v>Y</v>
      </c>
    </row>
    <row r="2523" spans="1:33" x14ac:dyDescent="0.2">
      <c r="A2523" s="1" t="s">
        <v>458</v>
      </c>
      <c r="B2523" s="1" t="s">
        <v>5878</v>
      </c>
      <c r="C2523" s="1">
        <v>55183</v>
      </c>
      <c r="D2523" s="1">
        <v>1</v>
      </c>
      <c r="F2523" s="1">
        <v>2023</v>
      </c>
      <c r="G2523" s="1" t="s">
        <v>461</v>
      </c>
      <c r="H2523" s="1">
        <v>606260</v>
      </c>
      <c r="I2523" s="1">
        <v>5</v>
      </c>
      <c r="K2523" s="1" t="s">
        <v>710</v>
      </c>
      <c r="L2523" s="1" t="s">
        <v>5879</v>
      </c>
      <c r="M2523" s="1">
        <v>103</v>
      </c>
      <c r="N2523" s="1" t="s">
        <v>39</v>
      </c>
      <c r="O2523" s="1">
        <v>41.774900000000002</v>
      </c>
      <c r="P2523" s="1">
        <v>-89.606700000000004</v>
      </c>
      <c r="Q2523" s="1" t="s">
        <v>5880</v>
      </c>
      <c r="R2523" s="1" t="s">
        <v>41</v>
      </c>
      <c r="T2523" s="1" t="s">
        <v>71</v>
      </c>
      <c r="U2523" s="1" t="s">
        <v>44</v>
      </c>
      <c r="X2523" s="1" t="s">
        <v>64</v>
      </c>
      <c r="AA2523" s="3">
        <v>42034</v>
      </c>
      <c r="AB2523" s="1" t="s">
        <v>46</v>
      </c>
      <c r="AC2523" s="5">
        <v>2516</v>
      </c>
      <c r="AD2523" s="1" t="s">
        <v>5881</v>
      </c>
      <c r="AE2523" s="1" t="str">
        <f t="shared" si="181"/>
        <v>55183 1</v>
      </c>
      <c r="AF2523" s="14">
        <f>MID(AD2523,FIND("(",AD2523)+1,FIND(")",AD2523)-FIND("(",AD2523)-1)+181.9</f>
        <v>315.39999999999998</v>
      </c>
      <c r="AG2523" s="1" t="str">
        <f t="shared" si="180"/>
        <v>Y</v>
      </c>
    </row>
    <row r="2524" spans="1:33" x14ac:dyDescent="0.2">
      <c r="A2524" s="1" t="s">
        <v>458</v>
      </c>
      <c r="B2524" s="1" t="s">
        <v>5878</v>
      </c>
      <c r="C2524" s="1">
        <v>55183</v>
      </c>
      <c r="D2524" s="1">
        <v>2</v>
      </c>
      <c r="F2524" s="1">
        <v>2023</v>
      </c>
      <c r="G2524" s="1" t="s">
        <v>461</v>
      </c>
      <c r="H2524" s="1">
        <v>606260</v>
      </c>
      <c r="I2524" s="1">
        <v>5</v>
      </c>
      <c r="K2524" s="1" t="s">
        <v>710</v>
      </c>
      <c r="L2524" s="1" t="s">
        <v>5879</v>
      </c>
      <c r="M2524" s="1">
        <v>103</v>
      </c>
      <c r="N2524" s="1" t="s">
        <v>39</v>
      </c>
      <c r="O2524" s="1">
        <v>41.774900000000002</v>
      </c>
      <c r="P2524" s="1">
        <v>-89.606700000000004</v>
      </c>
      <c r="Q2524" s="1" t="s">
        <v>5880</v>
      </c>
      <c r="R2524" s="1" t="s">
        <v>41</v>
      </c>
      <c r="T2524" s="1" t="s">
        <v>71</v>
      </c>
      <c r="U2524" s="1" t="s">
        <v>44</v>
      </c>
      <c r="X2524" s="1" t="s">
        <v>64</v>
      </c>
      <c r="AA2524" s="3">
        <v>42089</v>
      </c>
      <c r="AB2524" s="1" t="s">
        <v>46</v>
      </c>
      <c r="AC2524" s="5">
        <v>2516</v>
      </c>
      <c r="AD2524" s="1" t="s">
        <v>5882</v>
      </c>
      <c r="AE2524" s="1" t="str">
        <f t="shared" si="181"/>
        <v>55183 2</v>
      </c>
      <c r="AF2524" s="14">
        <f>MID(AD2524,FIND("(",AD2524)+1,FIND(")",AD2524)-FIND("(",AD2524)-1)+133.5</f>
        <v>312.89999999999998</v>
      </c>
      <c r="AG2524" s="1" t="str">
        <f t="shared" si="180"/>
        <v>Y</v>
      </c>
    </row>
    <row r="2525" spans="1:33" x14ac:dyDescent="0.2">
      <c r="A2525" s="1" t="s">
        <v>383</v>
      </c>
      <c r="B2525" s="1" t="s">
        <v>5883</v>
      </c>
      <c r="C2525" s="1">
        <v>55187</v>
      </c>
      <c r="D2525" s="1" t="s">
        <v>5884</v>
      </c>
      <c r="F2525" s="1">
        <v>2023</v>
      </c>
      <c r="G2525" s="1" t="s">
        <v>346</v>
      </c>
      <c r="H2525" s="1">
        <v>603503</v>
      </c>
      <c r="I2525" s="1">
        <v>6</v>
      </c>
      <c r="K2525" s="1" t="s">
        <v>4063</v>
      </c>
      <c r="L2525" s="1" t="s">
        <v>4064</v>
      </c>
      <c r="M2525" s="1">
        <v>201</v>
      </c>
      <c r="N2525" s="1" t="s">
        <v>39</v>
      </c>
      <c r="O2525" s="1">
        <v>29.835599999999999</v>
      </c>
      <c r="P2525" s="1">
        <v>-95.124200000000002</v>
      </c>
      <c r="Q2525" s="1" t="s">
        <v>5885</v>
      </c>
      <c r="R2525" s="1" t="s">
        <v>41</v>
      </c>
      <c r="T2525" s="1" t="s">
        <v>71</v>
      </c>
      <c r="U2525" s="1" t="s">
        <v>44</v>
      </c>
      <c r="X2525" s="1" t="s">
        <v>223</v>
      </c>
      <c r="AA2525" s="3">
        <v>37335</v>
      </c>
      <c r="AB2525" s="1" t="s">
        <v>46</v>
      </c>
      <c r="AC2525" s="5">
        <v>2707</v>
      </c>
      <c r="AD2525" s="1" t="s">
        <v>5886</v>
      </c>
      <c r="AE2525" s="1" t="str">
        <f t="shared" si="181"/>
        <v>55187 CHV1</v>
      </c>
      <c r="AF2525" s="14">
        <f>MID(AD2525,FIND("(",AD2525)+1,FIND(")",AD2525)-FIND("(",AD2525)-1)+149.9/4</f>
        <v>229.57499999999999</v>
      </c>
      <c r="AG2525" s="1" t="str">
        <f t="shared" si="180"/>
        <v>Y</v>
      </c>
    </row>
    <row r="2526" spans="1:33" x14ac:dyDescent="0.2">
      <c r="A2526" s="1" t="s">
        <v>383</v>
      </c>
      <c r="B2526" s="1" t="s">
        <v>5883</v>
      </c>
      <c r="C2526" s="1">
        <v>55187</v>
      </c>
      <c r="D2526" s="1" t="s">
        <v>5887</v>
      </c>
      <c r="F2526" s="1">
        <v>2023</v>
      </c>
      <c r="G2526" s="1" t="s">
        <v>346</v>
      </c>
      <c r="H2526" s="1">
        <v>603503</v>
      </c>
      <c r="I2526" s="1">
        <v>6</v>
      </c>
      <c r="K2526" s="1" t="s">
        <v>4063</v>
      </c>
      <c r="L2526" s="1" t="s">
        <v>4064</v>
      </c>
      <c r="M2526" s="1">
        <v>201</v>
      </c>
      <c r="N2526" s="1" t="s">
        <v>39</v>
      </c>
      <c r="O2526" s="1">
        <v>29.835599999999999</v>
      </c>
      <c r="P2526" s="1">
        <v>-95.124200000000002</v>
      </c>
      <c r="Q2526" s="1" t="s">
        <v>5885</v>
      </c>
      <c r="R2526" s="1" t="s">
        <v>41</v>
      </c>
      <c r="T2526" s="1" t="s">
        <v>71</v>
      </c>
      <c r="U2526" s="1" t="s">
        <v>44</v>
      </c>
      <c r="X2526" s="1" t="s">
        <v>223</v>
      </c>
      <c r="AA2526" s="3">
        <v>37307</v>
      </c>
      <c r="AB2526" s="1" t="s">
        <v>46</v>
      </c>
      <c r="AC2526" s="5">
        <v>2707</v>
      </c>
      <c r="AD2526" s="1" t="s">
        <v>5888</v>
      </c>
      <c r="AE2526" s="1" t="str">
        <f t="shared" si="181"/>
        <v>55187 CHV2</v>
      </c>
      <c r="AF2526" s="14">
        <f>AF2525</f>
        <v>229.57499999999999</v>
      </c>
      <c r="AG2526" s="1" t="str">
        <f t="shared" si="180"/>
        <v>Y</v>
      </c>
    </row>
    <row r="2527" spans="1:33" x14ac:dyDescent="0.2">
      <c r="A2527" s="1" t="s">
        <v>383</v>
      </c>
      <c r="B2527" s="1" t="s">
        <v>5883</v>
      </c>
      <c r="C2527" s="1">
        <v>55187</v>
      </c>
      <c r="D2527" s="1" t="s">
        <v>5889</v>
      </c>
      <c r="F2527" s="1">
        <v>2023</v>
      </c>
      <c r="G2527" s="1" t="s">
        <v>346</v>
      </c>
      <c r="H2527" s="1">
        <v>603503</v>
      </c>
      <c r="I2527" s="1">
        <v>6</v>
      </c>
      <c r="K2527" s="1" t="s">
        <v>4063</v>
      </c>
      <c r="L2527" s="1" t="s">
        <v>4064</v>
      </c>
      <c r="M2527" s="1">
        <v>201</v>
      </c>
      <c r="N2527" s="1" t="s">
        <v>39</v>
      </c>
      <c r="O2527" s="1">
        <v>29.835599999999999</v>
      </c>
      <c r="P2527" s="1">
        <v>-95.124200000000002</v>
      </c>
      <c r="Q2527" s="1" t="s">
        <v>5885</v>
      </c>
      <c r="R2527" s="1" t="s">
        <v>41</v>
      </c>
      <c r="T2527" s="1" t="s">
        <v>71</v>
      </c>
      <c r="U2527" s="1" t="s">
        <v>44</v>
      </c>
      <c r="X2527" s="1" t="s">
        <v>223</v>
      </c>
      <c r="AA2527" s="3">
        <v>37196</v>
      </c>
      <c r="AB2527" s="1" t="s">
        <v>46</v>
      </c>
      <c r="AC2527" s="5">
        <v>2707</v>
      </c>
      <c r="AD2527" s="1" t="s">
        <v>5890</v>
      </c>
      <c r="AE2527" s="1" t="str">
        <f t="shared" si="181"/>
        <v>55187 CHV3</v>
      </c>
      <c r="AF2527" s="14">
        <f>AF2525</f>
        <v>229.57499999999999</v>
      </c>
      <c r="AG2527" s="1" t="str">
        <f t="shared" si="180"/>
        <v>Y</v>
      </c>
    </row>
    <row r="2528" spans="1:33" x14ac:dyDescent="0.2">
      <c r="A2528" s="1" t="s">
        <v>383</v>
      </c>
      <c r="B2528" s="1" t="s">
        <v>5883</v>
      </c>
      <c r="C2528" s="1">
        <v>55187</v>
      </c>
      <c r="D2528" s="1" t="s">
        <v>5891</v>
      </c>
      <c r="F2528" s="1">
        <v>2023</v>
      </c>
      <c r="G2528" s="1" t="s">
        <v>346</v>
      </c>
      <c r="H2528" s="1">
        <v>603503</v>
      </c>
      <c r="I2528" s="1">
        <v>6</v>
      </c>
      <c r="K2528" s="1" t="s">
        <v>4063</v>
      </c>
      <c r="L2528" s="1" t="s">
        <v>4064</v>
      </c>
      <c r="M2528" s="1">
        <v>201</v>
      </c>
      <c r="N2528" s="1" t="s">
        <v>39</v>
      </c>
      <c r="O2528" s="1">
        <v>29.835599999999999</v>
      </c>
      <c r="P2528" s="1">
        <v>-95.124200000000002</v>
      </c>
      <c r="Q2528" s="1" t="s">
        <v>5885</v>
      </c>
      <c r="R2528" s="1" t="s">
        <v>41</v>
      </c>
      <c r="T2528" s="1" t="s">
        <v>71</v>
      </c>
      <c r="U2528" s="1" t="s">
        <v>44</v>
      </c>
      <c r="X2528" s="1" t="s">
        <v>223</v>
      </c>
      <c r="AA2528" s="3">
        <v>37099</v>
      </c>
      <c r="AB2528" s="1" t="s">
        <v>46</v>
      </c>
      <c r="AC2528" s="5">
        <v>2707</v>
      </c>
      <c r="AD2528" s="1" t="s">
        <v>5892</v>
      </c>
      <c r="AE2528" s="1" t="str">
        <f t="shared" si="181"/>
        <v>55187 CHV4</v>
      </c>
      <c r="AF2528" s="14">
        <f>AF2525</f>
        <v>229.57499999999999</v>
      </c>
      <c r="AG2528" s="1" t="str">
        <f t="shared" si="180"/>
        <v>Y</v>
      </c>
    </row>
    <row r="2529" spans="1:33" x14ac:dyDescent="0.2">
      <c r="A2529" s="1" t="s">
        <v>458</v>
      </c>
      <c r="B2529" s="1" t="s">
        <v>5893</v>
      </c>
      <c r="C2529" s="1">
        <v>55188</v>
      </c>
      <c r="D2529" s="1">
        <v>1</v>
      </c>
      <c r="F2529" s="1">
        <v>2023</v>
      </c>
      <c r="G2529" s="1" t="s">
        <v>461</v>
      </c>
      <c r="H2529" s="1">
        <v>601813</v>
      </c>
      <c r="I2529" s="1">
        <v>5</v>
      </c>
      <c r="K2529" s="1" t="s">
        <v>5894</v>
      </c>
      <c r="L2529" s="1" t="s">
        <v>5895</v>
      </c>
      <c r="M2529" s="1">
        <v>161</v>
      </c>
      <c r="N2529" s="1" t="s">
        <v>39</v>
      </c>
      <c r="O2529" s="1">
        <v>41.714599999999997</v>
      </c>
      <c r="P2529" s="1">
        <v>-90.280199999999994</v>
      </c>
      <c r="Q2529" s="1" t="s">
        <v>5896</v>
      </c>
      <c r="R2529" s="1" t="s">
        <v>41</v>
      </c>
      <c r="T2529" s="1" t="s">
        <v>71</v>
      </c>
      <c r="U2529" s="1" t="s">
        <v>44</v>
      </c>
      <c r="X2529" s="1" t="s">
        <v>64</v>
      </c>
      <c r="AA2529" s="3">
        <v>37061</v>
      </c>
      <c r="AB2529" s="1" t="s">
        <v>46</v>
      </c>
      <c r="AC2529" s="5">
        <v>2152.1999999999998</v>
      </c>
      <c r="AD2529" s="1" t="s">
        <v>5897</v>
      </c>
      <c r="AE2529" s="1" t="str">
        <f t="shared" si="181"/>
        <v>55188 1</v>
      </c>
      <c r="AF2529" s="14">
        <f>MID(AD2529,FIND("(",AD2529)+1,FIND(")",AD2529)-FIND("(",AD2529)-1)+191.2/2</f>
        <v>305.60000000000002</v>
      </c>
      <c r="AG2529" s="1" t="str">
        <f t="shared" si="180"/>
        <v>Y</v>
      </c>
    </row>
    <row r="2530" spans="1:33" x14ac:dyDescent="0.2">
      <c r="A2530" s="1" t="s">
        <v>458</v>
      </c>
      <c r="B2530" s="1" t="s">
        <v>5893</v>
      </c>
      <c r="C2530" s="1">
        <v>55188</v>
      </c>
      <c r="D2530" s="1">
        <v>2</v>
      </c>
      <c r="F2530" s="1">
        <v>2023</v>
      </c>
      <c r="G2530" s="1" t="s">
        <v>461</v>
      </c>
      <c r="H2530" s="1">
        <v>601813</v>
      </c>
      <c r="I2530" s="1">
        <v>5</v>
      </c>
      <c r="K2530" s="1" t="s">
        <v>5894</v>
      </c>
      <c r="L2530" s="1" t="s">
        <v>5895</v>
      </c>
      <c r="M2530" s="1">
        <v>161</v>
      </c>
      <c r="N2530" s="1" t="s">
        <v>39</v>
      </c>
      <c r="O2530" s="1">
        <v>41.714599999999997</v>
      </c>
      <c r="P2530" s="1">
        <v>-90.280199999999994</v>
      </c>
      <c r="Q2530" s="1" t="s">
        <v>5896</v>
      </c>
      <c r="R2530" s="1" t="s">
        <v>41</v>
      </c>
      <c r="T2530" s="1" t="s">
        <v>71</v>
      </c>
      <c r="U2530" s="1" t="s">
        <v>44</v>
      </c>
      <c r="X2530" s="1" t="s">
        <v>64</v>
      </c>
      <c r="AA2530" s="3">
        <v>37061</v>
      </c>
      <c r="AB2530" s="1" t="s">
        <v>46</v>
      </c>
      <c r="AC2530" s="5">
        <v>2152.1999999999998</v>
      </c>
      <c r="AD2530" s="1" t="s">
        <v>5898</v>
      </c>
      <c r="AE2530" s="1" t="str">
        <f t="shared" si="181"/>
        <v>55188 2</v>
      </c>
      <c r="AF2530" s="14">
        <f>AF2529</f>
        <v>305.60000000000002</v>
      </c>
      <c r="AG2530" s="1" t="str">
        <f t="shared" si="180"/>
        <v>Y</v>
      </c>
    </row>
    <row r="2531" spans="1:33" x14ac:dyDescent="0.2">
      <c r="A2531" s="1" t="s">
        <v>304</v>
      </c>
      <c r="B2531" s="1" t="s">
        <v>5899</v>
      </c>
      <c r="C2531" s="1">
        <v>55192</v>
      </c>
      <c r="D2531" s="1" t="s">
        <v>5900</v>
      </c>
      <c r="F2531" s="1">
        <v>2023</v>
      </c>
      <c r="G2531" s="1" t="s">
        <v>247</v>
      </c>
      <c r="H2531" s="1">
        <v>609198</v>
      </c>
      <c r="I2531" s="1">
        <v>4</v>
      </c>
      <c r="K2531" s="1" t="s">
        <v>3973</v>
      </c>
      <c r="L2531" s="1" t="s">
        <v>3974</v>
      </c>
      <c r="M2531" s="1">
        <v>97</v>
      </c>
      <c r="N2531" s="1" t="s">
        <v>39</v>
      </c>
      <c r="O2531" s="1">
        <v>28.128900000000002</v>
      </c>
      <c r="P2531" s="1">
        <v>-81.097800000000007</v>
      </c>
      <c r="Q2531" s="1" t="s">
        <v>642</v>
      </c>
      <c r="R2531" s="1" t="s">
        <v>41</v>
      </c>
      <c r="T2531" s="1" t="s">
        <v>93</v>
      </c>
      <c r="U2531" s="1" t="s">
        <v>44</v>
      </c>
      <c r="V2531" s="1" t="s">
        <v>94</v>
      </c>
      <c r="X2531" s="1" t="s">
        <v>183</v>
      </c>
      <c r="AA2531" s="3">
        <v>37180</v>
      </c>
      <c r="AB2531" s="1" t="s">
        <v>46</v>
      </c>
      <c r="AC2531" s="5">
        <v>1942</v>
      </c>
      <c r="AD2531" s="1" t="s">
        <v>5901</v>
      </c>
      <c r="AE2531" s="1" t="str">
        <f t="shared" si="181"/>
        <v>55192 OSC1</v>
      </c>
      <c r="AF2531" s="5" t="str">
        <f>MID(AD2531,FIND("(",AD2531)+1,FIND(")",AD2531)-FIND("(",AD2531)-1)</f>
        <v>200</v>
      </c>
      <c r="AG2531" s="1" t="str">
        <f t="shared" si="180"/>
        <v/>
      </c>
    </row>
    <row r="2532" spans="1:33" x14ac:dyDescent="0.2">
      <c r="A2532" s="1" t="s">
        <v>304</v>
      </c>
      <c r="B2532" s="1" t="s">
        <v>5899</v>
      </c>
      <c r="C2532" s="1">
        <v>55192</v>
      </c>
      <c r="D2532" s="1" t="s">
        <v>5902</v>
      </c>
      <c r="F2532" s="1">
        <v>2023</v>
      </c>
      <c r="G2532" s="1" t="s">
        <v>247</v>
      </c>
      <c r="H2532" s="1">
        <v>609198</v>
      </c>
      <c r="I2532" s="1">
        <v>4</v>
      </c>
      <c r="K2532" s="1" t="s">
        <v>3973</v>
      </c>
      <c r="L2532" s="1" t="s">
        <v>3974</v>
      </c>
      <c r="M2532" s="1">
        <v>97</v>
      </c>
      <c r="N2532" s="1" t="s">
        <v>39</v>
      </c>
      <c r="O2532" s="1">
        <v>28.128900000000002</v>
      </c>
      <c r="P2532" s="1">
        <v>-81.097800000000007</v>
      </c>
      <c r="Q2532" s="1" t="s">
        <v>642</v>
      </c>
      <c r="R2532" s="1" t="s">
        <v>41</v>
      </c>
      <c r="T2532" s="1" t="s">
        <v>93</v>
      </c>
      <c r="U2532" s="1" t="s">
        <v>44</v>
      </c>
      <c r="V2532" s="1" t="s">
        <v>94</v>
      </c>
      <c r="X2532" s="1" t="s">
        <v>183</v>
      </c>
      <c r="AA2532" s="3">
        <v>37185</v>
      </c>
      <c r="AB2532" s="1" t="s">
        <v>46</v>
      </c>
      <c r="AC2532" s="5">
        <v>1942</v>
      </c>
      <c r="AD2532" s="1" t="s">
        <v>5903</v>
      </c>
      <c r="AE2532" s="1" t="str">
        <f t="shared" si="181"/>
        <v>55192 OSC2</v>
      </c>
      <c r="AF2532" s="5" t="str">
        <f>MID(AD2532,FIND("(",AD2532)+1,FIND(")",AD2532)-FIND("(",AD2532)-1)</f>
        <v>200</v>
      </c>
      <c r="AG2532" s="1" t="str">
        <f t="shared" si="180"/>
        <v/>
      </c>
    </row>
    <row r="2533" spans="1:33" x14ac:dyDescent="0.2">
      <c r="A2533" s="1" t="s">
        <v>304</v>
      </c>
      <c r="B2533" s="1" t="s">
        <v>5899</v>
      </c>
      <c r="C2533" s="1">
        <v>55192</v>
      </c>
      <c r="D2533" s="1" t="s">
        <v>5904</v>
      </c>
      <c r="F2533" s="1">
        <v>2023</v>
      </c>
      <c r="G2533" s="1" t="s">
        <v>247</v>
      </c>
      <c r="H2533" s="1">
        <v>609198</v>
      </c>
      <c r="I2533" s="1">
        <v>4</v>
      </c>
      <c r="K2533" s="1" t="s">
        <v>3973</v>
      </c>
      <c r="L2533" s="1" t="s">
        <v>3974</v>
      </c>
      <c r="M2533" s="1">
        <v>97</v>
      </c>
      <c r="N2533" s="1" t="s">
        <v>39</v>
      </c>
      <c r="O2533" s="1">
        <v>28.128900000000002</v>
      </c>
      <c r="P2533" s="1">
        <v>-81.097800000000007</v>
      </c>
      <c r="Q2533" s="1" t="s">
        <v>642</v>
      </c>
      <c r="R2533" s="1" t="s">
        <v>41</v>
      </c>
      <c r="T2533" s="1" t="s">
        <v>93</v>
      </c>
      <c r="U2533" s="1" t="s">
        <v>44</v>
      </c>
      <c r="V2533" s="1" t="s">
        <v>94</v>
      </c>
      <c r="X2533" s="1" t="s">
        <v>183</v>
      </c>
      <c r="AA2533" s="3">
        <v>37363</v>
      </c>
      <c r="AB2533" s="1" t="s">
        <v>46</v>
      </c>
      <c r="AC2533" s="5">
        <v>1942</v>
      </c>
      <c r="AD2533" s="1" t="s">
        <v>5905</v>
      </c>
      <c r="AE2533" s="1" t="str">
        <f t="shared" si="181"/>
        <v>55192 OSC3</v>
      </c>
      <c r="AF2533" s="5" t="str">
        <f>MID(AD2533,FIND("(",AD2533)+1,FIND(")",AD2533)-FIND("(",AD2533)-1)</f>
        <v>200</v>
      </c>
      <c r="AG2533" s="1" t="str">
        <f t="shared" si="180"/>
        <v/>
      </c>
    </row>
    <row r="2534" spans="1:33" x14ac:dyDescent="0.2">
      <c r="A2534" s="1" t="s">
        <v>2584</v>
      </c>
      <c r="B2534" s="1" t="s">
        <v>5906</v>
      </c>
      <c r="C2534" s="1">
        <v>55193</v>
      </c>
      <c r="D2534" s="1" t="s">
        <v>311</v>
      </c>
      <c r="F2534" s="1">
        <v>2023</v>
      </c>
      <c r="G2534" s="1" t="s">
        <v>1515</v>
      </c>
      <c r="H2534" s="1">
        <v>603383</v>
      </c>
      <c r="I2534" s="1">
        <v>3</v>
      </c>
      <c r="K2534" s="1" t="s">
        <v>5907</v>
      </c>
      <c r="L2534" s="1" t="s">
        <v>5908</v>
      </c>
      <c r="M2534" s="1">
        <v>11</v>
      </c>
      <c r="N2534" s="1" t="s">
        <v>39</v>
      </c>
      <c r="O2534" s="1">
        <v>40.421900000000001</v>
      </c>
      <c r="P2534" s="1">
        <v>-75.935299999999998</v>
      </c>
      <c r="Q2534" s="1" t="s">
        <v>5909</v>
      </c>
      <c r="R2534" s="1" t="s">
        <v>41</v>
      </c>
      <c r="T2534" s="1" t="s">
        <v>71</v>
      </c>
      <c r="U2534" s="1" t="s">
        <v>44</v>
      </c>
      <c r="X2534" s="1" t="s">
        <v>64</v>
      </c>
      <c r="AA2534" s="3">
        <v>37573</v>
      </c>
      <c r="AB2534" s="1" t="s">
        <v>46</v>
      </c>
      <c r="AC2534" s="5">
        <v>2160</v>
      </c>
      <c r="AD2534" s="1" t="s">
        <v>5910</v>
      </c>
      <c r="AE2534" s="1" t="str">
        <f t="shared" si="181"/>
        <v>55193 CT1</v>
      </c>
      <c r="AF2534" s="14">
        <f>MID(AD2534,FIND("(",AD2534)+1,FIND(")",AD2534)-FIND("(",AD2534)-1)+200/2</f>
        <v>285</v>
      </c>
      <c r="AG2534" s="1" t="str">
        <f t="shared" si="180"/>
        <v>Y</v>
      </c>
    </row>
    <row r="2535" spans="1:33" x14ac:dyDescent="0.2">
      <c r="A2535" s="1" t="s">
        <v>2584</v>
      </c>
      <c r="B2535" s="1" t="s">
        <v>5906</v>
      </c>
      <c r="C2535" s="1">
        <v>55193</v>
      </c>
      <c r="D2535" s="1" t="s">
        <v>98</v>
      </c>
      <c r="F2535" s="1">
        <v>2023</v>
      </c>
      <c r="G2535" s="1" t="s">
        <v>1515</v>
      </c>
      <c r="H2535" s="1">
        <v>603383</v>
      </c>
      <c r="I2535" s="1">
        <v>3</v>
      </c>
      <c r="K2535" s="1" t="s">
        <v>5907</v>
      </c>
      <c r="L2535" s="1" t="s">
        <v>5908</v>
      </c>
      <c r="M2535" s="1">
        <v>11</v>
      </c>
      <c r="N2535" s="1" t="s">
        <v>39</v>
      </c>
      <c r="O2535" s="1">
        <v>40.421900000000001</v>
      </c>
      <c r="P2535" s="1">
        <v>-75.935299999999998</v>
      </c>
      <c r="Q2535" s="1" t="s">
        <v>5909</v>
      </c>
      <c r="R2535" s="1" t="s">
        <v>41</v>
      </c>
      <c r="T2535" s="1" t="s">
        <v>71</v>
      </c>
      <c r="U2535" s="1" t="s">
        <v>44</v>
      </c>
      <c r="X2535" s="1" t="s">
        <v>64</v>
      </c>
      <c r="AA2535" s="3">
        <v>37573</v>
      </c>
      <c r="AB2535" s="1" t="s">
        <v>46</v>
      </c>
      <c r="AC2535" s="5">
        <v>2160</v>
      </c>
      <c r="AD2535" s="1" t="s">
        <v>5911</v>
      </c>
      <c r="AE2535" s="1" t="str">
        <f t="shared" si="181"/>
        <v>55193 CT2</v>
      </c>
      <c r="AF2535" s="14">
        <f>AF2534</f>
        <v>285</v>
      </c>
      <c r="AG2535" s="1" t="str">
        <f t="shared" si="180"/>
        <v>Y</v>
      </c>
    </row>
    <row r="2536" spans="1:33" x14ac:dyDescent="0.2">
      <c r="A2536" s="1" t="s">
        <v>2584</v>
      </c>
      <c r="B2536" s="1" t="s">
        <v>5912</v>
      </c>
      <c r="C2536" s="1">
        <v>55196</v>
      </c>
      <c r="D2536" s="1">
        <v>1</v>
      </c>
      <c r="F2536" s="1">
        <v>2023</v>
      </c>
      <c r="G2536" s="1" t="s">
        <v>1515</v>
      </c>
      <c r="H2536" s="1">
        <v>605624</v>
      </c>
      <c r="I2536" s="1">
        <v>3</v>
      </c>
      <c r="K2536" s="1" t="s">
        <v>2586</v>
      </c>
      <c r="L2536" s="1" t="s">
        <v>2587</v>
      </c>
      <c r="M2536" s="1">
        <v>3</v>
      </c>
      <c r="N2536" s="1" t="s">
        <v>39</v>
      </c>
      <c r="O2536" s="1">
        <v>40.544699999999999</v>
      </c>
      <c r="P2536" s="1">
        <v>-79.767799999999994</v>
      </c>
      <c r="Q2536" s="1" t="s">
        <v>5913</v>
      </c>
      <c r="R2536" s="1" t="s">
        <v>41</v>
      </c>
      <c r="T2536" s="1" t="s">
        <v>93</v>
      </c>
      <c r="U2536" s="1" t="s">
        <v>44</v>
      </c>
      <c r="X2536" s="1" t="s">
        <v>95</v>
      </c>
      <c r="AA2536" s="3">
        <v>36479</v>
      </c>
      <c r="AB2536" s="1" t="s">
        <v>46</v>
      </c>
      <c r="AC2536" s="5">
        <v>490</v>
      </c>
      <c r="AD2536" s="1" t="s">
        <v>5914</v>
      </c>
      <c r="AE2536" s="1" t="str">
        <f t="shared" si="181"/>
        <v>55196 1</v>
      </c>
      <c r="AF2536" s="5" t="str">
        <f>MID(AD2536,FIND("(",AD2536)+1,FIND(")",AD2536)-FIND("(",AD2536)-1)</f>
        <v>43.9</v>
      </c>
      <c r="AG2536" s="1" t="str">
        <f t="shared" si="180"/>
        <v/>
      </c>
    </row>
    <row r="2537" spans="1:33" x14ac:dyDescent="0.2">
      <c r="A2537" s="1" t="s">
        <v>2584</v>
      </c>
      <c r="B2537" s="1" t="s">
        <v>5912</v>
      </c>
      <c r="C2537" s="1">
        <v>55196</v>
      </c>
      <c r="D2537" s="1">
        <v>2</v>
      </c>
      <c r="F2537" s="1">
        <v>2023</v>
      </c>
      <c r="G2537" s="1" t="s">
        <v>1515</v>
      </c>
      <c r="H2537" s="1">
        <v>605624</v>
      </c>
      <c r="I2537" s="1">
        <v>3</v>
      </c>
      <c r="K2537" s="1" t="s">
        <v>2586</v>
      </c>
      <c r="L2537" s="1" t="s">
        <v>2587</v>
      </c>
      <c r="M2537" s="1">
        <v>3</v>
      </c>
      <c r="N2537" s="1" t="s">
        <v>39</v>
      </c>
      <c r="O2537" s="1">
        <v>40.544699999999999</v>
      </c>
      <c r="P2537" s="1">
        <v>-79.767799999999994</v>
      </c>
      <c r="Q2537" s="1" t="s">
        <v>5913</v>
      </c>
      <c r="R2537" s="1" t="s">
        <v>41</v>
      </c>
      <c r="T2537" s="1" t="s">
        <v>93</v>
      </c>
      <c r="U2537" s="1" t="s">
        <v>44</v>
      </c>
      <c r="X2537" s="1" t="s">
        <v>95</v>
      </c>
      <c r="AA2537" s="3">
        <v>36479</v>
      </c>
      <c r="AB2537" s="1" t="s">
        <v>46</v>
      </c>
      <c r="AC2537" s="5">
        <v>490</v>
      </c>
      <c r="AD2537" s="1" t="s">
        <v>5915</v>
      </c>
      <c r="AE2537" s="1" t="str">
        <f t="shared" si="181"/>
        <v>55196 2</v>
      </c>
      <c r="AF2537" s="5" t="str">
        <f>MID(AD2537,FIND("(",AD2537)+1,FIND(")",AD2537)-FIND("(",AD2537)-1)</f>
        <v>43.9</v>
      </c>
      <c r="AG2537" s="1" t="str">
        <f t="shared" si="180"/>
        <v/>
      </c>
    </row>
    <row r="2538" spans="1:33" x14ac:dyDescent="0.2">
      <c r="A2538" s="1" t="s">
        <v>1732</v>
      </c>
      <c r="B2538" s="1" t="s">
        <v>5916</v>
      </c>
      <c r="C2538" s="1">
        <v>55197</v>
      </c>
      <c r="D2538" s="1" t="s">
        <v>5546</v>
      </c>
      <c r="F2538" s="1">
        <v>2023</v>
      </c>
      <c r="G2538" s="1" t="s">
        <v>346</v>
      </c>
      <c r="H2538" s="1">
        <v>609315</v>
      </c>
      <c r="I2538" s="1">
        <v>4</v>
      </c>
      <c r="K2538" s="1" t="s">
        <v>4154</v>
      </c>
      <c r="L2538" s="1" t="s">
        <v>5917</v>
      </c>
      <c r="M2538" s="1">
        <v>87</v>
      </c>
      <c r="N2538" s="1" t="s">
        <v>39</v>
      </c>
      <c r="O2538" s="1">
        <v>33.6464</v>
      </c>
      <c r="P2538" s="1">
        <v>-88.271699999999996</v>
      </c>
      <c r="Q2538" s="1" t="s">
        <v>5918</v>
      </c>
      <c r="R2538" s="1" t="s">
        <v>41</v>
      </c>
      <c r="T2538" s="1" t="s">
        <v>71</v>
      </c>
      <c r="U2538" s="1" t="s">
        <v>44</v>
      </c>
      <c r="X2538" s="1" t="s">
        <v>64</v>
      </c>
      <c r="AA2538" s="3">
        <v>37699</v>
      </c>
      <c r="AB2538" s="1" t="s">
        <v>46</v>
      </c>
      <c r="AC2538" s="5">
        <v>2136</v>
      </c>
      <c r="AD2538" s="1" t="s">
        <v>5919</v>
      </c>
      <c r="AE2538" s="1" t="str">
        <f t="shared" si="181"/>
        <v>55197 AA-001</v>
      </c>
      <c r="AF2538" s="14">
        <f>MID(AD2538,FIND("(",AD2538)+1,FIND(")",AD2538)-FIND("(",AD2538)-1)+161</f>
        <v>267</v>
      </c>
      <c r="AG2538" s="1" t="str">
        <f t="shared" si="180"/>
        <v>Y</v>
      </c>
    </row>
    <row r="2539" spans="1:33" x14ac:dyDescent="0.2">
      <c r="A2539" s="1" t="s">
        <v>1732</v>
      </c>
      <c r="B2539" s="1" t="s">
        <v>5916</v>
      </c>
      <c r="C2539" s="1">
        <v>55197</v>
      </c>
      <c r="D2539" s="1" t="s">
        <v>5548</v>
      </c>
      <c r="F2539" s="1">
        <v>2023</v>
      </c>
      <c r="G2539" s="1" t="s">
        <v>346</v>
      </c>
      <c r="H2539" s="1">
        <v>609315</v>
      </c>
      <c r="I2539" s="1">
        <v>4</v>
      </c>
      <c r="K2539" s="1" t="s">
        <v>4154</v>
      </c>
      <c r="L2539" s="1" t="s">
        <v>5917</v>
      </c>
      <c r="M2539" s="1">
        <v>87</v>
      </c>
      <c r="N2539" s="1" t="s">
        <v>39</v>
      </c>
      <c r="O2539" s="1">
        <v>33.6464</v>
      </c>
      <c r="P2539" s="1">
        <v>-88.271699999999996</v>
      </c>
      <c r="Q2539" s="1" t="s">
        <v>5918</v>
      </c>
      <c r="R2539" s="1" t="s">
        <v>41</v>
      </c>
      <c r="T2539" s="1" t="s">
        <v>71</v>
      </c>
      <c r="U2539" s="1" t="s">
        <v>44</v>
      </c>
      <c r="X2539" s="1" t="s">
        <v>64</v>
      </c>
      <c r="AA2539" s="3">
        <v>37720</v>
      </c>
      <c r="AB2539" s="1" t="s">
        <v>46</v>
      </c>
      <c r="AC2539" s="5">
        <v>2042</v>
      </c>
      <c r="AD2539" s="1" t="s">
        <v>5920</v>
      </c>
      <c r="AE2539" s="1" t="str">
        <f t="shared" si="181"/>
        <v>55197 AA-002</v>
      </c>
      <c r="AF2539" s="14">
        <f>MID(AD2539,FIND("(",AD2539)+1,FIND(")",AD2539)-FIND("(",AD2539)-1)+106</f>
        <v>267</v>
      </c>
      <c r="AG2539" s="1" t="str">
        <f t="shared" si="180"/>
        <v>Y</v>
      </c>
    </row>
    <row r="2540" spans="1:33" x14ac:dyDescent="0.2">
      <c r="A2540" s="1" t="s">
        <v>1732</v>
      </c>
      <c r="B2540" s="1" t="s">
        <v>5916</v>
      </c>
      <c r="C2540" s="1">
        <v>55197</v>
      </c>
      <c r="D2540" s="1" t="s">
        <v>5550</v>
      </c>
      <c r="F2540" s="1">
        <v>2023</v>
      </c>
      <c r="G2540" s="1" t="s">
        <v>346</v>
      </c>
      <c r="H2540" s="1">
        <v>609315</v>
      </c>
      <c r="I2540" s="1">
        <v>4</v>
      </c>
      <c r="K2540" s="1" t="s">
        <v>4154</v>
      </c>
      <c r="L2540" s="1" t="s">
        <v>5917</v>
      </c>
      <c r="M2540" s="1">
        <v>87</v>
      </c>
      <c r="N2540" s="1" t="s">
        <v>39</v>
      </c>
      <c r="O2540" s="1">
        <v>33.6464</v>
      </c>
      <c r="P2540" s="1">
        <v>-88.271699999999996</v>
      </c>
      <c r="Q2540" s="1" t="s">
        <v>5918</v>
      </c>
      <c r="R2540" s="1" t="s">
        <v>41</v>
      </c>
      <c r="T2540" s="1" t="s">
        <v>71</v>
      </c>
      <c r="U2540" s="1" t="s">
        <v>44</v>
      </c>
      <c r="X2540" s="1" t="s">
        <v>64</v>
      </c>
      <c r="AA2540" s="3">
        <v>37729</v>
      </c>
      <c r="AB2540" s="1" t="s">
        <v>46</v>
      </c>
      <c r="AC2540" s="5">
        <v>2108</v>
      </c>
      <c r="AD2540" s="1" t="s">
        <v>5921</v>
      </c>
      <c r="AE2540" s="1" t="str">
        <f t="shared" si="181"/>
        <v>55197 AA-003</v>
      </c>
      <c r="AF2540" s="14">
        <f>MID(AD2540,FIND("(",AD2540)+1,FIND(")",AD2540)-FIND("(",AD2540)-1)+106</f>
        <v>267</v>
      </c>
      <c r="AG2540" s="1" t="str">
        <f t="shared" si="180"/>
        <v>Y</v>
      </c>
    </row>
    <row r="2541" spans="1:33" x14ac:dyDescent="0.2">
      <c r="A2541" s="1" t="s">
        <v>165</v>
      </c>
      <c r="B2541" s="1" t="s">
        <v>5922</v>
      </c>
      <c r="C2541" s="1">
        <v>55198</v>
      </c>
      <c r="D2541" s="1" t="s">
        <v>5923</v>
      </c>
      <c r="F2541" s="1">
        <v>2023</v>
      </c>
      <c r="G2541" s="1" t="s">
        <v>168</v>
      </c>
      <c r="H2541" s="1">
        <v>605624</v>
      </c>
      <c r="I2541" s="1">
        <v>4</v>
      </c>
      <c r="K2541" s="1" t="s">
        <v>1347</v>
      </c>
      <c r="L2541" s="1" t="s">
        <v>1348</v>
      </c>
      <c r="M2541" s="1">
        <v>127</v>
      </c>
      <c r="N2541" s="1" t="s">
        <v>39</v>
      </c>
      <c r="O2541" s="1">
        <v>38.193300000000001</v>
      </c>
      <c r="P2541" s="1">
        <v>-82.604200000000006</v>
      </c>
      <c r="Q2541" s="1" t="s">
        <v>5924</v>
      </c>
      <c r="R2541" s="1" t="s">
        <v>41</v>
      </c>
      <c r="T2541" s="1" t="s">
        <v>93</v>
      </c>
      <c r="U2541" s="1" t="s">
        <v>44</v>
      </c>
      <c r="X2541" s="1" t="s">
        <v>140</v>
      </c>
      <c r="AA2541" s="3">
        <v>37054</v>
      </c>
      <c r="AB2541" s="1" t="s">
        <v>46</v>
      </c>
      <c r="AC2541" s="5">
        <v>2133</v>
      </c>
      <c r="AD2541" s="1" t="s">
        <v>5925</v>
      </c>
      <c r="AE2541" s="1" t="str">
        <f t="shared" si="181"/>
        <v>55198 GTG101</v>
      </c>
      <c r="AF2541" s="5" t="str">
        <f>MID(AD2541,FIND("(",AD2541)+1,FIND(")",AD2541)-FIND("(",AD2541)-1)</f>
        <v>208</v>
      </c>
      <c r="AG2541" s="1" t="str">
        <f t="shared" si="180"/>
        <v/>
      </c>
    </row>
    <row r="2542" spans="1:33" x14ac:dyDescent="0.2">
      <c r="A2542" s="1" t="s">
        <v>165</v>
      </c>
      <c r="B2542" s="1" t="s">
        <v>5922</v>
      </c>
      <c r="C2542" s="1">
        <v>55198</v>
      </c>
      <c r="D2542" s="1" t="s">
        <v>5926</v>
      </c>
      <c r="F2542" s="1">
        <v>2023</v>
      </c>
      <c r="G2542" s="1" t="s">
        <v>168</v>
      </c>
      <c r="H2542" s="1">
        <v>605624</v>
      </c>
      <c r="I2542" s="1">
        <v>4</v>
      </c>
      <c r="K2542" s="1" t="s">
        <v>1347</v>
      </c>
      <c r="L2542" s="1" t="s">
        <v>1348</v>
      </c>
      <c r="M2542" s="1">
        <v>127</v>
      </c>
      <c r="N2542" s="1" t="s">
        <v>39</v>
      </c>
      <c r="O2542" s="1">
        <v>38.193300000000001</v>
      </c>
      <c r="P2542" s="1">
        <v>-82.604200000000006</v>
      </c>
      <c r="Q2542" s="1" t="s">
        <v>5924</v>
      </c>
      <c r="R2542" s="1" t="s">
        <v>41</v>
      </c>
      <c r="T2542" s="1" t="s">
        <v>93</v>
      </c>
      <c r="U2542" s="1" t="s">
        <v>44</v>
      </c>
      <c r="X2542" s="1" t="s">
        <v>140</v>
      </c>
      <c r="AA2542" s="3">
        <v>37076</v>
      </c>
      <c r="AB2542" s="1" t="s">
        <v>46</v>
      </c>
      <c r="AC2542" s="5">
        <v>2133</v>
      </c>
      <c r="AD2542" s="1" t="s">
        <v>5927</v>
      </c>
      <c r="AE2542" s="1" t="str">
        <f t="shared" si="181"/>
        <v>55198 GTG201</v>
      </c>
      <c r="AF2542" s="5" t="str">
        <f>MID(AD2542,FIND("(",AD2542)+1,FIND(")",AD2542)-FIND("(",AD2542)-1)</f>
        <v>208</v>
      </c>
      <c r="AG2542" s="1" t="str">
        <f t="shared" si="180"/>
        <v/>
      </c>
    </row>
    <row r="2543" spans="1:33" x14ac:dyDescent="0.2">
      <c r="A2543" s="1" t="s">
        <v>165</v>
      </c>
      <c r="B2543" s="1" t="s">
        <v>5922</v>
      </c>
      <c r="C2543" s="1">
        <v>55198</v>
      </c>
      <c r="D2543" s="1" t="s">
        <v>5928</v>
      </c>
      <c r="F2543" s="1">
        <v>2023</v>
      </c>
      <c r="G2543" s="1" t="s">
        <v>168</v>
      </c>
      <c r="H2543" s="1">
        <v>605624</v>
      </c>
      <c r="I2543" s="1">
        <v>4</v>
      </c>
      <c r="K2543" s="1" t="s">
        <v>1347</v>
      </c>
      <c r="L2543" s="1" t="s">
        <v>1348</v>
      </c>
      <c r="M2543" s="1">
        <v>127</v>
      </c>
      <c r="N2543" s="1" t="s">
        <v>39</v>
      </c>
      <c r="O2543" s="1">
        <v>38.193300000000001</v>
      </c>
      <c r="P2543" s="1">
        <v>-82.604200000000006</v>
      </c>
      <c r="Q2543" s="1" t="s">
        <v>5924</v>
      </c>
      <c r="R2543" s="1" t="s">
        <v>41</v>
      </c>
      <c r="T2543" s="1" t="s">
        <v>93</v>
      </c>
      <c r="U2543" s="1" t="s">
        <v>44</v>
      </c>
      <c r="X2543" s="1" t="s">
        <v>140</v>
      </c>
      <c r="AA2543" s="3">
        <v>37079</v>
      </c>
      <c r="AB2543" s="1" t="s">
        <v>46</v>
      </c>
      <c r="AC2543" s="5">
        <v>2133</v>
      </c>
      <c r="AD2543" s="1" t="s">
        <v>5929</v>
      </c>
      <c r="AE2543" s="1" t="str">
        <f t="shared" si="181"/>
        <v>55198 GTG301</v>
      </c>
      <c r="AF2543" s="5" t="str">
        <f>MID(AD2543,FIND("(",AD2543)+1,FIND(")",AD2543)-FIND("(",AD2543)-1)</f>
        <v>208</v>
      </c>
      <c r="AG2543" s="1" t="str">
        <f t="shared" si="180"/>
        <v/>
      </c>
    </row>
    <row r="2544" spans="1:33" x14ac:dyDescent="0.2">
      <c r="A2544" s="1" t="s">
        <v>165</v>
      </c>
      <c r="B2544" s="1" t="s">
        <v>5922</v>
      </c>
      <c r="C2544" s="1">
        <v>55198</v>
      </c>
      <c r="D2544" s="1" t="s">
        <v>5930</v>
      </c>
      <c r="F2544" s="1">
        <v>2023</v>
      </c>
      <c r="G2544" s="1" t="s">
        <v>168</v>
      </c>
      <c r="H2544" s="1">
        <v>605624</v>
      </c>
      <c r="I2544" s="1">
        <v>4</v>
      </c>
      <c r="K2544" s="1" t="s">
        <v>1347</v>
      </c>
      <c r="L2544" s="1" t="s">
        <v>1348</v>
      </c>
      <c r="M2544" s="1">
        <v>127</v>
      </c>
      <c r="N2544" s="1" t="s">
        <v>39</v>
      </c>
      <c r="O2544" s="1">
        <v>38.193300000000001</v>
      </c>
      <c r="P2544" s="1">
        <v>-82.604200000000006</v>
      </c>
      <c r="Q2544" s="1" t="s">
        <v>5924</v>
      </c>
      <c r="R2544" s="1" t="s">
        <v>41</v>
      </c>
      <c r="T2544" s="1" t="s">
        <v>93</v>
      </c>
      <c r="U2544" s="1" t="s">
        <v>44</v>
      </c>
      <c r="X2544" s="1" t="s">
        <v>643</v>
      </c>
      <c r="AA2544" s="3">
        <v>37335</v>
      </c>
      <c r="AB2544" s="1" t="s">
        <v>46</v>
      </c>
      <c r="AC2544" s="5">
        <v>2133</v>
      </c>
      <c r="AD2544" s="1" t="s">
        <v>5931</v>
      </c>
      <c r="AE2544" s="1" t="str">
        <f t="shared" si="181"/>
        <v>55198 GTG401</v>
      </c>
      <c r="AF2544" s="5" t="str">
        <f>MID(AD2544,FIND("(",AD2544)+1,FIND(")",AD2544)-FIND("(",AD2544)-1)</f>
        <v>208</v>
      </c>
      <c r="AG2544" s="1" t="str">
        <f t="shared" si="180"/>
        <v>Y</v>
      </c>
    </row>
    <row r="2545" spans="1:33" x14ac:dyDescent="0.2">
      <c r="A2545" s="1" t="s">
        <v>165</v>
      </c>
      <c r="B2545" s="1" t="s">
        <v>5922</v>
      </c>
      <c r="C2545" s="1">
        <v>55198</v>
      </c>
      <c r="D2545" s="1" t="s">
        <v>5932</v>
      </c>
      <c r="F2545" s="1">
        <v>2023</v>
      </c>
      <c r="G2545" s="1" t="s">
        <v>168</v>
      </c>
      <c r="H2545" s="1">
        <v>605624</v>
      </c>
      <c r="I2545" s="1">
        <v>4</v>
      </c>
      <c r="K2545" s="1" t="s">
        <v>1347</v>
      </c>
      <c r="L2545" s="1" t="s">
        <v>1348</v>
      </c>
      <c r="M2545" s="1">
        <v>127</v>
      </c>
      <c r="N2545" s="1" t="s">
        <v>39</v>
      </c>
      <c r="O2545" s="1">
        <v>38.193300000000001</v>
      </c>
      <c r="P2545" s="1">
        <v>-82.604200000000006</v>
      </c>
      <c r="Q2545" s="1" t="s">
        <v>5924</v>
      </c>
      <c r="R2545" s="1" t="s">
        <v>41</v>
      </c>
      <c r="T2545" s="1" t="s">
        <v>93</v>
      </c>
      <c r="U2545" s="1" t="s">
        <v>44</v>
      </c>
      <c r="X2545" s="1" t="s">
        <v>643</v>
      </c>
      <c r="AA2545" s="3">
        <v>37355</v>
      </c>
      <c r="AB2545" s="1" t="s">
        <v>46</v>
      </c>
      <c r="AC2545" s="5">
        <v>2133</v>
      </c>
      <c r="AD2545" s="1" t="s">
        <v>5933</v>
      </c>
      <c r="AE2545" s="1" t="str">
        <f t="shared" si="181"/>
        <v>55198 GTG501</v>
      </c>
      <c r="AF2545" s="5" t="str">
        <f>MID(AD2545,FIND("(",AD2545)+1,FIND(")",AD2545)-FIND("(",AD2545)-1)</f>
        <v>208</v>
      </c>
      <c r="AG2545" s="1" t="str">
        <f t="shared" si="180"/>
        <v>Y</v>
      </c>
    </row>
    <row r="2546" spans="1:33" x14ac:dyDescent="0.2">
      <c r="A2546" s="1" t="s">
        <v>458</v>
      </c>
      <c r="B2546" s="1" t="s">
        <v>5934</v>
      </c>
      <c r="C2546" s="1">
        <v>55199</v>
      </c>
      <c r="D2546" s="1">
        <v>1</v>
      </c>
      <c r="F2546" s="1">
        <v>2023</v>
      </c>
      <c r="G2546" s="1" t="s">
        <v>461</v>
      </c>
      <c r="H2546" s="1" t="s">
        <v>5935</v>
      </c>
      <c r="I2546" s="1">
        <v>5</v>
      </c>
      <c r="K2546" s="1" t="s">
        <v>463</v>
      </c>
      <c r="L2546" s="1" t="s">
        <v>464</v>
      </c>
      <c r="M2546" s="1">
        <v>197</v>
      </c>
      <c r="N2546" s="1" t="s">
        <v>39</v>
      </c>
      <c r="O2546" s="1">
        <v>41.438800000000001</v>
      </c>
      <c r="P2546" s="1">
        <v>-88.123599999999996</v>
      </c>
      <c r="Q2546" s="1" t="s">
        <v>5936</v>
      </c>
      <c r="R2546" s="1" t="s">
        <v>41</v>
      </c>
      <c r="T2546" s="1" t="s">
        <v>93</v>
      </c>
      <c r="U2546" s="1" t="s">
        <v>44</v>
      </c>
      <c r="X2546" s="1" t="s">
        <v>140</v>
      </c>
      <c r="AA2546" s="3">
        <v>36308</v>
      </c>
      <c r="AB2546" s="1" t="s">
        <v>46</v>
      </c>
      <c r="AC2546" s="5">
        <v>2060</v>
      </c>
      <c r="AD2546" s="1" t="s">
        <v>5937</v>
      </c>
      <c r="AE2546" s="1" t="str">
        <f t="shared" si="181"/>
        <v>55199 1</v>
      </c>
      <c r="AF2546" s="14">
        <f>MID(AD2546,FIND("(",AD2546)+1,FIND(")",AD2546)-FIND("(",AD2546)-1)+170</f>
        <v>361</v>
      </c>
      <c r="AG2546" s="1" t="str">
        <f t="shared" si="180"/>
        <v/>
      </c>
    </row>
    <row r="2547" spans="1:33" x14ac:dyDescent="0.2">
      <c r="A2547" s="1" t="s">
        <v>458</v>
      </c>
      <c r="B2547" s="1" t="s">
        <v>5934</v>
      </c>
      <c r="C2547" s="1">
        <v>55199</v>
      </c>
      <c r="D2547" s="1">
        <v>2</v>
      </c>
      <c r="F2547" s="1">
        <v>2023</v>
      </c>
      <c r="G2547" s="1" t="s">
        <v>461</v>
      </c>
      <c r="H2547" s="1" t="s">
        <v>5935</v>
      </c>
      <c r="I2547" s="1">
        <v>5</v>
      </c>
      <c r="K2547" s="1" t="s">
        <v>463</v>
      </c>
      <c r="L2547" s="1" t="s">
        <v>464</v>
      </c>
      <c r="M2547" s="1">
        <v>197</v>
      </c>
      <c r="N2547" s="1" t="s">
        <v>39</v>
      </c>
      <c r="O2547" s="1">
        <v>41.438800000000001</v>
      </c>
      <c r="P2547" s="1">
        <v>-88.123599999999996</v>
      </c>
      <c r="Q2547" s="1" t="s">
        <v>5936</v>
      </c>
      <c r="R2547" s="1" t="s">
        <v>41</v>
      </c>
      <c r="T2547" s="1" t="s">
        <v>93</v>
      </c>
      <c r="U2547" s="1" t="s">
        <v>44</v>
      </c>
      <c r="X2547" s="1" t="s">
        <v>140</v>
      </c>
      <c r="AA2547" s="3">
        <v>36308</v>
      </c>
      <c r="AB2547" s="1" t="s">
        <v>46</v>
      </c>
      <c r="AC2547" s="5">
        <v>2060</v>
      </c>
      <c r="AD2547" s="1" t="s">
        <v>5938</v>
      </c>
      <c r="AE2547" s="1" t="str">
        <f t="shared" si="181"/>
        <v>55199 2</v>
      </c>
      <c r="AF2547" s="14">
        <f>MID(AD2547,FIND("(",AD2547)+1,FIND(")",AD2547)-FIND("(",AD2547)-1)+191</f>
        <v>361</v>
      </c>
      <c r="AG2547" s="1" t="str">
        <f t="shared" si="180"/>
        <v/>
      </c>
    </row>
    <row r="2548" spans="1:33" x14ac:dyDescent="0.2">
      <c r="A2548" s="1" t="s">
        <v>458</v>
      </c>
      <c r="B2548" s="1" t="s">
        <v>5934</v>
      </c>
      <c r="C2548" s="1">
        <v>55199</v>
      </c>
      <c r="D2548" s="1">
        <v>3</v>
      </c>
      <c r="F2548" s="1">
        <v>2023</v>
      </c>
      <c r="G2548" s="1" t="s">
        <v>461</v>
      </c>
      <c r="H2548" s="1" t="s">
        <v>5935</v>
      </c>
      <c r="I2548" s="1">
        <v>5</v>
      </c>
      <c r="K2548" s="1" t="s">
        <v>463</v>
      </c>
      <c r="L2548" s="1" t="s">
        <v>464</v>
      </c>
      <c r="M2548" s="1">
        <v>197</v>
      </c>
      <c r="N2548" s="1" t="s">
        <v>39</v>
      </c>
      <c r="O2548" s="1">
        <v>41.438800000000001</v>
      </c>
      <c r="P2548" s="1">
        <v>-88.123599999999996</v>
      </c>
      <c r="Q2548" s="1" t="s">
        <v>5936</v>
      </c>
      <c r="R2548" s="1" t="s">
        <v>41</v>
      </c>
      <c r="T2548" s="1" t="s">
        <v>93</v>
      </c>
      <c r="U2548" s="1" t="s">
        <v>44</v>
      </c>
      <c r="X2548" s="1" t="s">
        <v>140</v>
      </c>
      <c r="AA2548" s="3">
        <v>36308</v>
      </c>
      <c r="AB2548" s="1" t="s">
        <v>46</v>
      </c>
      <c r="AC2548" s="5">
        <v>2060</v>
      </c>
      <c r="AD2548" s="1" t="s">
        <v>5939</v>
      </c>
      <c r="AE2548" s="1" t="str">
        <f t="shared" si="181"/>
        <v>55199 3</v>
      </c>
      <c r="AF2548" s="14">
        <f>MID(AD2548,FIND("(",AD2548)+1,FIND(")",AD2548)-FIND("(",AD2548)-1)+191</f>
        <v>361</v>
      </c>
      <c r="AG2548" s="1" t="str">
        <f t="shared" si="180"/>
        <v/>
      </c>
    </row>
    <row r="2549" spans="1:33" x14ac:dyDescent="0.2">
      <c r="A2549" s="1" t="s">
        <v>458</v>
      </c>
      <c r="B2549" s="1" t="s">
        <v>5934</v>
      </c>
      <c r="C2549" s="1">
        <v>55199</v>
      </c>
      <c r="D2549" s="1">
        <v>4</v>
      </c>
      <c r="F2549" s="1">
        <v>2023</v>
      </c>
      <c r="G2549" s="1" t="s">
        <v>461</v>
      </c>
      <c r="H2549" s="1" t="s">
        <v>5935</v>
      </c>
      <c r="I2549" s="1">
        <v>5</v>
      </c>
      <c r="K2549" s="1" t="s">
        <v>463</v>
      </c>
      <c r="L2549" s="1" t="s">
        <v>464</v>
      </c>
      <c r="M2549" s="1">
        <v>197</v>
      </c>
      <c r="N2549" s="1" t="s">
        <v>39</v>
      </c>
      <c r="O2549" s="1">
        <v>41.438800000000001</v>
      </c>
      <c r="P2549" s="1">
        <v>-88.123599999999996</v>
      </c>
      <c r="Q2549" s="1" t="s">
        <v>5936</v>
      </c>
      <c r="R2549" s="1" t="s">
        <v>41</v>
      </c>
      <c r="T2549" s="1" t="s">
        <v>93</v>
      </c>
      <c r="U2549" s="1" t="s">
        <v>44</v>
      </c>
      <c r="X2549" s="1" t="s">
        <v>140</v>
      </c>
      <c r="AA2549" s="3">
        <v>36308</v>
      </c>
      <c r="AB2549" s="1" t="s">
        <v>46</v>
      </c>
      <c r="AC2549" s="5">
        <v>2060</v>
      </c>
      <c r="AD2549" s="1" t="s">
        <v>5940</v>
      </c>
      <c r="AE2549" s="1" t="str">
        <f t="shared" si="181"/>
        <v>55199 4</v>
      </c>
      <c r="AF2549" s="5" t="str">
        <f>MID(AD2549,FIND("(",AD2549)+1,FIND(")",AD2549)-FIND("(",AD2549)-1)</f>
        <v>191</v>
      </c>
      <c r="AG2549" s="1" t="str">
        <f t="shared" si="180"/>
        <v/>
      </c>
    </row>
    <row r="2550" spans="1:33" x14ac:dyDescent="0.2">
      <c r="A2550" s="1" t="s">
        <v>458</v>
      </c>
      <c r="B2550" s="1" t="s">
        <v>5934</v>
      </c>
      <c r="C2550" s="1">
        <v>55199</v>
      </c>
      <c r="D2550" s="1">
        <v>5</v>
      </c>
      <c r="F2550" s="1">
        <v>2023</v>
      </c>
      <c r="G2550" s="1" t="s">
        <v>461</v>
      </c>
      <c r="H2550" s="1" t="s">
        <v>5935</v>
      </c>
      <c r="I2550" s="1">
        <v>5</v>
      </c>
      <c r="K2550" s="1" t="s">
        <v>463</v>
      </c>
      <c r="L2550" s="1" t="s">
        <v>464</v>
      </c>
      <c r="M2550" s="1">
        <v>197</v>
      </c>
      <c r="N2550" s="1" t="s">
        <v>39</v>
      </c>
      <c r="O2550" s="1">
        <v>41.438800000000001</v>
      </c>
      <c r="P2550" s="1">
        <v>-88.123599999999996</v>
      </c>
      <c r="Q2550" s="1" t="s">
        <v>5936</v>
      </c>
      <c r="R2550" s="1" t="s">
        <v>41</v>
      </c>
      <c r="T2550" s="1" t="s">
        <v>93</v>
      </c>
      <c r="U2550" s="1" t="s">
        <v>44</v>
      </c>
      <c r="X2550" s="1" t="s">
        <v>140</v>
      </c>
      <c r="AA2550" s="3">
        <v>37002</v>
      </c>
      <c r="AB2550" s="1" t="s">
        <v>46</v>
      </c>
      <c r="AC2550" s="5">
        <v>2083</v>
      </c>
      <c r="AD2550" s="1" t="s">
        <v>5941</v>
      </c>
      <c r="AE2550" s="1" t="str">
        <f t="shared" si="181"/>
        <v>55199 5</v>
      </c>
      <c r="AF2550" s="14">
        <f>MID(AD2550,FIND("(",AD2550)+1,FIND(")",AD2550)-FIND("(",AD2550)-1)+172</f>
        <v>367</v>
      </c>
      <c r="AG2550" s="1" t="str">
        <f t="shared" si="180"/>
        <v/>
      </c>
    </row>
    <row r="2551" spans="1:33" x14ac:dyDescent="0.2">
      <c r="A2551" s="1" t="s">
        <v>458</v>
      </c>
      <c r="B2551" s="1" t="s">
        <v>5934</v>
      </c>
      <c r="C2551" s="1">
        <v>55199</v>
      </c>
      <c r="D2551" s="1">
        <v>6</v>
      </c>
      <c r="F2551" s="1">
        <v>2023</v>
      </c>
      <c r="G2551" s="1" t="s">
        <v>461</v>
      </c>
      <c r="H2551" s="1" t="s">
        <v>5935</v>
      </c>
      <c r="I2551" s="1">
        <v>5</v>
      </c>
      <c r="K2551" s="1" t="s">
        <v>463</v>
      </c>
      <c r="L2551" s="1" t="s">
        <v>464</v>
      </c>
      <c r="M2551" s="1">
        <v>197</v>
      </c>
      <c r="N2551" s="1" t="s">
        <v>39</v>
      </c>
      <c r="O2551" s="1">
        <v>41.438800000000001</v>
      </c>
      <c r="P2551" s="1">
        <v>-88.123599999999996</v>
      </c>
      <c r="Q2551" s="1" t="s">
        <v>5936</v>
      </c>
      <c r="R2551" s="1" t="s">
        <v>41</v>
      </c>
      <c r="T2551" s="1" t="s">
        <v>93</v>
      </c>
      <c r="U2551" s="1" t="s">
        <v>44</v>
      </c>
      <c r="X2551" s="1" t="s">
        <v>140</v>
      </c>
      <c r="AA2551" s="3">
        <v>37015</v>
      </c>
      <c r="AB2551" s="1" t="s">
        <v>46</v>
      </c>
      <c r="AC2551" s="5">
        <v>2083</v>
      </c>
      <c r="AD2551" s="1" t="s">
        <v>5942</v>
      </c>
      <c r="AE2551" s="1" t="str">
        <f t="shared" si="181"/>
        <v>55199 6</v>
      </c>
      <c r="AF2551" s="5" t="str">
        <f>MID(AD2551,FIND("(",AD2551)+1,FIND(")",AD2551)-FIND("(",AD2551)-1)</f>
        <v>195</v>
      </c>
      <c r="AG2551" s="1" t="str">
        <f t="shared" si="180"/>
        <v/>
      </c>
    </row>
    <row r="2552" spans="1:33" x14ac:dyDescent="0.2">
      <c r="A2552" s="1" t="s">
        <v>458</v>
      </c>
      <c r="B2552" s="1" t="s">
        <v>5934</v>
      </c>
      <c r="C2552" s="1">
        <v>55199</v>
      </c>
      <c r="D2552" s="1">
        <v>7</v>
      </c>
      <c r="F2552" s="1">
        <v>2023</v>
      </c>
      <c r="G2552" s="1" t="s">
        <v>461</v>
      </c>
      <c r="H2552" s="1" t="s">
        <v>5935</v>
      </c>
      <c r="I2552" s="1">
        <v>5</v>
      </c>
      <c r="K2552" s="1" t="s">
        <v>463</v>
      </c>
      <c r="L2552" s="1" t="s">
        <v>464</v>
      </c>
      <c r="M2552" s="1">
        <v>197</v>
      </c>
      <c r="N2552" s="1" t="s">
        <v>39</v>
      </c>
      <c r="O2552" s="1">
        <v>41.438800000000001</v>
      </c>
      <c r="P2552" s="1">
        <v>-88.123599999999996</v>
      </c>
      <c r="Q2552" s="1" t="s">
        <v>5936</v>
      </c>
      <c r="R2552" s="1" t="s">
        <v>41</v>
      </c>
      <c r="T2552" s="1" t="s">
        <v>93</v>
      </c>
      <c r="U2552" s="1" t="s">
        <v>44</v>
      </c>
      <c r="X2552" s="1" t="s">
        <v>140</v>
      </c>
      <c r="AA2552" s="3">
        <v>37029</v>
      </c>
      <c r="AB2552" s="1" t="s">
        <v>46</v>
      </c>
      <c r="AC2552" s="5">
        <v>2083</v>
      </c>
      <c r="AD2552" s="1" t="s">
        <v>5943</v>
      </c>
      <c r="AE2552" s="1" t="str">
        <f t="shared" si="181"/>
        <v>55199 7</v>
      </c>
      <c r="AF2552" s="5" t="str">
        <f>MID(AD2552,FIND("(",AD2552)+1,FIND(")",AD2552)-FIND("(",AD2552)-1)</f>
        <v>195</v>
      </c>
      <c r="AG2552" s="1" t="str">
        <f t="shared" si="180"/>
        <v/>
      </c>
    </row>
    <row r="2553" spans="1:33" x14ac:dyDescent="0.2">
      <c r="A2553" s="1" t="s">
        <v>458</v>
      </c>
      <c r="B2553" s="1" t="s">
        <v>5934</v>
      </c>
      <c r="C2553" s="1">
        <v>55199</v>
      </c>
      <c r="D2553" s="1">
        <v>8</v>
      </c>
      <c r="F2553" s="1">
        <v>2023</v>
      </c>
      <c r="G2553" s="1" t="s">
        <v>461</v>
      </c>
      <c r="H2553" s="1" t="s">
        <v>5935</v>
      </c>
      <c r="I2553" s="1">
        <v>5</v>
      </c>
      <c r="K2553" s="1" t="s">
        <v>463</v>
      </c>
      <c r="L2553" s="1" t="s">
        <v>464</v>
      </c>
      <c r="M2553" s="1">
        <v>197</v>
      </c>
      <c r="N2553" s="1" t="s">
        <v>39</v>
      </c>
      <c r="O2553" s="1">
        <v>41.438800000000001</v>
      </c>
      <c r="P2553" s="1">
        <v>-88.123599999999996</v>
      </c>
      <c r="Q2553" s="1" t="s">
        <v>5936</v>
      </c>
      <c r="R2553" s="1" t="s">
        <v>41</v>
      </c>
      <c r="T2553" s="1" t="s">
        <v>93</v>
      </c>
      <c r="U2553" s="1" t="s">
        <v>44</v>
      </c>
      <c r="X2553" s="1" t="s">
        <v>140</v>
      </c>
      <c r="AA2553" s="3">
        <v>37033</v>
      </c>
      <c r="AB2553" s="1" t="s">
        <v>46</v>
      </c>
      <c r="AC2553" s="5">
        <v>2083</v>
      </c>
      <c r="AD2553" s="1" t="s">
        <v>5944</v>
      </c>
      <c r="AE2553" s="1" t="str">
        <f t="shared" si="181"/>
        <v>55199 8</v>
      </c>
      <c r="AF2553" s="5" t="str">
        <f>MID(AD2553,FIND("(",AD2553)+1,FIND(")",AD2553)-FIND("(",AD2553)-1)</f>
        <v>195</v>
      </c>
      <c r="AG2553" s="1" t="str">
        <f t="shared" si="180"/>
        <v/>
      </c>
    </row>
    <row r="2554" spans="1:33" x14ac:dyDescent="0.2">
      <c r="A2554" s="1" t="s">
        <v>458</v>
      </c>
      <c r="B2554" s="1" t="s">
        <v>5934</v>
      </c>
      <c r="C2554" s="1">
        <v>55199</v>
      </c>
      <c r="D2554" s="1">
        <v>9</v>
      </c>
      <c r="F2554" s="1">
        <v>2023</v>
      </c>
      <c r="G2554" s="1" t="s">
        <v>461</v>
      </c>
      <c r="H2554" s="1" t="s">
        <v>5935</v>
      </c>
      <c r="I2554" s="1">
        <v>5</v>
      </c>
      <c r="K2554" s="1" t="s">
        <v>463</v>
      </c>
      <c r="L2554" s="1" t="s">
        <v>464</v>
      </c>
      <c r="M2554" s="1">
        <v>197</v>
      </c>
      <c r="N2554" s="1" t="s">
        <v>39</v>
      </c>
      <c r="O2554" s="1">
        <v>41.438800000000001</v>
      </c>
      <c r="P2554" s="1">
        <v>-88.123599999999996</v>
      </c>
      <c r="Q2554" s="1" t="s">
        <v>5936</v>
      </c>
      <c r="R2554" s="1" t="s">
        <v>41</v>
      </c>
      <c r="T2554" s="1" t="s">
        <v>93</v>
      </c>
      <c r="U2554" s="1" t="s">
        <v>44</v>
      </c>
      <c r="X2554" s="1" t="s">
        <v>140</v>
      </c>
      <c r="AA2554" s="3">
        <v>36999</v>
      </c>
      <c r="AB2554" s="1" t="s">
        <v>46</v>
      </c>
      <c r="AC2554" s="5">
        <v>2083</v>
      </c>
      <c r="AD2554" s="1" t="s">
        <v>5945</v>
      </c>
      <c r="AE2554" s="1" t="str">
        <f t="shared" si="181"/>
        <v>55199 9</v>
      </c>
      <c r="AF2554" s="5" t="str">
        <f>MID(AD2554,FIND("(",AD2554)+1,FIND(")",AD2554)-FIND("(",AD2554)-1)</f>
        <v>195</v>
      </c>
      <c r="AG2554" s="1" t="str">
        <f t="shared" si="180"/>
        <v/>
      </c>
    </row>
    <row r="2555" spans="1:33" x14ac:dyDescent="0.2">
      <c r="A2555" s="1" t="s">
        <v>516</v>
      </c>
      <c r="B2555" s="1" t="s">
        <v>5946</v>
      </c>
      <c r="C2555" s="1">
        <v>55200</v>
      </c>
      <c r="D2555" s="1" t="s">
        <v>105</v>
      </c>
      <c r="F2555" s="1">
        <v>2023</v>
      </c>
      <c r="G2555" s="1" t="s">
        <v>247</v>
      </c>
      <c r="H2555" s="1">
        <v>604601</v>
      </c>
      <c r="I2555" s="1">
        <v>8</v>
      </c>
      <c r="K2555" s="1" t="s">
        <v>5947</v>
      </c>
      <c r="L2555" s="1" t="s">
        <v>5948</v>
      </c>
      <c r="M2555" s="1">
        <v>31</v>
      </c>
      <c r="N2555" s="1" t="s">
        <v>39</v>
      </c>
      <c r="O2555" s="1">
        <v>39.669199999999996</v>
      </c>
      <c r="P2555" s="1">
        <v>-105.0018</v>
      </c>
      <c r="Q2555" s="1" t="s">
        <v>5949</v>
      </c>
      <c r="R2555" s="1" t="s">
        <v>41</v>
      </c>
      <c r="T2555" s="1" t="s">
        <v>71</v>
      </c>
      <c r="U2555" s="1" t="s">
        <v>44</v>
      </c>
      <c r="X2555" s="1" t="s">
        <v>223</v>
      </c>
      <c r="AA2555" s="3">
        <v>36671</v>
      </c>
      <c r="AB2555" s="1" t="s">
        <v>46</v>
      </c>
      <c r="AC2555" s="5">
        <v>555</v>
      </c>
      <c r="AD2555" s="1" t="s">
        <v>5950</v>
      </c>
      <c r="AE2555" s="1" t="str">
        <f t="shared" si="181"/>
        <v>55200 CT5</v>
      </c>
      <c r="AF2555" s="14">
        <f>MID(AD2555,FIND("(",AD2555)+1,FIND(")",AD2555)-FIND("(",AD2555)-1)+51.8/2</f>
        <v>101.9</v>
      </c>
      <c r="AG2555" s="1" t="str">
        <f t="shared" si="180"/>
        <v>Y</v>
      </c>
    </row>
    <row r="2556" spans="1:33" x14ac:dyDescent="0.2">
      <c r="A2556" s="1" t="s">
        <v>516</v>
      </c>
      <c r="B2556" s="1" t="s">
        <v>5946</v>
      </c>
      <c r="C2556" s="1">
        <v>55200</v>
      </c>
      <c r="D2556" s="1" t="s">
        <v>107</v>
      </c>
      <c r="F2556" s="1">
        <v>2023</v>
      </c>
      <c r="G2556" s="1" t="s">
        <v>247</v>
      </c>
      <c r="H2556" s="1">
        <v>604601</v>
      </c>
      <c r="I2556" s="1">
        <v>8</v>
      </c>
      <c r="K2556" s="1" t="s">
        <v>5947</v>
      </c>
      <c r="L2556" s="1" t="s">
        <v>5948</v>
      </c>
      <c r="M2556" s="1">
        <v>31</v>
      </c>
      <c r="N2556" s="1" t="s">
        <v>39</v>
      </c>
      <c r="O2556" s="1">
        <v>39.669199999999996</v>
      </c>
      <c r="P2556" s="1">
        <v>-105.0018</v>
      </c>
      <c r="Q2556" s="1" t="s">
        <v>5949</v>
      </c>
      <c r="R2556" s="1" t="s">
        <v>41</v>
      </c>
      <c r="T2556" s="1" t="s">
        <v>71</v>
      </c>
      <c r="U2556" s="1" t="s">
        <v>44</v>
      </c>
      <c r="X2556" s="1" t="s">
        <v>223</v>
      </c>
      <c r="AA2556" s="3">
        <v>36671</v>
      </c>
      <c r="AB2556" s="1" t="s">
        <v>46</v>
      </c>
      <c r="AC2556" s="5">
        <v>555</v>
      </c>
      <c r="AD2556" s="1" t="s">
        <v>5951</v>
      </c>
      <c r="AE2556" s="1" t="str">
        <f t="shared" si="181"/>
        <v>55200 CT6</v>
      </c>
      <c r="AF2556" s="14">
        <f>AF2555</f>
        <v>101.9</v>
      </c>
      <c r="AG2556" s="1" t="str">
        <f t="shared" si="180"/>
        <v>Y</v>
      </c>
    </row>
    <row r="2557" spans="1:33" x14ac:dyDescent="0.2">
      <c r="A2557" s="1" t="s">
        <v>458</v>
      </c>
      <c r="B2557" s="1" t="s">
        <v>5952</v>
      </c>
      <c r="C2557" s="1">
        <v>55201</v>
      </c>
      <c r="D2557" s="1" t="s">
        <v>5953</v>
      </c>
      <c r="F2557" s="1">
        <v>2023</v>
      </c>
      <c r="G2557" s="1" t="s">
        <v>461</v>
      </c>
      <c r="H2557" s="1" t="s">
        <v>4192</v>
      </c>
      <c r="I2557" s="1">
        <v>5</v>
      </c>
      <c r="K2557" s="1" t="s">
        <v>1266</v>
      </c>
      <c r="L2557" s="1" t="s">
        <v>5954</v>
      </c>
      <c r="M2557" s="1">
        <v>53</v>
      </c>
      <c r="N2557" s="1" t="s">
        <v>39</v>
      </c>
      <c r="O2557" s="1">
        <v>40.470500000000001</v>
      </c>
      <c r="P2557" s="1">
        <v>-88.398700000000005</v>
      </c>
      <c r="Q2557" s="1" t="s">
        <v>5955</v>
      </c>
      <c r="R2557" s="1" t="s">
        <v>41</v>
      </c>
      <c r="T2557" s="1" t="s">
        <v>93</v>
      </c>
      <c r="U2557" s="1" t="s">
        <v>44</v>
      </c>
      <c r="V2557" s="1" t="s">
        <v>94</v>
      </c>
      <c r="X2557" s="1" t="s">
        <v>183</v>
      </c>
      <c r="AA2557" s="3">
        <v>36704</v>
      </c>
      <c r="AB2557" s="1" t="s">
        <v>46</v>
      </c>
      <c r="AC2557" s="5">
        <v>1657</v>
      </c>
      <c r="AD2557" s="1" t="s">
        <v>1514</v>
      </c>
      <c r="AE2557" s="1" t="str">
        <f t="shared" si="181"/>
        <v>55201 GCTG1</v>
      </c>
      <c r="AF2557" s="5" t="str">
        <f t="shared" ref="AF2557:AF2568" si="182">MID(AD2557,FIND("(",AD2557)+1,FIND(")",AD2557)-FIND("(",AD2557)-1)</f>
        <v>135</v>
      </c>
      <c r="AG2557" s="1" t="str">
        <f t="shared" si="180"/>
        <v/>
      </c>
    </row>
    <row r="2558" spans="1:33" x14ac:dyDescent="0.2">
      <c r="A2558" s="1" t="s">
        <v>458</v>
      </c>
      <c r="B2558" s="1" t="s">
        <v>5952</v>
      </c>
      <c r="C2558" s="1">
        <v>55201</v>
      </c>
      <c r="D2558" s="1" t="s">
        <v>5956</v>
      </c>
      <c r="F2558" s="1">
        <v>2023</v>
      </c>
      <c r="G2558" s="1" t="s">
        <v>461</v>
      </c>
      <c r="H2558" s="1" t="s">
        <v>4192</v>
      </c>
      <c r="I2558" s="1">
        <v>5</v>
      </c>
      <c r="K2558" s="1" t="s">
        <v>1266</v>
      </c>
      <c r="L2558" s="1" t="s">
        <v>5954</v>
      </c>
      <c r="M2558" s="1">
        <v>53</v>
      </c>
      <c r="N2558" s="1" t="s">
        <v>39</v>
      </c>
      <c r="O2558" s="1">
        <v>40.470500000000001</v>
      </c>
      <c r="P2558" s="1">
        <v>-88.398700000000005</v>
      </c>
      <c r="Q2558" s="1" t="s">
        <v>5955</v>
      </c>
      <c r="R2558" s="1" t="s">
        <v>41</v>
      </c>
      <c r="T2558" s="1" t="s">
        <v>93</v>
      </c>
      <c r="U2558" s="1" t="s">
        <v>44</v>
      </c>
      <c r="V2558" s="1" t="s">
        <v>94</v>
      </c>
      <c r="X2558" s="1" t="s">
        <v>183</v>
      </c>
      <c r="AA2558" s="3">
        <v>36729</v>
      </c>
      <c r="AB2558" s="1" t="s">
        <v>46</v>
      </c>
      <c r="AC2558" s="5">
        <v>1400</v>
      </c>
      <c r="AD2558" s="1" t="s">
        <v>5957</v>
      </c>
      <c r="AE2558" s="1" t="str">
        <f t="shared" si="181"/>
        <v>55201 GCTG2</v>
      </c>
      <c r="AF2558" s="5" t="str">
        <f t="shared" si="182"/>
        <v>135</v>
      </c>
      <c r="AG2558" s="1" t="str">
        <f t="shared" si="180"/>
        <v/>
      </c>
    </row>
    <row r="2559" spans="1:33" x14ac:dyDescent="0.2">
      <c r="A2559" s="1" t="s">
        <v>458</v>
      </c>
      <c r="B2559" s="1" t="s">
        <v>5958</v>
      </c>
      <c r="C2559" s="1">
        <v>55202</v>
      </c>
      <c r="D2559" s="1" t="s">
        <v>993</v>
      </c>
      <c r="F2559" s="1">
        <v>2023</v>
      </c>
      <c r="G2559" s="1" t="s">
        <v>461</v>
      </c>
      <c r="H2559" s="1">
        <v>607655</v>
      </c>
      <c r="I2559" s="1">
        <v>5</v>
      </c>
      <c r="K2559" s="1" t="s">
        <v>5959</v>
      </c>
      <c r="L2559" s="1" t="s">
        <v>5960</v>
      </c>
      <c r="M2559" s="1">
        <v>145</v>
      </c>
      <c r="N2559" s="1" t="s">
        <v>39</v>
      </c>
      <c r="O2559" s="1">
        <v>38.111400000000003</v>
      </c>
      <c r="P2559" s="1">
        <v>-89.346699999999998</v>
      </c>
      <c r="Q2559" s="1" t="s">
        <v>1046</v>
      </c>
      <c r="R2559" s="1" t="s">
        <v>41</v>
      </c>
      <c r="T2559" s="1" t="s">
        <v>93</v>
      </c>
      <c r="U2559" s="1" t="s">
        <v>44</v>
      </c>
      <c r="X2559" s="1" t="s">
        <v>95</v>
      </c>
      <c r="AA2559" s="3">
        <v>36681</v>
      </c>
      <c r="AB2559" s="1" t="s">
        <v>46</v>
      </c>
      <c r="AC2559" s="5">
        <v>444</v>
      </c>
      <c r="AD2559" s="1" t="s">
        <v>4571</v>
      </c>
      <c r="AE2559" s="1" t="str">
        <f t="shared" si="181"/>
        <v>55202 CT01</v>
      </c>
      <c r="AF2559" s="5" t="str">
        <f t="shared" si="182"/>
        <v>45</v>
      </c>
      <c r="AG2559" s="1" t="str">
        <f t="shared" si="180"/>
        <v/>
      </c>
    </row>
    <row r="2560" spans="1:33" x14ac:dyDescent="0.2">
      <c r="A2560" s="1" t="s">
        <v>458</v>
      </c>
      <c r="B2560" s="1" t="s">
        <v>5958</v>
      </c>
      <c r="C2560" s="1">
        <v>55202</v>
      </c>
      <c r="D2560" s="1" t="s">
        <v>998</v>
      </c>
      <c r="F2560" s="1">
        <v>2023</v>
      </c>
      <c r="G2560" s="1" t="s">
        <v>461</v>
      </c>
      <c r="H2560" s="1">
        <v>607655</v>
      </c>
      <c r="I2560" s="1">
        <v>5</v>
      </c>
      <c r="K2560" s="1" t="s">
        <v>5959</v>
      </c>
      <c r="L2560" s="1" t="s">
        <v>5960</v>
      </c>
      <c r="M2560" s="1">
        <v>145</v>
      </c>
      <c r="N2560" s="1" t="s">
        <v>39</v>
      </c>
      <c r="O2560" s="1">
        <v>38.111400000000003</v>
      </c>
      <c r="P2560" s="1">
        <v>-89.346699999999998</v>
      </c>
      <c r="Q2560" s="1" t="s">
        <v>1046</v>
      </c>
      <c r="R2560" s="1" t="s">
        <v>41</v>
      </c>
      <c r="T2560" s="1" t="s">
        <v>93</v>
      </c>
      <c r="U2560" s="1" t="s">
        <v>44</v>
      </c>
      <c r="X2560" s="1" t="s">
        <v>95</v>
      </c>
      <c r="AA2560" s="3">
        <v>36683</v>
      </c>
      <c r="AB2560" s="1" t="s">
        <v>46</v>
      </c>
      <c r="AC2560" s="5">
        <v>444</v>
      </c>
      <c r="AD2560" s="1" t="s">
        <v>4572</v>
      </c>
      <c r="AE2560" s="1" t="str">
        <f t="shared" si="181"/>
        <v>55202 CT02</v>
      </c>
      <c r="AF2560" s="5" t="str">
        <f t="shared" si="182"/>
        <v>45</v>
      </c>
      <c r="AG2560" s="1" t="str">
        <f t="shared" si="180"/>
        <v/>
      </c>
    </row>
    <row r="2561" spans="1:33" x14ac:dyDescent="0.2">
      <c r="A2561" s="1" t="s">
        <v>458</v>
      </c>
      <c r="B2561" s="1" t="s">
        <v>5958</v>
      </c>
      <c r="C2561" s="1">
        <v>55202</v>
      </c>
      <c r="D2561" s="1" t="s">
        <v>1043</v>
      </c>
      <c r="F2561" s="1">
        <v>2023</v>
      </c>
      <c r="G2561" s="1" t="s">
        <v>461</v>
      </c>
      <c r="H2561" s="1">
        <v>607655</v>
      </c>
      <c r="I2561" s="1">
        <v>5</v>
      </c>
      <c r="K2561" s="1" t="s">
        <v>5959</v>
      </c>
      <c r="L2561" s="1" t="s">
        <v>5960</v>
      </c>
      <c r="M2561" s="1">
        <v>145</v>
      </c>
      <c r="N2561" s="1" t="s">
        <v>39</v>
      </c>
      <c r="O2561" s="1">
        <v>38.111400000000003</v>
      </c>
      <c r="P2561" s="1">
        <v>-89.346699999999998</v>
      </c>
      <c r="Q2561" s="1" t="s">
        <v>1046</v>
      </c>
      <c r="R2561" s="1" t="s">
        <v>41</v>
      </c>
      <c r="T2561" s="1" t="s">
        <v>93</v>
      </c>
      <c r="U2561" s="1" t="s">
        <v>44</v>
      </c>
      <c r="X2561" s="1" t="s">
        <v>95</v>
      </c>
      <c r="AA2561" s="3">
        <v>36692</v>
      </c>
      <c r="AB2561" s="1" t="s">
        <v>46</v>
      </c>
      <c r="AC2561" s="5">
        <v>444</v>
      </c>
      <c r="AD2561" s="1" t="s">
        <v>4573</v>
      </c>
      <c r="AE2561" s="1" t="str">
        <f t="shared" si="181"/>
        <v>55202 CT03</v>
      </c>
      <c r="AF2561" s="5" t="str">
        <f t="shared" si="182"/>
        <v>45</v>
      </c>
      <c r="AG2561" s="1" t="str">
        <f t="shared" si="180"/>
        <v/>
      </c>
    </row>
    <row r="2562" spans="1:33" x14ac:dyDescent="0.2">
      <c r="A2562" s="1" t="s">
        <v>458</v>
      </c>
      <c r="B2562" s="1" t="s">
        <v>5958</v>
      </c>
      <c r="C2562" s="1">
        <v>55202</v>
      </c>
      <c r="D2562" s="1" t="s">
        <v>1048</v>
      </c>
      <c r="F2562" s="1">
        <v>2023</v>
      </c>
      <c r="G2562" s="1" t="s">
        <v>461</v>
      </c>
      <c r="H2562" s="1">
        <v>607655</v>
      </c>
      <c r="I2562" s="1">
        <v>5</v>
      </c>
      <c r="K2562" s="1" t="s">
        <v>5959</v>
      </c>
      <c r="L2562" s="1" t="s">
        <v>5960</v>
      </c>
      <c r="M2562" s="1">
        <v>145</v>
      </c>
      <c r="N2562" s="1" t="s">
        <v>39</v>
      </c>
      <c r="O2562" s="1">
        <v>38.111400000000003</v>
      </c>
      <c r="P2562" s="1">
        <v>-89.346699999999998</v>
      </c>
      <c r="Q2562" s="1" t="s">
        <v>1046</v>
      </c>
      <c r="R2562" s="1" t="s">
        <v>41</v>
      </c>
      <c r="T2562" s="1" t="s">
        <v>93</v>
      </c>
      <c r="U2562" s="1" t="s">
        <v>44</v>
      </c>
      <c r="X2562" s="1" t="s">
        <v>95</v>
      </c>
      <c r="AA2562" s="3">
        <v>36699</v>
      </c>
      <c r="AB2562" s="1" t="s">
        <v>46</v>
      </c>
      <c r="AC2562" s="5">
        <v>444</v>
      </c>
      <c r="AD2562" s="1" t="s">
        <v>2366</v>
      </c>
      <c r="AE2562" s="1" t="str">
        <f t="shared" si="181"/>
        <v>55202 CT04</v>
      </c>
      <c r="AF2562" s="5" t="str">
        <f t="shared" si="182"/>
        <v>45</v>
      </c>
      <c r="AG2562" s="1" t="str">
        <f t="shared" ref="AG2562:AG2625" si="183">IF(ISNUMBER(SEARCH("selective", X2562)), "Y", "")</f>
        <v/>
      </c>
    </row>
    <row r="2563" spans="1:33" x14ac:dyDescent="0.2">
      <c r="A2563" s="1" t="s">
        <v>458</v>
      </c>
      <c r="B2563" s="1" t="s">
        <v>5958</v>
      </c>
      <c r="C2563" s="1">
        <v>55202</v>
      </c>
      <c r="D2563" s="1" t="s">
        <v>1050</v>
      </c>
      <c r="F2563" s="1">
        <v>2023</v>
      </c>
      <c r="G2563" s="1" t="s">
        <v>461</v>
      </c>
      <c r="H2563" s="1">
        <v>607655</v>
      </c>
      <c r="I2563" s="1">
        <v>5</v>
      </c>
      <c r="K2563" s="1" t="s">
        <v>5959</v>
      </c>
      <c r="L2563" s="1" t="s">
        <v>5960</v>
      </c>
      <c r="M2563" s="1">
        <v>145</v>
      </c>
      <c r="N2563" s="1" t="s">
        <v>39</v>
      </c>
      <c r="O2563" s="1">
        <v>38.111400000000003</v>
      </c>
      <c r="P2563" s="1">
        <v>-89.346699999999998</v>
      </c>
      <c r="Q2563" s="1" t="s">
        <v>1046</v>
      </c>
      <c r="R2563" s="1" t="s">
        <v>41</v>
      </c>
      <c r="T2563" s="1" t="s">
        <v>93</v>
      </c>
      <c r="U2563" s="1" t="s">
        <v>44</v>
      </c>
      <c r="X2563" s="1" t="s">
        <v>140</v>
      </c>
      <c r="AA2563" s="3">
        <v>37039</v>
      </c>
      <c r="AB2563" s="1" t="s">
        <v>46</v>
      </c>
      <c r="AC2563" s="5">
        <v>553</v>
      </c>
      <c r="AD2563" s="1" t="s">
        <v>1978</v>
      </c>
      <c r="AE2563" s="1" t="str">
        <f t="shared" ref="AE2563:AE2626" si="184">C2563&amp;" "&amp;D2563</f>
        <v>55202 CT05</v>
      </c>
      <c r="AF2563" s="5" t="str">
        <f t="shared" si="182"/>
        <v>50</v>
      </c>
      <c r="AG2563" s="1" t="str">
        <f t="shared" si="183"/>
        <v/>
      </c>
    </row>
    <row r="2564" spans="1:33" x14ac:dyDescent="0.2">
      <c r="A2564" s="1" t="s">
        <v>458</v>
      </c>
      <c r="B2564" s="1" t="s">
        <v>5958</v>
      </c>
      <c r="C2564" s="1">
        <v>55202</v>
      </c>
      <c r="D2564" s="1" t="s">
        <v>4517</v>
      </c>
      <c r="F2564" s="1">
        <v>2023</v>
      </c>
      <c r="G2564" s="1" t="s">
        <v>461</v>
      </c>
      <c r="H2564" s="1">
        <v>607655</v>
      </c>
      <c r="I2564" s="1">
        <v>5</v>
      </c>
      <c r="K2564" s="1" t="s">
        <v>5959</v>
      </c>
      <c r="L2564" s="1" t="s">
        <v>5960</v>
      </c>
      <c r="M2564" s="1">
        <v>145</v>
      </c>
      <c r="N2564" s="1" t="s">
        <v>39</v>
      </c>
      <c r="O2564" s="1">
        <v>38.111400000000003</v>
      </c>
      <c r="P2564" s="1">
        <v>-89.346699999999998</v>
      </c>
      <c r="Q2564" s="1" t="s">
        <v>1046</v>
      </c>
      <c r="R2564" s="1" t="s">
        <v>41</v>
      </c>
      <c r="T2564" s="1" t="s">
        <v>93</v>
      </c>
      <c r="U2564" s="1" t="s">
        <v>44</v>
      </c>
      <c r="X2564" s="1" t="s">
        <v>140</v>
      </c>
      <c r="AA2564" s="3">
        <v>37048</v>
      </c>
      <c r="AB2564" s="1" t="s">
        <v>46</v>
      </c>
      <c r="AC2564" s="5">
        <v>553</v>
      </c>
      <c r="AD2564" s="1" t="s">
        <v>1979</v>
      </c>
      <c r="AE2564" s="1" t="str">
        <f t="shared" si="184"/>
        <v>55202 CT06</v>
      </c>
      <c r="AF2564" s="5" t="str">
        <f t="shared" si="182"/>
        <v>50</v>
      </c>
      <c r="AG2564" s="1" t="str">
        <f t="shared" si="183"/>
        <v/>
      </c>
    </row>
    <row r="2565" spans="1:33" x14ac:dyDescent="0.2">
      <c r="A2565" s="1" t="s">
        <v>458</v>
      </c>
      <c r="B2565" s="1" t="s">
        <v>5958</v>
      </c>
      <c r="C2565" s="1">
        <v>55202</v>
      </c>
      <c r="D2565" s="1" t="s">
        <v>5961</v>
      </c>
      <c r="F2565" s="1">
        <v>2023</v>
      </c>
      <c r="G2565" s="1" t="s">
        <v>461</v>
      </c>
      <c r="H2565" s="1">
        <v>607655</v>
      </c>
      <c r="I2565" s="1">
        <v>5</v>
      </c>
      <c r="K2565" s="1" t="s">
        <v>5959</v>
      </c>
      <c r="L2565" s="1" t="s">
        <v>5960</v>
      </c>
      <c r="M2565" s="1">
        <v>145</v>
      </c>
      <c r="N2565" s="1" t="s">
        <v>39</v>
      </c>
      <c r="O2565" s="1">
        <v>38.111400000000003</v>
      </c>
      <c r="P2565" s="1">
        <v>-89.346699999999998</v>
      </c>
      <c r="Q2565" s="1" t="s">
        <v>1046</v>
      </c>
      <c r="R2565" s="1" t="s">
        <v>41</v>
      </c>
      <c r="T2565" s="1" t="s">
        <v>93</v>
      </c>
      <c r="U2565" s="1" t="s">
        <v>44</v>
      </c>
      <c r="X2565" s="1" t="s">
        <v>140</v>
      </c>
      <c r="AA2565" s="3">
        <v>37065</v>
      </c>
      <c r="AB2565" s="1" t="s">
        <v>46</v>
      </c>
      <c r="AC2565" s="5">
        <v>553</v>
      </c>
      <c r="AD2565" s="1" t="s">
        <v>2066</v>
      </c>
      <c r="AE2565" s="1" t="str">
        <f t="shared" si="184"/>
        <v>55202 CT07</v>
      </c>
      <c r="AF2565" s="5" t="str">
        <f t="shared" si="182"/>
        <v>50</v>
      </c>
      <c r="AG2565" s="1" t="str">
        <f t="shared" si="183"/>
        <v/>
      </c>
    </row>
    <row r="2566" spans="1:33" x14ac:dyDescent="0.2">
      <c r="A2566" s="1" t="s">
        <v>458</v>
      </c>
      <c r="B2566" s="1" t="s">
        <v>5958</v>
      </c>
      <c r="C2566" s="1">
        <v>55202</v>
      </c>
      <c r="D2566" s="1" t="s">
        <v>5962</v>
      </c>
      <c r="F2566" s="1">
        <v>2023</v>
      </c>
      <c r="G2566" s="1" t="s">
        <v>461</v>
      </c>
      <c r="H2566" s="1">
        <v>607655</v>
      </c>
      <c r="I2566" s="1">
        <v>5</v>
      </c>
      <c r="K2566" s="1" t="s">
        <v>5959</v>
      </c>
      <c r="L2566" s="1" t="s">
        <v>5960</v>
      </c>
      <c r="M2566" s="1">
        <v>145</v>
      </c>
      <c r="N2566" s="1" t="s">
        <v>39</v>
      </c>
      <c r="O2566" s="1">
        <v>38.111400000000003</v>
      </c>
      <c r="P2566" s="1">
        <v>-89.346699999999998</v>
      </c>
      <c r="Q2566" s="1" t="s">
        <v>1046</v>
      </c>
      <c r="R2566" s="1" t="s">
        <v>41</v>
      </c>
      <c r="T2566" s="1" t="s">
        <v>93</v>
      </c>
      <c r="U2566" s="1" t="s">
        <v>44</v>
      </c>
      <c r="X2566" s="1" t="s">
        <v>140</v>
      </c>
      <c r="AA2566" s="3">
        <v>37095</v>
      </c>
      <c r="AB2566" s="1" t="s">
        <v>46</v>
      </c>
      <c r="AC2566" s="5">
        <v>553</v>
      </c>
      <c r="AD2566" s="1" t="s">
        <v>5963</v>
      </c>
      <c r="AE2566" s="1" t="str">
        <f t="shared" si="184"/>
        <v>55202 CT08</v>
      </c>
      <c r="AF2566" s="5" t="str">
        <f t="shared" si="182"/>
        <v>50</v>
      </c>
      <c r="AG2566" s="1" t="str">
        <f t="shared" si="183"/>
        <v/>
      </c>
    </row>
    <row r="2567" spans="1:33" x14ac:dyDescent="0.2">
      <c r="A2567" s="1" t="s">
        <v>458</v>
      </c>
      <c r="B2567" s="1" t="s">
        <v>5964</v>
      </c>
      <c r="C2567" s="1">
        <v>55204</v>
      </c>
      <c r="D2567" s="1" t="s">
        <v>5965</v>
      </c>
      <c r="F2567" s="1">
        <v>2023</v>
      </c>
      <c r="G2567" s="1" t="s">
        <v>461</v>
      </c>
      <c r="H2567" s="1">
        <v>607655</v>
      </c>
      <c r="I2567" s="1">
        <v>5</v>
      </c>
      <c r="K2567" s="1" t="s">
        <v>1087</v>
      </c>
      <c r="L2567" s="1" t="s">
        <v>5966</v>
      </c>
      <c r="M2567" s="1">
        <v>121</v>
      </c>
      <c r="N2567" s="1" t="s">
        <v>39</v>
      </c>
      <c r="O2567" s="1">
        <v>38.761899999999997</v>
      </c>
      <c r="P2567" s="1">
        <v>-89.012799999999999</v>
      </c>
      <c r="Q2567" s="1" t="s">
        <v>1046</v>
      </c>
      <c r="R2567" s="1" t="s">
        <v>41</v>
      </c>
      <c r="T2567" s="1" t="s">
        <v>93</v>
      </c>
      <c r="U2567" s="1" t="s">
        <v>44</v>
      </c>
      <c r="V2567" s="1" t="s">
        <v>94</v>
      </c>
      <c r="X2567" s="1" t="s">
        <v>183</v>
      </c>
      <c r="AA2567" s="3">
        <v>36985</v>
      </c>
      <c r="AB2567" s="1" t="s">
        <v>46</v>
      </c>
      <c r="AC2567" s="5">
        <v>1459</v>
      </c>
      <c r="AD2567" s="1" t="s">
        <v>1514</v>
      </c>
      <c r="AE2567" s="1" t="str">
        <f t="shared" si="184"/>
        <v>55204 KCTG1</v>
      </c>
      <c r="AF2567" s="5" t="str">
        <f t="shared" si="182"/>
        <v>135</v>
      </c>
      <c r="AG2567" s="1" t="str">
        <f t="shared" si="183"/>
        <v/>
      </c>
    </row>
    <row r="2568" spans="1:33" x14ac:dyDescent="0.2">
      <c r="A2568" s="1" t="s">
        <v>458</v>
      </c>
      <c r="B2568" s="1" t="s">
        <v>5964</v>
      </c>
      <c r="C2568" s="1">
        <v>55204</v>
      </c>
      <c r="D2568" s="1" t="s">
        <v>5967</v>
      </c>
      <c r="F2568" s="1">
        <v>2023</v>
      </c>
      <c r="G2568" s="1" t="s">
        <v>461</v>
      </c>
      <c r="H2568" s="1">
        <v>607655</v>
      </c>
      <c r="I2568" s="1">
        <v>5</v>
      </c>
      <c r="K2568" s="1" t="s">
        <v>1087</v>
      </c>
      <c r="L2568" s="1" t="s">
        <v>5966</v>
      </c>
      <c r="M2568" s="1">
        <v>121</v>
      </c>
      <c r="N2568" s="1" t="s">
        <v>39</v>
      </c>
      <c r="O2568" s="1">
        <v>38.761899999999997</v>
      </c>
      <c r="P2568" s="1">
        <v>-89.012799999999999</v>
      </c>
      <c r="Q2568" s="1" t="s">
        <v>1046</v>
      </c>
      <c r="R2568" s="1" t="s">
        <v>41</v>
      </c>
      <c r="T2568" s="1" t="s">
        <v>93</v>
      </c>
      <c r="U2568" s="1" t="s">
        <v>44</v>
      </c>
      <c r="V2568" s="1" t="s">
        <v>94</v>
      </c>
      <c r="X2568" s="1" t="s">
        <v>183</v>
      </c>
      <c r="AA2568" s="3">
        <v>37035</v>
      </c>
      <c r="AB2568" s="1" t="s">
        <v>46</v>
      </c>
      <c r="AC2568" s="5">
        <v>1459</v>
      </c>
      <c r="AD2568" s="1" t="s">
        <v>5957</v>
      </c>
      <c r="AE2568" s="1" t="str">
        <f t="shared" si="184"/>
        <v>55204 KCTG2</v>
      </c>
      <c r="AF2568" s="5" t="str">
        <f t="shared" si="182"/>
        <v>135</v>
      </c>
      <c r="AG2568" s="1" t="str">
        <f t="shared" si="183"/>
        <v/>
      </c>
    </row>
    <row r="2569" spans="1:33" x14ac:dyDescent="0.2">
      <c r="A2569" s="1" t="s">
        <v>383</v>
      </c>
      <c r="B2569" s="1" t="s">
        <v>5968</v>
      </c>
      <c r="C2569" s="1">
        <v>55206</v>
      </c>
      <c r="D2569" s="1" t="s">
        <v>5969</v>
      </c>
      <c r="F2569" s="1">
        <v>2023</v>
      </c>
      <c r="G2569" s="1" t="s">
        <v>346</v>
      </c>
      <c r="H2569" s="1">
        <v>610004</v>
      </c>
      <c r="I2569" s="1">
        <v>6</v>
      </c>
      <c r="K2569" s="1" t="s">
        <v>2874</v>
      </c>
      <c r="L2569" s="1" t="s">
        <v>2875</v>
      </c>
      <c r="M2569" s="1">
        <v>355</v>
      </c>
      <c r="N2569" s="1" t="s">
        <v>1680</v>
      </c>
      <c r="O2569" s="1">
        <v>27.8139</v>
      </c>
      <c r="P2569" s="1">
        <v>-97.428299999999993</v>
      </c>
      <c r="Q2569" s="1" t="s">
        <v>5970</v>
      </c>
      <c r="R2569" s="1" t="s">
        <v>41</v>
      </c>
      <c r="T2569" s="1" t="s">
        <v>71</v>
      </c>
      <c r="U2569" s="1" t="s">
        <v>44</v>
      </c>
      <c r="X2569" s="1" t="s">
        <v>140</v>
      </c>
      <c r="AA2569" s="3">
        <v>37165</v>
      </c>
      <c r="AB2569" s="1" t="s">
        <v>46</v>
      </c>
      <c r="AC2569" s="5">
        <v>2500</v>
      </c>
      <c r="AD2569" s="1" t="s">
        <v>5971</v>
      </c>
      <c r="AE2569" s="1" t="str">
        <f t="shared" si="184"/>
        <v>55206 CU1</v>
      </c>
      <c r="AF2569" s="14">
        <f>MID(AD2569,FIND("(",AD2569)+1,FIND(")",AD2569)-FIND("(",AD2569)-1)+195.5/2</f>
        <v>287.75</v>
      </c>
      <c r="AG2569" s="1" t="str">
        <f t="shared" si="183"/>
        <v/>
      </c>
    </row>
    <row r="2570" spans="1:33" x14ac:dyDescent="0.2">
      <c r="A2570" s="1" t="s">
        <v>383</v>
      </c>
      <c r="B2570" s="1" t="s">
        <v>5968</v>
      </c>
      <c r="C2570" s="1">
        <v>55206</v>
      </c>
      <c r="D2570" s="1" t="s">
        <v>5972</v>
      </c>
      <c r="F2570" s="1">
        <v>2023</v>
      </c>
      <c r="G2570" s="1" t="s">
        <v>346</v>
      </c>
      <c r="H2570" s="1">
        <v>610004</v>
      </c>
      <c r="I2570" s="1">
        <v>6</v>
      </c>
      <c r="K2570" s="1" t="s">
        <v>2874</v>
      </c>
      <c r="L2570" s="1" t="s">
        <v>2875</v>
      </c>
      <c r="M2570" s="1">
        <v>355</v>
      </c>
      <c r="N2570" s="1" t="s">
        <v>1680</v>
      </c>
      <c r="O2570" s="1">
        <v>27.8139</v>
      </c>
      <c r="P2570" s="1">
        <v>-97.428299999999993</v>
      </c>
      <c r="Q2570" s="1" t="s">
        <v>5970</v>
      </c>
      <c r="R2570" s="1" t="s">
        <v>41</v>
      </c>
      <c r="T2570" s="1" t="s">
        <v>71</v>
      </c>
      <c r="U2570" s="1" t="s">
        <v>44</v>
      </c>
      <c r="X2570" s="1" t="s">
        <v>140</v>
      </c>
      <c r="AA2570" s="3">
        <v>37165</v>
      </c>
      <c r="AB2570" s="1" t="s">
        <v>46</v>
      </c>
      <c r="AC2570" s="5">
        <v>2510</v>
      </c>
      <c r="AD2570" s="1" t="s">
        <v>5973</v>
      </c>
      <c r="AE2570" s="1" t="str">
        <f t="shared" si="184"/>
        <v>55206 CU2</v>
      </c>
      <c r="AF2570" s="14">
        <f>AF2569</f>
        <v>287.75</v>
      </c>
      <c r="AG2570" s="1" t="str">
        <f t="shared" si="183"/>
        <v/>
      </c>
    </row>
    <row r="2571" spans="1:33" x14ac:dyDescent="0.2">
      <c r="A2571" s="1" t="s">
        <v>516</v>
      </c>
      <c r="B2571" s="1" t="s">
        <v>5974</v>
      </c>
      <c r="C2571" s="1">
        <v>55207</v>
      </c>
      <c r="D2571" s="1" t="s">
        <v>109</v>
      </c>
      <c r="F2571" s="1">
        <v>2023</v>
      </c>
      <c r="G2571" s="1" t="s">
        <v>247</v>
      </c>
      <c r="H2571" s="1">
        <v>608791</v>
      </c>
      <c r="I2571" s="1">
        <v>8</v>
      </c>
      <c r="K2571" s="1" t="s">
        <v>5975</v>
      </c>
      <c r="L2571" s="1" t="s">
        <v>5976</v>
      </c>
      <c r="M2571" s="1">
        <v>13</v>
      </c>
      <c r="N2571" s="1" t="s">
        <v>39</v>
      </c>
      <c r="O2571" s="1">
        <v>40.0197</v>
      </c>
      <c r="P2571" s="1">
        <v>-105.202</v>
      </c>
      <c r="Q2571" s="1" t="s">
        <v>5977</v>
      </c>
      <c r="R2571" s="1" t="s">
        <v>41</v>
      </c>
      <c r="T2571" s="1" t="s">
        <v>93</v>
      </c>
      <c r="U2571" s="1" t="s">
        <v>44</v>
      </c>
      <c r="X2571" s="1" t="s">
        <v>95</v>
      </c>
      <c r="AA2571" s="3">
        <v>36672</v>
      </c>
      <c r="AB2571" s="1" t="s">
        <v>46</v>
      </c>
      <c r="AC2571" s="5">
        <v>425</v>
      </c>
      <c r="AD2571" s="1" t="s">
        <v>5978</v>
      </c>
      <c r="AE2571" s="1" t="str">
        <f t="shared" si="184"/>
        <v>55207 CT7</v>
      </c>
      <c r="AF2571" s="5" t="str">
        <f>MID(AD2571,FIND("(",AD2571)+1,FIND(")",AD2571)-FIND("(",AD2571)-1)</f>
        <v>71.1</v>
      </c>
      <c r="AG2571" s="1" t="str">
        <f t="shared" si="183"/>
        <v/>
      </c>
    </row>
    <row r="2572" spans="1:33" x14ac:dyDescent="0.2">
      <c r="A2572" s="1" t="s">
        <v>516</v>
      </c>
      <c r="B2572" s="1" t="s">
        <v>5974</v>
      </c>
      <c r="C2572" s="1">
        <v>55207</v>
      </c>
      <c r="D2572" s="1" t="s">
        <v>111</v>
      </c>
      <c r="F2572" s="1">
        <v>2023</v>
      </c>
      <c r="G2572" s="1" t="s">
        <v>247</v>
      </c>
      <c r="H2572" s="1">
        <v>608791</v>
      </c>
      <c r="I2572" s="1">
        <v>8</v>
      </c>
      <c r="K2572" s="1" t="s">
        <v>5975</v>
      </c>
      <c r="L2572" s="1" t="s">
        <v>5976</v>
      </c>
      <c r="M2572" s="1">
        <v>13</v>
      </c>
      <c r="N2572" s="1" t="s">
        <v>39</v>
      </c>
      <c r="O2572" s="1">
        <v>40.0197</v>
      </c>
      <c r="P2572" s="1">
        <v>-105.202</v>
      </c>
      <c r="Q2572" s="1" t="s">
        <v>5977</v>
      </c>
      <c r="R2572" s="1" t="s">
        <v>41</v>
      </c>
      <c r="T2572" s="1" t="s">
        <v>93</v>
      </c>
      <c r="U2572" s="1" t="s">
        <v>44</v>
      </c>
      <c r="X2572" s="1" t="s">
        <v>95</v>
      </c>
      <c r="AA2572" s="3">
        <v>37079</v>
      </c>
      <c r="AB2572" s="1" t="s">
        <v>46</v>
      </c>
      <c r="AC2572" s="5">
        <v>425</v>
      </c>
      <c r="AD2572" s="1" t="s">
        <v>5979</v>
      </c>
      <c r="AE2572" s="1" t="str">
        <f t="shared" si="184"/>
        <v>55207 CT8</v>
      </c>
      <c r="AF2572" s="5" t="str">
        <f>MID(AD2572,FIND("(",AD2572)+1,FIND(")",AD2572)-FIND("(",AD2572)-1)</f>
        <v>71.1</v>
      </c>
      <c r="AG2572" s="1" t="str">
        <f t="shared" si="183"/>
        <v/>
      </c>
    </row>
    <row r="2573" spans="1:33" x14ac:dyDescent="0.2">
      <c r="A2573" s="1" t="s">
        <v>2054</v>
      </c>
      <c r="B2573" s="1" t="s">
        <v>5980</v>
      </c>
      <c r="C2573" s="1">
        <v>55210</v>
      </c>
      <c r="D2573" s="1">
        <v>1</v>
      </c>
      <c r="F2573" s="1">
        <v>2023</v>
      </c>
      <c r="G2573" s="1" t="s">
        <v>247</v>
      </c>
      <c r="H2573" s="1">
        <v>610023</v>
      </c>
      <c r="I2573" s="1">
        <v>6</v>
      </c>
      <c r="K2573" s="1" t="s">
        <v>2063</v>
      </c>
      <c r="L2573" s="1" t="s">
        <v>2064</v>
      </c>
      <c r="M2573" s="1">
        <v>13</v>
      </c>
      <c r="N2573" s="1" t="s">
        <v>39</v>
      </c>
      <c r="O2573" s="1">
        <v>32.113399999999999</v>
      </c>
      <c r="P2573" s="1">
        <v>-106.848</v>
      </c>
      <c r="Q2573" s="1" t="s">
        <v>2078</v>
      </c>
      <c r="R2573" s="1" t="s">
        <v>41</v>
      </c>
      <c r="T2573" s="1" t="s">
        <v>71</v>
      </c>
      <c r="U2573" s="1" t="s">
        <v>44</v>
      </c>
      <c r="V2573" s="1" t="s">
        <v>94</v>
      </c>
      <c r="X2573" s="1" t="s">
        <v>3404</v>
      </c>
      <c r="AA2573" s="3">
        <v>37543</v>
      </c>
      <c r="AB2573" s="1" t="s">
        <v>46</v>
      </c>
      <c r="AC2573" s="5">
        <v>1853.8</v>
      </c>
      <c r="AD2573" s="1" t="s">
        <v>5981</v>
      </c>
      <c r="AE2573" s="1" t="str">
        <f t="shared" si="184"/>
        <v>55210 1</v>
      </c>
      <c r="AF2573" s="14">
        <f>MID(AD2573,FIND("(",AD2573)+1,FIND(")",AD2573)-FIND("(",AD2573)-1)+177</f>
        <v>287</v>
      </c>
      <c r="AG2573" s="1" t="str">
        <f t="shared" si="183"/>
        <v>Y</v>
      </c>
    </row>
    <row r="2574" spans="1:33" x14ac:dyDescent="0.2">
      <c r="A2574" s="1" t="s">
        <v>1568</v>
      </c>
      <c r="B2574" s="1" t="s">
        <v>5982</v>
      </c>
      <c r="C2574" s="1">
        <v>55211</v>
      </c>
      <c r="D2574" s="1">
        <v>1</v>
      </c>
      <c r="F2574" s="1">
        <v>2023</v>
      </c>
      <c r="G2574" s="1" t="s">
        <v>579</v>
      </c>
      <c r="H2574" s="1">
        <v>603383</v>
      </c>
      <c r="I2574" s="1">
        <v>1</v>
      </c>
      <c r="K2574" s="1" t="s">
        <v>1578</v>
      </c>
      <c r="L2574" s="1" t="s">
        <v>1579</v>
      </c>
      <c r="M2574" s="1">
        <v>21</v>
      </c>
      <c r="N2574" s="1" t="s">
        <v>39</v>
      </c>
      <c r="O2574" s="1">
        <v>42.1113</v>
      </c>
      <c r="P2574" s="1">
        <v>-71.4529</v>
      </c>
      <c r="Q2574" s="1" t="s">
        <v>5983</v>
      </c>
      <c r="R2574" s="1" t="s">
        <v>41</v>
      </c>
      <c r="T2574" s="1" t="s">
        <v>71</v>
      </c>
      <c r="U2574" s="1" t="s">
        <v>44</v>
      </c>
      <c r="X2574" s="1" t="s">
        <v>64</v>
      </c>
      <c r="AA2574" s="3">
        <v>37426</v>
      </c>
      <c r="AB2574" s="1" t="s">
        <v>46</v>
      </c>
      <c r="AC2574" s="5">
        <v>2184</v>
      </c>
      <c r="AD2574" s="1" t="s">
        <v>5984</v>
      </c>
      <c r="AE2574" s="1" t="str">
        <f t="shared" si="184"/>
        <v>55211 1</v>
      </c>
      <c r="AF2574" s="5" t="str">
        <f>MID(AD2574,FIND("(",AD2574)+1,FIND(")",AD2574)-FIND("(",AD2574)-1)</f>
        <v>289</v>
      </c>
      <c r="AG2574" s="1" t="str">
        <f t="shared" si="183"/>
        <v>Y</v>
      </c>
    </row>
    <row r="2575" spans="1:33" x14ac:dyDescent="0.2">
      <c r="A2575" s="1" t="s">
        <v>1568</v>
      </c>
      <c r="B2575" s="1" t="s">
        <v>5982</v>
      </c>
      <c r="C2575" s="1">
        <v>55211</v>
      </c>
      <c r="D2575" s="1">
        <v>2</v>
      </c>
      <c r="F2575" s="1">
        <v>2023</v>
      </c>
      <c r="G2575" s="1" t="s">
        <v>579</v>
      </c>
      <c r="H2575" s="1">
        <v>603383</v>
      </c>
      <c r="I2575" s="1">
        <v>1</v>
      </c>
      <c r="K2575" s="1" t="s">
        <v>1578</v>
      </c>
      <c r="L2575" s="1" t="s">
        <v>1579</v>
      </c>
      <c r="M2575" s="1">
        <v>21</v>
      </c>
      <c r="N2575" s="1" t="s">
        <v>39</v>
      </c>
      <c r="O2575" s="1">
        <v>42.1113</v>
      </c>
      <c r="P2575" s="1">
        <v>-71.4529</v>
      </c>
      <c r="Q2575" s="1" t="s">
        <v>5983</v>
      </c>
      <c r="R2575" s="1" t="s">
        <v>41</v>
      </c>
      <c r="T2575" s="1" t="s">
        <v>71</v>
      </c>
      <c r="U2575" s="1" t="s">
        <v>44</v>
      </c>
      <c r="X2575" s="1" t="s">
        <v>64</v>
      </c>
      <c r="AA2575" s="3">
        <v>37492</v>
      </c>
      <c r="AB2575" s="1" t="s">
        <v>46</v>
      </c>
      <c r="AC2575" s="5">
        <v>2184</v>
      </c>
      <c r="AD2575" s="1" t="s">
        <v>5985</v>
      </c>
      <c r="AE2575" s="1" t="str">
        <f t="shared" si="184"/>
        <v>55211 2</v>
      </c>
      <c r="AF2575" s="5" t="str">
        <f>MID(AD2575,FIND("(",AD2575)+1,FIND(")",AD2575)-FIND("(",AD2575)-1)</f>
        <v>289</v>
      </c>
      <c r="AG2575" s="1" t="str">
        <f t="shared" si="183"/>
        <v>Y</v>
      </c>
    </row>
    <row r="2576" spans="1:33" x14ac:dyDescent="0.2">
      <c r="A2576" s="1" t="s">
        <v>1568</v>
      </c>
      <c r="B2576" s="1" t="s">
        <v>5986</v>
      </c>
      <c r="C2576" s="1">
        <v>55212</v>
      </c>
      <c r="D2576" s="1">
        <v>1</v>
      </c>
      <c r="F2576" s="1">
        <v>2023</v>
      </c>
      <c r="G2576" s="1" t="s">
        <v>579</v>
      </c>
      <c r="H2576" s="1">
        <v>603383</v>
      </c>
      <c r="I2576" s="1">
        <v>1</v>
      </c>
      <c r="K2576" s="1" t="s">
        <v>5395</v>
      </c>
      <c r="L2576" s="1" t="s">
        <v>5396</v>
      </c>
      <c r="M2576" s="1">
        <v>27</v>
      </c>
      <c r="N2576" s="1" t="s">
        <v>39</v>
      </c>
      <c r="O2576" s="1">
        <v>42.057499999999997</v>
      </c>
      <c r="P2576" s="1">
        <v>-71.517200000000003</v>
      </c>
      <c r="Q2576" s="1" t="s">
        <v>5987</v>
      </c>
      <c r="R2576" s="1" t="s">
        <v>41</v>
      </c>
      <c r="T2576" s="1" t="s">
        <v>71</v>
      </c>
      <c r="U2576" s="1" t="s">
        <v>44</v>
      </c>
      <c r="X2576" s="1" t="s">
        <v>64</v>
      </c>
      <c r="AA2576" s="3">
        <v>37006</v>
      </c>
      <c r="AB2576" s="1" t="s">
        <v>46</v>
      </c>
      <c r="AC2576" s="5">
        <v>2184</v>
      </c>
      <c r="AD2576" s="1" t="s">
        <v>5984</v>
      </c>
      <c r="AE2576" s="1" t="str">
        <f t="shared" si="184"/>
        <v>55212 1</v>
      </c>
      <c r="AF2576" s="5" t="str">
        <f>MID(AD2576,FIND("(",AD2576)+1,FIND(")",AD2576)-FIND("(",AD2576)-1)</f>
        <v>289</v>
      </c>
      <c r="AG2576" s="1" t="str">
        <f t="shared" si="183"/>
        <v>Y</v>
      </c>
    </row>
    <row r="2577" spans="1:33" x14ac:dyDescent="0.2">
      <c r="A2577" s="1" t="s">
        <v>1568</v>
      </c>
      <c r="B2577" s="1" t="s">
        <v>5986</v>
      </c>
      <c r="C2577" s="1">
        <v>55212</v>
      </c>
      <c r="D2577" s="1">
        <v>2</v>
      </c>
      <c r="F2577" s="1">
        <v>2023</v>
      </c>
      <c r="G2577" s="1" t="s">
        <v>579</v>
      </c>
      <c r="H2577" s="1">
        <v>603383</v>
      </c>
      <c r="I2577" s="1">
        <v>1</v>
      </c>
      <c r="K2577" s="1" t="s">
        <v>5395</v>
      </c>
      <c r="L2577" s="1" t="s">
        <v>5396</v>
      </c>
      <c r="M2577" s="1">
        <v>27</v>
      </c>
      <c r="N2577" s="1" t="s">
        <v>39</v>
      </c>
      <c r="O2577" s="1">
        <v>42.057499999999997</v>
      </c>
      <c r="P2577" s="1">
        <v>-71.517200000000003</v>
      </c>
      <c r="Q2577" s="1" t="s">
        <v>5987</v>
      </c>
      <c r="R2577" s="1" t="s">
        <v>41</v>
      </c>
      <c r="T2577" s="1" t="s">
        <v>71</v>
      </c>
      <c r="U2577" s="1" t="s">
        <v>44</v>
      </c>
      <c r="X2577" s="1" t="s">
        <v>64</v>
      </c>
      <c r="AA2577" s="3">
        <v>37039</v>
      </c>
      <c r="AB2577" s="1" t="s">
        <v>46</v>
      </c>
      <c r="AC2577" s="5">
        <v>2184</v>
      </c>
      <c r="AD2577" s="1" t="s">
        <v>5985</v>
      </c>
      <c r="AE2577" s="1" t="str">
        <f t="shared" si="184"/>
        <v>55212 2</v>
      </c>
      <c r="AF2577" s="5" t="str">
        <f>MID(AD2577,FIND("(",AD2577)+1,FIND(")",AD2577)-FIND("(",AD2577)-1)</f>
        <v>289</v>
      </c>
      <c r="AG2577" s="1" t="str">
        <f t="shared" si="183"/>
        <v>Y</v>
      </c>
    </row>
    <row r="2578" spans="1:33" x14ac:dyDescent="0.2">
      <c r="A2578" s="1" t="s">
        <v>383</v>
      </c>
      <c r="B2578" s="1" t="s">
        <v>5988</v>
      </c>
      <c r="C2578" s="1">
        <v>55215</v>
      </c>
      <c r="D2578" s="1" t="s">
        <v>280</v>
      </c>
      <c r="F2578" s="1">
        <v>2023</v>
      </c>
      <c r="G2578" s="1" t="s">
        <v>346</v>
      </c>
      <c r="H2578" s="1">
        <v>603383</v>
      </c>
      <c r="I2578" s="1">
        <v>6</v>
      </c>
      <c r="J2578" s="1" t="s">
        <v>387</v>
      </c>
      <c r="K2578" s="1" t="s">
        <v>5989</v>
      </c>
      <c r="L2578" s="1" t="s">
        <v>5990</v>
      </c>
      <c r="M2578" s="1">
        <v>135</v>
      </c>
      <c r="N2578" s="1" t="s">
        <v>39</v>
      </c>
      <c r="O2578" s="1">
        <v>31.837800000000001</v>
      </c>
      <c r="P2578" s="1">
        <v>-102.3278</v>
      </c>
      <c r="Q2578" s="1" t="s">
        <v>5602</v>
      </c>
      <c r="R2578" s="1" t="s">
        <v>41</v>
      </c>
      <c r="T2578" s="1" t="s">
        <v>71</v>
      </c>
      <c r="U2578" s="1" t="s">
        <v>44</v>
      </c>
      <c r="X2578" s="1" t="s">
        <v>140</v>
      </c>
      <c r="AA2578" s="3">
        <v>37006</v>
      </c>
      <c r="AB2578" s="1" t="s">
        <v>46</v>
      </c>
      <c r="AC2578" s="5">
        <v>2185</v>
      </c>
      <c r="AD2578" s="1" t="s">
        <v>5991</v>
      </c>
      <c r="AE2578" s="1" t="str">
        <f t="shared" si="184"/>
        <v>55215 GT1</v>
      </c>
      <c r="AF2578" s="14">
        <f>MID(AD2578,FIND("(",AD2578)+1,FIND(")",AD2578)-FIND("(",AD2578)-1)+224.2/2</f>
        <v>282.10000000000002</v>
      </c>
      <c r="AG2578" s="1" t="str">
        <f t="shared" si="183"/>
        <v/>
      </c>
    </row>
    <row r="2579" spans="1:33" x14ac:dyDescent="0.2">
      <c r="A2579" s="1" t="s">
        <v>383</v>
      </c>
      <c r="B2579" s="1" t="s">
        <v>5988</v>
      </c>
      <c r="C2579" s="1">
        <v>55215</v>
      </c>
      <c r="D2579" s="1" t="s">
        <v>1102</v>
      </c>
      <c r="F2579" s="1">
        <v>2023</v>
      </c>
      <c r="G2579" s="1" t="s">
        <v>346</v>
      </c>
      <c r="H2579" s="1">
        <v>603383</v>
      </c>
      <c r="I2579" s="1">
        <v>6</v>
      </c>
      <c r="J2579" s="1" t="s">
        <v>387</v>
      </c>
      <c r="K2579" s="1" t="s">
        <v>5989</v>
      </c>
      <c r="L2579" s="1" t="s">
        <v>5990</v>
      </c>
      <c r="M2579" s="1">
        <v>135</v>
      </c>
      <c r="N2579" s="1" t="s">
        <v>39</v>
      </c>
      <c r="O2579" s="1">
        <v>31.837800000000001</v>
      </c>
      <c r="P2579" s="1">
        <v>-102.3278</v>
      </c>
      <c r="Q2579" s="1" t="s">
        <v>5602</v>
      </c>
      <c r="R2579" s="1" t="s">
        <v>41</v>
      </c>
      <c r="T2579" s="1" t="s">
        <v>71</v>
      </c>
      <c r="U2579" s="1" t="s">
        <v>44</v>
      </c>
      <c r="X2579" s="1" t="s">
        <v>140</v>
      </c>
      <c r="AA2579" s="3">
        <v>37006</v>
      </c>
      <c r="AB2579" s="1" t="s">
        <v>46</v>
      </c>
      <c r="AC2579" s="5">
        <v>2185</v>
      </c>
      <c r="AD2579" s="1" t="s">
        <v>5992</v>
      </c>
      <c r="AE2579" s="1" t="str">
        <f t="shared" si="184"/>
        <v>55215 GT2</v>
      </c>
      <c r="AF2579" s="14">
        <f>AF2578</f>
        <v>282.10000000000002</v>
      </c>
      <c r="AG2579" s="1" t="str">
        <f t="shared" si="183"/>
        <v/>
      </c>
    </row>
    <row r="2580" spans="1:33" x14ac:dyDescent="0.2">
      <c r="A2580" s="1" t="s">
        <v>383</v>
      </c>
      <c r="B2580" s="1" t="s">
        <v>5988</v>
      </c>
      <c r="C2580" s="1">
        <v>55215</v>
      </c>
      <c r="D2580" s="1" t="s">
        <v>246</v>
      </c>
      <c r="F2580" s="1">
        <v>2023</v>
      </c>
      <c r="G2580" s="1" t="s">
        <v>346</v>
      </c>
      <c r="H2580" s="1">
        <v>603383</v>
      </c>
      <c r="I2580" s="1">
        <v>6</v>
      </c>
      <c r="J2580" s="1" t="s">
        <v>387</v>
      </c>
      <c r="K2580" s="1" t="s">
        <v>5989</v>
      </c>
      <c r="L2580" s="1" t="s">
        <v>5990</v>
      </c>
      <c r="M2580" s="1">
        <v>135</v>
      </c>
      <c r="N2580" s="1" t="s">
        <v>39</v>
      </c>
      <c r="O2580" s="1">
        <v>31.837800000000001</v>
      </c>
      <c r="P2580" s="1">
        <v>-102.3278</v>
      </c>
      <c r="Q2580" s="1" t="s">
        <v>5602</v>
      </c>
      <c r="R2580" s="1" t="s">
        <v>41</v>
      </c>
      <c r="T2580" s="1" t="s">
        <v>71</v>
      </c>
      <c r="U2580" s="1" t="s">
        <v>44</v>
      </c>
      <c r="X2580" s="1" t="s">
        <v>140</v>
      </c>
      <c r="AA2580" s="3">
        <v>37092</v>
      </c>
      <c r="AB2580" s="1" t="s">
        <v>46</v>
      </c>
      <c r="AC2580" s="5">
        <v>2185</v>
      </c>
      <c r="AD2580" s="1" t="s">
        <v>5993</v>
      </c>
      <c r="AE2580" s="1" t="str">
        <f t="shared" si="184"/>
        <v>55215 GT3</v>
      </c>
      <c r="AF2580" s="14">
        <f>MID(AD2580,FIND("(",AD2580)+1,FIND(")",AD2580)-FIND("(",AD2580)-1)+224.2/2</f>
        <v>282.10000000000002</v>
      </c>
      <c r="AG2580" s="1" t="str">
        <f t="shared" si="183"/>
        <v/>
      </c>
    </row>
    <row r="2581" spans="1:33" x14ac:dyDescent="0.2">
      <c r="A2581" s="1" t="s">
        <v>383</v>
      </c>
      <c r="B2581" s="1" t="s">
        <v>5988</v>
      </c>
      <c r="C2581" s="1">
        <v>55215</v>
      </c>
      <c r="D2581" s="1" t="s">
        <v>251</v>
      </c>
      <c r="F2581" s="1">
        <v>2023</v>
      </c>
      <c r="G2581" s="1" t="s">
        <v>346</v>
      </c>
      <c r="H2581" s="1">
        <v>603383</v>
      </c>
      <c r="I2581" s="1">
        <v>6</v>
      </c>
      <c r="J2581" s="1" t="s">
        <v>387</v>
      </c>
      <c r="K2581" s="1" t="s">
        <v>5989</v>
      </c>
      <c r="L2581" s="1" t="s">
        <v>5990</v>
      </c>
      <c r="M2581" s="1">
        <v>135</v>
      </c>
      <c r="N2581" s="1" t="s">
        <v>39</v>
      </c>
      <c r="O2581" s="1">
        <v>31.837800000000001</v>
      </c>
      <c r="P2581" s="1">
        <v>-102.3278</v>
      </c>
      <c r="Q2581" s="1" t="s">
        <v>5602</v>
      </c>
      <c r="R2581" s="1" t="s">
        <v>41</v>
      </c>
      <c r="T2581" s="1" t="s">
        <v>71</v>
      </c>
      <c r="U2581" s="1" t="s">
        <v>44</v>
      </c>
      <c r="X2581" s="1" t="s">
        <v>140</v>
      </c>
      <c r="AA2581" s="3">
        <v>37089</v>
      </c>
      <c r="AB2581" s="1" t="s">
        <v>46</v>
      </c>
      <c r="AC2581" s="5">
        <v>2185</v>
      </c>
      <c r="AD2581" s="1" t="s">
        <v>5994</v>
      </c>
      <c r="AE2581" s="1" t="str">
        <f t="shared" si="184"/>
        <v>55215 GT4</v>
      </c>
      <c r="AF2581" s="14">
        <f>AF2580</f>
        <v>282.10000000000002</v>
      </c>
      <c r="AG2581" s="1" t="str">
        <f t="shared" si="183"/>
        <v/>
      </c>
    </row>
    <row r="2582" spans="1:33" x14ac:dyDescent="0.2">
      <c r="A2582" s="1" t="s">
        <v>458</v>
      </c>
      <c r="B2582" s="1" t="s">
        <v>5995</v>
      </c>
      <c r="C2582" s="1">
        <v>55216</v>
      </c>
      <c r="D2582" s="1" t="s">
        <v>1129</v>
      </c>
      <c r="F2582" s="1">
        <v>2023</v>
      </c>
      <c r="G2582" s="1" t="s">
        <v>5996</v>
      </c>
      <c r="H2582" s="1">
        <v>607285</v>
      </c>
      <c r="I2582" s="1">
        <v>5</v>
      </c>
      <c r="J2582" s="1" t="s">
        <v>462</v>
      </c>
      <c r="K2582" s="1" t="s">
        <v>5997</v>
      </c>
      <c r="L2582" s="1" t="s">
        <v>5998</v>
      </c>
      <c r="M2582" s="1">
        <v>63</v>
      </c>
      <c r="N2582" s="1" t="s">
        <v>1680</v>
      </c>
      <c r="O2582" s="1">
        <v>41.409199999999998</v>
      </c>
      <c r="P2582" s="1">
        <v>-88.3292</v>
      </c>
      <c r="Q2582" s="1" t="s">
        <v>5999</v>
      </c>
      <c r="T2582" s="1" t="s">
        <v>71</v>
      </c>
      <c r="U2582" s="1" t="s">
        <v>44</v>
      </c>
      <c r="X2582" s="1" t="s">
        <v>140</v>
      </c>
      <c r="AA2582" s="3">
        <v>36100</v>
      </c>
      <c r="AB2582" s="1" t="s">
        <v>46</v>
      </c>
      <c r="AC2582" s="5">
        <v>944</v>
      </c>
      <c r="AD2582" s="1" t="s">
        <v>6000</v>
      </c>
      <c r="AE2582" s="1" t="str">
        <f t="shared" si="184"/>
        <v>55216 CTG1</v>
      </c>
      <c r="AF2582" s="14">
        <f>MID(AD2582,FIND("(",AD2582)+1,FIND(")",AD2582)-FIND("(",AD2582)-1)+62/3</f>
        <v>59.666666666666671</v>
      </c>
      <c r="AG2582" s="1" t="str">
        <f t="shared" si="183"/>
        <v/>
      </c>
    </row>
    <row r="2583" spans="1:33" x14ac:dyDescent="0.2">
      <c r="A2583" s="1" t="s">
        <v>458</v>
      </c>
      <c r="B2583" s="1" t="s">
        <v>5995</v>
      </c>
      <c r="C2583" s="1">
        <v>55216</v>
      </c>
      <c r="D2583" s="1" t="s">
        <v>1135</v>
      </c>
      <c r="F2583" s="1">
        <v>2023</v>
      </c>
      <c r="G2583" s="1" t="s">
        <v>5996</v>
      </c>
      <c r="H2583" s="1">
        <v>607285</v>
      </c>
      <c r="I2583" s="1">
        <v>5</v>
      </c>
      <c r="J2583" s="1" t="s">
        <v>462</v>
      </c>
      <c r="K2583" s="1" t="s">
        <v>5997</v>
      </c>
      <c r="L2583" s="1" t="s">
        <v>5998</v>
      </c>
      <c r="M2583" s="1">
        <v>63</v>
      </c>
      <c r="N2583" s="1" t="s">
        <v>1680</v>
      </c>
      <c r="O2583" s="1">
        <v>41.409199999999998</v>
      </c>
      <c r="P2583" s="1">
        <v>-88.3292</v>
      </c>
      <c r="Q2583" s="1" t="s">
        <v>5999</v>
      </c>
      <c r="T2583" s="1" t="s">
        <v>71</v>
      </c>
      <c r="U2583" s="1" t="s">
        <v>44</v>
      </c>
      <c r="X2583" s="1" t="s">
        <v>140</v>
      </c>
      <c r="AA2583" s="3">
        <v>36100</v>
      </c>
      <c r="AB2583" s="1" t="s">
        <v>46</v>
      </c>
      <c r="AC2583" s="5">
        <v>944</v>
      </c>
      <c r="AD2583" s="1" t="s">
        <v>6001</v>
      </c>
      <c r="AE2583" s="1" t="str">
        <f t="shared" si="184"/>
        <v>55216 CTG2</v>
      </c>
      <c r="AF2583" s="14">
        <f>AF2582</f>
        <v>59.666666666666671</v>
      </c>
      <c r="AG2583" s="1" t="str">
        <f t="shared" si="183"/>
        <v/>
      </c>
    </row>
    <row r="2584" spans="1:33" x14ac:dyDescent="0.2">
      <c r="A2584" s="1" t="s">
        <v>458</v>
      </c>
      <c r="B2584" s="1" t="s">
        <v>5995</v>
      </c>
      <c r="C2584" s="1">
        <v>55216</v>
      </c>
      <c r="D2584" s="1" t="s">
        <v>6002</v>
      </c>
      <c r="F2584" s="1">
        <v>2023</v>
      </c>
      <c r="G2584" s="1" t="s">
        <v>5996</v>
      </c>
      <c r="H2584" s="1">
        <v>607285</v>
      </c>
      <c r="I2584" s="1">
        <v>5</v>
      </c>
      <c r="J2584" s="1" t="s">
        <v>462</v>
      </c>
      <c r="K2584" s="1" t="s">
        <v>5997</v>
      </c>
      <c r="L2584" s="1" t="s">
        <v>5998</v>
      </c>
      <c r="M2584" s="1">
        <v>63</v>
      </c>
      <c r="N2584" s="1" t="s">
        <v>1680</v>
      </c>
      <c r="O2584" s="1">
        <v>41.409199999999998</v>
      </c>
      <c r="P2584" s="1">
        <v>-88.3292</v>
      </c>
      <c r="Q2584" s="1" t="s">
        <v>5999</v>
      </c>
      <c r="T2584" s="1" t="s">
        <v>71</v>
      </c>
      <c r="U2584" s="1" t="s">
        <v>44</v>
      </c>
      <c r="X2584" s="1" t="s">
        <v>140</v>
      </c>
      <c r="AA2584" s="3">
        <v>36100</v>
      </c>
      <c r="AB2584" s="1" t="s">
        <v>46</v>
      </c>
      <c r="AC2584" s="5">
        <v>944</v>
      </c>
      <c r="AD2584" s="1" t="s">
        <v>6003</v>
      </c>
      <c r="AE2584" s="1" t="str">
        <f t="shared" si="184"/>
        <v>55216 CTG3</v>
      </c>
      <c r="AF2584" s="14">
        <f>AF2582</f>
        <v>59.666666666666671</v>
      </c>
      <c r="AG2584" s="1" t="str">
        <f t="shared" si="183"/>
        <v/>
      </c>
    </row>
    <row r="2585" spans="1:33" x14ac:dyDescent="0.2">
      <c r="A2585" s="1" t="s">
        <v>370</v>
      </c>
      <c r="B2585" s="1" t="s">
        <v>6004</v>
      </c>
      <c r="C2585" s="1">
        <v>55217</v>
      </c>
      <c r="D2585" s="1" t="s">
        <v>6005</v>
      </c>
      <c r="F2585" s="1">
        <v>2023</v>
      </c>
      <c r="G2585" s="1" t="s">
        <v>247</v>
      </c>
      <c r="H2585" s="1" t="s">
        <v>6006</v>
      </c>
      <c r="I2585" s="1">
        <v>9</v>
      </c>
      <c r="K2585" s="1" t="s">
        <v>6007</v>
      </c>
      <c r="L2585" s="1" t="s">
        <v>6008</v>
      </c>
      <c r="M2585" s="1">
        <v>13</v>
      </c>
      <c r="N2585" s="1" t="s">
        <v>1680</v>
      </c>
      <c r="O2585" s="1">
        <v>38.03</v>
      </c>
      <c r="P2585" s="1">
        <v>-121.8708</v>
      </c>
      <c r="Q2585" s="1" t="s">
        <v>6009</v>
      </c>
      <c r="R2585" s="1" t="s">
        <v>41</v>
      </c>
      <c r="T2585" s="1" t="s">
        <v>71</v>
      </c>
      <c r="U2585" s="1" t="s">
        <v>44</v>
      </c>
      <c r="X2585" s="1" t="s">
        <v>223</v>
      </c>
      <c r="AA2585" s="3">
        <v>37017</v>
      </c>
      <c r="AB2585" s="1" t="s">
        <v>46</v>
      </c>
      <c r="AC2585" s="5">
        <v>2225.1</v>
      </c>
      <c r="AD2585" s="1" t="s">
        <v>6010</v>
      </c>
      <c r="AE2585" s="1" t="str">
        <f t="shared" si="184"/>
        <v>55217 X724</v>
      </c>
      <c r="AF2585" s="14">
        <f>MID(AD2585,FIND("(",AD2585)+1,FIND(")",AD2585)-FIND("(",AD2585)-1)+280.5/2</f>
        <v>339.15</v>
      </c>
      <c r="AG2585" s="1" t="str">
        <f t="shared" si="183"/>
        <v>Y</v>
      </c>
    </row>
    <row r="2586" spans="1:33" x14ac:dyDescent="0.2">
      <c r="A2586" s="1" t="s">
        <v>370</v>
      </c>
      <c r="B2586" s="1" t="s">
        <v>6004</v>
      </c>
      <c r="C2586" s="1">
        <v>55217</v>
      </c>
      <c r="D2586" s="1" t="s">
        <v>6011</v>
      </c>
      <c r="F2586" s="1">
        <v>2023</v>
      </c>
      <c r="G2586" s="1" t="s">
        <v>247</v>
      </c>
      <c r="H2586" s="1" t="s">
        <v>6006</v>
      </c>
      <c r="I2586" s="1">
        <v>9</v>
      </c>
      <c r="K2586" s="1" t="s">
        <v>6007</v>
      </c>
      <c r="L2586" s="1" t="s">
        <v>6008</v>
      </c>
      <c r="M2586" s="1">
        <v>13</v>
      </c>
      <c r="N2586" s="1" t="s">
        <v>1680</v>
      </c>
      <c r="O2586" s="1">
        <v>38.03</v>
      </c>
      <c r="P2586" s="1">
        <v>-121.8708</v>
      </c>
      <c r="Q2586" s="1" t="s">
        <v>6009</v>
      </c>
      <c r="R2586" s="1" t="s">
        <v>41</v>
      </c>
      <c r="T2586" s="1" t="s">
        <v>71</v>
      </c>
      <c r="U2586" s="1" t="s">
        <v>44</v>
      </c>
      <c r="X2586" s="1" t="s">
        <v>223</v>
      </c>
      <c r="AA2586" s="3">
        <v>37017</v>
      </c>
      <c r="AB2586" s="1" t="s">
        <v>46</v>
      </c>
      <c r="AC2586" s="5">
        <v>2225.1</v>
      </c>
      <c r="AD2586" s="1" t="s">
        <v>6012</v>
      </c>
      <c r="AE2586" s="1" t="str">
        <f t="shared" si="184"/>
        <v>55217 X725</v>
      </c>
      <c r="AF2586" s="14">
        <f>AF2585</f>
        <v>339.15</v>
      </c>
      <c r="AG2586" s="1" t="str">
        <f t="shared" si="183"/>
        <v>Y</v>
      </c>
    </row>
    <row r="2587" spans="1:33" x14ac:dyDescent="0.2">
      <c r="A2587" s="1" t="s">
        <v>1732</v>
      </c>
      <c r="B2587" s="1" t="s">
        <v>6013</v>
      </c>
      <c r="C2587" s="1">
        <v>55218</v>
      </c>
      <c r="D2587" s="1">
        <v>2</v>
      </c>
      <c r="F2587" s="1">
        <v>2023</v>
      </c>
      <c r="G2587" s="1" t="s">
        <v>346</v>
      </c>
      <c r="H2587" s="1" t="s">
        <v>350</v>
      </c>
      <c r="I2587" s="1">
        <v>4</v>
      </c>
      <c r="K2587" s="1" t="s">
        <v>6014</v>
      </c>
      <c r="L2587" s="1" t="s">
        <v>6015</v>
      </c>
      <c r="M2587" s="1">
        <v>49</v>
      </c>
      <c r="N2587" s="1" t="s">
        <v>39</v>
      </c>
      <c r="O2587" s="1">
        <v>32.378100000000003</v>
      </c>
      <c r="P2587" s="1">
        <v>-90.216899999999995</v>
      </c>
      <c r="Q2587" s="1" t="s">
        <v>353</v>
      </c>
      <c r="R2587" s="1" t="s">
        <v>41</v>
      </c>
      <c r="T2587" s="1" t="s">
        <v>93</v>
      </c>
      <c r="U2587" s="1" t="s">
        <v>44</v>
      </c>
      <c r="X2587" s="1" t="s">
        <v>140</v>
      </c>
      <c r="AA2587" s="3">
        <v>43716</v>
      </c>
      <c r="AB2587" s="1" t="s">
        <v>46</v>
      </c>
      <c r="AC2587" s="5">
        <v>350</v>
      </c>
      <c r="AD2587" s="1" t="s">
        <v>6016</v>
      </c>
      <c r="AE2587" s="1" t="str">
        <f t="shared" si="184"/>
        <v>55218 2</v>
      </c>
      <c r="AF2587" s="5" t="str">
        <f>MID(AD2587,FIND("(",AD2587)+1,FIND(")",AD2587)-FIND("(",AD2587)-1)</f>
        <v>49.1</v>
      </c>
      <c r="AG2587" s="1" t="str">
        <f t="shared" si="183"/>
        <v/>
      </c>
    </row>
    <row r="2588" spans="1:33" x14ac:dyDescent="0.2">
      <c r="A2588" s="1" t="s">
        <v>1732</v>
      </c>
      <c r="B2588" s="1" t="s">
        <v>6013</v>
      </c>
      <c r="C2588" s="1">
        <v>55218</v>
      </c>
      <c r="D2588" s="1" t="s">
        <v>6017</v>
      </c>
      <c r="F2588" s="1">
        <v>2023</v>
      </c>
      <c r="G2588" s="1" t="s">
        <v>346</v>
      </c>
      <c r="H2588" s="1" t="s">
        <v>350</v>
      </c>
      <c r="I2588" s="1">
        <v>4</v>
      </c>
      <c r="K2588" s="1" t="s">
        <v>6014</v>
      </c>
      <c r="L2588" s="1" t="s">
        <v>6015</v>
      </c>
      <c r="M2588" s="1">
        <v>49</v>
      </c>
      <c r="N2588" s="1" t="s">
        <v>39</v>
      </c>
      <c r="O2588" s="1">
        <v>32.378100000000003</v>
      </c>
      <c r="P2588" s="1">
        <v>-90.216899999999995</v>
      </c>
      <c r="Q2588" s="1" t="s">
        <v>353</v>
      </c>
      <c r="R2588" s="1" t="s">
        <v>41</v>
      </c>
      <c r="T2588" s="1" t="s">
        <v>71</v>
      </c>
      <c r="U2588" s="1" t="s">
        <v>44</v>
      </c>
      <c r="X2588" s="1" t="s">
        <v>64</v>
      </c>
      <c r="AA2588" s="3">
        <v>36966</v>
      </c>
      <c r="AB2588" s="1" t="s">
        <v>46</v>
      </c>
      <c r="AC2588" s="5">
        <v>1875</v>
      </c>
      <c r="AD2588" s="1" t="s">
        <v>6018</v>
      </c>
      <c r="AE2588" s="1" t="str">
        <f t="shared" si="184"/>
        <v>55218 H01</v>
      </c>
      <c r="AF2588" s="14">
        <f>MID(AD2588,FIND("(",AD2588)+1,FIND(")",AD2588)-FIND("(",AD2588)-1)+198.05/2</f>
        <v>275.65499999999997</v>
      </c>
      <c r="AG2588" s="1" t="str">
        <f t="shared" si="183"/>
        <v>Y</v>
      </c>
    </row>
    <row r="2589" spans="1:33" x14ac:dyDescent="0.2">
      <c r="A2589" s="1" t="s">
        <v>1732</v>
      </c>
      <c r="B2589" s="1" t="s">
        <v>6013</v>
      </c>
      <c r="C2589" s="1">
        <v>55218</v>
      </c>
      <c r="D2589" s="1" t="s">
        <v>6019</v>
      </c>
      <c r="F2589" s="1">
        <v>2023</v>
      </c>
      <c r="G2589" s="1" t="s">
        <v>346</v>
      </c>
      <c r="H2589" s="1" t="s">
        <v>350</v>
      </c>
      <c r="I2589" s="1">
        <v>4</v>
      </c>
      <c r="K2589" s="1" t="s">
        <v>6014</v>
      </c>
      <c r="L2589" s="1" t="s">
        <v>6015</v>
      </c>
      <c r="M2589" s="1">
        <v>49</v>
      </c>
      <c r="N2589" s="1" t="s">
        <v>39</v>
      </c>
      <c r="O2589" s="1">
        <v>32.378100000000003</v>
      </c>
      <c r="P2589" s="1">
        <v>-90.216899999999995</v>
      </c>
      <c r="Q2589" s="1" t="s">
        <v>353</v>
      </c>
      <c r="R2589" s="1" t="s">
        <v>41</v>
      </c>
      <c r="T2589" s="1" t="s">
        <v>71</v>
      </c>
      <c r="U2589" s="1" t="s">
        <v>44</v>
      </c>
      <c r="X2589" s="1" t="s">
        <v>64</v>
      </c>
      <c r="AA2589" s="3">
        <v>36958</v>
      </c>
      <c r="AB2589" s="1" t="s">
        <v>46</v>
      </c>
      <c r="AC2589" s="5">
        <v>1830</v>
      </c>
      <c r="AD2589" s="1" t="s">
        <v>6020</v>
      </c>
      <c r="AE2589" s="1" t="str">
        <f t="shared" si="184"/>
        <v>55218 H02</v>
      </c>
      <c r="AF2589" s="14">
        <f>AF2588</f>
        <v>275.65499999999997</v>
      </c>
      <c r="AG2589" s="1" t="str">
        <f t="shared" si="183"/>
        <v>Y</v>
      </c>
    </row>
    <row r="2590" spans="1:33" x14ac:dyDescent="0.2">
      <c r="A2590" s="1" t="s">
        <v>1732</v>
      </c>
      <c r="B2590" s="1" t="s">
        <v>6021</v>
      </c>
      <c r="C2590" s="1">
        <v>55220</v>
      </c>
      <c r="D2590" s="1" t="s">
        <v>5299</v>
      </c>
      <c r="F2590" s="1">
        <v>2023</v>
      </c>
      <c r="G2590" s="1" t="s">
        <v>346</v>
      </c>
      <c r="H2590" s="1" t="s">
        <v>350</v>
      </c>
      <c r="I2590" s="1">
        <v>4</v>
      </c>
      <c r="K2590" s="1" t="s">
        <v>6022</v>
      </c>
      <c r="L2590" s="1" t="s">
        <v>6023</v>
      </c>
      <c r="M2590" s="1">
        <v>7</v>
      </c>
      <c r="N2590" s="1" t="s">
        <v>39</v>
      </c>
      <c r="O2590" s="1">
        <v>33.014200000000002</v>
      </c>
      <c r="P2590" s="1">
        <v>-89.675799999999995</v>
      </c>
      <c r="Q2590" s="1" t="s">
        <v>353</v>
      </c>
      <c r="R2590" s="1" t="s">
        <v>41</v>
      </c>
      <c r="T2590" s="1" t="s">
        <v>71</v>
      </c>
      <c r="U2590" s="1" t="s">
        <v>44</v>
      </c>
      <c r="X2590" s="1" t="s">
        <v>64</v>
      </c>
      <c r="AA2590" s="3">
        <v>36972</v>
      </c>
      <c r="AB2590" s="1" t="s">
        <v>46</v>
      </c>
      <c r="AC2590" s="5">
        <v>2230</v>
      </c>
      <c r="AD2590" s="1" t="s">
        <v>6024</v>
      </c>
      <c r="AE2590" s="1" t="str">
        <f t="shared" si="184"/>
        <v>55220 A01</v>
      </c>
      <c r="AF2590" s="14">
        <f>MID(AD2590,FIND("(",AD2590)+1,FIND(")",AD2590)-FIND("(",AD2590)-1)+198.1/2</f>
        <v>279.05</v>
      </c>
      <c r="AG2590" s="1" t="str">
        <f t="shared" si="183"/>
        <v>Y</v>
      </c>
    </row>
    <row r="2591" spans="1:33" x14ac:dyDescent="0.2">
      <c r="A2591" s="1" t="s">
        <v>1732</v>
      </c>
      <c r="B2591" s="1" t="s">
        <v>6021</v>
      </c>
      <c r="C2591" s="1">
        <v>55220</v>
      </c>
      <c r="D2591" s="1" t="s">
        <v>5303</v>
      </c>
      <c r="F2591" s="1">
        <v>2023</v>
      </c>
      <c r="G2591" s="1" t="s">
        <v>346</v>
      </c>
      <c r="H2591" s="1" t="s">
        <v>350</v>
      </c>
      <c r="I2591" s="1">
        <v>4</v>
      </c>
      <c r="K2591" s="1" t="s">
        <v>6022</v>
      </c>
      <c r="L2591" s="1" t="s">
        <v>6023</v>
      </c>
      <c r="M2591" s="1">
        <v>7</v>
      </c>
      <c r="N2591" s="1" t="s">
        <v>39</v>
      </c>
      <c r="O2591" s="1">
        <v>33.014200000000002</v>
      </c>
      <c r="P2591" s="1">
        <v>-89.675799999999995</v>
      </c>
      <c r="Q2591" s="1" t="s">
        <v>353</v>
      </c>
      <c r="R2591" s="1" t="s">
        <v>41</v>
      </c>
      <c r="T2591" s="1" t="s">
        <v>71</v>
      </c>
      <c r="U2591" s="1" t="s">
        <v>44</v>
      </c>
      <c r="X2591" s="1" t="s">
        <v>64</v>
      </c>
      <c r="AA2591" s="3">
        <v>36979</v>
      </c>
      <c r="AB2591" s="1" t="s">
        <v>46</v>
      </c>
      <c r="AC2591" s="5">
        <v>2200</v>
      </c>
      <c r="AD2591" s="1" t="s">
        <v>6025</v>
      </c>
      <c r="AE2591" s="1" t="str">
        <f t="shared" si="184"/>
        <v>55220 A02</v>
      </c>
      <c r="AF2591" s="14">
        <f>AF2590</f>
        <v>279.05</v>
      </c>
      <c r="AG2591" s="1" t="str">
        <f t="shared" si="183"/>
        <v>Y</v>
      </c>
    </row>
    <row r="2592" spans="1:33" x14ac:dyDescent="0.2">
      <c r="A2592" s="1" t="s">
        <v>348</v>
      </c>
      <c r="B2592" s="1" t="s">
        <v>6026</v>
      </c>
      <c r="C2592" s="1">
        <v>55221</v>
      </c>
      <c r="D2592" s="1" t="s">
        <v>3796</v>
      </c>
      <c r="F2592" s="1">
        <v>2023</v>
      </c>
      <c r="G2592" s="1" t="s">
        <v>346</v>
      </c>
      <c r="H2592" s="1" t="s">
        <v>356</v>
      </c>
      <c r="I2592" s="1">
        <v>6</v>
      </c>
      <c r="K2592" s="1" t="s">
        <v>1422</v>
      </c>
      <c r="L2592" s="1" t="s">
        <v>6027</v>
      </c>
      <c r="M2592" s="1">
        <v>119</v>
      </c>
      <c r="N2592" s="1" t="s">
        <v>39</v>
      </c>
      <c r="O2592" s="1">
        <v>34.592300000000002</v>
      </c>
      <c r="P2592" s="1">
        <v>-92.2166</v>
      </c>
      <c r="Q2592" s="1" t="s">
        <v>359</v>
      </c>
      <c r="R2592" s="1" t="s">
        <v>41</v>
      </c>
      <c r="T2592" s="1" t="s">
        <v>71</v>
      </c>
      <c r="U2592" s="1" t="s">
        <v>44</v>
      </c>
      <c r="X2592" s="1" t="s">
        <v>1606</v>
      </c>
      <c r="AA2592" s="3">
        <v>37368</v>
      </c>
      <c r="AB2592" s="1" t="s">
        <v>46</v>
      </c>
      <c r="AC2592" s="5">
        <v>567</v>
      </c>
      <c r="AD2592" s="1" t="s">
        <v>6028</v>
      </c>
      <c r="AE2592" s="1" t="str">
        <f t="shared" si="184"/>
        <v>55221 G1</v>
      </c>
      <c r="AF2592" s="14">
        <f>MID(AD2592,FIND("(",AD2592)+1,FIND(")",AD2592)-FIND("(",AD2592)-1)+105/3</f>
        <v>82.8</v>
      </c>
      <c r="AG2592" s="1" t="str">
        <f t="shared" si="183"/>
        <v/>
      </c>
    </row>
    <row r="2593" spans="1:33" x14ac:dyDescent="0.2">
      <c r="A2593" s="1" t="s">
        <v>348</v>
      </c>
      <c r="B2593" s="1" t="s">
        <v>6026</v>
      </c>
      <c r="C2593" s="1">
        <v>55221</v>
      </c>
      <c r="D2593" s="1" t="s">
        <v>3798</v>
      </c>
      <c r="F2593" s="1">
        <v>2023</v>
      </c>
      <c r="G2593" s="1" t="s">
        <v>346</v>
      </c>
      <c r="H2593" s="1" t="s">
        <v>356</v>
      </c>
      <c r="I2593" s="1">
        <v>6</v>
      </c>
      <c r="K2593" s="1" t="s">
        <v>1422</v>
      </c>
      <c r="L2593" s="1" t="s">
        <v>6027</v>
      </c>
      <c r="M2593" s="1">
        <v>119</v>
      </c>
      <c r="N2593" s="1" t="s">
        <v>39</v>
      </c>
      <c r="O2593" s="1">
        <v>34.592300000000002</v>
      </c>
      <c r="P2593" s="1">
        <v>-92.2166</v>
      </c>
      <c r="Q2593" s="1" t="s">
        <v>359</v>
      </c>
      <c r="R2593" s="1" t="s">
        <v>41</v>
      </c>
      <c r="T2593" s="1" t="s">
        <v>71</v>
      </c>
      <c r="U2593" s="1" t="s">
        <v>44</v>
      </c>
      <c r="X2593" s="1" t="s">
        <v>1606</v>
      </c>
      <c r="AA2593" s="3">
        <v>37361</v>
      </c>
      <c r="AB2593" s="1" t="s">
        <v>46</v>
      </c>
      <c r="AC2593" s="5">
        <v>567</v>
      </c>
      <c r="AD2593" s="1" t="s">
        <v>6029</v>
      </c>
      <c r="AE2593" s="1" t="str">
        <f t="shared" si="184"/>
        <v>55221 G2</v>
      </c>
      <c r="AF2593" s="14">
        <f>AF2592</f>
        <v>82.8</v>
      </c>
      <c r="AG2593" s="1" t="str">
        <f t="shared" si="183"/>
        <v/>
      </c>
    </row>
    <row r="2594" spans="1:33" x14ac:dyDescent="0.2">
      <c r="A2594" s="1" t="s">
        <v>348</v>
      </c>
      <c r="B2594" s="1" t="s">
        <v>6026</v>
      </c>
      <c r="C2594" s="1">
        <v>55221</v>
      </c>
      <c r="D2594" s="1" t="s">
        <v>6030</v>
      </c>
      <c r="F2594" s="1">
        <v>2023</v>
      </c>
      <c r="G2594" s="1" t="s">
        <v>346</v>
      </c>
      <c r="H2594" s="1" t="s">
        <v>356</v>
      </c>
      <c r="I2594" s="1">
        <v>6</v>
      </c>
      <c r="K2594" s="1" t="s">
        <v>1422</v>
      </c>
      <c r="L2594" s="1" t="s">
        <v>6027</v>
      </c>
      <c r="M2594" s="1">
        <v>119</v>
      </c>
      <c r="N2594" s="1" t="s">
        <v>39</v>
      </c>
      <c r="O2594" s="1">
        <v>34.592300000000002</v>
      </c>
      <c r="P2594" s="1">
        <v>-92.2166</v>
      </c>
      <c r="Q2594" s="1" t="s">
        <v>359</v>
      </c>
      <c r="R2594" s="1" t="s">
        <v>41</v>
      </c>
      <c r="T2594" s="1" t="s">
        <v>71</v>
      </c>
      <c r="U2594" s="1" t="s">
        <v>44</v>
      </c>
      <c r="X2594" s="1" t="s">
        <v>1606</v>
      </c>
      <c r="AA2594" s="3">
        <v>37354</v>
      </c>
      <c r="AB2594" s="1" t="s">
        <v>46</v>
      </c>
      <c r="AC2594" s="5">
        <v>567</v>
      </c>
      <c r="AD2594" s="1" t="s">
        <v>6031</v>
      </c>
      <c r="AE2594" s="1" t="str">
        <f t="shared" si="184"/>
        <v>55221 G3</v>
      </c>
      <c r="AF2594" s="14">
        <f>AF2592</f>
        <v>82.8</v>
      </c>
      <c r="AG2594" s="1" t="str">
        <f t="shared" si="183"/>
        <v/>
      </c>
    </row>
    <row r="2595" spans="1:33" x14ac:dyDescent="0.2">
      <c r="A2595" s="1" t="s">
        <v>348</v>
      </c>
      <c r="B2595" s="1" t="s">
        <v>6026</v>
      </c>
      <c r="C2595" s="1">
        <v>55221</v>
      </c>
      <c r="D2595" s="1" t="s">
        <v>6032</v>
      </c>
      <c r="F2595" s="1">
        <v>2023</v>
      </c>
      <c r="G2595" s="1" t="s">
        <v>346</v>
      </c>
      <c r="H2595" s="1" t="s">
        <v>356</v>
      </c>
      <c r="I2595" s="1">
        <v>6</v>
      </c>
      <c r="K2595" s="1" t="s">
        <v>1422</v>
      </c>
      <c r="L2595" s="1" t="s">
        <v>6027</v>
      </c>
      <c r="M2595" s="1">
        <v>119</v>
      </c>
      <c r="N2595" s="1" t="s">
        <v>39</v>
      </c>
      <c r="O2595" s="1">
        <v>34.592300000000002</v>
      </c>
      <c r="P2595" s="1">
        <v>-92.2166</v>
      </c>
      <c r="Q2595" s="1" t="s">
        <v>359</v>
      </c>
      <c r="R2595" s="1" t="s">
        <v>41</v>
      </c>
      <c r="T2595" s="1" t="s">
        <v>71</v>
      </c>
      <c r="U2595" s="1" t="s">
        <v>44</v>
      </c>
      <c r="X2595" s="1" t="s">
        <v>1606</v>
      </c>
      <c r="AA2595" s="3">
        <v>37349</v>
      </c>
      <c r="AB2595" s="1" t="s">
        <v>46</v>
      </c>
      <c r="AC2595" s="5">
        <v>567</v>
      </c>
      <c r="AD2595" s="1" t="s">
        <v>6033</v>
      </c>
      <c r="AE2595" s="1" t="str">
        <f t="shared" si="184"/>
        <v>55221 G4</v>
      </c>
      <c r="AF2595" s="14">
        <f>AF2597</f>
        <v>74.05</v>
      </c>
      <c r="AG2595" s="1" t="str">
        <f t="shared" si="183"/>
        <v/>
      </c>
    </row>
    <row r="2596" spans="1:33" x14ac:dyDescent="0.2">
      <c r="A2596" s="1" t="s">
        <v>348</v>
      </c>
      <c r="B2596" s="1" t="s">
        <v>6026</v>
      </c>
      <c r="C2596" s="1">
        <v>55221</v>
      </c>
      <c r="D2596" s="1" t="s">
        <v>6034</v>
      </c>
      <c r="F2596" s="1">
        <v>2023</v>
      </c>
      <c r="G2596" s="1" t="s">
        <v>346</v>
      </c>
      <c r="H2596" s="1" t="s">
        <v>356</v>
      </c>
      <c r="I2596" s="1">
        <v>6</v>
      </c>
      <c r="K2596" s="1" t="s">
        <v>1422</v>
      </c>
      <c r="L2596" s="1" t="s">
        <v>6027</v>
      </c>
      <c r="M2596" s="1">
        <v>119</v>
      </c>
      <c r="N2596" s="1" t="s">
        <v>39</v>
      </c>
      <c r="O2596" s="1">
        <v>34.592300000000002</v>
      </c>
      <c r="P2596" s="1">
        <v>-92.2166</v>
      </c>
      <c r="Q2596" s="1" t="s">
        <v>359</v>
      </c>
      <c r="R2596" s="1" t="s">
        <v>41</v>
      </c>
      <c r="T2596" s="1" t="s">
        <v>71</v>
      </c>
      <c r="U2596" s="1" t="s">
        <v>44</v>
      </c>
      <c r="X2596" s="1" t="s">
        <v>1606</v>
      </c>
      <c r="AA2596" s="3">
        <v>37343</v>
      </c>
      <c r="AB2596" s="1" t="s">
        <v>46</v>
      </c>
      <c r="AC2596" s="5">
        <v>567</v>
      </c>
      <c r="AD2596" s="1" t="s">
        <v>6035</v>
      </c>
      <c r="AE2596" s="1" t="str">
        <f t="shared" si="184"/>
        <v>55221 G5</v>
      </c>
      <c r="AF2596" s="14">
        <f>AF2597</f>
        <v>74.05</v>
      </c>
      <c r="AG2596" s="1" t="str">
        <f t="shared" si="183"/>
        <v/>
      </c>
    </row>
    <row r="2597" spans="1:33" x14ac:dyDescent="0.2">
      <c r="A2597" s="1" t="s">
        <v>348</v>
      </c>
      <c r="B2597" s="1" t="s">
        <v>6026</v>
      </c>
      <c r="C2597" s="1">
        <v>55221</v>
      </c>
      <c r="D2597" s="1" t="s">
        <v>6036</v>
      </c>
      <c r="F2597" s="1">
        <v>2023</v>
      </c>
      <c r="G2597" s="1" t="s">
        <v>346</v>
      </c>
      <c r="H2597" s="1" t="s">
        <v>356</v>
      </c>
      <c r="I2597" s="1">
        <v>6</v>
      </c>
      <c r="K2597" s="1" t="s">
        <v>1422</v>
      </c>
      <c r="L2597" s="1" t="s">
        <v>6027</v>
      </c>
      <c r="M2597" s="1">
        <v>119</v>
      </c>
      <c r="N2597" s="1" t="s">
        <v>39</v>
      </c>
      <c r="O2597" s="1">
        <v>34.592300000000002</v>
      </c>
      <c r="P2597" s="1">
        <v>-92.2166</v>
      </c>
      <c r="Q2597" s="1" t="s">
        <v>359</v>
      </c>
      <c r="R2597" s="1" t="s">
        <v>41</v>
      </c>
      <c r="T2597" s="1" t="s">
        <v>71</v>
      </c>
      <c r="U2597" s="1" t="s">
        <v>44</v>
      </c>
      <c r="X2597" s="1" t="s">
        <v>1606</v>
      </c>
      <c r="AA2597" s="3">
        <v>37338</v>
      </c>
      <c r="AB2597" s="1" t="s">
        <v>46</v>
      </c>
      <c r="AC2597" s="5">
        <v>567</v>
      </c>
      <c r="AD2597" s="1" t="s">
        <v>6037</v>
      </c>
      <c r="AE2597" s="1" t="str">
        <f t="shared" si="184"/>
        <v>55221 G6</v>
      </c>
      <c r="AF2597" s="14">
        <f>MID(AD2597,FIND("(",AD2597)+1,FIND(")",AD2597)-FIND("(",AD2597)-1)+105/4</f>
        <v>74.05</v>
      </c>
      <c r="AG2597" s="1" t="str">
        <f t="shared" si="183"/>
        <v/>
      </c>
    </row>
    <row r="2598" spans="1:33" x14ac:dyDescent="0.2">
      <c r="A2598" s="1" t="s">
        <v>348</v>
      </c>
      <c r="B2598" s="1" t="s">
        <v>6026</v>
      </c>
      <c r="C2598" s="1">
        <v>55221</v>
      </c>
      <c r="D2598" s="1" t="s">
        <v>6038</v>
      </c>
      <c r="F2598" s="1">
        <v>2023</v>
      </c>
      <c r="G2598" s="1" t="s">
        <v>346</v>
      </c>
      <c r="H2598" s="1" t="s">
        <v>356</v>
      </c>
      <c r="I2598" s="1">
        <v>6</v>
      </c>
      <c r="K2598" s="1" t="s">
        <v>1422</v>
      </c>
      <c r="L2598" s="1" t="s">
        <v>6027</v>
      </c>
      <c r="M2598" s="1">
        <v>119</v>
      </c>
      <c r="N2598" s="1" t="s">
        <v>39</v>
      </c>
      <c r="O2598" s="1">
        <v>34.592300000000002</v>
      </c>
      <c r="P2598" s="1">
        <v>-92.2166</v>
      </c>
      <c r="Q2598" s="1" t="s">
        <v>359</v>
      </c>
      <c r="R2598" s="1" t="s">
        <v>41</v>
      </c>
      <c r="T2598" s="1" t="s">
        <v>71</v>
      </c>
      <c r="U2598" s="1" t="s">
        <v>44</v>
      </c>
      <c r="X2598" s="1" t="s">
        <v>140</v>
      </c>
      <c r="AA2598" s="3">
        <v>37364</v>
      </c>
      <c r="AB2598" s="1" t="s">
        <v>46</v>
      </c>
      <c r="AC2598" s="5">
        <v>1260</v>
      </c>
      <c r="AD2598" s="1" t="s">
        <v>6039</v>
      </c>
      <c r="AE2598" s="1" t="str">
        <f t="shared" si="184"/>
        <v>55221 G7</v>
      </c>
      <c r="AF2598" s="14">
        <f>AF2597</f>
        <v>74.05</v>
      </c>
      <c r="AG2598" s="1" t="str">
        <f t="shared" si="183"/>
        <v/>
      </c>
    </row>
    <row r="2599" spans="1:33" x14ac:dyDescent="0.2">
      <c r="A2599" s="1" t="s">
        <v>458</v>
      </c>
      <c r="B2599" s="1" t="s">
        <v>6040</v>
      </c>
      <c r="C2599" s="1">
        <v>55222</v>
      </c>
      <c r="D2599" s="1" t="s">
        <v>5681</v>
      </c>
      <c r="F2599" s="1">
        <v>2023</v>
      </c>
      <c r="G2599" s="1" t="s">
        <v>461</v>
      </c>
      <c r="H2599" s="1">
        <v>3167</v>
      </c>
      <c r="I2599" s="1">
        <v>5</v>
      </c>
      <c r="K2599" s="1" t="s">
        <v>463</v>
      </c>
      <c r="L2599" s="1" t="s">
        <v>464</v>
      </c>
      <c r="M2599" s="1">
        <v>197</v>
      </c>
      <c r="N2599" s="1" t="s">
        <v>39</v>
      </c>
      <c r="O2599" s="1">
        <v>41.393700000000003</v>
      </c>
      <c r="P2599" s="1">
        <v>-87.943700000000007</v>
      </c>
      <c r="Q2599" s="1" t="s">
        <v>6041</v>
      </c>
      <c r="R2599" s="1" t="s">
        <v>41</v>
      </c>
      <c r="T2599" s="1" t="s">
        <v>93</v>
      </c>
      <c r="U2599" s="1" t="s">
        <v>44</v>
      </c>
      <c r="X2599" s="1" t="s">
        <v>140</v>
      </c>
      <c r="AA2599" s="3">
        <v>36677</v>
      </c>
      <c r="AB2599" s="1" t="s">
        <v>46</v>
      </c>
      <c r="AC2599" s="5">
        <v>1184</v>
      </c>
      <c r="AD2599" s="1" t="s">
        <v>6042</v>
      </c>
      <c r="AE2599" s="1" t="str">
        <f t="shared" si="184"/>
        <v>55222 CTG-1</v>
      </c>
      <c r="AF2599" s="5" t="str">
        <f t="shared" ref="AF2599:AF2606" si="185">MID(AD2599,FIND("(",AD2599)+1,FIND(")",AD2599)-FIND("(",AD2599)-1)</f>
        <v>86.5</v>
      </c>
      <c r="AG2599" s="1" t="str">
        <f t="shared" si="183"/>
        <v/>
      </c>
    </row>
    <row r="2600" spans="1:33" x14ac:dyDescent="0.2">
      <c r="A2600" s="1" t="s">
        <v>458</v>
      </c>
      <c r="B2600" s="1" t="s">
        <v>6040</v>
      </c>
      <c r="C2600" s="1">
        <v>55222</v>
      </c>
      <c r="D2600" s="1" t="s">
        <v>5684</v>
      </c>
      <c r="F2600" s="1">
        <v>2023</v>
      </c>
      <c r="G2600" s="1" t="s">
        <v>461</v>
      </c>
      <c r="H2600" s="1">
        <v>3167</v>
      </c>
      <c r="I2600" s="1">
        <v>5</v>
      </c>
      <c r="K2600" s="1" t="s">
        <v>463</v>
      </c>
      <c r="L2600" s="1" t="s">
        <v>464</v>
      </c>
      <c r="M2600" s="1">
        <v>197</v>
      </c>
      <c r="N2600" s="1" t="s">
        <v>39</v>
      </c>
      <c r="O2600" s="1">
        <v>41.393700000000003</v>
      </c>
      <c r="P2600" s="1">
        <v>-87.943700000000007</v>
      </c>
      <c r="Q2600" s="1" t="s">
        <v>6041</v>
      </c>
      <c r="R2600" s="1" t="s">
        <v>41</v>
      </c>
      <c r="T2600" s="1" t="s">
        <v>93</v>
      </c>
      <c r="U2600" s="1" t="s">
        <v>44</v>
      </c>
      <c r="X2600" s="1" t="s">
        <v>140</v>
      </c>
      <c r="AA2600" s="3">
        <v>36677</v>
      </c>
      <c r="AB2600" s="1" t="s">
        <v>46</v>
      </c>
      <c r="AC2600" s="5">
        <v>1184</v>
      </c>
      <c r="AD2600" s="1" t="s">
        <v>6043</v>
      </c>
      <c r="AE2600" s="1" t="str">
        <f t="shared" si="184"/>
        <v>55222 CTG-2</v>
      </c>
      <c r="AF2600" s="5" t="str">
        <f t="shared" si="185"/>
        <v>86.5</v>
      </c>
      <c r="AG2600" s="1" t="str">
        <f t="shared" si="183"/>
        <v/>
      </c>
    </row>
    <row r="2601" spans="1:33" x14ac:dyDescent="0.2">
      <c r="A2601" s="1" t="s">
        <v>458</v>
      </c>
      <c r="B2601" s="1" t="s">
        <v>6040</v>
      </c>
      <c r="C2601" s="1">
        <v>55222</v>
      </c>
      <c r="D2601" s="1" t="s">
        <v>5750</v>
      </c>
      <c r="F2601" s="1">
        <v>2023</v>
      </c>
      <c r="G2601" s="1" t="s">
        <v>461</v>
      </c>
      <c r="H2601" s="1">
        <v>3167</v>
      </c>
      <c r="I2601" s="1">
        <v>5</v>
      </c>
      <c r="K2601" s="1" t="s">
        <v>463</v>
      </c>
      <c r="L2601" s="1" t="s">
        <v>464</v>
      </c>
      <c r="M2601" s="1">
        <v>197</v>
      </c>
      <c r="N2601" s="1" t="s">
        <v>39</v>
      </c>
      <c r="O2601" s="1">
        <v>41.393700000000003</v>
      </c>
      <c r="P2601" s="1">
        <v>-87.943700000000007</v>
      </c>
      <c r="Q2601" s="1" t="s">
        <v>6041</v>
      </c>
      <c r="R2601" s="1" t="s">
        <v>41</v>
      </c>
      <c r="T2601" s="1" t="s">
        <v>93</v>
      </c>
      <c r="U2601" s="1" t="s">
        <v>44</v>
      </c>
      <c r="X2601" s="1" t="s">
        <v>140</v>
      </c>
      <c r="AA2601" s="3">
        <v>36677</v>
      </c>
      <c r="AB2601" s="1" t="s">
        <v>46</v>
      </c>
      <c r="AC2601" s="5">
        <v>1184</v>
      </c>
      <c r="AD2601" s="1" t="s">
        <v>6044</v>
      </c>
      <c r="AE2601" s="1" t="str">
        <f t="shared" si="184"/>
        <v>55222 CTG-3</v>
      </c>
      <c r="AF2601" s="5" t="str">
        <f t="shared" si="185"/>
        <v>86.5</v>
      </c>
      <c r="AG2601" s="1" t="str">
        <f t="shared" si="183"/>
        <v/>
      </c>
    </row>
    <row r="2602" spans="1:33" x14ac:dyDescent="0.2">
      <c r="A2602" s="1" t="s">
        <v>458</v>
      </c>
      <c r="B2602" s="1" t="s">
        <v>6040</v>
      </c>
      <c r="C2602" s="1">
        <v>55222</v>
      </c>
      <c r="D2602" s="1" t="s">
        <v>5799</v>
      </c>
      <c r="F2602" s="1">
        <v>2023</v>
      </c>
      <c r="G2602" s="1" t="s">
        <v>461</v>
      </c>
      <c r="H2602" s="1">
        <v>3167</v>
      </c>
      <c r="I2602" s="1">
        <v>5</v>
      </c>
      <c r="K2602" s="1" t="s">
        <v>463</v>
      </c>
      <c r="L2602" s="1" t="s">
        <v>464</v>
      </c>
      <c r="M2602" s="1">
        <v>197</v>
      </c>
      <c r="N2602" s="1" t="s">
        <v>39</v>
      </c>
      <c r="O2602" s="1">
        <v>41.393700000000003</v>
      </c>
      <c r="P2602" s="1">
        <v>-87.943700000000007</v>
      </c>
      <c r="Q2602" s="1" t="s">
        <v>6041</v>
      </c>
      <c r="R2602" s="1" t="s">
        <v>41</v>
      </c>
      <c r="T2602" s="1" t="s">
        <v>93</v>
      </c>
      <c r="U2602" s="1" t="s">
        <v>44</v>
      </c>
      <c r="X2602" s="1" t="s">
        <v>140</v>
      </c>
      <c r="AA2602" s="3">
        <v>36677</v>
      </c>
      <c r="AB2602" s="1" t="s">
        <v>46</v>
      </c>
      <c r="AC2602" s="5">
        <v>1184</v>
      </c>
      <c r="AD2602" s="1" t="s">
        <v>6045</v>
      </c>
      <c r="AE2602" s="1" t="str">
        <f t="shared" si="184"/>
        <v>55222 CTG-4</v>
      </c>
      <c r="AF2602" s="5" t="str">
        <f t="shared" si="185"/>
        <v>86.5</v>
      </c>
      <c r="AG2602" s="1" t="str">
        <f t="shared" si="183"/>
        <v/>
      </c>
    </row>
    <row r="2603" spans="1:33" x14ac:dyDescent="0.2">
      <c r="A2603" s="1" t="s">
        <v>458</v>
      </c>
      <c r="B2603" s="1" t="s">
        <v>6040</v>
      </c>
      <c r="C2603" s="1">
        <v>55222</v>
      </c>
      <c r="D2603" s="1" t="s">
        <v>6046</v>
      </c>
      <c r="F2603" s="1">
        <v>2023</v>
      </c>
      <c r="G2603" s="1" t="s">
        <v>461</v>
      </c>
      <c r="H2603" s="1">
        <v>3167</v>
      </c>
      <c r="I2603" s="1">
        <v>5</v>
      </c>
      <c r="K2603" s="1" t="s">
        <v>463</v>
      </c>
      <c r="L2603" s="1" t="s">
        <v>464</v>
      </c>
      <c r="M2603" s="1">
        <v>197</v>
      </c>
      <c r="N2603" s="1" t="s">
        <v>39</v>
      </c>
      <c r="O2603" s="1">
        <v>41.393700000000003</v>
      </c>
      <c r="P2603" s="1">
        <v>-87.943700000000007</v>
      </c>
      <c r="Q2603" s="1" t="s">
        <v>6041</v>
      </c>
      <c r="R2603" s="1" t="s">
        <v>41</v>
      </c>
      <c r="T2603" s="1" t="s">
        <v>93</v>
      </c>
      <c r="U2603" s="1" t="s">
        <v>44</v>
      </c>
      <c r="X2603" s="1" t="s">
        <v>140</v>
      </c>
      <c r="AA2603" s="3">
        <v>36677</v>
      </c>
      <c r="AB2603" s="1" t="s">
        <v>46</v>
      </c>
      <c r="AC2603" s="5">
        <v>1184</v>
      </c>
      <c r="AD2603" s="1" t="s">
        <v>6047</v>
      </c>
      <c r="AE2603" s="1" t="str">
        <f t="shared" si="184"/>
        <v>55222 CTG-5</v>
      </c>
      <c r="AF2603" s="5" t="str">
        <f t="shared" si="185"/>
        <v>86.5</v>
      </c>
      <c r="AG2603" s="1" t="str">
        <f t="shared" si="183"/>
        <v/>
      </c>
    </row>
    <row r="2604" spans="1:33" x14ac:dyDescent="0.2">
      <c r="A2604" s="1" t="s">
        <v>458</v>
      </c>
      <c r="B2604" s="1" t="s">
        <v>6040</v>
      </c>
      <c r="C2604" s="1">
        <v>55222</v>
      </c>
      <c r="D2604" s="1" t="s">
        <v>6048</v>
      </c>
      <c r="F2604" s="1">
        <v>2023</v>
      </c>
      <c r="G2604" s="1" t="s">
        <v>461</v>
      </c>
      <c r="H2604" s="1">
        <v>3167</v>
      </c>
      <c r="I2604" s="1">
        <v>5</v>
      </c>
      <c r="K2604" s="1" t="s">
        <v>463</v>
      </c>
      <c r="L2604" s="1" t="s">
        <v>464</v>
      </c>
      <c r="M2604" s="1">
        <v>197</v>
      </c>
      <c r="N2604" s="1" t="s">
        <v>39</v>
      </c>
      <c r="O2604" s="1">
        <v>41.393700000000003</v>
      </c>
      <c r="P2604" s="1">
        <v>-87.943700000000007</v>
      </c>
      <c r="Q2604" s="1" t="s">
        <v>6041</v>
      </c>
      <c r="R2604" s="1" t="s">
        <v>41</v>
      </c>
      <c r="T2604" s="1" t="s">
        <v>93</v>
      </c>
      <c r="U2604" s="1" t="s">
        <v>44</v>
      </c>
      <c r="X2604" s="1" t="s">
        <v>140</v>
      </c>
      <c r="AA2604" s="3">
        <v>36677</v>
      </c>
      <c r="AB2604" s="1" t="s">
        <v>46</v>
      </c>
      <c r="AC2604" s="5">
        <v>1184</v>
      </c>
      <c r="AD2604" s="1" t="s">
        <v>6049</v>
      </c>
      <c r="AE2604" s="1" t="str">
        <f t="shared" si="184"/>
        <v>55222 CTG-6</v>
      </c>
      <c r="AF2604" s="5" t="str">
        <f t="shared" si="185"/>
        <v>86.5</v>
      </c>
      <c r="AG2604" s="1" t="str">
        <f t="shared" si="183"/>
        <v/>
      </c>
    </row>
    <row r="2605" spans="1:33" x14ac:dyDescent="0.2">
      <c r="A2605" s="1" t="s">
        <v>458</v>
      </c>
      <c r="B2605" s="1" t="s">
        <v>6040</v>
      </c>
      <c r="C2605" s="1">
        <v>55222</v>
      </c>
      <c r="D2605" s="1" t="s">
        <v>6050</v>
      </c>
      <c r="F2605" s="1">
        <v>2023</v>
      </c>
      <c r="G2605" s="1" t="s">
        <v>461</v>
      </c>
      <c r="H2605" s="1">
        <v>3167</v>
      </c>
      <c r="I2605" s="1">
        <v>5</v>
      </c>
      <c r="K2605" s="1" t="s">
        <v>463</v>
      </c>
      <c r="L2605" s="1" t="s">
        <v>464</v>
      </c>
      <c r="M2605" s="1">
        <v>197</v>
      </c>
      <c r="N2605" s="1" t="s">
        <v>39</v>
      </c>
      <c r="O2605" s="1">
        <v>41.393700000000003</v>
      </c>
      <c r="P2605" s="1">
        <v>-87.943700000000007</v>
      </c>
      <c r="Q2605" s="1" t="s">
        <v>6041</v>
      </c>
      <c r="R2605" s="1" t="s">
        <v>41</v>
      </c>
      <c r="T2605" s="1" t="s">
        <v>93</v>
      </c>
      <c r="U2605" s="1" t="s">
        <v>44</v>
      </c>
      <c r="X2605" s="1" t="s">
        <v>140</v>
      </c>
      <c r="AA2605" s="3">
        <v>36677</v>
      </c>
      <c r="AB2605" s="1" t="s">
        <v>46</v>
      </c>
      <c r="AC2605" s="5">
        <v>1184</v>
      </c>
      <c r="AD2605" s="1" t="s">
        <v>6051</v>
      </c>
      <c r="AE2605" s="1" t="str">
        <f t="shared" si="184"/>
        <v>55222 CTG-7</v>
      </c>
      <c r="AF2605" s="5" t="str">
        <f t="shared" si="185"/>
        <v>86.5</v>
      </c>
      <c r="AG2605" s="1" t="str">
        <f t="shared" si="183"/>
        <v/>
      </c>
    </row>
    <row r="2606" spans="1:33" x14ac:dyDescent="0.2">
      <c r="A2606" s="1" t="s">
        <v>458</v>
      </c>
      <c r="B2606" s="1" t="s">
        <v>6040</v>
      </c>
      <c r="C2606" s="1">
        <v>55222</v>
      </c>
      <c r="D2606" s="1" t="s">
        <v>6052</v>
      </c>
      <c r="F2606" s="1">
        <v>2023</v>
      </c>
      <c r="G2606" s="1" t="s">
        <v>461</v>
      </c>
      <c r="H2606" s="1">
        <v>3167</v>
      </c>
      <c r="I2606" s="1">
        <v>5</v>
      </c>
      <c r="K2606" s="1" t="s">
        <v>463</v>
      </c>
      <c r="L2606" s="1" t="s">
        <v>464</v>
      </c>
      <c r="M2606" s="1">
        <v>197</v>
      </c>
      <c r="N2606" s="1" t="s">
        <v>39</v>
      </c>
      <c r="O2606" s="1">
        <v>41.393700000000003</v>
      </c>
      <c r="P2606" s="1">
        <v>-87.943700000000007</v>
      </c>
      <c r="Q2606" s="1" t="s">
        <v>6041</v>
      </c>
      <c r="R2606" s="1" t="s">
        <v>41</v>
      </c>
      <c r="T2606" s="1" t="s">
        <v>93</v>
      </c>
      <c r="U2606" s="1" t="s">
        <v>44</v>
      </c>
      <c r="X2606" s="1" t="s">
        <v>140</v>
      </c>
      <c r="AA2606" s="3">
        <v>36677</v>
      </c>
      <c r="AB2606" s="1" t="s">
        <v>46</v>
      </c>
      <c r="AC2606" s="5">
        <v>1184</v>
      </c>
      <c r="AD2606" s="1" t="s">
        <v>6053</v>
      </c>
      <c r="AE2606" s="1" t="str">
        <f t="shared" si="184"/>
        <v>55222 CTG-8</v>
      </c>
      <c r="AF2606" s="5" t="str">
        <f t="shared" si="185"/>
        <v>86.5</v>
      </c>
      <c r="AG2606" s="1" t="str">
        <f t="shared" si="183"/>
        <v/>
      </c>
    </row>
    <row r="2607" spans="1:33" x14ac:dyDescent="0.2">
      <c r="A2607" s="1" t="s">
        <v>383</v>
      </c>
      <c r="B2607" s="1" t="s">
        <v>6054</v>
      </c>
      <c r="C2607" s="1">
        <v>55223</v>
      </c>
      <c r="D2607" s="1" t="s">
        <v>1155</v>
      </c>
      <c r="F2607" s="1">
        <v>2023</v>
      </c>
      <c r="G2607" s="1" t="s">
        <v>346</v>
      </c>
      <c r="H2607" s="1">
        <v>603383</v>
      </c>
      <c r="I2607" s="1">
        <v>6</v>
      </c>
      <c r="J2607" s="1" t="s">
        <v>387</v>
      </c>
      <c r="K2607" s="1" t="s">
        <v>5587</v>
      </c>
      <c r="L2607" s="1" t="s">
        <v>5588</v>
      </c>
      <c r="M2607" s="1">
        <v>139</v>
      </c>
      <c r="N2607" s="1" t="s">
        <v>39</v>
      </c>
      <c r="O2607" s="1">
        <v>32.319400000000002</v>
      </c>
      <c r="P2607" s="1">
        <v>-96.673900000000003</v>
      </c>
      <c r="Q2607" s="1" t="s">
        <v>6055</v>
      </c>
      <c r="R2607" s="1" t="s">
        <v>41</v>
      </c>
      <c r="T2607" s="1" t="s">
        <v>71</v>
      </c>
      <c r="U2607" s="1" t="s">
        <v>44</v>
      </c>
      <c r="X2607" s="1" t="s">
        <v>223</v>
      </c>
      <c r="AA2607" s="3">
        <v>37156</v>
      </c>
      <c r="AB2607" s="1" t="s">
        <v>46</v>
      </c>
      <c r="AC2607" s="5">
        <v>2797</v>
      </c>
      <c r="AD2607" s="1" t="s">
        <v>6056</v>
      </c>
      <c r="AE2607" s="1" t="str">
        <f t="shared" si="184"/>
        <v>55223 GT-1</v>
      </c>
      <c r="AF2607" s="14">
        <f>MID(AD2607,FIND("(",AD2607)+1,FIND(")",AD2607)-FIND("(",AD2607)-1)+285</f>
        <v>418</v>
      </c>
      <c r="AG2607" s="1" t="str">
        <f t="shared" si="183"/>
        <v>Y</v>
      </c>
    </row>
    <row r="2608" spans="1:33" x14ac:dyDescent="0.2">
      <c r="A2608" s="1" t="s">
        <v>1071</v>
      </c>
      <c r="B2608" s="1" t="s">
        <v>6057</v>
      </c>
      <c r="C2608" s="1">
        <v>55224</v>
      </c>
      <c r="D2608" s="1" t="s">
        <v>6058</v>
      </c>
      <c r="F2608" s="1">
        <v>2023</v>
      </c>
      <c r="G2608" s="1" t="s">
        <v>461</v>
      </c>
      <c r="H2608" s="1">
        <v>609289</v>
      </c>
      <c r="I2608" s="1">
        <v>5</v>
      </c>
      <c r="K2608" s="1" t="s">
        <v>1130</v>
      </c>
      <c r="L2608" s="1" t="s">
        <v>1131</v>
      </c>
      <c r="M2608" s="1">
        <v>83</v>
      </c>
      <c r="N2608" s="1" t="s">
        <v>39</v>
      </c>
      <c r="O2608" s="1">
        <v>38.671599999999998</v>
      </c>
      <c r="P2608" s="1">
        <v>-87.293099999999995</v>
      </c>
      <c r="Q2608" s="1" t="s">
        <v>1124</v>
      </c>
      <c r="R2608" s="1" t="s">
        <v>41</v>
      </c>
      <c r="T2608" s="1" t="s">
        <v>93</v>
      </c>
      <c r="U2608" s="1" t="s">
        <v>44</v>
      </c>
      <c r="X2608" s="1" t="s">
        <v>95</v>
      </c>
      <c r="AA2608" s="3">
        <v>36678</v>
      </c>
      <c r="AB2608" s="1" t="s">
        <v>46</v>
      </c>
      <c r="AC2608" s="5">
        <v>1600</v>
      </c>
      <c r="AD2608" s="1" t="s">
        <v>6059</v>
      </c>
      <c r="AE2608" s="1" t="str">
        <f t="shared" si="184"/>
        <v>55224 EU-01</v>
      </c>
      <c r="AF2608" s="5" t="str">
        <f>MID(AD2608,FIND("(",AD2608)+1,FIND(")",AD2608)-FIND("(",AD2608)-1)</f>
        <v>122</v>
      </c>
      <c r="AG2608" s="1" t="str">
        <f t="shared" si="183"/>
        <v/>
      </c>
    </row>
    <row r="2609" spans="1:33" x14ac:dyDescent="0.2">
      <c r="A2609" s="1" t="s">
        <v>1071</v>
      </c>
      <c r="B2609" s="1" t="s">
        <v>6057</v>
      </c>
      <c r="C2609" s="1">
        <v>55224</v>
      </c>
      <c r="D2609" s="1" t="s">
        <v>6060</v>
      </c>
      <c r="F2609" s="1">
        <v>2023</v>
      </c>
      <c r="G2609" s="1" t="s">
        <v>461</v>
      </c>
      <c r="H2609" s="1">
        <v>609289</v>
      </c>
      <c r="I2609" s="1">
        <v>5</v>
      </c>
      <c r="K2609" s="1" t="s">
        <v>1130</v>
      </c>
      <c r="L2609" s="1" t="s">
        <v>1131</v>
      </c>
      <c r="M2609" s="1">
        <v>83</v>
      </c>
      <c r="N2609" s="1" t="s">
        <v>39</v>
      </c>
      <c r="O2609" s="1">
        <v>38.671599999999998</v>
      </c>
      <c r="P2609" s="1">
        <v>-87.293099999999995</v>
      </c>
      <c r="Q2609" s="1" t="s">
        <v>1124</v>
      </c>
      <c r="R2609" s="1" t="s">
        <v>41</v>
      </c>
      <c r="T2609" s="1" t="s">
        <v>93</v>
      </c>
      <c r="U2609" s="1" t="s">
        <v>44</v>
      </c>
      <c r="X2609" s="1" t="s">
        <v>95</v>
      </c>
      <c r="AA2609" s="3">
        <v>36678</v>
      </c>
      <c r="AB2609" s="1" t="s">
        <v>46</v>
      </c>
      <c r="AC2609" s="5">
        <v>1600</v>
      </c>
      <c r="AD2609" s="1" t="s">
        <v>6061</v>
      </c>
      <c r="AE2609" s="1" t="str">
        <f t="shared" si="184"/>
        <v>55224 EU-02</v>
      </c>
      <c r="AF2609" s="5" t="str">
        <f>MID(AD2609,FIND("(",AD2609)+1,FIND(")",AD2609)-FIND("(",AD2609)-1)</f>
        <v>122</v>
      </c>
      <c r="AG2609" s="1" t="str">
        <f t="shared" si="183"/>
        <v/>
      </c>
    </row>
    <row r="2610" spans="1:33" x14ac:dyDescent="0.2">
      <c r="A2610" s="1" t="s">
        <v>1071</v>
      </c>
      <c r="B2610" s="1" t="s">
        <v>6057</v>
      </c>
      <c r="C2610" s="1">
        <v>55224</v>
      </c>
      <c r="D2610" s="1" t="s">
        <v>6062</v>
      </c>
      <c r="F2610" s="1">
        <v>2023</v>
      </c>
      <c r="G2610" s="1" t="s">
        <v>461</v>
      </c>
      <c r="H2610" s="1">
        <v>609289</v>
      </c>
      <c r="I2610" s="1">
        <v>5</v>
      </c>
      <c r="K2610" s="1" t="s">
        <v>1130</v>
      </c>
      <c r="L2610" s="1" t="s">
        <v>1131</v>
      </c>
      <c r="M2610" s="1">
        <v>83</v>
      </c>
      <c r="N2610" s="1" t="s">
        <v>39</v>
      </c>
      <c r="O2610" s="1">
        <v>38.671599999999998</v>
      </c>
      <c r="P2610" s="1">
        <v>-87.293099999999995</v>
      </c>
      <c r="Q2610" s="1" t="s">
        <v>1124</v>
      </c>
      <c r="R2610" s="1" t="s">
        <v>41</v>
      </c>
      <c r="T2610" s="1" t="s">
        <v>93</v>
      </c>
      <c r="U2610" s="1" t="s">
        <v>44</v>
      </c>
      <c r="X2610" s="1" t="s">
        <v>95</v>
      </c>
      <c r="AA2610" s="3">
        <v>36678</v>
      </c>
      <c r="AB2610" s="1" t="s">
        <v>46</v>
      </c>
      <c r="AC2610" s="5">
        <v>1600</v>
      </c>
      <c r="AD2610" s="1" t="s">
        <v>6063</v>
      </c>
      <c r="AE2610" s="1" t="str">
        <f t="shared" si="184"/>
        <v>55224 EU-03</v>
      </c>
      <c r="AF2610" s="5" t="str">
        <f>MID(AD2610,FIND("(",AD2610)+1,FIND(")",AD2610)-FIND("(",AD2610)-1)</f>
        <v>122</v>
      </c>
      <c r="AG2610" s="1" t="str">
        <f t="shared" si="183"/>
        <v/>
      </c>
    </row>
    <row r="2611" spans="1:33" x14ac:dyDescent="0.2">
      <c r="A2611" s="1" t="s">
        <v>1071</v>
      </c>
      <c r="B2611" s="1" t="s">
        <v>6057</v>
      </c>
      <c r="C2611" s="1">
        <v>55224</v>
      </c>
      <c r="D2611" s="1" t="s">
        <v>6064</v>
      </c>
      <c r="F2611" s="1">
        <v>2023</v>
      </c>
      <c r="G2611" s="1" t="s">
        <v>461</v>
      </c>
      <c r="H2611" s="1">
        <v>609289</v>
      </c>
      <c r="I2611" s="1">
        <v>5</v>
      </c>
      <c r="K2611" s="1" t="s">
        <v>1130</v>
      </c>
      <c r="L2611" s="1" t="s">
        <v>1131</v>
      </c>
      <c r="M2611" s="1">
        <v>83</v>
      </c>
      <c r="N2611" s="1" t="s">
        <v>39</v>
      </c>
      <c r="O2611" s="1">
        <v>38.671599999999998</v>
      </c>
      <c r="P2611" s="1">
        <v>-87.293099999999995</v>
      </c>
      <c r="Q2611" s="1" t="s">
        <v>1124</v>
      </c>
      <c r="R2611" s="1" t="s">
        <v>41</v>
      </c>
      <c r="T2611" s="1" t="s">
        <v>93</v>
      </c>
      <c r="U2611" s="1" t="s">
        <v>44</v>
      </c>
      <c r="X2611" s="1" t="s">
        <v>95</v>
      </c>
      <c r="AA2611" s="3">
        <v>36678</v>
      </c>
      <c r="AB2611" s="1" t="s">
        <v>46</v>
      </c>
      <c r="AC2611" s="5">
        <v>1600</v>
      </c>
      <c r="AD2611" s="1" t="s">
        <v>6065</v>
      </c>
      <c r="AE2611" s="1" t="str">
        <f t="shared" si="184"/>
        <v>55224 EU-04</v>
      </c>
      <c r="AF2611" s="5" t="str">
        <f>MID(AD2611,FIND("(",AD2611)+1,FIND(")",AD2611)-FIND("(",AD2611)-1)</f>
        <v>122</v>
      </c>
      <c r="AG2611" s="1" t="str">
        <f t="shared" si="183"/>
        <v/>
      </c>
    </row>
    <row r="2612" spans="1:33" x14ac:dyDescent="0.2">
      <c r="A2612" s="1" t="s">
        <v>335</v>
      </c>
      <c r="B2612" s="1" t="s">
        <v>6066</v>
      </c>
      <c r="C2612" s="1">
        <v>55225</v>
      </c>
      <c r="D2612" s="1" t="s">
        <v>5681</v>
      </c>
      <c r="F2612" s="1">
        <v>2023</v>
      </c>
      <c r="G2612" s="1" t="s">
        <v>346</v>
      </c>
      <c r="H2612" s="1" t="s">
        <v>6067</v>
      </c>
      <c r="I2612" s="1">
        <v>6</v>
      </c>
      <c r="J2612" s="1" t="s">
        <v>228</v>
      </c>
      <c r="K2612" s="1" t="s">
        <v>6068</v>
      </c>
      <c r="L2612" s="1" t="s">
        <v>6069</v>
      </c>
      <c r="M2612" s="1">
        <v>145</v>
      </c>
      <c r="N2612" s="1" t="s">
        <v>39</v>
      </c>
      <c r="O2612" s="1">
        <v>36.011899999999997</v>
      </c>
      <c r="P2612" s="1">
        <v>-95.696700000000007</v>
      </c>
      <c r="Q2612" s="1" t="s">
        <v>6070</v>
      </c>
      <c r="R2612" s="1" t="s">
        <v>41</v>
      </c>
      <c r="T2612" s="1" t="s">
        <v>71</v>
      </c>
      <c r="U2612" s="1" t="s">
        <v>44</v>
      </c>
      <c r="X2612" s="1" t="s">
        <v>140</v>
      </c>
      <c r="AA2612" s="3">
        <v>37408</v>
      </c>
      <c r="AB2612" s="1" t="s">
        <v>46</v>
      </c>
      <c r="AC2612" s="5">
        <v>4585</v>
      </c>
      <c r="AD2612" s="1" t="s">
        <v>6071</v>
      </c>
      <c r="AE2612" s="1" t="str">
        <f t="shared" si="184"/>
        <v>55225 CTG-1</v>
      </c>
      <c r="AF2612" s="14">
        <f>MID(AD2612,FIND("(",AD2612)+1,FIND(")",AD2612)-FIND("(",AD2612)-1)+255/2</f>
        <v>303.5</v>
      </c>
      <c r="AG2612" s="1" t="str">
        <f t="shared" si="183"/>
        <v/>
      </c>
    </row>
    <row r="2613" spans="1:33" x14ac:dyDescent="0.2">
      <c r="A2613" s="1" t="s">
        <v>335</v>
      </c>
      <c r="B2613" s="1" t="s">
        <v>6066</v>
      </c>
      <c r="C2613" s="1">
        <v>55225</v>
      </c>
      <c r="D2613" s="1" t="s">
        <v>5684</v>
      </c>
      <c r="F2613" s="1">
        <v>2023</v>
      </c>
      <c r="G2613" s="1" t="s">
        <v>346</v>
      </c>
      <c r="H2613" s="1" t="s">
        <v>6067</v>
      </c>
      <c r="I2613" s="1">
        <v>6</v>
      </c>
      <c r="J2613" s="1" t="s">
        <v>228</v>
      </c>
      <c r="K2613" s="1" t="s">
        <v>6068</v>
      </c>
      <c r="L2613" s="1" t="s">
        <v>6069</v>
      </c>
      <c r="M2613" s="1">
        <v>145</v>
      </c>
      <c r="N2613" s="1" t="s">
        <v>39</v>
      </c>
      <c r="O2613" s="1">
        <v>36.011899999999997</v>
      </c>
      <c r="P2613" s="1">
        <v>-95.696700000000007</v>
      </c>
      <c r="Q2613" s="1" t="s">
        <v>6070</v>
      </c>
      <c r="R2613" s="1" t="s">
        <v>41</v>
      </c>
      <c r="T2613" s="1" t="s">
        <v>71</v>
      </c>
      <c r="U2613" s="1" t="s">
        <v>44</v>
      </c>
      <c r="X2613" s="1" t="s">
        <v>140</v>
      </c>
      <c r="AA2613" s="3">
        <v>37408</v>
      </c>
      <c r="AB2613" s="1" t="s">
        <v>46</v>
      </c>
      <c r="AC2613" s="5">
        <v>4585</v>
      </c>
      <c r="AD2613" s="1" t="s">
        <v>6072</v>
      </c>
      <c r="AE2613" s="1" t="str">
        <f t="shared" si="184"/>
        <v>55225 CTG-2</v>
      </c>
      <c r="AF2613" s="14">
        <f>AF2612</f>
        <v>303.5</v>
      </c>
      <c r="AG2613" s="1" t="str">
        <f t="shared" si="183"/>
        <v/>
      </c>
    </row>
    <row r="2614" spans="1:33" x14ac:dyDescent="0.2">
      <c r="A2614" s="1" t="s">
        <v>335</v>
      </c>
      <c r="B2614" s="1" t="s">
        <v>6066</v>
      </c>
      <c r="C2614" s="1">
        <v>55225</v>
      </c>
      <c r="D2614" s="1" t="s">
        <v>5750</v>
      </c>
      <c r="F2614" s="1">
        <v>2023</v>
      </c>
      <c r="G2614" s="1" t="s">
        <v>346</v>
      </c>
      <c r="H2614" s="1" t="s">
        <v>6067</v>
      </c>
      <c r="I2614" s="1">
        <v>6</v>
      </c>
      <c r="J2614" s="1" t="s">
        <v>228</v>
      </c>
      <c r="K2614" s="1" t="s">
        <v>6068</v>
      </c>
      <c r="L2614" s="1" t="s">
        <v>6069</v>
      </c>
      <c r="M2614" s="1">
        <v>145</v>
      </c>
      <c r="N2614" s="1" t="s">
        <v>39</v>
      </c>
      <c r="O2614" s="1">
        <v>36.011899999999997</v>
      </c>
      <c r="P2614" s="1">
        <v>-95.696700000000007</v>
      </c>
      <c r="Q2614" s="1" t="s">
        <v>6070</v>
      </c>
      <c r="R2614" s="1" t="s">
        <v>41</v>
      </c>
      <c r="T2614" s="1" t="s">
        <v>71</v>
      </c>
      <c r="U2614" s="1" t="s">
        <v>44</v>
      </c>
      <c r="X2614" s="1" t="s">
        <v>140</v>
      </c>
      <c r="AA2614" s="3">
        <v>37561</v>
      </c>
      <c r="AB2614" s="1" t="s">
        <v>46</v>
      </c>
      <c r="AC2614" s="5">
        <v>4585</v>
      </c>
      <c r="AD2614" s="1" t="s">
        <v>6073</v>
      </c>
      <c r="AE2614" s="1" t="str">
        <f t="shared" si="184"/>
        <v>55225 CTG-3</v>
      </c>
      <c r="AF2614" s="14">
        <f>MID(AD2614,FIND("(",AD2614)+1,FIND(")",AD2614)-FIND("(",AD2614)-1)+255/2</f>
        <v>303.5</v>
      </c>
      <c r="AG2614" s="1" t="str">
        <f t="shared" si="183"/>
        <v/>
      </c>
    </row>
    <row r="2615" spans="1:33" x14ac:dyDescent="0.2">
      <c r="A2615" s="1" t="s">
        <v>335</v>
      </c>
      <c r="B2615" s="1" t="s">
        <v>6066</v>
      </c>
      <c r="C2615" s="1">
        <v>55225</v>
      </c>
      <c r="D2615" s="1" t="s">
        <v>5799</v>
      </c>
      <c r="F2615" s="1">
        <v>2023</v>
      </c>
      <c r="G2615" s="1" t="s">
        <v>346</v>
      </c>
      <c r="H2615" s="1" t="s">
        <v>6067</v>
      </c>
      <c r="I2615" s="1">
        <v>6</v>
      </c>
      <c r="J2615" s="1" t="s">
        <v>228</v>
      </c>
      <c r="K2615" s="1" t="s">
        <v>6068</v>
      </c>
      <c r="L2615" s="1" t="s">
        <v>6069</v>
      </c>
      <c r="M2615" s="1">
        <v>145</v>
      </c>
      <c r="N2615" s="1" t="s">
        <v>39</v>
      </c>
      <c r="O2615" s="1">
        <v>36.011899999999997</v>
      </c>
      <c r="P2615" s="1">
        <v>-95.696700000000007</v>
      </c>
      <c r="Q2615" s="1" t="s">
        <v>6070</v>
      </c>
      <c r="R2615" s="1" t="s">
        <v>41</v>
      </c>
      <c r="T2615" s="1" t="s">
        <v>71</v>
      </c>
      <c r="U2615" s="1" t="s">
        <v>44</v>
      </c>
      <c r="X2615" s="1" t="s">
        <v>140</v>
      </c>
      <c r="AA2615" s="3">
        <v>37567</v>
      </c>
      <c r="AB2615" s="1" t="s">
        <v>46</v>
      </c>
      <c r="AC2615" s="5">
        <v>4585</v>
      </c>
      <c r="AD2615" s="1" t="s">
        <v>6074</v>
      </c>
      <c r="AE2615" s="1" t="str">
        <f t="shared" si="184"/>
        <v>55225 CTG-4</v>
      </c>
      <c r="AF2615" s="14">
        <f>AF2614</f>
        <v>303.5</v>
      </c>
      <c r="AG2615" s="1" t="str">
        <f t="shared" si="183"/>
        <v/>
      </c>
    </row>
    <row r="2616" spans="1:33" x14ac:dyDescent="0.2">
      <c r="A2616" s="1" t="s">
        <v>383</v>
      </c>
      <c r="B2616" s="1" t="s">
        <v>6075</v>
      </c>
      <c r="C2616" s="1">
        <v>55226</v>
      </c>
      <c r="D2616" s="1" t="s">
        <v>280</v>
      </c>
      <c r="F2616" s="1">
        <v>2023</v>
      </c>
      <c r="G2616" s="1" t="s">
        <v>346</v>
      </c>
      <c r="H2616" s="1">
        <v>610481</v>
      </c>
      <c r="I2616" s="1">
        <v>6</v>
      </c>
      <c r="K2616" s="1" t="s">
        <v>6076</v>
      </c>
      <c r="L2616" s="1" t="s">
        <v>6077</v>
      </c>
      <c r="M2616" s="1">
        <v>161</v>
      </c>
      <c r="N2616" s="1" t="s">
        <v>1680</v>
      </c>
      <c r="O2616" s="1">
        <v>31.890699999999999</v>
      </c>
      <c r="P2616" s="1">
        <v>-96.112799999999993</v>
      </c>
      <c r="Q2616" s="1" t="s">
        <v>6078</v>
      </c>
      <c r="R2616" s="1" t="s">
        <v>41</v>
      </c>
      <c r="T2616" s="1" t="s">
        <v>71</v>
      </c>
      <c r="U2616" s="1" t="s">
        <v>44</v>
      </c>
      <c r="X2616" s="1" t="s">
        <v>140</v>
      </c>
      <c r="AA2616" s="3">
        <v>37345</v>
      </c>
      <c r="AB2616" s="1" t="s">
        <v>46</v>
      </c>
      <c r="AC2616" s="5">
        <v>2050</v>
      </c>
      <c r="AD2616" s="1" t="s">
        <v>6079</v>
      </c>
      <c r="AE2616" s="1" t="str">
        <f t="shared" si="184"/>
        <v>55226 GT1</v>
      </c>
      <c r="AF2616" s="14">
        <f>MID(AD2616,FIND("(",AD2616)+1,FIND(")",AD2616)-FIND("(",AD2616)-1)+184.6/2</f>
        <v>259</v>
      </c>
      <c r="AG2616" s="1" t="str">
        <f t="shared" si="183"/>
        <v/>
      </c>
    </row>
    <row r="2617" spans="1:33" x14ac:dyDescent="0.2">
      <c r="A2617" s="1" t="s">
        <v>383</v>
      </c>
      <c r="B2617" s="1" t="s">
        <v>6075</v>
      </c>
      <c r="C2617" s="1">
        <v>55226</v>
      </c>
      <c r="D2617" s="1" t="s">
        <v>1102</v>
      </c>
      <c r="F2617" s="1">
        <v>2023</v>
      </c>
      <c r="G2617" s="1" t="s">
        <v>346</v>
      </c>
      <c r="H2617" s="1">
        <v>610481</v>
      </c>
      <c r="I2617" s="1">
        <v>6</v>
      </c>
      <c r="K2617" s="1" t="s">
        <v>6076</v>
      </c>
      <c r="L2617" s="1" t="s">
        <v>6077</v>
      </c>
      <c r="M2617" s="1">
        <v>161</v>
      </c>
      <c r="N2617" s="1" t="s">
        <v>1680</v>
      </c>
      <c r="O2617" s="1">
        <v>31.890699999999999</v>
      </c>
      <c r="P2617" s="1">
        <v>-96.112799999999993</v>
      </c>
      <c r="Q2617" s="1" t="s">
        <v>6078</v>
      </c>
      <c r="R2617" s="1" t="s">
        <v>41</v>
      </c>
      <c r="T2617" s="1" t="s">
        <v>71</v>
      </c>
      <c r="U2617" s="1" t="s">
        <v>44</v>
      </c>
      <c r="X2617" s="1" t="s">
        <v>140</v>
      </c>
      <c r="AA2617" s="3">
        <v>37345</v>
      </c>
      <c r="AB2617" s="1" t="s">
        <v>46</v>
      </c>
      <c r="AC2617" s="5">
        <v>2050</v>
      </c>
      <c r="AD2617" s="1" t="s">
        <v>6080</v>
      </c>
      <c r="AE2617" s="1" t="str">
        <f t="shared" si="184"/>
        <v>55226 GT2</v>
      </c>
      <c r="AF2617" s="14">
        <f>AF2616</f>
        <v>259</v>
      </c>
      <c r="AG2617" s="1" t="str">
        <f t="shared" si="183"/>
        <v/>
      </c>
    </row>
    <row r="2618" spans="1:33" x14ac:dyDescent="0.2">
      <c r="A2618" s="1" t="s">
        <v>383</v>
      </c>
      <c r="B2618" s="1" t="s">
        <v>6075</v>
      </c>
      <c r="C2618" s="1">
        <v>55226</v>
      </c>
      <c r="D2618" s="1" t="s">
        <v>246</v>
      </c>
      <c r="F2618" s="1">
        <v>2023</v>
      </c>
      <c r="G2618" s="1" t="s">
        <v>346</v>
      </c>
      <c r="H2618" s="1">
        <v>610481</v>
      </c>
      <c r="I2618" s="1">
        <v>6</v>
      </c>
      <c r="K2618" s="1" t="s">
        <v>6076</v>
      </c>
      <c r="L2618" s="1" t="s">
        <v>6077</v>
      </c>
      <c r="M2618" s="1">
        <v>161</v>
      </c>
      <c r="N2618" s="1" t="s">
        <v>1680</v>
      </c>
      <c r="O2618" s="1">
        <v>31.890699999999999</v>
      </c>
      <c r="P2618" s="1">
        <v>-96.112799999999993</v>
      </c>
      <c r="Q2618" s="1" t="s">
        <v>6078</v>
      </c>
      <c r="R2618" s="1" t="s">
        <v>41</v>
      </c>
      <c r="T2618" s="1" t="s">
        <v>71</v>
      </c>
      <c r="U2618" s="1" t="s">
        <v>44</v>
      </c>
      <c r="X2618" s="1" t="s">
        <v>140</v>
      </c>
      <c r="AA2618" s="3">
        <v>37391</v>
      </c>
      <c r="AB2618" s="1" t="s">
        <v>46</v>
      </c>
      <c r="AC2618" s="5">
        <v>2050</v>
      </c>
      <c r="AD2618" s="1" t="s">
        <v>6081</v>
      </c>
      <c r="AE2618" s="1" t="str">
        <f t="shared" si="184"/>
        <v>55226 GT3</v>
      </c>
      <c r="AF2618" s="14">
        <f>AF2616</f>
        <v>259</v>
      </c>
      <c r="AG2618" s="1" t="str">
        <f t="shared" si="183"/>
        <v/>
      </c>
    </row>
    <row r="2619" spans="1:33" x14ac:dyDescent="0.2">
      <c r="A2619" s="1" t="s">
        <v>383</v>
      </c>
      <c r="B2619" s="1" t="s">
        <v>6075</v>
      </c>
      <c r="C2619" s="1">
        <v>55226</v>
      </c>
      <c r="D2619" s="1" t="s">
        <v>251</v>
      </c>
      <c r="F2619" s="1">
        <v>2023</v>
      </c>
      <c r="G2619" s="1" t="s">
        <v>346</v>
      </c>
      <c r="H2619" s="1">
        <v>610481</v>
      </c>
      <c r="I2619" s="1">
        <v>6</v>
      </c>
      <c r="K2619" s="1" t="s">
        <v>6076</v>
      </c>
      <c r="L2619" s="1" t="s">
        <v>6077</v>
      </c>
      <c r="M2619" s="1">
        <v>161</v>
      </c>
      <c r="N2619" s="1" t="s">
        <v>1680</v>
      </c>
      <c r="O2619" s="1">
        <v>31.890699999999999</v>
      </c>
      <c r="P2619" s="1">
        <v>-96.112799999999993</v>
      </c>
      <c r="Q2619" s="1" t="s">
        <v>6078</v>
      </c>
      <c r="R2619" s="1" t="s">
        <v>41</v>
      </c>
      <c r="T2619" s="1" t="s">
        <v>71</v>
      </c>
      <c r="U2619" s="1" t="s">
        <v>44</v>
      </c>
      <c r="X2619" s="1" t="s">
        <v>140</v>
      </c>
      <c r="AA2619" s="3">
        <v>37391</v>
      </c>
      <c r="AB2619" s="1" t="s">
        <v>46</v>
      </c>
      <c r="AC2619" s="5">
        <v>2050</v>
      </c>
      <c r="AD2619" s="1" t="s">
        <v>6082</v>
      </c>
      <c r="AE2619" s="1" t="str">
        <f t="shared" si="184"/>
        <v>55226 GT4</v>
      </c>
      <c r="AF2619" s="14">
        <f>AF2616</f>
        <v>259</v>
      </c>
      <c r="AG2619" s="1" t="str">
        <f t="shared" si="183"/>
        <v/>
      </c>
    </row>
    <row r="2620" spans="1:33" x14ac:dyDescent="0.2">
      <c r="A2620" s="1" t="s">
        <v>2430</v>
      </c>
      <c r="B2620" s="1" t="s">
        <v>6083</v>
      </c>
      <c r="C2620" s="1">
        <v>55228</v>
      </c>
      <c r="D2620" s="1" t="s">
        <v>6084</v>
      </c>
      <c r="F2620" s="1">
        <v>2023</v>
      </c>
      <c r="G2620" s="1" t="s">
        <v>461</v>
      </c>
      <c r="H2620" s="1">
        <v>609050</v>
      </c>
      <c r="I2620" s="1">
        <v>5</v>
      </c>
      <c r="J2620" s="1" t="s">
        <v>169</v>
      </c>
      <c r="K2620" s="1" t="s">
        <v>6085</v>
      </c>
      <c r="L2620" s="1" t="s">
        <v>6086</v>
      </c>
      <c r="M2620" s="1">
        <v>37</v>
      </c>
      <c r="N2620" s="1" t="s">
        <v>39</v>
      </c>
      <c r="O2620" s="1">
        <v>40.0747</v>
      </c>
      <c r="P2620" s="1">
        <v>-84.614699999999999</v>
      </c>
      <c r="Q2620" s="1" t="s">
        <v>6087</v>
      </c>
      <c r="R2620" s="1" t="s">
        <v>41</v>
      </c>
      <c r="T2620" s="1" t="s">
        <v>93</v>
      </c>
      <c r="U2620" s="1" t="s">
        <v>44</v>
      </c>
      <c r="V2620" s="1" t="s">
        <v>94</v>
      </c>
      <c r="X2620" s="1" t="s">
        <v>95</v>
      </c>
      <c r="AA2620" s="3">
        <v>36685</v>
      </c>
      <c r="AB2620" s="1" t="s">
        <v>46</v>
      </c>
      <c r="AC2620" s="5">
        <v>325</v>
      </c>
      <c r="AD2620" s="1" t="s">
        <v>6088</v>
      </c>
      <c r="AE2620" s="1" t="str">
        <f t="shared" si="184"/>
        <v>55228 G1CT1</v>
      </c>
      <c r="AF2620" s="5" t="str">
        <f t="shared" ref="AF2620:AF2635" si="186">MID(AD2620,FIND("(",AD2620)+1,FIND(")",AD2620)-FIND("(",AD2620)-1)</f>
        <v>58.9</v>
      </c>
      <c r="AG2620" s="1" t="str">
        <f t="shared" si="183"/>
        <v/>
      </c>
    </row>
    <row r="2621" spans="1:33" x14ac:dyDescent="0.2">
      <c r="A2621" s="1" t="s">
        <v>2430</v>
      </c>
      <c r="B2621" s="1" t="s">
        <v>6083</v>
      </c>
      <c r="C2621" s="1">
        <v>55228</v>
      </c>
      <c r="D2621" s="1" t="s">
        <v>6089</v>
      </c>
      <c r="F2621" s="1">
        <v>2023</v>
      </c>
      <c r="G2621" s="1" t="s">
        <v>461</v>
      </c>
      <c r="H2621" s="1">
        <v>609050</v>
      </c>
      <c r="I2621" s="1">
        <v>5</v>
      </c>
      <c r="J2621" s="1" t="s">
        <v>169</v>
      </c>
      <c r="K2621" s="1" t="s">
        <v>6085</v>
      </c>
      <c r="L2621" s="1" t="s">
        <v>6086</v>
      </c>
      <c r="M2621" s="1">
        <v>37</v>
      </c>
      <c r="N2621" s="1" t="s">
        <v>39</v>
      </c>
      <c r="O2621" s="1">
        <v>40.0747</v>
      </c>
      <c r="P2621" s="1">
        <v>-84.614699999999999</v>
      </c>
      <c r="Q2621" s="1" t="s">
        <v>6087</v>
      </c>
      <c r="R2621" s="1" t="s">
        <v>41</v>
      </c>
      <c r="T2621" s="1" t="s">
        <v>93</v>
      </c>
      <c r="U2621" s="1" t="s">
        <v>44</v>
      </c>
      <c r="V2621" s="1" t="s">
        <v>94</v>
      </c>
      <c r="X2621" s="1" t="s">
        <v>95</v>
      </c>
      <c r="AA2621" s="3">
        <v>36685</v>
      </c>
      <c r="AB2621" s="1" t="s">
        <v>46</v>
      </c>
      <c r="AC2621" s="5">
        <v>325</v>
      </c>
      <c r="AD2621" s="1" t="s">
        <v>6088</v>
      </c>
      <c r="AE2621" s="1" t="str">
        <f t="shared" si="184"/>
        <v>55228 G1CT2</v>
      </c>
      <c r="AF2621" s="5" t="str">
        <f t="shared" si="186"/>
        <v>58.9</v>
      </c>
      <c r="AG2621" s="1" t="str">
        <f t="shared" si="183"/>
        <v/>
      </c>
    </row>
    <row r="2622" spans="1:33" x14ac:dyDescent="0.2">
      <c r="A2622" s="1" t="s">
        <v>2430</v>
      </c>
      <c r="B2622" s="1" t="s">
        <v>6083</v>
      </c>
      <c r="C2622" s="1">
        <v>55228</v>
      </c>
      <c r="D2622" s="1" t="s">
        <v>6090</v>
      </c>
      <c r="F2622" s="1">
        <v>2023</v>
      </c>
      <c r="G2622" s="1" t="s">
        <v>461</v>
      </c>
      <c r="H2622" s="1">
        <v>609050</v>
      </c>
      <c r="I2622" s="1">
        <v>5</v>
      </c>
      <c r="J2622" s="1" t="s">
        <v>169</v>
      </c>
      <c r="K2622" s="1" t="s">
        <v>6085</v>
      </c>
      <c r="L2622" s="1" t="s">
        <v>6086</v>
      </c>
      <c r="M2622" s="1">
        <v>37</v>
      </c>
      <c r="N2622" s="1" t="s">
        <v>39</v>
      </c>
      <c r="O2622" s="1">
        <v>40.0747</v>
      </c>
      <c r="P2622" s="1">
        <v>-84.614699999999999</v>
      </c>
      <c r="Q2622" s="1" t="s">
        <v>6087</v>
      </c>
      <c r="R2622" s="1" t="s">
        <v>41</v>
      </c>
      <c r="T2622" s="1" t="s">
        <v>93</v>
      </c>
      <c r="U2622" s="1" t="s">
        <v>44</v>
      </c>
      <c r="V2622" s="1" t="s">
        <v>94</v>
      </c>
      <c r="X2622" s="1" t="s">
        <v>95</v>
      </c>
      <c r="AA2622" s="3">
        <v>36686</v>
      </c>
      <c r="AB2622" s="1" t="s">
        <v>46</v>
      </c>
      <c r="AC2622" s="5">
        <v>325</v>
      </c>
      <c r="AD2622" s="1" t="s">
        <v>6091</v>
      </c>
      <c r="AE2622" s="1" t="str">
        <f t="shared" si="184"/>
        <v>55228 G2CT1</v>
      </c>
      <c r="AF2622" s="5" t="str">
        <f t="shared" si="186"/>
        <v>58.9</v>
      </c>
      <c r="AG2622" s="1" t="str">
        <f t="shared" si="183"/>
        <v/>
      </c>
    </row>
    <row r="2623" spans="1:33" x14ac:dyDescent="0.2">
      <c r="A2623" s="1" t="s">
        <v>2430</v>
      </c>
      <c r="B2623" s="1" t="s">
        <v>6083</v>
      </c>
      <c r="C2623" s="1">
        <v>55228</v>
      </c>
      <c r="D2623" s="1" t="s">
        <v>6092</v>
      </c>
      <c r="F2623" s="1">
        <v>2023</v>
      </c>
      <c r="G2623" s="1" t="s">
        <v>461</v>
      </c>
      <c r="H2623" s="1">
        <v>609050</v>
      </c>
      <c r="I2623" s="1">
        <v>5</v>
      </c>
      <c r="J2623" s="1" t="s">
        <v>169</v>
      </c>
      <c r="K2623" s="1" t="s">
        <v>6085</v>
      </c>
      <c r="L2623" s="1" t="s">
        <v>6086</v>
      </c>
      <c r="M2623" s="1">
        <v>37</v>
      </c>
      <c r="N2623" s="1" t="s">
        <v>39</v>
      </c>
      <c r="O2623" s="1">
        <v>40.0747</v>
      </c>
      <c r="P2623" s="1">
        <v>-84.614699999999999</v>
      </c>
      <c r="Q2623" s="1" t="s">
        <v>6087</v>
      </c>
      <c r="R2623" s="1" t="s">
        <v>41</v>
      </c>
      <c r="T2623" s="1" t="s">
        <v>93</v>
      </c>
      <c r="U2623" s="1" t="s">
        <v>44</v>
      </c>
      <c r="V2623" s="1" t="s">
        <v>94</v>
      </c>
      <c r="X2623" s="1" t="s">
        <v>95</v>
      </c>
      <c r="AA2623" s="3">
        <v>36686</v>
      </c>
      <c r="AB2623" s="1" t="s">
        <v>46</v>
      </c>
      <c r="AC2623" s="5">
        <v>325</v>
      </c>
      <c r="AD2623" s="1" t="s">
        <v>6091</v>
      </c>
      <c r="AE2623" s="1" t="str">
        <f t="shared" si="184"/>
        <v>55228 G2CT2</v>
      </c>
      <c r="AF2623" s="5" t="str">
        <f t="shared" si="186"/>
        <v>58.9</v>
      </c>
      <c r="AG2623" s="1" t="str">
        <f t="shared" si="183"/>
        <v/>
      </c>
    </row>
    <row r="2624" spans="1:33" x14ac:dyDescent="0.2">
      <c r="A2624" s="1" t="s">
        <v>2430</v>
      </c>
      <c r="B2624" s="1" t="s">
        <v>6083</v>
      </c>
      <c r="C2624" s="1">
        <v>55228</v>
      </c>
      <c r="D2624" s="1" t="s">
        <v>6093</v>
      </c>
      <c r="F2624" s="1">
        <v>2023</v>
      </c>
      <c r="G2624" s="1" t="s">
        <v>461</v>
      </c>
      <c r="H2624" s="1">
        <v>609050</v>
      </c>
      <c r="I2624" s="1">
        <v>5</v>
      </c>
      <c r="J2624" s="1" t="s">
        <v>169</v>
      </c>
      <c r="K2624" s="1" t="s">
        <v>6085</v>
      </c>
      <c r="L2624" s="1" t="s">
        <v>6086</v>
      </c>
      <c r="M2624" s="1">
        <v>37</v>
      </c>
      <c r="N2624" s="1" t="s">
        <v>39</v>
      </c>
      <c r="O2624" s="1">
        <v>40.0747</v>
      </c>
      <c r="P2624" s="1">
        <v>-84.614699999999999</v>
      </c>
      <c r="Q2624" s="1" t="s">
        <v>6087</v>
      </c>
      <c r="R2624" s="1" t="s">
        <v>41</v>
      </c>
      <c r="T2624" s="1" t="s">
        <v>93</v>
      </c>
      <c r="U2624" s="1" t="s">
        <v>44</v>
      </c>
      <c r="V2624" s="1" t="s">
        <v>94</v>
      </c>
      <c r="X2624" s="1" t="s">
        <v>95</v>
      </c>
      <c r="AA2624" s="3">
        <v>36688</v>
      </c>
      <c r="AB2624" s="1" t="s">
        <v>46</v>
      </c>
      <c r="AC2624" s="5">
        <v>325</v>
      </c>
      <c r="AD2624" s="1" t="s">
        <v>6094</v>
      </c>
      <c r="AE2624" s="1" t="str">
        <f t="shared" si="184"/>
        <v>55228 G3CT1</v>
      </c>
      <c r="AF2624" s="5" t="str">
        <f t="shared" si="186"/>
        <v>58.9</v>
      </c>
      <c r="AG2624" s="1" t="str">
        <f t="shared" si="183"/>
        <v/>
      </c>
    </row>
    <row r="2625" spans="1:33" x14ac:dyDescent="0.2">
      <c r="A2625" s="1" t="s">
        <v>2430</v>
      </c>
      <c r="B2625" s="1" t="s">
        <v>6083</v>
      </c>
      <c r="C2625" s="1">
        <v>55228</v>
      </c>
      <c r="D2625" s="1" t="s">
        <v>6095</v>
      </c>
      <c r="F2625" s="1">
        <v>2023</v>
      </c>
      <c r="G2625" s="1" t="s">
        <v>461</v>
      </c>
      <c r="H2625" s="1">
        <v>609050</v>
      </c>
      <c r="I2625" s="1">
        <v>5</v>
      </c>
      <c r="J2625" s="1" t="s">
        <v>169</v>
      </c>
      <c r="K2625" s="1" t="s">
        <v>6085</v>
      </c>
      <c r="L2625" s="1" t="s">
        <v>6086</v>
      </c>
      <c r="M2625" s="1">
        <v>37</v>
      </c>
      <c r="N2625" s="1" t="s">
        <v>39</v>
      </c>
      <c r="O2625" s="1">
        <v>40.0747</v>
      </c>
      <c r="P2625" s="1">
        <v>-84.614699999999999</v>
      </c>
      <c r="Q2625" s="1" t="s">
        <v>6087</v>
      </c>
      <c r="R2625" s="1" t="s">
        <v>41</v>
      </c>
      <c r="T2625" s="1" t="s">
        <v>93</v>
      </c>
      <c r="U2625" s="1" t="s">
        <v>44</v>
      </c>
      <c r="V2625" s="1" t="s">
        <v>94</v>
      </c>
      <c r="X2625" s="1" t="s">
        <v>95</v>
      </c>
      <c r="AA2625" s="3">
        <v>36688</v>
      </c>
      <c r="AB2625" s="1" t="s">
        <v>46</v>
      </c>
      <c r="AC2625" s="5">
        <v>325</v>
      </c>
      <c r="AD2625" s="1" t="s">
        <v>6094</v>
      </c>
      <c r="AE2625" s="1" t="str">
        <f t="shared" si="184"/>
        <v>55228 G3CT2</v>
      </c>
      <c r="AF2625" s="5" t="str">
        <f t="shared" si="186"/>
        <v>58.9</v>
      </c>
      <c r="AG2625" s="1" t="str">
        <f t="shared" si="183"/>
        <v/>
      </c>
    </row>
    <row r="2626" spans="1:33" x14ac:dyDescent="0.2">
      <c r="A2626" s="1" t="s">
        <v>2430</v>
      </c>
      <c r="B2626" s="1" t="s">
        <v>6083</v>
      </c>
      <c r="C2626" s="1">
        <v>55228</v>
      </c>
      <c r="D2626" s="1" t="s">
        <v>6096</v>
      </c>
      <c r="F2626" s="1">
        <v>2023</v>
      </c>
      <c r="G2626" s="1" t="s">
        <v>461</v>
      </c>
      <c r="H2626" s="1">
        <v>609050</v>
      </c>
      <c r="I2626" s="1">
        <v>5</v>
      </c>
      <c r="J2626" s="1" t="s">
        <v>169</v>
      </c>
      <c r="K2626" s="1" t="s">
        <v>6085</v>
      </c>
      <c r="L2626" s="1" t="s">
        <v>6086</v>
      </c>
      <c r="M2626" s="1">
        <v>37</v>
      </c>
      <c r="N2626" s="1" t="s">
        <v>39</v>
      </c>
      <c r="O2626" s="1">
        <v>40.0747</v>
      </c>
      <c r="P2626" s="1">
        <v>-84.614699999999999</v>
      </c>
      <c r="Q2626" s="1" t="s">
        <v>6087</v>
      </c>
      <c r="R2626" s="1" t="s">
        <v>41</v>
      </c>
      <c r="T2626" s="1" t="s">
        <v>93</v>
      </c>
      <c r="U2626" s="1" t="s">
        <v>44</v>
      </c>
      <c r="V2626" s="1" t="s">
        <v>94</v>
      </c>
      <c r="X2626" s="1" t="s">
        <v>95</v>
      </c>
      <c r="AA2626" s="3">
        <v>36696</v>
      </c>
      <c r="AB2626" s="1" t="s">
        <v>46</v>
      </c>
      <c r="AC2626" s="5">
        <v>325</v>
      </c>
      <c r="AD2626" s="1" t="s">
        <v>2721</v>
      </c>
      <c r="AE2626" s="1" t="str">
        <f t="shared" si="184"/>
        <v>55228 G4CT1</v>
      </c>
      <c r="AF2626" s="5" t="str">
        <f t="shared" si="186"/>
        <v>58.9</v>
      </c>
      <c r="AG2626" s="1" t="str">
        <f t="shared" ref="AG2626:AG2689" si="187">IF(ISNUMBER(SEARCH("selective", X2626)), "Y", "")</f>
        <v/>
      </c>
    </row>
    <row r="2627" spans="1:33" x14ac:dyDescent="0.2">
      <c r="A2627" s="1" t="s">
        <v>2430</v>
      </c>
      <c r="B2627" s="1" t="s">
        <v>6083</v>
      </c>
      <c r="C2627" s="1">
        <v>55228</v>
      </c>
      <c r="D2627" s="1" t="s">
        <v>6097</v>
      </c>
      <c r="F2627" s="1">
        <v>2023</v>
      </c>
      <c r="G2627" s="1" t="s">
        <v>461</v>
      </c>
      <c r="H2627" s="1">
        <v>609050</v>
      </c>
      <c r="I2627" s="1">
        <v>5</v>
      </c>
      <c r="J2627" s="1" t="s">
        <v>169</v>
      </c>
      <c r="K2627" s="1" t="s">
        <v>6085</v>
      </c>
      <c r="L2627" s="1" t="s">
        <v>6086</v>
      </c>
      <c r="M2627" s="1">
        <v>37</v>
      </c>
      <c r="N2627" s="1" t="s">
        <v>39</v>
      </c>
      <c r="O2627" s="1">
        <v>40.0747</v>
      </c>
      <c r="P2627" s="1">
        <v>-84.614699999999999</v>
      </c>
      <c r="Q2627" s="1" t="s">
        <v>6087</v>
      </c>
      <c r="R2627" s="1" t="s">
        <v>41</v>
      </c>
      <c r="T2627" s="1" t="s">
        <v>93</v>
      </c>
      <c r="U2627" s="1" t="s">
        <v>44</v>
      </c>
      <c r="V2627" s="1" t="s">
        <v>94</v>
      </c>
      <c r="X2627" s="1" t="s">
        <v>95</v>
      </c>
      <c r="AA2627" s="3">
        <v>36696</v>
      </c>
      <c r="AB2627" s="1" t="s">
        <v>46</v>
      </c>
      <c r="AC2627" s="5">
        <v>325</v>
      </c>
      <c r="AD2627" s="1" t="s">
        <v>2721</v>
      </c>
      <c r="AE2627" s="1" t="str">
        <f t="shared" ref="AE2627:AE2690" si="188">C2627&amp;" "&amp;D2627</f>
        <v>55228 G4CT2</v>
      </c>
      <c r="AF2627" s="5" t="str">
        <f t="shared" si="186"/>
        <v>58.9</v>
      </c>
      <c r="AG2627" s="1" t="str">
        <f t="shared" si="187"/>
        <v/>
      </c>
    </row>
    <row r="2628" spans="1:33" x14ac:dyDescent="0.2">
      <c r="A2628" s="1" t="s">
        <v>1071</v>
      </c>
      <c r="B2628" s="1" t="s">
        <v>6098</v>
      </c>
      <c r="C2628" s="1">
        <v>55229</v>
      </c>
      <c r="D2628" s="1" t="s">
        <v>6084</v>
      </c>
      <c r="F2628" s="1">
        <v>2023</v>
      </c>
      <c r="G2628" s="1" t="s">
        <v>461</v>
      </c>
      <c r="H2628" s="1">
        <v>609371</v>
      </c>
      <c r="I2628" s="1">
        <v>5</v>
      </c>
      <c r="K2628" s="1" t="s">
        <v>6099</v>
      </c>
      <c r="L2628" s="1" t="s">
        <v>6100</v>
      </c>
      <c r="M2628" s="1">
        <v>179</v>
      </c>
      <c r="N2628" s="1" t="s">
        <v>39</v>
      </c>
      <c r="O2628" s="1">
        <v>40.620600000000003</v>
      </c>
      <c r="P2628" s="1">
        <v>-85.305700000000002</v>
      </c>
      <c r="Q2628" s="1" t="s">
        <v>6101</v>
      </c>
      <c r="R2628" s="1" t="s">
        <v>41</v>
      </c>
      <c r="T2628" s="1" t="s">
        <v>93</v>
      </c>
      <c r="U2628" s="1" t="s">
        <v>44</v>
      </c>
      <c r="V2628" s="1" t="s">
        <v>94</v>
      </c>
      <c r="X2628" s="1" t="s">
        <v>95</v>
      </c>
      <c r="AA2628" s="3">
        <v>37043</v>
      </c>
      <c r="AB2628" s="1" t="s">
        <v>46</v>
      </c>
      <c r="AC2628" s="5">
        <v>305.7</v>
      </c>
      <c r="AD2628" s="1" t="s">
        <v>6102</v>
      </c>
      <c r="AE2628" s="1" t="str">
        <f t="shared" si="188"/>
        <v>55229 G1CT1</v>
      </c>
      <c r="AF2628" s="5" t="str">
        <f t="shared" si="186"/>
        <v>59</v>
      </c>
      <c r="AG2628" s="1" t="str">
        <f t="shared" si="187"/>
        <v/>
      </c>
    </row>
    <row r="2629" spans="1:33" x14ac:dyDescent="0.2">
      <c r="A2629" s="1" t="s">
        <v>1071</v>
      </c>
      <c r="B2629" s="1" t="s">
        <v>6098</v>
      </c>
      <c r="C2629" s="1">
        <v>55229</v>
      </c>
      <c r="D2629" s="1" t="s">
        <v>6089</v>
      </c>
      <c r="F2629" s="1">
        <v>2023</v>
      </c>
      <c r="G2629" s="1" t="s">
        <v>461</v>
      </c>
      <c r="H2629" s="1">
        <v>609371</v>
      </c>
      <c r="I2629" s="1">
        <v>5</v>
      </c>
      <c r="K2629" s="1" t="s">
        <v>6099</v>
      </c>
      <c r="L2629" s="1" t="s">
        <v>6100</v>
      </c>
      <c r="M2629" s="1">
        <v>179</v>
      </c>
      <c r="N2629" s="1" t="s">
        <v>39</v>
      </c>
      <c r="O2629" s="1">
        <v>40.620600000000003</v>
      </c>
      <c r="P2629" s="1">
        <v>-85.305700000000002</v>
      </c>
      <c r="Q2629" s="1" t="s">
        <v>6101</v>
      </c>
      <c r="R2629" s="1" t="s">
        <v>41</v>
      </c>
      <c r="T2629" s="1" t="s">
        <v>93</v>
      </c>
      <c r="U2629" s="1" t="s">
        <v>44</v>
      </c>
      <c r="V2629" s="1" t="s">
        <v>94</v>
      </c>
      <c r="X2629" s="1" t="s">
        <v>95</v>
      </c>
      <c r="AA2629" s="3">
        <v>37043</v>
      </c>
      <c r="AB2629" s="1" t="s">
        <v>46</v>
      </c>
      <c r="AC2629" s="5">
        <v>306.10000000000002</v>
      </c>
      <c r="AD2629" s="1" t="s">
        <v>6102</v>
      </c>
      <c r="AE2629" s="1" t="str">
        <f t="shared" si="188"/>
        <v>55229 G1CT2</v>
      </c>
      <c r="AF2629" s="5" t="str">
        <f t="shared" si="186"/>
        <v>59</v>
      </c>
      <c r="AG2629" s="1" t="str">
        <f t="shared" si="187"/>
        <v/>
      </c>
    </row>
    <row r="2630" spans="1:33" x14ac:dyDescent="0.2">
      <c r="A2630" s="1" t="s">
        <v>1071</v>
      </c>
      <c r="B2630" s="1" t="s">
        <v>6098</v>
      </c>
      <c r="C2630" s="1">
        <v>55229</v>
      </c>
      <c r="D2630" s="1" t="s">
        <v>6090</v>
      </c>
      <c r="F2630" s="1">
        <v>2023</v>
      </c>
      <c r="G2630" s="1" t="s">
        <v>461</v>
      </c>
      <c r="H2630" s="1">
        <v>609371</v>
      </c>
      <c r="I2630" s="1">
        <v>5</v>
      </c>
      <c r="K2630" s="1" t="s">
        <v>6099</v>
      </c>
      <c r="L2630" s="1" t="s">
        <v>6100</v>
      </c>
      <c r="M2630" s="1">
        <v>179</v>
      </c>
      <c r="N2630" s="1" t="s">
        <v>39</v>
      </c>
      <c r="O2630" s="1">
        <v>40.620600000000003</v>
      </c>
      <c r="P2630" s="1">
        <v>-85.305700000000002</v>
      </c>
      <c r="Q2630" s="1" t="s">
        <v>6101</v>
      </c>
      <c r="R2630" s="1" t="s">
        <v>41</v>
      </c>
      <c r="T2630" s="1" t="s">
        <v>93</v>
      </c>
      <c r="U2630" s="1" t="s">
        <v>44</v>
      </c>
      <c r="V2630" s="1" t="s">
        <v>94</v>
      </c>
      <c r="X2630" s="1" t="s">
        <v>95</v>
      </c>
      <c r="AA2630" s="3">
        <v>37043</v>
      </c>
      <c r="AB2630" s="1" t="s">
        <v>46</v>
      </c>
      <c r="AC2630" s="5">
        <v>380.5</v>
      </c>
      <c r="AD2630" s="1" t="s">
        <v>6103</v>
      </c>
      <c r="AE2630" s="1" t="str">
        <f t="shared" si="188"/>
        <v>55229 G2CT1</v>
      </c>
      <c r="AF2630" s="5" t="str">
        <f t="shared" si="186"/>
        <v>59</v>
      </c>
      <c r="AG2630" s="1" t="str">
        <f t="shared" si="187"/>
        <v/>
      </c>
    </row>
    <row r="2631" spans="1:33" x14ac:dyDescent="0.2">
      <c r="A2631" s="1" t="s">
        <v>1071</v>
      </c>
      <c r="B2631" s="1" t="s">
        <v>6098</v>
      </c>
      <c r="C2631" s="1">
        <v>55229</v>
      </c>
      <c r="D2631" s="1" t="s">
        <v>6092</v>
      </c>
      <c r="F2631" s="1">
        <v>2023</v>
      </c>
      <c r="G2631" s="1" t="s">
        <v>461</v>
      </c>
      <c r="H2631" s="1">
        <v>609371</v>
      </c>
      <c r="I2631" s="1">
        <v>5</v>
      </c>
      <c r="K2631" s="1" t="s">
        <v>6099</v>
      </c>
      <c r="L2631" s="1" t="s">
        <v>6100</v>
      </c>
      <c r="M2631" s="1">
        <v>179</v>
      </c>
      <c r="N2631" s="1" t="s">
        <v>39</v>
      </c>
      <c r="O2631" s="1">
        <v>40.620600000000003</v>
      </c>
      <c r="P2631" s="1">
        <v>-85.305700000000002</v>
      </c>
      <c r="Q2631" s="1" t="s">
        <v>6101</v>
      </c>
      <c r="R2631" s="1" t="s">
        <v>41</v>
      </c>
      <c r="T2631" s="1" t="s">
        <v>93</v>
      </c>
      <c r="U2631" s="1" t="s">
        <v>44</v>
      </c>
      <c r="V2631" s="1" t="s">
        <v>94</v>
      </c>
      <c r="X2631" s="1" t="s">
        <v>95</v>
      </c>
      <c r="AA2631" s="3">
        <v>37043</v>
      </c>
      <c r="AB2631" s="1" t="s">
        <v>46</v>
      </c>
      <c r="AC2631" s="5">
        <v>381.1</v>
      </c>
      <c r="AD2631" s="1" t="s">
        <v>6103</v>
      </c>
      <c r="AE2631" s="1" t="str">
        <f t="shared" si="188"/>
        <v>55229 G2CT2</v>
      </c>
      <c r="AF2631" s="5" t="str">
        <f t="shared" si="186"/>
        <v>59</v>
      </c>
      <c r="AG2631" s="1" t="str">
        <f t="shared" si="187"/>
        <v/>
      </c>
    </row>
    <row r="2632" spans="1:33" x14ac:dyDescent="0.2">
      <c r="A2632" s="1" t="s">
        <v>1071</v>
      </c>
      <c r="B2632" s="1" t="s">
        <v>6098</v>
      </c>
      <c r="C2632" s="1">
        <v>55229</v>
      </c>
      <c r="D2632" s="1" t="s">
        <v>6093</v>
      </c>
      <c r="F2632" s="1">
        <v>2023</v>
      </c>
      <c r="G2632" s="1" t="s">
        <v>461</v>
      </c>
      <c r="H2632" s="1">
        <v>609371</v>
      </c>
      <c r="I2632" s="1">
        <v>5</v>
      </c>
      <c r="K2632" s="1" t="s">
        <v>6099</v>
      </c>
      <c r="L2632" s="1" t="s">
        <v>6100</v>
      </c>
      <c r="M2632" s="1">
        <v>179</v>
      </c>
      <c r="N2632" s="1" t="s">
        <v>39</v>
      </c>
      <c r="O2632" s="1">
        <v>40.620600000000003</v>
      </c>
      <c r="P2632" s="1">
        <v>-85.305700000000002</v>
      </c>
      <c r="Q2632" s="1" t="s">
        <v>6101</v>
      </c>
      <c r="R2632" s="1" t="s">
        <v>41</v>
      </c>
      <c r="T2632" s="1" t="s">
        <v>93</v>
      </c>
      <c r="U2632" s="1" t="s">
        <v>44</v>
      </c>
      <c r="V2632" s="1" t="s">
        <v>94</v>
      </c>
      <c r="X2632" s="1" t="s">
        <v>95</v>
      </c>
      <c r="AA2632" s="3">
        <v>37043</v>
      </c>
      <c r="AB2632" s="1" t="s">
        <v>46</v>
      </c>
      <c r="AC2632" s="5">
        <v>305.5</v>
      </c>
      <c r="AD2632" s="1" t="s">
        <v>6104</v>
      </c>
      <c r="AE2632" s="1" t="str">
        <f t="shared" si="188"/>
        <v>55229 G3CT1</v>
      </c>
      <c r="AF2632" s="5" t="str">
        <f t="shared" si="186"/>
        <v>59</v>
      </c>
      <c r="AG2632" s="1" t="str">
        <f t="shared" si="187"/>
        <v/>
      </c>
    </row>
    <row r="2633" spans="1:33" x14ac:dyDescent="0.2">
      <c r="A2633" s="1" t="s">
        <v>1071</v>
      </c>
      <c r="B2633" s="1" t="s">
        <v>6098</v>
      </c>
      <c r="C2633" s="1">
        <v>55229</v>
      </c>
      <c r="D2633" s="1" t="s">
        <v>6095</v>
      </c>
      <c r="F2633" s="1">
        <v>2023</v>
      </c>
      <c r="G2633" s="1" t="s">
        <v>461</v>
      </c>
      <c r="H2633" s="1">
        <v>609371</v>
      </c>
      <c r="I2633" s="1">
        <v>5</v>
      </c>
      <c r="K2633" s="1" t="s">
        <v>6099</v>
      </c>
      <c r="L2633" s="1" t="s">
        <v>6100</v>
      </c>
      <c r="M2633" s="1">
        <v>179</v>
      </c>
      <c r="N2633" s="1" t="s">
        <v>39</v>
      </c>
      <c r="O2633" s="1">
        <v>40.620600000000003</v>
      </c>
      <c r="P2633" s="1">
        <v>-85.305700000000002</v>
      </c>
      <c r="Q2633" s="1" t="s">
        <v>6101</v>
      </c>
      <c r="R2633" s="1" t="s">
        <v>41</v>
      </c>
      <c r="T2633" s="1" t="s">
        <v>93</v>
      </c>
      <c r="U2633" s="1" t="s">
        <v>44</v>
      </c>
      <c r="V2633" s="1" t="s">
        <v>94</v>
      </c>
      <c r="X2633" s="1" t="s">
        <v>95</v>
      </c>
      <c r="AA2633" s="3">
        <v>37043</v>
      </c>
      <c r="AB2633" s="1" t="s">
        <v>46</v>
      </c>
      <c r="AC2633" s="5">
        <v>306.3</v>
      </c>
      <c r="AD2633" s="1" t="s">
        <v>6104</v>
      </c>
      <c r="AE2633" s="1" t="str">
        <f t="shared" si="188"/>
        <v>55229 G3CT2</v>
      </c>
      <c r="AF2633" s="5" t="str">
        <f t="shared" si="186"/>
        <v>59</v>
      </c>
      <c r="AG2633" s="1" t="str">
        <f t="shared" si="187"/>
        <v/>
      </c>
    </row>
    <row r="2634" spans="1:33" x14ac:dyDescent="0.2">
      <c r="A2634" s="1" t="s">
        <v>1071</v>
      </c>
      <c r="B2634" s="1" t="s">
        <v>6098</v>
      </c>
      <c r="C2634" s="1">
        <v>55229</v>
      </c>
      <c r="D2634" s="1" t="s">
        <v>6096</v>
      </c>
      <c r="F2634" s="1">
        <v>2023</v>
      </c>
      <c r="G2634" s="1" t="s">
        <v>461</v>
      </c>
      <c r="H2634" s="1">
        <v>609371</v>
      </c>
      <c r="I2634" s="1">
        <v>5</v>
      </c>
      <c r="K2634" s="1" t="s">
        <v>6099</v>
      </c>
      <c r="L2634" s="1" t="s">
        <v>6100</v>
      </c>
      <c r="M2634" s="1">
        <v>179</v>
      </c>
      <c r="N2634" s="1" t="s">
        <v>39</v>
      </c>
      <c r="O2634" s="1">
        <v>40.620600000000003</v>
      </c>
      <c r="P2634" s="1">
        <v>-85.305700000000002</v>
      </c>
      <c r="Q2634" s="1" t="s">
        <v>6101</v>
      </c>
      <c r="R2634" s="1" t="s">
        <v>41</v>
      </c>
      <c r="T2634" s="1" t="s">
        <v>93</v>
      </c>
      <c r="U2634" s="1" t="s">
        <v>44</v>
      </c>
      <c r="V2634" s="1" t="s">
        <v>94</v>
      </c>
      <c r="X2634" s="1" t="s">
        <v>95</v>
      </c>
      <c r="AA2634" s="3">
        <v>37043</v>
      </c>
      <c r="AB2634" s="1" t="s">
        <v>46</v>
      </c>
      <c r="AC2634" s="5">
        <v>305.2</v>
      </c>
      <c r="AD2634" s="1" t="s">
        <v>6105</v>
      </c>
      <c r="AE2634" s="1" t="str">
        <f t="shared" si="188"/>
        <v>55229 G4CT1</v>
      </c>
      <c r="AF2634" s="5" t="str">
        <f t="shared" si="186"/>
        <v>59</v>
      </c>
      <c r="AG2634" s="1" t="str">
        <f t="shared" si="187"/>
        <v/>
      </c>
    </row>
    <row r="2635" spans="1:33" x14ac:dyDescent="0.2">
      <c r="A2635" s="1" t="s">
        <v>1071</v>
      </c>
      <c r="B2635" s="1" t="s">
        <v>6098</v>
      </c>
      <c r="C2635" s="1">
        <v>55229</v>
      </c>
      <c r="D2635" s="1" t="s">
        <v>6097</v>
      </c>
      <c r="F2635" s="1">
        <v>2023</v>
      </c>
      <c r="G2635" s="1" t="s">
        <v>461</v>
      </c>
      <c r="H2635" s="1">
        <v>609371</v>
      </c>
      <c r="I2635" s="1">
        <v>5</v>
      </c>
      <c r="K2635" s="1" t="s">
        <v>6099</v>
      </c>
      <c r="L2635" s="1" t="s">
        <v>6100</v>
      </c>
      <c r="M2635" s="1">
        <v>179</v>
      </c>
      <c r="N2635" s="1" t="s">
        <v>39</v>
      </c>
      <c r="O2635" s="1">
        <v>40.620600000000003</v>
      </c>
      <c r="P2635" s="1">
        <v>-85.305700000000002</v>
      </c>
      <c r="Q2635" s="1" t="s">
        <v>6101</v>
      </c>
      <c r="R2635" s="1" t="s">
        <v>41</v>
      </c>
      <c r="T2635" s="1" t="s">
        <v>93</v>
      </c>
      <c r="U2635" s="1" t="s">
        <v>44</v>
      </c>
      <c r="V2635" s="1" t="s">
        <v>94</v>
      </c>
      <c r="X2635" s="1" t="s">
        <v>95</v>
      </c>
      <c r="AA2635" s="3">
        <v>37043</v>
      </c>
      <c r="AB2635" s="1" t="s">
        <v>46</v>
      </c>
      <c r="AC2635" s="5">
        <v>306.89999999999998</v>
      </c>
      <c r="AD2635" s="1" t="s">
        <v>6105</v>
      </c>
      <c r="AE2635" s="1" t="str">
        <f t="shared" si="188"/>
        <v>55229 G4CT2</v>
      </c>
      <c r="AF2635" s="5" t="str">
        <f t="shared" si="186"/>
        <v>59</v>
      </c>
      <c r="AG2635" s="1" t="str">
        <f t="shared" si="187"/>
        <v/>
      </c>
    </row>
    <row r="2636" spans="1:33" x14ac:dyDescent="0.2">
      <c r="A2636" s="1" t="s">
        <v>383</v>
      </c>
      <c r="B2636" s="1" t="s">
        <v>6106</v>
      </c>
      <c r="C2636" s="1">
        <v>55230</v>
      </c>
      <c r="D2636" s="1" t="s">
        <v>1296</v>
      </c>
      <c r="F2636" s="1">
        <v>2023</v>
      </c>
      <c r="G2636" s="1" t="s">
        <v>346</v>
      </c>
      <c r="H2636" s="1" t="s">
        <v>3065</v>
      </c>
      <c r="I2636" s="1">
        <v>6</v>
      </c>
      <c r="K2636" s="1" t="s">
        <v>6107</v>
      </c>
      <c r="L2636" s="1" t="s">
        <v>6108</v>
      </c>
      <c r="M2636" s="1">
        <v>237</v>
      </c>
      <c r="N2636" s="1" t="s">
        <v>39</v>
      </c>
      <c r="O2636" s="1">
        <v>33.100999999999999</v>
      </c>
      <c r="P2636" s="1">
        <v>-97.957400000000007</v>
      </c>
      <c r="Q2636" s="1" t="s">
        <v>3068</v>
      </c>
      <c r="R2636" s="1" t="s">
        <v>41</v>
      </c>
      <c r="T2636" s="1" t="s">
        <v>71</v>
      </c>
      <c r="U2636" s="1" t="s">
        <v>44</v>
      </c>
      <c r="X2636" s="1" t="s">
        <v>442</v>
      </c>
      <c r="AA2636" s="3">
        <v>38626</v>
      </c>
      <c r="AB2636" s="1" t="s">
        <v>46</v>
      </c>
      <c r="AC2636" s="5">
        <v>2981</v>
      </c>
      <c r="AD2636" s="1" t="s">
        <v>6109</v>
      </c>
      <c r="AE2636" s="1" t="str">
        <f t="shared" si="188"/>
        <v>55230 CT-1</v>
      </c>
      <c r="AF2636" s="14">
        <f>MID(AD2636,FIND("(",AD2636)+1,FIND(")",AD2636)-FIND("(",AD2636)-1)+320/2</f>
        <v>358</v>
      </c>
      <c r="AG2636" s="1" t="str">
        <f t="shared" si="187"/>
        <v>Y</v>
      </c>
    </row>
    <row r="2637" spans="1:33" x14ac:dyDescent="0.2">
      <c r="A2637" s="1" t="s">
        <v>383</v>
      </c>
      <c r="B2637" s="1" t="s">
        <v>6106</v>
      </c>
      <c r="C2637" s="1">
        <v>55230</v>
      </c>
      <c r="D2637" s="1" t="s">
        <v>1300</v>
      </c>
      <c r="F2637" s="1">
        <v>2023</v>
      </c>
      <c r="G2637" s="1" t="s">
        <v>346</v>
      </c>
      <c r="H2637" s="1" t="s">
        <v>3065</v>
      </c>
      <c r="I2637" s="1">
        <v>6</v>
      </c>
      <c r="K2637" s="1" t="s">
        <v>6107</v>
      </c>
      <c r="L2637" s="1" t="s">
        <v>6108</v>
      </c>
      <c r="M2637" s="1">
        <v>237</v>
      </c>
      <c r="N2637" s="1" t="s">
        <v>39</v>
      </c>
      <c r="O2637" s="1">
        <v>33.100999999999999</v>
      </c>
      <c r="P2637" s="1">
        <v>-97.957400000000007</v>
      </c>
      <c r="Q2637" s="1" t="s">
        <v>3068</v>
      </c>
      <c r="R2637" s="1" t="s">
        <v>41</v>
      </c>
      <c r="T2637" s="1" t="s">
        <v>71</v>
      </c>
      <c r="U2637" s="1" t="s">
        <v>44</v>
      </c>
      <c r="X2637" s="1" t="s">
        <v>442</v>
      </c>
      <c r="AA2637" s="3">
        <v>38626</v>
      </c>
      <c r="AB2637" s="1" t="s">
        <v>46</v>
      </c>
      <c r="AC2637" s="5">
        <v>2981</v>
      </c>
      <c r="AD2637" s="1" t="s">
        <v>6110</v>
      </c>
      <c r="AE2637" s="1" t="str">
        <f t="shared" si="188"/>
        <v>55230 CT-2</v>
      </c>
      <c r="AF2637" s="14">
        <f>AF2636</f>
        <v>358</v>
      </c>
      <c r="AG2637" s="1" t="str">
        <f t="shared" si="187"/>
        <v>Y</v>
      </c>
    </row>
    <row r="2638" spans="1:33" x14ac:dyDescent="0.2">
      <c r="A2638" s="1" t="s">
        <v>383</v>
      </c>
      <c r="B2638" s="1" t="s">
        <v>6106</v>
      </c>
      <c r="C2638" s="1">
        <v>55230</v>
      </c>
      <c r="D2638" s="1" t="s">
        <v>1302</v>
      </c>
      <c r="F2638" s="1">
        <v>2023</v>
      </c>
      <c r="G2638" s="1" t="s">
        <v>346</v>
      </c>
      <c r="H2638" s="1" t="s">
        <v>3065</v>
      </c>
      <c r="I2638" s="1">
        <v>6</v>
      </c>
      <c r="K2638" s="1" t="s">
        <v>6107</v>
      </c>
      <c r="L2638" s="1" t="s">
        <v>6108</v>
      </c>
      <c r="M2638" s="1">
        <v>237</v>
      </c>
      <c r="N2638" s="1" t="s">
        <v>39</v>
      </c>
      <c r="O2638" s="1">
        <v>33.100999999999999</v>
      </c>
      <c r="P2638" s="1">
        <v>-97.957400000000007</v>
      </c>
      <c r="Q2638" s="1" t="s">
        <v>3068</v>
      </c>
      <c r="R2638" s="1" t="s">
        <v>41</v>
      </c>
      <c r="T2638" s="1" t="s">
        <v>71</v>
      </c>
      <c r="U2638" s="1" t="s">
        <v>44</v>
      </c>
      <c r="X2638" s="1" t="s">
        <v>442</v>
      </c>
      <c r="AA2638" s="3">
        <v>40618</v>
      </c>
      <c r="AB2638" s="1" t="s">
        <v>46</v>
      </c>
      <c r="AC2638" s="5">
        <v>2600</v>
      </c>
      <c r="AD2638" s="1" t="s">
        <v>6111</v>
      </c>
      <c r="AE2638" s="1" t="str">
        <f t="shared" si="188"/>
        <v>55230 CT-3</v>
      </c>
      <c r="AF2638" s="14">
        <f>MID(AD2638,FIND("(",AD2638)+1,FIND(")",AD2638)-FIND("(",AD2638)-1)+320/2</f>
        <v>358</v>
      </c>
      <c r="AG2638" s="1" t="str">
        <f t="shared" si="187"/>
        <v>Y</v>
      </c>
    </row>
    <row r="2639" spans="1:33" x14ac:dyDescent="0.2">
      <c r="A2639" s="1" t="s">
        <v>383</v>
      </c>
      <c r="B2639" s="1" t="s">
        <v>6106</v>
      </c>
      <c r="C2639" s="1">
        <v>55230</v>
      </c>
      <c r="D2639" s="1" t="s">
        <v>1304</v>
      </c>
      <c r="F2639" s="1">
        <v>2023</v>
      </c>
      <c r="G2639" s="1" t="s">
        <v>346</v>
      </c>
      <c r="H2639" s="1" t="s">
        <v>3065</v>
      </c>
      <c r="I2639" s="1">
        <v>6</v>
      </c>
      <c r="K2639" s="1" t="s">
        <v>6107</v>
      </c>
      <c r="L2639" s="1" t="s">
        <v>6108</v>
      </c>
      <c r="M2639" s="1">
        <v>237</v>
      </c>
      <c r="N2639" s="1" t="s">
        <v>39</v>
      </c>
      <c r="O2639" s="1">
        <v>33.100999999999999</v>
      </c>
      <c r="P2639" s="1">
        <v>-97.957400000000007</v>
      </c>
      <c r="Q2639" s="1" t="s">
        <v>3068</v>
      </c>
      <c r="R2639" s="1" t="s">
        <v>41</v>
      </c>
      <c r="T2639" s="1" t="s">
        <v>71</v>
      </c>
      <c r="U2639" s="1" t="s">
        <v>44</v>
      </c>
      <c r="X2639" s="1" t="s">
        <v>442</v>
      </c>
      <c r="AA2639" s="3">
        <v>40617</v>
      </c>
      <c r="AB2639" s="1" t="s">
        <v>46</v>
      </c>
      <c r="AC2639" s="5">
        <v>2500</v>
      </c>
      <c r="AD2639" s="1" t="s">
        <v>6112</v>
      </c>
      <c r="AE2639" s="1" t="str">
        <f t="shared" si="188"/>
        <v>55230 CT-4</v>
      </c>
      <c r="AF2639" s="14">
        <f>AF2638</f>
        <v>358</v>
      </c>
      <c r="AG2639" s="1" t="str">
        <f t="shared" si="187"/>
        <v>Y</v>
      </c>
    </row>
    <row r="2640" spans="1:33" x14ac:dyDescent="0.2">
      <c r="A2640" s="1" t="s">
        <v>2584</v>
      </c>
      <c r="B2640" s="1" t="s">
        <v>6113</v>
      </c>
      <c r="C2640" s="1">
        <v>55231</v>
      </c>
      <c r="D2640" s="1">
        <v>1</v>
      </c>
      <c r="F2640" s="1">
        <v>2023</v>
      </c>
      <c r="G2640" s="1" t="s">
        <v>1515</v>
      </c>
      <c r="H2640" s="1">
        <v>603383</v>
      </c>
      <c r="I2640" s="1">
        <v>3</v>
      </c>
      <c r="J2640" s="1" t="s">
        <v>668</v>
      </c>
      <c r="K2640" s="1" t="s">
        <v>2665</v>
      </c>
      <c r="L2640" s="1" t="s">
        <v>2666</v>
      </c>
      <c r="M2640" s="1">
        <v>45</v>
      </c>
      <c r="N2640" s="1" t="s">
        <v>39</v>
      </c>
      <c r="O2640" s="1">
        <v>39.862200000000001</v>
      </c>
      <c r="P2640" s="1">
        <v>-75.336100000000002</v>
      </c>
      <c r="Q2640" s="1" t="s">
        <v>6114</v>
      </c>
      <c r="R2640" s="1" t="s">
        <v>41</v>
      </c>
      <c r="T2640" s="1" t="s">
        <v>71</v>
      </c>
      <c r="U2640" s="1" t="s">
        <v>44</v>
      </c>
      <c r="X2640" s="1" t="s">
        <v>64</v>
      </c>
      <c r="AA2640" s="3">
        <v>37342</v>
      </c>
      <c r="AB2640" s="1" t="s">
        <v>46</v>
      </c>
      <c r="AC2640" s="5">
        <v>2245</v>
      </c>
      <c r="AD2640" s="1" t="s">
        <v>6115</v>
      </c>
      <c r="AE2640" s="1" t="str">
        <f t="shared" si="188"/>
        <v>55231 1</v>
      </c>
      <c r="AF2640" s="14">
        <f>MID(AD2640,FIND("(",AD2640)+1,FIND(")",AD2640)-FIND("(",AD2640)-1)+242/2</f>
        <v>307</v>
      </c>
      <c r="AG2640" s="1" t="str">
        <f t="shared" si="187"/>
        <v>Y</v>
      </c>
    </row>
    <row r="2641" spans="1:33" x14ac:dyDescent="0.2">
      <c r="A2641" s="1" t="s">
        <v>2584</v>
      </c>
      <c r="B2641" s="1" t="s">
        <v>6113</v>
      </c>
      <c r="C2641" s="1">
        <v>55231</v>
      </c>
      <c r="D2641" s="1">
        <v>2</v>
      </c>
      <c r="F2641" s="1">
        <v>2023</v>
      </c>
      <c r="G2641" s="1" t="s">
        <v>1515</v>
      </c>
      <c r="H2641" s="1">
        <v>603383</v>
      </c>
      <c r="I2641" s="1">
        <v>3</v>
      </c>
      <c r="J2641" s="1" t="s">
        <v>668</v>
      </c>
      <c r="K2641" s="1" t="s">
        <v>2665</v>
      </c>
      <c r="L2641" s="1" t="s">
        <v>2666</v>
      </c>
      <c r="M2641" s="1">
        <v>45</v>
      </c>
      <c r="N2641" s="1" t="s">
        <v>39</v>
      </c>
      <c r="O2641" s="1">
        <v>39.862200000000001</v>
      </c>
      <c r="P2641" s="1">
        <v>-75.336100000000002</v>
      </c>
      <c r="Q2641" s="1" t="s">
        <v>6114</v>
      </c>
      <c r="R2641" s="1" t="s">
        <v>41</v>
      </c>
      <c r="T2641" s="1" t="s">
        <v>71</v>
      </c>
      <c r="U2641" s="1" t="s">
        <v>44</v>
      </c>
      <c r="X2641" s="1" t="s">
        <v>64</v>
      </c>
      <c r="AA2641" s="3">
        <v>37363</v>
      </c>
      <c r="AB2641" s="1" t="s">
        <v>46</v>
      </c>
      <c r="AC2641" s="5">
        <v>2245</v>
      </c>
      <c r="AD2641" s="1" t="s">
        <v>6116</v>
      </c>
      <c r="AE2641" s="1" t="str">
        <f t="shared" si="188"/>
        <v>55231 2</v>
      </c>
      <c r="AF2641" s="14">
        <f>AF2640</f>
        <v>307</v>
      </c>
      <c r="AG2641" s="1" t="str">
        <f t="shared" si="187"/>
        <v>Y</v>
      </c>
    </row>
    <row r="2642" spans="1:33" x14ac:dyDescent="0.2">
      <c r="A2642" s="1" t="s">
        <v>165</v>
      </c>
      <c r="B2642" s="1" t="s">
        <v>1196</v>
      </c>
      <c r="C2642" s="1">
        <v>55232</v>
      </c>
      <c r="D2642" s="1" t="s">
        <v>311</v>
      </c>
      <c r="F2642" s="1">
        <v>2023</v>
      </c>
      <c r="G2642" s="1" t="s">
        <v>168</v>
      </c>
      <c r="H2642" s="1">
        <v>609315</v>
      </c>
      <c r="I2642" s="1">
        <v>4</v>
      </c>
      <c r="K2642" s="1" t="s">
        <v>1196</v>
      </c>
      <c r="L2642" s="1" t="s">
        <v>6117</v>
      </c>
      <c r="M2642" s="1">
        <v>157</v>
      </c>
      <c r="N2642" s="1" t="s">
        <v>39</v>
      </c>
      <c r="O2642" s="1">
        <v>37.028599999999997</v>
      </c>
      <c r="P2642" s="1">
        <v>-88.395799999999994</v>
      </c>
      <c r="Q2642" s="1" t="s">
        <v>136</v>
      </c>
      <c r="R2642" s="1" t="s">
        <v>41</v>
      </c>
      <c r="T2642" s="1" t="s">
        <v>93</v>
      </c>
      <c r="U2642" s="1" t="s">
        <v>44</v>
      </c>
      <c r="V2642" s="1" t="s">
        <v>94</v>
      </c>
      <c r="X2642" s="1" t="s">
        <v>3508</v>
      </c>
      <c r="AA2642" s="3">
        <v>37396</v>
      </c>
      <c r="AB2642" s="1" t="s">
        <v>46</v>
      </c>
      <c r="AC2642" s="5">
        <v>1192</v>
      </c>
      <c r="AD2642" s="1" t="s">
        <v>3939</v>
      </c>
      <c r="AE2642" s="1" t="str">
        <f t="shared" si="188"/>
        <v>55232 CT1</v>
      </c>
      <c r="AF2642" s="5" t="str">
        <f t="shared" ref="AF2642:AF2685" si="189">MID(AD2642,FIND("(",AD2642)+1,FIND(")",AD2642)-FIND("(",AD2642)-1)</f>
        <v>86</v>
      </c>
      <c r="AG2642" s="1" t="str">
        <f t="shared" si="187"/>
        <v/>
      </c>
    </row>
    <row r="2643" spans="1:33" x14ac:dyDescent="0.2">
      <c r="A2643" s="1" t="s">
        <v>165</v>
      </c>
      <c r="B2643" s="1" t="s">
        <v>1196</v>
      </c>
      <c r="C2643" s="1">
        <v>55232</v>
      </c>
      <c r="D2643" s="1" t="s">
        <v>98</v>
      </c>
      <c r="F2643" s="1">
        <v>2023</v>
      </c>
      <c r="G2643" s="1" t="s">
        <v>168</v>
      </c>
      <c r="H2643" s="1">
        <v>609315</v>
      </c>
      <c r="I2643" s="1">
        <v>4</v>
      </c>
      <c r="K2643" s="1" t="s">
        <v>1196</v>
      </c>
      <c r="L2643" s="1" t="s">
        <v>6117</v>
      </c>
      <c r="M2643" s="1">
        <v>157</v>
      </c>
      <c r="N2643" s="1" t="s">
        <v>39</v>
      </c>
      <c r="O2643" s="1">
        <v>37.028599999999997</v>
      </c>
      <c r="P2643" s="1">
        <v>-88.395799999999994</v>
      </c>
      <c r="Q2643" s="1" t="s">
        <v>136</v>
      </c>
      <c r="R2643" s="1" t="s">
        <v>41</v>
      </c>
      <c r="T2643" s="1" t="s">
        <v>93</v>
      </c>
      <c r="U2643" s="1" t="s">
        <v>44</v>
      </c>
      <c r="V2643" s="1" t="s">
        <v>94</v>
      </c>
      <c r="X2643" s="1" t="s">
        <v>3508</v>
      </c>
      <c r="AA2643" s="3">
        <v>37393</v>
      </c>
      <c r="AB2643" s="1" t="s">
        <v>46</v>
      </c>
      <c r="AC2643" s="5">
        <v>1192</v>
      </c>
      <c r="AD2643" s="1" t="s">
        <v>3941</v>
      </c>
      <c r="AE2643" s="1" t="str">
        <f t="shared" si="188"/>
        <v>55232 CT2</v>
      </c>
      <c r="AF2643" s="5" t="str">
        <f t="shared" si="189"/>
        <v>86</v>
      </c>
      <c r="AG2643" s="1" t="str">
        <f t="shared" si="187"/>
        <v/>
      </c>
    </row>
    <row r="2644" spans="1:33" x14ac:dyDescent="0.2">
      <c r="A2644" s="1" t="s">
        <v>165</v>
      </c>
      <c r="B2644" s="1" t="s">
        <v>1196</v>
      </c>
      <c r="C2644" s="1">
        <v>55232</v>
      </c>
      <c r="D2644" s="1" t="s">
        <v>101</v>
      </c>
      <c r="F2644" s="1">
        <v>2023</v>
      </c>
      <c r="G2644" s="1" t="s">
        <v>168</v>
      </c>
      <c r="H2644" s="1">
        <v>609315</v>
      </c>
      <c r="I2644" s="1">
        <v>4</v>
      </c>
      <c r="K2644" s="1" t="s">
        <v>1196</v>
      </c>
      <c r="L2644" s="1" t="s">
        <v>6117</v>
      </c>
      <c r="M2644" s="1">
        <v>157</v>
      </c>
      <c r="N2644" s="1" t="s">
        <v>39</v>
      </c>
      <c r="O2644" s="1">
        <v>37.028599999999997</v>
      </c>
      <c r="P2644" s="1">
        <v>-88.395799999999994</v>
      </c>
      <c r="Q2644" s="1" t="s">
        <v>136</v>
      </c>
      <c r="R2644" s="1" t="s">
        <v>41</v>
      </c>
      <c r="T2644" s="1" t="s">
        <v>93</v>
      </c>
      <c r="U2644" s="1" t="s">
        <v>44</v>
      </c>
      <c r="V2644" s="1" t="s">
        <v>94</v>
      </c>
      <c r="X2644" s="1" t="s">
        <v>3508</v>
      </c>
      <c r="AA2644" s="3">
        <v>37401</v>
      </c>
      <c r="AB2644" s="1" t="s">
        <v>46</v>
      </c>
      <c r="AC2644" s="5">
        <v>1192</v>
      </c>
      <c r="AD2644" s="1" t="s">
        <v>3943</v>
      </c>
      <c r="AE2644" s="1" t="str">
        <f t="shared" si="188"/>
        <v>55232 CT3</v>
      </c>
      <c r="AF2644" s="5" t="str">
        <f t="shared" si="189"/>
        <v>86</v>
      </c>
      <c r="AG2644" s="1" t="str">
        <f t="shared" si="187"/>
        <v/>
      </c>
    </row>
    <row r="2645" spans="1:33" x14ac:dyDescent="0.2">
      <c r="A2645" s="1" t="s">
        <v>165</v>
      </c>
      <c r="B2645" s="1" t="s">
        <v>1196</v>
      </c>
      <c r="C2645" s="1">
        <v>55232</v>
      </c>
      <c r="D2645" s="1" t="s">
        <v>103</v>
      </c>
      <c r="F2645" s="1">
        <v>2023</v>
      </c>
      <c r="G2645" s="1" t="s">
        <v>168</v>
      </c>
      <c r="H2645" s="1">
        <v>609315</v>
      </c>
      <c r="I2645" s="1">
        <v>4</v>
      </c>
      <c r="K2645" s="1" t="s">
        <v>1196</v>
      </c>
      <c r="L2645" s="1" t="s">
        <v>6117</v>
      </c>
      <c r="M2645" s="1">
        <v>157</v>
      </c>
      <c r="N2645" s="1" t="s">
        <v>39</v>
      </c>
      <c r="O2645" s="1">
        <v>37.028599999999997</v>
      </c>
      <c r="P2645" s="1">
        <v>-88.395799999999994</v>
      </c>
      <c r="Q2645" s="1" t="s">
        <v>136</v>
      </c>
      <c r="R2645" s="1" t="s">
        <v>41</v>
      </c>
      <c r="T2645" s="1" t="s">
        <v>93</v>
      </c>
      <c r="U2645" s="1" t="s">
        <v>44</v>
      </c>
      <c r="V2645" s="1" t="s">
        <v>94</v>
      </c>
      <c r="X2645" s="1" t="s">
        <v>3508</v>
      </c>
      <c r="AA2645" s="3">
        <v>37401</v>
      </c>
      <c r="AB2645" s="1" t="s">
        <v>46</v>
      </c>
      <c r="AC2645" s="5">
        <v>1192</v>
      </c>
      <c r="AD2645" s="1" t="s">
        <v>3945</v>
      </c>
      <c r="AE2645" s="1" t="str">
        <f t="shared" si="188"/>
        <v>55232 CT4</v>
      </c>
      <c r="AF2645" s="5" t="str">
        <f t="shared" si="189"/>
        <v>86</v>
      </c>
      <c r="AG2645" s="1" t="str">
        <f t="shared" si="187"/>
        <v/>
      </c>
    </row>
    <row r="2646" spans="1:33" x14ac:dyDescent="0.2">
      <c r="A2646" s="1" t="s">
        <v>165</v>
      </c>
      <c r="B2646" s="1" t="s">
        <v>1196</v>
      </c>
      <c r="C2646" s="1">
        <v>55232</v>
      </c>
      <c r="D2646" s="1" t="s">
        <v>105</v>
      </c>
      <c r="F2646" s="1">
        <v>2023</v>
      </c>
      <c r="G2646" s="1" t="s">
        <v>168</v>
      </c>
      <c r="H2646" s="1">
        <v>609315</v>
      </c>
      <c r="I2646" s="1">
        <v>4</v>
      </c>
      <c r="K2646" s="1" t="s">
        <v>1196</v>
      </c>
      <c r="L2646" s="1" t="s">
        <v>6117</v>
      </c>
      <c r="M2646" s="1">
        <v>157</v>
      </c>
      <c r="N2646" s="1" t="s">
        <v>39</v>
      </c>
      <c r="O2646" s="1">
        <v>37.028599999999997</v>
      </c>
      <c r="P2646" s="1">
        <v>-88.395799999999994</v>
      </c>
      <c r="Q2646" s="1" t="s">
        <v>136</v>
      </c>
      <c r="R2646" s="1" t="s">
        <v>41</v>
      </c>
      <c r="T2646" s="1" t="s">
        <v>93</v>
      </c>
      <c r="U2646" s="1" t="s">
        <v>44</v>
      </c>
      <c r="V2646" s="1" t="s">
        <v>94</v>
      </c>
      <c r="X2646" s="1" t="s">
        <v>3508</v>
      </c>
      <c r="AA2646" s="3">
        <v>37418</v>
      </c>
      <c r="AB2646" s="1" t="s">
        <v>46</v>
      </c>
      <c r="AC2646" s="5">
        <v>1192</v>
      </c>
      <c r="AD2646" s="1" t="s">
        <v>6118</v>
      </c>
      <c r="AE2646" s="1" t="str">
        <f t="shared" si="188"/>
        <v>55232 CT5</v>
      </c>
      <c r="AF2646" s="5" t="str">
        <f t="shared" si="189"/>
        <v>86</v>
      </c>
      <c r="AG2646" s="1" t="str">
        <f t="shared" si="187"/>
        <v/>
      </c>
    </row>
    <row r="2647" spans="1:33" x14ac:dyDescent="0.2">
      <c r="A2647" s="1" t="s">
        <v>165</v>
      </c>
      <c r="B2647" s="1" t="s">
        <v>1196</v>
      </c>
      <c r="C2647" s="1">
        <v>55232</v>
      </c>
      <c r="D2647" s="1" t="s">
        <v>107</v>
      </c>
      <c r="F2647" s="1">
        <v>2023</v>
      </c>
      <c r="G2647" s="1" t="s">
        <v>168</v>
      </c>
      <c r="H2647" s="1">
        <v>609315</v>
      </c>
      <c r="I2647" s="1">
        <v>4</v>
      </c>
      <c r="K2647" s="1" t="s">
        <v>1196</v>
      </c>
      <c r="L2647" s="1" t="s">
        <v>6117</v>
      </c>
      <c r="M2647" s="1">
        <v>157</v>
      </c>
      <c r="N2647" s="1" t="s">
        <v>39</v>
      </c>
      <c r="O2647" s="1">
        <v>37.028599999999997</v>
      </c>
      <c r="P2647" s="1">
        <v>-88.395799999999994</v>
      </c>
      <c r="Q2647" s="1" t="s">
        <v>136</v>
      </c>
      <c r="R2647" s="1" t="s">
        <v>41</v>
      </c>
      <c r="T2647" s="1" t="s">
        <v>93</v>
      </c>
      <c r="U2647" s="1" t="s">
        <v>44</v>
      </c>
      <c r="V2647" s="1" t="s">
        <v>94</v>
      </c>
      <c r="X2647" s="1" t="s">
        <v>3508</v>
      </c>
      <c r="AA2647" s="3">
        <v>37418</v>
      </c>
      <c r="AB2647" s="1" t="s">
        <v>46</v>
      </c>
      <c r="AC2647" s="5">
        <v>1192</v>
      </c>
      <c r="AD2647" s="1" t="s">
        <v>6119</v>
      </c>
      <c r="AE2647" s="1" t="str">
        <f t="shared" si="188"/>
        <v>55232 CT6</v>
      </c>
      <c r="AF2647" s="5" t="str">
        <f t="shared" si="189"/>
        <v>86</v>
      </c>
      <c r="AG2647" s="1" t="str">
        <f t="shared" si="187"/>
        <v/>
      </c>
    </row>
    <row r="2648" spans="1:33" x14ac:dyDescent="0.2">
      <c r="A2648" s="1" t="s">
        <v>165</v>
      </c>
      <c r="B2648" s="1" t="s">
        <v>1196</v>
      </c>
      <c r="C2648" s="1">
        <v>55232</v>
      </c>
      <c r="D2648" s="1" t="s">
        <v>109</v>
      </c>
      <c r="F2648" s="1">
        <v>2023</v>
      </c>
      <c r="G2648" s="1" t="s">
        <v>168</v>
      </c>
      <c r="H2648" s="1">
        <v>609315</v>
      </c>
      <c r="I2648" s="1">
        <v>4</v>
      </c>
      <c r="K2648" s="1" t="s">
        <v>1196</v>
      </c>
      <c r="L2648" s="1" t="s">
        <v>6117</v>
      </c>
      <c r="M2648" s="1">
        <v>157</v>
      </c>
      <c r="N2648" s="1" t="s">
        <v>39</v>
      </c>
      <c r="O2648" s="1">
        <v>37.028599999999997</v>
      </c>
      <c r="P2648" s="1">
        <v>-88.395799999999994</v>
      </c>
      <c r="Q2648" s="1" t="s">
        <v>136</v>
      </c>
      <c r="R2648" s="1" t="s">
        <v>41</v>
      </c>
      <c r="T2648" s="1" t="s">
        <v>93</v>
      </c>
      <c r="U2648" s="1" t="s">
        <v>44</v>
      </c>
      <c r="V2648" s="1" t="s">
        <v>94</v>
      </c>
      <c r="X2648" s="1" t="s">
        <v>3508</v>
      </c>
      <c r="AA2648" s="3">
        <v>37470</v>
      </c>
      <c r="AB2648" s="1" t="s">
        <v>46</v>
      </c>
      <c r="AC2648" s="5">
        <v>1192</v>
      </c>
      <c r="AD2648" s="1" t="s">
        <v>6120</v>
      </c>
      <c r="AE2648" s="1" t="str">
        <f t="shared" si="188"/>
        <v>55232 CT7</v>
      </c>
      <c r="AF2648" s="5" t="str">
        <f t="shared" si="189"/>
        <v>86</v>
      </c>
      <c r="AG2648" s="1" t="str">
        <f t="shared" si="187"/>
        <v/>
      </c>
    </row>
    <row r="2649" spans="1:33" x14ac:dyDescent="0.2">
      <c r="A2649" s="1" t="s">
        <v>165</v>
      </c>
      <c r="B2649" s="1" t="s">
        <v>1196</v>
      </c>
      <c r="C2649" s="1">
        <v>55232</v>
      </c>
      <c r="D2649" s="1" t="s">
        <v>111</v>
      </c>
      <c r="F2649" s="1">
        <v>2023</v>
      </c>
      <c r="G2649" s="1" t="s">
        <v>168</v>
      </c>
      <c r="H2649" s="1">
        <v>609315</v>
      </c>
      <c r="I2649" s="1">
        <v>4</v>
      </c>
      <c r="K2649" s="1" t="s">
        <v>1196</v>
      </c>
      <c r="L2649" s="1" t="s">
        <v>6117</v>
      </c>
      <c r="M2649" s="1">
        <v>157</v>
      </c>
      <c r="N2649" s="1" t="s">
        <v>39</v>
      </c>
      <c r="O2649" s="1">
        <v>37.028599999999997</v>
      </c>
      <c r="P2649" s="1">
        <v>-88.395799999999994</v>
      </c>
      <c r="Q2649" s="1" t="s">
        <v>136</v>
      </c>
      <c r="R2649" s="1" t="s">
        <v>41</v>
      </c>
      <c r="T2649" s="1" t="s">
        <v>93</v>
      </c>
      <c r="U2649" s="1" t="s">
        <v>44</v>
      </c>
      <c r="V2649" s="1" t="s">
        <v>94</v>
      </c>
      <c r="X2649" s="1" t="s">
        <v>3508</v>
      </c>
      <c r="AA2649" s="3">
        <v>37475</v>
      </c>
      <c r="AB2649" s="1" t="s">
        <v>46</v>
      </c>
      <c r="AC2649" s="5">
        <v>1192</v>
      </c>
      <c r="AD2649" s="1" t="s">
        <v>6121</v>
      </c>
      <c r="AE2649" s="1" t="str">
        <f t="shared" si="188"/>
        <v>55232 CT8</v>
      </c>
      <c r="AF2649" s="5" t="str">
        <f t="shared" si="189"/>
        <v>86</v>
      </c>
      <c r="AG2649" s="1" t="str">
        <f t="shared" si="187"/>
        <v/>
      </c>
    </row>
    <row r="2650" spans="1:33" x14ac:dyDescent="0.2">
      <c r="A2650" s="1" t="s">
        <v>2584</v>
      </c>
      <c r="B2650" s="1" t="s">
        <v>6122</v>
      </c>
      <c r="C2650" s="1">
        <v>55233</v>
      </c>
      <c r="D2650" s="1" t="s">
        <v>6123</v>
      </c>
      <c r="E2650" s="1" t="s">
        <v>1881</v>
      </c>
      <c r="F2650" s="1">
        <v>2023</v>
      </c>
      <c r="G2650" s="1" t="s">
        <v>1515</v>
      </c>
      <c r="H2650" s="1">
        <v>609041</v>
      </c>
      <c r="I2650" s="1">
        <v>3</v>
      </c>
      <c r="K2650" s="1" t="s">
        <v>5200</v>
      </c>
      <c r="L2650" s="1" t="s">
        <v>5201</v>
      </c>
      <c r="M2650" s="1">
        <v>121</v>
      </c>
      <c r="N2650" s="1" t="s">
        <v>39</v>
      </c>
      <c r="O2650" s="1">
        <v>41.290799999999997</v>
      </c>
      <c r="P2650" s="1">
        <v>-79.806100000000001</v>
      </c>
      <c r="Q2650" s="1" t="s">
        <v>6124</v>
      </c>
      <c r="R2650" s="1" t="s">
        <v>41</v>
      </c>
      <c r="T2650" s="1" t="s">
        <v>93</v>
      </c>
      <c r="U2650" s="1" t="s">
        <v>44</v>
      </c>
      <c r="X2650" s="1" t="s">
        <v>95</v>
      </c>
      <c r="AA2650" s="3">
        <v>37097</v>
      </c>
      <c r="AB2650" s="1" t="s">
        <v>46</v>
      </c>
      <c r="AC2650" s="5">
        <v>260</v>
      </c>
      <c r="AD2650" s="1" t="s">
        <v>6125</v>
      </c>
      <c r="AE2650" s="1" t="str">
        <f t="shared" si="188"/>
        <v>55233 EU-1A</v>
      </c>
      <c r="AF2650" s="5" t="str">
        <f t="shared" si="189"/>
        <v>58.9</v>
      </c>
      <c r="AG2650" s="1" t="str">
        <f t="shared" si="187"/>
        <v/>
      </c>
    </row>
    <row r="2651" spans="1:33" x14ac:dyDescent="0.2">
      <c r="A2651" s="1" t="s">
        <v>2584</v>
      </c>
      <c r="B2651" s="1" t="s">
        <v>6122</v>
      </c>
      <c r="C2651" s="1">
        <v>55233</v>
      </c>
      <c r="D2651" s="1" t="s">
        <v>6126</v>
      </c>
      <c r="E2651" s="1" t="s">
        <v>1881</v>
      </c>
      <c r="F2651" s="1">
        <v>2023</v>
      </c>
      <c r="G2651" s="1" t="s">
        <v>1515</v>
      </c>
      <c r="H2651" s="1">
        <v>609041</v>
      </c>
      <c r="I2651" s="1">
        <v>3</v>
      </c>
      <c r="K2651" s="1" t="s">
        <v>5200</v>
      </c>
      <c r="L2651" s="1" t="s">
        <v>5201</v>
      </c>
      <c r="M2651" s="1">
        <v>121</v>
      </c>
      <c r="N2651" s="1" t="s">
        <v>39</v>
      </c>
      <c r="O2651" s="1">
        <v>41.290799999999997</v>
      </c>
      <c r="P2651" s="1">
        <v>-79.806100000000001</v>
      </c>
      <c r="Q2651" s="1" t="s">
        <v>6124</v>
      </c>
      <c r="R2651" s="1" t="s">
        <v>41</v>
      </c>
      <c r="T2651" s="1" t="s">
        <v>93</v>
      </c>
      <c r="U2651" s="1" t="s">
        <v>44</v>
      </c>
      <c r="X2651" s="1" t="s">
        <v>95</v>
      </c>
      <c r="AA2651" s="3">
        <v>37097</v>
      </c>
      <c r="AB2651" s="1" t="s">
        <v>46</v>
      </c>
      <c r="AC2651" s="5">
        <v>260</v>
      </c>
      <c r="AD2651" s="1" t="s">
        <v>6125</v>
      </c>
      <c r="AE2651" s="1" t="str">
        <f t="shared" si="188"/>
        <v>55233 EU-1B</v>
      </c>
      <c r="AF2651" s="5" t="str">
        <f t="shared" si="189"/>
        <v>58.9</v>
      </c>
      <c r="AG2651" s="1" t="str">
        <f t="shared" si="187"/>
        <v/>
      </c>
    </row>
    <row r="2652" spans="1:33" x14ac:dyDescent="0.2">
      <c r="A2652" s="1" t="s">
        <v>2584</v>
      </c>
      <c r="B2652" s="1" t="s">
        <v>6122</v>
      </c>
      <c r="C2652" s="1">
        <v>55233</v>
      </c>
      <c r="D2652" s="1" t="s">
        <v>6127</v>
      </c>
      <c r="E2652" s="1" t="s">
        <v>1881</v>
      </c>
      <c r="F2652" s="1">
        <v>2023</v>
      </c>
      <c r="G2652" s="1" t="s">
        <v>1515</v>
      </c>
      <c r="H2652" s="1">
        <v>609041</v>
      </c>
      <c r="I2652" s="1">
        <v>3</v>
      </c>
      <c r="K2652" s="1" t="s">
        <v>5200</v>
      </c>
      <c r="L2652" s="1" t="s">
        <v>5201</v>
      </c>
      <c r="M2652" s="1">
        <v>121</v>
      </c>
      <c r="N2652" s="1" t="s">
        <v>39</v>
      </c>
      <c r="O2652" s="1">
        <v>41.290799999999997</v>
      </c>
      <c r="P2652" s="1">
        <v>-79.806100000000001</v>
      </c>
      <c r="Q2652" s="1" t="s">
        <v>6124</v>
      </c>
      <c r="R2652" s="1" t="s">
        <v>41</v>
      </c>
      <c r="T2652" s="1" t="s">
        <v>93</v>
      </c>
      <c r="U2652" s="1" t="s">
        <v>44</v>
      </c>
      <c r="X2652" s="1" t="s">
        <v>95</v>
      </c>
      <c r="AA2652" s="3">
        <v>37090</v>
      </c>
      <c r="AB2652" s="1" t="s">
        <v>46</v>
      </c>
      <c r="AC2652" s="5">
        <v>260</v>
      </c>
      <c r="AD2652" s="1" t="s">
        <v>6128</v>
      </c>
      <c r="AE2652" s="1" t="str">
        <f t="shared" si="188"/>
        <v>55233 EU-2A</v>
      </c>
      <c r="AF2652" s="5" t="str">
        <f t="shared" si="189"/>
        <v>58.9</v>
      </c>
      <c r="AG2652" s="1" t="str">
        <f t="shared" si="187"/>
        <v/>
      </c>
    </row>
    <row r="2653" spans="1:33" x14ac:dyDescent="0.2">
      <c r="A2653" s="1" t="s">
        <v>2584</v>
      </c>
      <c r="B2653" s="1" t="s">
        <v>6122</v>
      </c>
      <c r="C2653" s="1">
        <v>55233</v>
      </c>
      <c r="D2653" s="1" t="s">
        <v>6129</v>
      </c>
      <c r="E2653" s="1" t="s">
        <v>1881</v>
      </c>
      <c r="F2653" s="1">
        <v>2023</v>
      </c>
      <c r="G2653" s="1" t="s">
        <v>1515</v>
      </c>
      <c r="H2653" s="1">
        <v>609041</v>
      </c>
      <c r="I2653" s="1">
        <v>3</v>
      </c>
      <c r="K2653" s="1" t="s">
        <v>5200</v>
      </c>
      <c r="L2653" s="1" t="s">
        <v>5201</v>
      </c>
      <c r="M2653" s="1">
        <v>121</v>
      </c>
      <c r="N2653" s="1" t="s">
        <v>39</v>
      </c>
      <c r="O2653" s="1">
        <v>41.290799999999997</v>
      </c>
      <c r="P2653" s="1">
        <v>-79.806100000000001</v>
      </c>
      <c r="Q2653" s="1" t="s">
        <v>6124</v>
      </c>
      <c r="R2653" s="1" t="s">
        <v>41</v>
      </c>
      <c r="T2653" s="1" t="s">
        <v>93</v>
      </c>
      <c r="U2653" s="1" t="s">
        <v>44</v>
      </c>
      <c r="X2653" s="1" t="s">
        <v>95</v>
      </c>
      <c r="AA2653" s="3">
        <v>37090</v>
      </c>
      <c r="AB2653" s="1" t="s">
        <v>46</v>
      </c>
      <c r="AC2653" s="5">
        <v>260</v>
      </c>
      <c r="AD2653" s="1" t="s">
        <v>6128</v>
      </c>
      <c r="AE2653" s="1" t="str">
        <f t="shared" si="188"/>
        <v>55233 EU-2B</v>
      </c>
      <c r="AF2653" s="5" t="str">
        <f t="shared" si="189"/>
        <v>58.9</v>
      </c>
      <c r="AG2653" s="1" t="str">
        <f t="shared" si="187"/>
        <v/>
      </c>
    </row>
    <row r="2654" spans="1:33" x14ac:dyDescent="0.2">
      <c r="A2654" s="1" t="s">
        <v>2584</v>
      </c>
      <c r="B2654" s="1" t="s">
        <v>6122</v>
      </c>
      <c r="C2654" s="1">
        <v>55233</v>
      </c>
      <c r="D2654" s="1" t="s">
        <v>6130</v>
      </c>
      <c r="E2654" s="1" t="s">
        <v>1881</v>
      </c>
      <c r="F2654" s="1">
        <v>2023</v>
      </c>
      <c r="G2654" s="1" t="s">
        <v>1515</v>
      </c>
      <c r="H2654" s="1">
        <v>609041</v>
      </c>
      <c r="I2654" s="1">
        <v>3</v>
      </c>
      <c r="K2654" s="1" t="s">
        <v>5200</v>
      </c>
      <c r="L2654" s="1" t="s">
        <v>5201</v>
      </c>
      <c r="M2654" s="1">
        <v>121</v>
      </c>
      <c r="N2654" s="1" t="s">
        <v>39</v>
      </c>
      <c r="O2654" s="1">
        <v>41.290799999999997</v>
      </c>
      <c r="P2654" s="1">
        <v>-79.806100000000001</v>
      </c>
      <c r="Q2654" s="1" t="s">
        <v>6124</v>
      </c>
      <c r="R2654" s="1" t="s">
        <v>41</v>
      </c>
      <c r="T2654" s="1" t="s">
        <v>93</v>
      </c>
      <c r="U2654" s="1" t="s">
        <v>44</v>
      </c>
      <c r="X2654" s="1" t="s">
        <v>95</v>
      </c>
      <c r="AA2654" s="3">
        <v>37083</v>
      </c>
      <c r="AB2654" s="1" t="s">
        <v>46</v>
      </c>
      <c r="AC2654" s="5">
        <v>260</v>
      </c>
      <c r="AD2654" s="1" t="s">
        <v>6131</v>
      </c>
      <c r="AE2654" s="1" t="str">
        <f t="shared" si="188"/>
        <v>55233 EU-3A</v>
      </c>
      <c r="AF2654" s="5" t="str">
        <f t="shared" si="189"/>
        <v>58.9</v>
      </c>
      <c r="AG2654" s="1" t="str">
        <f t="shared" si="187"/>
        <v/>
      </c>
    </row>
    <row r="2655" spans="1:33" x14ac:dyDescent="0.2">
      <c r="A2655" s="1" t="s">
        <v>2584</v>
      </c>
      <c r="B2655" s="1" t="s">
        <v>6122</v>
      </c>
      <c r="C2655" s="1">
        <v>55233</v>
      </c>
      <c r="D2655" s="1" t="s">
        <v>6132</v>
      </c>
      <c r="E2655" s="1" t="s">
        <v>1881</v>
      </c>
      <c r="F2655" s="1">
        <v>2023</v>
      </c>
      <c r="G2655" s="1" t="s">
        <v>1515</v>
      </c>
      <c r="H2655" s="1">
        <v>609041</v>
      </c>
      <c r="I2655" s="1">
        <v>3</v>
      </c>
      <c r="K2655" s="1" t="s">
        <v>5200</v>
      </c>
      <c r="L2655" s="1" t="s">
        <v>5201</v>
      </c>
      <c r="M2655" s="1">
        <v>121</v>
      </c>
      <c r="N2655" s="1" t="s">
        <v>39</v>
      </c>
      <c r="O2655" s="1">
        <v>41.290799999999997</v>
      </c>
      <c r="P2655" s="1">
        <v>-79.806100000000001</v>
      </c>
      <c r="Q2655" s="1" t="s">
        <v>6124</v>
      </c>
      <c r="R2655" s="1" t="s">
        <v>41</v>
      </c>
      <c r="T2655" s="1" t="s">
        <v>93</v>
      </c>
      <c r="U2655" s="1" t="s">
        <v>44</v>
      </c>
      <c r="X2655" s="1" t="s">
        <v>95</v>
      </c>
      <c r="AA2655" s="3">
        <v>37083</v>
      </c>
      <c r="AB2655" s="1" t="s">
        <v>46</v>
      </c>
      <c r="AC2655" s="5">
        <v>260</v>
      </c>
      <c r="AD2655" s="1" t="s">
        <v>6131</v>
      </c>
      <c r="AE2655" s="1" t="str">
        <f t="shared" si="188"/>
        <v>55233 EU-3B</v>
      </c>
      <c r="AF2655" s="5" t="str">
        <f t="shared" si="189"/>
        <v>58.9</v>
      </c>
      <c r="AG2655" s="1" t="str">
        <f t="shared" si="187"/>
        <v/>
      </c>
    </row>
    <row r="2656" spans="1:33" x14ac:dyDescent="0.2">
      <c r="A2656" s="1" t="s">
        <v>2584</v>
      </c>
      <c r="B2656" s="1" t="s">
        <v>6122</v>
      </c>
      <c r="C2656" s="1">
        <v>55233</v>
      </c>
      <c r="D2656" s="1" t="s">
        <v>6133</v>
      </c>
      <c r="E2656" s="1" t="s">
        <v>1881</v>
      </c>
      <c r="F2656" s="1">
        <v>2023</v>
      </c>
      <c r="G2656" s="1" t="s">
        <v>1515</v>
      </c>
      <c r="H2656" s="1">
        <v>609041</v>
      </c>
      <c r="I2656" s="1">
        <v>3</v>
      </c>
      <c r="K2656" s="1" t="s">
        <v>5200</v>
      </c>
      <c r="L2656" s="1" t="s">
        <v>5201</v>
      </c>
      <c r="M2656" s="1">
        <v>121</v>
      </c>
      <c r="N2656" s="1" t="s">
        <v>39</v>
      </c>
      <c r="O2656" s="1">
        <v>41.290799999999997</v>
      </c>
      <c r="P2656" s="1">
        <v>-79.806100000000001</v>
      </c>
      <c r="Q2656" s="1" t="s">
        <v>6124</v>
      </c>
      <c r="R2656" s="1" t="s">
        <v>41</v>
      </c>
      <c r="T2656" s="1" t="s">
        <v>93</v>
      </c>
      <c r="U2656" s="1" t="s">
        <v>44</v>
      </c>
      <c r="X2656" s="1" t="s">
        <v>95</v>
      </c>
      <c r="AA2656" s="3">
        <v>37074</v>
      </c>
      <c r="AB2656" s="1" t="s">
        <v>46</v>
      </c>
      <c r="AC2656" s="5">
        <v>260</v>
      </c>
      <c r="AD2656" s="1" t="s">
        <v>6134</v>
      </c>
      <c r="AE2656" s="1" t="str">
        <f t="shared" si="188"/>
        <v>55233 EU-4A</v>
      </c>
      <c r="AF2656" s="5" t="str">
        <f t="shared" si="189"/>
        <v>58.9</v>
      </c>
      <c r="AG2656" s="1" t="str">
        <f t="shared" si="187"/>
        <v/>
      </c>
    </row>
    <row r="2657" spans="1:33" x14ac:dyDescent="0.2">
      <c r="A2657" s="1" t="s">
        <v>2584</v>
      </c>
      <c r="B2657" s="1" t="s">
        <v>6122</v>
      </c>
      <c r="C2657" s="1">
        <v>55233</v>
      </c>
      <c r="D2657" s="1" t="s">
        <v>6135</v>
      </c>
      <c r="E2657" s="1" t="s">
        <v>1881</v>
      </c>
      <c r="F2657" s="1">
        <v>2023</v>
      </c>
      <c r="G2657" s="1" t="s">
        <v>1515</v>
      </c>
      <c r="H2657" s="1">
        <v>609041</v>
      </c>
      <c r="I2657" s="1">
        <v>3</v>
      </c>
      <c r="K2657" s="1" t="s">
        <v>5200</v>
      </c>
      <c r="L2657" s="1" t="s">
        <v>5201</v>
      </c>
      <c r="M2657" s="1">
        <v>121</v>
      </c>
      <c r="N2657" s="1" t="s">
        <v>39</v>
      </c>
      <c r="O2657" s="1">
        <v>41.290799999999997</v>
      </c>
      <c r="P2657" s="1">
        <v>-79.806100000000001</v>
      </c>
      <c r="Q2657" s="1" t="s">
        <v>6124</v>
      </c>
      <c r="R2657" s="1" t="s">
        <v>41</v>
      </c>
      <c r="T2657" s="1" t="s">
        <v>93</v>
      </c>
      <c r="U2657" s="1" t="s">
        <v>44</v>
      </c>
      <c r="X2657" s="1" t="s">
        <v>95</v>
      </c>
      <c r="AA2657" s="3">
        <v>37074</v>
      </c>
      <c r="AB2657" s="1" t="s">
        <v>46</v>
      </c>
      <c r="AC2657" s="5">
        <v>260</v>
      </c>
      <c r="AD2657" s="1" t="s">
        <v>6134</v>
      </c>
      <c r="AE2657" s="1" t="str">
        <f t="shared" si="188"/>
        <v>55233 EU-4B</v>
      </c>
      <c r="AF2657" s="5" t="str">
        <f t="shared" si="189"/>
        <v>58.9</v>
      </c>
      <c r="AG2657" s="1" t="str">
        <f t="shared" si="187"/>
        <v/>
      </c>
    </row>
    <row r="2658" spans="1:33" x14ac:dyDescent="0.2">
      <c r="A2658" s="1" t="s">
        <v>2584</v>
      </c>
      <c r="B2658" s="1" t="s">
        <v>6122</v>
      </c>
      <c r="C2658" s="1">
        <v>55233</v>
      </c>
      <c r="D2658" s="1" t="s">
        <v>6136</v>
      </c>
      <c r="E2658" s="1" t="s">
        <v>1881</v>
      </c>
      <c r="F2658" s="1">
        <v>2023</v>
      </c>
      <c r="G2658" s="1" t="s">
        <v>1515</v>
      </c>
      <c r="H2658" s="1">
        <v>609041</v>
      </c>
      <c r="I2658" s="1">
        <v>3</v>
      </c>
      <c r="K2658" s="1" t="s">
        <v>5200</v>
      </c>
      <c r="L2658" s="1" t="s">
        <v>5201</v>
      </c>
      <c r="M2658" s="1">
        <v>121</v>
      </c>
      <c r="N2658" s="1" t="s">
        <v>39</v>
      </c>
      <c r="O2658" s="1">
        <v>41.290799999999997</v>
      </c>
      <c r="P2658" s="1">
        <v>-79.806100000000001</v>
      </c>
      <c r="Q2658" s="1" t="s">
        <v>6124</v>
      </c>
      <c r="R2658" s="1" t="s">
        <v>41</v>
      </c>
      <c r="T2658" s="1" t="s">
        <v>93</v>
      </c>
      <c r="U2658" s="1" t="s">
        <v>44</v>
      </c>
      <c r="X2658" s="1" t="s">
        <v>95</v>
      </c>
      <c r="AA2658" s="3">
        <v>37072</v>
      </c>
      <c r="AB2658" s="1" t="s">
        <v>46</v>
      </c>
      <c r="AC2658" s="5">
        <v>260</v>
      </c>
      <c r="AD2658" s="1" t="s">
        <v>6137</v>
      </c>
      <c r="AE2658" s="1" t="str">
        <f t="shared" si="188"/>
        <v>55233 EU-5A</v>
      </c>
      <c r="AF2658" s="5" t="str">
        <f t="shared" si="189"/>
        <v>58.9</v>
      </c>
      <c r="AG2658" s="1" t="str">
        <f t="shared" si="187"/>
        <v/>
      </c>
    </row>
    <row r="2659" spans="1:33" x14ac:dyDescent="0.2">
      <c r="A2659" s="1" t="s">
        <v>2584</v>
      </c>
      <c r="B2659" s="1" t="s">
        <v>6122</v>
      </c>
      <c r="C2659" s="1">
        <v>55233</v>
      </c>
      <c r="D2659" s="1" t="s">
        <v>6138</v>
      </c>
      <c r="E2659" s="1" t="s">
        <v>1881</v>
      </c>
      <c r="F2659" s="1">
        <v>2023</v>
      </c>
      <c r="G2659" s="1" t="s">
        <v>1515</v>
      </c>
      <c r="H2659" s="1">
        <v>609041</v>
      </c>
      <c r="I2659" s="1">
        <v>3</v>
      </c>
      <c r="K2659" s="1" t="s">
        <v>5200</v>
      </c>
      <c r="L2659" s="1" t="s">
        <v>5201</v>
      </c>
      <c r="M2659" s="1">
        <v>121</v>
      </c>
      <c r="N2659" s="1" t="s">
        <v>39</v>
      </c>
      <c r="O2659" s="1">
        <v>41.290799999999997</v>
      </c>
      <c r="P2659" s="1">
        <v>-79.806100000000001</v>
      </c>
      <c r="Q2659" s="1" t="s">
        <v>6124</v>
      </c>
      <c r="R2659" s="1" t="s">
        <v>41</v>
      </c>
      <c r="T2659" s="1" t="s">
        <v>93</v>
      </c>
      <c r="U2659" s="1" t="s">
        <v>44</v>
      </c>
      <c r="X2659" s="1" t="s">
        <v>95</v>
      </c>
      <c r="AA2659" s="3">
        <v>37072</v>
      </c>
      <c r="AB2659" s="1" t="s">
        <v>46</v>
      </c>
      <c r="AC2659" s="5">
        <v>260</v>
      </c>
      <c r="AD2659" s="1" t="s">
        <v>6137</v>
      </c>
      <c r="AE2659" s="1" t="str">
        <f t="shared" si="188"/>
        <v>55233 EU-5B</v>
      </c>
      <c r="AF2659" s="5" t="str">
        <f t="shared" si="189"/>
        <v>58.9</v>
      </c>
      <c r="AG2659" s="1" t="str">
        <f t="shared" si="187"/>
        <v/>
      </c>
    </row>
    <row r="2660" spans="1:33" x14ac:dyDescent="0.2">
      <c r="A2660" s="1" t="s">
        <v>1755</v>
      </c>
      <c r="B2660" s="1" t="s">
        <v>6139</v>
      </c>
      <c r="C2660" s="1">
        <v>55234</v>
      </c>
      <c r="D2660" s="1" t="s">
        <v>311</v>
      </c>
      <c r="F2660" s="1">
        <v>2023</v>
      </c>
      <c r="G2660" s="1" t="s">
        <v>1207</v>
      </c>
      <c r="H2660" s="1">
        <v>607655</v>
      </c>
      <c r="I2660" s="1">
        <v>7</v>
      </c>
      <c r="K2660" s="1" t="s">
        <v>3805</v>
      </c>
      <c r="L2660" s="1" t="s">
        <v>3806</v>
      </c>
      <c r="M2660" s="1">
        <v>7</v>
      </c>
      <c r="N2660" s="1" t="s">
        <v>39</v>
      </c>
      <c r="O2660" s="1">
        <v>39.309199999999997</v>
      </c>
      <c r="P2660" s="1">
        <v>-91.536900000000003</v>
      </c>
      <c r="Q2660" s="1" t="s">
        <v>1046</v>
      </c>
      <c r="R2660" s="1" t="s">
        <v>41</v>
      </c>
      <c r="T2660" s="1" t="s">
        <v>93</v>
      </c>
      <c r="U2660" s="1" t="s">
        <v>44</v>
      </c>
      <c r="X2660" s="1" t="s">
        <v>140</v>
      </c>
      <c r="AA2660" s="3">
        <v>36994</v>
      </c>
      <c r="AB2660" s="1" t="s">
        <v>46</v>
      </c>
      <c r="AC2660" s="5">
        <v>971</v>
      </c>
      <c r="AD2660" s="1" t="s">
        <v>4576</v>
      </c>
      <c r="AE2660" s="1" t="str">
        <f t="shared" si="188"/>
        <v>55234 CT1</v>
      </c>
      <c r="AF2660" s="5" t="str">
        <f t="shared" si="189"/>
        <v>90</v>
      </c>
      <c r="AG2660" s="1" t="str">
        <f t="shared" si="187"/>
        <v/>
      </c>
    </row>
    <row r="2661" spans="1:33" x14ac:dyDescent="0.2">
      <c r="A2661" s="1" t="s">
        <v>1755</v>
      </c>
      <c r="B2661" s="1" t="s">
        <v>6139</v>
      </c>
      <c r="C2661" s="1">
        <v>55234</v>
      </c>
      <c r="D2661" s="1" t="s">
        <v>98</v>
      </c>
      <c r="F2661" s="1">
        <v>2023</v>
      </c>
      <c r="G2661" s="1" t="s">
        <v>1207</v>
      </c>
      <c r="H2661" s="1">
        <v>607655</v>
      </c>
      <c r="I2661" s="1">
        <v>7</v>
      </c>
      <c r="K2661" s="1" t="s">
        <v>3805</v>
      </c>
      <c r="L2661" s="1" t="s">
        <v>3806</v>
      </c>
      <c r="M2661" s="1">
        <v>7</v>
      </c>
      <c r="N2661" s="1" t="s">
        <v>39</v>
      </c>
      <c r="O2661" s="1">
        <v>39.309199999999997</v>
      </c>
      <c r="P2661" s="1">
        <v>-91.536900000000003</v>
      </c>
      <c r="Q2661" s="1" t="s">
        <v>1046</v>
      </c>
      <c r="R2661" s="1" t="s">
        <v>41</v>
      </c>
      <c r="T2661" s="1" t="s">
        <v>93</v>
      </c>
      <c r="U2661" s="1" t="s">
        <v>44</v>
      </c>
      <c r="X2661" s="1" t="s">
        <v>140</v>
      </c>
      <c r="AA2661" s="3">
        <v>36991</v>
      </c>
      <c r="AB2661" s="1" t="s">
        <v>46</v>
      </c>
      <c r="AC2661" s="5">
        <v>971</v>
      </c>
      <c r="AD2661" s="1" t="s">
        <v>4577</v>
      </c>
      <c r="AE2661" s="1" t="str">
        <f t="shared" si="188"/>
        <v>55234 CT2</v>
      </c>
      <c r="AF2661" s="5" t="str">
        <f t="shared" si="189"/>
        <v>90</v>
      </c>
      <c r="AG2661" s="1" t="str">
        <f t="shared" si="187"/>
        <v/>
      </c>
    </row>
    <row r="2662" spans="1:33" x14ac:dyDescent="0.2">
      <c r="A2662" s="1" t="s">
        <v>1755</v>
      </c>
      <c r="B2662" s="1" t="s">
        <v>6139</v>
      </c>
      <c r="C2662" s="1">
        <v>55234</v>
      </c>
      <c r="D2662" s="1" t="s">
        <v>101</v>
      </c>
      <c r="F2662" s="1">
        <v>2023</v>
      </c>
      <c r="G2662" s="1" t="s">
        <v>1207</v>
      </c>
      <c r="H2662" s="1">
        <v>607655</v>
      </c>
      <c r="I2662" s="1">
        <v>7</v>
      </c>
      <c r="K2662" s="1" t="s">
        <v>3805</v>
      </c>
      <c r="L2662" s="1" t="s">
        <v>3806</v>
      </c>
      <c r="M2662" s="1">
        <v>7</v>
      </c>
      <c r="N2662" s="1" t="s">
        <v>39</v>
      </c>
      <c r="O2662" s="1">
        <v>39.309199999999997</v>
      </c>
      <c r="P2662" s="1">
        <v>-91.536900000000003</v>
      </c>
      <c r="Q2662" s="1" t="s">
        <v>1046</v>
      </c>
      <c r="R2662" s="1" t="s">
        <v>41</v>
      </c>
      <c r="T2662" s="1" t="s">
        <v>93</v>
      </c>
      <c r="U2662" s="1" t="s">
        <v>44</v>
      </c>
      <c r="X2662" s="1" t="s">
        <v>140</v>
      </c>
      <c r="AA2662" s="3">
        <v>36985</v>
      </c>
      <c r="AB2662" s="1" t="s">
        <v>46</v>
      </c>
      <c r="AC2662" s="5">
        <v>971</v>
      </c>
      <c r="AD2662" s="1" t="s">
        <v>4578</v>
      </c>
      <c r="AE2662" s="1" t="str">
        <f t="shared" si="188"/>
        <v>55234 CT3</v>
      </c>
      <c r="AF2662" s="5" t="str">
        <f t="shared" si="189"/>
        <v>90</v>
      </c>
      <c r="AG2662" s="1" t="str">
        <f t="shared" si="187"/>
        <v/>
      </c>
    </row>
    <row r="2663" spans="1:33" x14ac:dyDescent="0.2">
      <c r="A2663" s="1" t="s">
        <v>1755</v>
      </c>
      <c r="B2663" s="1" t="s">
        <v>6139</v>
      </c>
      <c r="C2663" s="1">
        <v>55234</v>
      </c>
      <c r="D2663" s="1" t="s">
        <v>103</v>
      </c>
      <c r="F2663" s="1">
        <v>2023</v>
      </c>
      <c r="G2663" s="1" t="s">
        <v>1207</v>
      </c>
      <c r="H2663" s="1">
        <v>607655</v>
      </c>
      <c r="I2663" s="1">
        <v>7</v>
      </c>
      <c r="K2663" s="1" t="s">
        <v>3805</v>
      </c>
      <c r="L2663" s="1" t="s">
        <v>3806</v>
      </c>
      <c r="M2663" s="1">
        <v>7</v>
      </c>
      <c r="N2663" s="1" t="s">
        <v>39</v>
      </c>
      <c r="O2663" s="1">
        <v>39.309199999999997</v>
      </c>
      <c r="P2663" s="1">
        <v>-91.536900000000003</v>
      </c>
      <c r="Q2663" s="1" t="s">
        <v>1046</v>
      </c>
      <c r="R2663" s="1" t="s">
        <v>41</v>
      </c>
      <c r="T2663" s="1" t="s">
        <v>93</v>
      </c>
      <c r="U2663" s="1" t="s">
        <v>44</v>
      </c>
      <c r="X2663" s="1" t="s">
        <v>140</v>
      </c>
      <c r="AA2663" s="3">
        <v>36985</v>
      </c>
      <c r="AB2663" s="1" t="s">
        <v>46</v>
      </c>
      <c r="AC2663" s="5">
        <v>971</v>
      </c>
      <c r="AD2663" s="1" t="s">
        <v>1754</v>
      </c>
      <c r="AE2663" s="1" t="str">
        <f t="shared" si="188"/>
        <v>55234 CT4</v>
      </c>
      <c r="AF2663" s="5" t="str">
        <f t="shared" si="189"/>
        <v>90</v>
      </c>
      <c r="AG2663" s="1" t="str">
        <f t="shared" si="187"/>
        <v/>
      </c>
    </row>
    <row r="2664" spans="1:33" x14ac:dyDescent="0.2">
      <c r="A2664" s="1" t="s">
        <v>1755</v>
      </c>
      <c r="B2664" s="1" t="s">
        <v>6139</v>
      </c>
      <c r="C2664" s="1">
        <v>55234</v>
      </c>
      <c r="D2664" s="1" t="s">
        <v>105</v>
      </c>
      <c r="F2664" s="1">
        <v>2023</v>
      </c>
      <c r="G2664" s="1" t="s">
        <v>1207</v>
      </c>
      <c r="H2664" s="1">
        <v>607655</v>
      </c>
      <c r="I2664" s="1">
        <v>7</v>
      </c>
      <c r="K2664" s="1" t="s">
        <v>3805</v>
      </c>
      <c r="L2664" s="1" t="s">
        <v>3806</v>
      </c>
      <c r="M2664" s="1">
        <v>7</v>
      </c>
      <c r="N2664" s="1" t="s">
        <v>39</v>
      </c>
      <c r="O2664" s="1">
        <v>39.309199999999997</v>
      </c>
      <c r="P2664" s="1">
        <v>-91.536900000000003</v>
      </c>
      <c r="Q2664" s="1" t="s">
        <v>1046</v>
      </c>
      <c r="R2664" s="1" t="s">
        <v>41</v>
      </c>
      <c r="T2664" s="1" t="s">
        <v>93</v>
      </c>
      <c r="U2664" s="1" t="s">
        <v>44</v>
      </c>
      <c r="X2664" s="1" t="s">
        <v>140</v>
      </c>
      <c r="AA2664" s="3">
        <v>36988</v>
      </c>
      <c r="AB2664" s="1" t="s">
        <v>46</v>
      </c>
      <c r="AC2664" s="5">
        <v>971</v>
      </c>
      <c r="AD2664" s="1" t="s">
        <v>4579</v>
      </c>
      <c r="AE2664" s="1" t="str">
        <f t="shared" si="188"/>
        <v>55234 CT5</v>
      </c>
      <c r="AF2664" s="5" t="str">
        <f t="shared" si="189"/>
        <v>90</v>
      </c>
      <c r="AG2664" s="1" t="str">
        <f t="shared" si="187"/>
        <v/>
      </c>
    </row>
    <row r="2665" spans="1:33" x14ac:dyDescent="0.2">
      <c r="A2665" s="1" t="s">
        <v>1755</v>
      </c>
      <c r="B2665" s="1" t="s">
        <v>6139</v>
      </c>
      <c r="C2665" s="1">
        <v>55234</v>
      </c>
      <c r="D2665" s="1" t="s">
        <v>107</v>
      </c>
      <c r="F2665" s="1">
        <v>2023</v>
      </c>
      <c r="G2665" s="1" t="s">
        <v>1207</v>
      </c>
      <c r="H2665" s="1">
        <v>607655</v>
      </c>
      <c r="I2665" s="1">
        <v>7</v>
      </c>
      <c r="K2665" s="1" t="s">
        <v>3805</v>
      </c>
      <c r="L2665" s="1" t="s">
        <v>3806</v>
      </c>
      <c r="M2665" s="1">
        <v>7</v>
      </c>
      <c r="N2665" s="1" t="s">
        <v>39</v>
      </c>
      <c r="O2665" s="1">
        <v>39.309199999999997</v>
      </c>
      <c r="P2665" s="1">
        <v>-91.536900000000003</v>
      </c>
      <c r="Q2665" s="1" t="s">
        <v>1046</v>
      </c>
      <c r="R2665" s="1" t="s">
        <v>41</v>
      </c>
      <c r="T2665" s="1" t="s">
        <v>93</v>
      </c>
      <c r="U2665" s="1" t="s">
        <v>44</v>
      </c>
      <c r="X2665" s="1" t="s">
        <v>140</v>
      </c>
      <c r="AA2665" s="3">
        <v>36994</v>
      </c>
      <c r="AB2665" s="1" t="s">
        <v>46</v>
      </c>
      <c r="AC2665" s="5">
        <v>971</v>
      </c>
      <c r="AD2665" s="1" t="s">
        <v>4580</v>
      </c>
      <c r="AE2665" s="1" t="str">
        <f t="shared" si="188"/>
        <v>55234 CT6</v>
      </c>
      <c r="AF2665" s="5" t="str">
        <f t="shared" si="189"/>
        <v>90</v>
      </c>
      <c r="AG2665" s="1" t="str">
        <f t="shared" si="187"/>
        <v/>
      </c>
    </row>
    <row r="2666" spans="1:33" x14ac:dyDescent="0.2">
      <c r="A2666" s="1" t="s">
        <v>1755</v>
      </c>
      <c r="B2666" s="1" t="s">
        <v>6139</v>
      </c>
      <c r="C2666" s="1">
        <v>55234</v>
      </c>
      <c r="D2666" s="1" t="s">
        <v>109</v>
      </c>
      <c r="F2666" s="1">
        <v>2023</v>
      </c>
      <c r="G2666" s="1" t="s">
        <v>1207</v>
      </c>
      <c r="H2666" s="1">
        <v>607655</v>
      </c>
      <c r="I2666" s="1">
        <v>7</v>
      </c>
      <c r="K2666" s="1" t="s">
        <v>3805</v>
      </c>
      <c r="L2666" s="1" t="s">
        <v>3806</v>
      </c>
      <c r="M2666" s="1">
        <v>7</v>
      </c>
      <c r="N2666" s="1" t="s">
        <v>39</v>
      </c>
      <c r="O2666" s="1">
        <v>39.309199999999997</v>
      </c>
      <c r="P2666" s="1">
        <v>-91.536900000000003</v>
      </c>
      <c r="Q2666" s="1" t="s">
        <v>1046</v>
      </c>
      <c r="R2666" s="1" t="s">
        <v>41</v>
      </c>
      <c r="T2666" s="1" t="s">
        <v>93</v>
      </c>
      <c r="U2666" s="1" t="s">
        <v>44</v>
      </c>
      <c r="X2666" s="1" t="s">
        <v>140</v>
      </c>
      <c r="AA2666" s="3">
        <v>37008</v>
      </c>
      <c r="AB2666" s="1" t="s">
        <v>46</v>
      </c>
      <c r="AC2666" s="5">
        <v>971</v>
      </c>
      <c r="AD2666" s="1" t="s">
        <v>4581</v>
      </c>
      <c r="AE2666" s="1" t="str">
        <f t="shared" si="188"/>
        <v>55234 CT7</v>
      </c>
      <c r="AF2666" s="5" t="str">
        <f t="shared" si="189"/>
        <v>90</v>
      </c>
      <c r="AG2666" s="1" t="str">
        <f t="shared" si="187"/>
        <v/>
      </c>
    </row>
    <row r="2667" spans="1:33" x14ac:dyDescent="0.2">
      <c r="A2667" s="1" t="s">
        <v>1755</v>
      </c>
      <c r="B2667" s="1" t="s">
        <v>6139</v>
      </c>
      <c r="C2667" s="1">
        <v>55234</v>
      </c>
      <c r="D2667" s="1" t="s">
        <v>111</v>
      </c>
      <c r="F2667" s="1">
        <v>2023</v>
      </c>
      <c r="G2667" s="1" t="s">
        <v>1207</v>
      </c>
      <c r="H2667" s="1">
        <v>607655</v>
      </c>
      <c r="I2667" s="1">
        <v>7</v>
      </c>
      <c r="K2667" s="1" t="s">
        <v>3805</v>
      </c>
      <c r="L2667" s="1" t="s">
        <v>3806</v>
      </c>
      <c r="M2667" s="1">
        <v>7</v>
      </c>
      <c r="N2667" s="1" t="s">
        <v>39</v>
      </c>
      <c r="O2667" s="1">
        <v>39.309199999999997</v>
      </c>
      <c r="P2667" s="1">
        <v>-91.536900000000003</v>
      </c>
      <c r="Q2667" s="1" t="s">
        <v>1046</v>
      </c>
      <c r="R2667" s="1" t="s">
        <v>41</v>
      </c>
      <c r="T2667" s="1" t="s">
        <v>93</v>
      </c>
      <c r="U2667" s="1" t="s">
        <v>44</v>
      </c>
      <c r="X2667" s="1" t="s">
        <v>140</v>
      </c>
      <c r="AA2667" s="3">
        <v>37014</v>
      </c>
      <c r="AB2667" s="1" t="s">
        <v>46</v>
      </c>
      <c r="AC2667" s="5">
        <v>971</v>
      </c>
      <c r="AD2667" s="1" t="s">
        <v>4582</v>
      </c>
      <c r="AE2667" s="1" t="str">
        <f t="shared" si="188"/>
        <v>55234 CT8</v>
      </c>
      <c r="AF2667" s="5" t="str">
        <f t="shared" si="189"/>
        <v>90</v>
      </c>
      <c r="AG2667" s="1" t="str">
        <f t="shared" si="187"/>
        <v/>
      </c>
    </row>
    <row r="2668" spans="1:33" x14ac:dyDescent="0.2">
      <c r="A2668" s="1" t="s">
        <v>458</v>
      </c>
      <c r="B2668" s="1" t="s">
        <v>6140</v>
      </c>
      <c r="C2668" s="1">
        <v>55236</v>
      </c>
      <c r="D2668" s="1" t="s">
        <v>311</v>
      </c>
      <c r="F2668" s="1">
        <v>2023</v>
      </c>
      <c r="G2668" s="1" t="s">
        <v>461</v>
      </c>
      <c r="H2668" s="1">
        <v>607900</v>
      </c>
      <c r="I2668" s="1">
        <v>5</v>
      </c>
      <c r="K2668" s="1" t="s">
        <v>710</v>
      </c>
      <c r="L2668" s="1" t="s">
        <v>5879</v>
      </c>
      <c r="M2668" s="1">
        <v>103</v>
      </c>
      <c r="N2668" s="1" t="s">
        <v>39</v>
      </c>
      <c r="O2668" s="1">
        <v>41.828699999999998</v>
      </c>
      <c r="P2668" s="1">
        <v>-89.4054</v>
      </c>
      <c r="Q2668" s="1" t="s">
        <v>6141</v>
      </c>
      <c r="R2668" s="1" t="s">
        <v>41</v>
      </c>
      <c r="T2668" s="1" t="s">
        <v>93</v>
      </c>
      <c r="U2668" s="1" t="s">
        <v>44</v>
      </c>
      <c r="X2668" s="1" t="s">
        <v>140</v>
      </c>
      <c r="AA2668" s="3">
        <v>36991</v>
      </c>
      <c r="AB2668" s="1" t="s">
        <v>46</v>
      </c>
      <c r="AC2668" s="5">
        <v>1200</v>
      </c>
      <c r="AD2668" s="1" t="s">
        <v>6142</v>
      </c>
      <c r="AE2668" s="1" t="str">
        <f t="shared" si="188"/>
        <v>55236 CT1</v>
      </c>
      <c r="AF2668" s="5" t="str">
        <f t="shared" si="189"/>
        <v>101.8</v>
      </c>
      <c r="AG2668" s="1" t="str">
        <f t="shared" si="187"/>
        <v/>
      </c>
    </row>
    <row r="2669" spans="1:33" x14ac:dyDescent="0.2">
      <c r="A2669" s="1" t="s">
        <v>458</v>
      </c>
      <c r="B2669" s="1" t="s">
        <v>6140</v>
      </c>
      <c r="C2669" s="1">
        <v>55236</v>
      </c>
      <c r="D2669" s="1" t="s">
        <v>98</v>
      </c>
      <c r="F2669" s="1">
        <v>2023</v>
      </c>
      <c r="G2669" s="1" t="s">
        <v>461</v>
      </c>
      <c r="H2669" s="1">
        <v>607900</v>
      </c>
      <c r="I2669" s="1">
        <v>5</v>
      </c>
      <c r="K2669" s="1" t="s">
        <v>710</v>
      </c>
      <c r="L2669" s="1" t="s">
        <v>5879</v>
      </c>
      <c r="M2669" s="1">
        <v>103</v>
      </c>
      <c r="N2669" s="1" t="s">
        <v>39</v>
      </c>
      <c r="O2669" s="1">
        <v>41.828699999999998</v>
      </c>
      <c r="P2669" s="1">
        <v>-89.4054</v>
      </c>
      <c r="Q2669" s="1" t="s">
        <v>6141</v>
      </c>
      <c r="R2669" s="1" t="s">
        <v>41</v>
      </c>
      <c r="T2669" s="1" t="s">
        <v>93</v>
      </c>
      <c r="U2669" s="1" t="s">
        <v>44</v>
      </c>
      <c r="X2669" s="1" t="s">
        <v>140</v>
      </c>
      <c r="AA2669" s="3">
        <v>36990</v>
      </c>
      <c r="AB2669" s="1" t="s">
        <v>46</v>
      </c>
      <c r="AC2669" s="5">
        <v>1200</v>
      </c>
      <c r="AD2669" s="1" t="s">
        <v>6143</v>
      </c>
      <c r="AE2669" s="1" t="str">
        <f t="shared" si="188"/>
        <v>55236 CT2</v>
      </c>
      <c r="AF2669" s="5" t="str">
        <f t="shared" si="189"/>
        <v>101.8</v>
      </c>
      <c r="AG2669" s="1" t="str">
        <f t="shared" si="187"/>
        <v/>
      </c>
    </row>
    <row r="2670" spans="1:33" x14ac:dyDescent="0.2">
      <c r="A2670" s="1" t="s">
        <v>458</v>
      </c>
      <c r="B2670" s="1" t="s">
        <v>6140</v>
      </c>
      <c r="C2670" s="1">
        <v>55236</v>
      </c>
      <c r="D2670" s="1" t="s">
        <v>101</v>
      </c>
      <c r="F2670" s="1">
        <v>2023</v>
      </c>
      <c r="G2670" s="1" t="s">
        <v>461</v>
      </c>
      <c r="H2670" s="1">
        <v>607900</v>
      </c>
      <c r="I2670" s="1">
        <v>5</v>
      </c>
      <c r="K2670" s="1" t="s">
        <v>710</v>
      </c>
      <c r="L2670" s="1" t="s">
        <v>5879</v>
      </c>
      <c r="M2670" s="1">
        <v>103</v>
      </c>
      <c r="N2670" s="1" t="s">
        <v>39</v>
      </c>
      <c r="O2670" s="1">
        <v>41.828699999999998</v>
      </c>
      <c r="P2670" s="1">
        <v>-89.4054</v>
      </c>
      <c r="Q2670" s="1" t="s">
        <v>6141</v>
      </c>
      <c r="R2670" s="1" t="s">
        <v>41</v>
      </c>
      <c r="T2670" s="1" t="s">
        <v>93</v>
      </c>
      <c r="U2670" s="1" t="s">
        <v>44</v>
      </c>
      <c r="X2670" s="1" t="s">
        <v>140</v>
      </c>
      <c r="AA2670" s="3">
        <v>37035</v>
      </c>
      <c r="AB2670" s="1" t="s">
        <v>46</v>
      </c>
      <c r="AC2670" s="5">
        <v>1200</v>
      </c>
      <c r="AD2670" s="1" t="s">
        <v>6144</v>
      </c>
      <c r="AE2670" s="1" t="str">
        <f t="shared" si="188"/>
        <v>55236 CT3</v>
      </c>
      <c r="AF2670" s="5" t="str">
        <f t="shared" si="189"/>
        <v>101.8</v>
      </c>
      <c r="AG2670" s="1" t="str">
        <f t="shared" si="187"/>
        <v/>
      </c>
    </row>
    <row r="2671" spans="1:33" x14ac:dyDescent="0.2">
      <c r="A2671" s="1" t="s">
        <v>458</v>
      </c>
      <c r="B2671" s="1" t="s">
        <v>6140</v>
      </c>
      <c r="C2671" s="1">
        <v>55236</v>
      </c>
      <c r="D2671" s="1" t="s">
        <v>103</v>
      </c>
      <c r="F2671" s="1">
        <v>2023</v>
      </c>
      <c r="G2671" s="1" t="s">
        <v>461</v>
      </c>
      <c r="H2671" s="1">
        <v>607900</v>
      </c>
      <c r="I2671" s="1">
        <v>5</v>
      </c>
      <c r="K2671" s="1" t="s">
        <v>710</v>
      </c>
      <c r="L2671" s="1" t="s">
        <v>5879</v>
      </c>
      <c r="M2671" s="1">
        <v>103</v>
      </c>
      <c r="N2671" s="1" t="s">
        <v>39</v>
      </c>
      <c r="O2671" s="1">
        <v>41.828699999999998</v>
      </c>
      <c r="P2671" s="1">
        <v>-89.4054</v>
      </c>
      <c r="Q2671" s="1" t="s">
        <v>6141</v>
      </c>
      <c r="R2671" s="1" t="s">
        <v>41</v>
      </c>
      <c r="T2671" s="1" t="s">
        <v>93</v>
      </c>
      <c r="U2671" s="1" t="s">
        <v>44</v>
      </c>
      <c r="X2671" s="1" t="s">
        <v>140</v>
      </c>
      <c r="AA2671" s="3">
        <v>37036</v>
      </c>
      <c r="AB2671" s="1" t="s">
        <v>46</v>
      </c>
      <c r="AC2671" s="5">
        <v>1200</v>
      </c>
      <c r="AD2671" s="1" t="s">
        <v>6145</v>
      </c>
      <c r="AE2671" s="1" t="str">
        <f t="shared" si="188"/>
        <v>55236 CT4</v>
      </c>
      <c r="AF2671" s="5" t="str">
        <f t="shared" si="189"/>
        <v>101.8</v>
      </c>
      <c r="AG2671" s="1" t="str">
        <f t="shared" si="187"/>
        <v/>
      </c>
    </row>
    <row r="2672" spans="1:33" x14ac:dyDescent="0.2">
      <c r="A2672" s="1" t="s">
        <v>458</v>
      </c>
      <c r="B2672" s="1" t="s">
        <v>6140</v>
      </c>
      <c r="C2672" s="1">
        <v>55236</v>
      </c>
      <c r="D2672" s="1" t="s">
        <v>105</v>
      </c>
      <c r="F2672" s="1">
        <v>2023</v>
      </c>
      <c r="G2672" s="1" t="s">
        <v>461</v>
      </c>
      <c r="H2672" s="1">
        <v>607900</v>
      </c>
      <c r="I2672" s="1">
        <v>5</v>
      </c>
      <c r="K2672" s="1" t="s">
        <v>710</v>
      </c>
      <c r="L2672" s="1" t="s">
        <v>5879</v>
      </c>
      <c r="M2672" s="1">
        <v>103</v>
      </c>
      <c r="N2672" s="1" t="s">
        <v>39</v>
      </c>
      <c r="O2672" s="1">
        <v>41.828699999999998</v>
      </c>
      <c r="P2672" s="1">
        <v>-89.4054</v>
      </c>
      <c r="Q2672" s="1" t="s">
        <v>6141</v>
      </c>
      <c r="R2672" s="1" t="s">
        <v>41</v>
      </c>
      <c r="T2672" s="1" t="s">
        <v>93</v>
      </c>
      <c r="U2672" s="1" t="s">
        <v>44</v>
      </c>
      <c r="X2672" s="1" t="s">
        <v>140</v>
      </c>
      <c r="AA2672" s="3">
        <v>36993</v>
      </c>
      <c r="AB2672" s="1" t="s">
        <v>46</v>
      </c>
      <c r="AC2672" s="5">
        <v>1200</v>
      </c>
      <c r="AD2672" s="1" t="s">
        <v>6146</v>
      </c>
      <c r="AE2672" s="1" t="str">
        <f t="shared" si="188"/>
        <v>55236 CT5</v>
      </c>
      <c r="AF2672" s="5" t="str">
        <f t="shared" si="189"/>
        <v>101.8</v>
      </c>
      <c r="AG2672" s="1" t="str">
        <f t="shared" si="187"/>
        <v/>
      </c>
    </row>
    <row r="2673" spans="1:33" x14ac:dyDescent="0.2">
      <c r="A2673" s="1" t="s">
        <v>458</v>
      </c>
      <c r="B2673" s="1" t="s">
        <v>6140</v>
      </c>
      <c r="C2673" s="1">
        <v>55236</v>
      </c>
      <c r="D2673" s="1" t="s">
        <v>107</v>
      </c>
      <c r="F2673" s="1">
        <v>2023</v>
      </c>
      <c r="G2673" s="1" t="s">
        <v>461</v>
      </c>
      <c r="H2673" s="1">
        <v>607900</v>
      </c>
      <c r="I2673" s="1">
        <v>5</v>
      </c>
      <c r="K2673" s="1" t="s">
        <v>710</v>
      </c>
      <c r="L2673" s="1" t="s">
        <v>5879</v>
      </c>
      <c r="M2673" s="1">
        <v>103</v>
      </c>
      <c r="N2673" s="1" t="s">
        <v>39</v>
      </c>
      <c r="O2673" s="1">
        <v>41.828699999999998</v>
      </c>
      <c r="P2673" s="1">
        <v>-89.4054</v>
      </c>
      <c r="Q2673" s="1" t="s">
        <v>6141</v>
      </c>
      <c r="R2673" s="1" t="s">
        <v>41</v>
      </c>
      <c r="T2673" s="1" t="s">
        <v>93</v>
      </c>
      <c r="U2673" s="1" t="s">
        <v>44</v>
      </c>
      <c r="X2673" s="1" t="s">
        <v>140</v>
      </c>
      <c r="AA2673" s="3">
        <v>36997</v>
      </c>
      <c r="AB2673" s="1" t="s">
        <v>46</v>
      </c>
      <c r="AC2673" s="5">
        <v>1200</v>
      </c>
      <c r="AD2673" s="1" t="s">
        <v>6147</v>
      </c>
      <c r="AE2673" s="1" t="str">
        <f t="shared" si="188"/>
        <v>55236 CT6</v>
      </c>
      <c r="AF2673" s="5" t="str">
        <f t="shared" si="189"/>
        <v>101.8</v>
      </c>
      <c r="AG2673" s="1" t="str">
        <f t="shared" si="187"/>
        <v/>
      </c>
    </row>
    <row r="2674" spans="1:33" x14ac:dyDescent="0.2">
      <c r="A2674" s="1" t="s">
        <v>458</v>
      </c>
      <c r="B2674" s="1" t="s">
        <v>6140</v>
      </c>
      <c r="C2674" s="1">
        <v>55236</v>
      </c>
      <c r="D2674" s="1" t="s">
        <v>109</v>
      </c>
      <c r="F2674" s="1">
        <v>2023</v>
      </c>
      <c r="G2674" s="1" t="s">
        <v>461</v>
      </c>
      <c r="H2674" s="1">
        <v>607900</v>
      </c>
      <c r="I2674" s="1">
        <v>5</v>
      </c>
      <c r="K2674" s="1" t="s">
        <v>710</v>
      </c>
      <c r="L2674" s="1" t="s">
        <v>5879</v>
      </c>
      <c r="M2674" s="1">
        <v>103</v>
      </c>
      <c r="N2674" s="1" t="s">
        <v>39</v>
      </c>
      <c r="O2674" s="1">
        <v>41.828699999999998</v>
      </c>
      <c r="P2674" s="1">
        <v>-89.4054</v>
      </c>
      <c r="Q2674" s="1" t="s">
        <v>6141</v>
      </c>
      <c r="R2674" s="1" t="s">
        <v>41</v>
      </c>
      <c r="T2674" s="1" t="s">
        <v>93</v>
      </c>
      <c r="U2674" s="1" t="s">
        <v>44</v>
      </c>
      <c r="X2674" s="1" t="s">
        <v>140</v>
      </c>
      <c r="AA2674" s="3">
        <v>36998</v>
      </c>
      <c r="AB2674" s="1" t="s">
        <v>46</v>
      </c>
      <c r="AC2674" s="5">
        <v>1200</v>
      </c>
      <c r="AD2674" s="1" t="s">
        <v>6148</v>
      </c>
      <c r="AE2674" s="1" t="str">
        <f t="shared" si="188"/>
        <v>55236 CT7</v>
      </c>
      <c r="AF2674" s="5" t="str">
        <f t="shared" si="189"/>
        <v>101.8</v>
      </c>
      <c r="AG2674" s="1" t="str">
        <f t="shared" si="187"/>
        <v/>
      </c>
    </row>
    <row r="2675" spans="1:33" x14ac:dyDescent="0.2">
      <c r="A2675" s="1" t="s">
        <v>458</v>
      </c>
      <c r="B2675" s="1" t="s">
        <v>6140</v>
      </c>
      <c r="C2675" s="1">
        <v>55236</v>
      </c>
      <c r="D2675" s="1" t="s">
        <v>111</v>
      </c>
      <c r="F2675" s="1">
        <v>2023</v>
      </c>
      <c r="G2675" s="1" t="s">
        <v>461</v>
      </c>
      <c r="H2675" s="1">
        <v>607900</v>
      </c>
      <c r="I2675" s="1">
        <v>5</v>
      </c>
      <c r="K2675" s="1" t="s">
        <v>710</v>
      </c>
      <c r="L2675" s="1" t="s">
        <v>5879</v>
      </c>
      <c r="M2675" s="1">
        <v>103</v>
      </c>
      <c r="N2675" s="1" t="s">
        <v>39</v>
      </c>
      <c r="O2675" s="1">
        <v>41.828699999999998</v>
      </c>
      <c r="P2675" s="1">
        <v>-89.4054</v>
      </c>
      <c r="Q2675" s="1" t="s">
        <v>6141</v>
      </c>
      <c r="R2675" s="1" t="s">
        <v>41</v>
      </c>
      <c r="T2675" s="1" t="s">
        <v>93</v>
      </c>
      <c r="U2675" s="1" t="s">
        <v>44</v>
      </c>
      <c r="X2675" s="1" t="s">
        <v>140</v>
      </c>
      <c r="AA2675" s="3">
        <v>36999</v>
      </c>
      <c r="AB2675" s="1" t="s">
        <v>46</v>
      </c>
      <c r="AC2675" s="5">
        <v>1200</v>
      </c>
      <c r="AD2675" s="1" t="s">
        <v>6149</v>
      </c>
      <c r="AE2675" s="1" t="str">
        <f t="shared" si="188"/>
        <v>55236 CT8</v>
      </c>
      <c r="AF2675" s="5" t="str">
        <f t="shared" si="189"/>
        <v>101.8</v>
      </c>
      <c r="AG2675" s="1" t="str">
        <f t="shared" si="187"/>
        <v/>
      </c>
    </row>
    <row r="2676" spans="1:33" x14ac:dyDescent="0.2">
      <c r="A2676" s="1" t="s">
        <v>458</v>
      </c>
      <c r="B2676" s="1" t="s">
        <v>117</v>
      </c>
      <c r="C2676" s="1">
        <v>55237</v>
      </c>
      <c r="D2676" s="1" t="s">
        <v>6150</v>
      </c>
      <c r="E2676" s="1" t="s">
        <v>1881</v>
      </c>
      <c r="F2676" s="1">
        <v>2023</v>
      </c>
      <c r="G2676" s="1" t="s">
        <v>461</v>
      </c>
      <c r="H2676" s="1">
        <v>609072</v>
      </c>
      <c r="I2676" s="1">
        <v>5</v>
      </c>
      <c r="K2676" s="1" t="s">
        <v>117</v>
      </c>
      <c r="L2676" s="1" t="s">
        <v>6151</v>
      </c>
      <c r="M2676" s="1">
        <v>173</v>
      </c>
      <c r="N2676" s="1" t="s">
        <v>39</v>
      </c>
      <c r="O2676" s="1">
        <v>39.279400000000003</v>
      </c>
      <c r="P2676" s="1">
        <v>-88.477199999999996</v>
      </c>
      <c r="Q2676" s="1" t="s">
        <v>6152</v>
      </c>
      <c r="R2676" s="1" t="s">
        <v>41</v>
      </c>
      <c r="T2676" s="1" t="s">
        <v>93</v>
      </c>
      <c r="U2676" s="1" t="s">
        <v>44</v>
      </c>
      <c r="X2676" s="1" t="s">
        <v>95</v>
      </c>
      <c r="AA2676" s="3">
        <v>36708</v>
      </c>
      <c r="AB2676" s="1" t="s">
        <v>46</v>
      </c>
      <c r="AC2676" s="5">
        <v>444</v>
      </c>
      <c r="AD2676" s="1" t="s">
        <v>6153</v>
      </c>
      <c r="AE2676" s="1" t="str">
        <f t="shared" si="188"/>
        <v>55237 SCE1</v>
      </c>
      <c r="AF2676" s="5" t="str">
        <f t="shared" si="189"/>
        <v>60.5</v>
      </c>
      <c r="AG2676" s="1" t="str">
        <f t="shared" si="187"/>
        <v/>
      </c>
    </row>
    <row r="2677" spans="1:33" x14ac:dyDescent="0.2">
      <c r="A2677" s="1" t="s">
        <v>458</v>
      </c>
      <c r="B2677" s="1" t="s">
        <v>117</v>
      </c>
      <c r="C2677" s="1">
        <v>55237</v>
      </c>
      <c r="D2677" s="1" t="s">
        <v>6154</v>
      </c>
      <c r="E2677" s="1" t="s">
        <v>1881</v>
      </c>
      <c r="F2677" s="1">
        <v>2023</v>
      </c>
      <c r="G2677" s="1" t="s">
        <v>461</v>
      </c>
      <c r="H2677" s="1">
        <v>609072</v>
      </c>
      <c r="I2677" s="1">
        <v>5</v>
      </c>
      <c r="K2677" s="1" t="s">
        <v>117</v>
      </c>
      <c r="L2677" s="1" t="s">
        <v>6151</v>
      </c>
      <c r="M2677" s="1">
        <v>173</v>
      </c>
      <c r="N2677" s="1" t="s">
        <v>39</v>
      </c>
      <c r="O2677" s="1">
        <v>39.279400000000003</v>
      </c>
      <c r="P2677" s="1">
        <v>-88.477199999999996</v>
      </c>
      <c r="Q2677" s="1" t="s">
        <v>6152</v>
      </c>
      <c r="R2677" s="1" t="s">
        <v>41</v>
      </c>
      <c r="T2677" s="1" t="s">
        <v>93</v>
      </c>
      <c r="U2677" s="1" t="s">
        <v>44</v>
      </c>
      <c r="X2677" s="1" t="s">
        <v>95</v>
      </c>
      <c r="AA2677" s="3">
        <v>36708</v>
      </c>
      <c r="AB2677" s="1" t="s">
        <v>46</v>
      </c>
      <c r="AC2677" s="5">
        <v>444</v>
      </c>
      <c r="AD2677" s="1" t="s">
        <v>6155</v>
      </c>
      <c r="AE2677" s="1" t="str">
        <f t="shared" si="188"/>
        <v>55237 SCE2</v>
      </c>
      <c r="AF2677" s="5" t="str">
        <f t="shared" si="189"/>
        <v>60.5</v>
      </c>
      <c r="AG2677" s="1" t="str">
        <f t="shared" si="187"/>
        <v/>
      </c>
    </row>
    <row r="2678" spans="1:33" x14ac:dyDescent="0.2">
      <c r="A2678" s="1" t="s">
        <v>458</v>
      </c>
      <c r="B2678" s="1" t="s">
        <v>117</v>
      </c>
      <c r="C2678" s="1">
        <v>55237</v>
      </c>
      <c r="D2678" s="1" t="s">
        <v>6156</v>
      </c>
      <c r="E2678" s="1" t="s">
        <v>1881</v>
      </c>
      <c r="F2678" s="1">
        <v>2023</v>
      </c>
      <c r="G2678" s="1" t="s">
        <v>461</v>
      </c>
      <c r="H2678" s="1">
        <v>609072</v>
      </c>
      <c r="I2678" s="1">
        <v>5</v>
      </c>
      <c r="K2678" s="1" t="s">
        <v>117</v>
      </c>
      <c r="L2678" s="1" t="s">
        <v>6151</v>
      </c>
      <c r="M2678" s="1">
        <v>173</v>
      </c>
      <c r="N2678" s="1" t="s">
        <v>39</v>
      </c>
      <c r="O2678" s="1">
        <v>39.279400000000003</v>
      </c>
      <c r="P2678" s="1">
        <v>-88.477199999999996</v>
      </c>
      <c r="Q2678" s="1" t="s">
        <v>6152</v>
      </c>
      <c r="R2678" s="1" t="s">
        <v>41</v>
      </c>
      <c r="T2678" s="1" t="s">
        <v>93</v>
      </c>
      <c r="U2678" s="1" t="s">
        <v>44</v>
      </c>
      <c r="X2678" s="1" t="s">
        <v>95</v>
      </c>
      <c r="AA2678" s="3">
        <v>36708</v>
      </c>
      <c r="AB2678" s="1" t="s">
        <v>46</v>
      </c>
      <c r="AC2678" s="5">
        <v>444</v>
      </c>
      <c r="AD2678" s="1" t="s">
        <v>6157</v>
      </c>
      <c r="AE2678" s="1" t="str">
        <f t="shared" si="188"/>
        <v>55237 SCE3</v>
      </c>
      <c r="AF2678" s="5" t="str">
        <f t="shared" si="189"/>
        <v>60.5</v>
      </c>
      <c r="AG2678" s="1" t="str">
        <f t="shared" si="187"/>
        <v/>
      </c>
    </row>
    <row r="2679" spans="1:33" x14ac:dyDescent="0.2">
      <c r="A2679" s="1" t="s">
        <v>458</v>
      </c>
      <c r="B2679" s="1" t="s">
        <v>117</v>
      </c>
      <c r="C2679" s="1">
        <v>55237</v>
      </c>
      <c r="D2679" s="1" t="s">
        <v>6158</v>
      </c>
      <c r="E2679" s="1" t="s">
        <v>1881</v>
      </c>
      <c r="F2679" s="1">
        <v>2023</v>
      </c>
      <c r="G2679" s="1" t="s">
        <v>461</v>
      </c>
      <c r="H2679" s="1">
        <v>609072</v>
      </c>
      <c r="I2679" s="1">
        <v>5</v>
      </c>
      <c r="K2679" s="1" t="s">
        <v>117</v>
      </c>
      <c r="L2679" s="1" t="s">
        <v>6151</v>
      </c>
      <c r="M2679" s="1">
        <v>173</v>
      </c>
      <c r="N2679" s="1" t="s">
        <v>39</v>
      </c>
      <c r="O2679" s="1">
        <v>39.279400000000003</v>
      </c>
      <c r="P2679" s="1">
        <v>-88.477199999999996</v>
      </c>
      <c r="Q2679" s="1" t="s">
        <v>6152</v>
      </c>
      <c r="R2679" s="1" t="s">
        <v>41</v>
      </c>
      <c r="T2679" s="1" t="s">
        <v>93</v>
      </c>
      <c r="U2679" s="1" t="s">
        <v>44</v>
      </c>
      <c r="X2679" s="1" t="s">
        <v>95</v>
      </c>
      <c r="AA2679" s="3">
        <v>36708</v>
      </c>
      <c r="AB2679" s="1" t="s">
        <v>46</v>
      </c>
      <c r="AC2679" s="5">
        <v>444</v>
      </c>
      <c r="AD2679" s="1" t="s">
        <v>6159</v>
      </c>
      <c r="AE2679" s="1" t="str">
        <f t="shared" si="188"/>
        <v>55237 SCE4</v>
      </c>
      <c r="AF2679" s="5" t="str">
        <f t="shared" si="189"/>
        <v>60.5</v>
      </c>
      <c r="AG2679" s="1" t="str">
        <f t="shared" si="187"/>
        <v/>
      </c>
    </row>
    <row r="2680" spans="1:33" x14ac:dyDescent="0.2">
      <c r="A2680" s="1" t="s">
        <v>458</v>
      </c>
      <c r="B2680" s="1" t="s">
        <v>117</v>
      </c>
      <c r="C2680" s="1">
        <v>55237</v>
      </c>
      <c r="D2680" s="1" t="s">
        <v>6160</v>
      </c>
      <c r="E2680" s="1" t="s">
        <v>1881</v>
      </c>
      <c r="F2680" s="1">
        <v>2023</v>
      </c>
      <c r="G2680" s="1" t="s">
        <v>461</v>
      </c>
      <c r="H2680" s="1">
        <v>609072</v>
      </c>
      <c r="I2680" s="1">
        <v>5</v>
      </c>
      <c r="K2680" s="1" t="s">
        <v>117</v>
      </c>
      <c r="L2680" s="1" t="s">
        <v>6151</v>
      </c>
      <c r="M2680" s="1">
        <v>173</v>
      </c>
      <c r="N2680" s="1" t="s">
        <v>39</v>
      </c>
      <c r="O2680" s="1">
        <v>39.279400000000003</v>
      </c>
      <c r="P2680" s="1">
        <v>-88.477199999999996</v>
      </c>
      <c r="Q2680" s="1" t="s">
        <v>6152</v>
      </c>
      <c r="R2680" s="1" t="s">
        <v>41</v>
      </c>
      <c r="T2680" s="1" t="s">
        <v>93</v>
      </c>
      <c r="U2680" s="1" t="s">
        <v>44</v>
      </c>
      <c r="X2680" s="1" t="s">
        <v>95</v>
      </c>
      <c r="AA2680" s="3">
        <v>36708</v>
      </c>
      <c r="AB2680" s="1" t="s">
        <v>46</v>
      </c>
      <c r="AC2680" s="5">
        <v>444</v>
      </c>
      <c r="AD2680" s="1" t="s">
        <v>6161</v>
      </c>
      <c r="AE2680" s="1" t="str">
        <f t="shared" si="188"/>
        <v>55237 SCE5</v>
      </c>
      <c r="AF2680" s="5" t="str">
        <f t="shared" si="189"/>
        <v>60.5</v>
      </c>
      <c r="AG2680" s="1" t="str">
        <f t="shared" si="187"/>
        <v/>
      </c>
    </row>
    <row r="2681" spans="1:33" x14ac:dyDescent="0.2">
      <c r="A2681" s="1" t="s">
        <v>458</v>
      </c>
      <c r="B2681" s="1" t="s">
        <v>117</v>
      </c>
      <c r="C2681" s="1">
        <v>55237</v>
      </c>
      <c r="D2681" s="1" t="s">
        <v>6162</v>
      </c>
      <c r="E2681" s="1" t="s">
        <v>1881</v>
      </c>
      <c r="F2681" s="1">
        <v>2023</v>
      </c>
      <c r="G2681" s="1" t="s">
        <v>461</v>
      </c>
      <c r="H2681" s="1">
        <v>609072</v>
      </c>
      <c r="I2681" s="1">
        <v>5</v>
      </c>
      <c r="K2681" s="1" t="s">
        <v>117</v>
      </c>
      <c r="L2681" s="1" t="s">
        <v>6151</v>
      </c>
      <c r="M2681" s="1">
        <v>173</v>
      </c>
      <c r="N2681" s="1" t="s">
        <v>39</v>
      </c>
      <c r="O2681" s="1">
        <v>39.279400000000003</v>
      </c>
      <c r="P2681" s="1">
        <v>-88.477199999999996</v>
      </c>
      <c r="Q2681" s="1" t="s">
        <v>6152</v>
      </c>
      <c r="R2681" s="1" t="s">
        <v>41</v>
      </c>
      <c r="T2681" s="1" t="s">
        <v>93</v>
      </c>
      <c r="U2681" s="1" t="s">
        <v>44</v>
      </c>
      <c r="X2681" s="1" t="s">
        <v>95</v>
      </c>
      <c r="AA2681" s="3">
        <v>36784</v>
      </c>
      <c r="AB2681" s="1" t="s">
        <v>46</v>
      </c>
      <c r="AC2681" s="5">
        <v>444</v>
      </c>
      <c r="AD2681" s="1" t="s">
        <v>6163</v>
      </c>
      <c r="AE2681" s="1" t="str">
        <f t="shared" si="188"/>
        <v>55237 SCE6</v>
      </c>
      <c r="AF2681" s="5" t="str">
        <f t="shared" si="189"/>
        <v>60.5</v>
      </c>
      <c r="AG2681" s="1" t="str">
        <f t="shared" si="187"/>
        <v/>
      </c>
    </row>
    <row r="2682" spans="1:33" x14ac:dyDescent="0.2">
      <c r="A2682" s="1" t="s">
        <v>458</v>
      </c>
      <c r="B2682" s="1" t="s">
        <v>117</v>
      </c>
      <c r="C2682" s="1">
        <v>55237</v>
      </c>
      <c r="D2682" s="1" t="s">
        <v>6164</v>
      </c>
      <c r="E2682" s="1" t="s">
        <v>1881</v>
      </c>
      <c r="F2682" s="1">
        <v>2023</v>
      </c>
      <c r="G2682" s="1" t="s">
        <v>461</v>
      </c>
      <c r="H2682" s="1">
        <v>609072</v>
      </c>
      <c r="I2682" s="1">
        <v>5</v>
      </c>
      <c r="K2682" s="1" t="s">
        <v>117</v>
      </c>
      <c r="L2682" s="1" t="s">
        <v>6151</v>
      </c>
      <c r="M2682" s="1">
        <v>173</v>
      </c>
      <c r="N2682" s="1" t="s">
        <v>39</v>
      </c>
      <c r="O2682" s="1">
        <v>39.279400000000003</v>
      </c>
      <c r="P2682" s="1">
        <v>-88.477199999999996</v>
      </c>
      <c r="Q2682" s="1" t="s">
        <v>6152</v>
      </c>
      <c r="R2682" s="1" t="s">
        <v>41</v>
      </c>
      <c r="T2682" s="1" t="s">
        <v>93</v>
      </c>
      <c r="U2682" s="1" t="s">
        <v>44</v>
      </c>
      <c r="X2682" s="1" t="s">
        <v>95</v>
      </c>
      <c r="AA2682" s="3">
        <v>36892</v>
      </c>
      <c r="AB2682" s="1" t="s">
        <v>46</v>
      </c>
      <c r="AC2682" s="5">
        <v>444</v>
      </c>
      <c r="AD2682" s="1" t="s">
        <v>6165</v>
      </c>
      <c r="AE2682" s="1" t="str">
        <f t="shared" si="188"/>
        <v>55237 SCE7</v>
      </c>
      <c r="AF2682" s="5" t="str">
        <f t="shared" si="189"/>
        <v>60</v>
      </c>
      <c r="AG2682" s="1" t="str">
        <f t="shared" si="187"/>
        <v/>
      </c>
    </row>
    <row r="2683" spans="1:33" x14ac:dyDescent="0.2">
      <c r="A2683" s="1" t="s">
        <v>458</v>
      </c>
      <c r="B2683" s="1" t="s">
        <v>117</v>
      </c>
      <c r="C2683" s="1">
        <v>55237</v>
      </c>
      <c r="D2683" s="1" t="s">
        <v>6166</v>
      </c>
      <c r="E2683" s="1" t="s">
        <v>1881</v>
      </c>
      <c r="F2683" s="1">
        <v>2023</v>
      </c>
      <c r="G2683" s="1" t="s">
        <v>461</v>
      </c>
      <c r="H2683" s="1">
        <v>609072</v>
      </c>
      <c r="I2683" s="1">
        <v>5</v>
      </c>
      <c r="K2683" s="1" t="s">
        <v>117</v>
      </c>
      <c r="L2683" s="1" t="s">
        <v>6151</v>
      </c>
      <c r="M2683" s="1">
        <v>173</v>
      </c>
      <c r="N2683" s="1" t="s">
        <v>39</v>
      </c>
      <c r="O2683" s="1">
        <v>39.279400000000003</v>
      </c>
      <c r="P2683" s="1">
        <v>-88.477199999999996</v>
      </c>
      <c r="Q2683" s="1" t="s">
        <v>6152</v>
      </c>
      <c r="R2683" s="1" t="s">
        <v>41</v>
      </c>
      <c r="T2683" s="1" t="s">
        <v>93</v>
      </c>
      <c r="U2683" s="1" t="s">
        <v>44</v>
      </c>
      <c r="X2683" s="1" t="s">
        <v>95</v>
      </c>
      <c r="AA2683" s="3">
        <v>36892</v>
      </c>
      <c r="AB2683" s="1" t="s">
        <v>46</v>
      </c>
      <c r="AC2683" s="5">
        <v>444</v>
      </c>
      <c r="AD2683" s="1" t="s">
        <v>6167</v>
      </c>
      <c r="AE2683" s="1" t="str">
        <f t="shared" si="188"/>
        <v>55237 SCE8</v>
      </c>
      <c r="AF2683" s="5" t="str">
        <f t="shared" si="189"/>
        <v>60</v>
      </c>
      <c r="AG2683" s="1" t="str">
        <f t="shared" si="187"/>
        <v/>
      </c>
    </row>
    <row r="2684" spans="1:33" x14ac:dyDescent="0.2">
      <c r="A2684" s="1" t="s">
        <v>458</v>
      </c>
      <c r="B2684" s="1" t="s">
        <v>6168</v>
      </c>
      <c r="C2684" s="1">
        <v>55238</v>
      </c>
      <c r="D2684" s="1">
        <v>1</v>
      </c>
      <c r="F2684" s="1">
        <v>2023</v>
      </c>
      <c r="G2684" s="1" t="s">
        <v>461</v>
      </c>
      <c r="H2684" s="1">
        <v>605624</v>
      </c>
      <c r="I2684" s="1">
        <v>5</v>
      </c>
      <c r="K2684" s="1" t="s">
        <v>5740</v>
      </c>
      <c r="L2684" s="1" t="s">
        <v>6169</v>
      </c>
      <c r="M2684" s="1">
        <v>201</v>
      </c>
      <c r="N2684" s="1" t="s">
        <v>39</v>
      </c>
      <c r="O2684" s="1">
        <v>42.240299999999998</v>
      </c>
      <c r="P2684" s="1">
        <v>-89.102500000000006</v>
      </c>
      <c r="Q2684" s="1" t="s">
        <v>6170</v>
      </c>
      <c r="R2684" s="1" t="s">
        <v>41</v>
      </c>
      <c r="T2684" s="1" t="s">
        <v>93</v>
      </c>
      <c r="U2684" s="1" t="s">
        <v>44</v>
      </c>
      <c r="X2684" s="1" t="s">
        <v>140</v>
      </c>
      <c r="AA2684" s="3">
        <v>36734</v>
      </c>
      <c r="AB2684" s="1" t="s">
        <v>46</v>
      </c>
      <c r="AC2684" s="5">
        <v>1800</v>
      </c>
      <c r="AD2684" s="1" t="s">
        <v>6171</v>
      </c>
      <c r="AE2684" s="1" t="str">
        <f t="shared" si="188"/>
        <v>55238 1</v>
      </c>
      <c r="AF2684" s="5" t="str">
        <f t="shared" si="189"/>
        <v>166.5</v>
      </c>
      <c r="AG2684" s="1" t="str">
        <f t="shared" si="187"/>
        <v/>
      </c>
    </row>
    <row r="2685" spans="1:33" x14ac:dyDescent="0.2">
      <c r="A2685" s="1" t="s">
        <v>458</v>
      </c>
      <c r="B2685" s="1" t="s">
        <v>6168</v>
      </c>
      <c r="C2685" s="1">
        <v>55238</v>
      </c>
      <c r="D2685" s="1">
        <v>2</v>
      </c>
      <c r="F2685" s="1">
        <v>2023</v>
      </c>
      <c r="G2685" s="1" t="s">
        <v>461</v>
      </c>
      <c r="H2685" s="1">
        <v>605624</v>
      </c>
      <c r="I2685" s="1">
        <v>5</v>
      </c>
      <c r="K2685" s="1" t="s">
        <v>5740</v>
      </c>
      <c r="L2685" s="1" t="s">
        <v>6169</v>
      </c>
      <c r="M2685" s="1">
        <v>201</v>
      </c>
      <c r="N2685" s="1" t="s">
        <v>39</v>
      </c>
      <c r="O2685" s="1">
        <v>42.240299999999998</v>
      </c>
      <c r="P2685" s="1">
        <v>-89.102500000000006</v>
      </c>
      <c r="Q2685" s="1" t="s">
        <v>6170</v>
      </c>
      <c r="R2685" s="1" t="s">
        <v>41</v>
      </c>
      <c r="T2685" s="1" t="s">
        <v>93</v>
      </c>
      <c r="U2685" s="1" t="s">
        <v>44</v>
      </c>
      <c r="X2685" s="1" t="s">
        <v>140</v>
      </c>
      <c r="AA2685" s="3">
        <v>36707</v>
      </c>
      <c r="AB2685" s="1" t="s">
        <v>46</v>
      </c>
      <c r="AC2685" s="5">
        <v>1760</v>
      </c>
      <c r="AD2685" s="1" t="s">
        <v>6172</v>
      </c>
      <c r="AE2685" s="1" t="str">
        <f t="shared" si="188"/>
        <v>55238 2</v>
      </c>
      <c r="AF2685" s="5" t="str">
        <f t="shared" si="189"/>
        <v>166.5</v>
      </c>
      <c r="AG2685" s="1" t="str">
        <f t="shared" si="187"/>
        <v/>
      </c>
    </row>
    <row r="2686" spans="1:33" x14ac:dyDescent="0.2">
      <c r="A2686" s="1" t="s">
        <v>1980</v>
      </c>
      <c r="B2686" s="1" t="s">
        <v>6173</v>
      </c>
      <c r="C2686" s="1">
        <v>55239</v>
      </c>
      <c r="D2686" s="1">
        <v>1</v>
      </c>
      <c r="F2686" s="1">
        <v>2023</v>
      </c>
      <c r="G2686" s="1" t="s">
        <v>1515</v>
      </c>
      <c r="H2686" s="1">
        <v>500625</v>
      </c>
      <c r="I2686" s="1">
        <v>2</v>
      </c>
      <c r="K2686" s="1" t="s">
        <v>601</v>
      </c>
      <c r="L2686" s="1" t="s">
        <v>1987</v>
      </c>
      <c r="M2686" s="1">
        <v>23</v>
      </c>
      <c r="N2686" s="1" t="s">
        <v>39</v>
      </c>
      <c r="O2686" s="1">
        <v>40.448099999999997</v>
      </c>
      <c r="P2686" s="1">
        <v>-74.349699999999999</v>
      </c>
      <c r="Q2686" s="1" t="s">
        <v>6174</v>
      </c>
      <c r="R2686" s="1" t="s">
        <v>41</v>
      </c>
      <c r="T2686" s="1" t="s">
        <v>71</v>
      </c>
      <c r="U2686" s="1" t="s">
        <v>44</v>
      </c>
      <c r="X2686" s="1" t="s">
        <v>442</v>
      </c>
      <c r="AA2686" s="3">
        <v>37422</v>
      </c>
      <c r="AB2686" s="1" t="s">
        <v>46</v>
      </c>
      <c r="AC2686" s="5">
        <v>2180</v>
      </c>
      <c r="AD2686" s="1" t="s">
        <v>6175</v>
      </c>
      <c r="AE2686" s="1" t="str">
        <f t="shared" si="188"/>
        <v>55239 1</v>
      </c>
      <c r="AF2686" s="14">
        <f>MID(AD2686,FIND("(",AD2686)+1,FIND(")",AD2686)-FIND("(",AD2686)-1)+280.5/3</f>
        <v>305.5</v>
      </c>
      <c r="AG2686" s="1" t="str">
        <f t="shared" si="187"/>
        <v>Y</v>
      </c>
    </row>
    <row r="2687" spans="1:33" x14ac:dyDescent="0.2">
      <c r="A2687" s="1" t="s">
        <v>1980</v>
      </c>
      <c r="B2687" s="1" t="s">
        <v>6173</v>
      </c>
      <c r="C2687" s="1">
        <v>55239</v>
      </c>
      <c r="D2687" s="1">
        <v>2</v>
      </c>
      <c r="F2687" s="1">
        <v>2023</v>
      </c>
      <c r="G2687" s="1" t="s">
        <v>1515</v>
      </c>
      <c r="H2687" s="1">
        <v>500625</v>
      </c>
      <c r="I2687" s="1">
        <v>2</v>
      </c>
      <c r="K2687" s="1" t="s">
        <v>601</v>
      </c>
      <c r="L2687" s="1" t="s">
        <v>1987</v>
      </c>
      <c r="M2687" s="1">
        <v>23</v>
      </c>
      <c r="N2687" s="1" t="s">
        <v>39</v>
      </c>
      <c r="O2687" s="1">
        <v>40.448099999999997</v>
      </c>
      <c r="P2687" s="1">
        <v>-74.349699999999999</v>
      </c>
      <c r="Q2687" s="1" t="s">
        <v>6174</v>
      </c>
      <c r="R2687" s="1" t="s">
        <v>41</v>
      </c>
      <c r="T2687" s="1" t="s">
        <v>71</v>
      </c>
      <c r="U2687" s="1" t="s">
        <v>44</v>
      </c>
      <c r="X2687" s="1" t="s">
        <v>442</v>
      </c>
      <c r="AA2687" s="3">
        <v>37422</v>
      </c>
      <c r="AB2687" s="1" t="s">
        <v>46</v>
      </c>
      <c r="AC2687" s="5">
        <v>2180</v>
      </c>
      <c r="AD2687" s="1" t="s">
        <v>6176</v>
      </c>
      <c r="AE2687" s="1" t="str">
        <f t="shared" si="188"/>
        <v>55239 2</v>
      </c>
      <c r="AF2687" s="14">
        <f>AF2686</f>
        <v>305.5</v>
      </c>
      <c r="AG2687" s="1" t="str">
        <f t="shared" si="187"/>
        <v>Y</v>
      </c>
    </row>
    <row r="2688" spans="1:33" x14ac:dyDescent="0.2">
      <c r="A2688" s="1" t="s">
        <v>1980</v>
      </c>
      <c r="B2688" s="1" t="s">
        <v>6173</v>
      </c>
      <c r="C2688" s="1">
        <v>55239</v>
      </c>
      <c r="D2688" s="1">
        <v>3</v>
      </c>
      <c r="F2688" s="1">
        <v>2023</v>
      </c>
      <c r="G2688" s="1" t="s">
        <v>1515</v>
      </c>
      <c r="H2688" s="1">
        <v>500625</v>
      </c>
      <c r="I2688" s="1">
        <v>2</v>
      </c>
      <c r="K2688" s="1" t="s">
        <v>601</v>
      </c>
      <c r="L2688" s="1" t="s">
        <v>1987</v>
      </c>
      <c r="M2688" s="1">
        <v>23</v>
      </c>
      <c r="N2688" s="1" t="s">
        <v>39</v>
      </c>
      <c r="O2688" s="1">
        <v>40.448099999999997</v>
      </c>
      <c r="P2688" s="1">
        <v>-74.349699999999999</v>
      </c>
      <c r="Q2688" s="1" t="s">
        <v>6174</v>
      </c>
      <c r="R2688" s="1" t="s">
        <v>41</v>
      </c>
      <c r="T2688" s="1" t="s">
        <v>71</v>
      </c>
      <c r="U2688" s="1" t="s">
        <v>44</v>
      </c>
      <c r="X2688" s="1" t="s">
        <v>442</v>
      </c>
      <c r="AA2688" s="3">
        <v>37422</v>
      </c>
      <c r="AB2688" s="1" t="s">
        <v>46</v>
      </c>
      <c r="AC2688" s="5">
        <v>2180</v>
      </c>
      <c r="AD2688" s="1" t="s">
        <v>6177</v>
      </c>
      <c r="AE2688" s="1" t="str">
        <f t="shared" si="188"/>
        <v>55239 3</v>
      </c>
      <c r="AF2688" s="14">
        <f>AF2686</f>
        <v>305.5</v>
      </c>
      <c r="AG2688" s="1" t="str">
        <f t="shared" si="187"/>
        <v>Y</v>
      </c>
    </row>
    <row r="2689" spans="1:33" x14ac:dyDescent="0.2">
      <c r="A2689" s="1" t="s">
        <v>32</v>
      </c>
      <c r="B2689" s="1" t="s">
        <v>6178</v>
      </c>
      <c r="C2689" s="1">
        <v>55241</v>
      </c>
      <c r="D2689" s="1" t="s">
        <v>6179</v>
      </c>
      <c r="F2689" s="1">
        <v>2023</v>
      </c>
      <c r="G2689" s="1" t="s">
        <v>35</v>
      </c>
      <c r="H2689" s="1">
        <v>604480</v>
      </c>
      <c r="I2689" s="1">
        <v>4</v>
      </c>
      <c r="K2689" s="1" t="s">
        <v>37</v>
      </c>
      <c r="L2689" s="1" t="s">
        <v>38</v>
      </c>
      <c r="M2689" s="1">
        <v>97</v>
      </c>
      <c r="N2689" s="1" t="s">
        <v>39</v>
      </c>
      <c r="O2689" s="1">
        <v>30.747800000000002</v>
      </c>
      <c r="P2689" s="1">
        <v>-88.057500000000005</v>
      </c>
      <c r="Q2689" s="1" t="s">
        <v>6180</v>
      </c>
      <c r="R2689" s="1" t="s">
        <v>41</v>
      </c>
      <c r="T2689" s="1" t="s">
        <v>71</v>
      </c>
      <c r="U2689" s="1" t="s">
        <v>44</v>
      </c>
      <c r="X2689" s="1" t="s">
        <v>643</v>
      </c>
      <c r="AA2689" s="3">
        <v>36957</v>
      </c>
      <c r="AB2689" s="1" t="s">
        <v>46</v>
      </c>
      <c r="AC2689" s="5">
        <v>2493</v>
      </c>
      <c r="AD2689" s="1" t="s">
        <v>6181</v>
      </c>
      <c r="AE2689" s="1" t="str">
        <f t="shared" si="188"/>
        <v>55241 COG01</v>
      </c>
      <c r="AF2689" s="14">
        <f>MID(AD2689,FIND("(",AD2689)+1,FIND(")",AD2689)-FIND("(",AD2689)-1)+80</f>
        <v>280</v>
      </c>
      <c r="AG2689" s="1" t="str">
        <f t="shared" si="187"/>
        <v>Y</v>
      </c>
    </row>
    <row r="2690" spans="1:33" x14ac:dyDescent="0.2">
      <c r="A2690" s="1" t="s">
        <v>304</v>
      </c>
      <c r="B2690" s="1" t="s">
        <v>6182</v>
      </c>
      <c r="C2690" s="1">
        <v>55242</v>
      </c>
      <c r="D2690" s="1" t="s">
        <v>1296</v>
      </c>
      <c r="F2690" s="1">
        <v>2023</v>
      </c>
      <c r="G2690" s="1" t="s">
        <v>247</v>
      </c>
      <c r="H2690" s="1">
        <v>605624</v>
      </c>
      <c r="I2690" s="1">
        <v>4</v>
      </c>
      <c r="K2690" s="1" t="s">
        <v>6183</v>
      </c>
      <c r="L2690" s="1" t="s">
        <v>6184</v>
      </c>
      <c r="M2690" s="1">
        <v>113</v>
      </c>
      <c r="N2690" s="1" t="s">
        <v>39</v>
      </c>
      <c r="O2690" s="1">
        <v>30.566099999999999</v>
      </c>
      <c r="P2690" s="1">
        <v>-87.114999999999995</v>
      </c>
      <c r="Q2690" s="1" t="s">
        <v>6185</v>
      </c>
      <c r="R2690" s="1" t="s">
        <v>41</v>
      </c>
      <c r="T2690" s="1" t="s">
        <v>71</v>
      </c>
      <c r="U2690" s="1" t="s">
        <v>44</v>
      </c>
      <c r="X2690" s="1" t="s">
        <v>140</v>
      </c>
      <c r="AA2690" s="3">
        <v>37387</v>
      </c>
      <c r="AB2690" s="1" t="s">
        <v>46</v>
      </c>
      <c r="AC2690" s="5">
        <v>1958</v>
      </c>
      <c r="AD2690" s="1" t="s">
        <v>6186</v>
      </c>
      <c r="AE2690" s="1" t="str">
        <f t="shared" si="188"/>
        <v>55242 CT-1</v>
      </c>
      <c r="AF2690" s="14">
        <f>MID(AD2690,FIND("(",AD2690)+1,FIND(")",AD2690)-FIND("(",AD2690)-1)+74.5</f>
        <v>274.60000000000002</v>
      </c>
      <c r="AG2690" s="1" t="str">
        <f t="shared" ref="AG2690:AG2753" si="190">IF(ISNUMBER(SEARCH("selective", X2690)), "Y", "")</f>
        <v/>
      </c>
    </row>
    <row r="2691" spans="1:33" x14ac:dyDescent="0.2">
      <c r="A2691" s="1" t="s">
        <v>2089</v>
      </c>
      <c r="B2691" s="1" t="s">
        <v>6187</v>
      </c>
      <c r="C2691" s="1">
        <v>55243</v>
      </c>
      <c r="D2691" s="1" t="s">
        <v>6188</v>
      </c>
      <c r="E2691" s="1" t="s">
        <v>6189</v>
      </c>
      <c r="F2691" s="1">
        <v>2023</v>
      </c>
      <c r="G2691" s="1" t="s">
        <v>6190</v>
      </c>
      <c r="H2691" s="1" t="s">
        <v>6191</v>
      </c>
      <c r="I2691" s="1">
        <v>2</v>
      </c>
      <c r="J2691" s="1" t="s">
        <v>580</v>
      </c>
      <c r="K2691" s="1" t="s">
        <v>2202</v>
      </c>
      <c r="L2691" s="1" t="s">
        <v>2203</v>
      </c>
      <c r="M2691" s="1">
        <v>81</v>
      </c>
      <c r="N2691" s="1" t="s">
        <v>39</v>
      </c>
      <c r="O2691" s="1">
        <v>40.7864</v>
      </c>
      <c r="P2691" s="1">
        <v>-73.913300000000007</v>
      </c>
      <c r="Q2691" s="1" t="s">
        <v>6192</v>
      </c>
      <c r="T2691" s="1" t="s">
        <v>93</v>
      </c>
      <c r="U2691" s="1" t="s">
        <v>44</v>
      </c>
      <c r="V2691" s="1" t="s">
        <v>94</v>
      </c>
      <c r="AA2691" s="3">
        <v>25720</v>
      </c>
      <c r="AB2691" s="1" t="s">
        <v>6193</v>
      </c>
      <c r="AC2691" s="5">
        <v>255</v>
      </c>
      <c r="AD2691" s="1" t="s">
        <v>6194</v>
      </c>
      <c r="AE2691" s="1" t="str">
        <f t="shared" ref="AE2691:AE2754" si="191">C2691&amp;" "&amp;D2691</f>
        <v>55243 CT2-1A</v>
      </c>
      <c r="AF2691" s="5" t="str">
        <f t="shared" ref="AF2691:AF2722" si="192">MID(AD2691,FIND("(",AD2691)+1,FIND(")",AD2691)-FIND("(",AD2691)-1)</f>
        <v>40</v>
      </c>
      <c r="AG2691" s="1" t="str">
        <f t="shared" si="190"/>
        <v/>
      </c>
    </row>
    <row r="2692" spans="1:33" x14ac:dyDescent="0.2">
      <c r="A2692" s="1" t="s">
        <v>2089</v>
      </c>
      <c r="B2692" s="1" t="s">
        <v>6187</v>
      </c>
      <c r="C2692" s="1">
        <v>55243</v>
      </c>
      <c r="D2692" s="1" t="s">
        <v>6195</v>
      </c>
      <c r="E2692" s="1" t="s">
        <v>6189</v>
      </c>
      <c r="F2692" s="1">
        <v>2023</v>
      </c>
      <c r="G2692" s="1" t="s">
        <v>6190</v>
      </c>
      <c r="H2692" s="1" t="s">
        <v>6191</v>
      </c>
      <c r="I2692" s="1">
        <v>2</v>
      </c>
      <c r="J2692" s="1" t="s">
        <v>580</v>
      </c>
      <c r="K2692" s="1" t="s">
        <v>2202</v>
      </c>
      <c r="L2692" s="1" t="s">
        <v>2203</v>
      </c>
      <c r="M2692" s="1">
        <v>81</v>
      </c>
      <c r="N2692" s="1" t="s">
        <v>39</v>
      </c>
      <c r="O2692" s="1">
        <v>40.7864</v>
      </c>
      <c r="P2692" s="1">
        <v>-73.913300000000007</v>
      </c>
      <c r="Q2692" s="1" t="s">
        <v>6192</v>
      </c>
      <c r="T2692" s="1" t="s">
        <v>93</v>
      </c>
      <c r="U2692" s="1" t="s">
        <v>44</v>
      </c>
      <c r="V2692" s="1" t="s">
        <v>94</v>
      </c>
      <c r="AA2692" s="3">
        <v>25720</v>
      </c>
      <c r="AB2692" s="1" t="s">
        <v>6193</v>
      </c>
      <c r="AC2692" s="5">
        <v>255</v>
      </c>
      <c r="AD2692" s="1" t="s">
        <v>6194</v>
      </c>
      <c r="AE2692" s="1" t="str">
        <f t="shared" si="191"/>
        <v>55243 CT2-1B</v>
      </c>
      <c r="AF2692" s="5" t="str">
        <f t="shared" si="192"/>
        <v>40</v>
      </c>
      <c r="AG2692" s="1" t="str">
        <f t="shared" si="190"/>
        <v/>
      </c>
    </row>
    <row r="2693" spans="1:33" x14ac:dyDescent="0.2">
      <c r="A2693" s="1" t="s">
        <v>2089</v>
      </c>
      <c r="B2693" s="1" t="s">
        <v>6187</v>
      </c>
      <c r="C2693" s="1">
        <v>55243</v>
      </c>
      <c r="D2693" s="1" t="s">
        <v>6196</v>
      </c>
      <c r="E2693" s="1" t="s">
        <v>6189</v>
      </c>
      <c r="F2693" s="1">
        <v>2023</v>
      </c>
      <c r="G2693" s="1" t="s">
        <v>6190</v>
      </c>
      <c r="H2693" s="1" t="s">
        <v>6191</v>
      </c>
      <c r="I2693" s="1">
        <v>2</v>
      </c>
      <c r="J2693" s="1" t="s">
        <v>580</v>
      </c>
      <c r="K2693" s="1" t="s">
        <v>2202</v>
      </c>
      <c r="L2693" s="1" t="s">
        <v>2203</v>
      </c>
      <c r="M2693" s="1">
        <v>81</v>
      </c>
      <c r="N2693" s="1" t="s">
        <v>39</v>
      </c>
      <c r="O2693" s="1">
        <v>40.7864</v>
      </c>
      <c r="P2693" s="1">
        <v>-73.913300000000007</v>
      </c>
      <c r="Q2693" s="1" t="s">
        <v>6192</v>
      </c>
      <c r="T2693" s="1" t="s">
        <v>93</v>
      </c>
      <c r="U2693" s="1" t="s">
        <v>44</v>
      </c>
      <c r="V2693" s="1" t="s">
        <v>94</v>
      </c>
      <c r="AA2693" s="3">
        <v>25720</v>
      </c>
      <c r="AB2693" s="1" t="s">
        <v>6193</v>
      </c>
      <c r="AC2693" s="5">
        <v>255</v>
      </c>
      <c r="AD2693" s="1" t="s">
        <v>6197</v>
      </c>
      <c r="AE2693" s="1" t="str">
        <f t="shared" si="191"/>
        <v>55243 CT2-2A</v>
      </c>
      <c r="AF2693" s="5" t="str">
        <f t="shared" si="192"/>
        <v>40</v>
      </c>
      <c r="AG2693" s="1" t="str">
        <f t="shared" si="190"/>
        <v/>
      </c>
    </row>
    <row r="2694" spans="1:33" x14ac:dyDescent="0.2">
      <c r="A2694" s="1" t="s">
        <v>2089</v>
      </c>
      <c r="B2694" s="1" t="s">
        <v>6187</v>
      </c>
      <c r="C2694" s="1">
        <v>55243</v>
      </c>
      <c r="D2694" s="1" t="s">
        <v>6198</v>
      </c>
      <c r="E2694" s="1" t="s">
        <v>6189</v>
      </c>
      <c r="F2694" s="1">
        <v>2023</v>
      </c>
      <c r="G2694" s="1" t="s">
        <v>6190</v>
      </c>
      <c r="H2694" s="1" t="s">
        <v>6191</v>
      </c>
      <c r="I2694" s="1">
        <v>2</v>
      </c>
      <c r="J2694" s="1" t="s">
        <v>580</v>
      </c>
      <c r="K2694" s="1" t="s">
        <v>2202</v>
      </c>
      <c r="L2694" s="1" t="s">
        <v>2203</v>
      </c>
      <c r="M2694" s="1">
        <v>81</v>
      </c>
      <c r="N2694" s="1" t="s">
        <v>39</v>
      </c>
      <c r="O2694" s="1">
        <v>40.7864</v>
      </c>
      <c r="P2694" s="1">
        <v>-73.913300000000007</v>
      </c>
      <c r="Q2694" s="1" t="s">
        <v>6192</v>
      </c>
      <c r="T2694" s="1" t="s">
        <v>93</v>
      </c>
      <c r="U2694" s="1" t="s">
        <v>44</v>
      </c>
      <c r="V2694" s="1" t="s">
        <v>94</v>
      </c>
      <c r="AA2694" s="3">
        <v>25720</v>
      </c>
      <c r="AB2694" s="1" t="s">
        <v>6193</v>
      </c>
      <c r="AC2694" s="5">
        <v>255</v>
      </c>
      <c r="AD2694" s="1" t="s">
        <v>6197</v>
      </c>
      <c r="AE2694" s="1" t="str">
        <f t="shared" si="191"/>
        <v>55243 CT2-2B</v>
      </c>
      <c r="AF2694" s="5" t="str">
        <f t="shared" si="192"/>
        <v>40</v>
      </c>
      <c r="AG2694" s="1" t="str">
        <f t="shared" si="190"/>
        <v/>
      </c>
    </row>
    <row r="2695" spans="1:33" x14ac:dyDescent="0.2">
      <c r="A2695" s="1" t="s">
        <v>2089</v>
      </c>
      <c r="B2695" s="1" t="s">
        <v>6187</v>
      </c>
      <c r="C2695" s="1">
        <v>55243</v>
      </c>
      <c r="D2695" s="1" t="s">
        <v>6199</v>
      </c>
      <c r="E2695" s="1" t="s">
        <v>6189</v>
      </c>
      <c r="F2695" s="1">
        <v>2023</v>
      </c>
      <c r="G2695" s="1" t="s">
        <v>6190</v>
      </c>
      <c r="H2695" s="1" t="s">
        <v>6191</v>
      </c>
      <c r="I2695" s="1">
        <v>2</v>
      </c>
      <c r="J2695" s="1" t="s">
        <v>580</v>
      </c>
      <c r="K2695" s="1" t="s">
        <v>2202</v>
      </c>
      <c r="L2695" s="1" t="s">
        <v>2203</v>
      </c>
      <c r="M2695" s="1">
        <v>81</v>
      </c>
      <c r="N2695" s="1" t="s">
        <v>39</v>
      </c>
      <c r="O2695" s="1">
        <v>40.7864</v>
      </c>
      <c r="P2695" s="1">
        <v>-73.913300000000007</v>
      </c>
      <c r="Q2695" s="1" t="s">
        <v>6192</v>
      </c>
      <c r="T2695" s="1" t="s">
        <v>93</v>
      </c>
      <c r="U2695" s="1" t="s">
        <v>44</v>
      </c>
      <c r="V2695" s="1" t="s">
        <v>94</v>
      </c>
      <c r="AA2695" s="3">
        <v>25720</v>
      </c>
      <c r="AB2695" s="1" t="s">
        <v>6193</v>
      </c>
      <c r="AC2695" s="5">
        <v>255</v>
      </c>
      <c r="AD2695" s="1" t="s">
        <v>6200</v>
      </c>
      <c r="AE2695" s="1" t="str">
        <f t="shared" si="191"/>
        <v>55243 CT2-3A</v>
      </c>
      <c r="AF2695" s="5" t="str">
        <f t="shared" si="192"/>
        <v>40</v>
      </c>
      <c r="AG2695" s="1" t="str">
        <f t="shared" si="190"/>
        <v/>
      </c>
    </row>
    <row r="2696" spans="1:33" x14ac:dyDescent="0.2">
      <c r="A2696" s="1" t="s">
        <v>2089</v>
      </c>
      <c r="B2696" s="1" t="s">
        <v>6187</v>
      </c>
      <c r="C2696" s="1">
        <v>55243</v>
      </c>
      <c r="D2696" s="1" t="s">
        <v>6201</v>
      </c>
      <c r="E2696" s="1" t="s">
        <v>6189</v>
      </c>
      <c r="F2696" s="1">
        <v>2023</v>
      </c>
      <c r="G2696" s="1" t="s">
        <v>6190</v>
      </c>
      <c r="H2696" s="1" t="s">
        <v>6191</v>
      </c>
      <c r="I2696" s="1">
        <v>2</v>
      </c>
      <c r="J2696" s="1" t="s">
        <v>580</v>
      </c>
      <c r="K2696" s="1" t="s">
        <v>2202</v>
      </c>
      <c r="L2696" s="1" t="s">
        <v>2203</v>
      </c>
      <c r="M2696" s="1">
        <v>81</v>
      </c>
      <c r="N2696" s="1" t="s">
        <v>39</v>
      </c>
      <c r="O2696" s="1">
        <v>40.7864</v>
      </c>
      <c r="P2696" s="1">
        <v>-73.913300000000007</v>
      </c>
      <c r="Q2696" s="1" t="s">
        <v>6192</v>
      </c>
      <c r="T2696" s="1" t="s">
        <v>93</v>
      </c>
      <c r="U2696" s="1" t="s">
        <v>44</v>
      </c>
      <c r="V2696" s="1" t="s">
        <v>94</v>
      </c>
      <c r="AA2696" s="3">
        <v>25720</v>
      </c>
      <c r="AB2696" s="1" t="s">
        <v>6193</v>
      </c>
      <c r="AC2696" s="5">
        <v>255</v>
      </c>
      <c r="AD2696" s="1" t="s">
        <v>6200</v>
      </c>
      <c r="AE2696" s="1" t="str">
        <f t="shared" si="191"/>
        <v>55243 CT2-3B</v>
      </c>
      <c r="AF2696" s="5" t="str">
        <f t="shared" si="192"/>
        <v>40</v>
      </c>
      <c r="AG2696" s="1" t="str">
        <f t="shared" si="190"/>
        <v/>
      </c>
    </row>
    <row r="2697" spans="1:33" x14ac:dyDescent="0.2">
      <c r="A2697" s="1" t="s">
        <v>2089</v>
      </c>
      <c r="B2697" s="1" t="s">
        <v>6187</v>
      </c>
      <c r="C2697" s="1">
        <v>55243</v>
      </c>
      <c r="D2697" s="1" t="s">
        <v>6202</v>
      </c>
      <c r="E2697" s="1" t="s">
        <v>6189</v>
      </c>
      <c r="F2697" s="1">
        <v>2023</v>
      </c>
      <c r="G2697" s="1" t="s">
        <v>6190</v>
      </c>
      <c r="H2697" s="1" t="s">
        <v>6191</v>
      </c>
      <c r="I2697" s="1">
        <v>2</v>
      </c>
      <c r="J2697" s="1" t="s">
        <v>580</v>
      </c>
      <c r="K2697" s="1" t="s">
        <v>2202</v>
      </c>
      <c r="L2697" s="1" t="s">
        <v>2203</v>
      </c>
      <c r="M2697" s="1">
        <v>81</v>
      </c>
      <c r="N2697" s="1" t="s">
        <v>39</v>
      </c>
      <c r="O2697" s="1">
        <v>40.7864</v>
      </c>
      <c r="P2697" s="1">
        <v>-73.913300000000007</v>
      </c>
      <c r="Q2697" s="1" t="s">
        <v>6192</v>
      </c>
      <c r="T2697" s="1" t="s">
        <v>93</v>
      </c>
      <c r="U2697" s="1" t="s">
        <v>44</v>
      </c>
      <c r="V2697" s="1" t="s">
        <v>94</v>
      </c>
      <c r="AA2697" s="3">
        <v>25720</v>
      </c>
      <c r="AB2697" s="1" t="s">
        <v>6193</v>
      </c>
      <c r="AC2697" s="5">
        <v>255</v>
      </c>
      <c r="AD2697" s="1" t="s">
        <v>6203</v>
      </c>
      <c r="AE2697" s="1" t="str">
        <f t="shared" si="191"/>
        <v>55243 CT2-4A</v>
      </c>
      <c r="AF2697" s="5" t="str">
        <f t="shared" si="192"/>
        <v>40</v>
      </c>
      <c r="AG2697" s="1" t="str">
        <f t="shared" si="190"/>
        <v/>
      </c>
    </row>
    <row r="2698" spans="1:33" x14ac:dyDescent="0.2">
      <c r="A2698" s="1" t="s">
        <v>2089</v>
      </c>
      <c r="B2698" s="1" t="s">
        <v>6187</v>
      </c>
      <c r="C2698" s="1">
        <v>55243</v>
      </c>
      <c r="D2698" s="1" t="s">
        <v>6204</v>
      </c>
      <c r="E2698" s="1" t="s">
        <v>6189</v>
      </c>
      <c r="F2698" s="1">
        <v>2023</v>
      </c>
      <c r="G2698" s="1" t="s">
        <v>6190</v>
      </c>
      <c r="H2698" s="1" t="s">
        <v>6191</v>
      </c>
      <c r="I2698" s="1">
        <v>2</v>
      </c>
      <c r="J2698" s="1" t="s">
        <v>580</v>
      </c>
      <c r="K2698" s="1" t="s">
        <v>2202</v>
      </c>
      <c r="L2698" s="1" t="s">
        <v>2203</v>
      </c>
      <c r="M2698" s="1">
        <v>81</v>
      </c>
      <c r="N2698" s="1" t="s">
        <v>39</v>
      </c>
      <c r="O2698" s="1">
        <v>40.7864</v>
      </c>
      <c r="P2698" s="1">
        <v>-73.913300000000007</v>
      </c>
      <c r="Q2698" s="1" t="s">
        <v>6192</v>
      </c>
      <c r="T2698" s="1" t="s">
        <v>93</v>
      </c>
      <c r="U2698" s="1" t="s">
        <v>44</v>
      </c>
      <c r="V2698" s="1" t="s">
        <v>94</v>
      </c>
      <c r="AA2698" s="3">
        <v>25720</v>
      </c>
      <c r="AB2698" s="1" t="s">
        <v>6193</v>
      </c>
      <c r="AC2698" s="5">
        <v>255</v>
      </c>
      <c r="AD2698" s="1" t="s">
        <v>6203</v>
      </c>
      <c r="AE2698" s="1" t="str">
        <f t="shared" si="191"/>
        <v>55243 CT2-4B</v>
      </c>
      <c r="AF2698" s="5" t="str">
        <f t="shared" si="192"/>
        <v>40</v>
      </c>
      <c r="AG2698" s="1" t="str">
        <f t="shared" si="190"/>
        <v/>
      </c>
    </row>
    <row r="2699" spans="1:33" x14ac:dyDescent="0.2">
      <c r="A2699" s="1" t="s">
        <v>2089</v>
      </c>
      <c r="B2699" s="1" t="s">
        <v>6187</v>
      </c>
      <c r="C2699" s="1">
        <v>55243</v>
      </c>
      <c r="D2699" s="1" t="s">
        <v>6205</v>
      </c>
      <c r="E2699" s="1" t="s">
        <v>6206</v>
      </c>
      <c r="F2699" s="1">
        <v>2023</v>
      </c>
      <c r="G2699" s="1" t="s">
        <v>6190</v>
      </c>
      <c r="H2699" s="1" t="s">
        <v>6191</v>
      </c>
      <c r="I2699" s="1">
        <v>2</v>
      </c>
      <c r="J2699" s="1" t="s">
        <v>580</v>
      </c>
      <c r="K2699" s="1" t="s">
        <v>2202</v>
      </c>
      <c r="L2699" s="1" t="s">
        <v>2203</v>
      </c>
      <c r="M2699" s="1">
        <v>81</v>
      </c>
      <c r="N2699" s="1" t="s">
        <v>39</v>
      </c>
      <c r="O2699" s="1">
        <v>40.7864</v>
      </c>
      <c r="P2699" s="1">
        <v>-73.913300000000007</v>
      </c>
      <c r="Q2699" s="1" t="s">
        <v>6192</v>
      </c>
      <c r="T2699" s="1" t="s">
        <v>93</v>
      </c>
      <c r="U2699" s="1" t="s">
        <v>44</v>
      </c>
      <c r="V2699" s="1" t="s">
        <v>94</v>
      </c>
      <c r="AA2699" s="3">
        <v>25720</v>
      </c>
      <c r="AB2699" s="1" t="s">
        <v>6193</v>
      </c>
      <c r="AC2699" s="5">
        <v>255</v>
      </c>
      <c r="AD2699" s="1" t="s">
        <v>6207</v>
      </c>
      <c r="AE2699" s="1" t="str">
        <f t="shared" si="191"/>
        <v>55243 CT3-1A</v>
      </c>
      <c r="AF2699" s="5" t="str">
        <f t="shared" si="192"/>
        <v>40</v>
      </c>
      <c r="AG2699" s="1" t="str">
        <f t="shared" si="190"/>
        <v/>
      </c>
    </row>
    <row r="2700" spans="1:33" x14ac:dyDescent="0.2">
      <c r="A2700" s="1" t="s">
        <v>2089</v>
      </c>
      <c r="B2700" s="1" t="s">
        <v>6187</v>
      </c>
      <c r="C2700" s="1">
        <v>55243</v>
      </c>
      <c r="D2700" s="1" t="s">
        <v>6208</v>
      </c>
      <c r="E2700" s="1" t="s">
        <v>6206</v>
      </c>
      <c r="F2700" s="1">
        <v>2023</v>
      </c>
      <c r="G2700" s="1" t="s">
        <v>6190</v>
      </c>
      <c r="H2700" s="1" t="s">
        <v>6191</v>
      </c>
      <c r="I2700" s="1">
        <v>2</v>
      </c>
      <c r="J2700" s="1" t="s">
        <v>580</v>
      </c>
      <c r="K2700" s="1" t="s">
        <v>2202</v>
      </c>
      <c r="L2700" s="1" t="s">
        <v>2203</v>
      </c>
      <c r="M2700" s="1">
        <v>81</v>
      </c>
      <c r="N2700" s="1" t="s">
        <v>39</v>
      </c>
      <c r="O2700" s="1">
        <v>40.7864</v>
      </c>
      <c r="P2700" s="1">
        <v>-73.913300000000007</v>
      </c>
      <c r="Q2700" s="1" t="s">
        <v>6192</v>
      </c>
      <c r="T2700" s="1" t="s">
        <v>93</v>
      </c>
      <c r="U2700" s="1" t="s">
        <v>44</v>
      </c>
      <c r="V2700" s="1" t="s">
        <v>94</v>
      </c>
      <c r="AA2700" s="3">
        <v>25720</v>
      </c>
      <c r="AB2700" s="1" t="s">
        <v>6193</v>
      </c>
      <c r="AC2700" s="5">
        <v>255</v>
      </c>
      <c r="AD2700" s="1" t="s">
        <v>6207</v>
      </c>
      <c r="AE2700" s="1" t="str">
        <f t="shared" si="191"/>
        <v>55243 CT3-1B</v>
      </c>
      <c r="AF2700" s="5" t="str">
        <f t="shared" si="192"/>
        <v>40</v>
      </c>
      <c r="AG2700" s="1" t="str">
        <f t="shared" si="190"/>
        <v/>
      </c>
    </row>
    <row r="2701" spans="1:33" x14ac:dyDescent="0.2">
      <c r="A2701" s="1" t="s">
        <v>2089</v>
      </c>
      <c r="B2701" s="1" t="s">
        <v>6187</v>
      </c>
      <c r="C2701" s="1">
        <v>55243</v>
      </c>
      <c r="D2701" s="1" t="s">
        <v>6209</v>
      </c>
      <c r="E2701" s="1" t="s">
        <v>6206</v>
      </c>
      <c r="F2701" s="1">
        <v>2023</v>
      </c>
      <c r="G2701" s="1" t="s">
        <v>6190</v>
      </c>
      <c r="H2701" s="1" t="s">
        <v>6191</v>
      </c>
      <c r="I2701" s="1">
        <v>2</v>
      </c>
      <c r="J2701" s="1" t="s">
        <v>580</v>
      </c>
      <c r="K2701" s="1" t="s">
        <v>2202</v>
      </c>
      <c r="L2701" s="1" t="s">
        <v>2203</v>
      </c>
      <c r="M2701" s="1">
        <v>81</v>
      </c>
      <c r="N2701" s="1" t="s">
        <v>39</v>
      </c>
      <c r="O2701" s="1">
        <v>40.7864</v>
      </c>
      <c r="P2701" s="1">
        <v>-73.913300000000007</v>
      </c>
      <c r="Q2701" s="1" t="s">
        <v>6192</v>
      </c>
      <c r="T2701" s="1" t="s">
        <v>93</v>
      </c>
      <c r="U2701" s="1" t="s">
        <v>44</v>
      </c>
      <c r="V2701" s="1" t="s">
        <v>94</v>
      </c>
      <c r="AA2701" s="3">
        <v>25720</v>
      </c>
      <c r="AB2701" s="1" t="s">
        <v>6193</v>
      </c>
      <c r="AC2701" s="5">
        <v>255</v>
      </c>
      <c r="AD2701" s="1" t="s">
        <v>6210</v>
      </c>
      <c r="AE2701" s="1" t="str">
        <f t="shared" si="191"/>
        <v>55243 CT3-2A</v>
      </c>
      <c r="AF2701" s="5" t="str">
        <f t="shared" si="192"/>
        <v>40</v>
      </c>
      <c r="AG2701" s="1" t="str">
        <f t="shared" si="190"/>
        <v/>
      </c>
    </row>
    <row r="2702" spans="1:33" x14ac:dyDescent="0.2">
      <c r="A2702" s="1" t="s">
        <v>2089</v>
      </c>
      <c r="B2702" s="1" t="s">
        <v>6187</v>
      </c>
      <c r="C2702" s="1">
        <v>55243</v>
      </c>
      <c r="D2702" s="1" t="s">
        <v>6211</v>
      </c>
      <c r="E2702" s="1" t="s">
        <v>6206</v>
      </c>
      <c r="F2702" s="1">
        <v>2023</v>
      </c>
      <c r="G2702" s="1" t="s">
        <v>6190</v>
      </c>
      <c r="H2702" s="1" t="s">
        <v>6191</v>
      </c>
      <c r="I2702" s="1">
        <v>2</v>
      </c>
      <c r="J2702" s="1" t="s">
        <v>580</v>
      </c>
      <c r="K2702" s="1" t="s">
        <v>2202</v>
      </c>
      <c r="L2702" s="1" t="s">
        <v>2203</v>
      </c>
      <c r="M2702" s="1">
        <v>81</v>
      </c>
      <c r="N2702" s="1" t="s">
        <v>39</v>
      </c>
      <c r="O2702" s="1">
        <v>40.7864</v>
      </c>
      <c r="P2702" s="1">
        <v>-73.913300000000007</v>
      </c>
      <c r="Q2702" s="1" t="s">
        <v>6192</v>
      </c>
      <c r="T2702" s="1" t="s">
        <v>93</v>
      </c>
      <c r="U2702" s="1" t="s">
        <v>44</v>
      </c>
      <c r="V2702" s="1" t="s">
        <v>94</v>
      </c>
      <c r="AA2702" s="3">
        <v>25720</v>
      </c>
      <c r="AB2702" s="1" t="s">
        <v>6193</v>
      </c>
      <c r="AC2702" s="5">
        <v>255</v>
      </c>
      <c r="AD2702" s="1" t="s">
        <v>6210</v>
      </c>
      <c r="AE2702" s="1" t="str">
        <f t="shared" si="191"/>
        <v>55243 CT3-2B</v>
      </c>
      <c r="AF2702" s="5" t="str">
        <f t="shared" si="192"/>
        <v>40</v>
      </c>
      <c r="AG2702" s="1" t="str">
        <f t="shared" si="190"/>
        <v/>
      </c>
    </row>
    <row r="2703" spans="1:33" x14ac:dyDescent="0.2">
      <c r="A2703" s="1" t="s">
        <v>2089</v>
      </c>
      <c r="B2703" s="1" t="s">
        <v>6187</v>
      </c>
      <c r="C2703" s="1">
        <v>55243</v>
      </c>
      <c r="D2703" s="1" t="s">
        <v>6212</v>
      </c>
      <c r="E2703" s="1" t="s">
        <v>6206</v>
      </c>
      <c r="F2703" s="1">
        <v>2023</v>
      </c>
      <c r="G2703" s="1" t="s">
        <v>6190</v>
      </c>
      <c r="H2703" s="1" t="s">
        <v>6191</v>
      </c>
      <c r="I2703" s="1">
        <v>2</v>
      </c>
      <c r="J2703" s="1" t="s">
        <v>580</v>
      </c>
      <c r="K2703" s="1" t="s">
        <v>2202</v>
      </c>
      <c r="L2703" s="1" t="s">
        <v>2203</v>
      </c>
      <c r="M2703" s="1">
        <v>81</v>
      </c>
      <c r="N2703" s="1" t="s">
        <v>39</v>
      </c>
      <c r="O2703" s="1">
        <v>40.7864</v>
      </c>
      <c r="P2703" s="1">
        <v>-73.913300000000007</v>
      </c>
      <c r="Q2703" s="1" t="s">
        <v>6192</v>
      </c>
      <c r="T2703" s="1" t="s">
        <v>93</v>
      </c>
      <c r="U2703" s="1" t="s">
        <v>44</v>
      </c>
      <c r="V2703" s="1" t="s">
        <v>94</v>
      </c>
      <c r="AA2703" s="3">
        <v>25720</v>
      </c>
      <c r="AB2703" s="1" t="s">
        <v>6193</v>
      </c>
      <c r="AC2703" s="5">
        <v>255</v>
      </c>
      <c r="AD2703" s="1" t="s">
        <v>6213</v>
      </c>
      <c r="AE2703" s="1" t="str">
        <f t="shared" si="191"/>
        <v>55243 CT3-3A</v>
      </c>
      <c r="AF2703" s="5" t="str">
        <f t="shared" si="192"/>
        <v>40</v>
      </c>
      <c r="AG2703" s="1" t="str">
        <f t="shared" si="190"/>
        <v/>
      </c>
    </row>
    <row r="2704" spans="1:33" x14ac:dyDescent="0.2">
      <c r="A2704" s="1" t="s">
        <v>2089</v>
      </c>
      <c r="B2704" s="1" t="s">
        <v>6187</v>
      </c>
      <c r="C2704" s="1">
        <v>55243</v>
      </c>
      <c r="D2704" s="1" t="s">
        <v>6214</v>
      </c>
      <c r="E2704" s="1" t="s">
        <v>6206</v>
      </c>
      <c r="F2704" s="1">
        <v>2023</v>
      </c>
      <c r="G2704" s="1" t="s">
        <v>6190</v>
      </c>
      <c r="H2704" s="1" t="s">
        <v>6191</v>
      </c>
      <c r="I2704" s="1">
        <v>2</v>
      </c>
      <c r="J2704" s="1" t="s">
        <v>580</v>
      </c>
      <c r="K2704" s="1" t="s">
        <v>2202</v>
      </c>
      <c r="L2704" s="1" t="s">
        <v>2203</v>
      </c>
      <c r="M2704" s="1">
        <v>81</v>
      </c>
      <c r="N2704" s="1" t="s">
        <v>39</v>
      </c>
      <c r="O2704" s="1">
        <v>40.7864</v>
      </c>
      <c r="P2704" s="1">
        <v>-73.913300000000007</v>
      </c>
      <c r="Q2704" s="1" t="s">
        <v>6192</v>
      </c>
      <c r="T2704" s="1" t="s">
        <v>93</v>
      </c>
      <c r="U2704" s="1" t="s">
        <v>44</v>
      </c>
      <c r="V2704" s="1" t="s">
        <v>94</v>
      </c>
      <c r="AA2704" s="3">
        <v>25720</v>
      </c>
      <c r="AB2704" s="1" t="s">
        <v>6193</v>
      </c>
      <c r="AC2704" s="5">
        <v>255</v>
      </c>
      <c r="AD2704" s="1" t="s">
        <v>6213</v>
      </c>
      <c r="AE2704" s="1" t="str">
        <f t="shared" si="191"/>
        <v>55243 CT3-3B</v>
      </c>
      <c r="AF2704" s="5" t="str">
        <f t="shared" si="192"/>
        <v>40</v>
      </c>
      <c r="AG2704" s="1" t="str">
        <f t="shared" si="190"/>
        <v/>
      </c>
    </row>
    <row r="2705" spans="1:33" x14ac:dyDescent="0.2">
      <c r="A2705" s="1" t="s">
        <v>2089</v>
      </c>
      <c r="B2705" s="1" t="s">
        <v>6187</v>
      </c>
      <c r="C2705" s="1">
        <v>55243</v>
      </c>
      <c r="D2705" s="1" t="s">
        <v>6215</v>
      </c>
      <c r="E2705" s="1" t="s">
        <v>6206</v>
      </c>
      <c r="F2705" s="1">
        <v>2023</v>
      </c>
      <c r="G2705" s="1" t="s">
        <v>6190</v>
      </c>
      <c r="H2705" s="1" t="s">
        <v>6191</v>
      </c>
      <c r="I2705" s="1">
        <v>2</v>
      </c>
      <c r="J2705" s="1" t="s">
        <v>580</v>
      </c>
      <c r="K2705" s="1" t="s">
        <v>2202</v>
      </c>
      <c r="L2705" s="1" t="s">
        <v>2203</v>
      </c>
      <c r="M2705" s="1">
        <v>81</v>
      </c>
      <c r="N2705" s="1" t="s">
        <v>39</v>
      </c>
      <c r="O2705" s="1">
        <v>40.7864</v>
      </c>
      <c r="P2705" s="1">
        <v>-73.913300000000007</v>
      </c>
      <c r="Q2705" s="1" t="s">
        <v>6192</v>
      </c>
      <c r="T2705" s="1" t="s">
        <v>93</v>
      </c>
      <c r="U2705" s="1" t="s">
        <v>44</v>
      </c>
      <c r="V2705" s="1" t="s">
        <v>94</v>
      </c>
      <c r="AA2705" s="3">
        <v>25720</v>
      </c>
      <c r="AB2705" s="1" t="s">
        <v>6193</v>
      </c>
      <c r="AC2705" s="5">
        <v>255</v>
      </c>
      <c r="AD2705" s="1" t="s">
        <v>6216</v>
      </c>
      <c r="AE2705" s="1" t="str">
        <f t="shared" si="191"/>
        <v>55243 CT3-4A</v>
      </c>
      <c r="AF2705" s="5" t="str">
        <f t="shared" si="192"/>
        <v>40</v>
      </c>
      <c r="AG2705" s="1" t="str">
        <f t="shared" si="190"/>
        <v/>
      </c>
    </row>
    <row r="2706" spans="1:33" x14ac:dyDescent="0.2">
      <c r="A2706" s="1" t="s">
        <v>2089</v>
      </c>
      <c r="B2706" s="1" t="s">
        <v>6187</v>
      </c>
      <c r="C2706" s="1">
        <v>55243</v>
      </c>
      <c r="D2706" s="1" t="s">
        <v>6217</v>
      </c>
      <c r="E2706" s="1" t="s">
        <v>6206</v>
      </c>
      <c r="F2706" s="1">
        <v>2023</v>
      </c>
      <c r="G2706" s="1" t="s">
        <v>6190</v>
      </c>
      <c r="H2706" s="1" t="s">
        <v>6191</v>
      </c>
      <c r="I2706" s="1">
        <v>2</v>
      </c>
      <c r="J2706" s="1" t="s">
        <v>580</v>
      </c>
      <c r="K2706" s="1" t="s">
        <v>2202</v>
      </c>
      <c r="L2706" s="1" t="s">
        <v>2203</v>
      </c>
      <c r="M2706" s="1">
        <v>81</v>
      </c>
      <c r="N2706" s="1" t="s">
        <v>39</v>
      </c>
      <c r="O2706" s="1">
        <v>40.7864</v>
      </c>
      <c r="P2706" s="1">
        <v>-73.913300000000007</v>
      </c>
      <c r="Q2706" s="1" t="s">
        <v>6192</v>
      </c>
      <c r="T2706" s="1" t="s">
        <v>93</v>
      </c>
      <c r="U2706" s="1" t="s">
        <v>44</v>
      </c>
      <c r="V2706" s="1" t="s">
        <v>94</v>
      </c>
      <c r="AA2706" s="3">
        <v>25720</v>
      </c>
      <c r="AB2706" s="1" t="s">
        <v>6193</v>
      </c>
      <c r="AC2706" s="5">
        <v>255</v>
      </c>
      <c r="AD2706" s="1" t="s">
        <v>6216</v>
      </c>
      <c r="AE2706" s="1" t="str">
        <f t="shared" si="191"/>
        <v>55243 CT3-4B</v>
      </c>
      <c r="AF2706" s="5" t="str">
        <f t="shared" si="192"/>
        <v>40</v>
      </c>
      <c r="AG2706" s="1" t="str">
        <f t="shared" si="190"/>
        <v/>
      </c>
    </row>
    <row r="2707" spans="1:33" x14ac:dyDescent="0.2">
      <c r="A2707" s="1" t="s">
        <v>2089</v>
      </c>
      <c r="B2707" s="1" t="s">
        <v>6187</v>
      </c>
      <c r="C2707" s="1">
        <v>55243</v>
      </c>
      <c r="D2707" s="1" t="s">
        <v>6218</v>
      </c>
      <c r="E2707" s="1" t="s">
        <v>6219</v>
      </c>
      <c r="F2707" s="1">
        <v>2023</v>
      </c>
      <c r="G2707" s="1" t="s">
        <v>6190</v>
      </c>
      <c r="H2707" s="1" t="s">
        <v>6191</v>
      </c>
      <c r="I2707" s="1">
        <v>2</v>
      </c>
      <c r="J2707" s="1" t="s">
        <v>580</v>
      </c>
      <c r="K2707" s="1" t="s">
        <v>2202</v>
      </c>
      <c r="L2707" s="1" t="s">
        <v>2203</v>
      </c>
      <c r="M2707" s="1">
        <v>81</v>
      </c>
      <c r="N2707" s="1" t="s">
        <v>39</v>
      </c>
      <c r="O2707" s="1">
        <v>40.7864</v>
      </c>
      <c r="P2707" s="1">
        <v>-73.913300000000007</v>
      </c>
      <c r="Q2707" s="1" t="s">
        <v>6192</v>
      </c>
      <c r="T2707" s="1" t="s">
        <v>93</v>
      </c>
      <c r="U2707" s="1" t="s">
        <v>44</v>
      </c>
      <c r="V2707" s="1" t="s">
        <v>94</v>
      </c>
      <c r="AA2707" s="3">
        <v>25720</v>
      </c>
      <c r="AB2707" s="1" t="s">
        <v>6193</v>
      </c>
      <c r="AC2707" s="5">
        <v>255</v>
      </c>
      <c r="AD2707" s="1" t="s">
        <v>6220</v>
      </c>
      <c r="AE2707" s="1" t="str">
        <f t="shared" si="191"/>
        <v>55243 CT4-1A</v>
      </c>
      <c r="AF2707" s="5" t="str">
        <f t="shared" si="192"/>
        <v>40</v>
      </c>
      <c r="AG2707" s="1" t="str">
        <f t="shared" si="190"/>
        <v/>
      </c>
    </row>
    <row r="2708" spans="1:33" x14ac:dyDescent="0.2">
      <c r="A2708" s="1" t="s">
        <v>2089</v>
      </c>
      <c r="B2708" s="1" t="s">
        <v>6187</v>
      </c>
      <c r="C2708" s="1">
        <v>55243</v>
      </c>
      <c r="D2708" s="1" t="s">
        <v>6221</v>
      </c>
      <c r="E2708" s="1" t="s">
        <v>6219</v>
      </c>
      <c r="F2708" s="1">
        <v>2023</v>
      </c>
      <c r="G2708" s="1" t="s">
        <v>6190</v>
      </c>
      <c r="H2708" s="1" t="s">
        <v>6191</v>
      </c>
      <c r="I2708" s="1">
        <v>2</v>
      </c>
      <c r="J2708" s="1" t="s">
        <v>580</v>
      </c>
      <c r="K2708" s="1" t="s">
        <v>2202</v>
      </c>
      <c r="L2708" s="1" t="s">
        <v>2203</v>
      </c>
      <c r="M2708" s="1">
        <v>81</v>
      </c>
      <c r="N2708" s="1" t="s">
        <v>39</v>
      </c>
      <c r="O2708" s="1">
        <v>40.7864</v>
      </c>
      <c r="P2708" s="1">
        <v>-73.913300000000007</v>
      </c>
      <c r="Q2708" s="1" t="s">
        <v>6192</v>
      </c>
      <c r="T2708" s="1" t="s">
        <v>93</v>
      </c>
      <c r="U2708" s="1" t="s">
        <v>44</v>
      </c>
      <c r="V2708" s="1" t="s">
        <v>94</v>
      </c>
      <c r="AA2708" s="3">
        <v>25720</v>
      </c>
      <c r="AB2708" s="1" t="s">
        <v>6193</v>
      </c>
      <c r="AC2708" s="5">
        <v>255</v>
      </c>
      <c r="AD2708" s="1" t="s">
        <v>6220</v>
      </c>
      <c r="AE2708" s="1" t="str">
        <f t="shared" si="191"/>
        <v>55243 CT4-1B</v>
      </c>
      <c r="AF2708" s="5" t="str">
        <f t="shared" si="192"/>
        <v>40</v>
      </c>
      <c r="AG2708" s="1" t="str">
        <f t="shared" si="190"/>
        <v/>
      </c>
    </row>
    <row r="2709" spans="1:33" x14ac:dyDescent="0.2">
      <c r="A2709" s="1" t="s">
        <v>2089</v>
      </c>
      <c r="B2709" s="1" t="s">
        <v>6187</v>
      </c>
      <c r="C2709" s="1">
        <v>55243</v>
      </c>
      <c r="D2709" s="1" t="s">
        <v>6222</v>
      </c>
      <c r="E2709" s="1" t="s">
        <v>6219</v>
      </c>
      <c r="F2709" s="1">
        <v>2023</v>
      </c>
      <c r="G2709" s="1" t="s">
        <v>6190</v>
      </c>
      <c r="H2709" s="1" t="s">
        <v>6191</v>
      </c>
      <c r="I2709" s="1">
        <v>2</v>
      </c>
      <c r="J2709" s="1" t="s">
        <v>580</v>
      </c>
      <c r="K2709" s="1" t="s">
        <v>2202</v>
      </c>
      <c r="L2709" s="1" t="s">
        <v>2203</v>
      </c>
      <c r="M2709" s="1">
        <v>81</v>
      </c>
      <c r="N2709" s="1" t="s">
        <v>39</v>
      </c>
      <c r="O2709" s="1">
        <v>40.7864</v>
      </c>
      <c r="P2709" s="1">
        <v>-73.913300000000007</v>
      </c>
      <c r="Q2709" s="1" t="s">
        <v>6192</v>
      </c>
      <c r="T2709" s="1" t="s">
        <v>93</v>
      </c>
      <c r="U2709" s="1" t="s">
        <v>44</v>
      </c>
      <c r="V2709" s="1" t="s">
        <v>94</v>
      </c>
      <c r="AA2709" s="3">
        <v>25720</v>
      </c>
      <c r="AB2709" s="1" t="s">
        <v>6193</v>
      </c>
      <c r="AC2709" s="5">
        <v>255</v>
      </c>
      <c r="AD2709" s="1" t="s">
        <v>6223</v>
      </c>
      <c r="AE2709" s="1" t="str">
        <f t="shared" si="191"/>
        <v>55243 CT4-2A</v>
      </c>
      <c r="AF2709" s="5" t="str">
        <f t="shared" si="192"/>
        <v>40</v>
      </c>
      <c r="AG2709" s="1" t="str">
        <f t="shared" si="190"/>
        <v/>
      </c>
    </row>
    <row r="2710" spans="1:33" x14ac:dyDescent="0.2">
      <c r="A2710" s="1" t="s">
        <v>2089</v>
      </c>
      <c r="B2710" s="1" t="s">
        <v>6187</v>
      </c>
      <c r="C2710" s="1">
        <v>55243</v>
      </c>
      <c r="D2710" s="1" t="s">
        <v>6224</v>
      </c>
      <c r="E2710" s="1" t="s">
        <v>6219</v>
      </c>
      <c r="F2710" s="1">
        <v>2023</v>
      </c>
      <c r="G2710" s="1" t="s">
        <v>6190</v>
      </c>
      <c r="H2710" s="1" t="s">
        <v>6191</v>
      </c>
      <c r="I2710" s="1">
        <v>2</v>
      </c>
      <c r="J2710" s="1" t="s">
        <v>580</v>
      </c>
      <c r="K2710" s="1" t="s">
        <v>2202</v>
      </c>
      <c r="L2710" s="1" t="s">
        <v>2203</v>
      </c>
      <c r="M2710" s="1">
        <v>81</v>
      </c>
      <c r="N2710" s="1" t="s">
        <v>39</v>
      </c>
      <c r="O2710" s="1">
        <v>40.7864</v>
      </c>
      <c r="P2710" s="1">
        <v>-73.913300000000007</v>
      </c>
      <c r="Q2710" s="1" t="s">
        <v>6192</v>
      </c>
      <c r="T2710" s="1" t="s">
        <v>93</v>
      </c>
      <c r="U2710" s="1" t="s">
        <v>44</v>
      </c>
      <c r="V2710" s="1" t="s">
        <v>94</v>
      </c>
      <c r="AA2710" s="3">
        <v>25720</v>
      </c>
      <c r="AB2710" s="1" t="s">
        <v>6193</v>
      </c>
      <c r="AC2710" s="5">
        <v>255</v>
      </c>
      <c r="AD2710" s="1" t="s">
        <v>6223</v>
      </c>
      <c r="AE2710" s="1" t="str">
        <f t="shared" si="191"/>
        <v>55243 CT4-2B</v>
      </c>
      <c r="AF2710" s="5" t="str">
        <f t="shared" si="192"/>
        <v>40</v>
      </c>
      <c r="AG2710" s="1" t="str">
        <f t="shared" si="190"/>
        <v/>
      </c>
    </row>
    <row r="2711" spans="1:33" x14ac:dyDescent="0.2">
      <c r="A2711" s="1" t="s">
        <v>2089</v>
      </c>
      <c r="B2711" s="1" t="s">
        <v>6187</v>
      </c>
      <c r="C2711" s="1">
        <v>55243</v>
      </c>
      <c r="D2711" s="1" t="s">
        <v>6225</v>
      </c>
      <c r="E2711" s="1" t="s">
        <v>6219</v>
      </c>
      <c r="F2711" s="1">
        <v>2023</v>
      </c>
      <c r="G2711" s="1" t="s">
        <v>6190</v>
      </c>
      <c r="H2711" s="1" t="s">
        <v>6191</v>
      </c>
      <c r="I2711" s="1">
        <v>2</v>
      </c>
      <c r="J2711" s="1" t="s">
        <v>580</v>
      </c>
      <c r="K2711" s="1" t="s">
        <v>2202</v>
      </c>
      <c r="L2711" s="1" t="s">
        <v>2203</v>
      </c>
      <c r="M2711" s="1">
        <v>81</v>
      </c>
      <c r="N2711" s="1" t="s">
        <v>39</v>
      </c>
      <c r="O2711" s="1">
        <v>40.7864</v>
      </c>
      <c r="P2711" s="1">
        <v>-73.913300000000007</v>
      </c>
      <c r="Q2711" s="1" t="s">
        <v>6192</v>
      </c>
      <c r="T2711" s="1" t="s">
        <v>93</v>
      </c>
      <c r="U2711" s="1" t="s">
        <v>44</v>
      </c>
      <c r="V2711" s="1" t="s">
        <v>94</v>
      </c>
      <c r="AA2711" s="3">
        <v>25720</v>
      </c>
      <c r="AB2711" s="1" t="s">
        <v>6193</v>
      </c>
      <c r="AC2711" s="5">
        <v>255</v>
      </c>
      <c r="AD2711" s="1" t="s">
        <v>6226</v>
      </c>
      <c r="AE2711" s="1" t="str">
        <f t="shared" si="191"/>
        <v>55243 CT4-3A</v>
      </c>
      <c r="AF2711" s="5" t="str">
        <f t="shared" si="192"/>
        <v>40</v>
      </c>
      <c r="AG2711" s="1" t="str">
        <f t="shared" si="190"/>
        <v/>
      </c>
    </row>
    <row r="2712" spans="1:33" x14ac:dyDescent="0.2">
      <c r="A2712" s="1" t="s">
        <v>2089</v>
      </c>
      <c r="B2712" s="1" t="s">
        <v>6187</v>
      </c>
      <c r="C2712" s="1">
        <v>55243</v>
      </c>
      <c r="D2712" s="1" t="s">
        <v>6227</v>
      </c>
      <c r="E2712" s="1" t="s">
        <v>6219</v>
      </c>
      <c r="F2712" s="1">
        <v>2023</v>
      </c>
      <c r="G2712" s="1" t="s">
        <v>6190</v>
      </c>
      <c r="H2712" s="1" t="s">
        <v>6191</v>
      </c>
      <c r="I2712" s="1">
        <v>2</v>
      </c>
      <c r="J2712" s="1" t="s">
        <v>580</v>
      </c>
      <c r="K2712" s="1" t="s">
        <v>2202</v>
      </c>
      <c r="L2712" s="1" t="s">
        <v>2203</v>
      </c>
      <c r="M2712" s="1">
        <v>81</v>
      </c>
      <c r="N2712" s="1" t="s">
        <v>39</v>
      </c>
      <c r="O2712" s="1">
        <v>40.7864</v>
      </c>
      <c r="P2712" s="1">
        <v>-73.913300000000007</v>
      </c>
      <c r="Q2712" s="1" t="s">
        <v>6192</v>
      </c>
      <c r="T2712" s="1" t="s">
        <v>93</v>
      </c>
      <c r="U2712" s="1" t="s">
        <v>44</v>
      </c>
      <c r="V2712" s="1" t="s">
        <v>94</v>
      </c>
      <c r="AA2712" s="3">
        <v>25720</v>
      </c>
      <c r="AB2712" s="1" t="s">
        <v>6193</v>
      </c>
      <c r="AC2712" s="5">
        <v>255</v>
      </c>
      <c r="AD2712" s="1" t="s">
        <v>6226</v>
      </c>
      <c r="AE2712" s="1" t="str">
        <f t="shared" si="191"/>
        <v>55243 CT4-3B</v>
      </c>
      <c r="AF2712" s="5" t="str">
        <f t="shared" si="192"/>
        <v>40</v>
      </c>
      <c r="AG2712" s="1" t="str">
        <f t="shared" si="190"/>
        <v/>
      </c>
    </row>
    <row r="2713" spans="1:33" x14ac:dyDescent="0.2">
      <c r="A2713" s="1" t="s">
        <v>2089</v>
      </c>
      <c r="B2713" s="1" t="s">
        <v>6187</v>
      </c>
      <c r="C2713" s="1">
        <v>55243</v>
      </c>
      <c r="D2713" s="1" t="s">
        <v>6228</v>
      </c>
      <c r="E2713" s="1" t="s">
        <v>6219</v>
      </c>
      <c r="F2713" s="1">
        <v>2023</v>
      </c>
      <c r="G2713" s="1" t="s">
        <v>6190</v>
      </c>
      <c r="H2713" s="1" t="s">
        <v>6191</v>
      </c>
      <c r="I2713" s="1">
        <v>2</v>
      </c>
      <c r="J2713" s="1" t="s">
        <v>580</v>
      </c>
      <c r="K2713" s="1" t="s">
        <v>2202</v>
      </c>
      <c r="L2713" s="1" t="s">
        <v>2203</v>
      </c>
      <c r="M2713" s="1">
        <v>81</v>
      </c>
      <c r="N2713" s="1" t="s">
        <v>39</v>
      </c>
      <c r="O2713" s="1">
        <v>40.7864</v>
      </c>
      <c r="P2713" s="1">
        <v>-73.913300000000007</v>
      </c>
      <c r="Q2713" s="1" t="s">
        <v>6192</v>
      </c>
      <c r="T2713" s="1" t="s">
        <v>93</v>
      </c>
      <c r="U2713" s="1" t="s">
        <v>44</v>
      </c>
      <c r="V2713" s="1" t="s">
        <v>94</v>
      </c>
      <c r="AA2713" s="3">
        <v>25720</v>
      </c>
      <c r="AB2713" s="1" t="s">
        <v>6193</v>
      </c>
      <c r="AC2713" s="5">
        <v>255</v>
      </c>
      <c r="AD2713" s="1" t="s">
        <v>6229</v>
      </c>
      <c r="AE2713" s="1" t="str">
        <f t="shared" si="191"/>
        <v>55243 CT4-4A</v>
      </c>
      <c r="AF2713" s="5" t="str">
        <f t="shared" si="192"/>
        <v>40</v>
      </c>
      <c r="AG2713" s="1" t="str">
        <f t="shared" si="190"/>
        <v/>
      </c>
    </row>
    <row r="2714" spans="1:33" x14ac:dyDescent="0.2">
      <c r="A2714" s="1" t="s">
        <v>2089</v>
      </c>
      <c r="B2714" s="1" t="s">
        <v>6187</v>
      </c>
      <c r="C2714" s="1">
        <v>55243</v>
      </c>
      <c r="D2714" s="1" t="s">
        <v>6230</v>
      </c>
      <c r="E2714" s="1" t="s">
        <v>6219</v>
      </c>
      <c r="F2714" s="1">
        <v>2023</v>
      </c>
      <c r="G2714" s="1" t="s">
        <v>6190</v>
      </c>
      <c r="H2714" s="1" t="s">
        <v>6191</v>
      </c>
      <c r="I2714" s="1">
        <v>2</v>
      </c>
      <c r="J2714" s="1" t="s">
        <v>580</v>
      </c>
      <c r="K2714" s="1" t="s">
        <v>2202</v>
      </c>
      <c r="L2714" s="1" t="s">
        <v>2203</v>
      </c>
      <c r="M2714" s="1">
        <v>81</v>
      </c>
      <c r="N2714" s="1" t="s">
        <v>39</v>
      </c>
      <c r="O2714" s="1">
        <v>40.7864</v>
      </c>
      <c r="P2714" s="1">
        <v>-73.913300000000007</v>
      </c>
      <c r="Q2714" s="1" t="s">
        <v>6192</v>
      </c>
      <c r="T2714" s="1" t="s">
        <v>93</v>
      </c>
      <c r="U2714" s="1" t="s">
        <v>44</v>
      </c>
      <c r="V2714" s="1" t="s">
        <v>94</v>
      </c>
      <c r="AA2714" s="3">
        <v>25720</v>
      </c>
      <c r="AB2714" s="1" t="s">
        <v>6193</v>
      </c>
      <c r="AC2714" s="5">
        <v>255</v>
      </c>
      <c r="AD2714" s="1" t="s">
        <v>6229</v>
      </c>
      <c r="AE2714" s="1" t="str">
        <f t="shared" si="191"/>
        <v>55243 CT4-4B</v>
      </c>
      <c r="AF2714" s="5" t="str">
        <f t="shared" si="192"/>
        <v>40</v>
      </c>
      <c r="AG2714" s="1" t="str">
        <f t="shared" si="190"/>
        <v/>
      </c>
    </row>
    <row r="2715" spans="1:33" x14ac:dyDescent="0.2">
      <c r="A2715" s="1" t="s">
        <v>921</v>
      </c>
      <c r="B2715" s="1" t="s">
        <v>6231</v>
      </c>
      <c r="C2715" s="1">
        <v>55244</v>
      </c>
      <c r="D2715" s="1" t="s">
        <v>5684</v>
      </c>
      <c r="F2715" s="1">
        <v>2023</v>
      </c>
      <c r="G2715" s="1" t="s">
        <v>952</v>
      </c>
      <c r="H2715" s="1" t="s">
        <v>4261</v>
      </c>
      <c r="I2715" s="1">
        <v>4</v>
      </c>
      <c r="J2715" s="1" t="s">
        <v>36</v>
      </c>
      <c r="K2715" s="1" t="s">
        <v>4215</v>
      </c>
      <c r="L2715" s="1" t="s">
        <v>4216</v>
      </c>
      <c r="M2715" s="1">
        <v>297</v>
      </c>
      <c r="N2715" s="1" t="s">
        <v>39</v>
      </c>
      <c r="O2715" s="1">
        <v>33.837600000000002</v>
      </c>
      <c r="P2715" s="1">
        <v>-83.699600000000004</v>
      </c>
      <c r="Q2715" s="1" t="s">
        <v>4503</v>
      </c>
      <c r="R2715" s="1" t="s">
        <v>41</v>
      </c>
      <c r="T2715" s="1" t="s">
        <v>93</v>
      </c>
      <c r="U2715" s="1" t="s">
        <v>44</v>
      </c>
      <c r="X2715" s="1" t="s">
        <v>140</v>
      </c>
      <c r="AA2715" s="3">
        <v>36621</v>
      </c>
      <c r="AB2715" s="1" t="s">
        <v>46</v>
      </c>
      <c r="AC2715" s="5">
        <v>890</v>
      </c>
      <c r="AD2715" s="1" t="s">
        <v>6232</v>
      </c>
      <c r="AE2715" s="1" t="str">
        <f t="shared" si="191"/>
        <v>55244 CTG-2</v>
      </c>
      <c r="AF2715" s="5" t="str">
        <f t="shared" si="192"/>
        <v>72</v>
      </c>
      <c r="AG2715" s="1" t="str">
        <f t="shared" si="190"/>
        <v/>
      </c>
    </row>
    <row r="2716" spans="1:33" x14ac:dyDescent="0.2">
      <c r="A2716" s="1" t="s">
        <v>921</v>
      </c>
      <c r="B2716" s="1" t="s">
        <v>6231</v>
      </c>
      <c r="C2716" s="1">
        <v>55244</v>
      </c>
      <c r="D2716" s="1" t="s">
        <v>5750</v>
      </c>
      <c r="F2716" s="1">
        <v>2023</v>
      </c>
      <c r="G2716" s="1" t="s">
        <v>952</v>
      </c>
      <c r="H2716" s="1" t="s">
        <v>4261</v>
      </c>
      <c r="I2716" s="1">
        <v>4</v>
      </c>
      <c r="J2716" s="1" t="s">
        <v>36</v>
      </c>
      <c r="K2716" s="1" t="s">
        <v>4215</v>
      </c>
      <c r="L2716" s="1" t="s">
        <v>4216</v>
      </c>
      <c r="M2716" s="1">
        <v>297</v>
      </c>
      <c r="N2716" s="1" t="s">
        <v>39</v>
      </c>
      <c r="O2716" s="1">
        <v>33.837600000000002</v>
      </c>
      <c r="P2716" s="1">
        <v>-83.699600000000004</v>
      </c>
      <c r="Q2716" s="1" t="s">
        <v>4503</v>
      </c>
      <c r="R2716" s="1" t="s">
        <v>41</v>
      </c>
      <c r="T2716" s="1" t="s">
        <v>93</v>
      </c>
      <c r="U2716" s="1" t="s">
        <v>44</v>
      </c>
      <c r="X2716" s="1" t="s">
        <v>140</v>
      </c>
      <c r="AA2716" s="3">
        <v>36653</v>
      </c>
      <c r="AB2716" s="1" t="s">
        <v>46</v>
      </c>
      <c r="AC2716" s="5">
        <v>907</v>
      </c>
      <c r="AD2716" s="1" t="s">
        <v>6233</v>
      </c>
      <c r="AE2716" s="1" t="str">
        <f t="shared" si="191"/>
        <v>55244 CTG-3</v>
      </c>
      <c r="AF2716" s="5" t="str">
        <f t="shared" si="192"/>
        <v>72</v>
      </c>
      <c r="AG2716" s="1" t="str">
        <f t="shared" si="190"/>
        <v/>
      </c>
    </row>
    <row r="2717" spans="1:33" x14ac:dyDescent="0.2">
      <c r="A2717" s="1" t="s">
        <v>921</v>
      </c>
      <c r="B2717" s="1" t="s">
        <v>6231</v>
      </c>
      <c r="C2717" s="1">
        <v>55244</v>
      </c>
      <c r="D2717" s="1" t="s">
        <v>5799</v>
      </c>
      <c r="F2717" s="1">
        <v>2023</v>
      </c>
      <c r="G2717" s="1" t="s">
        <v>952</v>
      </c>
      <c r="H2717" s="1" t="s">
        <v>4261</v>
      </c>
      <c r="I2717" s="1">
        <v>4</v>
      </c>
      <c r="J2717" s="1" t="s">
        <v>36</v>
      </c>
      <c r="K2717" s="1" t="s">
        <v>4215</v>
      </c>
      <c r="L2717" s="1" t="s">
        <v>4216</v>
      </c>
      <c r="M2717" s="1">
        <v>297</v>
      </c>
      <c r="N2717" s="1" t="s">
        <v>39</v>
      </c>
      <c r="O2717" s="1">
        <v>33.837600000000002</v>
      </c>
      <c r="P2717" s="1">
        <v>-83.699600000000004</v>
      </c>
      <c r="Q2717" s="1" t="s">
        <v>4503</v>
      </c>
      <c r="R2717" s="1" t="s">
        <v>41</v>
      </c>
      <c r="T2717" s="1" t="s">
        <v>93</v>
      </c>
      <c r="U2717" s="1" t="s">
        <v>44</v>
      </c>
      <c r="X2717" s="1" t="s">
        <v>140</v>
      </c>
      <c r="AA2717" s="3">
        <v>36686</v>
      </c>
      <c r="AB2717" s="1" t="s">
        <v>46</v>
      </c>
      <c r="AC2717" s="5">
        <v>1090</v>
      </c>
      <c r="AD2717" s="1" t="s">
        <v>6234</v>
      </c>
      <c r="AE2717" s="1" t="str">
        <f t="shared" si="191"/>
        <v>55244 CTG-4</v>
      </c>
      <c r="AF2717" s="5" t="str">
        <f t="shared" si="192"/>
        <v>101</v>
      </c>
      <c r="AG2717" s="1" t="str">
        <f t="shared" si="190"/>
        <v/>
      </c>
    </row>
    <row r="2718" spans="1:33" x14ac:dyDescent="0.2">
      <c r="A2718" s="1" t="s">
        <v>921</v>
      </c>
      <c r="B2718" s="1" t="s">
        <v>6231</v>
      </c>
      <c r="C2718" s="1">
        <v>55244</v>
      </c>
      <c r="D2718" s="1" t="s">
        <v>6046</v>
      </c>
      <c r="F2718" s="1">
        <v>2023</v>
      </c>
      <c r="G2718" s="1" t="s">
        <v>952</v>
      </c>
      <c r="H2718" s="1" t="s">
        <v>4261</v>
      </c>
      <c r="I2718" s="1">
        <v>4</v>
      </c>
      <c r="J2718" s="1" t="s">
        <v>36</v>
      </c>
      <c r="K2718" s="1" t="s">
        <v>4215</v>
      </c>
      <c r="L2718" s="1" t="s">
        <v>4216</v>
      </c>
      <c r="M2718" s="1">
        <v>297</v>
      </c>
      <c r="N2718" s="1" t="s">
        <v>39</v>
      </c>
      <c r="O2718" s="1">
        <v>33.837600000000002</v>
      </c>
      <c r="P2718" s="1">
        <v>-83.699600000000004</v>
      </c>
      <c r="Q2718" s="1" t="s">
        <v>4503</v>
      </c>
      <c r="R2718" s="1" t="s">
        <v>41</v>
      </c>
      <c r="T2718" s="1" t="s">
        <v>93</v>
      </c>
      <c r="U2718" s="1" t="s">
        <v>44</v>
      </c>
      <c r="X2718" s="1" t="s">
        <v>140</v>
      </c>
      <c r="AA2718" s="3">
        <v>36693</v>
      </c>
      <c r="AB2718" s="1" t="s">
        <v>46</v>
      </c>
      <c r="AC2718" s="5">
        <v>1090</v>
      </c>
      <c r="AD2718" s="1" t="s">
        <v>6235</v>
      </c>
      <c r="AE2718" s="1" t="str">
        <f t="shared" si="191"/>
        <v>55244 CTG-5</v>
      </c>
      <c r="AF2718" s="5" t="str">
        <f t="shared" si="192"/>
        <v>101</v>
      </c>
      <c r="AG2718" s="1" t="str">
        <f t="shared" si="190"/>
        <v/>
      </c>
    </row>
    <row r="2719" spans="1:33" x14ac:dyDescent="0.2">
      <c r="A2719" s="1" t="s">
        <v>2430</v>
      </c>
      <c r="B2719" s="1" t="s">
        <v>6236</v>
      </c>
      <c r="C2719" s="1">
        <v>55247</v>
      </c>
      <c r="D2719" s="1" t="s">
        <v>311</v>
      </c>
      <c r="F2719" s="1">
        <v>2023</v>
      </c>
      <c r="G2719" s="1" t="s">
        <v>461</v>
      </c>
      <c r="H2719" s="1">
        <v>610098</v>
      </c>
      <c r="I2719" s="1">
        <v>5</v>
      </c>
      <c r="J2719" s="1" t="s">
        <v>169</v>
      </c>
      <c r="K2719" s="1" t="s">
        <v>6237</v>
      </c>
      <c r="L2719" s="1" t="s">
        <v>6238</v>
      </c>
      <c r="M2719" s="1">
        <v>129</v>
      </c>
      <c r="N2719" s="1" t="s">
        <v>39</v>
      </c>
      <c r="O2719" s="1">
        <v>39.713900000000002</v>
      </c>
      <c r="P2719" s="1">
        <v>-83.177800000000005</v>
      </c>
      <c r="Q2719" s="1" t="s">
        <v>6239</v>
      </c>
      <c r="R2719" s="1" t="s">
        <v>41</v>
      </c>
      <c r="T2719" s="1" t="s">
        <v>93</v>
      </c>
      <c r="U2719" s="1" t="s">
        <v>44</v>
      </c>
      <c r="V2719" s="1" t="s">
        <v>94</v>
      </c>
      <c r="X2719" s="1" t="s">
        <v>183</v>
      </c>
      <c r="AA2719" s="3">
        <v>37015</v>
      </c>
      <c r="AB2719" s="1" t="s">
        <v>46</v>
      </c>
      <c r="AC2719" s="5">
        <v>1115</v>
      </c>
      <c r="AD2719" s="1" t="s">
        <v>6240</v>
      </c>
      <c r="AE2719" s="1" t="str">
        <f t="shared" si="191"/>
        <v>55247 CT1</v>
      </c>
      <c r="AF2719" s="5" t="str">
        <f t="shared" si="192"/>
        <v>94</v>
      </c>
      <c r="AG2719" s="1" t="str">
        <f t="shared" si="190"/>
        <v/>
      </c>
    </row>
    <row r="2720" spans="1:33" x14ac:dyDescent="0.2">
      <c r="A2720" s="1" t="s">
        <v>2430</v>
      </c>
      <c r="B2720" s="1" t="s">
        <v>6236</v>
      </c>
      <c r="C2720" s="1">
        <v>55247</v>
      </c>
      <c r="D2720" s="1" t="s">
        <v>98</v>
      </c>
      <c r="F2720" s="1">
        <v>2023</v>
      </c>
      <c r="G2720" s="1" t="s">
        <v>461</v>
      </c>
      <c r="H2720" s="1">
        <v>610098</v>
      </c>
      <c r="I2720" s="1">
        <v>5</v>
      </c>
      <c r="J2720" s="1" t="s">
        <v>169</v>
      </c>
      <c r="K2720" s="1" t="s">
        <v>6237</v>
      </c>
      <c r="L2720" s="1" t="s">
        <v>6238</v>
      </c>
      <c r="M2720" s="1">
        <v>129</v>
      </c>
      <c r="N2720" s="1" t="s">
        <v>39</v>
      </c>
      <c r="O2720" s="1">
        <v>39.713900000000002</v>
      </c>
      <c r="P2720" s="1">
        <v>-83.177800000000005</v>
      </c>
      <c r="Q2720" s="1" t="s">
        <v>6239</v>
      </c>
      <c r="R2720" s="1" t="s">
        <v>41</v>
      </c>
      <c r="T2720" s="1" t="s">
        <v>93</v>
      </c>
      <c r="U2720" s="1" t="s">
        <v>44</v>
      </c>
      <c r="V2720" s="1" t="s">
        <v>94</v>
      </c>
      <c r="X2720" s="1" t="s">
        <v>183</v>
      </c>
      <c r="AA2720" s="3">
        <v>37020</v>
      </c>
      <c r="AB2720" s="1" t="s">
        <v>46</v>
      </c>
      <c r="AC2720" s="5">
        <v>1115</v>
      </c>
      <c r="AD2720" s="1" t="s">
        <v>6241</v>
      </c>
      <c r="AE2720" s="1" t="str">
        <f t="shared" si="191"/>
        <v>55247 CT2</v>
      </c>
      <c r="AF2720" s="5" t="str">
        <f t="shared" si="192"/>
        <v>94</v>
      </c>
      <c r="AG2720" s="1" t="str">
        <f t="shared" si="190"/>
        <v/>
      </c>
    </row>
    <row r="2721" spans="1:33" x14ac:dyDescent="0.2">
      <c r="A2721" s="1" t="s">
        <v>2430</v>
      </c>
      <c r="B2721" s="1" t="s">
        <v>6236</v>
      </c>
      <c r="C2721" s="1">
        <v>55247</v>
      </c>
      <c r="D2721" s="1" t="s">
        <v>101</v>
      </c>
      <c r="F2721" s="1">
        <v>2023</v>
      </c>
      <c r="G2721" s="1" t="s">
        <v>461</v>
      </c>
      <c r="H2721" s="1">
        <v>610098</v>
      </c>
      <c r="I2721" s="1">
        <v>5</v>
      </c>
      <c r="J2721" s="1" t="s">
        <v>169</v>
      </c>
      <c r="K2721" s="1" t="s">
        <v>6237</v>
      </c>
      <c r="L2721" s="1" t="s">
        <v>6238</v>
      </c>
      <c r="M2721" s="1">
        <v>129</v>
      </c>
      <c r="N2721" s="1" t="s">
        <v>39</v>
      </c>
      <c r="O2721" s="1">
        <v>39.713900000000002</v>
      </c>
      <c r="P2721" s="1">
        <v>-83.177800000000005</v>
      </c>
      <c r="Q2721" s="1" t="s">
        <v>6239</v>
      </c>
      <c r="R2721" s="1" t="s">
        <v>41</v>
      </c>
      <c r="T2721" s="1" t="s">
        <v>93</v>
      </c>
      <c r="U2721" s="1" t="s">
        <v>44</v>
      </c>
      <c r="V2721" s="1" t="s">
        <v>94</v>
      </c>
      <c r="X2721" s="1" t="s">
        <v>183</v>
      </c>
      <c r="AA2721" s="3">
        <v>37033</v>
      </c>
      <c r="AB2721" s="1" t="s">
        <v>46</v>
      </c>
      <c r="AC2721" s="5">
        <v>1115</v>
      </c>
      <c r="AD2721" s="1" t="s">
        <v>6242</v>
      </c>
      <c r="AE2721" s="1" t="str">
        <f t="shared" si="191"/>
        <v>55247 CT3</v>
      </c>
      <c r="AF2721" s="5" t="str">
        <f t="shared" si="192"/>
        <v>94</v>
      </c>
      <c r="AG2721" s="1" t="str">
        <f t="shared" si="190"/>
        <v/>
      </c>
    </row>
    <row r="2722" spans="1:33" x14ac:dyDescent="0.2">
      <c r="A2722" s="1" t="s">
        <v>2430</v>
      </c>
      <c r="B2722" s="1" t="s">
        <v>6236</v>
      </c>
      <c r="C2722" s="1">
        <v>55247</v>
      </c>
      <c r="D2722" s="1" t="s">
        <v>103</v>
      </c>
      <c r="F2722" s="1">
        <v>2023</v>
      </c>
      <c r="G2722" s="1" t="s">
        <v>461</v>
      </c>
      <c r="H2722" s="1">
        <v>610098</v>
      </c>
      <c r="I2722" s="1">
        <v>5</v>
      </c>
      <c r="J2722" s="1" t="s">
        <v>169</v>
      </c>
      <c r="K2722" s="1" t="s">
        <v>6237</v>
      </c>
      <c r="L2722" s="1" t="s">
        <v>6238</v>
      </c>
      <c r="M2722" s="1">
        <v>129</v>
      </c>
      <c r="N2722" s="1" t="s">
        <v>39</v>
      </c>
      <c r="O2722" s="1">
        <v>39.713900000000002</v>
      </c>
      <c r="P2722" s="1">
        <v>-83.177800000000005</v>
      </c>
      <c r="Q2722" s="1" t="s">
        <v>6239</v>
      </c>
      <c r="R2722" s="1" t="s">
        <v>41</v>
      </c>
      <c r="T2722" s="1" t="s">
        <v>93</v>
      </c>
      <c r="U2722" s="1" t="s">
        <v>44</v>
      </c>
      <c r="V2722" s="1" t="s">
        <v>94</v>
      </c>
      <c r="X2722" s="1" t="s">
        <v>183</v>
      </c>
      <c r="AA2722" s="3">
        <v>37033</v>
      </c>
      <c r="AB2722" s="1" t="s">
        <v>46</v>
      </c>
      <c r="AC2722" s="5">
        <v>1115</v>
      </c>
      <c r="AD2722" s="1" t="s">
        <v>6243</v>
      </c>
      <c r="AE2722" s="1" t="str">
        <f t="shared" si="191"/>
        <v>55247 CT4</v>
      </c>
      <c r="AF2722" s="5" t="str">
        <f t="shared" si="192"/>
        <v>94</v>
      </c>
      <c r="AG2722" s="1" t="str">
        <f t="shared" si="190"/>
        <v/>
      </c>
    </row>
    <row r="2723" spans="1:33" x14ac:dyDescent="0.2">
      <c r="A2723" s="1" t="s">
        <v>2430</v>
      </c>
      <c r="B2723" s="1" t="s">
        <v>6236</v>
      </c>
      <c r="C2723" s="1">
        <v>55247</v>
      </c>
      <c r="D2723" s="1" t="s">
        <v>105</v>
      </c>
      <c r="F2723" s="1">
        <v>2023</v>
      </c>
      <c r="G2723" s="1" t="s">
        <v>461</v>
      </c>
      <c r="H2723" s="1">
        <v>610098</v>
      </c>
      <c r="I2723" s="1">
        <v>5</v>
      </c>
      <c r="J2723" s="1" t="s">
        <v>169</v>
      </c>
      <c r="K2723" s="1" t="s">
        <v>6237</v>
      </c>
      <c r="L2723" s="1" t="s">
        <v>6238</v>
      </c>
      <c r="M2723" s="1">
        <v>129</v>
      </c>
      <c r="N2723" s="1" t="s">
        <v>39</v>
      </c>
      <c r="O2723" s="1">
        <v>39.713900000000002</v>
      </c>
      <c r="P2723" s="1">
        <v>-83.177800000000005</v>
      </c>
      <c r="Q2723" s="1" t="s">
        <v>6239</v>
      </c>
      <c r="R2723" s="1" t="s">
        <v>41</v>
      </c>
      <c r="T2723" s="1" t="s">
        <v>93</v>
      </c>
      <c r="U2723" s="1" t="s">
        <v>44</v>
      </c>
      <c r="V2723" s="1" t="s">
        <v>94</v>
      </c>
      <c r="X2723" s="1" t="s">
        <v>183</v>
      </c>
      <c r="AA2723" s="3">
        <v>37400</v>
      </c>
      <c r="AB2723" s="1" t="s">
        <v>46</v>
      </c>
      <c r="AC2723" s="5">
        <v>1115</v>
      </c>
      <c r="AD2723" s="1" t="s">
        <v>6244</v>
      </c>
      <c r="AE2723" s="1" t="str">
        <f t="shared" si="191"/>
        <v>55247 CT5</v>
      </c>
      <c r="AF2723" s="5" t="str">
        <f t="shared" ref="AF2723:AF2747" si="193">MID(AD2723,FIND("(",AD2723)+1,FIND(")",AD2723)-FIND("(",AD2723)-1)</f>
        <v>94</v>
      </c>
      <c r="AG2723" s="1" t="str">
        <f t="shared" si="190"/>
        <v/>
      </c>
    </row>
    <row r="2724" spans="1:33" x14ac:dyDescent="0.2">
      <c r="A2724" s="1" t="s">
        <v>2430</v>
      </c>
      <c r="B2724" s="1" t="s">
        <v>6236</v>
      </c>
      <c r="C2724" s="1">
        <v>55247</v>
      </c>
      <c r="D2724" s="1" t="s">
        <v>107</v>
      </c>
      <c r="F2724" s="1">
        <v>2023</v>
      </c>
      <c r="G2724" s="1" t="s">
        <v>461</v>
      </c>
      <c r="H2724" s="1">
        <v>610098</v>
      </c>
      <c r="I2724" s="1">
        <v>5</v>
      </c>
      <c r="J2724" s="1" t="s">
        <v>169</v>
      </c>
      <c r="K2724" s="1" t="s">
        <v>6237</v>
      </c>
      <c r="L2724" s="1" t="s">
        <v>6238</v>
      </c>
      <c r="M2724" s="1">
        <v>129</v>
      </c>
      <c r="N2724" s="1" t="s">
        <v>39</v>
      </c>
      <c r="O2724" s="1">
        <v>39.713900000000002</v>
      </c>
      <c r="P2724" s="1">
        <v>-83.177800000000005</v>
      </c>
      <c r="Q2724" s="1" t="s">
        <v>6239</v>
      </c>
      <c r="R2724" s="1" t="s">
        <v>41</v>
      </c>
      <c r="T2724" s="1" t="s">
        <v>93</v>
      </c>
      <c r="U2724" s="1" t="s">
        <v>44</v>
      </c>
      <c r="V2724" s="1" t="s">
        <v>94</v>
      </c>
      <c r="X2724" s="1" t="s">
        <v>183</v>
      </c>
      <c r="AA2724" s="3">
        <v>37398</v>
      </c>
      <c r="AB2724" s="1" t="s">
        <v>46</v>
      </c>
      <c r="AC2724" s="5">
        <v>1115</v>
      </c>
      <c r="AD2724" s="1" t="s">
        <v>6245</v>
      </c>
      <c r="AE2724" s="1" t="str">
        <f t="shared" si="191"/>
        <v>55247 CT6</v>
      </c>
      <c r="AF2724" s="5" t="str">
        <f t="shared" si="193"/>
        <v>94</v>
      </c>
      <c r="AG2724" s="1" t="str">
        <f t="shared" si="190"/>
        <v/>
      </c>
    </row>
    <row r="2725" spans="1:33" x14ac:dyDescent="0.2">
      <c r="A2725" s="1" t="s">
        <v>2430</v>
      </c>
      <c r="B2725" s="1" t="s">
        <v>6246</v>
      </c>
      <c r="C2725" s="1">
        <v>55248</v>
      </c>
      <c r="D2725" s="1" t="s">
        <v>103</v>
      </c>
      <c r="F2725" s="1">
        <v>2023</v>
      </c>
      <c r="G2725" s="1" t="s">
        <v>461</v>
      </c>
      <c r="H2725" s="1">
        <v>609371</v>
      </c>
      <c r="I2725" s="1">
        <v>5</v>
      </c>
      <c r="J2725" s="1" t="s">
        <v>169</v>
      </c>
      <c r="K2725" s="1" t="s">
        <v>1319</v>
      </c>
      <c r="L2725" s="1" t="s">
        <v>2450</v>
      </c>
      <c r="M2725" s="1">
        <v>113</v>
      </c>
      <c r="N2725" s="1" t="s">
        <v>39</v>
      </c>
      <c r="O2725" s="1">
        <v>39.7286</v>
      </c>
      <c r="P2725" s="1">
        <v>-84.210599999999999</v>
      </c>
      <c r="Q2725" s="1" t="s">
        <v>2451</v>
      </c>
      <c r="R2725" s="1" t="s">
        <v>41</v>
      </c>
      <c r="T2725" s="1" t="s">
        <v>93</v>
      </c>
      <c r="U2725" s="1" t="s">
        <v>44</v>
      </c>
      <c r="V2725" s="1" t="s">
        <v>94</v>
      </c>
      <c r="X2725" s="1" t="s">
        <v>3508</v>
      </c>
      <c r="AA2725" s="3">
        <v>37385</v>
      </c>
      <c r="AB2725" s="1" t="s">
        <v>46</v>
      </c>
      <c r="AC2725" s="5">
        <v>1160</v>
      </c>
      <c r="AD2725" s="1" t="s">
        <v>6243</v>
      </c>
      <c r="AE2725" s="1" t="str">
        <f t="shared" si="191"/>
        <v>55248 CT4</v>
      </c>
      <c r="AF2725" s="5" t="str">
        <f t="shared" si="193"/>
        <v>94</v>
      </c>
      <c r="AG2725" s="1" t="str">
        <f t="shared" si="190"/>
        <v/>
      </c>
    </row>
    <row r="2726" spans="1:33" x14ac:dyDescent="0.2">
      <c r="A2726" s="1" t="s">
        <v>2430</v>
      </c>
      <c r="B2726" s="1" t="s">
        <v>6246</v>
      </c>
      <c r="C2726" s="1">
        <v>55248</v>
      </c>
      <c r="D2726" s="1" t="s">
        <v>105</v>
      </c>
      <c r="F2726" s="1">
        <v>2023</v>
      </c>
      <c r="G2726" s="1" t="s">
        <v>461</v>
      </c>
      <c r="H2726" s="1">
        <v>609371</v>
      </c>
      <c r="I2726" s="1">
        <v>5</v>
      </c>
      <c r="J2726" s="1" t="s">
        <v>169</v>
      </c>
      <c r="K2726" s="1" t="s">
        <v>1319</v>
      </c>
      <c r="L2726" s="1" t="s">
        <v>2450</v>
      </c>
      <c r="M2726" s="1">
        <v>113</v>
      </c>
      <c r="N2726" s="1" t="s">
        <v>39</v>
      </c>
      <c r="O2726" s="1">
        <v>39.7286</v>
      </c>
      <c r="P2726" s="1">
        <v>-84.210599999999999</v>
      </c>
      <c r="Q2726" s="1" t="s">
        <v>2451</v>
      </c>
      <c r="R2726" s="1" t="s">
        <v>41</v>
      </c>
      <c r="T2726" s="1" t="s">
        <v>93</v>
      </c>
      <c r="U2726" s="1" t="s">
        <v>44</v>
      </c>
      <c r="V2726" s="1" t="s">
        <v>94</v>
      </c>
      <c r="X2726" s="1" t="s">
        <v>3508</v>
      </c>
      <c r="AA2726" s="3">
        <v>37377</v>
      </c>
      <c r="AB2726" s="1" t="s">
        <v>46</v>
      </c>
      <c r="AC2726" s="5">
        <v>1160</v>
      </c>
      <c r="AD2726" s="1" t="s">
        <v>6244</v>
      </c>
      <c r="AE2726" s="1" t="str">
        <f t="shared" si="191"/>
        <v>55248 CT5</v>
      </c>
      <c r="AF2726" s="5" t="str">
        <f t="shared" si="193"/>
        <v>94</v>
      </c>
      <c r="AG2726" s="1" t="str">
        <f t="shared" si="190"/>
        <v/>
      </c>
    </row>
    <row r="2727" spans="1:33" x14ac:dyDescent="0.2">
      <c r="A2727" s="1" t="s">
        <v>2430</v>
      </c>
      <c r="B2727" s="1" t="s">
        <v>6246</v>
      </c>
      <c r="C2727" s="1">
        <v>55248</v>
      </c>
      <c r="D2727" s="1" t="s">
        <v>107</v>
      </c>
      <c r="F2727" s="1">
        <v>2023</v>
      </c>
      <c r="G2727" s="1" t="s">
        <v>461</v>
      </c>
      <c r="H2727" s="1">
        <v>609371</v>
      </c>
      <c r="I2727" s="1">
        <v>5</v>
      </c>
      <c r="J2727" s="1" t="s">
        <v>169</v>
      </c>
      <c r="K2727" s="1" t="s">
        <v>1319</v>
      </c>
      <c r="L2727" s="1" t="s">
        <v>2450</v>
      </c>
      <c r="M2727" s="1">
        <v>113</v>
      </c>
      <c r="N2727" s="1" t="s">
        <v>39</v>
      </c>
      <c r="O2727" s="1">
        <v>39.7286</v>
      </c>
      <c r="P2727" s="1">
        <v>-84.210599999999999</v>
      </c>
      <c r="Q2727" s="1" t="s">
        <v>2451</v>
      </c>
      <c r="R2727" s="1" t="s">
        <v>41</v>
      </c>
      <c r="T2727" s="1" t="s">
        <v>93</v>
      </c>
      <c r="U2727" s="1" t="s">
        <v>44</v>
      </c>
      <c r="V2727" s="1" t="s">
        <v>94</v>
      </c>
      <c r="X2727" s="1" t="s">
        <v>3508</v>
      </c>
      <c r="AA2727" s="3">
        <v>37370</v>
      </c>
      <c r="AB2727" s="1" t="s">
        <v>46</v>
      </c>
      <c r="AC2727" s="5">
        <v>1160</v>
      </c>
      <c r="AD2727" s="1" t="s">
        <v>6245</v>
      </c>
      <c r="AE2727" s="1" t="str">
        <f t="shared" si="191"/>
        <v>55248 CT6</v>
      </c>
      <c r="AF2727" s="5" t="str">
        <f t="shared" si="193"/>
        <v>94</v>
      </c>
      <c r="AG2727" s="1" t="str">
        <f t="shared" si="190"/>
        <v/>
      </c>
    </row>
    <row r="2728" spans="1:33" x14ac:dyDescent="0.2">
      <c r="A2728" s="1" t="s">
        <v>2430</v>
      </c>
      <c r="B2728" s="1" t="s">
        <v>6246</v>
      </c>
      <c r="C2728" s="1">
        <v>55248</v>
      </c>
      <c r="D2728" s="1" t="s">
        <v>109</v>
      </c>
      <c r="F2728" s="1">
        <v>2023</v>
      </c>
      <c r="G2728" s="1" t="s">
        <v>461</v>
      </c>
      <c r="H2728" s="1">
        <v>609371</v>
      </c>
      <c r="I2728" s="1">
        <v>5</v>
      </c>
      <c r="J2728" s="1" t="s">
        <v>169</v>
      </c>
      <c r="K2728" s="1" t="s">
        <v>1319</v>
      </c>
      <c r="L2728" s="1" t="s">
        <v>2450</v>
      </c>
      <c r="M2728" s="1">
        <v>113</v>
      </c>
      <c r="N2728" s="1" t="s">
        <v>39</v>
      </c>
      <c r="O2728" s="1">
        <v>39.7286</v>
      </c>
      <c r="P2728" s="1">
        <v>-84.210599999999999</v>
      </c>
      <c r="Q2728" s="1" t="s">
        <v>2451</v>
      </c>
      <c r="R2728" s="1" t="s">
        <v>41</v>
      </c>
      <c r="T2728" s="1" t="s">
        <v>93</v>
      </c>
      <c r="U2728" s="1" t="s">
        <v>44</v>
      </c>
      <c r="V2728" s="1" t="s">
        <v>94</v>
      </c>
      <c r="X2728" s="1" t="s">
        <v>3508</v>
      </c>
      <c r="AA2728" s="3">
        <v>37363</v>
      </c>
      <c r="AB2728" s="1" t="s">
        <v>46</v>
      </c>
      <c r="AC2728" s="5">
        <v>1160</v>
      </c>
      <c r="AD2728" s="1" t="s">
        <v>6247</v>
      </c>
      <c r="AE2728" s="1" t="str">
        <f t="shared" si="191"/>
        <v>55248 CT7</v>
      </c>
      <c r="AF2728" s="5" t="str">
        <f t="shared" si="193"/>
        <v>94</v>
      </c>
      <c r="AG2728" s="1" t="str">
        <f t="shared" si="190"/>
        <v/>
      </c>
    </row>
    <row r="2729" spans="1:33" x14ac:dyDescent="0.2">
      <c r="A2729" s="1" t="s">
        <v>458</v>
      </c>
      <c r="B2729" s="1" t="s">
        <v>6248</v>
      </c>
      <c r="C2729" s="1">
        <v>55250</v>
      </c>
      <c r="D2729" s="1" t="s">
        <v>6249</v>
      </c>
      <c r="E2729" s="1" t="s">
        <v>1881</v>
      </c>
      <c r="F2729" s="1">
        <v>2023</v>
      </c>
      <c r="G2729" s="1" t="s">
        <v>461</v>
      </c>
      <c r="H2729" s="1">
        <v>605624</v>
      </c>
      <c r="I2729" s="1">
        <v>5</v>
      </c>
      <c r="K2729" s="1" t="s">
        <v>463</v>
      </c>
      <c r="L2729" s="1" t="s">
        <v>464</v>
      </c>
      <c r="M2729" s="1">
        <v>197</v>
      </c>
      <c r="N2729" s="1" t="s">
        <v>39</v>
      </c>
      <c r="O2729" s="1">
        <v>41.4405</v>
      </c>
      <c r="P2729" s="1">
        <v>-87.752799999999993</v>
      </c>
      <c r="Q2729" s="1" t="s">
        <v>6250</v>
      </c>
      <c r="R2729" s="1" t="s">
        <v>41</v>
      </c>
      <c r="T2729" s="1" t="s">
        <v>93</v>
      </c>
      <c r="U2729" s="1" t="s">
        <v>44</v>
      </c>
      <c r="X2729" s="1" t="s">
        <v>95</v>
      </c>
      <c r="AA2729" s="3">
        <v>37025</v>
      </c>
      <c r="AB2729" s="1" t="s">
        <v>46</v>
      </c>
      <c r="AC2729" s="5">
        <v>300</v>
      </c>
      <c r="AD2729" s="1" t="s">
        <v>6251</v>
      </c>
      <c r="AE2729" s="1" t="str">
        <f t="shared" si="191"/>
        <v>55250 UP1</v>
      </c>
      <c r="AF2729" s="5" t="str">
        <f t="shared" si="193"/>
        <v>57</v>
      </c>
      <c r="AG2729" s="1" t="str">
        <f t="shared" si="190"/>
        <v/>
      </c>
    </row>
    <row r="2730" spans="1:33" x14ac:dyDescent="0.2">
      <c r="A2730" s="1" t="s">
        <v>458</v>
      </c>
      <c r="B2730" s="1" t="s">
        <v>6248</v>
      </c>
      <c r="C2730" s="1">
        <v>55250</v>
      </c>
      <c r="D2730" s="1" t="s">
        <v>6252</v>
      </c>
      <c r="E2730" s="1" t="s">
        <v>1881</v>
      </c>
      <c r="F2730" s="1">
        <v>2023</v>
      </c>
      <c r="G2730" s="1" t="s">
        <v>461</v>
      </c>
      <c r="H2730" s="1">
        <v>605624</v>
      </c>
      <c r="I2730" s="1">
        <v>5</v>
      </c>
      <c r="K2730" s="1" t="s">
        <v>463</v>
      </c>
      <c r="L2730" s="1" t="s">
        <v>464</v>
      </c>
      <c r="M2730" s="1">
        <v>197</v>
      </c>
      <c r="N2730" s="1" t="s">
        <v>39</v>
      </c>
      <c r="O2730" s="1">
        <v>41.4405</v>
      </c>
      <c r="P2730" s="1">
        <v>-87.752799999999993</v>
      </c>
      <c r="Q2730" s="1" t="s">
        <v>6250</v>
      </c>
      <c r="R2730" s="1" t="s">
        <v>41</v>
      </c>
      <c r="T2730" s="1" t="s">
        <v>93</v>
      </c>
      <c r="U2730" s="1" t="s">
        <v>44</v>
      </c>
      <c r="X2730" s="1" t="s">
        <v>95</v>
      </c>
      <c r="AA2730" s="3">
        <v>37036</v>
      </c>
      <c r="AB2730" s="1" t="s">
        <v>46</v>
      </c>
      <c r="AC2730" s="5">
        <v>300</v>
      </c>
      <c r="AD2730" s="1" t="s">
        <v>6253</v>
      </c>
      <c r="AE2730" s="1" t="str">
        <f t="shared" si="191"/>
        <v>55250 UP10</v>
      </c>
      <c r="AF2730" s="5" t="str">
        <f t="shared" si="193"/>
        <v>57</v>
      </c>
      <c r="AG2730" s="1" t="str">
        <f t="shared" si="190"/>
        <v/>
      </c>
    </row>
    <row r="2731" spans="1:33" x14ac:dyDescent="0.2">
      <c r="A2731" s="1" t="s">
        <v>458</v>
      </c>
      <c r="B2731" s="1" t="s">
        <v>6248</v>
      </c>
      <c r="C2731" s="1">
        <v>55250</v>
      </c>
      <c r="D2731" s="1" t="s">
        <v>6254</v>
      </c>
      <c r="E2731" s="1" t="s">
        <v>1881</v>
      </c>
      <c r="F2731" s="1">
        <v>2023</v>
      </c>
      <c r="G2731" s="1" t="s">
        <v>461</v>
      </c>
      <c r="H2731" s="1">
        <v>605624</v>
      </c>
      <c r="I2731" s="1">
        <v>5</v>
      </c>
      <c r="K2731" s="1" t="s">
        <v>463</v>
      </c>
      <c r="L2731" s="1" t="s">
        <v>464</v>
      </c>
      <c r="M2731" s="1">
        <v>197</v>
      </c>
      <c r="N2731" s="1" t="s">
        <v>39</v>
      </c>
      <c r="O2731" s="1">
        <v>41.4405</v>
      </c>
      <c r="P2731" s="1">
        <v>-87.752799999999993</v>
      </c>
      <c r="Q2731" s="1" t="s">
        <v>6250</v>
      </c>
      <c r="R2731" s="1" t="s">
        <v>41</v>
      </c>
      <c r="T2731" s="1" t="s">
        <v>93</v>
      </c>
      <c r="U2731" s="1" t="s">
        <v>44</v>
      </c>
      <c r="X2731" s="1" t="s">
        <v>95</v>
      </c>
      <c r="AA2731" s="3">
        <v>37086</v>
      </c>
      <c r="AB2731" s="1" t="s">
        <v>46</v>
      </c>
      <c r="AC2731" s="5">
        <v>300</v>
      </c>
      <c r="AD2731" s="1" t="s">
        <v>6255</v>
      </c>
      <c r="AE2731" s="1" t="str">
        <f t="shared" si="191"/>
        <v>55250 UP11</v>
      </c>
      <c r="AF2731" s="5" t="str">
        <f t="shared" si="193"/>
        <v>57</v>
      </c>
      <c r="AG2731" s="1" t="str">
        <f t="shared" si="190"/>
        <v/>
      </c>
    </row>
    <row r="2732" spans="1:33" x14ac:dyDescent="0.2">
      <c r="A2732" s="1" t="s">
        <v>458</v>
      </c>
      <c r="B2732" s="1" t="s">
        <v>6248</v>
      </c>
      <c r="C2732" s="1">
        <v>55250</v>
      </c>
      <c r="D2732" s="1" t="s">
        <v>6256</v>
      </c>
      <c r="E2732" s="1" t="s">
        <v>1881</v>
      </c>
      <c r="F2732" s="1">
        <v>2023</v>
      </c>
      <c r="G2732" s="1" t="s">
        <v>461</v>
      </c>
      <c r="H2732" s="1">
        <v>605624</v>
      </c>
      <c r="I2732" s="1">
        <v>5</v>
      </c>
      <c r="K2732" s="1" t="s">
        <v>463</v>
      </c>
      <c r="L2732" s="1" t="s">
        <v>464</v>
      </c>
      <c r="M2732" s="1">
        <v>197</v>
      </c>
      <c r="N2732" s="1" t="s">
        <v>39</v>
      </c>
      <c r="O2732" s="1">
        <v>41.4405</v>
      </c>
      <c r="P2732" s="1">
        <v>-87.752799999999993</v>
      </c>
      <c r="Q2732" s="1" t="s">
        <v>6250</v>
      </c>
      <c r="R2732" s="1" t="s">
        <v>41</v>
      </c>
      <c r="T2732" s="1" t="s">
        <v>93</v>
      </c>
      <c r="U2732" s="1" t="s">
        <v>44</v>
      </c>
      <c r="X2732" s="1" t="s">
        <v>95</v>
      </c>
      <c r="AA2732" s="3">
        <v>37086</v>
      </c>
      <c r="AB2732" s="1" t="s">
        <v>46</v>
      </c>
      <c r="AC2732" s="5">
        <v>300</v>
      </c>
      <c r="AD2732" s="1" t="s">
        <v>6255</v>
      </c>
      <c r="AE2732" s="1" t="str">
        <f t="shared" si="191"/>
        <v>55250 UP12</v>
      </c>
      <c r="AF2732" s="5" t="str">
        <f t="shared" si="193"/>
        <v>57</v>
      </c>
      <c r="AG2732" s="1" t="str">
        <f t="shared" si="190"/>
        <v/>
      </c>
    </row>
    <row r="2733" spans="1:33" x14ac:dyDescent="0.2">
      <c r="A2733" s="1" t="s">
        <v>458</v>
      </c>
      <c r="B2733" s="1" t="s">
        <v>6248</v>
      </c>
      <c r="C2733" s="1">
        <v>55250</v>
      </c>
      <c r="D2733" s="1" t="s">
        <v>6257</v>
      </c>
      <c r="E2733" s="1" t="s">
        <v>1881</v>
      </c>
      <c r="F2733" s="1">
        <v>2023</v>
      </c>
      <c r="G2733" s="1" t="s">
        <v>461</v>
      </c>
      <c r="H2733" s="1">
        <v>605624</v>
      </c>
      <c r="I2733" s="1">
        <v>5</v>
      </c>
      <c r="K2733" s="1" t="s">
        <v>463</v>
      </c>
      <c r="L2733" s="1" t="s">
        <v>464</v>
      </c>
      <c r="M2733" s="1">
        <v>197</v>
      </c>
      <c r="N2733" s="1" t="s">
        <v>39</v>
      </c>
      <c r="O2733" s="1">
        <v>41.4405</v>
      </c>
      <c r="P2733" s="1">
        <v>-87.752799999999993</v>
      </c>
      <c r="Q2733" s="1" t="s">
        <v>6250</v>
      </c>
      <c r="R2733" s="1" t="s">
        <v>41</v>
      </c>
      <c r="T2733" s="1" t="s">
        <v>93</v>
      </c>
      <c r="U2733" s="1" t="s">
        <v>44</v>
      </c>
      <c r="X2733" s="1" t="s">
        <v>95</v>
      </c>
      <c r="AA2733" s="3">
        <v>37025</v>
      </c>
      <c r="AB2733" s="1" t="s">
        <v>46</v>
      </c>
      <c r="AC2733" s="5">
        <v>300</v>
      </c>
      <c r="AD2733" s="1" t="s">
        <v>6251</v>
      </c>
      <c r="AE2733" s="1" t="str">
        <f t="shared" si="191"/>
        <v>55250 UP2</v>
      </c>
      <c r="AF2733" s="5" t="str">
        <f t="shared" si="193"/>
        <v>57</v>
      </c>
      <c r="AG2733" s="1" t="str">
        <f t="shared" si="190"/>
        <v/>
      </c>
    </row>
    <row r="2734" spans="1:33" x14ac:dyDescent="0.2">
      <c r="A2734" s="1" t="s">
        <v>458</v>
      </c>
      <c r="B2734" s="1" t="s">
        <v>6248</v>
      </c>
      <c r="C2734" s="1">
        <v>55250</v>
      </c>
      <c r="D2734" s="1" t="s">
        <v>6258</v>
      </c>
      <c r="E2734" s="1" t="s">
        <v>1881</v>
      </c>
      <c r="F2734" s="1">
        <v>2023</v>
      </c>
      <c r="G2734" s="1" t="s">
        <v>461</v>
      </c>
      <c r="H2734" s="1">
        <v>605624</v>
      </c>
      <c r="I2734" s="1">
        <v>5</v>
      </c>
      <c r="K2734" s="1" t="s">
        <v>463</v>
      </c>
      <c r="L2734" s="1" t="s">
        <v>464</v>
      </c>
      <c r="M2734" s="1">
        <v>197</v>
      </c>
      <c r="N2734" s="1" t="s">
        <v>39</v>
      </c>
      <c r="O2734" s="1">
        <v>41.4405</v>
      </c>
      <c r="P2734" s="1">
        <v>-87.752799999999993</v>
      </c>
      <c r="Q2734" s="1" t="s">
        <v>6250</v>
      </c>
      <c r="R2734" s="1" t="s">
        <v>41</v>
      </c>
      <c r="T2734" s="1" t="s">
        <v>93</v>
      </c>
      <c r="U2734" s="1" t="s">
        <v>44</v>
      </c>
      <c r="X2734" s="1" t="s">
        <v>95</v>
      </c>
      <c r="AA2734" s="3">
        <v>37016</v>
      </c>
      <c r="AB2734" s="1" t="s">
        <v>46</v>
      </c>
      <c r="AC2734" s="5">
        <v>300</v>
      </c>
      <c r="AD2734" s="1" t="s">
        <v>6259</v>
      </c>
      <c r="AE2734" s="1" t="str">
        <f t="shared" si="191"/>
        <v>55250 UP3</v>
      </c>
      <c r="AF2734" s="5" t="str">
        <f t="shared" si="193"/>
        <v>57</v>
      </c>
      <c r="AG2734" s="1" t="str">
        <f t="shared" si="190"/>
        <v/>
      </c>
    </row>
    <row r="2735" spans="1:33" x14ac:dyDescent="0.2">
      <c r="A2735" s="1" t="s">
        <v>458</v>
      </c>
      <c r="B2735" s="1" t="s">
        <v>6248</v>
      </c>
      <c r="C2735" s="1">
        <v>55250</v>
      </c>
      <c r="D2735" s="1" t="s">
        <v>6260</v>
      </c>
      <c r="E2735" s="1" t="s">
        <v>1881</v>
      </c>
      <c r="F2735" s="1">
        <v>2023</v>
      </c>
      <c r="G2735" s="1" t="s">
        <v>461</v>
      </c>
      <c r="H2735" s="1">
        <v>605624</v>
      </c>
      <c r="I2735" s="1">
        <v>5</v>
      </c>
      <c r="K2735" s="1" t="s">
        <v>463</v>
      </c>
      <c r="L2735" s="1" t="s">
        <v>464</v>
      </c>
      <c r="M2735" s="1">
        <v>197</v>
      </c>
      <c r="N2735" s="1" t="s">
        <v>39</v>
      </c>
      <c r="O2735" s="1">
        <v>41.4405</v>
      </c>
      <c r="P2735" s="1">
        <v>-87.752799999999993</v>
      </c>
      <c r="Q2735" s="1" t="s">
        <v>6250</v>
      </c>
      <c r="R2735" s="1" t="s">
        <v>41</v>
      </c>
      <c r="T2735" s="1" t="s">
        <v>93</v>
      </c>
      <c r="U2735" s="1" t="s">
        <v>44</v>
      </c>
      <c r="X2735" s="1" t="s">
        <v>95</v>
      </c>
      <c r="AA2735" s="3">
        <v>37016</v>
      </c>
      <c r="AB2735" s="1" t="s">
        <v>46</v>
      </c>
      <c r="AC2735" s="5">
        <v>300</v>
      </c>
      <c r="AD2735" s="1" t="s">
        <v>6259</v>
      </c>
      <c r="AE2735" s="1" t="str">
        <f t="shared" si="191"/>
        <v>55250 UP4</v>
      </c>
      <c r="AF2735" s="5" t="str">
        <f t="shared" si="193"/>
        <v>57</v>
      </c>
      <c r="AG2735" s="1" t="str">
        <f t="shared" si="190"/>
        <v/>
      </c>
    </row>
    <row r="2736" spans="1:33" x14ac:dyDescent="0.2">
      <c r="A2736" s="1" t="s">
        <v>458</v>
      </c>
      <c r="B2736" s="1" t="s">
        <v>6248</v>
      </c>
      <c r="C2736" s="1">
        <v>55250</v>
      </c>
      <c r="D2736" s="1" t="s">
        <v>6261</v>
      </c>
      <c r="E2736" s="1" t="s">
        <v>1881</v>
      </c>
      <c r="F2736" s="1">
        <v>2023</v>
      </c>
      <c r="G2736" s="1" t="s">
        <v>461</v>
      </c>
      <c r="H2736" s="1">
        <v>605624</v>
      </c>
      <c r="I2736" s="1">
        <v>5</v>
      </c>
      <c r="K2736" s="1" t="s">
        <v>463</v>
      </c>
      <c r="L2736" s="1" t="s">
        <v>464</v>
      </c>
      <c r="M2736" s="1">
        <v>197</v>
      </c>
      <c r="N2736" s="1" t="s">
        <v>39</v>
      </c>
      <c r="O2736" s="1">
        <v>41.4405</v>
      </c>
      <c r="P2736" s="1">
        <v>-87.752799999999993</v>
      </c>
      <c r="Q2736" s="1" t="s">
        <v>6250</v>
      </c>
      <c r="R2736" s="1" t="s">
        <v>41</v>
      </c>
      <c r="T2736" s="1" t="s">
        <v>93</v>
      </c>
      <c r="U2736" s="1" t="s">
        <v>44</v>
      </c>
      <c r="X2736" s="1" t="s">
        <v>95</v>
      </c>
      <c r="AA2736" s="3">
        <v>37022</v>
      </c>
      <c r="AB2736" s="1" t="s">
        <v>46</v>
      </c>
      <c r="AC2736" s="5">
        <v>300</v>
      </c>
      <c r="AD2736" s="1" t="s">
        <v>6262</v>
      </c>
      <c r="AE2736" s="1" t="str">
        <f t="shared" si="191"/>
        <v>55250 UP5</v>
      </c>
      <c r="AF2736" s="5" t="str">
        <f t="shared" si="193"/>
        <v>57</v>
      </c>
      <c r="AG2736" s="1" t="str">
        <f t="shared" si="190"/>
        <v/>
      </c>
    </row>
    <row r="2737" spans="1:33" x14ac:dyDescent="0.2">
      <c r="A2737" s="1" t="s">
        <v>458</v>
      </c>
      <c r="B2737" s="1" t="s">
        <v>6248</v>
      </c>
      <c r="C2737" s="1">
        <v>55250</v>
      </c>
      <c r="D2737" s="1" t="s">
        <v>6263</v>
      </c>
      <c r="E2737" s="1" t="s">
        <v>1881</v>
      </c>
      <c r="F2737" s="1">
        <v>2023</v>
      </c>
      <c r="G2737" s="1" t="s">
        <v>461</v>
      </c>
      <c r="H2737" s="1">
        <v>605624</v>
      </c>
      <c r="I2737" s="1">
        <v>5</v>
      </c>
      <c r="K2737" s="1" t="s">
        <v>463</v>
      </c>
      <c r="L2737" s="1" t="s">
        <v>464</v>
      </c>
      <c r="M2737" s="1">
        <v>197</v>
      </c>
      <c r="N2737" s="1" t="s">
        <v>39</v>
      </c>
      <c r="O2737" s="1">
        <v>41.4405</v>
      </c>
      <c r="P2737" s="1">
        <v>-87.752799999999993</v>
      </c>
      <c r="Q2737" s="1" t="s">
        <v>6250</v>
      </c>
      <c r="R2737" s="1" t="s">
        <v>41</v>
      </c>
      <c r="T2737" s="1" t="s">
        <v>93</v>
      </c>
      <c r="U2737" s="1" t="s">
        <v>44</v>
      </c>
      <c r="X2737" s="1" t="s">
        <v>95</v>
      </c>
      <c r="AA2737" s="3">
        <v>37022</v>
      </c>
      <c r="AB2737" s="1" t="s">
        <v>46</v>
      </c>
      <c r="AC2737" s="5">
        <v>300</v>
      </c>
      <c r="AD2737" s="1" t="s">
        <v>6262</v>
      </c>
      <c r="AE2737" s="1" t="str">
        <f t="shared" si="191"/>
        <v>55250 UP6</v>
      </c>
      <c r="AF2737" s="5" t="str">
        <f t="shared" si="193"/>
        <v>57</v>
      </c>
      <c r="AG2737" s="1" t="str">
        <f t="shared" si="190"/>
        <v/>
      </c>
    </row>
    <row r="2738" spans="1:33" x14ac:dyDescent="0.2">
      <c r="A2738" s="1" t="s">
        <v>458</v>
      </c>
      <c r="B2738" s="1" t="s">
        <v>6248</v>
      </c>
      <c r="C2738" s="1">
        <v>55250</v>
      </c>
      <c r="D2738" s="1" t="s">
        <v>6264</v>
      </c>
      <c r="E2738" s="1" t="s">
        <v>1881</v>
      </c>
      <c r="F2738" s="1">
        <v>2023</v>
      </c>
      <c r="G2738" s="1" t="s">
        <v>461</v>
      </c>
      <c r="H2738" s="1">
        <v>605624</v>
      </c>
      <c r="I2738" s="1">
        <v>5</v>
      </c>
      <c r="K2738" s="1" t="s">
        <v>463</v>
      </c>
      <c r="L2738" s="1" t="s">
        <v>464</v>
      </c>
      <c r="M2738" s="1">
        <v>197</v>
      </c>
      <c r="N2738" s="1" t="s">
        <v>39</v>
      </c>
      <c r="O2738" s="1">
        <v>41.4405</v>
      </c>
      <c r="P2738" s="1">
        <v>-87.752799999999993</v>
      </c>
      <c r="Q2738" s="1" t="s">
        <v>6250</v>
      </c>
      <c r="R2738" s="1" t="s">
        <v>41</v>
      </c>
      <c r="T2738" s="1" t="s">
        <v>93</v>
      </c>
      <c r="U2738" s="1" t="s">
        <v>44</v>
      </c>
      <c r="X2738" s="1" t="s">
        <v>95</v>
      </c>
      <c r="AA2738" s="3">
        <v>37023</v>
      </c>
      <c r="AB2738" s="1" t="s">
        <v>46</v>
      </c>
      <c r="AC2738" s="5">
        <v>300</v>
      </c>
      <c r="AD2738" s="1" t="s">
        <v>6265</v>
      </c>
      <c r="AE2738" s="1" t="str">
        <f t="shared" si="191"/>
        <v>55250 UP7</v>
      </c>
      <c r="AF2738" s="5" t="str">
        <f t="shared" si="193"/>
        <v>57</v>
      </c>
      <c r="AG2738" s="1" t="str">
        <f t="shared" si="190"/>
        <v/>
      </c>
    </row>
    <row r="2739" spans="1:33" x14ac:dyDescent="0.2">
      <c r="A2739" s="1" t="s">
        <v>458</v>
      </c>
      <c r="B2739" s="1" t="s">
        <v>6248</v>
      </c>
      <c r="C2739" s="1">
        <v>55250</v>
      </c>
      <c r="D2739" s="1" t="s">
        <v>6266</v>
      </c>
      <c r="E2739" s="1" t="s">
        <v>1881</v>
      </c>
      <c r="F2739" s="1">
        <v>2023</v>
      </c>
      <c r="G2739" s="1" t="s">
        <v>461</v>
      </c>
      <c r="H2739" s="1">
        <v>605624</v>
      </c>
      <c r="I2739" s="1">
        <v>5</v>
      </c>
      <c r="K2739" s="1" t="s">
        <v>463</v>
      </c>
      <c r="L2739" s="1" t="s">
        <v>464</v>
      </c>
      <c r="M2739" s="1">
        <v>197</v>
      </c>
      <c r="N2739" s="1" t="s">
        <v>39</v>
      </c>
      <c r="O2739" s="1">
        <v>41.4405</v>
      </c>
      <c r="P2739" s="1">
        <v>-87.752799999999993</v>
      </c>
      <c r="Q2739" s="1" t="s">
        <v>6250</v>
      </c>
      <c r="R2739" s="1" t="s">
        <v>41</v>
      </c>
      <c r="T2739" s="1" t="s">
        <v>93</v>
      </c>
      <c r="U2739" s="1" t="s">
        <v>44</v>
      </c>
      <c r="X2739" s="1" t="s">
        <v>95</v>
      </c>
      <c r="AA2739" s="3">
        <v>37023</v>
      </c>
      <c r="AB2739" s="1" t="s">
        <v>46</v>
      </c>
      <c r="AC2739" s="5">
        <v>300</v>
      </c>
      <c r="AD2739" s="1" t="s">
        <v>6265</v>
      </c>
      <c r="AE2739" s="1" t="str">
        <f t="shared" si="191"/>
        <v>55250 UP8</v>
      </c>
      <c r="AF2739" s="5" t="str">
        <f t="shared" si="193"/>
        <v>57</v>
      </c>
      <c r="AG2739" s="1" t="str">
        <f t="shared" si="190"/>
        <v/>
      </c>
    </row>
    <row r="2740" spans="1:33" x14ac:dyDescent="0.2">
      <c r="A2740" s="1" t="s">
        <v>458</v>
      </c>
      <c r="B2740" s="1" t="s">
        <v>6248</v>
      </c>
      <c r="C2740" s="1">
        <v>55250</v>
      </c>
      <c r="D2740" s="1" t="s">
        <v>6267</v>
      </c>
      <c r="E2740" s="1" t="s">
        <v>1881</v>
      </c>
      <c r="F2740" s="1">
        <v>2023</v>
      </c>
      <c r="G2740" s="1" t="s">
        <v>461</v>
      </c>
      <c r="H2740" s="1">
        <v>605624</v>
      </c>
      <c r="I2740" s="1">
        <v>5</v>
      </c>
      <c r="K2740" s="1" t="s">
        <v>463</v>
      </c>
      <c r="L2740" s="1" t="s">
        <v>464</v>
      </c>
      <c r="M2740" s="1">
        <v>197</v>
      </c>
      <c r="N2740" s="1" t="s">
        <v>39</v>
      </c>
      <c r="O2740" s="1">
        <v>41.4405</v>
      </c>
      <c r="P2740" s="1">
        <v>-87.752799999999993</v>
      </c>
      <c r="Q2740" s="1" t="s">
        <v>6250</v>
      </c>
      <c r="R2740" s="1" t="s">
        <v>41</v>
      </c>
      <c r="T2740" s="1" t="s">
        <v>93</v>
      </c>
      <c r="U2740" s="1" t="s">
        <v>44</v>
      </c>
      <c r="X2740" s="1" t="s">
        <v>95</v>
      </c>
      <c r="AA2740" s="3">
        <v>37036</v>
      </c>
      <c r="AB2740" s="1" t="s">
        <v>46</v>
      </c>
      <c r="AC2740" s="5">
        <v>300</v>
      </c>
      <c r="AD2740" s="1" t="s">
        <v>6253</v>
      </c>
      <c r="AE2740" s="1" t="str">
        <f t="shared" si="191"/>
        <v>55250 UP9</v>
      </c>
      <c r="AF2740" s="5" t="str">
        <f t="shared" si="193"/>
        <v>57</v>
      </c>
      <c r="AG2740" s="1" t="str">
        <f t="shared" si="190"/>
        <v/>
      </c>
    </row>
    <row r="2741" spans="1:33" x14ac:dyDescent="0.2">
      <c r="A2741" s="1" t="s">
        <v>2762</v>
      </c>
      <c r="B2741" s="1" t="s">
        <v>6268</v>
      </c>
      <c r="C2741" s="1">
        <v>55251</v>
      </c>
      <c r="D2741" s="1" t="s">
        <v>5681</v>
      </c>
      <c r="F2741" s="1">
        <v>2023</v>
      </c>
      <c r="G2741" s="1" t="s">
        <v>1207</v>
      </c>
      <c r="H2741" s="1">
        <v>609315</v>
      </c>
      <c r="I2741" s="1">
        <v>4</v>
      </c>
      <c r="K2741" s="1" t="s">
        <v>6269</v>
      </c>
      <c r="L2741" s="1" t="s">
        <v>6270</v>
      </c>
      <c r="M2741" s="1">
        <v>183</v>
      </c>
      <c r="N2741" s="1" t="s">
        <v>39</v>
      </c>
      <c r="O2741" s="1">
        <v>36.245399999999997</v>
      </c>
      <c r="P2741" s="1">
        <v>-88.611999999999995</v>
      </c>
      <c r="Q2741" s="1" t="s">
        <v>136</v>
      </c>
      <c r="R2741" s="1" t="s">
        <v>41</v>
      </c>
      <c r="T2741" s="1" t="s">
        <v>93</v>
      </c>
      <c r="U2741" s="1" t="s">
        <v>44</v>
      </c>
      <c r="X2741" s="1" t="s">
        <v>140</v>
      </c>
      <c r="AA2741" s="3">
        <v>36683</v>
      </c>
      <c r="AB2741" s="1" t="s">
        <v>46</v>
      </c>
      <c r="AC2741" s="5">
        <v>2110</v>
      </c>
      <c r="AD2741" s="1" t="s">
        <v>6271</v>
      </c>
      <c r="AE2741" s="1" t="str">
        <f t="shared" si="191"/>
        <v>55251 CTG-1</v>
      </c>
      <c r="AF2741" s="5" t="str">
        <f t="shared" si="193"/>
        <v>185.4</v>
      </c>
      <c r="AG2741" s="1" t="str">
        <f t="shared" si="190"/>
        <v/>
      </c>
    </row>
    <row r="2742" spans="1:33" x14ac:dyDescent="0.2">
      <c r="A2742" s="1" t="s">
        <v>2762</v>
      </c>
      <c r="B2742" s="1" t="s">
        <v>6268</v>
      </c>
      <c r="C2742" s="1">
        <v>55251</v>
      </c>
      <c r="D2742" s="1" t="s">
        <v>5684</v>
      </c>
      <c r="F2742" s="1">
        <v>2023</v>
      </c>
      <c r="G2742" s="1" t="s">
        <v>1207</v>
      </c>
      <c r="H2742" s="1">
        <v>609315</v>
      </c>
      <c r="I2742" s="1">
        <v>4</v>
      </c>
      <c r="K2742" s="1" t="s">
        <v>6269</v>
      </c>
      <c r="L2742" s="1" t="s">
        <v>6270</v>
      </c>
      <c r="M2742" s="1">
        <v>183</v>
      </c>
      <c r="N2742" s="1" t="s">
        <v>39</v>
      </c>
      <c r="O2742" s="1">
        <v>36.245399999999997</v>
      </c>
      <c r="P2742" s="1">
        <v>-88.611999999999995</v>
      </c>
      <c r="Q2742" s="1" t="s">
        <v>136</v>
      </c>
      <c r="R2742" s="1" t="s">
        <v>41</v>
      </c>
      <c r="T2742" s="1" t="s">
        <v>93</v>
      </c>
      <c r="U2742" s="1" t="s">
        <v>44</v>
      </c>
      <c r="X2742" s="1" t="s">
        <v>140</v>
      </c>
      <c r="AA2742" s="3">
        <v>36670</v>
      </c>
      <c r="AB2742" s="1" t="s">
        <v>46</v>
      </c>
      <c r="AC2742" s="5">
        <v>2110</v>
      </c>
      <c r="AD2742" s="1" t="s">
        <v>6272</v>
      </c>
      <c r="AE2742" s="1" t="str">
        <f t="shared" si="191"/>
        <v>55251 CTG-2</v>
      </c>
      <c r="AF2742" s="5" t="str">
        <f t="shared" si="193"/>
        <v>191.2</v>
      </c>
      <c r="AG2742" s="1" t="str">
        <f t="shared" si="190"/>
        <v/>
      </c>
    </row>
    <row r="2743" spans="1:33" x14ac:dyDescent="0.2">
      <c r="A2743" s="1" t="s">
        <v>2762</v>
      </c>
      <c r="B2743" s="1" t="s">
        <v>6268</v>
      </c>
      <c r="C2743" s="1">
        <v>55251</v>
      </c>
      <c r="D2743" s="1" t="s">
        <v>5750</v>
      </c>
      <c r="F2743" s="1">
        <v>2023</v>
      </c>
      <c r="G2743" s="1" t="s">
        <v>1207</v>
      </c>
      <c r="H2743" s="1">
        <v>609315</v>
      </c>
      <c r="I2743" s="1">
        <v>4</v>
      </c>
      <c r="K2743" s="1" t="s">
        <v>6269</v>
      </c>
      <c r="L2743" s="1" t="s">
        <v>6270</v>
      </c>
      <c r="M2743" s="1">
        <v>183</v>
      </c>
      <c r="N2743" s="1" t="s">
        <v>39</v>
      </c>
      <c r="O2743" s="1">
        <v>36.245399999999997</v>
      </c>
      <c r="P2743" s="1">
        <v>-88.611999999999995</v>
      </c>
      <c r="Q2743" s="1" t="s">
        <v>136</v>
      </c>
      <c r="R2743" s="1" t="s">
        <v>41</v>
      </c>
      <c r="T2743" s="1" t="s">
        <v>93</v>
      </c>
      <c r="U2743" s="1" t="s">
        <v>44</v>
      </c>
      <c r="X2743" s="1" t="s">
        <v>140</v>
      </c>
      <c r="AA2743" s="3">
        <v>36664</v>
      </c>
      <c r="AB2743" s="1" t="s">
        <v>46</v>
      </c>
      <c r="AC2743" s="5">
        <v>2100</v>
      </c>
      <c r="AD2743" s="1" t="s">
        <v>6273</v>
      </c>
      <c r="AE2743" s="1" t="str">
        <f t="shared" si="191"/>
        <v>55251 CTG-3</v>
      </c>
      <c r="AF2743" s="5" t="str">
        <f t="shared" si="193"/>
        <v>191.2</v>
      </c>
      <c r="AG2743" s="1" t="str">
        <f t="shared" si="190"/>
        <v/>
      </c>
    </row>
    <row r="2744" spans="1:33" x14ac:dyDescent="0.2">
      <c r="A2744" s="1" t="s">
        <v>458</v>
      </c>
      <c r="B2744" s="1" t="s">
        <v>6274</v>
      </c>
      <c r="C2744" s="1">
        <v>55253</v>
      </c>
      <c r="D2744" s="1" t="s">
        <v>280</v>
      </c>
      <c r="F2744" s="1">
        <v>2023</v>
      </c>
      <c r="G2744" s="1" t="s">
        <v>461</v>
      </c>
      <c r="H2744" s="1">
        <v>3167</v>
      </c>
      <c r="I2744" s="1">
        <v>5</v>
      </c>
      <c r="K2744" s="1" t="s">
        <v>463</v>
      </c>
      <c r="L2744" s="1" t="s">
        <v>464</v>
      </c>
      <c r="M2744" s="1">
        <v>197</v>
      </c>
      <c r="N2744" s="1" t="s">
        <v>39</v>
      </c>
      <c r="O2744" s="1">
        <v>41.429699999999997</v>
      </c>
      <c r="P2744" s="1">
        <v>-87.618700000000004</v>
      </c>
      <c r="Q2744" s="1" t="s">
        <v>6275</v>
      </c>
      <c r="R2744" s="1" t="s">
        <v>41</v>
      </c>
      <c r="T2744" s="1" t="s">
        <v>93</v>
      </c>
      <c r="U2744" s="1" t="s">
        <v>44</v>
      </c>
      <c r="X2744" s="1" t="s">
        <v>140</v>
      </c>
      <c r="AA2744" s="3">
        <v>37357</v>
      </c>
      <c r="AB2744" s="1" t="s">
        <v>46</v>
      </c>
      <c r="AC2744" s="5">
        <v>1100</v>
      </c>
      <c r="AD2744" s="1" t="s">
        <v>6276</v>
      </c>
      <c r="AE2744" s="1" t="str">
        <f t="shared" si="191"/>
        <v>55253 GT1</v>
      </c>
      <c r="AF2744" s="5" t="str">
        <f t="shared" si="193"/>
        <v>89</v>
      </c>
      <c r="AG2744" s="1" t="str">
        <f t="shared" si="190"/>
        <v/>
      </c>
    </row>
    <row r="2745" spans="1:33" x14ac:dyDescent="0.2">
      <c r="A2745" s="1" t="s">
        <v>458</v>
      </c>
      <c r="B2745" s="1" t="s">
        <v>6274</v>
      </c>
      <c r="C2745" s="1">
        <v>55253</v>
      </c>
      <c r="D2745" s="1" t="s">
        <v>1102</v>
      </c>
      <c r="F2745" s="1">
        <v>2023</v>
      </c>
      <c r="G2745" s="1" t="s">
        <v>461</v>
      </c>
      <c r="H2745" s="1">
        <v>3167</v>
      </c>
      <c r="I2745" s="1">
        <v>5</v>
      </c>
      <c r="K2745" s="1" t="s">
        <v>463</v>
      </c>
      <c r="L2745" s="1" t="s">
        <v>464</v>
      </c>
      <c r="M2745" s="1">
        <v>197</v>
      </c>
      <c r="N2745" s="1" t="s">
        <v>39</v>
      </c>
      <c r="O2745" s="1">
        <v>41.429699999999997</v>
      </c>
      <c r="P2745" s="1">
        <v>-87.618700000000004</v>
      </c>
      <c r="Q2745" s="1" t="s">
        <v>6275</v>
      </c>
      <c r="R2745" s="1" t="s">
        <v>41</v>
      </c>
      <c r="T2745" s="1" t="s">
        <v>93</v>
      </c>
      <c r="U2745" s="1" t="s">
        <v>44</v>
      </c>
      <c r="X2745" s="1" t="s">
        <v>140</v>
      </c>
      <c r="AA2745" s="3">
        <v>37352</v>
      </c>
      <c r="AB2745" s="1" t="s">
        <v>46</v>
      </c>
      <c r="AC2745" s="5">
        <v>1100</v>
      </c>
      <c r="AD2745" s="1" t="s">
        <v>6277</v>
      </c>
      <c r="AE2745" s="1" t="str">
        <f t="shared" si="191"/>
        <v>55253 GT2</v>
      </c>
      <c r="AF2745" s="5" t="str">
        <f t="shared" si="193"/>
        <v>89</v>
      </c>
      <c r="AG2745" s="1" t="str">
        <f t="shared" si="190"/>
        <v/>
      </c>
    </row>
    <row r="2746" spans="1:33" x14ac:dyDescent="0.2">
      <c r="A2746" s="1" t="s">
        <v>458</v>
      </c>
      <c r="B2746" s="1" t="s">
        <v>6274</v>
      </c>
      <c r="C2746" s="1">
        <v>55253</v>
      </c>
      <c r="D2746" s="1" t="s">
        <v>246</v>
      </c>
      <c r="F2746" s="1">
        <v>2023</v>
      </c>
      <c r="G2746" s="1" t="s">
        <v>461</v>
      </c>
      <c r="H2746" s="1">
        <v>3167</v>
      </c>
      <c r="I2746" s="1">
        <v>5</v>
      </c>
      <c r="K2746" s="1" t="s">
        <v>463</v>
      </c>
      <c r="L2746" s="1" t="s">
        <v>464</v>
      </c>
      <c r="M2746" s="1">
        <v>197</v>
      </c>
      <c r="N2746" s="1" t="s">
        <v>39</v>
      </c>
      <c r="O2746" s="1">
        <v>41.429699999999997</v>
      </c>
      <c r="P2746" s="1">
        <v>-87.618700000000004</v>
      </c>
      <c r="Q2746" s="1" t="s">
        <v>6275</v>
      </c>
      <c r="R2746" s="1" t="s">
        <v>41</v>
      </c>
      <c r="T2746" s="1" t="s">
        <v>93</v>
      </c>
      <c r="U2746" s="1" t="s">
        <v>44</v>
      </c>
      <c r="X2746" s="1" t="s">
        <v>140</v>
      </c>
      <c r="AA2746" s="3">
        <v>37343</v>
      </c>
      <c r="AB2746" s="1" t="s">
        <v>46</v>
      </c>
      <c r="AC2746" s="5">
        <v>1100</v>
      </c>
      <c r="AD2746" s="1" t="s">
        <v>6278</v>
      </c>
      <c r="AE2746" s="1" t="str">
        <f t="shared" si="191"/>
        <v>55253 GT3</v>
      </c>
      <c r="AF2746" s="5" t="str">
        <f t="shared" si="193"/>
        <v>89</v>
      </c>
      <c r="AG2746" s="1" t="str">
        <f t="shared" si="190"/>
        <v/>
      </c>
    </row>
    <row r="2747" spans="1:33" x14ac:dyDescent="0.2">
      <c r="A2747" s="1" t="s">
        <v>458</v>
      </c>
      <c r="B2747" s="1" t="s">
        <v>6274</v>
      </c>
      <c r="C2747" s="1">
        <v>55253</v>
      </c>
      <c r="D2747" s="1" t="s">
        <v>251</v>
      </c>
      <c r="F2747" s="1">
        <v>2023</v>
      </c>
      <c r="G2747" s="1" t="s">
        <v>461</v>
      </c>
      <c r="H2747" s="1">
        <v>3167</v>
      </c>
      <c r="I2747" s="1">
        <v>5</v>
      </c>
      <c r="K2747" s="1" t="s">
        <v>463</v>
      </c>
      <c r="L2747" s="1" t="s">
        <v>464</v>
      </c>
      <c r="M2747" s="1">
        <v>197</v>
      </c>
      <c r="N2747" s="1" t="s">
        <v>39</v>
      </c>
      <c r="O2747" s="1">
        <v>41.429699999999997</v>
      </c>
      <c r="P2747" s="1">
        <v>-87.618700000000004</v>
      </c>
      <c r="Q2747" s="1" t="s">
        <v>6275</v>
      </c>
      <c r="R2747" s="1" t="s">
        <v>41</v>
      </c>
      <c r="T2747" s="1" t="s">
        <v>93</v>
      </c>
      <c r="U2747" s="1" t="s">
        <v>44</v>
      </c>
      <c r="X2747" s="1" t="s">
        <v>140</v>
      </c>
      <c r="AA2747" s="3">
        <v>37341</v>
      </c>
      <c r="AB2747" s="1" t="s">
        <v>46</v>
      </c>
      <c r="AC2747" s="5">
        <v>1100</v>
      </c>
      <c r="AD2747" s="1" t="s">
        <v>6279</v>
      </c>
      <c r="AE2747" s="1" t="str">
        <f t="shared" si="191"/>
        <v>55253 GT4</v>
      </c>
      <c r="AF2747" s="5" t="str">
        <f t="shared" si="193"/>
        <v>89</v>
      </c>
      <c r="AG2747" s="1" t="str">
        <f t="shared" si="190"/>
        <v/>
      </c>
    </row>
    <row r="2748" spans="1:33" x14ac:dyDescent="0.2">
      <c r="A2748" s="1" t="s">
        <v>1071</v>
      </c>
      <c r="B2748" s="1" t="s">
        <v>6280</v>
      </c>
      <c r="C2748" s="1">
        <v>55259</v>
      </c>
      <c r="D2748" s="1" t="s">
        <v>311</v>
      </c>
      <c r="F2748" s="1">
        <v>2023</v>
      </c>
      <c r="G2748" s="1" t="s">
        <v>461</v>
      </c>
      <c r="H2748" s="1">
        <v>610321</v>
      </c>
      <c r="I2748" s="1">
        <v>5</v>
      </c>
      <c r="J2748" s="1" t="s">
        <v>169</v>
      </c>
      <c r="K2748" s="1" t="s">
        <v>1021</v>
      </c>
      <c r="L2748" s="1" t="s">
        <v>6281</v>
      </c>
      <c r="M2748" s="1">
        <v>89</v>
      </c>
      <c r="N2748" s="1" t="s">
        <v>1680</v>
      </c>
      <c r="O2748" s="1">
        <v>41.673900000000003</v>
      </c>
      <c r="P2748" s="1">
        <v>-87.477800000000002</v>
      </c>
      <c r="Q2748" s="1" t="s">
        <v>6282</v>
      </c>
      <c r="R2748" s="1" t="s">
        <v>41</v>
      </c>
      <c r="T2748" s="1" t="s">
        <v>71</v>
      </c>
      <c r="U2748" s="1" t="s">
        <v>44</v>
      </c>
      <c r="X2748" s="1" t="s">
        <v>64</v>
      </c>
      <c r="AA2748" s="3">
        <v>37093</v>
      </c>
      <c r="AB2748" s="1" t="s">
        <v>46</v>
      </c>
      <c r="AC2748" s="5">
        <v>2994</v>
      </c>
      <c r="AD2748" s="1" t="s">
        <v>6283</v>
      </c>
      <c r="AE2748" s="1" t="str">
        <f t="shared" si="191"/>
        <v>55259 CT1</v>
      </c>
      <c r="AF2748" s="14">
        <f>MID(AD2748,FIND("(",AD2748)+1,FIND(")",AD2748)-FIND("(",AD2748)-1)+213/2</f>
        <v>292.5</v>
      </c>
      <c r="AG2748" s="1" t="str">
        <f t="shared" si="190"/>
        <v>Y</v>
      </c>
    </row>
    <row r="2749" spans="1:33" x14ac:dyDescent="0.2">
      <c r="A2749" s="1" t="s">
        <v>1071</v>
      </c>
      <c r="B2749" s="1" t="s">
        <v>6280</v>
      </c>
      <c r="C2749" s="1">
        <v>55259</v>
      </c>
      <c r="D2749" s="1" t="s">
        <v>98</v>
      </c>
      <c r="F2749" s="1">
        <v>2023</v>
      </c>
      <c r="G2749" s="1" t="s">
        <v>461</v>
      </c>
      <c r="H2749" s="1">
        <v>610321</v>
      </c>
      <c r="I2749" s="1">
        <v>5</v>
      </c>
      <c r="J2749" s="1" t="s">
        <v>169</v>
      </c>
      <c r="K2749" s="1" t="s">
        <v>1021</v>
      </c>
      <c r="L2749" s="1" t="s">
        <v>6281</v>
      </c>
      <c r="M2749" s="1">
        <v>89</v>
      </c>
      <c r="N2749" s="1" t="s">
        <v>1680</v>
      </c>
      <c r="O2749" s="1">
        <v>41.673900000000003</v>
      </c>
      <c r="P2749" s="1">
        <v>-87.477800000000002</v>
      </c>
      <c r="Q2749" s="1" t="s">
        <v>6282</v>
      </c>
      <c r="R2749" s="1" t="s">
        <v>41</v>
      </c>
      <c r="T2749" s="1" t="s">
        <v>71</v>
      </c>
      <c r="U2749" s="1" t="s">
        <v>44</v>
      </c>
      <c r="X2749" s="1" t="s">
        <v>64</v>
      </c>
      <c r="AA2749" s="3">
        <v>37085</v>
      </c>
      <c r="AB2749" s="1" t="s">
        <v>46</v>
      </c>
      <c r="AC2749" s="5">
        <v>2994</v>
      </c>
      <c r="AD2749" s="1" t="s">
        <v>6284</v>
      </c>
      <c r="AE2749" s="1" t="str">
        <f t="shared" si="191"/>
        <v>55259 CT2</v>
      </c>
      <c r="AF2749" s="14">
        <f>AF2748</f>
        <v>292.5</v>
      </c>
      <c r="AG2749" s="1" t="str">
        <f t="shared" si="190"/>
        <v>Y</v>
      </c>
    </row>
    <row r="2750" spans="1:33" x14ac:dyDescent="0.2">
      <c r="A2750" s="1" t="s">
        <v>2430</v>
      </c>
      <c r="B2750" s="1" t="s">
        <v>6285</v>
      </c>
      <c r="C2750" s="1">
        <v>55262</v>
      </c>
      <c r="D2750" s="1" t="s">
        <v>311</v>
      </c>
      <c r="F2750" s="1">
        <v>2023</v>
      </c>
      <c r="G2750" s="1" t="s">
        <v>461</v>
      </c>
      <c r="H2750" s="1">
        <v>610414</v>
      </c>
      <c r="I2750" s="1">
        <v>5</v>
      </c>
      <c r="K2750" s="1" t="s">
        <v>4243</v>
      </c>
      <c r="L2750" s="1" t="s">
        <v>4244</v>
      </c>
      <c r="M2750" s="1">
        <v>173</v>
      </c>
      <c r="N2750" s="1" t="s">
        <v>39</v>
      </c>
      <c r="O2750" s="1">
        <v>41.398899999999998</v>
      </c>
      <c r="P2750" s="1">
        <v>-83.641099999999994</v>
      </c>
      <c r="Q2750" s="1" t="s">
        <v>6286</v>
      </c>
      <c r="R2750" s="1" t="s">
        <v>41</v>
      </c>
      <c r="T2750" s="1" t="s">
        <v>93</v>
      </c>
      <c r="U2750" s="1" t="s">
        <v>44</v>
      </c>
      <c r="X2750" s="1" t="s">
        <v>223</v>
      </c>
      <c r="AA2750" s="3">
        <v>36930</v>
      </c>
      <c r="AB2750" s="1" t="s">
        <v>46</v>
      </c>
      <c r="AC2750" s="5">
        <v>507</v>
      </c>
      <c r="AD2750" s="1" t="s">
        <v>6287</v>
      </c>
      <c r="AE2750" s="1" t="str">
        <f t="shared" si="191"/>
        <v>55262 CT1</v>
      </c>
      <c r="AF2750" s="5" t="str">
        <f t="shared" ref="AF2750:AF2756" si="194">MID(AD2750,FIND("(",AD2750)+1,FIND(")",AD2750)-FIND("(",AD2750)-1)</f>
        <v>33</v>
      </c>
      <c r="AG2750" s="1" t="str">
        <f t="shared" si="190"/>
        <v>Y</v>
      </c>
    </row>
    <row r="2751" spans="1:33" x14ac:dyDescent="0.2">
      <c r="A2751" s="1" t="s">
        <v>2430</v>
      </c>
      <c r="B2751" s="1" t="s">
        <v>6288</v>
      </c>
      <c r="C2751" s="1">
        <v>55263</v>
      </c>
      <c r="D2751" s="1" t="s">
        <v>311</v>
      </c>
      <c r="F2751" s="1">
        <v>2023</v>
      </c>
      <c r="G2751" s="1" t="s">
        <v>461</v>
      </c>
      <c r="H2751" s="1">
        <v>610414</v>
      </c>
      <c r="I2751" s="1">
        <v>5</v>
      </c>
      <c r="K2751" s="1" t="s">
        <v>4992</v>
      </c>
      <c r="L2751" s="1" t="s">
        <v>6289</v>
      </c>
      <c r="M2751" s="1">
        <v>33</v>
      </c>
      <c r="N2751" s="1" t="s">
        <v>39</v>
      </c>
      <c r="O2751" s="1">
        <v>40.716700000000003</v>
      </c>
      <c r="P2751" s="1">
        <v>-82.789000000000001</v>
      </c>
      <c r="Q2751" s="1" t="s">
        <v>6286</v>
      </c>
      <c r="R2751" s="1" t="s">
        <v>41</v>
      </c>
      <c r="T2751" s="1" t="s">
        <v>93</v>
      </c>
      <c r="U2751" s="1" t="s">
        <v>44</v>
      </c>
      <c r="X2751" s="1" t="s">
        <v>223</v>
      </c>
      <c r="AA2751" s="3">
        <v>37049</v>
      </c>
      <c r="AB2751" s="1" t="s">
        <v>46</v>
      </c>
      <c r="AC2751" s="5">
        <v>507</v>
      </c>
      <c r="AD2751" s="1" t="s">
        <v>6287</v>
      </c>
      <c r="AE2751" s="1" t="str">
        <f t="shared" si="191"/>
        <v>55263 CT1</v>
      </c>
      <c r="AF2751" s="5" t="str">
        <f t="shared" si="194"/>
        <v>33</v>
      </c>
      <c r="AG2751" s="1" t="str">
        <f t="shared" si="190"/>
        <v>Y</v>
      </c>
    </row>
    <row r="2752" spans="1:33" x14ac:dyDescent="0.2">
      <c r="A2752" s="1" t="s">
        <v>2430</v>
      </c>
      <c r="B2752" s="1" t="s">
        <v>6290</v>
      </c>
      <c r="C2752" s="1">
        <v>55264</v>
      </c>
      <c r="D2752" s="1" t="s">
        <v>311</v>
      </c>
      <c r="F2752" s="1">
        <v>2023</v>
      </c>
      <c r="G2752" s="1" t="s">
        <v>461</v>
      </c>
      <c r="H2752" s="1">
        <v>610414</v>
      </c>
      <c r="I2752" s="1">
        <v>5</v>
      </c>
      <c r="K2752" s="1" t="s">
        <v>4209</v>
      </c>
      <c r="L2752" s="1" t="s">
        <v>6291</v>
      </c>
      <c r="M2752" s="1">
        <v>69</v>
      </c>
      <c r="N2752" s="1" t="s">
        <v>39</v>
      </c>
      <c r="O2752" s="1">
        <v>41.407699999999998</v>
      </c>
      <c r="P2752" s="1">
        <v>-84.109200000000001</v>
      </c>
      <c r="Q2752" s="1" t="s">
        <v>6286</v>
      </c>
      <c r="R2752" s="1" t="s">
        <v>41</v>
      </c>
      <c r="T2752" s="1" t="s">
        <v>93</v>
      </c>
      <c r="U2752" s="1" t="s">
        <v>44</v>
      </c>
      <c r="X2752" s="1" t="s">
        <v>223</v>
      </c>
      <c r="AA2752" s="3">
        <v>36956</v>
      </c>
      <c r="AB2752" s="1" t="s">
        <v>46</v>
      </c>
      <c r="AC2752" s="5">
        <v>507</v>
      </c>
      <c r="AD2752" s="1" t="s">
        <v>6287</v>
      </c>
      <c r="AE2752" s="1" t="str">
        <f t="shared" si="191"/>
        <v>55264 CT1</v>
      </c>
      <c r="AF2752" s="5" t="str">
        <f t="shared" si="194"/>
        <v>33</v>
      </c>
      <c r="AG2752" s="1" t="str">
        <f t="shared" si="190"/>
        <v>Y</v>
      </c>
    </row>
    <row r="2753" spans="1:33" x14ac:dyDescent="0.2">
      <c r="A2753" s="1" t="s">
        <v>921</v>
      </c>
      <c r="B2753" s="1" t="s">
        <v>6292</v>
      </c>
      <c r="C2753" s="1">
        <v>55267</v>
      </c>
      <c r="D2753" s="1">
        <v>1</v>
      </c>
      <c r="F2753" s="1">
        <v>2023</v>
      </c>
      <c r="G2753" s="1" t="s">
        <v>952</v>
      </c>
      <c r="H2753" s="1" t="s">
        <v>4161</v>
      </c>
      <c r="I2753" s="1">
        <v>4</v>
      </c>
      <c r="K2753" s="1" t="s">
        <v>6293</v>
      </c>
      <c r="L2753" s="1" t="s">
        <v>6294</v>
      </c>
      <c r="M2753" s="1">
        <v>293</v>
      </c>
      <c r="N2753" s="1" t="s">
        <v>39</v>
      </c>
      <c r="O2753" s="1">
        <v>32.911000000000001</v>
      </c>
      <c r="P2753" s="1">
        <v>-84.305899999999994</v>
      </c>
      <c r="Q2753" s="1" t="s">
        <v>6295</v>
      </c>
      <c r="R2753" s="1" t="s">
        <v>41</v>
      </c>
      <c r="T2753" s="1" t="s">
        <v>93</v>
      </c>
      <c r="U2753" s="1" t="s">
        <v>44</v>
      </c>
      <c r="V2753" s="1" t="s">
        <v>94</v>
      </c>
      <c r="X2753" s="1" t="s">
        <v>140</v>
      </c>
      <c r="AA2753" s="3">
        <v>36601</v>
      </c>
      <c r="AB2753" s="1" t="s">
        <v>46</v>
      </c>
      <c r="AC2753" s="5">
        <v>1923</v>
      </c>
      <c r="AD2753" s="1" t="s">
        <v>6296</v>
      </c>
      <c r="AE2753" s="1" t="str">
        <f t="shared" si="191"/>
        <v>55267 1</v>
      </c>
      <c r="AF2753" s="5" t="str">
        <f t="shared" si="194"/>
        <v>167</v>
      </c>
      <c r="AG2753" s="1" t="str">
        <f t="shared" si="190"/>
        <v/>
      </c>
    </row>
    <row r="2754" spans="1:33" x14ac:dyDescent="0.2">
      <c r="A2754" s="1" t="s">
        <v>921</v>
      </c>
      <c r="B2754" s="1" t="s">
        <v>6292</v>
      </c>
      <c r="C2754" s="1">
        <v>55267</v>
      </c>
      <c r="D2754" s="1">
        <v>2</v>
      </c>
      <c r="F2754" s="1">
        <v>2023</v>
      </c>
      <c r="G2754" s="1" t="s">
        <v>952</v>
      </c>
      <c r="H2754" s="1" t="s">
        <v>4161</v>
      </c>
      <c r="I2754" s="1">
        <v>4</v>
      </c>
      <c r="K2754" s="1" t="s">
        <v>6293</v>
      </c>
      <c r="L2754" s="1" t="s">
        <v>6294</v>
      </c>
      <c r="M2754" s="1">
        <v>293</v>
      </c>
      <c r="N2754" s="1" t="s">
        <v>39</v>
      </c>
      <c r="O2754" s="1">
        <v>32.911000000000001</v>
      </c>
      <c r="P2754" s="1">
        <v>-84.305899999999994</v>
      </c>
      <c r="Q2754" s="1" t="s">
        <v>6295</v>
      </c>
      <c r="R2754" s="1" t="s">
        <v>41</v>
      </c>
      <c r="T2754" s="1" t="s">
        <v>93</v>
      </c>
      <c r="U2754" s="1" t="s">
        <v>44</v>
      </c>
      <c r="V2754" s="1" t="s">
        <v>94</v>
      </c>
      <c r="X2754" s="1" t="s">
        <v>140</v>
      </c>
      <c r="AA2754" s="3">
        <v>36647</v>
      </c>
      <c r="AB2754" s="1" t="s">
        <v>46</v>
      </c>
      <c r="AC2754" s="5">
        <v>1922</v>
      </c>
      <c r="AD2754" s="1" t="s">
        <v>6297</v>
      </c>
      <c r="AE2754" s="1" t="str">
        <f t="shared" si="191"/>
        <v>55267 2</v>
      </c>
      <c r="AF2754" s="5" t="str">
        <f t="shared" si="194"/>
        <v>167</v>
      </c>
      <c r="AG2754" s="1" t="str">
        <f t="shared" ref="AG2754:AG2817" si="195">IF(ISNUMBER(SEARCH("selective", X2754)), "Y", "")</f>
        <v/>
      </c>
    </row>
    <row r="2755" spans="1:33" x14ac:dyDescent="0.2">
      <c r="A2755" s="1" t="s">
        <v>921</v>
      </c>
      <c r="B2755" s="1" t="s">
        <v>6292</v>
      </c>
      <c r="C2755" s="1">
        <v>55267</v>
      </c>
      <c r="D2755" s="1">
        <v>3</v>
      </c>
      <c r="F2755" s="1">
        <v>2023</v>
      </c>
      <c r="G2755" s="1" t="s">
        <v>952</v>
      </c>
      <c r="H2755" s="1" t="s">
        <v>4161</v>
      </c>
      <c r="I2755" s="1">
        <v>4</v>
      </c>
      <c r="K2755" s="1" t="s">
        <v>6293</v>
      </c>
      <c r="L2755" s="1" t="s">
        <v>6294</v>
      </c>
      <c r="M2755" s="1">
        <v>293</v>
      </c>
      <c r="N2755" s="1" t="s">
        <v>39</v>
      </c>
      <c r="O2755" s="1">
        <v>32.911000000000001</v>
      </c>
      <c r="P2755" s="1">
        <v>-84.305899999999994</v>
      </c>
      <c r="Q2755" s="1" t="s">
        <v>6295</v>
      </c>
      <c r="R2755" s="1" t="s">
        <v>41</v>
      </c>
      <c r="T2755" s="1" t="s">
        <v>93</v>
      </c>
      <c r="U2755" s="1" t="s">
        <v>44</v>
      </c>
      <c r="V2755" s="1" t="s">
        <v>94</v>
      </c>
      <c r="X2755" s="1" t="s">
        <v>140</v>
      </c>
      <c r="AA2755" s="3">
        <v>36626</v>
      </c>
      <c r="AB2755" s="1" t="s">
        <v>46</v>
      </c>
      <c r="AC2755" s="5">
        <v>1855</v>
      </c>
      <c r="AD2755" s="1" t="s">
        <v>6298</v>
      </c>
      <c r="AE2755" s="1" t="str">
        <f t="shared" ref="AE2755:AE2818" si="196">C2755&amp;" "&amp;D2755</f>
        <v>55267 3</v>
      </c>
      <c r="AF2755" s="5" t="str">
        <f t="shared" si="194"/>
        <v>167</v>
      </c>
      <c r="AG2755" s="1" t="str">
        <f t="shared" si="195"/>
        <v/>
      </c>
    </row>
    <row r="2756" spans="1:33" x14ac:dyDescent="0.2">
      <c r="A2756" s="1" t="s">
        <v>921</v>
      </c>
      <c r="B2756" s="1" t="s">
        <v>6292</v>
      </c>
      <c r="C2756" s="1">
        <v>55267</v>
      </c>
      <c r="D2756" s="1">
        <v>4</v>
      </c>
      <c r="F2756" s="1">
        <v>2023</v>
      </c>
      <c r="G2756" s="1" t="s">
        <v>952</v>
      </c>
      <c r="H2756" s="1" t="s">
        <v>4161</v>
      </c>
      <c r="I2756" s="1">
        <v>4</v>
      </c>
      <c r="K2756" s="1" t="s">
        <v>6293</v>
      </c>
      <c r="L2756" s="1" t="s">
        <v>6294</v>
      </c>
      <c r="M2756" s="1">
        <v>293</v>
      </c>
      <c r="N2756" s="1" t="s">
        <v>39</v>
      </c>
      <c r="O2756" s="1">
        <v>32.911000000000001</v>
      </c>
      <c r="P2756" s="1">
        <v>-84.305899999999994</v>
      </c>
      <c r="Q2756" s="1" t="s">
        <v>6295</v>
      </c>
      <c r="R2756" s="1" t="s">
        <v>41</v>
      </c>
      <c r="T2756" s="1" t="s">
        <v>93</v>
      </c>
      <c r="U2756" s="1" t="s">
        <v>44</v>
      </c>
      <c r="V2756" s="1" t="s">
        <v>94</v>
      </c>
      <c r="X2756" s="1" t="s">
        <v>140</v>
      </c>
      <c r="AA2756" s="3">
        <v>36645</v>
      </c>
      <c r="AB2756" s="1" t="s">
        <v>46</v>
      </c>
      <c r="AC2756" s="5">
        <v>1831</v>
      </c>
      <c r="AD2756" s="1" t="s">
        <v>6299</v>
      </c>
      <c r="AE2756" s="1" t="str">
        <f t="shared" si="196"/>
        <v>55267 4</v>
      </c>
      <c r="AF2756" s="5" t="str">
        <f t="shared" si="194"/>
        <v>167</v>
      </c>
      <c r="AG2756" s="1" t="str">
        <f t="shared" si="195"/>
        <v/>
      </c>
    </row>
    <row r="2757" spans="1:33" x14ac:dyDescent="0.2">
      <c r="A2757" s="1" t="s">
        <v>1732</v>
      </c>
      <c r="B2757" s="1" t="s">
        <v>6300</v>
      </c>
      <c r="C2757" s="1">
        <v>55269</v>
      </c>
      <c r="D2757" s="1" t="s">
        <v>5546</v>
      </c>
      <c r="F2757" s="1">
        <v>2023</v>
      </c>
      <c r="G2757" s="1" t="s">
        <v>346</v>
      </c>
      <c r="H2757" s="1">
        <v>609315</v>
      </c>
      <c r="I2757" s="1">
        <v>4</v>
      </c>
      <c r="K2757" s="1" t="s">
        <v>6301</v>
      </c>
      <c r="L2757" s="1" t="s">
        <v>6302</v>
      </c>
      <c r="M2757" s="1">
        <v>33</v>
      </c>
      <c r="N2757" s="1" t="s">
        <v>39</v>
      </c>
      <c r="O2757" s="1">
        <v>34.993899999999996</v>
      </c>
      <c r="P2757" s="1">
        <v>-90.039000000000001</v>
      </c>
      <c r="Q2757" s="1" t="s">
        <v>136</v>
      </c>
      <c r="R2757" s="1" t="s">
        <v>41</v>
      </c>
      <c r="T2757" s="1" t="s">
        <v>71</v>
      </c>
      <c r="U2757" s="1" t="s">
        <v>44</v>
      </c>
      <c r="X2757" s="1" t="s">
        <v>64</v>
      </c>
      <c r="AA2757" s="3">
        <v>37694</v>
      </c>
      <c r="AB2757" s="1" t="s">
        <v>46</v>
      </c>
      <c r="AC2757" s="5">
        <v>3630</v>
      </c>
      <c r="AD2757" s="1" t="s">
        <v>6303</v>
      </c>
      <c r="AE2757" s="1" t="str">
        <f t="shared" si="196"/>
        <v>55269 AA-001</v>
      </c>
      <c r="AF2757" s="14">
        <f>MID(AD2757,FIND("(",AD2757)+1,FIND(")",AD2757)-FIND("(",AD2757)-1)+122</f>
        <v>318</v>
      </c>
      <c r="AG2757" s="1" t="str">
        <f t="shared" si="195"/>
        <v>Y</v>
      </c>
    </row>
    <row r="2758" spans="1:33" x14ac:dyDescent="0.2">
      <c r="A2758" s="1" t="s">
        <v>1732</v>
      </c>
      <c r="B2758" s="1" t="s">
        <v>6300</v>
      </c>
      <c r="C2758" s="1">
        <v>55269</v>
      </c>
      <c r="D2758" s="1" t="s">
        <v>5548</v>
      </c>
      <c r="F2758" s="1">
        <v>2023</v>
      </c>
      <c r="G2758" s="1" t="s">
        <v>346</v>
      </c>
      <c r="H2758" s="1">
        <v>609315</v>
      </c>
      <c r="I2758" s="1">
        <v>4</v>
      </c>
      <c r="K2758" s="1" t="s">
        <v>6301</v>
      </c>
      <c r="L2758" s="1" t="s">
        <v>6302</v>
      </c>
      <c r="M2758" s="1">
        <v>33</v>
      </c>
      <c r="N2758" s="1" t="s">
        <v>39</v>
      </c>
      <c r="O2758" s="1">
        <v>34.993899999999996</v>
      </c>
      <c r="P2758" s="1">
        <v>-90.039000000000001</v>
      </c>
      <c r="Q2758" s="1" t="s">
        <v>136</v>
      </c>
      <c r="R2758" s="1" t="s">
        <v>41</v>
      </c>
      <c r="T2758" s="1" t="s">
        <v>71</v>
      </c>
      <c r="U2758" s="1" t="s">
        <v>44</v>
      </c>
      <c r="X2758" s="1" t="s">
        <v>64</v>
      </c>
      <c r="AA2758" s="3">
        <v>37709</v>
      </c>
      <c r="AB2758" s="1" t="s">
        <v>46</v>
      </c>
      <c r="AC2758" s="5">
        <v>3630</v>
      </c>
      <c r="AD2758" s="1" t="s">
        <v>6304</v>
      </c>
      <c r="AE2758" s="1" t="str">
        <f t="shared" si="196"/>
        <v>55269 AA-002</v>
      </c>
      <c r="AF2758" s="14">
        <f>MID(AD2758,FIND("(",AD2758)+1,FIND(")",AD2758)-FIND("(",AD2758)-1)+196</f>
        <v>318</v>
      </c>
      <c r="AG2758" s="1" t="str">
        <f t="shared" si="195"/>
        <v>Y</v>
      </c>
    </row>
    <row r="2759" spans="1:33" x14ac:dyDescent="0.2">
      <c r="A2759" s="1" t="s">
        <v>1732</v>
      </c>
      <c r="B2759" s="1" t="s">
        <v>6300</v>
      </c>
      <c r="C2759" s="1">
        <v>55269</v>
      </c>
      <c r="D2759" s="1" t="s">
        <v>5550</v>
      </c>
      <c r="F2759" s="1">
        <v>2023</v>
      </c>
      <c r="G2759" s="1" t="s">
        <v>346</v>
      </c>
      <c r="H2759" s="1">
        <v>609315</v>
      </c>
      <c r="I2759" s="1">
        <v>4</v>
      </c>
      <c r="K2759" s="1" t="s">
        <v>6301</v>
      </c>
      <c r="L2759" s="1" t="s">
        <v>6302</v>
      </c>
      <c r="M2759" s="1">
        <v>33</v>
      </c>
      <c r="N2759" s="1" t="s">
        <v>39</v>
      </c>
      <c r="O2759" s="1">
        <v>34.993899999999996</v>
      </c>
      <c r="P2759" s="1">
        <v>-90.039000000000001</v>
      </c>
      <c r="Q2759" s="1" t="s">
        <v>136</v>
      </c>
      <c r="R2759" s="1" t="s">
        <v>41</v>
      </c>
      <c r="T2759" s="1" t="s">
        <v>71</v>
      </c>
      <c r="U2759" s="1" t="s">
        <v>44</v>
      </c>
      <c r="X2759" s="1" t="s">
        <v>64</v>
      </c>
      <c r="AA2759" s="3">
        <v>37744</v>
      </c>
      <c r="AB2759" s="1" t="s">
        <v>46</v>
      </c>
      <c r="AC2759" s="5">
        <v>3630</v>
      </c>
      <c r="AD2759" s="1" t="s">
        <v>6305</v>
      </c>
      <c r="AE2759" s="1" t="str">
        <f t="shared" si="196"/>
        <v>55269 AA-003</v>
      </c>
      <c r="AF2759" s="14">
        <f>MID(AD2759,FIND("(",AD2759)+1,FIND(")",AD2759)-FIND("(",AD2759)-1)+196</f>
        <v>318</v>
      </c>
      <c r="AG2759" s="1" t="str">
        <f t="shared" si="195"/>
        <v>Y</v>
      </c>
    </row>
    <row r="2760" spans="1:33" x14ac:dyDescent="0.2">
      <c r="A2760" s="1" t="s">
        <v>1621</v>
      </c>
      <c r="B2760" s="1" t="s">
        <v>6306</v>
      </c>
      <c r="C2760" s="1">
        <v>55270</v>
      </c>
      <c r="D2760" s="1" t="s">
        <v>6307</v>
      </c>
      <c r="F2760" s="1">
        <v>2023</v>
      </c>
      <c r="G2760" s="1" t="s">
        <v>461</v>
      </c>
      <c r="H2760" s="1">
        <v>607360</v>
      </c>
      <c r="I2760" s="1">
        <v>5</v>
      </c>
      <c r="K2760" s="1" t="s">
        <v>994</v>
      </c>
      <c r="L2760" s="1" t="s">
        <v>6308</v>
      </c>
      <c r="M2760" s="1">
        <v>75</v>
      </c>
      <c r="N2760" s="1" t="s">
        <v>39</v>
      </c>
      <c r="O2760" s="1">
        <v>42.248800000000003</v>
      </c>
      <c r="P2760" s="1">
        <v>-84.3767</v>
      </c>
      <c r="Q2760" s="1" t="s">
        <v>1624</v>
      </c>
      <c r="R2760" s="1" t="s">
        <v>41</v>
      </c>
      <c r="T2760" s="1" t="s">
        <v>71</v>
      </c>
      <c r="U2760" s="1" t="s">
        <v>44</v>
      </c>
      <c r="X2760" s="1" t="s">
        <v>140</v>
      </c>
      <c r="AA2760" s="3">
        <v>37383</v>
      </c>
      <c r="AB2760" s="1" t="s">
        <v>46</v>
      </c>
      <c r="AC2760" s="5">
        <v>1300</v>
      </c>
      <c r="AD2760" s="1" t="s">
        <v>6309</v>
      </c>
      <c r="AE2760" s="1" t="str">
        <f t="shared" si="196"/>
        <v>55270 7EA</v>
      </c>
      <c r="AF2760" s="14">
        <f>MID(AD2760,FIND("(",AD2760)+1,FIND(")",AD2760)-FIND("(",AD2760)-1)+105/7+105/7</f>
        <v>109.2</v>
      </c>
      <c r="AG2760" s="1" t="str">
        <f t="shared" si="195"/>
        <v/>
      </c>
    </row>
    <row r="2761" spans="1:33" x14ac:dyDescent="0.2">
      <c r="A2761" s="1" t="s">
        <v>1621</v>
      </c>
      <c r="B2761" s="1" t="s">
        <v>6306</v>
      </c>
      <c r="C2761" s="1">
        <v>55270</v>
      </c>
      <c r="D2761" s="1" t="s">
        <v>6310</v>
      </c>
      <c r="F2761" s="1">
        <v>2023</v>
      </c>
      <c r="G2761" s="1" t="s">
        <v>461</v>
      </c>
      <c r="H2761" s="1">
        <v>607360</v>
      </c>
      <c r="I2761" s="1">
        <v>5</v>
      </c>
      <c r="K2761" s="1" t="s">
        <v>994</v>
      </c>
      <c r="L2761" s="1" t="s">
        <v>6308</v>
      </c>
      <c r="M2761" s="1">
        <v>75</v>
      </c>
      <c r="N2761" s="1" t="s">
        <v>39</v>
      </c>
      <c r="O2761" s="1">
        <v>42.248800000000003</v>
      </c>
      <c r="P2761" s="1">
        <v>-84.3767</v>
      </c>
      <c r="Q2761" s="1" t="s">
        <v>1624</v>
      </c>
      <c r="R2761" s="1" t="s">
        <v>41</v>
      </c>
      <c r="T2761" s="1" t="s">
        <v>71</v>
      </c>
      <c r="U2761" s="1" t="s">
        <v>44</v>
      </c>
      <c r="X2761" s="1" t="s">
        <v>1606</v>
      </c>
      <c r="AA2761" s="3">
        <v>37373</v>
      </c>
      <c r="AB2761" s="1" t="s">
        <v>46</v>
      </c>
      <c r="AC2761" s="5">
        <v>650</v>
      </c>
      <c r="AD2761" s="1" t="s">
        <v>6311</v>
      </c>
      <c r="AE2761" s="1" t="str">
        <f t="shared" si="196"/>
        <v>55270 LM1</v>
      </c>
      <c r="AF2761" s="14">
        <f>MID(AD2761,FIND("(",AD2761)+1,FIND(")",AD2761)-FIND("(",AD2761)-1)+105/7+105/7</f>
        <v>80</v>
      </c>
      <c r="AG2761" s="1" t="str">
        <f t="shared" si="195"/>
        <v/>
      </c>
    </row>
    <row r="2762" spans="1:33" x14ac:dyDescent="0.2">
      <c r="A2762" s="1" t="s">
        <v>1621</v>
      </c>
      <c r="B2762" s="1" t="s">
        <v>6306</v>
      </c>
      <c r="C2762" s="1">
        <v>55270</v>
      </c>
      <c r="D2762" s="1" t="s">
        <v>6312</v>
      </c>
      <c r="F2762" s="1">
        <v>2023</v>
      </c>
      <c r="G2762" s="1" t="s">
        <v>461</v>
      </c>
      <c r="H2762" s="1">
        <v>607360</v>
      </c>
      <c r="I2762" s="1">
        <v>5</v>
      </c>
      <c r="K2762" s="1" t="s">
        <v>994</v>
      </c>
      <c r="L2762" s="1" t="s">
        <v>6308</v>
      </c>
      <c r="M2762" s="1">
        <v>75</v>
      </c>
      <c r="N2762" s="1" t="s">
        <v>39</v>
      </c>
      <c r="O2762" s="1">
        <v>42.248800000000003</v>
      </c>
      <c r="P2762" s="1">
        <v>-84.3767</v>
      </c>
      <c r="Q2762" s="1" t="s">
        <v>1624</v>
      </c>
      <c r="R2762" s="1" t="s">
        <v>41</v>
      </c>
      <c r="T2762" s="1" t="s">
        <v>71</v>
      </c>
      <c r="U2762" s="1" t="s">
        <v>44</v>
      </c>
      <c r="X2762" s="1" t="s">
        <v>1606</v>
      </c>
      <c r="AA2762" s="3">
        <v>37375</v>
      </c>
      <c r="AB2762" s="1" t="s">
        <v>46</v>
      </c>
      <c r="AC2762" s="5">
        <v>650</v>
      </c>
      <c r="AD2762" s="1" t="s">
        <v>6313</v>
      </c>
      <c r="AE2762" s="1" t="str">
        <f t="shared" si="196"/>
        <v>55270 LM2</v>
      </c>
      <c r="AF2762" s="14">
        <f>AF2761</f>
        <v>80</v>
      </c>
      <c r="AG2762" s="1" t="str">
        <f t="shared" si="195"/>
        <v/>
      </c>
    </row>
    <row r="2763" spans="1:33" x14ac:dyDescent="0.2">
      <c r="A2763" s="1" t="s">
        <v>1621</v>
      </c>
      <c r="B2763" s="1" t="s">
        <v>6306</v>
      </c>
      <c r="C2763" s="1">
        <v>55270</v>
      </c>
      <c r="D2763" s="1" t="s">
        <v>6314</v>
      </c>
      <c r="F2763" s="1">
        <v>2023</v>
      </c>
      <c r="G2763" s="1" t="s">
        <v>461</v>
      </c>
      <c r="H2763" s="1">
        <v>607360</v>
      </c>
      <c r="I2763" s="1">
        <v>5</v>
      </c>
      <c r="K2763" s="1" t="s">
        <v>994</v>
      </c>
      <c r="L2763" s="1" t="s">
        <v>6308</v>
      </c>
      <c r="M2763" s="1">
        <v>75</v>
      </c>
      <c r="N2763" s="1" t="s">
        <v>39</v>
      </c>
      <c r="O2763" s="1">
        <v>42.248800000000003</v>
      </c>
      <c r="P2763" s="1">
        <v>-84.3767</v>
      </c>
      <c r="Q2763" s="1" t="s">
        <v>1624</v>
      </c>
      <c r="R2763" s="1" t="s">
        <v>41</v>
      </c>
      <c r="T2763" s="1" t="s">
        <v>71</v>
      </c>
      <c r="U2763" s="1" t="s">
        <v>44</v>
      </c>
      <c r="X2763" s="1" t="s">
        <v>1606</v>
      </c>
      <c r="AA2763" s="3">
        <v>37376</v>
      </c>
      <c r="AB2763" s="1" t="s">
        <v>46</v>
      </c>
      <c r="AC2763" s="5">
        <v>650</v>
      </c>
      <c r="AD2763" s="1" t="s">
        <v>6315</v>
      </c>
      <c r="AE2763" s="1" t="str">
        <f t="shared" si="196"/>
        <v>55270 LM3</v>
      </c>
      <c r="AF2763" s="14">
        <f>AF2761</f>
        <v>80</v>
      </c>
      <c r="AG2763" s="1" t="str">
        <f t="shared" si="195"/>
        <v/>
      </c>
    </row>
    <row r="2764" spans="1:33" x14ac:dyDescent="0.2">
      <c r="A2764" s="1" t="s">
        <v>1621</v>
      </c>
      <c r="B2764" s="1" t="s">
        <v>6306</v>
      </c>
      <c r="C2764" s="1">
        <v>55270</v>
      </c>
      <c r="D2764" s="1" t="s">
        <v>6316</v>
      </c>
      <c r="F2764" s="1">
        <v>2023</v>
      </c>
      <c r="G2764" s="1" t="s">
        <v>461</v>
      </c>
      <c r="H2764" s="1">
        <v>607360</v>
      </c>
      <c r="I2764" s="1">
        <v>5</v>
      </c>
      <c r="K2764" s="1" t="s">
        <v>994</v>
      </c>
      <c r="L2764" s="1" t="s">
        <v>6308</v>
      </c>
      <c r="M2764" s="1">
        <v>75</v>
      </c>
      <c r="N2764" s="1" t="s">
        <v>39</v>
      </c>
      <c r="O2764" s="1">
        <v>42.248800000000003</v>
      </c>
      <c r="P2764" s="1">
        <v>-84.3767</v>
      </c>
      <c r="Q2764" s="1" t="s">
        <v>1624</v>
      </c>
      <c r="R2764" s="1" t="s">
        <v>41</v>
      </c>
      <c r="T2764" s="1" t="s">
        <v>71</v>
      </c>
      <c r="U2764" s="1" t="s">
        <v>44</v>
      </c>
      <c r="X2764" s="1" t="s">
        <v>1606</v>
      </c>
      <c r="AA2764" s="3">
        <v>37380</v>
      </c>
      <c r="AB2764" s="1" t="s">
        <v>46</v>
      </c>
      <c r="AC2764" s="5">
        <v>672</v>
      </c>
      <c r="AD2764" s="1" t="s">
        <v>6317</v>
      </c>
      <c r="AE2764" s="1" t="str">
        <f t="shared" si="196"/>
        <v>55270 LM4</v>
      </c>
      <c r="AF2764" s="14">
        <f>AF2761</f>
        <v>80</v>
      </c>
      <c r="AG2764" s="1" t="str">
        <f t="shared" si="195"/>
        <v/>
      </c>
    </row>
    <row r="2765" spans="1:33" x14ac:dyDescent="0.2">
      <c r="A2765" s="1" t="s">
        <v>1621</v>
      </c>
      <c r="B2765" s="1" t="s">
        <v>6306</v>
      </c>
      <c r="C2765" s="1">
        <v>55270</v>
      </c>
      <c r="D2765" s="1" t="s">
        <v>6318</v>
      </c>
      <c r="F2765" s="1">
        <v>2023</v>
      </c>
      <c r="G2765" s="1" t="s">
        <v>461</v>
      </c>
      <c r="H2765" s="1">
        <v>607360</v>
      </c>
      <c r="I2765" s="1">
        <v>5</v>
      </c>
      <c r="K2765" s="1" t="s">
        <v>994</v>
      </c>
      <c r="L2765" s="1" t="s">
        <v>6308</v>
      </c>
      <c r="M2765" s="1">
        <v>75</v>
      </c>
      <c r="N2765" s="1" t="s">
        <v>39</v>
      </c>
      <c r="O2765" s="1">
        <v>42.248800000000003</v>
      </c>
      <c r="P2765" s="1">
        <v>-84.3767</v>
      </c>
      <c r="Q2765" s="1" t="s">
        <v>1624</v>
      </c>
      <c r="R2765" s="1" t="s">
        <v>41</v>
      </c>
      <c r="T2765" s="1" t="s">
        <v>71</v>
      </c>
      <c r="U2765" s="1" t="s">
        <v>44</v>
      </c>
      <c r="X2765" s="1" t="s">
        <v>1606</v>
      </c>
      <c r="AA2765" s="3">
        <v>37384</v>
      </c>
      <c r="AB2765" s="1" t="s">
        <v>46</v>
      </c>
      <c r="AC2765" s="5">
        <v>650</v>
      </c>
      <c r="AD2765" s="1" t="s">
        <v>6319</v>
      </c>
      <c r="AE2765" s="1" t="str">
        <f t="shared" si="196"/>
        <v>55270 LM5</v>
      </c>
      <c r="AF2765" s="14">
        <f>AF2761</f>
        <v>80</v>
      </c>
      <c r="AG2765" s="1" t="str">
        <f t="shared" si="195"/>
        <v/>
      </c>
    </row>
    <row r="2766" spans="1:33" x14ac:dyDescent="0.2">
      <c r="A2766" s="1" t="s">
        <v>1621</v>
      </c>
      <c r="B2766" s="1" t="s">
        <v>6306</v>
      </c>
      <c r="C2766" s="1">
        <v>55270</v>
      </c>
      <c r="D2766" s="1" t="s">
        <v>6320</v>
      </c>
      <c r="F2766" s="1">
        <v>2023</v>
      </c>
      <c r="G2766" s="1" t="s">
        <v>461</v>
      </c>
      <c r="H2766" s="1">
        <v>607360</v>
      </c>
      <c r="I2766" s="1">
        <v>5</v>
      </c>
      <c r="K2766" s="1" t="s">
        <v>994</v>
      </c>
      <c r="L2766" s="1" t="s">
        <v>6308</v>
      </c>
      <c r="M2766" s="1">
        <v>75</v>
      </c>
      <c r="N2766" s="1" t="s">
        <v>39</v>
      </c>
      <c r="O2766" s="1">
        <v>42.248800000000003</v>
      </c>
      <c r="P2766" s="1">
        <v>-84.3767</v>
      </c>
      <c r="Q2766" s="1" t="s">
        <v>1624</v>
      </c>
      <c r="R2766" s="1" t="s">
        <v>41</v>
      </c>
      <c r="T2766" s="1" t="s">
        <v>71</v>
      </c>
      <c r="U2766" s="1" t="s">
        <v>44</v>
      </c>
      <c r="X2766" s="1" t="s">
        <v>1606</v>
      </c>
      <c r="AA2766" s="3">
        <v>37386</v>
      </c>
      <c r="AB2766" s="1" t="s">
        <v>46</v>
      </c>
      <c r="AC2766" s="5">
        <v>672</v>
      </c>
      <c r="AD2766" s="1" t="s">
        <v>6321</v>
      </c>
      <c r="AE2766" s="1" t="str">
        <f t="shared" si="196"/>
        <v>55270 LM6</v>
      </c>
      <c r="AF2766" s="14">
        <f>AF2761</f>
        <v>80</v>
      </c>
      <c r="AG2766" s="1" t="str">
        <f t="shared" si="195"/>
        <v/>
      </c>
    </row>
    <row r="2767" spans="1:33" x14ac:dyDescent="0.2">
      <c r="A2767" s="1" t="s">
        <v>32</v>
      </c>
      <c r="B2767" s="1" t="s">
        <v>6322</v>
      </c>
      <c r="C2767" s="1">
        <v>55271</v>
      </c>
      <c r="D2767" s="1" t="s">
        <v>311</v>
      </c>
      <c r="F2767" s="1">
        <v>2023</v>
      </c>
      <c r="G2767" s="1" t="s">
        <v>35</v>
      </c>
      <c r="H2767" s="1">
        <v>604188</v>
      </c>
      <c r="I2767" s="1">
        <v>4</v>
      </c>
      <c r="J2767" s="1" t="s">
        <v>36</v>
      </c>
      <c r="K2767" s="1" t="s">
        <v>4439</v>
      </c>
      <c r="L2767" s="1" t="s">
        <v>4440</v>
      </c>
      <c r="M2767" s="1">
        <v>1</v>
      </c>
      <c r="N2767" s="1" t="s">
        <v>39</v>
      </c>
      <c r="O2767" s="1">
        <v>32.651400000000002</v>
      </c>
      <c r="P2767" s="1">
        <v>-86.738600000000005</v>
      </c>
      <c r="Q2767" s="1" t="s">
        <v>6323</v>
      </c>
      <c r="R2767" s="1" t="s">
        <v>41</v>
      </c>
      <c r="T2767" s="1" t="s">
        <v>71</v>
      </c>
      <c r="U2767" s="1" t="s">
        <v>44</v>
      </c>
      <c r="V2767" s="1" t="s">
        <v>94</v>
      </c>
      <c r="X2767" s="1" t="s">
        <v>643</v>
      </c>
      <c r="AA2767" s="3">
        <v>37271</v>
      </c>
      <c r="AB2767" s="1" t="s">
        <v>46</v>
      </c>
      <c r="AC2767" s="5">
        <v>2543.1999999999998</v>
      </c>
      <c r="AD2767" s="1" t="s">
        <v>6324</v>
      </c>
      <c r="AE2767" s="1" t="str">
        <f t="shared" si="196"/>
        <v>55271 CT1</v>
      </c>
      <c r="AF2767" s="5" t="str">
        <f>MID(AD2767,FIND("(",AD2767)+1,FIND(")",AD2767)-FIND("(",AD2767)-1)</f>
        <v>183.1</v>
      </c>
      <c r="AG2767" s="1" t="str">
        <f t="shared" si="195"/>
        <v>Y</v>
      </c>
    </row>
    <row r="2768" spans="1:33" x14ac:dyDescent="0.2">
      <c r="A2768" s="1" t="s">
        <v>32</v>
      </c>
      <c r="B2768" s="1" t="s">
        <v>6322</v>
      </c>
      <c r="C2768" s="1">
        <v>55271</v>
      </c>
      <c r="D2768" s="1" t="s">
        <v>98</v>
      </c>
      <c r="F2768" s="1">
        <v>2023</v>
      </c>
      <c r="G2768" s="1" t="s">
        <v>35</v>
      </c>
      <c r="H2768" s="1">
        <v>604188</v>
      </c>
      <c r="I2768" s="1">
        <v>4</v>
      </c>
      <c r="J2768" s="1" t="s">
        <v>36</v>
      </c>
      <c r="K2768" s="1" t="s">
        <v>4439</v>
      </c>
      <c r="L2768" s="1" t="s">
        <v>4440</v>
      </c>
      <c r="M2768" s="1">
        <v>1</v>
      </c>
      <c r="N2768" s="1" t="s">
        <v>39</v>
      </c>
      <c r="O2768" s="1">
        <v>32.651400000000002</v>
      </c>
      <c r="P2768" s="1">
        <v>-86.738600000000005</v>
      </c>
      <c r="Q2768" s="1" t="s">
        <v>6323</v>
      </c>
      <c r="R2768" s="1" t="s">
        <v>41</v>
      </c>
      <c r="T2768" s="1" t="s">
        <v>71</v>
      </c>
      <c r="U2768" s="1" t="s">
        <v>44</v>
      </c>
      <c r="V2768" s="1" t="s">
        <v>94</v>
      </c>
      <c r="X2768" s="1" t="s">
        <v>643</v>
      </c>
      <c r="AA2768" s="3">
        <v>37279</v>
      </c>
      <c r="AB2768" s="1" t="s">
        <v>46</v>
      </c>
      <c r="AC2768" s="5">
        <v>2551</v>
      </c>
      <c r="AD2768" s="1" t="s">
        <v>6325</v>
      </c>
      <c r="AE2768" s="1" t="str">
        <f t="shared" si="196"/>
        <v>55271 CT2</v>
      </c>
      <c r="AF2768" s="5" t="str">
        <f>MID(AD2768,FIND("(",AD2768)+1,FIND(")",AD2768)-FIND("(",AD2768)-1)</f>
        <v>183.1</v>
      </c>
      <c r="AG2768" s="1" t="str">
        <f t="shared" si="195"/>
        <v>Y</v>
      </c>
    </row>
    <row r="2769" spans="1:33" x14ac:dyDescent="0.2">
      <c r="A2769" s="1" t="s">
        <v>32</v>
      </c>
      <c r="B2769" s="1" t="s">
        <v>6322</v>
      </c>
      <c r="C2769" s="1">
        <v>55271</v>
      </c>
      <c r="D2769" s="1" t="s">
        <v>101</v>
      </c>
      <c r="F2769" s="1">
        <v>2023</v>
      </c>
      <c r="G2769" s="1" t="s">
        <v>35</v>
      </c>
      <c r="H2769" s="1">
        <v>604188</v>
      </c>
      <c r="I2769" s="1">
        <v>4</v>
      </c>
      <c r="J2769" s="1" t="s">
        <v>36</v>
      </c>
      <c r="K2769" s="1" t="s">
        <v>4439</v>
      </c>
      <c r="L2769" s="1" t="s">
        <v>4440</v>
      </c>
      <c r="M2769" s="1">
        <v>1</v>
      </c>
      <c r="N2769" s="1" t="s">
        <v>39</v>
      </c>
      <c r="O2769" s="1">
        <v>32.651400000000002</v>
      </c>
      <c r="P2769" s="1">
        <v>-86.738600000000005</v>
      </c>
      <c r="Q2769" s="1" t="s">
        <v>6323</v>
      </c>
      <c r="R2769" s="1" t="s">
        <v>41</v>
      </c>
      <c r="T2769" s="1" t="s">
        <v>71</v>
      </c>
      <c r="U2769" s="1" t="s">
        <v>44</v>
      </c>
      <c r="V2769" s="1" t="s">
        <v>94</v>
      </c>
      <c r="X2769" s="1" t="s">
        <v>643</v>
      </c>
      <c r="AA2769" s="3">
        <v>37284</v>
      </c>
      <c r="AB2769" s="1" t="s">
        <v>46</v>
      </c>
      <c r="AC2769" s="5">
        <v>2405</v>
      </c>
      <c r="AD2769" s="1" t="s">
        <v>6326</v>
      </c>
      <c r="AE2769" s="1" t="str">
        <f t="shared" si="196"/>
        <v>55271 CT3</v>
      </c>
      <c r="AF2769" s="14">
        <f>MID(AD2769,FIND("(",AD2769)+1,FIND(")",AD2769)-FIND("(",AD2769)-1)+390.1</f>
        <v>573.20000000000005</v>
      </c>
      <c r="AG2769" s="1" t="str">
        <f t="shared" si="195"/>
        <v>Y</v>
      </c>
    </row>
    <row r="2770" spans="1:33" x14ac:dyDescent="0.2">
      <c r="A2770" s="1" t="s">
        <v>3140</v>
      </c>
      <c r="B2770" s="1" t="s">
        <v>6327</v>
      </c>
      <c r="C2770" s="1">
        <v>55276</v>
      </c>
      <c r="D2770" s="1">
        <v>1</v>
      </c>
      <c r="E2770" s="1" t="s">
        <v>3061</v>
      </c>
      <c r="F2770" s="1">
        <v>2023</v>
      </c>
      <c r="G2770" s="1" t="s">
        <v>168</v>
      </c>
      <c r="H2770" s="1" t="s">
        <v>1346</v>
      </c>
      <c r="I2770" s="1">
        <v>3</v>
      </c>
      <c r="J2770" s="1" t="s">
        <v>169</v>
      </c>
      <c r="K2770" s="1" t="s">
        <v>1178</v>
      </c>
      <c r="L2770" s="1" t="s">
        <v>6328</v>
      </c>
      <c r="M2770" s="1">
        <v>99</v>
      </c>
      <c r="N2770" s="1" t="s">
        <v>39</v>
      </c>
      <c r="O2770" s="1">
        <v>38.368099999999998</v>
      </c>
      <c r="P2770" s="1">
        <v>-82.533900000000003</v>
      </c>
      <c r="Q2770" s="1" t="s">
        <v>3100</v>
      </c>
      <c r="R2770" s="1" t="s">
        <v>41</v>
      </c>
      <c r="T2770" s="1" t="s">
        <v>93</v>
      </c>
      <c r="U2770" s="1" t="s">
        <v>44</v>
      </c>
      <c r="X2770" s="1" t="s">
        <v>1460</v>
      </c>
      <c r="AA2770" s="3">
        <v>36988</v>
      </c>
      <c r="AB2770" s="1" t="s">
        <v>46</v>
      </c>
      <c r="AC2770" s="5">
        <v>1114</v>
      </c>
      <c r="AD2770" s="1" t="s">
        <v>6329</v>
      </c>
      <c r="AE2770" s="1" t="str">
        <f t="shared" si="196"/>
        <v>55276 1</v>
      </c>
      <c r="AF2770" s="5" t="str">
        <f t="shared" ref="AF2770:AF2793" si="197">MID(AD2770,FIND("(",AD2770)+1,FIND(")",AD2770)-FIND("(",AD2770)-1)</f>
        <v>86.5</v>
      </c>
      <c r="AG2770" s="1" t="str">
        <f t="shared" si="195"/>
        <v/>
      </c>
    </row>
    <row r="2771" spans="1:33" x14ac:dyDescent="0.2">
      <c r="A2771" s="1" t="s">
        <v>3140</v>
      </c>
      <c r="B2771" s="1" t="s">
        <v>6327</v>
      </c>
      <c r="C2771" s="1">
        <v>55276</v>
      </c>
      <c r="D2771" s="1">
        <v>2</v>
      </c>
      <c r="E2771" s="1" t="s">
        <v>3061</v>
      </c>
      <c r="F2771" s="1">
        <v>2023</v>
      </c>
      <c r="G2771" s="1" t="s">
        <v>168</v>
      </c>
      <c r="H2771" s="1" t="s">
        <v>1346</v>
      </c>
      <c r="I2771" s="1">
        <v>3</v>
      </c>
      <c r="J2771" s="1" t="s">
        <v>169</v>
      </c>
      <c r="K2771" s="1" t="s">
        <v>1178</v>
      </c>
      <c r="L2771" s="1" t="s">
        <v>6328</v>
      </c>
      <c r="M2771" s="1">
        <v>99</v>
      </c>
      <c r="N2771" s="1" t="s">
        <v>39</v>
      </c>
      <c r="O2771" s="1">
        <v>38.368099999999998</v>
      </c>
      <c r="P2771" s="1">
        <v>-82.533900000000003</v>
      </c>
      <c r="Q2771" s="1" t="s">
        <v>3100</v>
      </c>
      <c r="R2771" s="1" t="s">
        <v>41</v>
      </c>
      <c r="T2771" s="1" t="s">
        <v>93</v>
      </c>
      <c r="U2771" s="1" t="s">
        <v>44</v>
      </c>
      <c r="X2771" s="1" t="s">
        <v>1460</v>
      </c>
      <c r="AA2771" s="3">
        <v>36989</v>
      </c>
      <c r="AB2771" s="1" t="s">
        <v>46</v>
      </c>
      <c r="AC2771" s="5">
        <v>1114</v>
      </c>
      <c r="AD2771" s="1" t="s">
        <v>6330</v>
      </c>
      <c r="AE2771" s="1" t="str">
        <f t="shared" si="196"/>
        <v>55276 2</v>
      </c>
      <c r="AF2771" s="5" t="str">
        <f t="shared" si="197"/>
        <v>86.5</v>
      </c>
      <c r="AG2771" s="1" t="str">
        <f t="shared" si="195"/>
        <v/>
      </c>
    </row>
    <row r="2772" spans="1:33" x14ac:dyDescent="0.2">
      <c r="A2772" s="1" t="s">
        <v>3140</v>
      </c>
      <c r="B2772" s="1" t="s">
        <v>6327</v>
      </c>
      <c r="C2772" s="1">
        <v>55276</v>
      </c>
      <c r="D2772" s="1">
        <v>3</v>
      </c>
      <c r="E2772" s="1" t="s">
        <v>3061</v>
      </c>
      <c r="F2772" s="1">
        <v>2023</v>
      </c>
      <c r="G2772" s="1" t="s">
        <v>168</v>
      </c>
      <c r="H2772" s="1" t="s">
        <v>1346</v>
      </c>
      <c r="I2772" s="1">
        <v>3</v>
      </c>
      <c r="J2772" s="1" t="s">
        <v>169</v>
      </c>
      <c r="K2772" s="1" t="s">
        <v>1178</v>
      </c>
      <c r="L2772" s="1" t="s">
        <v>6328</v>
      </c>
      <c r="M2772" s="1">
        <v>99</v>
      </c>
      <c r="N2772" s="1" t="s">
        <v>39</v>
      </c>
      <c r="O2772" s="1">
        <v>38.368099999999998</v>
      </c>
      <c r="P2772" s="1">
        <v>-82.533900000000003</v>
      </c>
      <c r="Q2772" s="1" t="s">
        <v>3100</v>
      </c>
      <c r="R2772" s="1" t="s">
        <v>41</v>
      </c>
      <c r="T2772" s="1" t="s">
        <v>93</v>
      </c>
      <c r="U2772" s="1" t="s">
        <v>44</v>
      </c>
      <c r="X2772" s="1" t="s">
        <v>1460</v>
      </c>
      <c r="AA2772" s="3">
        <v>36992</v>
      </c>
      <c r="AB2772" s="1" t="s">
        <v>46</v>
      </c>
      <c r="AC2772" s="5">
        <v>1114</v>
      </c>
      <c r="AD2772" s="1" t="s">
        <v>6331</v>
      </c>
      <c r="AE2772" s="1" t="str">
        <f t="shared" si="196"/>
        <v>55276 3</v>
      </c>
      <c r="AF2772" s="5" t="str">
        <f t="shared" si="197"/>
        <v>86.5</v>
      </c>
      <c r="AG2772" s="1" t="str">
        <f t="shared" si="195"/>
        <v/>
      </c>
    </row>
    <row r="2773" spans="1:33" x14ac:dyDescent="0.2">
      <c r="A2773" s="1" t="s">
        <v>3140</v>
      </c>
      <c r="B2773" s="1" t="s">
        <v>6327</v>
      </c>
      <c r="C2773" s="1">
        <v>55276</v>
      </c>
      <c r="D2773" s="1">
        <v>4</v>
      </c>
      <c r="E2773" s="1" t="s">
        <v>3061</v>
      </c>
      <c r="F2773" s="1">
        <v>2023</v>
      </c>
      <c r="G2773" s="1" t="s">
        <v>168</v>
      </c>
      <c r="H2773" s="1" t="s">
        <v>1346</v>
      </c>
      <c r="I2773" s="1">
        <v>3</v>
      </c>
      <c r="J2773" s="1" t="s">
        <v>169</v>
      </c>
      <c r="K2773" s="1" t="s">
        <v>1178</v>
      </c>
      <c r="L2773" s="1" t="s">
        <v>6328</v>
      </c>
      <c r="M2773" s="1">
        <v>99</v>
      </c>
      <c r="N2773" s="1" t="s">
        <v>39</v>
      </c>
      <c r="O2773" s="1">
        <v>38.368099999999998</v>
      </c>
      <c r="P2773" s="1">
        <v>-82.533900000000003</v>
      </c>
      <c r="Q2773" s="1" t="s">
        <v>3100</v>
      </c>
      <c r="R2773" s="1" t="s">
        <v>41</v>
      </c>
      <c r="T2773" s="1" t="s">
        <v>93</v>
      </c>
      <c r="U2773" s="1" t="s">
        <v>44</v>
      </c>
      <c r="X2773" s="1" t="s">
        <v>1460</v>
      </c>
      <c r="AA2773" s="3">
        <v>36994</v>
      </c>
      <c r="AB2773" s="1" t="s">
        <v>46</v>
      </c>
      <c r="AC2773" s="5">
        <v>1114</v>
      </c>
      <c r="AD2773" s="1" t="s">
        <v>6332</v>
      </c>
      <c r="AE2773" s="1" t="str">
        <f t="shared" si="196"/>
        <v>55276 4</v>
      </c>
      <c r="AF2773" s="5" t="str">
        <f t="shared" si="197"/>
        <v>86.5</v>
      </c>
      <c r="AG2773" s="1" t="str">
        <f t="shared" si="195"/>
        <v/>
      </c>
    </row>
    <row r="2774" spans="1:33" x14ac:dyDescent="0.2">
      <c r="A2774" s="1" t="s">
        <v>3140</v>
      </c>
      <c r="B2774" s="1" t="s">
        <v>6327</v>
      </c>
      <c r="C2774" s="1">
        <v>55276</v>
      </c>
      <c r="D2774" s="1">
        <v>5</v>
      </c>
      <c r="E2774" s="1" t="s">
        <v>3061</v>
      </c>
      <c r="F2774" s="1">
        <v>2023</v>
      </c>
      <c r="G2774" s="1" t="s">
        <v>168</v>
      </c>
      <c r="H2774" s="1" t="s">
        <v>1346</v>
      </c>
      <c r="I2774" s="1">
        <v>3</v>
      </c>
      <c r="J2774" s="1" t="s">
        <v>169</v>
      </c>
      <c r="K2774" s="1" t="s">
        <v>1178</v>
      </c>
      <c r="L2774" s="1" t="s">
        <v>6328</v>
      </c>
      <c r="M2774" s="1">
        <v>99</v>
      </c>
      <c r="N2774" s="1" t="s">
        <v>39</v>
      </c>
      <c r="O2774" s="1">
        <v>38.368099999999998</v>
      </c>
      <c r="P2774" s="1">
        <v>-82.533900000000003</v>
      </c>
      <c r="Q2774" s="1" t="s">
        <v>3100</v>
      </c>
      <c r="R2774" s="1" t="s">
        <v>41</v>
      </c>
      <c r="T2774" s="1" t="s">
        <v>93</v>
      </c>
      <c r="U2774" s="1" t="s">
        <v>44</v>
      </c>
      <c r="X2774" s="1" t="s">
        <v>1460</v>
      </c>
      <c r="AA2774" s="3">
        <v>37007</v>
      </c>
      <c r="AB2774" s="1" t="s">
        <v>46</v>
      </c>
      <c r="AC2774" s="5">
        <v>1114</v>
      </c>
      <c r="AD2774" s="1" t="s">
        <v>6333</v>
      </c>
      <c r="AE2774" s="1" t="str">
        <f t="shared" si="196"/>
        <v>55276 5</v>
      </c>
      <c r="AF2774" s="5" t="str">
        <f t="shared" si="197"/>
        <v>86.5</v>
      </c>
      <c r="AG2774" s="1" t="str">
        <f t="shared" si="195"/>
        <v/>
      </c>
    </row>
    <row r="2775" spans="1:33" x14ac:dyDescent="0.2">
      <c r="A2775" s="1" t="s">
        <v>3140</v>
      </c>
      <c r="B2775" s="1" t="s">
        <v>6327</v>
      </c>
      <c r="C2775" s="1">
        <v>55276</v>
      </c>
      <c r="D2775" s="1">
        <v>6</v>
      </c>
      <c r="E2775" s="1" t="s">
        <v>3061</v>
      </c>
      <c r="F2775" s="1">
        <v>2023</v>
      </c>
      <c r="G2775" s="1" t="s">
        <v>168</v>
      </c>
      <c r="H2775" s="1" t="s">
        <v>1346</v>
      </c>
      <c r="I2775" s="1">
        <v>3</v>
      </c>
      <c r="J2775" s="1" t="s">
        <v>169</v>
      </c>
      <c r="K2775" s="1" t="s">
        <v>1178</v>
      </c>
      <c r="L2775" s="1" t="s">
        <v>6328</v>
      </c>
      <c r="M2775" s="1">
        <v>99</v>
      </c>
      <c r="N2775" s="1" t="s">
        <v>39</v>
      </c>
      <c r="O2775" s="1">
        <v>38.368099999999998</v>
      </c>
      <c r="P2775" s="1">
        <v>-82.533900000000003</v>
      </c>
      <c r="Q2775" s="1" t="s">
        <v>3100</v>
      </c>
      <c r="R2775" s="1" t="s">
        <v>41</v>
      </c>
      <c r="T2775" s="1" t="s">
        <v>93</v>
      </c>
      <c r="U2775" s="1" t="s">
        <v>44</v>
      </c>
      <c r="X2775" s="1" t="s">
        <v>1460</v>
      </c>
      <c r="AA2775" s="3">
        <v>37010</v>
      </c>
      <c r="AB2775" s="1" t="s">
        <v>46</v>
      </c>
      <c r="AC2775" s="5">
        <v>1114</v>
      </c>
      <c r="AD2775" s="1" t="s">
        <v>6334</v>
      </c>
      <c r="AE2775" s="1" t="str">
        <f t="shared" si="196"/>
        <v>55276 6</v>
      </c>
      <c r="AF2775" s="5" t="str">
        <f t="shared" si="197"/>
        <v>86.5</v>
      </c>
      <c r="AG2775" s="1" t="str">
        <f t="shared" si="195"/>
        <v/>
      </c>
    </row>
    <row r="2776" spans="1:33" x14ac:dyDescent="0.2">
      <c r="A2776" s="1" t="s">
        <v>458</v>
      </c>
      <c r="B2776" s="1" t="s">
        <v>6335</v>
      </c>
      <c r="C2776" s="1">
        <v>55279</v>
      </c>
      <c r="D2776" s="1" t="s">
        <v>6336</v>
      </c>
      <c r="F2776" s="1">
        <v>2023</v>
      </c>
      <c r="G2776" s="1" t="s">
        <v>461</v>
      </c>
      <c r="H2776" s="1">
        <v>605624</v>
      </c>
      <c r="I2776" s="1">
        <v>5</v>
      </c>
      <c r="K2776" s="1" t="s">
        <v>6337</v>
      </c>
      <c r="L2776" s="1" t="s">
        <v>6338</v>
      </c>
      <c r="M2776" s="1">
        <v>43</v>
      </c>
      <c r="N2776" s="1" t="s">
        <v>39</v>
      </c>
      <c r="O2776" s="1">
        <v>41.815100000000001</v>
      </c>
      <c r="P2776" s="1">
        <v>-88.226500000000001</v>
      </c>
      <c r="Q2776" s="1" t="s">
        <v>6339</v>
      </c>
      <c r="R2776" s="1" t="s">
        <v>41</v>
      </c>
      <c r="T2776" s="1" t="s">
        <v>93</v>
      </c>
      <c r="U2776" s="1" t="s">
        <v>44</v>
      </c>
      <c r="X2776" s="1" t="s">
        <v>140</v>
      </c>
      <c r="AA2776" s="3">
        <v>37368</v>
      </c>
      <c r="AB2776" s="1" t="s">
        <v>46</v>
      </c>
      <c r="AC2776" s="5">
        <v>2050</v>
      </c>
      <c r="AD2776" s="1" t="s">
        <v>6340</v>
      </c>
      <c r="AE2776" s="1" t="str">
        <f t="shared" si="196"/>
        <v>55279 AGS01</v>
      </c>
      <c r="AF2776" s="5" t="str">
        <f t="shared" si="197"/>
        <v>213</v>
      </c>
      <c r="AG2776" s="1" t="str">
        <f t="shared" si="195"/>
        <v/>
      </c>
    </row>
    <row r="2777" spans="1:33" x14ac:dyDescent="0.2">
      <c r="A2777" s="1" t="s">
        <v>458</v>
      </c>
      <c r="B2777" s="1" t="s">
        <v>6335</v>
      </c>
      <c r="C2777" s="1">
        <v>55279</v>
      </c>
      <c r="D2777" s="1" t="s">
        <v>6341</v>
      </c>
      <c r="F2777" s="1">
        <v>2023</v>
      </c>
      <c r="G2777" s="1" t="s">
        <v>461</v>
      </c>
      <c r="H2777" s="1">
        <v>605624</v>
      </c>
      <c r="I2777" s="1">
        <v>5</v>
      </c>
      <c r="K2777" s="1" t="s">
        <v>6337</v>
      </c>
      <c r="L2777" s="1" t="s">
        <v>6338</v>
      </c>
      <c r="M2777" s="1">
        <v>43</v>
      </c>
      <c r="N2777" s="1" t="s">
        <v>39</v>
      </c>
      <c r="O2777" s="1">
        <v>41.815100000000001</v>
      </c>
      <c r="P2777" s="1">
        <v>-88.226500000000001</v>
      </c>
      <c r="Q2777" s="1" t="s">
        <v>6339</v>
      </c>
      <c r="R2777" s="1" t="s">
        <v>41</v>
      </c>
      <c r="T2777" s="1" t="s">
        <v>93</v>
      </c>
      <c r="U2777" s="1" t="s">
        <v>44</v>
      </c>
      <c r="X2777" s="1" t="s">
        <v>140</v>
      </c>
      <c r="AA2777" s="3">
        <v>37012</v>
      </c>
      <c r="AB2777" s="1" t="s">
        <v>46</v>
      </c>
      <c r="AC2777" s="5">
        <v>2050</v>
      </c>
      <c r="AD2777" s="1" t="s">
        <v>6342</v>
      </c>
      <c r="AE2777" s="1" t="str">
        <f t="shared" si="196"/>
        <v>55279 AGS02</v>
      </c>
      <c r="AF2777" s="5" t="str">
        <f t="shared" si="197"/>
        <v>213</v>
      </c>
      <c r="AG2777" s="1" t="str">
        <f t="shared" si="195"/>
        <v/>
      </c>
    </row>
    <row r="2778" spans="1:33" x14ac:dyDescent="0.2">
      <c r="A2778" s="1" t="s">
        <v>458</v>
      </c>
      <c r="B2778" s="1" t="s">
        <v>6335</v>
      </c>
      <c r="C2778" s="1">
        <v>55279</v>
      </c>
      <c r="D2778" s="1" t="s">
        <v>6343</v>
      </c>
      <c r="F2778" s="1">
        <v>2023</v>
      </c>
      <c r="G2778" s="1" t="s">
        <v>461</v>
      </c>
      <c r="H2778" s="1">
        <v>605624</v>
      </c>
      <c r="I2778" s="1">
        <v>5</v>
      </c>
      <c r="K2778" s="1" t="s">
        <v>6337</v>
      </c>
      <c r="L2778" s="1" t="s">
        <v>6338</v>
      </c>
      <c r="M2778" s="1">
        <v>43</v>
      </c>
      <c r="N2778" s="1" t="s">
        <v>39</v>
      </c>
      <c r="O2778" s="1">
        <v>41.815100000000001</v>
      </c>
      <c r="P2778" s="1">
        <v>-88.226500000000001</v>
      </c>
      <c r="Q2778" s="1" t="s">
        <v>6339</v>
      </c>
      <c r="R2778" s="1" t="s">
        <v>41</v>
      </c>
      <c r="T2778" s="1" t="s">
        <v>93</v>
      </c>
      <c r="U2778" s="1" t="s">
        <v>44</v>
      </c>
      <c r="X2778" s="1" t="s">
        <v>140</v>
      </c>
      <c r="AA2778" s="3">
        <v>37012</v>
      </c>
      <c r="AB2778" s="1" t="s">
        <v>46</v>
      </c>
      <c r="AC2778" s="5">
        <v>2050</v>
      </c>
      <c r="AD2778" s="1" t="s">
        <v>6344</v>
      </c>
      <c r="AE2778" s="1" t="str">
        <f t="shared" si="196"/>
        <v>55279 AGS03</v>
      </c>
      <c r="AF2778" s="5" t="str">
        <f t="shared" si="197"/>
        <v>213</v>
      </c>
      <c r="AG2778" s="1" t="str">
        <f t="shared" si="195"/>
        <v/>
      </c>
    </row>
    <row r="2779" spans="1:33" x14ac:dyDescent="0.2">
      <c r="A2779" s="1" t="s">
        <v>458</v>
      </c>
      <c r="B2779" s="1" t="s">
        <v>6335</v>
      </c>
      <c r="C2779" s="1">
        <v>55279</v>
      </c>
      <c r="D2779" s="1" t="s">
        <v>6345</v>
      </c>
      <c r="F2779" s="1">
        <v>2023</v>
      </c>
      <c r="G2779" s="1" t="s">
        <v>461</v>
      </c>
      <c r="H2779" s="1">
        <v>605624</v>
      </c>
      <c r="I2779" s="1">
        <v>5</v>
      </c>
      <c r="K2779" s="1" t="s">
        <v>6337</v>
      </c>
      <c r="L2779" s="1" t="s">
        <v>6338</v>
      </c>
      <c r="M2779" s="1">
        <v>43</v>
      </c>
      <c r="N2779" s="1" t="s">
        <v>39</v>
      </c>
      <c r="O2779" s="1">
        <v>41.815100000000001</v>
      </c>
      <c r="P2779" s="1">
        <v>-88.226500000000001</v>
      </c>
      <c r="Q2779" s="1" t="s">
        <v>6339</v>
      </c>
      <c r="R2779" s="1" t="s">
        <v>41</v>
      </c>
      <c r="T2779" s="1" t="s">
        <v>93</v>
      </c>
      <c r="U2779" s="1" t="s">
        <v>44</v>
      </c>
      <c r="X2779" s="1" t="s">
        <v>140</v>
      </c>
      <c r="AA2779" s="3">
        <v>36988</v>
      </c>
      <c r="AB2779" s="1" t="s">
        <v>46</v>
      </c>
      <c r="AC2779" s="5">
        <v>2050</v>
      </c>
      <c r="AD2779" s="1" t="s">
        <v>6346</v>
      </c>
      <c r="AE2779" s="1" t="str">
        <f t="shared" si="196"/>
        <v>55279 AGS04</v>
      </c>
      <c r="AF2779" s="5" t="str">
        <f t="shared" si="197"/>
        <v>213</v>
      </c>
      <c r="AG2779" s="1" t="str">
        <f t="shared" si="195"/>
        <v/>
      </c>
    </row>
    <row r="2780" spans="1:33" x14ac:dyDescent="0.2">
      <c r="A2780" s="1" t="s">
        <v>458</v>
      </c>
      <c r="B2780" s="1" t="s">
        <v>6335</v>
      </c>
      <c r="C2780" s="1">
        <v>55279</v>
      </c>
      <c r="D2780" s="1" t="s">
        <v>6347</v>
      </c>
      <c r="F2780" s="1">
        <v>2023</v>
      </c>
      <c r="G2780" s="1" t="s">
        <v>461</v>
      </c>
      <c r="H2780" s="1">
        <v>605624</v>
      </c>
      <c r="I2780" s="1">
        <v>5</v>
      </c>
      <c r="K2780" s="1" t="s">
        <v>6337</v>
      </c>
      <c r="L2780" s="1" t="s">
        <v>6338</v>
      </c>
      <c r="M2780" s="1">
        <v>43</v>
      </c>
      <c r="N2780" s="1" t="s">
        <v>39</v>
      </c>
      <c r="O2780" s="1">
        <v>41.815100000000001</v>
      </c>
      <c r="P2780" s="1">
        <v>-88.226500000000001</v>
      </c>
      <c r="Q2780" s="1" t="s">
        <v>6339</v>
      </c>
      <c r="R2780" s="1" t="s">
        <v>41</v>
      </c>
      <c r="T2780" s="1" t="s">
        <v>93</v>
      </c>
      <c r="U2780" s="1" t="s">
        <v>44</v>
      </c>
      <c r="X2780" s="1" t="s">
        <v>95</v>
      </c>
      <c r="AA2780" s="3">
        <v>37002</v>
      </c>
      <c r="AB2780" s="1" t="s">
        <v>46</v>
      </c>
      <c r="AC2780" s="5">
        <v>510</v>
      </c>
      <c r="AD2780" s="1" t="s">
        <v>6348</v>
      </c>
      <c r="AE2780" s="1" t="str">
        <f t="shared" si="196"/>
        <v>55279 AGS05</v>
      </c>
      <c r="AF2780" s="5" t="str">
        <f t="shared" si="197"/>
        <v>71</v>
      </c>
      <c r="AG2780" s="1" t="str">
        <f t="shared" si="195"/>
        <v/>
      </c>
    </row>
    <row r="2781" spans="1:33" x14ac:dyDescent="0.2">
      <c r="A2781" s="1" t="s">
        <v>458</v>
      </c>
      <c r="B2781" s="1" t="s">
        <v>6335</v>
      </c>
      <c r="C2781" s="1">
        <v>55279</v>
      </c>
      <c r="D2781" s="1" t="s">
        <v>6349</v>
      </c>
      <c r="F2781" s="1">
        <v>2023</v>
      </c>
      <c r="G2781" s="1" t="s">
        <v>461</v>
      </c>
      <c r="H2781" s="1">
        <v>605624</v>
      </c>
      <c r="I2781" s="1">
        <v>5</v>
      </c>
      <c r="K2781" s="1" t="s">
        <v>6337</v>
      </c>
      <c r="L2781" s="1" t="s">
        <v>6338</v>
      </c>
      <c r="M2781" s="1">
        <v>43</v>
      </c>
      <c r="N2781" s="1" t="s">
        <v>39</v>
      </c>
      <c r="O2781" s="1">
        <v>41.815100000000001</v>
      </c>
      <c r="P2781" s="1">
        <v>-88.226500000000001</v>
      </c>
      <c r="Q2781" s="1" t="s">
        <v>6339</v>
      </c>
      <c r="R2781" s="1" t="s">
        <v>41</v>
      </c>
      <c r="T2781" s="1" t="s">
        <v>93</v>
      </c>
      <c r="U2781" s="1" t="s">
        <v>44</v>
      </c>
      <c r="X2781" s="1" t="s">
        <v>95</v>
      </c>
      <c r="AA2781" s="3">
        <v>37002</v>
      </c>
      <c r="AB2781" s="1" t="s">
        <v>46</v>
      </c>
      <c r="AC2781" s="5">
        <v>510</v>
      </c>
      <c r="AD2781" s="1" t="s">
        <v>6350</v>
      </c>
      <c r="AE2781" s="1" t="str">
        <f t="shared" si="196"/>
        <v>55279 AGS06</v>
      </c>
      <c r="AF2781" s="5" t="str">
        <f t="shared" si="197"/>
        <v>71</v>
      </c>
      <c r="AG2781" s="1" t="str">
        <f t="shared" si="195"/>
        <v/>
      </c>
    </row>
    <row r="2782" spans="1:33" x14ac:dyDescent="0.2">
      <c r="A2782" s="1" t="s">
        <v>458</v>
      </c>
      <c r="B2782" s="1" t="s">
        <v>6335</v>
      </c>
      <c r="C2782" s="1">
        <v>55279</v>
      </c>
      <c r="D2782" s="1" t="s">
        <v>6351</v>
      </c>
      <c r="F2782" s="1">
        <v>2023</v>
      </c>
      <c r="G2782" s="1" t="s">
        <v>461</v>
      </c>
      <c r="H2782" s="1">
        <v>605624</v>
      </c>
      <c r="I2782" s="1">
        <v>5</v>
      </c>
      <c r="K2782" s="1" t="s">
        <v>6337</v>
      </c>
      <c r="L2782" s="1" t="s">
        <v>6338</v>
      </c>
      <c r="M2782" s="1">
        <v>43</v>
      </c>
      <c r="N2782" s="1" t="s">
        <v>39</v>
      </c>
      <c r="O2782" s="1">
        <v>41.815100000000001</v>
      </c>
      <c r="P2782" s="1">
        <v>-88.226500000000001</v>
      </c>
      <c r="Q2782" s="1" t="s">
        <v>6339</v>
      </c>
      <c r="R2782" s="1" t="s">
        <v>41</v>
      </c>
      <c r="T2782" s="1" t="s">
        <v>93</v>
      </c>
      <c r="U2782" s="1" t="s">
        <v>44</v>
      </c>
      <c r="X2782" s="1" t="s">
        <v>95</v>
      </c>
      <c r="AA2782" s="3">
        <v>37007</v>
      </c>
      <c r="AB2782" s="1" t="s">
        <v>46</v>
      </c>
      <c r="AC2782" s="5">
        <v>510</v>
      </c>
      <c r="AD2782" s="1" t="s">
        <v>6352</v>
      </c>
      <c r="AE2782" s="1" t="str">
        <f t="shared" si="196"/>
        <v>55279 AGS07</v>
      </c>
      <c r="AF2782" s="5" t="str">
        <f t="shared" si="197"/>
        <v>71</v>
      </c>
      <c r="AG2782" s="1" t="str">
        <f t="shared" si="195"/>
        <v/>
      </c>
    </row>
    <row r="2783" spans="1:33" x14ac:dyDescent="0.2">
      <c r="A2783" s="1" t="s">
        <v>458</v>
      </c>
      <c r="B2783" s="1" t="s">
        <v>6335</v>
      </c>
      <c r="C2783" s="1">
        <v>55279</v>
      </c>
      <c r="D2783" s="1" t="s">
        <v>6353</v>
      </c>
      <c r="F2783" s="1">
        <v>2023</v>
      </c>
      <c r="G2783" s="1" t="s">
        <v>461</v>
      </c>
      <c r="H2783" s="1">
        <v>605624</v>
      </c>
      <c r="I2783" s="1">
        <v>5</v>
      </c>
      <c r="K2783" s="1" t="s">
        <v>6337</v>
      </c>
      <c r="L2783" s="1" t="s">
        <v>6338</v>
      </c>
      <c r="M2783" s="1">
        <v>43</v>
      </c>
      <c r="N2783" s="1" t="s">
        <v>39</v>
      </c>
      <c r="O2783" s="1">
        <v>41.815100000000001</v>
      </c>
      <c r="P2783" s="1">
        <v>-88.226500000000001</v>
      </c>
      <c r="Q2783" s="1" t="s">
        <v>6339</v>
      </c>
      <c r="R2783" s="1" t="s">
        <v>41</v>
      </c>
      <c r="T2783" s="1" t="s">
        <v>93</v>
      </c>
      <c r="U2783" s="1" t="s">
        <v>44</v>
      </c>
      <c r="X2783" s="1" t="s">
        <v>95</v>
      </c>
      <c r="AA2783" s="3">
        <v>37015</v>
      </c>
      <c r="AB2783" s="1" t="s">
        <v>46</v>
      </c>
      <c r="AC2783" s="5">
        <v>510</v>
      </c>
      <c r="AD2783" s="1" t="s">
        <v>6354</v>
      </c>
      <c r="AE2783" s="1" t="str">
        <f t="shared" si="196"/>
        <v>55279 AGS08</v>
      </c>
      <c r="AF2783" s="5" t="str">
        <f t="shared" si="197"/>
        <v>71</v>
      </c>
      <c r="AG2783" s="1" t="str">
        <f t="shared" si="195"/>
        <v/>
      </c>
    </row>
    <row r="2784" spans="1:33" x14ac:dyDescent="0.2">
      <c r="A2784" s="1" t="s">
        <v>458</v>
      </c>
      <c r="B2784" s="1" t="s">
        <v>6335</v>
      </c>
      <c r="C2784" s="1">
        <v>55279</v>
      </c>
      <c r="D2784" s="1" t="s">
        <v>6355</v>
      </c>
      <c r="F2784" s="1">
        <v>2023</v>
      </c>
      <c r="G2784" s="1" t="s">
        <v>461</v>
      </c>
      <c r="H2784" s="1">
        <v>605624</v>
      </c>
      <c r="I2784" s="1">
        <v>5</v>
      </c>
      <c r="K2784" s="1" t="s">
        <v>6337</v>
      </c>
      <c r="L2784" s="1" t="s">
        <v>6338</v>
      </c>
      <c r="M2784" s="1">
        <v>43</v>
      </c>
      <c r="N2784" s="1" t="s">
        <v>39</v>
      </c>
      <c r="O2784" s="1">
        <v>41.815100000000001</v>
      </c>
      <c r="P2784" s="1">
        <v>-88.226500000000001</v>
      </c>
      <c r="Q2784" s="1" t="s">
        <v>6339</v>
      </c>
      <c r="R2784" s="1" t="s">
        <v>41</v>
      </c>
      <c r="T2784" s="1" t="s">
        <v>93</v>
      </c>
      <c r="U2784" s="1" t="s">
        <v>44</v>
      </c>
      <c r="X2784" s="1" t="s">
        <v>95</v>
      </c>
      <c r="AA2784" s="3">
        <v>37025</v>
      </c>
      <c r="AB2784" s="1" t="s">
        <v>46</v>
      </c>
      <c r="AC2784" s="5">
        <v>510</v>
      </c>
      <c r="AD2784" s="1" t="s">
        <v>6356</v>
      </c>
      <c r="AE2784" s="1" t="str">
        <f t="shared" si="196"/>
        <v>55279 AGS09</v>
      </c>
      <c r="AF2784" s="5" t="str">
        <f t="shared" si="197"/>
        <v>71</v>
      </c>
      <c r="AG2784" s="1" t="str">
        <f t="shared" si="195"/>
        <v/>
      </c>
    </row>
    <row r="2785" spans="1:33" x14ac:dyDescent="0.2">
      <c r="A2785" s="1" t="s">
        <v>458</v>
      </c>
      <c r="B2785" s="1" t="s">
        <v>6335</v>
      </c>
      <c r="C2785" s="1">
        <v>55279</v>
      </c>
      <c r="D2785" s="1" t="s">
        <v>6357</v>
      </c>
      <c r="F2785" s="1">
        <v>2023</v>
      </c>
      <c r="G2785" s="1" t="s">
        <v>461</v>
      </c>
      <c r="H2785" s="1">
        <v>605624</v>
      </c>
      <c r="I2785" s="1">
        <v>5</v>
      </c>
      <c r="K2785" s="1" t="s">
        <v>6337</v>
      </c>
      <c r="L2785" s="1" t="s">
        <v>6338</v>
      </c>
      <c r="M2785" s="1">
        <v>43</v>
      </c>
      <c r="N2785" s="1" t="s">
        <v>39</v>
      </c>
      <c r="O2785" s="1">
        <v>41.815100000000001</v>
      </c>
      <c r="P2785" s="1">
        <v>-88.226500000000001</v>
      </c>
      <c r="Q2785" s="1" t="s">
        <v>6339</v>
      </c>
      <c r="R2785" s="1" t="s">
        <v>41</v>
      </c>
      <c r="T2785" s="1" t="s">
        <v>93</v>
      </c>
      <c r="U2785" s="1" t="s">
        <v>44</v>
      </c>
      <c r="X2785" s="1" t="s">
        <v>95</v>
      </c>
      <c r="AA2785" s="3">
        <v>37034</v>
      </c>
      <c r="AB2785" s="1" t="s">
        <v>46</v>
      </c>
      <c r="AC2785" s="5">
        <v>510</v>
      </c>
      <c r="AD2785" s="1" t="s">
        <v>6358</v>
      </c>
      <c r="AE2785" s="1" t="str">
        <f t="shared" si="196"/>
        <v>55279 AGS10</v>
      </c>
      <c r="AF2785" s="5" t="str">
        <f t="shared" si="197"/>
        <v>71</v>
      </c>
      <c r="AG2785" s="1" t="str">
        <f t="shared" si="195"/>
        <v/>
      </c>
    </row>
    <row r="2786" spans="1:33" x14ac:dyDescent="0.2">
      <c r="A2786" s="1" t="s">
        <v>458</v>
      </c>
      <c r="B2786" s="1" t="s">
        <v>6359</v>
      </c>
      <c r="C2786" s="1">
        <v>55281</v>
      </c>
      <c r="D2786" s="1" t="s">
        <v>6360</v>
      </c>
      <c r="E2786" s="1" t="s">
        <v>1156</v>
      </c>
      <c r="F2786" s="1">
        <v>2023</v>
      </c>
      <c r="G2786" s="1" t="s">
        <v>461</v>
      </c>
      <c r="H2786" s="1">
        <v>609041</v>
      </c>
      <c r="I2786" s="1">
        <v>5</v>
      </c>
      <c r="K2786" s="1" t="s">
        <v>1029</v>
      </c>
      <c r="L2786" s="1" t="s">
        <v>1030</v>
      </c>
      <c r="M2786" s="1">
        <v>31</v>
      </c>
      <c r="N2786" s="1" t="s">
        <v>39</v>
      </c>
      <c r="O2786" s="1">
        <v>41.7181</v>
      </c>
      <c r="P2786" s="1">
        <v>-87.544899999999998</v>
      </c>
      <c r="Q2786" s="1" t="s">
        <v>1571</v>
      </c>
      <c r="R2786" s="1" t="s">
        <v>41</v>
      </c>
      <c r="T2786" s="1" t="s">
        <v>93</v>
      </c>
      <c r="U2786" s="1" t="s">
        <v>44</v>
      </c>
      <c r="X2786" s="1" t="s">
        <v>140</v>
      </c>
      <c r="AA2786" s="3">
        <v>37438</v>
      </c>
      <c r="AB2786" s="1" t="s">
        <v>46</v>
      </c>
      <c r="AC2786" s="5">
        <v>500.1</v>
      </c>
      <c r="AD2786" s="1" t="s">
        <v>6361</v>
      </c>
      <c r="AE2786" s="1" t="str">
        <f t="shared" si="196"/>
        <v>55281 CTG10</v>
      </c>
      <c r="AF2786" s="5" t="str">
        <f t="shared" si="197"/>
        <v>36.5</v>
      </c>
      <c r="AG2786" s="1" t="str">
        <f t="shared" si="195"/>
        <v/>
      </c>
    </row>
    <row r="2787" spans="1:33" x14ac:dyDescent="0.2">
      <c r="A2787" s="1" t="s">
        <v>458</v>
      </c>
      <c r="B2787" s="1" t="s">
        <v>6359</v>
      </c>
      <c r="C2787" s="1">
        <v>55281</v>
      </c>
      <c r="D2787" s="1" t="s">
        <v>6362</v>
      </c>
      <c r="E2787" s="1" t="s">
        <v>1156</v>
      </c>
      <c r="F2787" s="1">
        <v>2023</v>
      </c>
      <c r="G2787" s="1" t="s">
        <v>461</v>
      </c>
      <c r="H2787" s="1">
        <v>609041</v>
      </c>
      <c r="I2787" s="1">
        <v>5</v>
      </c>
      <c r="K2787" s="1" t="s">
        <v>1029</v>
      </c>
      <c r="L2787" s="1" t="s">
        <v>1030</v>
      </c>
      <c r="M2787" s="1">
        <v>31</v>
      </c>
      <c r="N2787" s="1" t="s">
        <v>39</v>
      </c>
      <c r="O2787" s="1">
        <v>41.7181</v>
      </c>
      <c r="P2787" s="1">
        <v>-87.544899999999998</v>
      </c>
      <c r="Q2787" s="1" t="s">
        <v>1571</v>
      </c>
      <c r="R2787" s="1" t="s">
        <v>41</v>
      </c>
      <c r="T2787" s="1" t="s">
        <v>93</v>
      </c>
      <c r="U2787" s="1" t="s">
        <v>44</v>
      </c>
      <c r="X2787" s="1" t="s">
        <v>140</v>
      </c>
      <c r="AA2787" s="3">
        <v>37438</v>
      </c>
      <c r="AB2787" s="1" t="s">
        <v>46</v>
      </c>
      <c r="AC2787" s="5">
        <v>500.1</v>
      </c>
      <c r="AD2787" s="1" t="s">
        <v>6363</v>
      </c>
      <c r="AE2787" s="1" t="str">
        <f t="shared" si="196"/>
        <v>55281 CTG11</v>
      </c>
      <c r="AF2787" s="5" t="str">
        <f t="shared" si="197"/>
        <v>36.5</v>
      </c>
      <c r="AG2787" s="1" t="str">
        <f t="shared" si="195"/>
        <v/>
      </c>
    </row>
    <row r="2788" spans="1:33" x14ac:dyDescent="0.2">
      <c r="A2788" s="1" t="s">
        <v>458</v>
      </c>
      <c r="B2788" s="1" t="s">
        <v>6359</v>
      </c>
      <c r="C2788" s="1">
        <v>55281</v>
      </c>
      <c r="D2788" s="1" t="s">
        <v>6364</v>
      </c>
      <c r="E2788" s="1" t="s">
        <v>1156</v>
      </c>
      <c r="F2788" s="1">
        <v>2023</v>
      </c>
      <c r="G2788" s="1" t="s">
        <v>461</v>
      </c>
      <c r="H2788" s="1">
        <v>609041</v>
      </c>
      <c r="I2788" s="1">
        <v>5</v>
      </c>
      <c r="K2788" s="1" t="s">
        <v>1029</v>
      </c>
      <c r="L2788" s="1" t="s">
        <v>1030</v>
      </c>
      <c r="M2788" s="1">
        <v>31</v>
      </c>
      <c r="N2788" s="1" t="s">
        <v>39</v>
      </c>
      <c r="O2788" s="1">
        <v>41.7181</v>
      </c>
      <c r="P2788" s="1">
        <v>-87.544899999999998</v>
      </c>
      <c r="Q2788" s="1" t="s">
        <v>1571</v>
      </c>
      <c r="R2788" s="1" t="s">
        <v>41</v>
      </c>
      <c r="T2788" s="1" t="s">
        <v>93</v>
      </c>
      <c r="U2788" s="1" t="s">
        <v>44</v>
      </c>
      <c r="X2788" s="1" t="s">
        <v>140</v>
      </c>
      <c r="AA2788" s="3">
        <v>37438</v>
      </c>
      <c r="AB2788" s="1" t="s">
        <v>46</v>
      </c>
      <c r="AC2788" s="5">
        <v>500.1</v>
      </c>
      <c r="AD2788" s="1" t="s">
        <v>6365</v>
      </c>
      <c r="AE2788" s="1" t="str">
        <f t="shared" si="196"/>
        <v>55281 CTG12</v>
      </c>
      <c r="AF2788" s="5" t="str">
        <f t="shared" si="197"/>
        <v>36.5</v>
      </c>
      <c r="AG2788" s="1" t="str">
        <f t="shared" si="195"/>
        <v/>
      </c>
    </row>
    <row r="2789" spans="1:33" x14ac:dyDescent="0.2">
      <c r="A2789" s="1" t="s">
        <v>458</v>
      </c>
      <c r="B2789" s="1" t="s">
        <v>6359</v>
      </c>
      <c r="C2789" s="1">
        <v>55281</v>
      </c>
      <c r="D2789" s="1" t="s">
        <v>2500</v>
      </c>
      <c r="E2789" s="1" t="s">
        <v>1156</v>
      </c>
      <c r="F2789" s="1">
        <v>2023</v>
      </c>
      <c r="G2789" s="1" t="s">
        <v>461</v>
      </c>
      <c r="H2789" s="1">
        <v>609041</v>
      </c>
      <c r="I2789" s="1">
        <v>5</v>
      </c>
      <c r="K2789" s="1" t="s">
        <v>1029</v>
      </c>
      <c r="L2789" s="1" t="s">
        <v>1030</v>
      </c>
      <c r="M2789" s="1">
        <v>31</v>
      </c>
      <c r="N2789" s="1" t="s">
        <v>39</v>
      </c>
      <c r="O2789" s="1">
        <v>41.7181</v>
      </c>
      <c r="P2789" s="1">
        <v>-87.544899999999998</v>
      </c>
      <c r="Q2789" s="1" t="s">
        <v>1571</v>
      </c>
      <c r="R2789" s="1" t="s">
        <v>41</v>
      </c>
      <c r="T2789" s="1" t="s">
        <v>93</v>
      </c>
      <c r="U2789" s="1" t="s">
        <v>44</v>
      </c>
      <c r="X2789" s="1" t="s">
        <v>140</v>
      </c>
      <c r="AA2789" s="3">
        <v>37438</v>
      </c>
      <c r="AB2789" s="1" t="s">
        <v>46</v>
      </c>
      <c r="AC2789" s="5">
        <v>500.1</v>
      </c>
      <c r="AD2789" s="1" t="s">
        <v>6366</v>
      </c>
      <c r="AE2789" s="1" t="str">
        <f t="shared" si="196"/>
        <v>55281 CTG5</v>
      </c>
      <c r="AF2789" s="5" t="str">
        <f t="shared" si="197"/>
        <v>36.5</v>
      </c>
      <c r="AG2789" s="1" t="str">
        <f t="shared" si="195"/>
        <v/>
      </c>
    </row>
    <row r="2790" spans="1:33" x14ac:dyDescent="0.2">
      <c r="A2790" s="1" t="s">
        <v>458</v>
      </c>
      <c r="B2790" s="1" t="s">
        <v>6359</v>
      </c>
      <c r="C2790" s="1">
        <v>55281</v>
      </c>
      <c r="D2790" s="1" t="s">
        <v>2502</v>
      </c>
      <c r="E2790" s="1" t="s">
        <v>1156</v>
      </c>
      <c r="F2790" s="1">
        <v>2023</v>
      </c>
      <c r="G2790" s="1" t="s">
        <v>461</v>
      </c>
      <c r="H2790" s="1">
        <v>609041</v>
      </c>
      <c r="I2790" s="1">
        <v>5</v>
      </c>
      <c r="K2790" s="1" t="s">
        <v>1029</v>
      </c>
      <c r="L2790" s="1" t="s">
        <v>1030</v>
      </c>
      <c r="M2790" s="1">
        <v>31</v>
      </c>
      <c r="N2790" s="1" t="s">
        <v>39</v>
      </c>
      <c r="O2790" s="1">
        <v>41.7181</v>
      </c>
      <c r="P2790" s="1">
        <v>-87.544899999999998</v>
      </c>
      <c r="Q2790" s="1" t="s">
        <v>1571</v>
      </c>
      <c r="R2790" s="1" t="s">
        <v>41</v>
      </c>
      <c r="T2790" s="1" t="s">
        <v>93</v>
      </c>
      <c r="U2790" s="1" t="s">
        <v>44</v>
      </c>
      <c r="X2790" s="1" t="s">
        <v>140</v>
      </c>
      <c r="AA2790" s="3">
        <v>37438</v>
      </c>
      <c r="AB2790" s="1" t="s">
        <v>46</v>
      </c>
      <c r="AC2790" s="5">
        <v>500.1</v>
      </c>
      <c r="AD2790" s="1" t="s">
        <v>6367</v>
      </c>
      <c r="AE2790" s="1" t="str">
        <f t="shared" si="196"/>
        <v>55281 CTG6</v>
      </c>
      <c r="AF2790" s="5" t="str">
        <f t="shared" si="197"/>
        <v>36.5</v>
      </c>
      <c r="AG2790" s="1" t="str">
        <f t="shared" si="195"/>
        <v/>
      </c>
    </row>
    <row r="2791" spans="1:33" x14ac:dyDescent="0.2">
      <c r="A2791" s="1" t="s">
        <v>458</v>
      </c>
      <c r="B2791" s="1" t="s">
        <v>6359</v>
      </c>
      <c r="C2791" s="1">
        <v>55281</v>
      </c>
      <c r="D2791" s="1" t="s">
        <v>6368</v>
      </c>
      <c r="E2791" s="1" t="s">
        <v>1156</v>
      </c>
      <c r="F2791" s="1">
        <v>2023</v>
      </c>
      <c r="G2791" s="1" t="s">
        <v>461</v>
      </c>
      <c r="H2791" s="1">
        <v>609041</v>
      </c>
      <c r="I2791" s="1">
        <v>5</v>
      </c>
      <c r="K2791" s="1" t="s">
        <v>1029</v>
      </c>
      <c r="L2791" s="1" t="s">
        <v>1030</v>
      </c>
      <c r="M2791" s="1">
        <v>31</v>
      </c>
      <c r="N2791" s="1" t="s">
        <v>39</v>
      </c>
      <c r="O2791" s="1">
        <v>41.7181</v>
      </c>
      <c r="P2791" s="1">
        <v>-87.544899999999998</v>
      </c>
      <c r="Q2791" s="1" t="s">
        <v>1571</v>
      </c>
      <c r="R2791" s="1" t="s">
        <v>41</v>
      </c>
      <c r="T2791" s="1" t="s">
        <v>93</v>
      </c>
      <c r="U2791" s="1" t="s">
        <v>44</v>
      </c>
      <c r="X2791" s="1" t="s">
        <v>140</v>
      </c>
      <c r="AA2791" s="3">
        <v>37438</v>
      </c>
      <c r="AB2791" s="1" t="s">
        <v>46</v>
      </c>
      <c r="AC2791" s="5">
        <v>500.1</v>
      </c>
      <c r="AD2791" s="1" t="s">
        <v>6369</v>
      </c>
      <c r="AE2791" s="1" t="str">
        <f t="shared" si="196"/>
        <v>55281 CTG7</v>
      </c>
      <c r="AF2791" s="5" t="str">
        <f t="shared" si="197"/>
        <v>36.5</v>
      </c>
      <c r="AG2791" s="1" t="str">
        <f t="shared" si="195"/>
        <v/>
      </c>
    </row>
    <row r="2792" spans="1:33" x14ac:dyDescent="0.2">
      <c r="A2792" s="1" t="s">
        <v>458</v>
      </c>
      <c r="B2792" s="1" t="s">
        <v>6359</v>
      </c>
      <c r="C2792" s="1">
        <v>55281</v>
      </c>
      <c r="D2792" s="1" t="s">
        <v>6370</v>
      </c>
      <c r="E2792" s="1" t="s">
        <v>1156</v>
      </c>
      <c r="F2792" s="1">
        <v>2023</v>
      </c>
      <c r="G2792" s="1" t="s">
        <v>461</v>
      </c>
      <c r="H2792" s="1">
        <v>609041</v>
      </c>
      <c r="I2792" s="1">
        <v>5</v>
      </c>
      <c r="K2792" s="1" t="s">
        <v>1029</v>
      </c>
      <c r="L2792" s="1" t="s">
        <v>1030</v>
      </c>
      <c r="M2792" s="1">
        <v>31</v>
      </c>
      <c r="N2792" s="1" t="s">
        <v>39</v>
      </c>
      <c r="O2792" s="1">
        <v>41.7181</v>
      </c>
      <c r="P2792" s="1">
        <v>-87.544899999999998</v>
      </c>
      <c r="Q2792" s="1" t="s">
        <v>1571</v>
      </c>
      <c r="R2792" s="1" t="s">
        <v>41</v>
      </c>
      <c r="T2792" s="1" t="s">
        <v>93</v>
      </c>
      <c r="U2792" s="1" t="s">
        <v>44</v>
      </c>
      <c r="X2792" s="1" t="s">
        <v>140</v>
      </c>
      <c r="AA2792" s="3">
        <v>37438</v>
      </c>
      <c r="AB2792" s="1" t="s">
        <v>46</v>
      </c>
      <c r="AC2792" s="5">
        <v>500.1</v>
      </c>
      <c r="AD2792" s="1" t="s">
        <v>6371</v>
      </c>
      <c r="AE2792" s="1" t="str">
        <f t="shared" si="196"/>
        <v>55281 CTG8</v>
      </c>
      <c r="AF2792" s="5" t="str">
        <f t="shared" si="197"/>
        <v>36.5</v>
      </c>
      <c r="AG2792" s="1" t="str">
        <f t="shared" si="195"/>
        <v/>
      </c>
    </row>
    <row r="2793" spans="1:33" x14ac:dyDescent="0.2">
      <c r="A2793" s="1" t="s">
        <v>458</v>
      </c>
      <c r="B2793" s="1" t="s">
        <v>6359</v>
      </c>
      <c r="C2793" s="1">
        <v>55281</v>
      </c>
      <c r="D2793" s="1" t="s">
        <v>6372</v>
      </c>
      <c r="E2793" s="1" t="s">
        <v>1156</v>
      </c>
      <c r="F2793" s="1">
        <v>2023</v>
      </c>
      <c r="G2793" s="1" t="s">
        <v>461</v>
      </c>
      <c r="H2793" s="1">
        <v>609041</v>
      </c>
      <c r="I2793" s="1">
        <v>5</v>
      </c>
      <c r="K2793" s="1" t="s">
        <v>1029</v>
      </c>
      <c r="L2793" s="1" t="s">
        <v>1030</v>
      </c>
      <c r="M2793" s="1">
        <v>31</v>
      </c>
      <c r="N2793" s="1" t="s">
        <v>39</v>
      </c>
      <c r="O2793" s="1">
        <v>41.7181</v>
      </c>
      <c r="P2793" s="1">
        <v>-87.544899999999998</v>
      </c>
      <c r="Q2793" s="1" t="s">
        <v>1571</v>
      </c>
      <c r="R2793" s="1" t="s">
        <v>41</v>
      </c>
      <c r="T2793" s="1" t="s">
        <v>93</v>
      </c>
      <c r="U2793" s="1" t="s">
        <v>44</v>
      </c>
      <c r="X2793" s="1" t="s">
        <v>140</v>
      </c>
      <c r="AA2793" s="3">
        <v>37438</v>
      </c>
      <c r="AB2793" s="1" t="s">
        <v>46</v>
      </c>
      <c r="AC2793" s="5">
        <v>500.1</v>
      </c>
      <c r="AD2793" s="1" t="s">
        <v>6373</v>
      </c>
      <c r="AE2793" s="1" t="str">
        <f t="shared" si="196"/>
        <v>55281 CTG9</v>
      </c>
      <c r="AF2793" s="5" t="str">
        <f t="shared" si="197"/>
        <v>36.5</v>
      </c>
      <c r="AG2793" s="1" t="str">
        <f t="shared" si="195"/>
        <v/>
      </c>
    </row>
    <row r="2794" spans="1:33" x14ac:dyDescent="0.2">
      <c r="A2794" s="1" t="s">
        <v>234</v>
      </c>
      <c r="B2794" s="1" t="s">
        <v>6374</v>
      </c>
      <c r="C2794" s="1">
        <v>55282</v>
      </c>
      <c r="D2794" s="1" t="s">
        <v>1129</v>
      </c>
      <c r="F2794" s="1">
        <v>2023</v>
      </c>
      <c r="G2794" s="1" t="s">
        <v>247</v>
      </c>
      <c r="H2794" s="1">
        <v>610291</v>
      </c>
      <c r="I2794" s="1">
        <v>9</v>
      </c>
      <c r="K2794" s="1" t="s">
        <v>248</v>
      </c>
      <c r="L2794" s="1" t="s">
        <v>249</v>
      </c>
      <c r="M2794" s="1">
        <v>13</v>
      </c>
      <c r="N2794" s="1" t="s">
        <v>39</v>
      </c>
      <c r="O2794" s="1">
        <v>33.341700000000003</v>
      </c>
      <c r="P2794" s="1">
        <v>-112.8897</v>
      </c>
      <c r="Q2794" s="1" t="s">
        <v>6375</v>
      </c>
      <c r="R2794" s="1" t="s">
        <v>41</v>
      </c>
      <c r="T2794" s="1" t="s">
        <v>71</v>
      </c>
      <c r="U2794" s="1" t="s">
        <v>44</v>
      </c>
      <c r="X2794" s="1" t="s">
        <v>64</v>
      </c>
      <c r="AA2794" s="3">
        <v>37334</v>
      </c>
      <c r="AB2794" s="1" t="s">
        <v>46</v>
      </c>
      <c r="AC2794" s="5">
        <v>2195</v>
      </c>
      <c r="AD2794" s="1" t="s">
        <v>6376</v>
      </c>
      <c r="AE2794" s="1" t="str">
        <f t="shared" si="196"/>
        <v>55282 CTG1</v>
      </c>
      <c r="AF2794" s="14">
        <f>AF2795</f>
        <v>356.5</v>
      </c>
      <c r="AG2794" s="1" t="str">
        <f t="shared" si="195"/>
        <v>Y</v>
      </c>
    </row>
    <row r="2795" spans="1:33" x14ac:dyDescent="0.2">
      <c r="A2795" s="1" t="s">
        <v>234</v>
      </c>
      <c r="B2795" s="1" t="s">
        <v>6374</v>
      </c>
      <c r="C2795" s="1">
        <v>55282</v>
      </c>
      <c r="D2795" s="1" t="s">
        <v>1135</v>
      </c>
      <c r="F2795" s="1">
        <v>2023</v>
      </c>
      <c r="G2795" s="1" t="s">
        <v>247</v>
      </c>
      <c r="H2795" s="1">
        <v>610291</v>
      </c>
      <c r="I2795" s="1">
        <v>9</v>
      </c>
      <c r="K2795" s="1" t="s">
        <v>248</v>
      </c>
      <c r="L2795" s="1" t="s">
        <v>249</v>
      </c>
      <c r="M2795" s="1">
        <v>13</v>
      </c>
      <c r="N2795" s="1" t="s">
        <v>39</v>
      </c>
      <c r="O2795" s="1">
        <v>33.341700000000003</v>
      </c>
      <c r="P2795" s="1">
        <v>-112.8897</v>
      </c>
      <c r="Q2795" s="1" t="s">
        <v>6375</v>
      </c>
      <c r="R2795" s="1" t="s">
        <v>41</v>
      </c>
      <c r="T2795" s="1" t="s">
        <v>71</v>
      </c>
      <c r="U2795" s="1" t="s">
        <v>44</v>
      </c>
      <c r="X2795" s="1" t="s">
        <v>64</v>
      </c>
      <c r="AA2795" s="3">
        <v>37350</v>
      </c>
      <c r="AB2795" s="1" t="s">
        <v>46</v>
      </c>
      <c r="AC2795" s="5">
        <v>2575</v>
      </c>
      <c r="AD2795" s="1" t="s">
        <v>6377</v>
      </c>
      <c r="AE2795" s="1" t="str">
        <f t="shared" si="196"/>
        <v>55282 CTG2</v>
      </c>
      <c r="AF2795" s="14">
        <f>MID(AD2795,FIND("(",AD2795)+1,FIND(")",AD2795)-FIND("(",AD2795)-1)+317/2</f>
        <v>356.5</v>
      </c>
      <c r="AG2795" s="1" t="str">
        <f t="shared" si="195"/>
        <v>Y</v>
      </c>
    </row>
    <row r="2796" spans="1:33" x14ac:dyDescent="0.2">
      <c r="A2796" s="1" t="s">
        <v>516</v>
      </c>
      <c r="B2796" s="1" t="s">
        <v>6378</v>
      </c>
      <c r="C2796" s="1">
        <v>55283</v>
      </c>
      <c r="D2796" s="1">
        <v>1</v>
      </c>
      <c r="F2796" s="1">
        <v>2023</v>
      </c>
      <c r="G2796" s="1" t="s">
        <v>247</v>
      </c>
      <c r="H2796" s="1">
        <v>610356</v>
      </c>
      <c r="I2796" s="1">
        <v>8</v>
      </c>
      <c r="K2796" s="1" t="s">
        <v>531</v>
      </c>
      <c r="L2796" s="1" t="s">
        <v>532</v>
      </c>
      <c r="M2796" s="1">
        <v>41</v>
      </c>
      <c r="N2796" s="1" t="s">
        <v>39</v>
      </c>
      <c r="O2796" s="1">
        <v>38.628100000000003</v>
      </c>
      <c r="P2796" s="1">
        <v>-104.7069</v>
      </c>
      <c r="Q2796" s="1" t="s">
        <v>533</v>
      </c>
      <c r="R2796" s="1" t="s">
        <v>41</v>
      </c>
      <c r="T2796" s="1" t="s">
        <v>71</v>
      </c>
      <c r="U2796" s="1" t="s">
        <v>44</v>
      </c>
      <c r="X2796" s="1" t="s">
        <v>140</v>
      </c>
      <c r="AA2796" s="3">
        <v>37596</v>
      </c>
      <c r="AB2796" s="1" t="s">
        <v>46</v>
      </c>
      <c r="AC2796" s="5">
        <v>2100</v>
      </c>
      <c r="AD2796" s="1" t="s">
        <v>6379</v>
      </c>
      <c r="AE2796" s="1" t="str">
        <f t="shared" si="196"/>
        <v>55283 1</v>
      </c>
      <c r="AF2796" s="14">
        <f>MID(AD2796,FIND("(",AD2796)+1,FIND(")",AD2796)-FIND("(",AD2796)-1)+233/2</f>
        <v>270.5</v>
      </c>
      <c r="AG2796" s="1" t="str">
        <f t="shared" si="195"/>
        <v/>
      </c>
    </row>
    <row r="2797" spans="1:33" x14ac:dyDescent="0.2">
      <c r="A2797" s="1" t="s">
        <v>516</v>
      </c>
      <c r="B2797" s="1" t="s">
        <v>6378</v>
      </c>
      <c r="C2797" s="1">
        <v>55283</v>
      </c>
      <c r="D2797" s="1">
        <v>2</v>
      </c>
      <c r="F2797" s="1">
        <v>2023</v>
      </c>
      <c r="G2797" s="1" t="s">
        <v>247</v>
      </c>
      <c r="H2797" s="1">
        <v>610356</v>
      </c>
      <c r="I2797" s="1">
        <v>8</v>
      </c>
      <c r="K2797" s="1" t="s">
        <v>531</v>
      </c>
      <c r="L2797" s="1" t="s">
        <v>532</v>
      </c>
      <c r="M2797" s="1">
        <v>41</v>
      </c>
      <c r="N2797" s="1" t="s">
        <v>39</v>
      </c>
      <c r="O2797" s="1">
        <v>38.628100000000003</v>
      </c>
      <c r="P2797" s="1">
        <v>-104.7069</v>
      </c>
      <c r="Q2797" s="1" t="s">
        <v>533</v>
      </c>
      <c r="R2797" s="1" t="s">
        <v>41</v>
      </c>
      <c r="T2797" s="1" t="s">
        <v>71</v>
      </c>
      <c r="U2797" s="1" t="s">
        <v>44</v>
      </c>
      <c r="X2797" s="1" t="s">
        <v>140</v>
      </c>
      <c r="AA2797" s="3">
        <v>37598</v>
      </c>
      <c r="AB2797" s="1" t="s">
        <v>46</v>
      </c>
      <c r="AC2797" s="5">
        <v>2100</v>
      </c>
      <c r="AD2797" s="1" t="s">
        <v>6380</v>
      </c>
      <c r="AE2797" s="1" t="str">
        <f t="shared" si="196"/>
        <v>55283 2</v>
      </c>
      <c r="AF2797" s="14">
        <f>AF2796</f>
        <v>270.5</v>
      </c>
      <c r="AG2797" s="1" t="str">
        <f t="shared" si="195"/>
        <v/>
      </c>
    </row>
    <row r="2798" spans="1:33" x14ac:dyDescent="0.2">
      <c r="A2798" s="1" t="s">
        <v>3140</v>
      </c>
      <c r="B2798" s="1" t="s">
        <v>6381</v>
      </c>
      <c r="C2798" s="1">
        <v>55284</v>
      </c>
      <c r="D2798" s="1" t="s">
        <v>6382</v>
      </c>
      <c r="E2798" s="1" t="s">
        <v>6383</v>
      </c>
      <c r="F2798" s="1">
        <v>2023</v>
      </c>
      <c r="G2798" s="1" t="s">
        <v>168</v>
      </c>
      <c r="H2798" s="1">
        <v>609325</v>
      </c>
      <c r="I2798" s="1">
        <v>3</v>
      </c>
      <c r="K2798" s="1" t="s">
        <v>1178</v>
      </c>
      <c r="L2798" s="1" t="s">
        <v>6328</v>
      </c>
      <c r="M2798" s="1">
        <v>99</v>
      </c>
      <c r="N2798" s="1" t="s">
        <v>39</v>
      </c>
      <c r="O2798" s="1">
        <v>38.344099999999997</v>
      </c>
      <c r="P2798" s="1">
        <v>-82.593800000000002</v>
      </c>
      <c r="Q2798" s="1" t="s">
        <v>6384</v>
      </c>
      <c r="R2798" s="1" t="s">
        <v>41</v>
      </c>
      <c r="T2798" s="1" t="s">
        <v>93</v>
      </c>
      <c r="U2798" s="1" t="s">
        <v>44</v>
      </c>
      <c r="X2798" s="1" t="s">
        <v>95</v>
      </c>
      <c r="AA2798" s="3">
        <v>37048</v>
      </c>
      <c r="AB2798" s="1" t="s">
        <v>46</v>
      </c>
      <c r="AC2798" s="5">
        <v>300</v>
      </c>
      <c r="AD2798" s="1" t="s">
        <v>6385</v>
      </c>
      <c r="AE2798" s="1" t="str">
        <f t="shared" si="196"/>
        <v>55284 GS01</v>
      </c>
      <c r="AF2798" s="5" t="str">
        <f t="shared" ref="AF2798:AF2824" si="198">MID(AD2798,FIND("(",AD2798)+1,FIND(")",AD2798)-FIND("(",AD2798)-1)</f>
        <v>57</v>
      </c>
      <c r="AG2798" s="1" t="str">
        <f t="shared" si="195"/>
        <v/>
      </c>
    </row>
    <row r="2799" spans="1:33" x14ac:dyDescent="0.2">
      <c r="A2799" s="1" t="s">
        <v>3140</v>
      </c>
      <c r="B2799" s="1" t="s">
        <v>6381</v>
      </c>
      <c r="C2799" s="1">
        <v>55284</v>
      </c>
      <c r="D2799" s="1" t="s">
        <v>6386</v>
      </c>
      <c r="E2799" s="1" t="s">
        <v>6383</v>
      </c>
      <c r="F2799" s="1">
        <v>2023</v>
      </c>
      <c r="G2799" s="1" t="s">
        <v>168</v>
      </c>
      <c r="H2799" s="1">
        <v>609325</v>
      </c>
      <c r="I2799" s="1">
        <v>3</v>
      </c>
      <c r="K2799" s="1" t="s">
        <v>1178</v>
      </c>
      <c r="L2799" s="1" t="s">
        <v>6328</v>
      </c>
      <c r="M2799" s="1">
        <v>99</v>
      </c>
      <c r="N2799" s="1" t="s">
        <v>39</v>
      </c>
      <c r="O2799" s="1">
        <v>38.344099999999997</v>
      </c>
      <c r="P2799" s="1">
        <v>-82.593800000000002</v>
      </c>
      <c r="Q2799" s="1" t="s">
        <v>6384</v>
      </c>
      <c r="R2799" s="1" t="s">
        <v>41</v>
      </c>
      <c r="T2799" s="1" t="s">
        <v>93</v>
      </c>
      <c r="U2799" s="1" t="s">
        <v>44</v>
      </c>
      <c r="X2799" s="1" t="s">
        <v>95</v>
      </c>
      <c r="AA2799" s="3">
        <v>37048</v>
      </c>
      <c r="AB2799" s="1" t="s">
        <v>46</v>
      </c>
      <c r="AC2799" s="5">
        <v>300</v>
      </c>
      <c r="AD2799" s="1" t="s">
        <v>6385</v>
      </c>
      <c r="AE2799" s="1" t="str">
        <f t="shared" si="196"/>
        <v>55284 GS02</v>
      </c>
      <c r="AF2799" s="5" t="str">
        <f t="shared" si="198"/>
        <v>57</v>
      </c>
      <c r="AG2799" s="1" t="str">
        <f t="shared" si="195"/>
        <v/>
      </c>
    </row>
    <row r="2800" spans="1:33" x14ac:dyDescent="0.2">
      <c r="A2800" s="1" t="s">
        <v>3140</v>
      </c>
      <c r="B2800" s="1" t="s">
        <v>6381</v>
      </c>
      <c r="C2800" s="1">
        <v>55284</v>
      </c>
      <c r="D2800" s="1" t="s">
        <v>6387</v>
      </c>
      <c r="E2800" s="1" t="s">
        <v>6383</v>
      </c>
      <c r="F2800" s="1">
        <v>2023</v>
      </c>
      <c r="G2800" s="1" t="s">
        <v>168</v>
      </c>
      <c r="H2800" s="1">
        <v>609325</v>
      </c>
      <c r="I2800" s="1">
        <v>3</v>
      </c>
      <c r="K2800" s="1" t="s">
        <v>1178</v>
      </c>
      <c r="L2800" s="1" t="s">
        <v>6328</v>
      </c>
      <c r="M2800" s="1">
        <v>99</v>
      </c>
      <c r="N2800" s="1" t="s">
        <v>39</v>
      </c>
      <c r="O2800" s="1">
        <v>38.344099999999997</v>
      </c>
      <c r="P2800" s="1">
        <v>-82.593800000000002</v>
      </c>
      <c r="Q2800" s="1" t="s">
        <v>6384</v>
      </c>
      <c r="R2800" s="1" t="s">
        <v>41</v>
      </c>
      <c r="T2800" s="1" t="s">
        <v>93</v>
      </c>
      <c r="U2800" s="1" t="s">
        <v>44</v>
      </c>
      <c r="X2800" s="1" t="s">
        <v>95</v>
      </c>
      <c r="AA2800" s="3">
        <v>37066</v>
      </c>
      <c r="AB2800" s="1" t="s">
        <v>46</v>
      </c>
      <c r="AC2800" s="5">
        <v>300</v>
      </c>
      <c r="AD2800" s="1" t="s">
        <v>6388</v>
      </c>
      <c r="AE2800" s="1" t="str">
        <f t="shared" si="196"/>
        <v>55284 GS03</v>
      </c>
      <c r="AF2800" s="5" t="str">
        <f t="shared" si="198"/>
        <v>57</v>
      </c>
      <c r="AG2800" s="1" t="str">
        <f t="shared" si="195"/>
        <v/>
      </c>
    </row>
    <row r="2801" spans="1:33" x14ac:dyDescent="0.2">
      <c r="A2801" s="1" t="s">
        <v>3140</v>
      </c>
      <c r="B2801" s="1" t="s">
        <v>6381</v>
      </c>
      <c r="C2801" s="1">
        <v>55284</v>
      </c>
      <c r="D2801" s="1" t="s">
        <v>6389</v>
      </c>
      <c r="E2801" s="1" t="s">
        <v>6383</v>
      </c>
      <c r="F2801" s="1">
        <v>2023</v>
      </c>
      <c r="G2801" s="1" t="s">
        <v>168</v>
      </c>
      <c r="H2801" s="1">
        <v>609325</v>
      </c>
      <c r="I2801" s="1">
        <v>3</v>
      </c>
      <c r="K2801" s="1" t="s">
        <v>1178</v>
      </c>
      <c r="L2801" s="1" t="s">
        <v>6328</v>
      </c>
      <c r="M2801" s="1">
        <v>99</v>
      </c>
      <c r="N2801" s="1" t="s">
        <v>39</v>
      </c>
      <c r="O2801" s="1">
        <v>38.344099999999997</v>
      </c>
      <c r="P2801" s="1">
        <v>-82.593800000000002</v>
      </c>
      <c r="Q2801" s="1" t="s">
        <v>6384</v>
      </c>
      <c r="R2801" s="1" t="s">
        <v>41</v>
      </c>
      <c r="T2801" s="1" t="s">
        <v>93</v>
      </c>
      <c r="U2801" s="1" t="s">
        <v>44</v>
      </c>
      <c r="X2801" s="1" t="s">
        <v>95</v>
      </c>
      <c r="AA2801" s="3">
        <v>37066</v>
      </c>
      <c r="AB2801" s="1" t="s">
        <v>46</v>
      </c>
      <c r="AC2801" s="5">
        <v>300</v>
      </c>
      <c r="AD2801" s="1" t="s">
        <v>6388</v>
      </c>
      <c r="AE2801" s="1" t="str">
        <f t="shared" si="196"/>
        <v>55284 GS04</v>
      </c>
      <c r="AF2801" s="5" t="str">
        <f t="shared" si="198"/>
        <v>57</v>
      </c>
      <c r="AG2801" s="1" t="str">
        <f t="shared" si="195"/>
        <v/>
      </c>
    </row>
    <row r="2802" spans="1:33" x14ac:dyDescent="0.2">
      <c r="A2802" s="1" t="s">
        <v>3140</v>
      </c>
      <c r="B2802" s="1" t="s">
        <v>6381</v>
      </c>
      <c r="C2802" s="1">
        <v>55284</v>
      </c>
      <c r="D2802" s="1" t="s">
        <v>6390</v>
      </c>
      <c r="E2802" s="1" t="s">
        <v>6383</v>
      </c>
      <c r="F2802" s="1">
        <v>2023</v>
      </c>
      <c r="G2802" s="1" t="s">
        <v>168</v>
      </c>
      <c r="H2802" s="1">
        <v>609325</v>
      </c>
      <c r="I2802" s="1">
        <v>3</v>
      </c>
      <c r="K2802" s="1" t="s">
        <v>1178</v>
      </c>
      <c r="L2802" s="1" t="s">
        <v>6328</v>
      </c>
      <c r="M2802" s="1">
        <v>99</v>
      </c>
      <c r="N2802" s="1" t="s">
        <v>39</v>
      </c>
      <c r="O2802" s="1">
        <v>38.344099999999997</v>
      </c>
      <c r="P2802" s="1">
        <v>-82.593800000000002</v>
      </c>
      <c r="Q2802" s="1" t="s">
        <v>6384</v>
      </c>
      <c r="R2802" s="1" t="s">
        <v>41</v>
      </c>
      <c r="T2802" s="1" t="s">
        <v>93</v>
      </c>
      <c r="U2802" s="1" t="s">
        <v>44</v>
      </c>
      <c r="X2802" s="1" t="s">
        <v>95</v>
      </c>
      <c r="AA2802" s="3">
        <v>37076</v>
      </c>
      <c r="AB2802" s="1" t="s">
        <v>46</v>
      </c>
      <c r="AC2802" s="5">
        <v>300</v>
      </c>
      <c r="AD2802" s="1" t="s">
        <v>6391</v>
      </c>
      <c r="AE2802" s="1" t="str">
        <f t="shared" si="196"/>
        <v>55284 GS05</v>
      </c>
      <c r="AF2802" s="5" t="str">
        <f t="shared" si="198"/>
        <v>57</v>
      </c>
      <c r="AG2802" s="1" t="str">
        <f t="shared" si="195"/>
        <v/>
      </c>
    </row>
    <row r="2803" spans="1:33" x14ac:dyDescent="0.2">
      <c r="A2803" s="1" t="s">
        <v>3140</v>
      </c>
      <c r="B2803" s="1" t="s">
        <v>6381</v>
      </c>
      <c r="C2803" s="1">
        <v>55284</v>
      </c>
      <c r="D2803" s="1" t="s">
        <v>6392</v>
      </c>
      <c r="E2803" s="1" t="s">
        <v>6383</v>
      </c>
      <c r="F2803" s="1">
        <v>2023</v>
      </c>
      <c r="G2803" s="1" t="s">
        <v>168</v>
      </c>
      <c r="H2803" s="1">
        <v>609325</v>
      </c>
      <c r="I2803" s="1">
        <v>3</v>
      </c>
      <c r="K2803" s="1" t="s">
        <v>1178</v>
      </c>
      <c r="L2803" s="1" t="s">
        <v>6328</v>
      </c>
      <c r="M2803" s="1">
        <v>99</v>
      </c>
      <c r="N2803" s="1" t="s">
        <v>39</v>
      </c>
      <c r="O2803" s="1">
        <v>38.344099999999997</v>
      </c>
      <c r="P2803" s="1">
        <v>-82.593800000000002</v>
      </c>
      <c r="Q2803" s="1" t="s">
        <v>6384</v>
      </c>
      <c r="R2803" s="1" t="s">
        <v>41</v>
      </c>
      <c r="T2803" s="1" t="s">
        <v>93</v>
      </c>
      <c r="U2803" s="1" t="s">
        <v>44</v>
      </c>
      <c r="X2803" s="1" t="s">
        <v>95</v>
      </c>
      <c r="AA2803" s="3">
        <v>37076</v>
      </c>
      <c r="AB2803" s="1" t="s">
        <v>46</v>
      </c>
      <c r="AC2803" s="5">
        <v>300</v>
      </c>
      <c r="AD2803" s="1" t="s">
        <v>6391</v>
      </c>
      <c r="AE2803" s="1" t="str">
        <f t="shared" si="196"/>
        <v>55284 GS06</v>
      </c>
      <c r="AF2803" s="5" t="str">
        <f t="shared" si="198"/>
        <v>57</v>
      </c>
      <c r="AG2803" s="1" t="str">
        <f t="shared" si="195"/>
        <v/>
      </c>
    </row>
    <row r="2804" spans="1:33" x14ac:dyDescent="0.2">
      <c r="A2804" s="1" t="s">
        <v>3140</v>
      </c>
      <c r="B2804" s="1" t="s">
        <v>6381</v>
      </c>
      <c r="C2804" s="1">
        <v>55284</v>
      </c>
      <c r="D2804" s="1" t="s">
        <v>6393</v>
      </c>
      <c r="E2804" s="1" t="s">
        <v>6383</v>
      </c>
      <c r="F2804" s="1">
        <v>2023</v>
      </c>
      <c r="G2804" s="1" t="s">
        <v>168</v>
      </c>
      <c r="H2804" s="1">
        <v>609325</v>
      </c>
      <c r="I2804" s="1">
        <v>3</v>
      </c>
      <c r="K2804" s="1" t="s">
        <v>1178</v>
      </c>
      <c r="L2804" s="1" t="s">
        <v>6328</v>
      </c>
      <c r="M2804" s="1">
        <v>99</v>
      </c>
      <c r="N2804" s="1" t="s">
        <v>39</v>
      </c>
      <c r="O2804" s="1">
        <v>38.344099999999997</v>
      </c>
      <c r="P2804" s="1">
        <v>-82.593800000000002</v>
      </c>
      <c r="Q2804" s="1" t="s">
        <v>6384</v>
      </c>
      <c r="R2804" s="1" t="s">
        <v>41</v>
      </c>
      <c r="T2804" s="1" t="s">
        <v>93</v>
      </c>
      <c r="U2804" s="1" t="s">
        <v>44</v>
      </c>
      <c r="X2804" s="1" t="s">
        <v>95</v>
      </c>
      <c r="AA2804" s="3">
        <v>37076</v>
      </c>
      <c r="AB2804" s="1" t="s">
        <v>46</v>
      </c>
      <c r="AC2804" s="5">
        <v>300</v>
      </c>
      <c r="AD2804" s="1" t="s">
        <v>6394</v>
      </c>
      <c r="AE2804" s="1" t="str">
        <f t="shared" si="196"/>
        <v>55284 GS07</v>
      </c>
      <c r="AF2804" s="5" t="str">
        <f t="shared" si="198"/>
        <v>57</v>
      </c>
      <c r="AG2804" s="1" t="str">
        <f t="shared" si="195"/>
        <v/>
      </c>
    </row>
    <row r="2805" spans="1:33" x14ac:dyDescent="0.2">
      <c r="A2805" s="1" t="s">
        <v>3140</v>
      </c>
      <c r="B2805" s="1" t="s">
        <v>6381</v>
      </c>
      <c r="C2805" s="1">
        <v>55284</v>
      </c>
      <c r="D2805" s="1" t="s">
        <v>6395</v>
      </c>
      <c r="E2805" s="1" t="s">
        <v>6383</v>
      </c>
      <c r="F2805" s="1">
        <v>2023</v>
      </c>
      <c r="G2805" s="1" t="s">
        <v>168</v>
      </c>
      <c r="H2805" s="1">
        <v>609325</v>
      </c>
      <c r="I2805" s="1">
        <v>3</v>
      </c>
      <c r="K2805" s="1" t="s">
        <v>1178</v>
      </c>
      <c r="L2805" s="1" t="s">
        <v>6328</v>
      </c>
      <c r="M2805" s="1">
        <v>99</v>
      </c>
      <c r="N2805" s="1" t="s">
        <v>39</v>
      </c>
      <c r="O2805" s="1">
        <v>38.344099999999997</v>
      </c>
      <c r="P2805" s="1">
        <v>-82.593800000000002</v>
      </c>
      <c r="Q2805" s="1" t="s">
        <v>6384</v>
      </c>
      <c r="R2805" s="1" t="s">
        <v>41</v>
      </c>
      <c r="T2805" s="1" t="s">
        <v>93</v>
      </c>
      <c r="U2805" s="1" t="s">
        <v>44</v>
      </c>
      <c r="X2805" s="1" t="s">
        <v>95</v>
      </c>
      <c r="AA2805" s="3">
        <v>37076</v>
      </c>
      <c r="AB2805" s="1" t="s">
        <v>46</v>
      </c>
      <c r="AC2805" s="5">
        <v>300</v>
      </c>
      <c r="AD2805" s="1" t="s">
        <v>6394</v>
      </c>
      <c r="AE2805" s="1" t="str">
        <f t="shared" si="196"/>
        <v>55284 GS08</v>
      </c>
      <c r="AF2805" s="5" t="str">
        <f t="shared" si="198"/>
        <v>57</v>
      </c>
      <c r="AG2805" s="1" t="str">
        <f t="shared" si="195"/>
        <v/>
      </c>
    </row>
    <row r="2806" spans="1:33" x14ac:dyDescent="0.2">
      <c r="A2806" s="1" t="s">
        <v>3140</v>
      </c>
      <c r="B2806" s="1" t="s">
        <v>6381</v>
      </c>
      <c r="C2806" s="1">
        <v>55284</v>
      </c>
      <c r="D2806" s="1" t="s">
        <v>6396</v>
      </c>
      <c r="E2806" s="1" t="s">
        <v>6383</v>
      </c>
      <c r="F2806" s="1">
        <v>2023</v>
      </c>
      <c r="G2806" s="1" t="s">
        <v>168</v>
      </c>
      <c r="H2806" s="1">
        <v>609325</v>
      </c>
      <c r="I2806" s="1">
        <v>3</v>
      </c>
      <c r="K2806" s="1" t="s">
        <v>1178</v>
      </c>
      <c r="L2806" s="1" t="s">
        <v>6328</v>
      </c>
      <c r="M2806" s="1">
        <v>99</v>
      </c>
      <c r="N2806" s="1" t="s">
        <v>39</v>
      </c>
      <c r="O2806" s="1">
        <v>38.344099999999997</v>
      </c>
      <c r="P2806" s="1">
        <v>-82.593800000000002</v>
      </c>
      <c r="Q2806" s="1" t="s">
        <v>6384</v>
      </c>
      <c r="R2806" s="1" t="s">
        <v>41</v>
      </c>
      <c r="T2806" s="1" t="s">
        <v>93</v>
      </c>
      <c r="U2806" s="1" t="s">
        <v>44</v>
      </c>
      <c r="X2806" s="1" t="s">
        <v>95</v>
      </c>
      <c r="AA2806" s="3">
        <v>37089</v>
      </c>
      <c r="AB2806" s="1" t="s">
        <v>46</v>
      </c>
      <c r="AC2806" s="5">
        <v>300</v>
      </c>
      <c r="AD2806" s="1" t="s">
        <v>6397</v>
      </c>
      <c r="AE2806" s="1" t="str">
        <f t="shared" si="196"/>
        <v>55284 GS09</v>
      </c>
      <c r="AF2806" s="5" t="str">
        <f t="shared" si="198"/>
        <v>57</v>
      </c>
      <c r="AG2806" s="1" t="str">
        <f t="shared" si="195"/>
        <v/>
      </c>
    </row>
    <row r="2807" spans="1:33" x14ac:dyDescent="0.2">
      <c r="A2807" s="1" t="s">
        <v>3140</v>
      </c>
      <c r="B2807" s="1" t="s">
        <v>6381</v>
      </c>
      <c r="C2807" s="1">
        <v>55284</v>
      </c>
      <c r="D2807" s="1" t="s">
        <v>6398</v>
      </c>
      <c r="E2807" s="1" t="s">
        <v>6383</v>
      </c>
      <c r="F2807" s="1">
        <v>2023</v>
      </c>
      <c r="G2807" s="1" t="s">
        <v>168</v>
      </c>
      <c r="H2807" s="1">
        <v>609325</v>
      </c>
      <c r="I2807" s="1">
        <v>3</v>
      </c>
      <c r="K2807" s="1" t="s">
        <v>1178</v>
      </c>
      <c r="L2807" s="1" t="s">
        <v>6328</v>
      </c>
      <c r="M2807" s="1">
        <v>99</v>
      </c>
      <c r="N2807" s="1" t="s">
        <v>39</v>
      </c>
      <c r="O2807" s="1">
        <v>38.344099999999997</v>
      </c>
      <c r="P2807" s="1">
        <v>-82.593800000000002</v>
      </c>
      <c r="Q2807" s="1" t="s">
        <v>6384</v>
      </c>
      <c r="R2807" s="1" t="s">
        <v>41</v>
      </c>
      <c r="T2807" s="1" t="s">
        <v>93</v>
      </c>
      <c r="U2807" s="1" t="s">
        <v>44</v>
      </c>
      <c r="X2807" s="1" t="s">
        <v>95</v>
      </c>
      <c r="AA2807" s="3">
        <v>37089</v>
      </c>
      <c r="AB2807" s="1" t="s">
        <v>46</v>
      </c>
      <c r="AC2807" s="5">
        <v>300</v>
      </c>
      <c r="AD2807" s="1" t="s">
        <v>6397</v>
      </c>
      <c r="AE2807" s="1" t="str">
        <f t="shared" si="196"/>
        <v>55284 GS10</v>
      </c>
      <c r="AF2807" s="5" t="str">
        <f t="shared" si="198"/>
        <v>57</v>
      </c>
      <c r="AG2807" s="1" t="str">
        <f t="shared" si="195"/>
        <v/>
      </c>
    </row>
    <row r="2808" spans="1:33" x14ac:dyDescent="0.2">
      <c r="A2808" s="1" t="s">
        <v>3140</v>
      </c>
      <c r="B2808" s="1" t="s">
        <v>6381</v>
      </c>
      <c r="C2808" s="1">
        <v>55284</v>
      </c>
      <c r="D2808" s="1" t="s">
        <v>6399</v>
      </c>
      <c r="E2808" s="1" t="s">
        <v>6383</v>
      </c>
      <c r="F2808" s="1">
        <v>2023</v>
      </c>
      <c r="G2808" s="1" t="s">
        <v>168</v>
      </c>
      <c r="H2808" s="1">
        <v>609325</v>
      </c>
      <c r="I2808" s="1">
        <v>3</v>
      </c>
      <c r="K2808" s="1" t="s">
        <v>1178</v>
      </c>
      <c r="L2808" s="1" t="s">
        <v>6328</v>
      </c>
      <c r="M2808" s="1">
        <v>99</v>
      </c>
      <c r="N2808" s="1" t="s">
        <v>39</v>
      </c>
      <c r="O2808" s="1">
        <v>38.344099999999997</v>
      </c>
      <c r="P2808" s="1">
        <v>-82.593800000000002</v>
      </c>
      <c r="Q2808" s="1" t="s">
        <v>6384</v>
      </c>
      <c r="R2808" s="1" t="s">
        <v>41</v>
      </c>
      <c r="T2808" s="1" t="s">
        <v>93</v>
      </c>
      <c r="U2808" s="1" t="s">
        <v>44</v>
      </c>
      <c r="X2808" s="1" t="s">
        <v>95</v>
      </c>
      <c r="AA2808" s="3">
        <v>37102</v>
      </c>
      <c r="AB2808" s="1" t="s">
        <v>46</v>
      </c>
      <c r="AC2808" s="5">
        <v>300</v>
      </c>
      <c r="AD2808" s="1" t="s">
        <v>6400</v>
      </c>
      <c r="AE2808" s="1" t="str">
        <f t="shared" si="196"/>
        <v>55284 GS11</v>
      </c>
      <c r="AF2808" s="5" t="str">
        <f t="shared" si="198"/>
        <v>57</v>
      </c>
      <c r="AG2808" s="1" t="str">
        <f t="shared" si="195"/>
        <v/>
      </c>
    </row>
    <row r="2809" spans="1:33" x14ac:dyDescent="0.2">
      <c r="A2809" s="1" t="s">
        <v>3140</v>
      </c>
      <c r="B2809" s="1" t="s">
        <v>6381</v>
      </c>
      <c r="C2809" s="1">
        <v>55284</v>
      </c>
      <c r="D2809" s="1" t="s">
        <v>6401</v>
      </c>
      <c r="E2809" s="1" t="s">
        <v>6383</v>
      </c>
      <c r="F2809" s="1">
        <v>2023</v>
      </c>
      <c r="G2809" s="1" t="s">
        <v>168</v>
      </c>
      <c r="H2809" s="1">
        <v>609325</v>
      </c>
      <c r="I2809" s="1">
        <v>3</v>
      </c>
      <c r="K2809" s="1" t="s">
        <v>1178</v>
      </c>
      <c r="L2809" s="1" t="s">
        <v>6328</v>
      </c>
      <c r="M2809" s="1">
        <v>99</v>
      </c>
      <c r="N2809" s="1" t="s">
        <v>39</v>
      </c>
      <c r="O2809" s="1">
        <v>38.344099999999997</v>
      </c>
      <c r="P2809" s="1">
        <v>-82.593800000000002</v>
      </c>
      <c r="Q2809" s="1" t="s">
        <v>6384</v>
      </c>
      <c r="R2809" s="1" t="s">
        <v>41</v>
      </c>
      <c r="T2809" s="1" t="s">
        <v>93</v>
      </c>
      <c r="U2809" s="1" t="s">
        <v>44</v>
      </c>
      <c r="X2809" s="1" t="s">
        <v>95</v>
      </c>
      <c r="AA2809" s="3">
        <v>37102</v>
      </c>
      <c r="AB2809" s="1" t="s">
        <v>46</v>
      </c>
      <c r="AC2809" s="5">
        <v>300</v>
      </c>
      <c r="AD2809" s="1" t="s">
        <v>6400</v>
      </c>
      <c r="AE2809" s="1" t="str">
        <f t="shared" si="196"/>
        <v>55284 GS12</v>
      </c>
      <c r="AF2809" s="5" t="str">
        <f t="shared" si="198"/>
        <v>57</v>
      </c>
      <c r="AG2809" s="1" t="str">
        <f t="shared" si="195"/>
        <v/>
      </c>
    </row>
    <row r="2810" spans="1:33" x14ac:dyDescent="0.2">
      <c r="A2810" s="1" t="s">
        <v>3095</v>
      </c>
      <c r="B2810" s="1" t="s">
        <v>6402</v>
      </c>
      <c r="C2810" s="1">
        <v>55285</v>
      </c>
      <c r="D2810" s="1" t="s">
        <v>6403</v>
      </c>
      <c r="E2810" s="1" t="s">
        <v>6383</v>
      </c>
      <c r="F2810" s="1">
        <v>2023</v>
      </c>
      <c r="G2810" s="1" t="s">
        <v>1515</v>
      </c>
      <c r="H2810" s="1">
        <v>609325</v>
      </c>
      <c r="I2810" s="1">
        <v>3</v>
      </c>
      <c r="K2810" s="1" t="s">
        <v>196</v>
      </c>
      <c r="L2810" s="1" t="s">
        <v>6404</v>
      </c>
      <c r="M2810" s="1">
        <v>191</v>
      </c>
      <c r="N2810" s="1" t="s">
        <v>39</v>
      </c>
      <c r="O2810" s="1">
        <v>36.664400000000001</v>
      </c>
      <c r="P2810" s="1">
        <v>-82.104399999999998</v>
      </c>
      <c r="Q2810" s="1" t="s">
        <v>6405</v>
      </c>
      <c r="R2810" s="1" t="s">
        <v>41</v>
      </c>
      <c r="T2810" s="1" t="s">
        <v>93</v>
      </c>
      <c r="U2810" s="1" t="s">
        <v>44</v>
      </c>
      <c r="X2810" s="1" t="s">
        <v>95</v>
      </c>
      <c r="AA2810" s="3">
        <v>37054</v>
      </c>
      <c r="AB2810" s="1" t="s">
        <v>46</v>
      </c>
      <c r="AC2810" s="5">
        <v>300</v>
      </c>
      <c r="AD2810" s="1" t="s">
        <v>6406</v>
      </c>
      <c r="AE2810" s="1" t="str">
        <f t="shared" si="196"/>
        <v>55285 WH01</v>
      </c>
      <c r="AF2810" s="5" t="str">
        <f t="shared" si="198"/>
        <v>57</v>
      </c>
      <c r="AG2810" s="1" t="str">
        <f t="shared" si="195"/>
        <v/>
      </c>
    </row>
    <row r="2811" spans="1:33" x14ac:dyDescent="0.2">
      <c r="A2811" s="1" t="s">
        <v>3095</v>
      </c>
      <c r="B2811" s="1" t="s">
        <v>6402</v>
      </c>
      <c r="C2811" s="1">
        <v>55285</v>
      </c>
      <c r="D2811" s="1" t="s">
        <v>6407</v>
      </c>
      <c r="E2811" s="1" t="s">
        <v>6383</v>
      </c>
      <c r="F2811" s="1">
        <v>2023</v>
      </c>
      <c r="G2811" s="1" t="s">
        <v>1515</v>
      </c>
      <c r="H2811" s="1">
        <v>609325</v>
      </c>
      <c r="I2811" s="1">
        <v>3</v>
      </c>
      <c r="K2811" s="1" t="s">
        <v>196</v>
      </c>
      <c r="L2811" s="1" t="s">
        <v>6404</v>
      </c>
      <c r="M2811" s="1">
        <v>191</v>
      </c>
      <c r="N2811" s="1" t="s">
        <v>39</v>
      </c>
      <c r="O2811" s="1">
        <v>36.664400000000001</v>
      </c>
      <c r="P2811" s="1">
        <v>-82.104399999999998</v>
      </c>
      <c r="Q2811" s="1" t="s">
        <v>6405</v>
      </c>
      <c r="R2811" s="1" t="s">
        <v>41</v>
      </c>
      <c r="T2811" s="1" t="s">
        <v>93</v>
      </c>
      <c r="U2811" s="1" t="s">
        <v>44</v>
      </c>
      <c r="X2811" s="1" t="s">
        <v>95</v>
      </c>
      <c r="AA2811" s="3">
        <v>37054</v>
      </c>
      <c r="AB2811" s="1" t="s">
        <v>46</v>
      </c>
      <c r="AC2811" s="5">
        <v>300</v>
      </c>
      <c r="AD2811" s="1" t="s">
        <v>6406</v>
      </c>
      <c r="AE2811" s="1" t="str">
        <f t="shared" si="196"/>
        <v>55285 WH02</v>
      </c>
      <c r="AF2811" s="5" t="str">
        <f t="shared" si="198"/>
        <v>57</v>
      </c>
      <c r="AG2811" s="1" t="str">
        <f t="shared" si="195"/>
        <v/>
      </c>
    </row>
    <row r="2812" spans="1:33" x14ac:dyDescent="0.2">
      <c r="A2812" s="1" t="s">
        <v>3095</v>
      </c>
      <c r="B2812" s="1" t="s">
        <v>6402</v>
      </c>
      <c r="C2812" s="1">
        <v>55285</v>
      </c>
      <c r="D2812" s="1" t="s">
        <v>6408</v>
      </c>
      <c r="E2812" s="1" t="s">
        <v>6409</v>
      </c>
      <c r="F2812" s="1">
        <v>2023</v>
      </c>
      <c r="G2812" s="1" t="s">
        <v>1515</v>
      </c>
      <c r="H2812" s="1">
        <v>609325</v>
      </c>
      <c r="I2812" s="1">
        <v>3</v>
      </c>
      <c r="K2812" s="1" t="s">
        <v>196</v>
      </c>
      <c r="L2812" s="1" t="s">
        <v>6404</v>
      </c>
      <c r="M2812" s="1">
        <v>191</v>
      </c>
      <c r="N2812" s="1" t="s">
        <v>39</v>
      </c>
      <c r="O2812" s="1">
        <v>36.664400000000001</v>
      </c>
      <c r="P2812" s="1">
        <v>-82.104399999999998</v>
      </c>
      <c r="Q2812" s="1" t="s">
        <v>6405</v>
      </c>
      <c r="R2812" s="1" t="s">
        <v>41</v>
      </c>
      <c r="T2812" s="1" t="s">
        <v>93</v>
      </c>
      <c r="U2812" s="1" t="s">
        <v>44</v>
      </c>
      <c r="X2812" s="1" t="s">
        <v>95</v>
      </c>
      <c r="AA2812" s="3">
        <v>37028</v>
      </c>
      <c r="AB2812" s="1" t="s">
        <v>46</v>
      </c>
      <c r="AC2812" s="5">
        <v>300</v>
      </c>
      <c r="AD2812" s="1" t="s">
        <v>6410</v>
      </c>
      <c r="AE2812" s="1" t="str">
        <f t="shared" si="196"/>
        <v>55285 WH03</v>
      </c>
      <c r="AF2812" s="5" t="str">
        <f t="shared" si="198"/>
        <v>57</v>
      </c>
      <c r="AG2812" s="1" t="str">
        <f t="shared" si="195"/>
        <v/>
      </c>
    </row>
    <row r="2813" spans="1:33" x14ac:dyDescent="0.2">
      <c r="A2813" s="1" t="s">
        <v>3095</v>
      </c>
      <c r="B2813" s="1" t="s">
        <v>6402</v>
      </c>
      <c r="C2813" s="1">
        <v>55285</v>
      </c>
      <c r="D2813" s="1" t="s">
        <v>6411</v>
      </c>
      <c r="E2813" s="1" t="s">
        <v>6409</v>
      </c>
      <c r="F2813" s="1">
        <v>2023</v>
      </c>
      <c r="G2813" s="1" t="s">
        <v>1515</v>
      </c>
      <c r="H2813" s="1">
        <v>609325</v>
      </c>
      <c r="I2813" s="1">
        <v>3</v>
      </c>
      <c r="K2813" s="1" t="s">
        <v>196</v>
      </c>
      <c r="L2813" s="1" t="s">
        <v>6404</v>
      </c>
      <c r="M2813" s="1">
        <v>191</v>
      </c>
      <c r="N2813" s="1" t="s">
        <v>39</v>
      </c>
      <c r="O2813" s="1">
        <v>36.664400000000001</v>
      </c>
      <c r="P2813" s="1">
        <v>-82.104399999999998</v>
      </c>
      <c r="Q2813" s="1" t="s">
        <v>6405</v>
      </c>
      <c r="R2813" s="1" t="s">
        <v>41</v>
      </c>
      <c r="T2813" s="1" t="s">
        <v>93</v>
      </c>
      <c r="U2813" s="1" t="s">
        <v>44</v>
      </c>
      <c r="X2813" s="1" t="s">
        <v>95</v>
      </c>
      <c r="AA2813" s="3">
        <v>37028</v>
      </c>
      <c r="AB2813" s="1" t="s">
        <v>46</v>
      </c>
      <c r="AC2813" s="5">
        <v>300</v>
      </c>
      <c r="AD2813" s="1" t="s">
        <v>6410</v>
      </c>
      <c r="AE2813" s="1" t="str">
        <f t="shared" si="196"/>
        <v>55285 WH04</v>
      </c>
      <c r="AF2813" s="5" t="str">
        <f t="shared" si="198"/>
        <v>57</v>
      </c>
      <c r="AG2813" s="1" t="str">
        <f t="shared" si="195"/>
        <v/>
      </c>
    </row>
    <row r="2814" spans="1:33" x14ac:dyDescent="0.2">
      <c r="A2814" s="1" t="s">
        <v>3095</v>
      </c>
      <c r="B2814" s="1" t="s">
        <v>6402</v>
      </c>
      <c r="C2814" s="1">
        <v>55285</v>
      </c>
      <c r="D2814" s="1" t="s">
        <v>6412</v>
      </c>
      <c r="E2814" s="1" t="s">
        <v>6413</v>
      </c>
      <c r="F2814" s="1">
        <v>2023</v>
      </c>
      <c r="G2814" s="1" t="s">
        <v>1515</v>
      </c>
      <c r="H2814" s="1">
        <v>609325</v>
      </c>
      <c r="I2814" s="1">
        <v>3</v>
      </c>
      <c r="K2814" s="1" t="s">
        <v>196</v>
      </c>
      <c r="L2814" s="1" t="s">
        <v>6404</v>
      </c>
      <c r="M2814" s="1">
        <v>191</v>
      </c>
      <c r="N2814" s="1" t="s">
        <v>39</v>
      </c>
      <c r="O2814" s="1">
        <v>36.664400000000001</v>
      </c>
      <c r="P2814" s="1">
        <v>-82.104399999999998</v>
      </c>
      <c r="Q2814" s="1" t="s">
        <v>6405</v>
      </c>
      <c r="R2814" s="1" t="s">
        <v>41</v>
      </c>
      <c r="T2814" s="1" t="s">
        <v>93</v>
      </c>
      <c r="U2814" s="1" t="s">
        <v>44</v>
      </c>
      <c r="X2814" s="1" t="s">
        <v>95</v>
      </c>
      <c r="AA2814" s="3">
        <v>37023</v>
      </c>
      <c r="AB2814" s="1" t="s">
        <v>46</v>
      </c>
      <c r="AC2814" s="5">
        <v>300</v>
      </c>
      <c r="AD2814" s="1" t="s">
        <v>6414</v>
      </c>
      <c r="AE2814" s="1" t="str">
        <f t="shared" si="196"/>
        <v>55285 WH05</v>
      </c>
      <c r="AF2814" s="5" t="str">
        <f t="shared" si="198"/>
        <v>57</v>
      </c>
      <c r="AG2814" s="1" t="str">
        <f t="shared" si="195"/>
        <v/>
      </c>
    </row>
    <row r="2815" spans="1:33" x14ac:dyDescent="0.2">
      <c r="A2815" s="1" t="s">
        <v>3095</v>
      </c>
      <c r="B2815" s="1" t="s">
        <v>6402</v>
      </c>
      <c r="C2815" s="1">
        <v>55285</v>
      </c>
      <c r="D2815" s="1" t="s">
        <v>6415</v>
      </c>
      <c r="E2815" s="1" t="s">
        <v>6413</v>
      </c>
      <c r="F2815" s="1">
        <v>2023</v>
      </c>
      <c r="G2815" s="1" t="s">
        <v>1515</v>
      </c>
      <c r="H2815" s="1">
        <v>609325</v>
      </c>
      <c r="I2815" s="1">
        <v>3</v>
      </c>
      <c r="K2815" s="1" t="s">
        <v>196</v>
      </c>
      <c r="L2815" s="1" t="s">
        <v>6404</v>
      </c>
      <c r="M2815" s="1">
        <v>191</v>
      </c>
      <c r="N2815" s="1" t="s">
        <v>39</v>
      </c>
      <c r="O2815" s="1">
        <v>36.664400000000001</v>
      </c>
      <c r="P2815" s="1">
        <v>-82.104399999999998</v>
      </c>
      <c r="Q2815" s="1" t="s">
        <v>6405</v>
      </c>
      <c r="R2815" s="1" t="s">
        <v>41</v>
      </c>
      <c r="T2815" s="1" t="s">
        <v>93</v>
      </c>
      <c r="U2815" s="1" t="s">
        <v>44</v>
      </c>
      <c r="X2815" s="1" t="s">
        <v>95</v>
      </c>
      <c r="AA2815" s="3">
        <v>37023</v>
      </c>
      <c r="AB2815" s="1" t="s">
        <v>46</v>
      </c>
      <c r="AC2815" s="5">
        <v>300</v>
      </c>
      <c r="AD2815" s="1" t="s">
        <v>6414</v>
      </c>
      <c r="AE2815" s="1" t="str">
        <f t="shared" si="196"/>
        <v>55285 WH06</v>
      </c>
      <c r="AF2815" s="5" t="str">
        <f t="shared" si="198"/>
        <v>57</v>
      </c>
      <c r="AG2815" s="1" t="str">
        <f t="shared" si="195"/>
        <v/>
      </c>
    </row>
    <row r="2816" spans="1:33" x14ac:dyDescent="0.2">
      <c r="A2816" s="1" t="s">
        <v>3095</v>
      </c>
      <c r="B2816" s="1" t="s">
        <v>6402</v>
      </c>
      <c r="C2816" s="1">
        <v>55285</v>
      </c>
      <c r="D2816" s="1" t="s">
        <v>6416</v>
      </c>
      <c r="E2816" s="1" t="s">
        <v>6417</v>
      </c>
      <c r="F2816" s="1">
        <v>2023</v>
      </c>
      <c r="G2816" s="1" t="s">
        <v>1515</v>
      </c>
      <c r="H2816" s="1">
        <v>609325</v>
      </c>
      <c r="I2816" s="1">
        <v>3</v>
      </c>
      <c r="K2816" s="1" t="s">
        <v>196</v>
      </c>
      <c r="L2816" s="1" t="s">
        <v>6404</v>
      </c>
      <c r="M2816" s="1">
        <v>191</v>
      </c>
      <c r="N2816" s="1" t="s">
        <v>39</v>
      </c>
      <c r="O2816" s="1">
        <v>36.664400000000001</v>
      </c>
      <c r="P2816" s="1">
        <v>-82.104399999999998</v>
      </c>
      <c r="Q2816" s="1" t="s">
        <v>6405</v>
      </c>
      <c r="R2816" s="1" t="s">
        <v>41</v>
      </c>
      <c r="T2816" s="1" t="s">
        <v>93</v>
      </c>
      <c r="U2816" s="1" t="s">
        <v>44</v>
      </c>
      <c r="X2816" s="1" t="s">
        <v>95</v>
      </c>
      <c r="AA2816" s="3">
        <v>37016</v>
      </c>
      <c r="AB2816" s="1" t="s">
        <v>46</v>
      </c>
      <c r="AC2816" s="5">
        <v>300</v>
      </c>
      <c r="AD2816" s="1" t="s">
        <v>6418</v>
      </c>
      <c r="AE2816" s="1" t="str">
        <f t="shared" si="196"/>
        <v>55285 WH07</v>
      </c>
      <c r="AF2816" s="5" t="str">
        <f t="shared" si="198"/>
        <v>57</v>
      </c>
      <c r="AG2816" s="1" t="str">
        <f t="shared" si="195"/>
        <v/>
      </c>
    </row>
    <row r="2817" spans="1:33" x14ac:dyDescent="0.2">
      <c r="A2817" s="1" t="s">
        <v>3095</v>
      </c>
      <c r="B2817" s="1" t="s">
        <v>6402</v>
      </c>
      <c r="C2817" s="1">
        <v>55285</v>
      </c>
      <c r="D2817" s="1" t="s">
        <v>6419</v>
      </c>
      <c r="E2817" s="1" t="s">
        <v>6417</v>
      </c>
      <c r="F2817" s="1">
        <v>2023</v>
      </c>
      <c r="G2817" s="1" t="s">
        <v>1515</v>
      </c>
      <c r="H2817" s="1">
        <v>609325</v>
      </c>
      <c r="I2817" s="1">
        <v>3</v>
      </c>
      <c r="K2817" s="1" t="s">
        <v>196</v>
      </c>
      <c r="L2817" s="1" t="s">
        <v>6404</v>
      </c>
      <c r="M2817" s="1">
        <v>191</v>
      </c>
      <c r="N2817" s="1" t="s">
        <v>39</v>
      </c>
      <c r="O2817" s="1">
        <v>36.664400000000001</v>
      </c>
      <c r="P2817" s="1">
        <v>-82.104399999999998</v>
      </c>
      <c r="Q2817" s="1" t="s">
        <v>6405</v>
      </c>
      <c r="R2817" s="1" t="s">
        <v>41</v>
      </c>
      <c r="T2817" s="1" t="s">
        <v>93</v>
      </c>
      <c r="U2817" s="1" t="s">
        <v>44</v>
      </c>
      <c r="X2817" s="1" t="s">
        <v>95</v>
      </c>
      <c r="AA2817" s="3">
        <v>37016</v>
      </c>
      <c r="AB2817" s="1" t="s">
        <v>46</v>
      </c>
      <c r="AC2817" s="5">
        <v>300</v>
      </c>
      <c r="AD2817" s="1" t="s">
        <v>6418</v>
      </c>
      <c r="AE2817" s="1" t="str">
        <f t="shared" si="196"/>
        <v>55285 WH08</v>
      </c>
      <c r="AF2817" s="5" t="str">
        <f t="shared" si="198"/>
        <v>57</v>
      </c>
      <c r="AG2817" s="1" t="str">
        <f t="shared" si="195"/>
        <v/>
      </c>
    </row>
    <row r="2818" spans="1:33" x14ac:dyDescent="0.2">
      <c r="A2818" s="1" t="s">
        <v>3095</v>
      </c>
      <c r="B2818" s="1" t="s">
        <v>6402</v>
      </c>
      <c r="C2818" s="1">
        <v>55285</v>
      </c>
      <c r="D2818" s="1" t="s">
        <v>6420</v>
      </c>
      <c r="E2818" s="1" t="s">
        <v>6421</v>
      </c>
      <c r="F2818" s="1">
        <v>2023</v>
      </c>
      <c r="G2818" s="1" t="s">
        <v>1515</v>
      </c>
      <c r="H2818" s="1">
        <v>609325</v>
      </c>
      <c r="I2818" s="1">
        <v>3</v>
      </c>
      <c r="K2818" s="1" t="s">
        <v>196</v>
      </c>
      <c r="L2818" s="1" t="s">
        <v>6404</v>
      </c>
      <c r="M2818" s="1">
        <v>191</v>
      </c>
      <c r="N2818" s="1" t="s">
        <v>39</v>
      </c>
      <c r="O2818" s="1">
        <v>36.664400000000001</v>
      </c>
      <c r="P2818" s="1">
        <v>-82.104399999999998</v>
      </c>
      <c r="Q2818" s="1" t="s">
        <v>6405</v>
      </c>
      <c r="R2818" s="1" t="s">
        <v>41</v>
      </c>
      <c r="T2818" s="1" t="s">
        <v>93</v>
      </c>
      <c r="U2818" s="1" t="s">
        <v>44</v>
      </c>
      <c r="X2818" s="1" t="s">
        <v>95</v>
      </c>
      <c r="AA2818" s="3">
        <v>37013</v>
      </c>
      <c r="AB2818" s="1" t="s">
        <v>46</v>
      </c>
      <c r="AC2818" s="5">
        <v>300</v>
      </c>
      <c r="AD2818" s="1" t="s">
        <v>6422</v>
      </c>
      <c r="AE2818" s="1" t="str">
        <f t="shared" si="196"/>
        <v>55285 WH09</v>
      </c>
      <c r="AF2818" s="5" t="str">
        <f t="shared" si="198"/>
        <v>57</v>
      </c>
      <c r="AG2818" s="1" t="str">
        <f t="shared" ref="AG2818:AG2881" si="199">IF(ISNUMBER(SEARCH("selective", X2818)), "Y", "")</f>
        <v/>
      </c>
    </row>
    <row r="2819" spans="1:33" x14ac:dyDescent="0.2">
      <c r="A2819" s="1" t="s">
        <v>3095</v>
      </c>
      <c r="B2819" s="1" t="s">
        <v>6402</v>
      </c>
      <c r="C2819" s="1">
        <v>55285</v>
      </c>
      <c r="D2819" s="1" t="s">
        <v>6423</v>
      </c>
      <c r="E2819" s="1" t="s">
        <v>6421</v>
      </c>
      <c r="F2819" s="1">
        <v>2023</v>
      </c>
      <c r="G2819" s="1" t="s">
        <v>1515</v>
      </c>
      <c r="H2819" s="1">
        <v>609325</v>
      </c>
      <c r="I2819" s="1">
        <v>3</v>
      </c>
      <c r="K2819" s="1" t="s">
        <v>196</v>
      </c>
      <c r="L2819" s="1" t="s">
        <v>6404</v>
      </c>
      <c r="M2819" s="1">
        <v>191</v>
      </c>
      <c r="N2819" s="1" t="s">
        <v>39</v>
      </c>
      <c r="O2819" s="1">
        <v>36.664400000000001</v>
      </c>
      <c r="P2819" s="1">
        <v>-82.104399999999998</v>
      </c>
      <c r="Q2819" s="1" t="s">
        <v>6405</v>
      </c>
      <c r="R2819" s="1" t="s">
        <v>41</v>
      </c>
      <c r="T2819" s="1" t="s">
        <v>93</v>
      </c>
      <c r="U2819" s="1" t="s">
        <v>44</v>
      </c>
      <c r="X2819" s="1" t="s">
        <v>95</v>
      </c>
      <c r="AA2819" s="3">
        <v>37013</v>
      </c>
      <c r="AB2819" s="1" t="s">
        <v>46</v>
      </c>
      <c r="AC2819" s="5">
        <v>300</v>
      </c>
      <c r="AD2819" s="1" t="s">
        <v>6422</v>
      </c>
      <c r="AE2819" s="1" t="str">
        <f t="shared" ref="AE2819:AE2882" si="200">C2819&amp;" "&amp;D2819</f>
        <v>55285 WH10</v>
      </c>
      <c r="AF2819" s="5" t="str">
        <f t="shared" si="198"/>
        <v>57</v>
      </c>
      <c r="AG2819" s="1" t="str">
        <f t="shared" si="199"/>
        <v/>
      </c>
    </row>
    <row r="2820" spans="1:33" x14ac:dyDescent="0.2">
      <c r="A2820" s="1" t="s">
        <v>304</v>
      </c>
      <c r="B2820" s="1" t="s">
        <v>6424</v>
      </c>
      <c r="C2820" s="1">
        <v>55286</v>
      </c>
      <c r="D2820" s="1" t="s">
        <v>6425</v>
      </c>
      <c r="F2820" s="1">
        <v>2023</v>
      </c>
      <c r="G2820" s="1" t="s">
        <v>247</v>
      </c>
      <c r="H2820" s="1">
        <v>609351</v>
      </c>
      <c r="I2820" s="1">
        <v>4</v>
      </c>
      <c r="K2820" s="1" t="s">
        <v>700</v>
      </c>
      <c r="L2820" s="1" t="s">
        <v>701</v>
      </c>
      <c r="M2820" s="1">
        <v>9</v>
      </c>
      <c r="N2820" s="1" t="s">
        <v>39</v>
      </c>
      <c r="O2820" s="1">
        <v>28.366099999999999</v>
      </c>
      <c r="P2820" s="1">
        <v>-80.794700000000006</v>
      </c>
      <c r="Q2820" s="1" t="s">
        <v>6426</v>
      </c>
      <c r="R2820" s="1" t="s">
        <v>41</v>
      </c>
      <c r="T2820" s="1" t="s">
        <v>93</v>
      </c>
      <c r="U2820" s="1" t="s">
        <v>44</v>
      </c>
      <c r="X2820" s="1" t="s">
        <v>183</v>
      </c>
      <c r="AA2820" s="3">
        <v>37408</v>
      </c>
      <c r="AB2820" s="1" t="s">
        <v>46</v>
      </c>
      <c r="AC2820" s="5">
        <v>1919</v>
      </c>
      <c r="AD2820" s="1" t="s">
        <v>6427</v>
      </c>
      <c r="AE2820" s="1" t="str">
        <f t="shared" si="200"/>
        <v>55286 O-1</v>
      </c>
      <c r="AF2820" s="5" t="str">
        <f t="shared" si="198"/>
        <v>190</v>
      </c>
      <c r="AG2820" s="1" t="str">
        <f t="shared" si="199"/>
        <v/>
      </c>
    </row>
    <row r="2821" spans="1:33" x14ac:dyDescent="0.2">
      <c r="A2821" s="1" t="s">
        <v>304</v>
      </c>
      <c r="B2821" s="1" t="s">
        <v>6424</v>
      </c>
      <c r="C2821" s="1">
        <v>55286</v>
      </c>
      <c r="D2821" s="1" t="s">
        <v>6428</v>
      </c>
      <c r="F2821" s="1">
        <v>2023</v>
      </c>
      <c r="G2821" s="1" t="s">
        <v>247</v>
      </c>
      <c r="H2821" s="1">
        <v>609351</v>
      </c>
      <c r="I2821" s="1">
        <v>4</v>
      </c>
      <c r="K2821" s="1" t="s">
        <v>700</v>
      </c>
      <c r="L2821" s="1" t="s">
        <v>701</v>
      </c>
      <c r="M2821" s="1">
        <v>9</v>
      </c>
      <c r="N2821" s="1" t="s">
        <v>39</v>
      </c>
      <c r="O2821" s="1">
        <v>28.366099999999999</v>
      </c>
      <c r="P2821" s="1">
        <v>-80.794700000000006</v>
      </c>
      <c r="Q2821" s="1" t="s">
        <v>6426</v>
      </c>
      <c r="R2821" s="1" t="s">
        <v>41</v>
      </c>
      <c r="T2821" s="1" t="s">
        <v>93</v>
      </c>
      <c r="U2821" s="1" t="s">
        <v>44</v>
      </c>
      <c r="V2821" s="1" t="s">
        <v>94</v>
      </c>
      <c r="X2821" s="1" t="s">
        <v>183</v>
      </c>
      <c r="AA2821" s="3">
        <v>37422</v>
      </c>
      <c r="AB2821" s="1" t="s">
        <v>46</v>
      </c>
      <c r="AC2821" s="5">
        <v>1919</v>
      </c>
      <c r="AD2821" s="1" t="s">
        <v>6429</v>
      </c>
      <c r="AE2821" s="1" t="str">
        <f t="shared" si="200"/>
        <v>55286 O-2</v>
      </c>
      <c r="AF2821" s="5" t="str">
        <f t="shared" si="198"/>
        <v>190</v>
      </c>
      <c r="AG2821" s="1" t="str">
        <f t="shared" si="199"/>
        <v/>
      </c>
    </row>
    <row r="2822" spans="1:33" x14ac:dyDescent="0.2">
      <c r="A2822" s="1" t="s">
        <v>304</v>
      </c>
      <c r="B2822" s="1" t="s">
        <v>6424</v>
      </c>
      <c r="C2822" s="1">
        <v>55286</v>
      </c>
      <c r="D2822" s="1" t="s">
        <v>6430</v>
      </c>
      <c r="F2822" s="1">
        <v>2023</v>
      </c>
      <c r="G2822" s="1" t="s">
        <v>247</v>
      </c>
      <c r="H2822" s="1">
        <v>609351</v>
      </c>
      <c r="I2822" s="1">
        <v>4</v>
      </c>
      <c r="K2822" s="1" t="s">
        <v>700</v>
      </c>
      <c r="L2822" s="1" t="s">
        <v>701</v>
      </c>
      <c r="M2822" s="1">
        <v>9</v>
      </c>
      <c r="N2822" s="1" t="s">
        <v>39</v>
      </c>
      <c r="O2822" s="1">
        <v>28.366099999999999</v>
      </c>
      <c r="P2822" s="1">
        <v>-80.794700000000006</v>
      </c>
      <c r="Q2822" s="1" t="s">
        <v>6426</v>
      </c>
      <c r="R2822" s="1" t="s">
        <v>41</v>
      </c>
      <c r="T2822" s="1" t="s">
        <v>93</v>
      </c>
      <c r="U2822" s="1" t="s">
        <v>44</v>
      </c>
      <c r="X2822" s="1" t="s">
        <v>183</v>
      </c>
      <c r="AA2822" s="3">
        <v>37457</v>
      </c>
      <c r="AB2822" s="1" t="s">
        <v>46</v>
      </c>
      <c r="AC2822" s="5">
        <v>1919</v>
      </c>
      <c r="AD2822" s="1" t="s">
        <v>6431</v>
      </c>
      <c r="AE2822" s="1" t="str">
        <f t="shared" si="200"/>
        <v>55286 O-3</v>
      </c>
      <c r="AF2822" s="5" t="str">
        <f t="shared" si="198"/>
        <v>190</v>
      </c>
      <c r="AG2822" s="1" t="str">
        <f t="shared" si="199"/>
        <v/>
      </c>
    </row>
    <row r="2823" spans="1:33" x14ac:dyDescent="0.2">
      <c r="A2823" s="1" t="s">
        <v>304</v>
      </c>
      <c r="B2823" s="1" t="s">
        <v>6424</v>
      </c>
      <c r="C2823" s="1">
        <v>55286</v>
      </c>
      <c r="D2823" s="1" t="s">
        <v>6432</v>
      </c>
      <c r="F2823" s="1">
        <v>2023</v>
      </c>
      <c r="G2823" s="1" t="s">
        <v>247</v>
      </c>
      <c r="H2823" s="1">
        <v>609351</v>
      </c>
      <c r="I2823" s="1">
        <v>4</v>
      </c>
      <c r="K2823" s="1" t="s">
        <v>700</v>
      </c>
      <c r="L2823" s="1" t="s">
        <v>701</v>
      </c>
      <c r="M2823" s="1">
        <v>9</v>
      </c>
      <c r="N2823" s="1" t="s">
        <v>39</v>
      </c>
      <c r="O2823" s="1">
        <v>28.366099999999999</v>
      </c>
      <c r="P2823" s="1">
        <v>-80.794700000000006</v>
      </c>
      <c r="Q2823" s="1" t="s">
        <v>6426</v>
      </c>
      <c r="R2823" s="1" t="s">
        <v>41</v>
      </c>
      <c r="T2823" s="1" t="s">
        <v>93</v>
      </c>
      <c r="U2823" s="1" t="s">
        <v>44</v>
      </c>
      <c r="X2823" s="1" t="s">
        <v>183</v>
      </c>
      <c r="AA2823" s="3">
        <v>37491</v>
      </c>
      <c r="AB2823" s="1" t="s">
        <v>46</v>
      </c>
      <c r="AC2823" s="5">
        <v>1919</v>
      </c>
      <c r="AD2823" s="1" t="s">
        <v>6433</v>
      </c>
      <c r="AE2823" s="1" t="str">
        <f t="shared" si="200"/>
        <v>55286 O-4</v>
      </c>
      <c r="AF2823" s="5" t="str">
        <f t="shared" si="198"/>
        <v>190</v>
      </c>
      <c r="AG2823" s="1" t="str">
        <f t="shared" si="199"/>
        <v/>
      </c>
    </row>
    <row r="2824" spans="1:33" x14ac:dyDescent="0.2">
      <c r="A2824" s="1" t="s">
        <v>304</v>
      </c>
      <c r="B2824" s="1" t="s">
        <v>6424</v>
      </c>
      <c r="C2824" s="1">
        <v>55286</v>
      </c>
      <c r="D2824" s="1" t="s">
        <v>6434</v>
      </c>
      <c r="F2824" s="1">
        <v>2023</v>
      </c>
      <c r="G2824" s="1" t="s">
        <v>247</v>
      </c>
      <c r="H2824" s="1">
        <v>609351</v>
      </c>
      <c r="I2824" s="1">
        <v>4</v>
      </c>
      <c r="K2824" s="1" t="s">
        <v>700</v>
      </c>
      <c r="L2824" s="1" t="s">
        <v>701</v>
      </c>
      <c r="M2824" s="1">
        <v>9</v>
      </c>
      <c r="N2824" s="1" t="s">
        <v>39</v>
      </c>
      <c r="O2824" s="1">
        <v>28.366099999999999</v>
      </c>
      <c r="P2824" s="1">
        <v>-80.794700000000006</v>
      </c>
      <c r="Q2824" s="1" t="s">
        <v>6426</v>
      </c>
      <c r="R2824" s="1" t="s">
        <v>41</v>
      </c>
      <c r="T2824" s="1" t="s">
        <v>93</v>
      </c>
      <c r="U2824" s="1" t="s">
        <v>44</v>
      </c>
      <c r="X2824" s="1" t="s">
        <v>183</v>
      </c>
      <c r="AA2824" s="3">
        <v>39432</v>
      </c>
      <c r="AB2824" s="1" t="s">
        <v>46</v>
      </c>
      <c r="AC2824" s="5">
        <v>1920</v>
      </c>
      <c r="AD2824" s="1" t="s">
        <v>6435</v>
      </c>
      <c r="AE2824" s="1" t="str">
        <f t="shared" si="200"/>
        <v>55286 O-5</v>
      </c>
      <c r="AF2824" s="5" t="str">
        <f t="shared" si="198"/>
        <v>190</v>
      </c>
      <c r="AG2824" s="1" t="str">
        <f t="shared" si="199"/>
        <v/>
      </c>
    </row>
    <row r="2825" spans="1:33" x14ac:dyDescent="0.2">
      <c r="A2825" s="1" t="s">
        <v>32</v>
      </c>
      <c r="B2825" s="1" t="s">
        <v>6436</v>
      </c>
      <c r="C2825" s="1">
        <v>55292</v>
      </c>
      <c r="D2825" s="1" t="s">
        <v>5681</v>
      </c>
      <c r="F2825" s="1">
        <v>2023</v>
      </c>
      <c r="G2825" s="1" t="s">
        <v>35</v>
      </c>
      <c r="H2825" s="1">
        <v>601712</v>
      </c>
      <c r="I2825" s="1">
        <v>4</v>
      </c>
      <c r="K2825" s="1" t="s">
        <v>1098</v>
      </c>
      <c r="L2825" s="1" t="s">
        <v>6437</v>
      </c>
      <c r="M2825" s="1">
        <v>103</v>
      </c>
      <c r="N2825" s="1" t="s">
        <v>39</v>
      </c>
      <c r="O2825" s="1">
        <v>34.629199999999997</v>
      </c>
      <c r="P2825" s="1">
        <v>-87.0214</v>
      </c>
      <c r="Q2825" s="1" t="s">
        <v>6438</v>
      </c>
      <c r="R2825" s="1" t="s">
        <v>41</v>
      </c>
      <c r="T2825" s="1" t="s">
        <v>71</v>
      </c>
      <c r="U2825" s="1" t="s">
        <v>44</v>
      </c>
      <c r="X2825" s="1" t="s">
        <v>64</v>
      </c>
      <c r="AA2825" s="3">
        <v>37343</v>
      </c>
      <c r="AB2825" s="1" t="s">
        <v>46</v>
      </c>
      <c r="AC2825" s="5">
        <v>2236</v>
      </c>
      <c r="AD2825" s="1" t="s">
        <v>6439</v>
      </c>
      <c r="AE2825" s="1" t="str">
        <f t="shared" si="200"/>
        <v>55292 CTG-1</v>
      </c>
      <c r="AF2825" s="14">
        <f>MID(AD2825,FIND("(",AD2825)+1,FIND(")",AD2825)-FIND("(",AD2825)-1)+171/3</f>
        <v>237</v>
      </c>
      <c r="AG2825" s="1" t="str">
        <f t="shared" si="199"/>
        <v>Y</v>
      </c>
    </row>
    <row r="2826" spans="1:33" x14ac:dyDescent="0.2">
      <c r="A2826" s="1" t="s">
        <v>32</v>
      </c>
      <c r="B2826" s="1" t="s">
        <v>6436</v>
      </c>
      <c r="C2826" s="1">
        <v>55292</v>
      </c>
      <c r="D2826" s="1" t="s">
        <v>5684</v>
      </c>
      <c r="F2826" s="1">
        <v>2023</v>
      </c>
      <c r="G2826" s="1" t="s">
        <v>35</v>
      </c>
      <c r="H2826" s="1">
        <v>601712</v>
      </c>
      <c r="I2826" s="1">
        <v>4</v>
      </c>
      <c r="K2826" s="1" t="s">
        <v>1098</v>
      </c>
      <c r="L2826" s="1" t="s">
        <v>6437</v>
      </c>
      <c r="M2826" s="1">
        <v>103</v>
      </c>
      <c r="N2826" s="1" t="s">
        <v>39</v>
      </c>
      <c r="O2826" s="1">
        <v>34.629199999999997</v>
      </c>
      <c r="P2826" s="1">
        <v>-87.0214</v>
      </c>
      <c r="Q2826" s="1" t="s">
        <v>6438</v>
      </c>
      <c r="R2826" s="1" t="s">
        <v>41</v>
      </c>
      <c r="T2826" s="1" t="s">
        <v>71</v>
      </c>
      <c r="U2826" s="1" t="s">
        <v>44</v>
      </c>
      <c r="X2826" s="1" t="s">
        <v>64</v>
      </c>
      <c r="AA2826" s="3">
        <v>37343</v>
      </c>
      <c r="AB2826" s="1" t="s">
        <v>46</v>
      </c>
      <c r="AC2826" s="5">
        <v>2236</v>
      </c>
      <c r="AD2826" s="1" t="s">
        <v>6440</v>
      </c>
      <c r="AE2826" s="1" t="str">
        <f t="shared" si="200"/>
        <v>55292 CTG-2</v>
      </c>
      <c r="AF2826" s="14">
        <f>AF2825</f>
        <v>237</v>
      </c>
      <c r="AG2826" s="1" t="str">
        <f t="shared" si="199"/>
        <v>Y</v>
      </c>
    </row>
    <row r="2827" spans="1:33" x14ac:dyDescent="0.2">
      <c r="A2827" s="1" t="s">
        <v>32</v>
      </c>
      <c r="B2827" s="1" t="s">
        <v>6436</v>
      </c>
      <c r="C2827" s="1">
        <v>55292</v>
      </c>
      <c r="D2827" s="1" t="s">
        <v>5750</v>
      </c>
      <c r="F2827" s="1">
        <v>2023</v>
      </c>
      <c r="G2827" s="1" t="s">
        <v>35</v>
      </c>
      <c r="H2827" s="1">
        <v>601712</v>
      </c>
      <c r="I2827" s="1">
        <v>4</v>
      </c>
      <c r="K2827" s="1" t="s">
        <v>1098</v>
      </c>
      <c r="L2827" s="1" t="s">
        <v>6437</v>
      </c>
      <c r="M2827" s="1">
        <v>103</v>
      </c>
      <c r="N2827" s="1" t="s">
        <v>39</v>
      </c>
      <c r="O2827" s="1">
        <v>34.629199999999997</v>
      </c>
      <c r="P2827" s="1">
        <v>-87.0214</v>
      </c>
      <c r="Q2827" s="1" t="s">
        <v>6438</v>
      </c>
      <c r="R2827" s="1" t="s">
        <v>41</v>
      </c>
      <c r="T2827" s="1" t="s">
        <v>71</v>
      </c>
      <c r="U2827" s="1" t="s">
        <v>44</v>
      </c>
      <c r="X2827" s="1" t="s">
        <v>64</v>
      </c>
      <c r="AA2827" s="3">
        <v>37686</v>
      </c>
      <c r="AB2827" s="1" t="s">
        <v>46</v>
      </c>
      <c r="AC2827" s="5">
        <v>2236</v>
      </c>
      <c r="AD2827" s="1" t="s">
        <v>6441</v>
      </c>
      <c r="AE2827" s="1" t="str">
        <f t="shared" si="200"/>
        <v>55292 CTG-3</v>
      </c>
      <c r="AF2827" s="14">
        <f>AF2825</f>
        <v>237</v>
      </c>
      <c r="AG2827" s="1" t="str">
        <f t="shared" si="199"/>
        <v>Y</v>
      </c>
    </row>
    <row r="2828" spans="1:33" x14ac:dyDescent="0.2">
      <c r="A2828" s="1" t="s">
        <v>32</v>
      </c>
      <c r="B2828" s="1" t="s">
        <v>6442</v>
      </c>
      <c r="C2828" s="1">
        <v>55293</v>
      </c>
      <c r="D2828" s="1" t="s">
        <v>1296</v>
      </c>
      <c r="F2828" s="1">
        <v>2023</v>
      </c>
      <c r="G2828" s="1" t="s">
        <v>35</v>
      </c>
      <c r="H2828" s="1">
        <v>608984</v>
      </c>
      <c r="I2828" s="1">
        <v>4</v>
      </c>
      <c r="K2828" s="1" t="s">
        <v>1098</v>
      </c>
      <c r="L2828" s="1" t="s">
        <v>6437</v>
      </c>
      <c r="M2828" s="1">
        <v>103</v>
      </c>
      <c r="N2828" s="1" t="s">
        <v>39</v>
      </c>
      <c r="O2828" s="1">
        <v>34.639699999999998</v>
      </c>
      <c r="P2828" s="1">
        <v>-87.063900000000004</v>
      </c>
      <c r="Q2828" s="1" t="s">
        <v>6443</v>
      </c>
      <c r="R2828" s="1" t="s">
        <v>41</v>
      </c>
      <c r="T2828" s="1" t="s">
        <v>71</v>
      </c>
      <c r="U2828" s="1" t="s">
        <v>44</v>
      </c>
      <c r="X2828" s="1" t="s">
        <v>64</v>
      </c>
      <c r="AA2828" s="3">
        <v>37723</v>
      </c>
      <c r="AB2828" s="1" t="s">
        <v>46</v>
      </c>
      <c r="AC2828" s="5">
        <v>2236</v>
      </c>
      <c r="AD2828" s="1" t="s">
        <v>6444</v>
      </c>
      <c r="AE2828" s="1" t="str">
        <f t="shared" si="200"/>
        <v>55293 CT-1</v>
      </c>
      <c r="AF2828" s="14">
        <f>MID(AD2828,FIND("(",AD2828)+1,FIND(")",AD2828)-FIND("(",AD2828)-1)+198.7/3</f>
        <v>253.23333333333335</v>
      </c>
      <c r="AG2828" s="1" t="str">
        <f t="shared" si="199"/>
        <v>Y</v>
      </c>
    </row>
    <row r="2829" spans="1:33" x14ac:dyDescent="0.2">
      <c r="A2829" s="1" t="s">
        <v>32</v>
      </c>
      <c r="B2829" s="1" t="s">
        <v>6442</v>
      </c>
      <c r="C2829" s="1">
        <v>55293</v>
      </c>
      <c r="D2829" s="1" t="s">
        <v>1300</v>
      </c>
      <c r="F2829" s="1">
        <v>2023</v>
      </c>
      <c r="G2829" s="1" t="s">
        <v>35</v>
      </c>
      <c r="H2829" s="1">
        <v>608984</v>
      </c>
      <c r="I2829" s="1">
        <v>4</v>
      </c>
      <c r="K2829" s="1" t="s">
        <v>1098</v>
      </c>
      <c r="L2829" s="1" t="s">
        <v>6437</v>
      </c>
      <c r="M2829" s="1">
        <v>103</v>
      </c>
      <c r="N2829" s="1" t="s">
        <v>39</v>
      </c>
      <c r="O2829" s="1">
        <v>34.639699999999998</v>
      </c>
      <c r="P2829" s="1">
        <v>-87.063900000000004</v>
      </c>
      <c r="Q2829" s="1" t="s">
        <v>6443</v>
      </c>
      <c r="R2829" s="1" t="s">
        <v>41</v>
      </c>
      <c r="T2829" s="1" t="s">
        <v>71</v>
      </c>
      <c r="U2829" s="1" t="s">
        <v>44</v>
      </c>
      <c r="X2829" s="1" t="s">
        <v>64</v>
      </c>
      <c r="AA2829" s="3">
        <v>37718</v>
      </c>
      <c r="AB2829" s="1" t="s">
        <v>46</v>
      </c>
      <c r="AC2829" s="5">
        <v>2236</v>
      </c>
      <c r="AD2829" s="1" t="s">
        <v>6445</v>
      </c>
      <c r="AE2829" s="1" t="str">
        <f t="shared" si="200"/>
        <v>55293 CT-2</v>
      </c>
      <c r="AF2829" s="14">
        <f>AF2828</f>
        <v>253.23333333333335</v>
      </c>
      <c r="AG2829" s="1" t="str">
        <f t="shared" si="199"/>
        <v>Y</v>
      </c>
    </row>
    <row r="2830" spans="1:33" x14ac:dyDescent="0.2">
      <c r="A2830" s="1" t="s">
        <v>32</v>
      </c>
      <c r="B2830" s="1" t="s">
        <v>6442</v>
      </c>
      <c r="C2830" s="1">
        <v>55293</v>
      </c>
      <c r="D2830" s="1" t="s">
        <v>1302</v>
      </c>
      <c r="F2830" s="1">
        <v>2023</v>
      </c>
      <c r="G2830" s="1" t="s">
        <v>35</v>
      </c>
      <c r="H2830" s="1">
        <v>608984</v>
      </c>
      <c r="I2830" s="1">
        <v>4</v>
      </c>
      <c r="K2830" s="1" t="s">
        <v>1098</v>
      </c>
      <c r="L2830" s="1" t="s">
        <v>6437</v>
      </c>
      <c r="M2830" s="1">
        <v>103</v>
      </c>
      <c r="N2830" s="1" t="s">
        <v>39</v>
      </c>
      <c r="O2830" s="1">
        <v>34.639699999999998</v>
      </c>
      <c r="P2830" s="1">
        <v>-87.063900000000004</v>
      </c>
      <c r="Q2830" s="1" t="s">
        <v>6443</v>
      </c>
      <c r="R2830" s="1" t="s">
        <v>41</v>
      </c>
      <c r="T2830" s="1" t="s">
        <v>71</v>
      </c>
      <c r="U2830" s="1" t="s">
        <v>44</v>
      </c>
      <c r="X2830" s="1" t="s">
        <v>64</v>
      </c>
      <c r="AA2830" s="3">
        <v>37720</v>
      </c>
      <c r="AB2830" s="1" t="s">
        <v>46</v>
      </c>
      <c r="AC2830" s="5">
        <v>2236</v>
      </c>
      <c r="AD2830" s="1" t="s">
        <v>6446</v>
      </c>
      <c r="AE2830" s="1" t="str">
        <f t="shared" si="200"/>
        <v>55293 CT-3</v>
      </c>
      <c r="AF2830" s="14">
        <f>AF2828</f>
        <v>253.23333333333335</v>
      </c>
      <c r="AG2830" s="1" t="str">
        <f t="shared" si="199"/>
        <v>Y</v>
      </c>
    </row>
    <row r="2831" spans="1:33" x14ac:dyDescent="0.2">
      <c r="A2831" s="1" t="s">
        <v>1505</v>
      </c>
      <c r="B2831" s="1" t="s">
        <v>6447</v>
      </c>
      <c r="C2831" s="1">
        <v>55294</v>
      </c>
      <c r="D2831" s="1">
        <v>1</v>
      </c>
      <c r="F2831" s="1">
        <v>2023</v>
      </c>
      <c r="G2831" s="1" t="s">
        <v>5049</v>
      </c>
      <c r="H2831" s="1">
        <v>604977</v>
      </c>
      <c r="I2831" s="1">
        <v>1</v>
      </c>
      <c r="J2831" s="1" t="s">
        <v>580</v>
      </c>
      <c r="K2831" s="1" t="s">
        <v>1158</v>
      </c>
      <c r="L2831" s="1" t="s">
        <v>1508</v>
      </c>
      <c r="M2831" s="1">
        <v>5</v>
      </c>
      <c r="N2831" s="1" t="s">
        <v>39</v>
      </c>
      <c r="O2831" s="1">
        <v>43.657600000000002</v>
      </c>
      <c r="P2831" s="1">
        <v>-70.377200000000002</v>
      </c>
      <c r="Q2831" s="1" t="s">
        <v>5687</v>
      </c>
      <c r="R2831" s="1" t="s">
        <v>41</v>
      </c>
      <c r="T2831" s="1" t="s">
        <v>71</v>
      </c>
      <c r="U2831" s="1" t="s">
        <v>44</v>
      </c>
      <c r="X2831" s="1" t="s">
        <v>223</v>
      </c>
      <c r="AA2831" s="3">
        <v>36950</v>
      </c>
      <c r="AB2831" s="1" t="s">
        <v>46</v>
      </c>
      <c r="AC2831" s="5">
        <v>3850.2</v>
      </c>
      <c r="AD2831" s="1" t="s">
        <v>6448</v>
      </c>
      <c r="AE2831" s="1" t="str">
        <f t="shared" si="200"/>
        <v>55294 1</v>
      </c>
      <c r="AF2831" s="14">
        <f>MID(AD2831,FIND("(",AD2831)+1,FIND(")",AD2831)-FIND("(",AD2831)-1)+195.5/2</f>
        <v>281.95</v>
      </c>
      <c r="AG2831" s="1" t="str">
        <f t="shared" si="199"/>
        <v>Y</v>
      </c>
    </row>
    <row r="2832" spans="1:33" x14ac:dyDescent="0.2">
      <c r="A2832" s="1" t="s">
        <v>1505</v>
      </c>
      <c r="B2832" s="1" t="s">
        <v>6447</v>
      </c>
      <c r="C2832" s="1">
        <v>55294</v>
      </c>
      <c r="D2832" s="1">
        <v>2</v>
      </c>
      <c r="F2832" s="1">
        <v>2023</v>
      </c>
      <c r="G2832" s="1" t="s">
        <v>5049</v>
      </c>
      <c r="H2832" s="1">
        <v>604977</v>
      </c>
      <c r="I2832" s="1">
        <v>1</v>
      </c>
      <c r="J2832" s="1" t="s">
        <v>580</v>
      </c>
      <c r="K2832" s="1" t="s">
        <v>1158</v>
      </c>
      <c r="L2832" s="1" t="s">
        <v>1508</v>
      </c>
      <c r="M2832" s="1">
        <v>5</v>
      </c>
      <c r="N2832" s="1" t="s">
        <v>39</v>
      </c>
      <c r="O2832" s="1">
        <v>43.657600000000002</v>
      </c>
      <c r="P2832" s="1">
        <v>-70.377200000000002</v>
      </c>
      <c r="Q2832" s="1" t="s">
        <v>5687</v>
      </c>
      <c r="R2832" s="1" t="s">
        <v>41</v>
      </c>
      <c r="T2832" s="1" t="s">
        <v>71</v>
      </c>
      <c r="U2832" s="1" t="s">
        <v>44</v>
      </c>
      <c r="X2832" s="1" t="s">
        <v>223</v>
      </c>
      <c r="AA2832" s="3">
        <v>36950</v>
      </c>
      <c r="AB2832" s="1" t="s">
        <v>46</v>
      </c>
      <c r="AC2832" s="5">
        <v>3850.2</v>
      </c>
      <c r="AD2832" s="1" t="s">
        <v>6449</v>
      </c>
      <c r="AE2832" s="1" t="str">
        <f t="shared" si="200"/>
        <v>55294 2</v>
      </c>
      <c r="AF2832" s="14">
        <f>AF2831</f>
        <v>281.95</v>
      </c>
      <c r="AG2832" s="1" t="str">
        <f t="shared" si="199"/>
        <v>Y</v>
      </c>
    </row>
    <row r="2833" spans="1:33" x14ac:dyDescent="0.2">
      <c r="A2833" s="1" t="s">
        <v>370</v>
      </c>
      <c r="B2833" s="1" t="s">
        <v>6450</v>
      </c>
      <c r="C2833" s="1">
        <v>55295</v>
      </c>
      <c r="D2833" s="1">
        <v>1</v>
      </c>
      <c r="F2833" s="1">
        <v>2023</v>
      </c>
      <c r="G2833" s="1" t="s">
        <v>247</v>
      </c>
      <c r="H2833" s="1">
        <v>608886</v>
      </c>
      <c r="I2833" s="1">
        <v>9</v>
      </c>
      <c r="J2833" s="1" t="s">
        <v>237</v>
      </c>
      <c r="K2833" s="1" t="s">
        <v>6451</v>
      </c>
      <c r="L2833" s="1" t="s">
        <v>6452</v>
      </c>
      <c r="M2833" s="1">
        <v>65</v>
      </c>
      <c r="N2833" s="1" t="s">
        <v>39</v>
      </c>
      <c r="O2833" s="1">
        <v>33.615699999999997</v>
      </c>
      <c r="P2833" s="1">
        <v>-114.6865</v>
      </c>
      <c r="Q2833" s="1" t="s">
        <v>6453</v>
      </c>
      <c r="R2833" s="1" t="s">
        <v>41</v>
      </c>
      <c r="T2833" s="1" t="s">
        <v>71</v>
      </c>
      <c r="U2833" s="1" t="s">
        <v>44</v>
      </c>
      <c r="X2833" s="1" t="s">
        <v>223</v>
      </c>
      <c r="AA2833" s="3">
        <v>37676</v>
      </c>
      <c r="AB2833" s="1" t="s">
        <v>46</v>
      </c>
      <c r="AC2833" s="5">
        <v>2046</v>
      </c>
      <c r="AD2833" s="1" t="s">
        <v>6454</v>
      </c>
      <c r="AE2833" s="1" t="str">
        <f t="shared" si="200"/>
        <v>55295 1</v>
      </c>
      <c r="AF2833" s="14">
        <f>MID(AD2833,FIND("(",AD2833)+1,FIND(")",AD2833)-FIND("(",AD2833)-1)+227/2</f>
        <v>283.5</v>
      </c>
      <c r="AG2833" s="1" t="str">
        <f t="shared" si="199"/>
        <v>Y</v>
      </c>
    </row>
    <row r="2834" spans="1:33" x14ac:dyDescent="0.2">
      <c r="A2834" s="1" t="s">
        <v>370</v>
      </c>
      <c r="B2834" s="1" t="s">
        <v>6450</v>
      </c>
      <c r="C2834" s="1">
        <v>55295</v>
      </c>
      <c r="D2834" s="1">
        <v>2</v>
      </c>
      <c r="F2834" s="1">
        <v>2023</v>
      </c>
      <c r="G2834" s="1" t="s">
        <v>247</v>
      </c>
      <c r="H2834" s="1">
        <v>608886</v>
      </c>
      <c r="I2834" s="1">
        <v>9</v>
      </c>
      <c r="J2834" s="1" t="s">
        <v>237</v>
      </c>
      <c r="K2834" s="1" t="s">
        <v>6451</v>
      </c>
      <c r="L2834" s="1" t="s">
        <v>6452</v>
      </c>
      <c r="M2834" s="1">
        <v>65</v>
      </c>
      <c r="N2834" s="1" t="s">
        <v>39</v>
      </c>
      <c r="O2834" s="1">
        <v>33.615699999999997</v>
      </c>
      <c r="P2834" s="1">
        <v>-114.6865</v>
      </c>
      <c r="Q2834" s="1" t="s">
        <v>6453</v>
      </c>
      <c r="R2834" s="1" t="s">
        <v>41</v>
      </c>
      <c r="T2834" s="1" t="s">
        <v>71</v>
      </c>
      <c r="U2834" s="1" t="s">
        <v>44</v>
      </c>
      <c r="X2834" s="1" t="s">
        <v>223</v>
      </c>
      <c r="AA2834" s="3">
        <v>37678</v>
      </c>
      <c r="AB2834" s="1" t="s">
        <v>46</v>
      </c>
      <c r="AC2834" s="5">
        <v>2046</v>
      </c>
      <c r="AD2834" s="1" t="s">
        <v>6455</v>
      </c>
      <c r="AE2834" s="1" t="str">
        <f t="shared" si="200"/>
        <v>55295 2</v>
      </c>
      <c r="AF2834" s="14">
        <f>AF2833</f>
        <v>283.5</v>
      </c>
      <c r="AG2834" s="1" t="str">
        <f t="shared" si="199"/>
        <v>Y</v>
      </c>
    </row>
    <row r="2835" spans="1:33" x14ac:dyDescent="0.2">
      <c r="A2835" s="1" t="s">
        <v>458</v>
      </c>
      <c r="B2835" s="1" t="s">
        <v>6456</v>
      </c>
      <c r="C2835" s="1">
        <v>55296</v>
      </c>
      <c r="D2835" s="1" t="s">
        <v>3872</v>
      </c>
      <c r="F2835" s="1">
        <v>2023</v>
      </c>
      <c r="G2835" s="1" t="s">
        <v>461</v>
      </c>
      <c r="H2835" s="1">
        <v>603383</v>
      </c>
      <c r="I2835" s="1">
        <v>5</v>
      </c>
      <c r="K2835" s="1" t="s">
        <v>1029</v>
      </c>
      <c r="L2835" s="1" t="s">
        <v>1030</v>
      </c>
      <c r="M2835" s="1">
        <v>31</v>
      </c>
      <c r="N2835" s="1" t="s">
        <v>39</v>
      </c>
      <c r="O2835" s="1">
        <v>41.683500000000002</v>
      </c>
      <c r="P2835" s="1">
        <v>-87.556299999999993</v>
      </c>
      <c r="Q2835" s="1" t="s">
        <v>6457</v>
      </c>
      <c r="R2835" s="1" t="s">
        <v>41</v>
      </c>
      <c r="T2835" s="1" t="s">
        <v>93</v>
      </c>
      <c r="U2835" s="1" t="s">
        <v>44</v>
      </c>
      <c r="X2835" s="1" t="s">
        <v>140</v>
      </c>
      <c r="AA2835" s="3">
        <v>37431</v>
      </c>
      <c r="AB2835" s="1" t="s">
        <v>46</v>
      </c>
      <c r="AC2835" s="5">
        <v>2150</v>
      </c>
      <c r="AD2835" s="1" t="s">
        <v>6458</v>
      </c>
      <c r="AE2835" s="1" t="str">
        <f t="shared" si="200"/>
        <v>55296 **1</v>
      </c>
      <c r="AF2835" s="5" t="str">
        <f>MID(AD2835,FIND("(",AD2835)+1,FIND(")",AD2835)-FIND("(",AD2835)-1)</f>
        <v>156</v>
      </c>
      <c r="AG2835" s="1" t="str">
        <f t="shared" si="199"/>
        <v/>
      </c>
    </row>
    <row r="2836" spans="1:33" x14ac:dyDescent="0.2">
      <c r="A2836" s="1" t="s">
        <v>458</v>
      </c>
      <c r="B2836" s="1" t="s">
        <v>6456</v>
      </c>
      <c r="C2836" s="1">
        <v>55296</v>
      </c>
      <c r="D2836" s="1" t="s">
        <v>3875</v>
      </c>
      <c r="F2836" s="1">
        <v>2023</v>
      </c>
      <c r="G2836" s="1" t="s">
        <v>461</v>
      </c>
      <c r="H2836" s="1">
        <v>603383</v>
      </c>
      <c r="I2836" s="1">
        <v>5</v>
      </c>
      <c r="K2836" s="1" t="s">
        <v>1029</v>
      </c>
      <c r="L2836" s="1" t="s">
        <v>1030</v>
      </c>
      <c r="M2836" s="1">
        <v>31</v>
      </c>
      <c r="N2836" s="1" t="s">
        <v>39</v>
      </c>
      <c r="O2836" s="1">
        <v>41.683500000000002</v>
      </c>
      <c r="P2836" s="1">
        <v>-87.556299999999993</v>
      </c>
      <c r="Q2836" s="1" t="s">
        <v>6457</v>
      </c>
      <c r="R2836" s="1" t="s">
        <v>41</v>
      </c>
      <c r="T2836" s="1" t="s">
        <v>93</v>
      </c>
      <c r="U2836" s="1" t="s">
        <v>44</v>
      </c>
      <c r="X2836" s="1" t="s">
        <v>140</v>
      </c>
      <c r="AA2836" s="3">
        <v>37431</v>
      </c>
      <c r="AB2836" s="1" t="s">
        <v>46</v>
      </c>
      <c r="AC2836" s="5">
        <v>2150</v>
      </c>
      <c r="AD2836" s="1" t="s">
        <v>6459</v>
      </c>
      <c r="AE2836" s="1" t="str">
        <f t="shared" si="200"/>
        <v>55296 **2</v>
      </c>
      <c r="AF2836" s="5" t="str">
        <f>MID(AD2836,FIND("(",AD2836)+1,FIND(")",AD2836)-FIND("(",AD2836)-1)</f>
        <v>156</v>
      </c>
      <c r="AG2836" s="1" t="str">
        <f t="shared" si="199"/>
        <v/>
      </c>
    </row>
    <row r="2837" spans="1:33" x14ac:dyDescent="0.2">
      <c r="A2837" s="1" t="s">
        <v>1621</v>
      </c>
      <c r="B2837" s="1" t="s">
        <v>6460</v>
      </c>
      <c r="C2837" s="1">
        <v>55297</v>
      </c>
      <c r="D2837" s="1">
        <v>1</v>
      </c>
      <c r="F2837" s="1">
        <v>2023</v>
      </c>
      <c r="G2837" s="1" t="s">
        <v>461</v>
      </c>
      <c r="H2837" s="1" t="s">
        <v>6461</v>
      </c>
      <c r="I2837" s="1">
        <v>5</v>
      </c>
      <c r="K2837" s="1" t="s">
        <v>6462</v>
      </c>
      <c r="L2837" s="1" t="s">
        <v>6463</v>
      </c>
      <c r="M2837" s="1">
        <v>159</v>
      </c>
      <c r="N2837" s="1" t="s">
        <v>39</v>
      </c>
      <c r="O2837" s="1">
        <v>42.323099999999997</v>
      </c>
      <c r="P2837" s="1">
        <v>-86.292500000000004</v>
      </c>
      <c r="Q2837" s="1" t="s">
        <v>6464</v>
      </c>
      <c r="R2837" s="1" t="s">
        <v>41</v>
      </c>
      <c r="T2837" s="1" t="s">
        <v>71</v>
      </c>
      <c r="U2837" s="1" t="s">
        <v>44</v>
      </c>
      <c r="X2837" s="1" t="s">
        <v>64</v>
      </c>
      <c r="AA2837" s="3">
        <v>37853</v>
      </c>
      <c r="AB2837" s="1" t="s">
        <v>46</v>
      </c>
      <c r="AC2837" s="5">
        <v>2926</v>
      </c>
      <c r="AD2837" s="1" t="s">
        <v>6465</v>
      </c>
      <c r="AE2837" s="1" t="str">
        <f t="shared" si="200"/>
        <v>55297 1</v>
      </c>
      <c r="AF2837" s="14">
        <f>MID(AD2837,FIND("(",AD2837)+1,FIND(")",AD2837)-FIND("(",AD2837)-1)+245</f>
        <v>392</v>
      </c>
      <c r="AG2837" s="1" t="str">
        <f t="shared" si="199"/>
        <v>Y</v>
      </c>
    </row>
    <row r="2838" spans="1:33" x14ac:dyDescent="0.2">
      <c r="A2838" s="1" t="s">
        <v>1621</v>
      </c>
      <c r="B2838" s="1" t="s">
        <v>6460</v>
      </c>
      <c r="C2838" s="1">
        <v>55297</v>
      </c>
      <c r="D2838" s="1">
        <v>2</v>
      </c>
      <c r="F2838" s="1">
        <v>2023</v>
      </c>
      <c r="G2838" s="1" t="s">
        <v>461</v>
      </c>
      <c r="H2838" s="1" t="s">
        <v>6461</v>
      </c>
      <c r="I2838" s="1">
        <v>5</v>
      </c>
      <c r="K2838" s="1" t="s">
        <v>6462</v>
      </c>
      <c r="L2838" s="1" t="s">
        <v>6463</v>
      </c>
      <c r="M2838" s="1">
        <v>159</v>
      </c>
      <c r="N2838" s="1" t="s">
        <v>39</v>
      </c>
      <c r="O2838" s="1">
        <v>42.323099999999997</v>
      </c>
      <c r="P2838" s="1">
        <v>-86.292500000000004</v>
      </c>
      <c r="Q2838" s="1" t="s">
        <v>6464</v>
      </c>
      <c r="R2838" s="1" t="s">
        <v>41</v>
      </c>
      <c r="T2838" s="1" t="s">
        <v>71</v>
      </c>
      <c r="U2838" s="1" t="s">
        <v>44</v>
      </c>
      <c r="X2838" s="1" t="s">
        <v>64</v>
      </c>
      <c r="AA2838" s="3">
        <v>37883</v>
      </c>
      <c r="AB2838" s="1" t="s">
        <v>46</v>
      </c>
      <c r="AC2838" s="5">
        <v>2926</v>
      </c>
      <c r="AD2838" s="1" t="s">
        <v>6466</v>
      </c>
      <c r="AE2838" s="1" t="str">
        <f t="shared" si="200"/>
        <v>55297 2</v>
      </c>
      <c r="AF2838" s="14">
        <f>MID(AD2838,FIND("(",AD2838)+1,FIND(")",AD2838)-FIND("(",AD2838)-1)+245</f>
        <v>392</v>
      </c>
      <c r="AG2838" s="1" t="str">
        <f t="shared" si="199"/>
        <v>Y</v>
      </c>
    </row>
    <row r="2839" spans="1:33" x14ac:dyDescent="0.2">
      <c r="A2839" s="1" t="s">
        <v>1621</v>
      </c>
      <c r="B2839" s="1" t="s">
        <v>6460</v>
      </c>
      <c r="C2839" s="1">
        <v>55297</v>
      </c>
      <c r="D2839" s="1">
        <v>3</v>
      </c>
      <c r="F2839" s="1">
        <v>2023</v>
      </c>
      <c r="G2839" s="1" t="s">
        <v>461</v>
      </c>
      <c r="H2839" s="1" t="s">
        <v>6461</v>
      </c>
      <c r="I2839" s="1">
        <v>5</v>
      </c>
      <c r="K2839" s="1" t="s">
        <v>6462</v>
      </c>
      <c r="L2839" s="1" t="s">
        <v>6463</v>
      </c>
      <c r="M2839" s="1">
        <v>159</v>
      </c>
      <c r="N2839" s="1" t="s">
        <v>39</v>
      </c>
      <c r="O2839" s="1">
        <v>42.323099999999997</v>
      </c>
      <c r="P2839" s="1">
        <v>-86.292500000000004</v>
      </c>
      <c r="Q2839" s="1" t="s">
        <v>6464</v>
      </c>
      <c r="R2839" s="1" t="s">
        <v>41</v>
      </c>
      <c r="T2839" s="1" t="s">
        <v>71</v>
      </c>
      <c r="U2839" s="1" t="s">
        <v>44</v>
      </c>
      <c r="X2839" s="1" t="s">
        <v>64</v>
      </c>
      <c r="AA2839" s="3">
        <v>37941</v>
      </c>
      <c r="AB2839" s="1" t="s">
        <v>46</v>
      </c>
      <c r="AC2839" s="5">
        <v>2926</v>
      </c>
      <c r="AD2839" s="1" t="s">
        <v>6467</v>
      </c>
      <c r="AE2839" s="1" t="str">
        <f t="shared" si="200"/>
        <v>55297 3</v>
      </c>
      <c r="AF2839" s="14">
        <f>MID(AD2839,FIND("(",AD2839)+1,FIND(")",AD2839)-FIND("(",AD2839)-1)+147</f>
        <v>392</v>
      </c>
      <c r="AG2839" s="1" t="str">
        <f t="shared" si="199"/>
        <v>Y</v>
      </c>
    </row>
    <row r="2840" spans="1:33" x14ac:dyDescent="0.2">
      <c r="A2840" s="1" t="s">
        <v>2584</v>
      </c>
      <c r="B2840" s="1" t="s">
        <v>6468</v>
      </c>
      <c r="C2840" s="1">
        <v>55298</v>
      </c>
      <c r="D2840" s="1" t="s">
        <v>372</v>
      </c>
      <c r="F2840" s="1">
        <v>2023</v>
      </c>
      <c r="G2840" s="1" t="s">
        <v>1515</v>
      </c>
      <c r="H2840" s="1">
        <v>609297</v>
      </c>
      <c r="I2840" s="1">
        <v>3</v>
      </c>
      <c r="K2840" s="1" t="s">
        <v>4639</v>
      </c>
      <c r="L2840" s="1" t="s">
        <v>4640</v>
      </c>
      <c r="M2840" s="1">
        <v>17</v>
      </c>
      <c r="N2840" s="1" t="s">
        <v>39</v>
      </c>
      <c r="O2840" s="1">
        <v>40.1464</v>
      </c>
      <c r="P2840" s="1">
        <v>-74.740600000000001</v>
      </c>
      <c r="Q2840" s="1" t="s">
        <v>6469</v>
      </c>
      <c r="R2840" s="1" t="s">
        <v>41</v>
      </c>
      <c r="T2840" s="1" t="s">
        <v>71</v>
      </c>
      <c r="U2840" s="1" t="s">
        <v>44</v>
      </c>
      <c r="X2840" s="1" t="s">
        <v>64</v>
      </c>
      <c r="AA2840" s="3">
        <v>38037</v>
      </c>
      <c r="AB2840" s="1" t="s">
        <v>46</v>
      </c>
      <c r="AC2840" s="5">
        <v>2406</v>
      </c>
      <c r="AD2840" s="1" t="s">
        <v>6470</v>
      </c>
      <c r="AE2840" s="1" t="str">
        <f t="shared" si="200"/>
        <v>55298 1A</v>
      </c>
      <c r="AF2840" s="14">
        <f>MID(AD2840,FIND("(",AD2840)+1,FIND(")",AD2840)-FIND("(",AD2840)-1)+271.2/2</f>
        <v>334.5</v>
      </c>
      <c r="AG2840" s="1" t="str">
        <f t="shared" si="199"/>
        <v>Y</v>
      </c>
    </row>
    <row r="2841" spans="1:33" x14ac:dyDescent="0.2">
      <c r="A2841" s="1" t="s">
        <v>2584</v>
      </c>
      <c r="B2841" s="1" t="s">
        <v>6468</v>
      </c>
      <c r="C2841" s="1">
        <v>55298</v>
      </c>
      <c r="D2841" s="1" t="s">
        <v>1199</v>
      </c>
      <c r="F2841" s="1">
        <v>2023</v>
      </c>
      <c r="G2841" s="1" t="s">
        <v>1515</v>
      </c>
      <c r="H2841" s="1">
        <v>609297</v>
      </c>
      <c r="I2841" s="1">
        <v>3</v>
      </c>
      <c r="K2841" s="1" t="s">
        <v>4639</v>
      </c>
      <c r="L2841" s="1" t="s">
        <v>4640</v>
      </c>
      <c r="M2841" s="1">
        <v>17</v>
      </c>
      <c r="N2841" s="1" t="s">
        <v>39</v>
      </c>
      <c r="O2841" s="1">
        <v>40.1464</v>
      </c>
      <c r="P2841" s="1">
        <v>-74.740600000000001</v>
      </c>
      <c r="Q2841" s="1" t="s">
        <v>6469</v>
      </c>
      <c r="R2841" s="1" t="s">
        <v>41</v>
      </c>
      <c r="T2841" s="1" t="s">
        <v>71</v>
      </c>
      <c r="U2841" s="1" t="s">
        <v>44</v>
      </c>
      <c r="X2841" s="1" t="s">
        <v>64</v>
      </c>
      <c r="AA2841" s="3">
        <v>38033</v>
      </c>
      <c r="AB2841" s="1" t="s">
        <v>46</v>
      </c>
      <c r="AC2841" s="5">
        <v>2500</v>
      </c>
      <c r="AD2841" s="1" t="s">
        <v>6471</v>
      </c>
      <c r="AE2841" s="1" t="str">
        <f t="shared" si="200"/>
        <v>55298 1B</v>
      </c>
      <c r="AF2841" s="14">
        <f>AF2840</f>
        <v>334.5</v>
      </c>
      <c r="AG2841" s="1" t="str">
        <f t="shared" si="199"/>
        <v>Y</v>
      </c>
    </row>
    <row r="2842" spans="1:33" x14ac:dyDescent="0.2">
      <c r="A2842" s="1" t="s">
        <v>2584</v>
      </c>
      <c r="B2842" s="1" t="s">
        <v>6468</v>
      </c>
      <c r="C2842" s="1">
        <v>55298</v>
      </c>
      <c r="D2842" s="1" t="s">
        <v>377</v>
      </c>
      <c r="F2842" s="1">
        <v>2023</v>
      </c>
      <c r="G2842" s="1" t="s">
        <v>1515</v>
      </c>
      <c r="H2842" s="1">
        <v>609297</v>
      </c>
      <c r="I2842" s="1">
        <v>3</v>
      </c>
      <c r="K2842" s="1" t="s">
        <v>4639</v>
      </c>
      <c r="L2842" s="1" t="s">
        <v>4640</v>
      </c>
      <c r="M2842" s="1">
        <v>17</v>
      </c>
      <c r="N2842" s="1" t="s">
        <v>39</v>
      </c>
      <c r="O2842" s="1">
        <v>40.1464</v>
      </c>
      <c r="P2842" s="1">
        <v>-74.740600000000001</v>
      </c>
      <c r="Q2842" s="1" t="s">
        <v>6469</v>
      </c>
      <c r="R2842" s="1" t="s">
        <v>41</v>
      </c>
      <c r="T2842" s="1" t="s">
        <v>71</v>
      </c>
      <c r="U2842" s="1" t="s">
        <v>44</v>
      </c>
      <c r="X2842" s="1" t="s">
        <v>64</v>
      </c>
      <c r="AA2842" s="3">
        <v>38100</v>
      </c>
      <c r="AB2842" s="1" t="s">
        <v>46</v>
      </c>
      <c r="AC2842" s="5">
        <v>2406</v>
      </c>
      <c r="AD2842" s="1" t="s">
        <v>6472</v>
      </c>
      <c r="AE2842" s="1" t="str">
        <f t="shared" si="200"/>
        <v>55298 2A</v>
      </c>
      <c r="AF2842" s="14">
        <f>MID(AD2842,FIND("(",AD2842)+1,FIND(")",AD2842)-FIND("(",AD2842)-1)+271.2/2</f>
        <v>334.5</v>
      </c>
      <c r="AG2842" s="1" t="str">
        <f t="shared" si="199"/>
        <v>Y</v>
      </c>
    </row>
    <row r="2843" spans="1:33" x14ac:dyDescent="0.2">
      <c r="A2843" s="1" t="s">
        <v>2584</v>
      </c>
      <c r="B2843" s="1" t="s">
        <v>6468</v>
      </c>
      <c r="C2843" s="1">
        <v>55298</v>
      </c>
      <c r="D2843" s="1" t="s">
        <v>1201</v>
      </c>
      <c r="F2843" s="1">
        <v>2023</v>
      </c>
      <c r="G2843" s="1" t="s">
        <v>1515</v>
      </c>
      <c r="H2843" s="1">
        <v>609297</v>
      </c>
      <c r="I2843" s="1">
        <v>3</v>
      </c>
      <c r="K2843" s="1" t="s">
        <v>4639</v>
      </c>
      <c r="L2843" s="1" t="s">
        <v>4640</v>
      </c>
      <c r="M2843" s="1">
        <v>17</v>
      </c>
      <c r="N2843" s="1" t="s">
        <v>39</v>
      </c>
      <c r="O2843" s="1">
        <v>40.1464</v>
      </c>
      <c r="P2843" s="1">
        <v>-74.740600000000001</v>
      </c>
      <c r="Q2843" s="1" t="s">
        <v>6469</v>
      </c>
      <c r="R2843" s="1" t="s">
        <v>41</v>
      </c>
      <c r="T2843" s="1" t="s">
        <v>71</v>
      </c>
      <c r="U2843" s="1" t="s">
        <v>44</v>
      </c>
      <c r="X2843" s="1" t="s">
        <v>64</v>
      </c>
      <c r="AA2843" s="3">
        <v>38094</v>
      </c>
      <c r="AB2843" s="1" t="s">
        <v>46</v>
      </c>
      <c r="AC2843" s="5">
        <v>2406</v>
      </c>
      <c r="AD2843" s="1" t="s">
        <v>6473</v>
      </c>
      <c r="AE2843" s="1" t="str">
        <f t="shared" si="200"/>
        <v>55298 2B</v>
      </c>
      <c r="AF2843" s="14">
        <f>AF2842</f>
        <v>334.5</v>
      </c>
      <c r="AG2843" s="1" t="str">
        <f t="shared" si="199"/>
        <v>Y</v>
      </c>
    </row>
    <row r="2844" spans="1:33" x14ac:dyDescent="0.2">
      <c r="A2844" s="1" t="s">
        <v>383</v>
      </c>
      <c r="B2844" s="1" t="s">
        <v>6474</v>
      </c>
      <c r="C2844" s="1">
        <v>55299</v>
      </c>
      <c r="D2844" s="1" t="s">
        <v>1129</v>
      </c>
      <c r="F2844" s="1">
        <v>2023</v>
      </c>
      <c r="G2844" s="1" t="s">
        <v>346</v>
      </c>
      <c r="H2844" s="1">
        <v>610483</v>
      </c>
      <c r="I2844" s="1">
        <v>6</v>
      </c>
      <c r="K2844" s="1" t="s">
        <v>4063</v>
      </c>
      <c r="L2844" s="1" t="s">
        <v>4064</v>
      </c>
      <c r="M2844" s="1">
        <v>201</v>
      </c>
      <c r="N2844" s="1" t="s">
        <v>1680</v>
      </c>
      <c r="O2844" s="1">
        <v>29.718900000000001</v>
      </c>
      <c r="P2844" s="1">
        <v>-95.231899999999996</v>
      </c>
      <c r="Q2844" s="1" t="s">
        <v>6475</v>
      </c>
      <c r="R2844" s="1" t="s">
        <v>41</v>
      </c>
      <c r="T2844" s="1" t="s">
        <v>71</v>
      </c>
      <c r="U2844" s="1" t="s">
        <v>288</v>
      </c>
      <c r="X2844" s="1" t="s">
        <v>223</v>
      </c>
      <c r="AA2844" s="3">
        <v>37077</v>
      </c>
      <c r="AB2844" s="1" t="s">
        <v>46</v>
      </c>
      <c r="AC2844" s="5">
        <v>2600</v>
      </c>
      <c r="AD2844" s="1" t="s">
        <v>6476</v>
      </c>
      <c r="AE2844" s="1" t="str">
        <f t="shared" si="200"/>
        <v>55299 CTG1</v>
      </c>
      <c r="AF2844" s="14">
        <f>MID(AD2844,FIND("(",AD2844)+1,FIND(")",AD2844)-FIND("(",AD2844)-1)+285/3</f>
        <v>310</v>
      </c>
      <c r="AG2844" s="1" t="str">
        <f t="shared" si="199"/>
        <v>Y</v>
      </c>
    </row>
    <row r="2845" spans="1:33" x14ac:dyDescent="0.2">
      <c r="A2845" s="1" t="s">
        <v>383</v>
      </c>
      <c r="B2845" s="1" t="s">
        <v>6474</v>
      </c>
      <c r="C2845" s="1">
        <v>55299</v>
      </c>
      <c r="D2845" s="1" t="s">
        <v>1135</v>
      </c>
      <c r="F2845" s="1">
        <v>2023</v>
      </c>
      <c r="G2845" s="1" t="s">
        <v>346</v>
      </c>
      <c r="H2845" s="1">
        <v>610483</v>
      </c>
      <c r="I2845" s="1">
        <v>6</v>
      </c>
      <c r="K2845" s="1" t="s">
        <v>4063</v>
      </c>
      <c r="L2845" s="1" t="s">
        <v>4064</v>
      </c>
      <c r="M2845" s="1">
        <v>201</v>
      </c>
      <c r="N2845" s="1" t="s">
        <v>1680</v>
      </c>
      <c r="O2845" s="1">
        <v>29.718900000000001</v>
      </c>
      <c r="P2845" s="1">
        <v>-95.231899999999996</v>
      </c>
      <c r="Q2845" s="1" t="s">
        <v>6475</v>
      </c>
      <c r="R2845" s="1" t="s">
        <v>41</v>
      </c>
      <c r="T2845" s="1" t="s">
        <v>71</v>
      </c>
      <c r="U2845" s="1" t="s">
        <v>288</v>
      </c>
      <c r="X2845" s="1" t="s">
        <v>223</v>
      </c>
      <c r="AA2845" s="3">
        <v>37371</v>
      </c>
      <c r="AB2845" s="1" t="s">
        <v>46</v>
      </c>
      <c r="AC2845" s="5">
        <v>2781</v>
      </c>
      <c r="AD2845" s="1" t="s">
        <v>6477</v>
      </c>
      <c r="AE2845" s="1" t="str">
        <f t="shared" si="200"/>
        <v>55299 CTG2</v>
      </c>
      <c r="AF2845" s="14">
        <f>AF2844</f>
        <v>310</v>
      </c>
      <c r="AG2845" s="1" t="str">
        <f t="shared" si="199"/>
        <v>Y</v>
      </c>
    </row>
    <row r="2846" spans="1:33" x14ac:dyDescent="0.2">
      <c r="A2846" s="1" t="s">
        <v>383</v>
      </c>
      <c r="B2846" s="1" t="s">
        <v>6474</v>
      </c>
      <c r="C2846" s="1">
        <v>55299</v>
      </c>
      <c r="D2846" s="1" t="s">
        <v>6002</v>
      </c>
      <c r="F2846" s="1">
        <v>2023</v>
      </c>
      <c r="G2846" s="1" t="s">
        <v>346</v>
      </c>
      <c r="H2846" s="1">
        <v>610483</v>
      </c>
      <c r="I2846" s="1">
        <v>6</v>
      </c>
      <c r="K2846" s="1" t="s">
        <v>4063</v>
      </c>
      <c r="L2846" s="1" t="s">
        <v>4064</v>
      </c>
      <c r="M2846" s="1">
        <v>201</v>
      </c>
      <c r="N2846" s="1" t="s">
        <v>1680</v>
      </c>
      <c r="O2846" s="1">
        <v>29.718900000000001</v>
      </c>
      <c r="P2846" s="1">
        <v>-95.231899999999996</v>
      </c>
      <c r="Q2846" s="1" t="s">
        <v>6475</v>
      </c>
      <c r="R2846" s="1" t="s">
        <v>41</v>
      </c>
      <c r="T2846" s="1" t="s">
        <v>71</v>
      </c>
      <c r="U2846" s="1" t="s">
        <v>44</v>
      </c>
      <c r="V2846" s="1" t="s">
        <v>288</v>
      </c>
      <c r="X2846" s="1" t="s">
        <v>223</v>
      </c>
      <c r="AA2846" s="3">
        <v>41785</v>
      </c>
      <c r="AB2846" s="1" t="s">
        <v>46</v>
      </c>
      <c r="AC2846" s="5">
        <v>2597</v>
      </c>
      <c r="AD2846" s="1" t="s">
        <v>6478</v>
      </c>
      <c r="AE2846" s="1" t="str">
        <f t="shared" si="200"/>
        <v>55299 CTG3</v>
      </c>
      <c r="AF2846" s="14">
        <f>AF2844</f>
        <v>310</v>
      </c>
      <c r="AG2846" s="1" t="str">
        <f t="shared" si="199"/>
        <v>Y</v>
      </c>
    </row>
    <row r="2847" spans="1:33" x14ac:dyDescent="0.2">
      <c r="A2847" s="1" t="s">
        <v>921</v>
      </c>
      <c r="B2847" s="1" t="s">
        <v>6479</v>
      </c>
      <c r="C2847" s="1">
        <v>55304</v>
      </c>
      <c r="D2847" s="1" t="s">
        <v>311</v>
      </c>
      <c r="F2847" s="1">
        <v>2023</v>
      </c>
      <c r="G2847" s="1" t="s">
        <v>952</v>
      </c>
      <c r="H2847" s="1" t="s">
        <v>6480</v>
      </c>
      <c r="I2847" s="1">
        <v>4</v>
      </c>
      <c r="K2847" s="1" t="s">
        <v>4233</v>
      </c>
      <c r="L2847" s="1" t="s">
        <v>4234</v>
      </c>
      <c r="M2847" s="1">
        <v>205</v>
      </c>
      <c r="N2847" s="1" t="s">
        <v>39</v>
      </c>
      <c r="O2847" s="1">
        <v>31.386900000000001</v>
      </c>
      <c r="P2847" s="1">
        <v>-84.081900000000005</v>
      </c>
      <c r="Q2847" s="1" t="s">
        <v>6481</v>
      </c>
      <c r="R2847" s="1" t="s">
        <v>41</v>
      </c>
      <c r="T2847" s="1" t="s">
        <v>93</v>
      </c>
      <c r="U2847" s="1" t="s">
        <v>44</v>
      </c>
      <c r="V2847" s="1" t="s">
        <v>94</v>
      </c>
      <c r="X2847" s="1" t="s">
        <v>95</v>
      </c>
      <c r="AA2847" s="3">
        <v>36692</v>
      </c>
      <c r="AB2847" s="1" t="s">
        <v>46</v>
      </c>
      <c r="AC2847" s="5">
        <v>614</v>
      </c>
      <c r="AD2847" s="1" t="s">
        <v>6482</v>
      </c>
      <c r="AE2847" s="1" t="str">
        <f t="shared" si="200"/>
        <v>55304 CT1</v>
      </c>
      <c r="AF2847" s="5" t="str">
        <f>MID(AD2847,FIND("(",AD2847)+1,FIND(")",AD2847)-FIND("(",AD2847)-1)</f>
        <v>60</v>
      </c>
      <c r="AG2847" s="1" t="str">
        <f t="shared" si="199"/>
        <v/>
      </c>
    </row>
    <row r="2848" spans="1:33" x14ac:dyDescent="0.2">
      <c r="A2848" s="1" t="s">
        <v>921</v>
      </c>
      <c r="B2848" s="1" t="s">
        <v>6479</v>
      </c>
      <c r="C2848" s="1">
        <v>55304</v>
      </c>
      <c r="D2848" s="1" t="s">
        <v>105</v>
      </c>
      <c r="F2848" s="1">
        <v>2023</v>
      </c>
      <c r="G2848" s="1" t="s">
        <v>952</v>
      </c>
      <c r="H2848" s="1" t="s">
        <v>6480</v>
      </c>
      <c r="I2848" s="1">
        <v>4</v>
      </c>
      <c r="K2848" s="1" t="s">
        <v>4233</v>
      </c>
      <c r="L2848" s="1" t="s">
        <v>4234</v>
      </c>
      <c r="M2848" s="1">
        <v>205</v>
      </c>
      <c r="N2848" s="1" t="s">
        <v>39</v>
      </c>
      <c r="O2848" s="1">
        <v>31.386900000000001</v>
      </c>
      <c r="P2848" s="1">
        <v>-84.081900000000005</v>
      </c>
      <c r="Q2848" s="1" t="s">
        <v>6483</v>
      </c>
      <c r="R2848" s="1" t="s">
        <v>41</v>
      </c>
      <c r="T2848" s="1" t="s">
        <v>93</v>
      </c>
      <c r="U2848" s="1" t="s">
        <v>44</v>
      </c>
      <c r="V2848" s="1" t="s">
        <v>94</v>
      </c>
      <c r="X2848" s="1" t="s">
        <v>95</v>
      </c>
      <c r="AA2848" s="3">
        <v>36708</v>
      </c>
      <c r="AB2848" s="1" t="s">
        <v>46</v>
      </c>
      <c r="AC2848" s="5">
        <v>614</v>
      </c>
      <c r="AD2848" s="1" t="s">
        <v>6484</v>
      </c>
      <c r="AE2848" s="1" t="str">
        <f t="shared" si="200"/>
        <v>55304 CT5</v>
      </c>
      <c r="AF2848" s="5" t="str">
        <f>MID(AD2848,FIND("(",AD2848)+1,FIND(")",AD2848)-FIND("(",AD2848)-1)</f>
        <v>60</v>
      </c>
      <c r="AG2848" s="1" t="str">
        <f t="shared" si="199"/>
        <v/>
      </c>
    </row>
    <row r="2849" spans="1:33" x14ac:dyDescent="0.2">
      <c r="A2849" s="1" t="s">
        <v>234</v>
      </c>
      <c r="B2849" s="1" t="s">
        <v>6485</v>
      </c>
      <c r="C2849" s="1">
        <v>55306</v>
      </c>
      <c r="D2849" s="1" t="s">
        <v>6486</v>
      </c>
      <c r="F2849" s="1">
        <v>2023</v>
      </c>
      <c r="G2849" s="1" t="s">
        <v>247</v>
      </c>
      <c r="H2849" s="1">
        <v>608572</v>
      </c>
      <c r="I2849" s="1">
        <v>9</v>
      </c>
      <c r="J2849" s="1" t="s">
        <v>237</v>
      </c>
      <c r="K2849" s="1" t="s">
        <v>248</v>
      </c>
      <c r="L2849" s="1" t="s">
        <v>249</v>
      </c>
      <c r="M2849" s="1">
        <v>13</v>
      </c>
      <c r="N2849" s="1" t="s">
        <v>39</v>
      </c>
      <c r="O2849" s="1">
        <v>32.976100000000002</v>
      </c>
      <c r="P2849" s="1">
        <v>-112.694</v>
      </c>
      <c r="Q2849" s="1" t="s">
        <v>316</v>
      </c>
      <c r="R2849" s="1" t="s">
        <v>41</v>
      </c>
      <c r="T2849" s="1" t="s">
        <v>71</v>
      </c>
      <c r="U2849" s="1" t="s">
        <v>44</v>
      </c>
      <c r="X2849" s="1" t="s">
        <v>64</v>
      </c>
      <c r="AA2849" s="3">
        <v>37641</v>
      </c>
      <c r="AB2849" s="1" t="s">
        <v>46</v>
      </c>
      <c r="AC2849" s="5">
        <v>2270</v>
      </c>
      <c r="AD2849" s="1" t="s">
        <v>6487</v>
      </c>
      <c r="AE2849" s="1" t="str">
        <f t="shared" si="200"/>
        <v>55306 1CTGA</v>
      </c>
      <c r="AF2849" s="14">
        <f>MID(AD2849,FIND("(",AD2849)+1,FIND(")",AD2849)-FIND("(",AD2849)-1)+271/2</f>
        <v>309.5</v>
      </c>
      <c r="AG2849" s="1" t="str">
        <f t="shared" si="199"/>
        <v>Y</v>
      </c>
    </row>
    <row r="2850" spans="1:33" x14ac:dyDescent="0.2">
      <c r="A2850" s="1" t="s">
        <v>234</v>
      </c>
      <c r="B2850" s="1" t="s">
        <v>6485</v>
      </c>
      <c r="C2850" s="1">
        <v>55306</v>
      </c>
      <c r="D2850" s="1" t="s">
        <v>6488</v>
      </c>
      <c r="F2850" s="1">
        <v>2023</v>
      </c>
      <c r="G2850" s="1" t="s">
        <v>247</v>
      </c>
      <c r="H2850" s="1">
        <v>608572</v>
      </c>
      <c r="I2850" s="1">
        <v>9</v>
      </c>
      <c r="J2850" s="1" t="s">
        <v>237</v>
      </c>
      <c r="K2850" s="1" t="s">
        <v>248</v>
      </c>
      <c r="L2850" s="1" t="s">
        <v>249</v>
      </c>
      <c r="M2850" s="1">
        <v>13</v>
      </c>
      <c r="N2850" s="1" t="s">
        <v>39</v>
      </c>
      <c r="O2850" s="1">
        <v>32.976100000000002</v>
      </c>
      <c r="P2850" s="1">
        <v>-112.694</v>
      </c>
      <c r="Q2850" s="1" t="s">
        <v>316</v>
      </c>
      <c r="R2850" s="1" t="s">
        <v>41</v>
      </c>
      <c r="T2850" s="1" t="s">
        <v>71</v>
      </c>
      <c r="U2850" s="1" t="s">
        <v>44</v>
      </c>
      <c r="X2850" s="1" t="s">
        <v>64</v>
      </c>
      <c r="AA2850" s="3">
        <v>37644</v>
      </c>
      <c r="AB2850" s="1" t="s">
        <v>46</v>
      </c>
      <c r="AC2850" s="5">
        <v>2310</v>
      </c>
      <c r="AD2850" s="1" t="s">
        <v>6489</v>
      </c>
      <c r="AE2850" s="1" t="str">
        <f t="shared" si="200"/>
        <v>55306 1CTGB</v>
      </c>
      <c r="AF2850" s="14">
        <f>AF2849</f>
        <v>309.5</v>
      </c>
      <c r="AG2850" s="1" t="str">
        <f t="shared" si="199"/>
        <v>Y</v>
      </c>
    </row>
    <row r="2851" spans="1:33" x14ac:dyDescent="0.2">
      <c r="A2851" s="1" t="s">
        <v>234</v>
      </c>
      <c r="B2851" s="1" t="s">
        <v>6485</v>
      </c>
      <c r="C2851" s="1">
        <v>55306</v>
      </c>
      <c r="D2851" s="1" t="s">
        <v>6490</v>
      </c>
      <c r="F2851" s="1">
        <v>2023</v>
      </c>
      <c r="G2851" s="1" t="s">
        <v>247</v>
      </c>
      <c r="H2851" s="1">
        <v>608572</v>
      </c>
      <c r="I2851" s="1">
        <v>9</v>
      </c>
      <c r="J2851" s="1" t="s">
        <v>237</v>
      </c>
      <c r="K2851" s="1" t="s">
        <v>248</v>
      </c>
      <c r="L2851" s="1" t="s">
        <v>249</v>
      </c>
      <c r="M2851" s="1">
        <v>13</v>
      </c>
      <c r="N2851" s="1" t="s">
        <v>39</v>
      </c>
      <c r="O2851" s="1">
        <v>32.976100000000002</v>
      </c>
      <c r="P2851" s="1">
        <v>-112.694</v>
      </c>
      <c r="Q2851" s="1" t="s">
        <v>6491</v>
      </c>
      <c r="R2851" s="1" t="s">
        <v>41</v>
      </c>
      <c r="T2851" s="1" t="s">
        <v>71</v>
      </c>
      <c r="U2851" s="1" t="s">
        <v>44</v>
      </c>
      <c r="X2851" s="1" t="s">
        <v>64</v>
      </c>
      <c r="AA2851" s="3">
        <v>37641</v>
      </c>
      <c r="AB2851" s="1" t="s">
        <v>46</v>
      </c>
      <c r="AC2851" s="5">
        <v>2270</v>
      </c>
      <c r="AD2851" s="1" t="s">
        <v>6492</v>
      </c>
      <c r="AE2851" s="1" t="str">
        <f t="shared" si="200"/>
        <v>55306 2CTGA</v>
      </c>
      <c r="AF2851" s="14">
        <f>MID(AD2851,FIND("(",AD2851)+1,FIND(")",AD2851)-FIND("(",AD2851)-1)+271/2</f>
        <v>309.5</v>
      </c>
      <c r="AG2851" s="1" t="str">
        <f t="shared" si="199"/>
        <v>Y</v>
      </c>
    </row>
    <row r="2852" spans="1:33" x14ac:dyDescent="0.2">
      <c r="A2852" s="1" t="s">
        <v>234</v>
      </c>
      <c r="B2852" s="1" t="s">
        <v>6485</v>
      </c>
      <c r="C2852" s="1">
        <v>55306</v>
      </c>
      <c r="D2852" s="1" t="s">
        <v>6493</v>
      </c>
      <c r="F2852" s="1">
        <v>2023</v>
      </c>
      <c r="G2852" s="1" t="s">
        <v>247</v>
      </c>
      <c r="H2852" s="1">
        <v>608572</v>
      </c>
      <c r="I2852" s="1">
        <v>9</v>
      </c>
      <c r="J2852" s="1" t="s">
        <v>237</v>
      </c>
      <c r="K2852" s="1" t="s">
        <v>248</v>
      </c>
      <c r="L2852" s="1" t="s">
        <v>249</v>
      </c>
      <c r="M2852" s="1">
        <v>13</v>
      </c>
      <c r="N2852" s="1" t="s">
        <v>39</v>
      </c>
      <c r="O2852" s="1">
        <v>32.976100000000002</v>
      </c>
      <c r="P2852" s="1">
        <v>-112.694</v>
      </c>
      <c r="Q2852" s="1" t="s">
        <v>6491</v>
      </c>
      <c r="R2852" s="1" t="s">
        <v>41</v>
      </c>
      <c r="T2852" s="1" t="s">
        <v>71</v>
      </c>
      <c r="U2852" s="1" t="s">
        <v>44</v>
      </c>
      <c r="X2852" s="1" t="s">
        <v>64</v>
      </c>
      <c r="AA2852" s="3">
        <v>37772</v>
      </c>
      <c r="AB2852" s="1" t="s">
        <v>46</v>
      </c>
      <c r="AC2852" s="5">
        <v>2350</v>
      </c>
      <c r="AD2852" s="1" t="s">
        <v>6494</v>
      </c>
      <c r="AE2852" s="1" t="str">
        <f t="shared" si="200"/>
        <v>55306 2CTGB</v>
      </c>
      <c r="AF2852" s="14">
        <f>AF2851</f>
        <v>309.5</v>
      </c>
      <c r="AG2852" s="1" t="str">
        <f t="shared" si="199"/>
        <v>Y</v>
      </c>
    </row>
    <row r="2853" spans="1:33" x14ac:dyDescent="0.2">
      <c r="A2853" s="1" t="s">
        <v>234</v>
      </c>
      <c r="B2853" s="1" t="s">
        <v>6485</v>
      </c>
      <c r="C2853" s="1">
        <v>55306</v>
      </c>
      <c r="D2853" s="1" t="s">
        <v>6495</v>
      </c>
      <c r="F2853" s="1">
        <v>2023</v>
      </c>
      <c r="G2853" s="1" t="s">
        <v>247</v>
      </c>
      <c r="H2853" s="1">
        <v>608572</v>
      </c>
      <c r="I2853" s="1">
        <v>9</v>
      </c>
      <c r="J2853" s="1" t="s">
        <v>237</v>
      </c>
      <c r="K2853" s="1" t="s">
        <v>248</v>
      </c>
      <c r="L2853" s="1" t="s">
        <v>249</v>
      </c>
      <c r="M2853" s="1">
        <v>13</v>
      </c>
      <c r="N2853" s="1" t="s">
        <v>39</v>
      </c>
      <c r="O2853" s="1">
        <v>32.976100000000002</v>
      </c>
      <c r="P2853" s="1">
        <v>-112.694</v>
      </c>
      <c r="Q2853" s="1" t="s">
        <v>6496</v>
      </c>
      <c r="R2853" s="1" t="s">
        <v>41</v>
      </c>
      <c r="T2853" s="1" t="s">
        <v>71</v>
      </c>
      <c r="U2853" s="1" t="s">
        <v>44</v>
      </c>
      <c r="X2853" s="1" t="s">
        <v>64</v>
      </c>
      <c r="AA2853" s="3">
        <v>37641</v>
      </c>
      <c r="AB2853" s="1" t="s">
        <v>46</v>
      </c>
      <c r="AC2853" s="5">
        <v>2625</v>
      </c>
      <c r="AD2853" s="1" t="s">
        <v>6497</v>
      </c>
      <c r="AE2853" s="1" t="str">
        <f t="shared" si="200"/>
        <v>55306 3CTGA</v>
      </c>
      <c r="AF2853" s="14">
        <f>AF2851</f>
        <v>309.5</v>
      </c>
      <c r="AG2853" s="1" t="str">
        <f t="shared" si="199"/>
        <v>Y</v>
      </c>
    </row>
    <row r="2854" spans="1:33" x14ac:dyDescent="0.2">
      <c r="A2854" s="1" t="s">
        <v>234</v>
      </c>
      <c r="B2854" s="1" t="s">
        <v>6485</v>
      </c>
      <c r="C2854" s="1">
        <v>55306</v>
      </c>
      <c r="D2854" s="1" t="s">
        <v>6498</v>
      </c>
      <c r="F2854" s="1">
        <v>2023</v>
      </c>
      <c r="G2854" s="1" t="s">
        <v>247</v>
      </c>
      <c r="H2854" s="1">
        <v>608572</v>
      </c>
      <c r="I2854" s="1">
        <v>9</v>
      </c>
      <c r="J2854" s="1" t="s">
        <v>237</v>
      </c>
      <c r="K2854" s="1" t="s">
        <v>248</v>
      </c>
      <c r="L2854" s="1" t="s">
        <v>249</v>
      </c>
      <c r="M2854" s="1">
        <v>13</v>
      </c>
      <c r="N2854" s="1" t="s">
        <v>39</v>
      </c>
      <c r="O2854" s="1">
        <v>32.976100000000002</v>
      </c>
      <c r="P2854" s="1">
        <v>-112.694</v>
      </c>
      <c r="Q2854" s="1" t="s">
        <v>6496</v>
      </c>
      <c r="R2854" s="1" t="s">
        <v>41</v>
      </c>
      <c r="T2854" s="1" t="s">
        <v>71</v>
      </c>
      <c r="U2854" s="1" t="s">
        <v>44</v>
      </c>
      <c r="X2854" s="1" t="s">
        <v>64</v>
      </c>
      <c r="AA2854" s="3">
        <v>37802</v>
      </c>
      <c r="AB2854" s="1" t="s">
        <v>46</v>
      </c>
      <c r="AC2854" s="5">
        <v>2650</v>
      </c>
      <c r="AD2854" s="1" t="s">
        <v>6499</v>
      </c>
      <c r="AE2854" s="1" t="str">
        <f t="shared" si="200"/>
        <v>55306 3CTGB</v>
      </c>
      <c r="AF2854" s="14">
        <f>AF2851</f>
        <v>309.5</v>
      </c>
      <c r="AG2854" s="1" t="str">
        <f t="shared" si="199"/>
        <v>Y</v>
      </c>
    </row>
    <row r="2855" spans="1:33" x14ac:dyDescent="0.2">
      <c r="A2855" s="1" t="s">
        <v>234</v>
      </c>
      <c r="B2855" s="1" t="s">
        <v>6485</v>
      </c>
      <c r="C2855" s="1">
        <v>55306</v>
      </c>
      <c r="D2855" s="1" t="s">
        <v>6500</v>
      </c>
      <c r="F2855" s="1">
        <v>2023</v>
      </c>
      <c r="G2855" s="1" t="s">
        <v>247</v>
      </c>
      <c r="H2855" s="1">
        <v>608572</v>
      </c>
      <c r="I2855" s="1">
        <v>9</v>
      </c>
      <c r="J2855" s="1" t="s">
        <v>237</v>
      </c>
      <c r="K2855" s="1" t="s">
        <v>248</v>
      </c>
      <c r="L2855" s="1" t="s">
        <v>249</v>
      </c>
      <c r="M2855" s="1">
        <v>13</v>
      </c>
      <c r="N2855" s="1" t="s">
        <v>39</v>
      </c>
      <c r="O2855" s="1">
        <v>32.976100000000002</v>
      </c>
      <c r="P2855" s="1">
        <v>-112.694</v>
      </c>
      <c r="Q2855" s="1" t="s">
        <v>316</v>
      </c>
      <c r="R2855" s="1" t="s">
        <v>41</v>
      </c>
      <c r="T2855" s="1" t="s">
        <v>71</v>
      </c>
      <c r="U2855" s="1" t="s">
        <v>44</v>
      </c>
      <c r="X2855" s="1" t="s">
        <v>64</v>
      </c>
      <c r="AA2855" s="3">
        <v>37641</v>
      </c>
      <c r="AB2855" s="1" t="s">
        <v>46</v>
      </c>
      <c r="AC2855" s="5">
        <v>2334</v>
      </c>
      <c r="AD2855" s="1" t="s">
        <v>6501</v>
      </c>
      <c r="AE2855" s="1" t="str">
        <f t="shared" si="200"/>
        <v>55306 4CTGA</v>
      </c>
      <c r="AF2855" s="14">
        <f>MID(AD2855,FIND("(",AD2855)+1,FIND(")",AD2855)-FIND("(",AD2855)-1)+271/2</f>
        <v>309.5</v>
      </c>
      <c r="AG2855" s="1" t="str">
        <f t="shared" si="199"/>
        <v>Y</v>
      </c>
    </row>
    <row r="2856" spans="1:33" x14ac:dyDescent="0.2">
      <c r="A2856" s="1" t="s">
        <v>234</v>
      </c>
      <c r="B2856" s="1" t="s">
        <v>6485</v>
      </c>
      <c r="C2856" s="1">
        <v>55306</v>
      </c>
      <c r="D2856" s="1" t="s">
        <v>6502</v>
      </c>
      <c r="F2856" s="1">
        <v>2023</v>
      </c>
      <c r="G2856" s="1" t="s">
        <v>247</v>
      </c>
      <c r="H2856" s="1">
        <v>608572</v>
      </c>
      <c r="I2856" s="1">
        <v>9</v>
      </c>
      <c r="J2856" s="1" t="s">
        <v>237</v>
      </c>
      <c r="K2856" s="1" t="s">
        <v>248</v>
      </c>
      <c r="L2856" s="1" t="s">
        <v>249</v>
      </c>
      <c r="M2856" s="1">
        <v>13</v>
      </c>
      <c r="N2856" s="1" t="s">
        <v>39</v>
      </c>
      <c r="O2856" s="1">
        <v>32.976100000000002</v>
      </c>
      <c r="P2856" s="1">
        <v>-112.694</v>
      </c>
      <c r="Q2856" s="1" t="s">
        <v>316</v>
      </c>
      <c r="R2856" s="1" t="s">
        <v>41</v>
      </c>
      <c r="T2856" s="1" t="s">
        <v>71</v>
      </c>
      <c r="U2856" s="1" t="s">
        <v>44</v>
      </c>
      <c r="X2856" s="1" t="s">
        <v>64</v>
      </c>
      <c r="AA2856" s="3">
        <v>37641</v>
      </c>
      <c r="AB2856" s="1" t="s">
        <v>46</v>
      </c>
      <c r="AC2856" s="5">
        <v>2261</v>
      </c>
      <c r="AD2856" s="1" t="s">
        <v>6503</v>
      </c>
      <c r="AE2856" s="1" t="str">
        <f t="shared" si="200"/>
        <v>55306 4CTGB</v>
      </c>
      <c r="AF2856" s="14">
        <f>AF2855</f>
        <v>309.5</v>
      </c>
      <c r="AG2856" s="1" t="str">
        <f t="shared" si="199"/>
        <v>Y</v>
      </c>
    </row>
    <row r="2857" spans="1:33" x14ac:dyDescent="0.2">
      <c r="A2857" s="1" t="s">
        <v>1568</v>
      </c>
      <c r="B2857" s="1" t="s">
        <v>6504</v>
      </c>
      <c r="C2857" s="1">
        <v>55317</v>
      </c>
      <c r="D2857" s="1">
        <v>11</v>
      </c>
      <c r="F2857" s="1">
        <v>2023</v>
      </c>
      <c r="G2857" s="1" t="s">
        <v>579</v>
      </c>
      <c r="H2857" s="1">
        <v>610444</v>
      </c>
      <c r="I2857" s="1">
        <v>1</v>
      </c>
      <c r="K2857" s="1" t="s">
        <v>1578</v>
      </c>
      <c r="L2857" s="1" t="s">
        <v>1579</v>
      </c>
      <c r="M2857" s="1">
        <v>21</v>
      </c>
      <c r="N2857" s="1" t="s">
        <v>39</v>
      </c>
      <c r="O2857" s="1">
        <v>42.241700000000002</v>
      </c>
      <c r="P2857" s="1">
        <v>-70.965299999999999</v>
      </c>
      <c r="Q2857" s="1" t="s">
        <v>6505</v>
      </c>
      <c r="R2857" s="1" t="s">
        <v>41</v>
      </c>
      <c r="T2857" s="1" t="s">
        <v>71</v>
      </c>
      <c r="U2857" s="1" t="s">
        <v>44</v>
      </c>
      <c r="V2857" s="1" t="s">
        <v>94</v>
      </c>
      <c r="X2857" s="1" t="s">
        <v>643</v>
      </c>
      <c r="AA2857" s="3">
        <v>37703</v>
      </c>
      <c r="AB2857" s="1" t="s">
        <v>46</v>
      </c>
      <c r="AC2857" s="5">
        <v>3001</v>
      </c>
      <c r="AD2857" s="1" t="s">
        <v>6506</v>
      </c>
      <c r="AE2857" s="1" t="str">
        <f t="shared" si="200"/>
        <v>55317 11</v>
      </c>
      <c r="AF2857" s="14">
        <f>AF2858</f>
        <v>436.1</v>
      </c>
      <c r="AG2857" s="1" t="str">
        <f t="shared" si="199"/>
        <v>Y</v>
      </c>
    </row>
    <row r="2858" spans="1:33" x14ac:dyDescent="0.2">
      <c r="A2858" s="1" t="s">
        <v>1568</v>
      </c>
      <c r="B2858" s="1" t="s">
        <v>6504</v>
      </c>
      <c r="C2858" s="1">
        <v>55317</v>
      </c>
      <c r="D2858" s="1">
        <v>12</v>
      </c>
      <c r="F2858" s="1">
        <v>2023</v>
      </c>
      <c r="G2858" s="1" t="s">
        <v>579</v>
      </c>
      <c r="H2858" s="1">
        <v>610444</v>
      </c>
      <c r="I2858" s="1">
        <v>1</v>
      </c>
      <c r="K2858" s="1" t="s">
        <v>1578</v>
      </c>
      <c r="L2858" s="1" t="s">
        <v>1579</v>
      </c>
      <c r="M2858" s="1">
        <v>21</v>
      </c>
      <c r="N2858" s="1" t="s">
        <v>39</v>
      </c>
      <c r="O2858" s="1">
        <v>42.241700000000002</v>
      </c>
      <c r="P2858" s="1">
        <v>-70.965299999999999</v>
      </c>
      <c r="Q2858" s="1" t="s">
        <v>6505</v>
      </c>
      <c r="R2858" s="1" t="s">
        <v>41</v>
      </c>
      <c r="T2858" s="1" t="s">
        <v>71</v>
      </c>
      <c r="U2858" s="1" t="s">
        <v>44</v>
      </c>
      <c r="V2858" s="1" t="s">
        <v>94</v>
      </c>
      <c r="X2858" s="1" t="s">
        <v>643</v>
      </c>
      <c r="AA2858" s="3">
        <v>37731</v>
      </c>
      <c r="AB2858" s="1" t="s">
        <v>46</v>
      </c>
      <c r="AC2858" s="5">
        <v>3250</v>
      </c>
      <c r="AD2858" s="1" t="s">
        <v>6507</v>
      </c>
      <c r="AE2858" s="1" t="str">
        <f t="shared" si="200"/>
        <v>55317 12</v>
      </c>
      <c r="AF2858" s="14">
        <f>MID(AD2858,FIND("(",AD2858)+1,FIND(")",AD2858)-FIND("(",AD2858)-1)+315/2</f>
        <v>436.1</v>
      </c>
      <c r="AG2858" s="1" t="str">
        <f t="shared" si="199"/>
        <v>Y</v>
      </c>
    </row>
    <row r="2859" spans="1:33" x14ac:dyDescent="0.2">
      <c r="A2859" s="1" t="s">
        <v>383</v>
      </c>
      <c r="B2859" s="1" t="s">
        <v>6508</v>
      </c>
      <c r="C2859" s="1">
        <v>55320</v>
      </c>
      <c r="D2859" s="1" t="s">
        <v>1155</v>
      </c>
      <c r="F2859" s="1">
        <v>2023</v>
      </c>
      <c r="G2859" s="1" t="s">
        <v>346</v>
      </c>
      <c r="H2859" s="1">
        <v>603383</v>
      </c>
      <c r="I2859" s="1">
        <v>6</v>
      </c>
      <c r="K2859" s="1" t="s">
        <v>6509</v>
      </c>
      <c r="L2859" s="1" t="s">
        <v>6510</v>
      </c>
      <c r="M2859" s="1">
        <v>497</v>
      </c>
      <c r="N2859" s="1" t="s">
        <v>39</v>
      </c>
      <c r="O2859" s="1">
        <v>33.058300000000003</v>
      </c>
      <c r="P2859" s="1">
        <v>-97.910300000000007</v>
      </c>
      <c r="Q2859" s="1" t="s">
        <v>6511</v>
      </c>
      <c r="R2859" s="1" t="s">
        <v>41</v>
      </c>
      <c r="T2859" s="1" t="s">
        <v>71</v>
      </c>
      <c r="U2859" s="1" t="s">
        <v>44</v>
      </c>
      <c r="X2859" s="1" t="s">
        <v>64</v>
      </c>
      <c r="AA2859" s="3">
        <v>37894</v>
      </c>
      <c r="AB2859" s="1" t="s">
        <v>46</v>
      </c>
      <c r="AC2859" s="5">
        <v>3187.1</v>
      </c>
      <c r="AD2859" s="1" t="s">
        <v>6512</v>
      </c>
      <c r="AE2859" s="1" t="str">
        <f t="shared" si="200"/>
        <v>55320 GT-1</v>
      </c>
      <c r="AF2859" s="14">
        <f>AF2860</f>
        <v>373</v>
      </c>
      <c r="AG2859" s="1" t="str">
        <f t="shared" si="199"/>
        <v>Y</v>
      </c>
    </row>
    <row r="2860" spans="1:33" x14ac:dyDescent="0.2">
      <c r="A2860" s="1" t="s">
        <v>383</v>
      </c>
      <c r="B2860" s="1" t="s">
        <v>6508</v>
      </c>
      <c r="C2860" s="1">
        <v>55320</v>
      </c>
      <c r="D2860" s="1" t="s">
        <v>1162</v>
      </c>
      <c r="F2860" s="1">
        <v>2023</v>
      </c>
      <c r="G2860" s="1" t="s">
        <v>346</v>
      </c>
      <c r="H2860" s="1">
        <v>603383</v>
      </c>
      <c r="I2860" s="1">
        <v>6</v>
      </c>
      <c r="K2860" s="1" t="s">
        <v>6509</v>
      </c>
      <c r="L2860" s="1" t="s">
        <v>6510</v>
      </c>
      <c r="M2860" s="1">
        <v>497</v>
      </c>
      <c r="N2860" s="1" t="s">
        <v>39</v>
      </c>
      <c r="O2860" s="1">
        <v>33.058300000000003</v>
      </c>
      <c r="P2860" s="1">
        <v>-97.910300000000007</v>
      </c>
      <c r="Q2860" s="1" t="s">
        <v>6511</v>
      </c>
      <c r="R2860" s="1" t="s">
        <v>41</v>
      </c>
      <c r="T2860" s="1" t="s">
        <v>71</v>
      </c>
      <c r="U2860" s="1" t="s">
        <v>44</v>
      </c>
      <c r="X2860" s="1" t="s">
        <v>64</v>
      </c>
      <c r="AA2860" s="3">
        <v>37875</v>
      </c>
      <c r="AB2860" s="1" t="s">
        <v>46</v>
      </c>
      <c r="AC2860" s="5">
        <v>3187.1</v>
      </c>
      <c r="AD2860" s="1" t="s">
        <v>6513</v>
      </c>
      <c r="AE2860" s="1" t="str">
        <f t="shared" si="200"/>
        <v>55320 GT-2</v>
      </c>
      <c r="AF2860" s="14">
        <f>MID(AD2860,FIND("(",AD2860)+1,FIND(")",AD2860)-FIND("(",AD2860)-1)+262/2</f>
        <v>373</v>
      </c>
      <c r="AG2860" s="1" t="str">
        <f t="shared" si="199"/>
        <v>Y</v>
      </c>
    </row>
    <row r="2861" spans="1:33" x14ac:dyDescent="0.2">
      <c r="A2861" s="1" t="s">
        <v>1903</v>
      </c>
      <c r="B2861" s="1" t="s">
        <v>6514</v>
      </c>
      <c r="C2861" s="1">
        <v>55322</v>
      </c>
      <c r="D2861" s="1" t="s">
        <v>5681</v>
      </c>
      <c r="F2861" s="1">
        <v>2023</v>
      </c>
      <c r="G2861" s="1" t="s">
        <v>247</v>
      </c>
      <c r="H2861" s="1">
        <v>610268</v>
      </c>
      <c r="I2861" s="1">
        <v>9</v>
      </c>
      <c r="K2861" s="1" t="s">
        <v>170</v>
      </c>
      <c r="L2861" s="1" t="s">
        <v>1906</v>
      </c>
      <c r="M2861" s="1">
        <v>3</v>
      </c>
      <c r="N2861" s="1" t="s">
        <v>39</v>
      </c>
      <c r="O2861" s="1">
        <v>36.385300000000001</v>
      </c>
      <c r="P2861" s="1">
        <v>-114.9228</v>
      </c>
      <c r="Q2861" s="1" t="s">
        <v>1907</v>
      </c>
      <c r="R2861" s="1" t="s">
        <v>41</v>
      </c>
      <c r="T2861" s="1" t="s">
        <v>71</v>
      </c>
      <c r="U2861" s="1" t="s">
        <v>44</v>
      </c>
      <c r="X2861" s="1" t="s">
        <v>64</v>
      </c>
      <c r="AA2861" s="3">
        <v>38595</v>
      </c>
      <c r="AB2861" s="1" t="s">
        <v>46</v>
      </c>
      <c r="AC2861" s="5">
        <v>2425</v>
      </c>
      <c r="AD2861" s="1" t="s">
        <v>6515</v>
      </c>
      <c r="AE2861" s="1" t="str">
        <f t="shared" si="200"/>
        <v>55322 CTG-1</v>
      </c>
      <c r="AF2861" s="14">
        <f>MID(AD2861,FIND("(",AD2861)+1,FIND(")",AD2861)-FIND("(",AD2861)-1)+329.8/2</f>
        <v>366.4</v>
      </c>
      <c r="AG2861" s="1" t="str">
        <f t="shared" si="199"/>
        <v>Y</v>
      </c>
    </row>
    <row r="2862" spans="1:33" x14ac:dyDescent="0.2">
      <c r="A2862" s="1" t="s">
        <v>1903</v>
      </c>
      <c r="B2862" s="1" t="s">
        <v>6514</v>
      </c>
      <c r="C2862" s="1">
        <v>55322</v>
      </c>
      <c r="D2862" s="1" t="s">
        <v>5684</v>
      </c>
      <c r="F2862" s="1">
        <v>2023</v>
      </c>
      <c r="G2862" s="1" t="s">
        <v>247</v>
      </c>
      <c r="H2862" s="1">
        <v>610268</v>
      </c>
      <c r="I2862" s="1">
        <v>9</v>
      </c>
      <c r="K2862" s="1" t="s">
        <v>170</v>
      </c>
      <c r="L2862" s="1" t="s">
        <v>1906</v>
      </c>
      <c r="M2862" s="1">
        <v>3</v>
      </c>
      <c r="N2862" s="1" t="s">
        <v>39</v>
      </c>
      <c r="O2862" s="1">
        <v>36.385300000000001</v>
      </c>
      <c r="P2862" s="1">
        <v>-114.9228</v>
      </c>
      <c r="Q2862" s="1" t="s">
        <v>1907</v>
      </c>
      <c r="R2862" s="1" t="s">
        <v>41</v>
      </c>
      <c r="T2862" s="1" t="s">
        <v>71</v>
      </c>
      <c r="U2862" s="1" t="s">
        <v>44</v>
      </c>
      <c r="X2862" s="1" t="s">
        <v>64</v>
      </c>
      <c r="AA2862" s="3">
        <v>38607</v>
      </c>
      <c r="AB2862" s="1" t="s">
        <v>46</v>
      </c>
      <c r="AC2862" s="5">
        <v>2425</v>
      </c>
      <c r="AD2862" s="1" t="s">
        <v>6516</v>
      </c>
      <c r="AE2862" s="1" t="str">
        <f t="shared" si="200"/>
        <v>55322 CTG-2</v>
      </c>
      <c r="AF2862" s="14">
        <f>AF2861</f>
        <v>366.4</v>
      </c>
      <c r="AG2862" s="1" t="str">
        <f t="shared" si="199"/>
        <v>Y</v>
      </c>
    </row>
    <row r="2863" spans="1:33" x14ac:dyDescent="0.2">
      <c r="A2863" s="1" t="s">
        <v>1903</v>
      </c>
      <c r="B2863" s="1" t="s">
        <v>6514</v>
      </c>
      <c r="C2863" s="1">
        <v>55322</v>
      </c>
      <c r="D2863" s="1" t="s">
        <v>5750</v>
      </c>
      <c r="F2863" s="1">
        <v>2023</v>
      </c>
      <c r="G2863" s="1" t="s">
        <v>247</v>
      </c>
      <c r="H2863" s="1">
        <v>610268</v>
      </c>
      <c r="I2863" s="1">
        <v>9</v>
      </c>
      <c r="K2863" s="1" t="s">
        <v>170</v>
      </c>
      <c r="L2863" s="1" t="s">
        <v>1906</v>
      </c>
      <c r="M2863" s="1">
        <v>3</v>
      </c>
      <c r="N2863" s="1" t="s">
        <v>39</v>
      </c>
      <c r="O2863" s="1">
        <v>36.385300000000001</v>
      </c>
      <c r="P2863" s="1">
        <v>-114.9228</v>
      </c>
      <c r="Q2863" s="1" t="s">
        <v>1907</v>
      </c>
      <c r="R2863" s="1" t="s">
        <v>41</v>
      </c>
      <c r="T2863" s="1" t="s">
        <v>71</v>
      </c>
      <c r="U2863" s="1" t="s">
        <v>44</v>
      </c>
      <c r="X2863" s="1" t="s">
        <v>64</v>
      </c>
      <c r="AA2863" s="3">
        <v>38678</v>
      </c>
      <c r="AB2863" s="1" t="s">
        <v>46</v>
      </c>
      <c r="AC2863" s="5">
        <v>2425</v>
      </c>
      <c r="AD2863" s="1" t="s">
        <v>6517</v>
      </c>
      <c r="AE2863" s="1" t="str">
        <f t="shared" si="200"/>
        <v>55322 CTG-3</v>
      </c>
      <c r="AF2863" s="14">
        <f>AF2861</f>
        <v>366.4</v>
      </c>
      <c r="AG2863" s="1" t="str">
        <f t="shared" si="199"/>
        <v>Y</v>
      </c>
    </row>
    <row r="2864" spans="1:33" x14ac:dyDescent="0.2">
      <c r="A2864" s="1" t="s">
        <v>1903</v>
      </c>
      <c r="B2864" s="1" t="s">
        <v>6514</v>
      </c>
      <c r="C2864" s="1">
        <v>55322</v>
      </c>
      <c r="D2864" s="1" t="s">
        <v>5799</v>
      </c>
      <c r="F2864" s="1">
        <v>2023</v>
      </c>
      <c r="G2864" s="1" t="s">
        <v>247</v>
      </c>
      <c r="H2864" s="1">
        <v>610268</v>
      </c>
      <c r="I2864" s="1">
        <v>9</v>
      </c>
      <c r="K2864" s="1" t="s">
        <v>170</v>
      </c>
      <c r="L2864" s="1" t="s">
        <v>1906</v>
      </c>
      <c r="M2864" s="1">
        <v>3</v>
      </c>
      <c r="N2864" s="1" t="s">
        <v>39</v>
      </c>
      <c r="O2864" s="1">
        <v>36.385300000000001</v>
      </c>
      <c r="P2864" s="1">
        <v>-114.9228</v>
      </c>
      <c r="Q2864" s="1" t="s">
        <v>1907</v>
      </c>
      <c r="R2864" s="1" t="s">
        <v>41</v>
      </c>
      <c r="T2864" s="1" t="s">
        <v>71</v>
      </c>
      <c r="U2864" s="1" t="s">
        <v>44</v>
      </c>
      <c r="X2864" s="1" t="s">
        <v>64</v>
      </c>
      <c r="AA2864" s="3">
        <v>38688</v>
      </c>
      <c r="AB2864" s="1" t="s">
        <v>46</v>
      </c>
      <c r="AC2864" s="5">
        <v>2425</v>
      </c>
      <c r="AD2864" s="1" t="s">
        <v>6518</v>
      </c>
      <c r="AE2864" s="1" t="str">
        <f t="shared" si="200"/>
        <v>55322 CTG-4</v>
      </c>
      <c r="AF2864" s="14">
        <f>AF2861</f>
        <v>366.4</v>
      </c>
      <c r="AG2864" s="1" t="str">
        <f t="shared" si="199"/>
        <v>Y</v>
      </c>
    </row>
    <row r="2865" spans="1:33" x14ac:dyDescent="0.2">
      <c r="A2865" s="1" t="s">
        <v>383</v>
      </c>
      <c r="B2865" s="1" t="s">
        <v>6519</v>
      </c>
      <c r="C2865" s="1">
        <v>55327</v>
      </c>
      <c r="D2865" s="1" t="s">
        <v>5681</v>
      </c>
      <c r="F2865" s="1">
        <v>2023</v>
      </c>
      <c r="G2865" s="1" t="s">
        <v>346</v>
      </c>
      <c r="H2865" s="1" t="s">
        <v>6520</v>
      </c>
      <c r="I2865" s="1">
        <v>6</v>
      </c>
      <c r="K2865" s="1" t="s">
        <v>2921</v>
      </c>
      <c r="L2865" s="1" t="s">
        <v>2922</v>
      </c>
      <c r="M2865" s="1">
        <v>71</v>
      </c>
      <c r="N2865" s="1" t="s">
        <v>1680</v>
      </c>
      <c r="O2865" s="1">
        <v>29.773099999999999</v>
      </c>
      <c r="P2865" s="1">
        <v>-94.901899999999998</v>
      </c>
      <c r="Q2865" s="1" t="s">
        <v>6521</v>
      </c>
      <c r="R2865" s="1" t="s">
        <v>41</v>
      </c>
      <c r="T2865" s="1" t="s">
        <v>71</v>
      </c>
      <c r="U2865" s="1" t="s">
        <v>44</v>
      </c>
      <c r="X2865" s="1" t="s">
        <v>223</v>
      </c>
      <c r="AA2865" s="3">
        <v>37408</v>
      </c>
      <c r="AB2865" s="1" t="s">
        <v>46</v>
      </c>
      <c r="AC2865" s="5">
        <v>2500</v>
      </c>
      <c r="AD2865" s="1" t="s">
        <v>6522</v>
      </c>
      <c r="AE2865" s="1" t="str">
        <f t="shared" si="200"/>
        <v>55327 CTG-1</v>
      </c>
      <c r="AF2865" s="14">
        <f>MID(AD2865,FIND("(",AD2865)+1,FIND(")",AD2865)-FIND("(",AD2865)-1)+275/3</f>
        <v>301.66666666666669</v>
      </c>
      <c r="AG2865" s="1" t="str">
        <f t="shared" si="199"/>
        <v>Y</v>
      </c>
    </row>
    <row r="2866" spans="1:33" x14ac:dyDescent="0.2">
      <c r="A2866" s="1" t="s">
        <v>383</v>
      </c>
      <c r="B2866" s="1" t="s">
        <v>6519</v>
      </c>
      <c r="C2866" s="1">
        <v>55327</v>
      </c>
      <c r="D2866" s="1" t="s">
        <v>5684</v>
      </c>
      <c r="F2866" s="1">
        <v>2023</v>
      </c>
      <c r="G2866" s="1" t="s">
        <v>346</v>
      </c>
      <c r="H2866" s="1" t="s">
        <v>6520</v>
      </c>
      <c r="I2866" s="1">
        <v>6</v>
      </c>
      <c r="K2866" s="1" t="s">
        <v>2921</v>
      </c>
      <c r="L2866" s="1" t="s">
        <v>2922</v>
      </c>
      <c r="M2866" s="1">
        <v>71</v>
      </c>
      <c r="N2866" s="1" t="s">
        <v>1680</v>
      </c>
      <c r="O2866" s="1">
        <v>29.773099999999999</v>
      </c>
      <c r="P2866" s="1">
        <v>-94.901899999999998</v>
      </c>
      <c r="Q2866" s="1" t="s">
        <v>6521</v>
      </c>
      <c r="R2866" s="1" t="s">
        <v>41</v>
      </c>
      <c r="T2866" s="1" t="s">
        <v>71</v>
      </c>
      <c r="U2866" s="1" t="s">
        <v>44</v>
      </c>
      <c r="X2866" s="1" t="s">
        <v>223</v>
      </c>
      <c r="AA2866" s="3">
        <v>37408</v>
      </c>
      <c r="AB2866" s="1" t="s">
        <v>46</v>
      </c>
      <c r="AC2866" s="5">
        <v>2500</v>
      </c>
      <c r="AD2866" s="1" t="s">
        <v>6523</v>
      </c>
      <c r="AE2866" s="1" t="str">
        <f t="shared" si="200"/>
        <v>55327 CTG-2</v>
      </c>
      <c r="AF2866" s="14">
        <f>MID(AD2866,FIND("(",AD2866)+1,FIND(")",AD2866)-FIND("(",AD2866)-1)+275/3</f>
        <v>306.4666666666667</v>
      </c>
      <c r="AG2866" s="1" t="str">
        <f t="shared" si="199"/>
        <v>Y</v>
      </c>
    </row>
    <row r="2867" spans="1:33" x14ac:dyDescent="0.2">
      <c r="A2867" s="1" t="s">
        <v>383</v>
      </c>
      <c r="B2867" s="1" t="s">
        <v>6519</v>
      </c>
      <c r="C2867" s="1">
        <v>55327</v>
      </c>
      <c r="D2867" s="1" t="s">
        <v>5750</v>
      </c>
      <c r="F2867" s="1">
        <v>2023</v>
      </c>
      <c r="G2867" s="1" t="s">
        <v>346</v>
      </c>
      <c r="H2867" s="1" t="s">
        <v>6520</v>
      </c>
      <c r="I2867" s="1">
        <v>6</v>
      </c>
      <c r="K2867" s="1" t="s">
        <v>2921</v>
      </c>
      <c r="L2867" s="1" t="s">
        <v>2922</v>
      </c>
      <c r="M2867" s="1">
        <v>71</v>
      </c>
      <c r="N2867" s="1" t="s">
        <v>1680</v>
      </c>
      <c r="O2867" s="1">
        <v>29.773099999999999</v>
      </c>
      <c r="P2867" s="1">
        <v>-94.901899999999998</v>
      </c>
      <c r="Q2867" s="1" t="s">
        <v>6521</v>
      </c>
      <c r="R2867" s="1" t="s">
        <v>41</v>
      </c>
      <c r="T2867" s="1" t="s">
        <v>71</v>
      </c>
      <c r="U2867" s="1" t="s">
        <v>44</v>
      </c>
      <c r="X2867" s="1" t="s">
        <v>223</v>
      </c>
      <c r="AA2867" s="3">
        <v>37408</v>
      </c>
      <c r="AB2867" s="1" t="s">
        <v>46</v>
      </c>
      <c r="AC2867" s="5">
        <v>2500</v>
      </c>
      <c r="AD2867" s="1" t="s">
        <v>6524</v>
      </c>
      <c r="AE2867" s="1" t="str">
        <f t="shared" si="200"/>
        <v>55327 CTG-3</v>
      </c>
      <c r="AF2867" s="14">
        <f>AF2866</f>
        <v>306.4666666666667</v>
      </c>
      <c r="AG2867" s="1" t="str">
        <f t="shared" si="199"/>
        <v>Y</v>
      </c>
    </row>
    <row r="2868" spans="1:33" x14ac:dyDescent="0.2">
      <c r="A2868" s="1" t="s">
        <v>4093</v>
      </c>
      <c r="B2868" s="1" t="s">
        <v>6525</v>
      </c>
      <c r="C2868" s="1">
        <v>55328</v>
      </c>
      <c r="D2868" s="1" t="s">
        <v>5681</v>
      </c>
      <c r="F2868" s="1">
        <v>2023</v>
      </c>
      <c r="G2868" s="1" t="s">
        <v>247</v>
      </c>
      <c r="H2868" s="1">
        <v>609469</v>
      </c>
      <c r="I2868" s="1">
        <v>10</v>
      </c>
      <c r="J2868" s="1" t="s">
        <v>237</v>
      </c>
      <c r="K2868" s="1" t="s">
        <v>5385</v>
      </c>
      <c r="L2868" s="1" t="s">
        <v>5386</v>
      </c>
      <c r="M2868" s="1">
        <v>59</v>
      </c>
      <c r="N2868" s="1" t="s">
        <v>39</v>
      </c>
      <c r="O2868" s="1">
        <v>45.793399999999998</v>
      </c>
      <c r="P2868" s="1">
        <v>-119.313</v>
      </c>
      <c r="Q2868" s="1" t="s">
        <v>6526</v>
      </c>
      <c r="R2868" s="1" t="s">
        <v>41</v>
      </c>
      <c r="T2868" s="1" t="s">
        <v>71</v>
      </c>
      <c r="U2868" s="1" t="s">
        <v>44</v>
      </c>
      <c r="X2868" s="1" t="s">
        <v>64</v>
      </c>
      <c r="AA2868" s="3">
        <v>37376</v>
      </c>
      <c r="AB2868" s="1" t="s">
        <v>46</v>
      </c>
      <c r="AC2868" s="5">
        <v>2450</v>
      </c>
      <c r="AD2868" s="1" t="s">
        <v>6527</v>
      </c>
      <c r="AE2868" s="1" t="str">
        <f t="shared" si="200"/>
        <v>55328 CTG-1</v>
      </c>
      <c r="AF2868" s="14">
        <f>AF2869</f>
        <v>344.7</v>
      </c>
      <c r="AG2868" s="1" t="str">
        <f t="shared" si="199"/>
        <v>Y</v>
      </c>
    </row>
    <row r="2869" spans="1:33" x14ac:dyDescent="0.2">
      <c r="A2869" s="1" t="s">
        <v>4093</v>
      </c>
      <c r="B2869" s="1" t="s">
        <v>6525</v>
      </c>
      <c r="C2869" s="1">
        <v>55328</v>
      </c>
      <c r="D2869" s="1" t="s">
        <v>5684</v>
      </c>
      <c r="F2869" s="1">
        <v>2023</v>
      </c>
      <c r="G2869" s="1" t="s">
        <v>247</v>
      </c>
      <c r="H2869" s="1">
        <v>609469</v>
      </c>
      <c r="I2869" s="1">
        <v>10</v>
      </c>
      <c r="J2869" s="1" t="s">
        <v>237</v>
      </c>
      <c r="K2869" s="1" t="s">
        <v>5385</v>
      </c>
      <c r="L2869" s="1" t="s">
        <v>5386</v>
      </c>
      <c r="M2869" s="1">
        <v>59</v>
      </c>
      <c r="N2869" s="1" t="s">
        <v>39</v>
      </c>
      <c r="O2869" s="1">
        <v>45.793399999999998</v>
      </c>
      <c r="P2869" s="1">
        <v>-119.313</v>
      </c>
      <c r="Q2869" s="1" t="s">
        <v>6526</v>
      </c>
      <c r="R2869" s="1" t="s">
        <v>41</v>
      </c>
      <c r="T2869" s="1" t="s">
        <v>71</v>
      </c>
      <c r="U2869" s="1" t="s">
        <v>44</v>
      </c>
      <c r="X2869" s="1" t="s">
        <v>64</v>
      </c>
      <c r="AA2869" s="3">
        <v>37363</v>
      </c>
      <c r="AB2869" s="1" t="s">
        <v>46</v>
      </c>
      <c r="AC2869" s="5">
        <v>2450</v>
      </c>
      <c r="AD2869" s="1" t="s">
        <v>6528</v>
      </c>
      <c r="AE2869" s="1" t="str">
        <f t="shared" si="200"/>
        <v>55328 CTG-2</v>
      </c>
      <c r="AF2869" s="14">
        <f>MID(AD2869,FIND("(",AD2869)+1,FIND(")",AD2869)-FIND("(",AD2869)-1)+264.4/2</f>
        <v>344.7</v>
      </c>
      <c r="AG2869" s="1" t="str">
        <f t="shared" si="199"/>
        <v>Y</v>
      </c>
    </row>
    <row r="2870" spans="1:33" x14ac:dyDescent="0.2">
      <c r="A2870" s="1" t="s">
        <v>921</v>
      </c>
      <c r="B2870" s="1" t="s">
        <v>6529</v>
      </c>
      <c r="C2870" s="1">
        <v>55332</v>
      </c>
      <c r="D2870" s="1" t="s">
        <v>5642</v>
      </c>
      <c r="F2870" s="1">
        <v>2023</v>
      </c>
      <c r="G2870" s="1" t="s">
        <v>952</v>
      </c>
      <c r="H2870" s="1">
        <v>606323</v>
      </c>
      <c r="I2870" s="1">
        <v>4</v>
      </c>
      <c r="K2870" s="1" t="s">
        <v>196</v>
      </c>
      <c r="L2870" s="1" t="s">
        <v>6530</v>
      </c>
      <c r="M2870" s="1">
        <v>303</v>
      </c>
      <c r="N2870" s="1" t="s">
        <v>39</v>
      </c>
      <c r="O2870" s="1">
        <v>33.091700000000003</v>
      </c>
      <c r="P2870" s="1">
        <v>-82.9803</v>
      </c>
      <c r="Q2870" s="1" t="s">
        <v>6531</v>
      </c>
      <c r="R2870" s="1" t="s">
        <v>41</v>
      </c>
      <c r="T2870" s="1" t="s">
        <v>93</v>
      </c>
      <c r="U2870" s="1" t="s">
        <v>44</v>
      </c>
      <c r="X2870" s="1" t="s">
        <v>140</v>
      </c>
      <c r="AA2870" s="3">
        <v>37665</v>
      </c>
      <c r="AB2870" s="1" t="s">
        <v>46</v>
      </c>
      <c r="AC2870" s="5">
        <v>1944</v>
      </c>
      <c r="AD2870" s="1" t="s">
        <v>6532</v>
      </c>
      <c r="AE2870" s="1" t="str">
        <f t="shared" si="200"/>
        <v>55332 T1</v>
      </c>
      <c r="AF2870" s="5" t="str">
        <f>MID(AD2870,FIND("(",AD2870)+1,FIND(")",AD2870)-FIND("(",AD2870)-1)</f>
        <v>176</v>
      </c>
      <c r="AG2870" s="1" t="str">
        <f t="shared" si="199"/>
        <v/>
      </c>
    </row>
    <row r="2871" spans="1:33" x14ac:dyDescent="0.2">
      <c r="A2871" s="1" t="s">
        <v>921</v>
      </c>
      <c r="B2871" s="1" t="s">
        <v>6529</v>
      </c>
      <c r="C2871" s="1">
        <v>55332</v>
      </c>
      <c r="D2871" s="1" t="s">
        <v>5647</v>
      </c>
      <c r="F2871" s="1">
        <v>2023</v>
      </c>
      <c r="G2871" s="1" t="s">
        <v>952</v>
      </c>
      <c r="H2871" s="1">
        <v>606323</v>
      </c>
      <c r="I2871" s="1">
        <v>4</v>
      </c>
      <c r="K2871" s="1" t="s">
        <v>196</v>
      </c>
      <c r="L2871" s="1" t="s">
        <v>6530</v>
      </c>
      <c r="M2871" s="1">
        <v>303</v>
      </c>
      <c r="N2871" s="1" t="s">
        <v>39</v>
      </c>
      <c r="O2871" s="1">
        <v>33.091700000000003</v>
      </c>
      <c r="P2871" s="1">
        <v>-82.9803</v>
      </c>
      <c r="Q2871" s="1" t="s">
        <v>6533</v>
      </c>
      <c r="R2871" s="1" t="s">
        <v>41</v>
      </c>
      <c r="T2871" s="1" t="s">
        <v>93</v>
      </c>
      <c r="U2871" s="1" t="s">
        <v>44</v>
      </c>
      <c r="X2871" s="1" t="s">
        <v>140</v>
      </c>
      <c r="AA2871" s="3">
        <v>37683</v>
      </c>
      <c r="AB2871" s="1" t="s">
        <v>46</v>
      </c>
      <c r="AC2871" s="5">
        <v>1944</v>
      </c>
      <c r="AD2871" s="1" t="s">
        <v>6534</v>
      </c>
      <c r="AE2871" s="1" t="str">
        <f t="shared" si="200"/>
        <v>55332 T2</v>
      </c>
      <c r="AF2871" s="5" t="str">
        <f>MID(AD2871,FIND("(",AD2871)+1,FIND(")",AD2871)-FIND("(",AD2871)-1)</f>
        <v>176</v>
      </c>
      <c r="AG2871" s="1" t="str">
        <f t="shared" si="199"/>
        <v/>
      </c>
    </row>
    <row r="2872" spans="1:33" x14ac:dyDescent="0.2">
      <c r="A2872" s="1" t="s">
        <v>921</v>
      </c>
      <c r="B2872" s="1" t="s">
        <v>6529</v>
      </c>
      <c r="C2872" s="1">
        <v>55332</v>
      </c>
      <c r="D2872" s="1" t="s">
        <v>5649</v>
      </c>
      <c r="F2872" s="1">
        <v>2023</v>
      </c>
      <c r="G2872" s="1" t="s">
        <v>952</v>
      </c>
      <c r="H2872" s="1">
        <v>606323</v>
      </c>
      <c r="I2872" s="1">
        <v>4</v>
      </c>
      <c r="K2872" s="1" t="s">
        <v>196</v>
      </c>
      <c r="L2872" s="1" t="s">
        <v>6530</v>
      </c>
      <c r="M2872" s="1">
        <v>303</v>
      </c>
      <c r="N2872" s="1" t="s">
        <v>39</v>
      </c>
      <c r="O2872" s="1">
        <v>33.091700000000003</v>
      </c>
      <c r="P2872" s="1">
        <v>-82.9803</v>
      </c>
      <c r="Q2872" s="1" t="s">
        <v>6533</v>
      </c>
      <c r="R2872" s="1" t="s">
        <v>41</v>
      </c>
      <c r="T2872" s="1" t="s">
        <v>93</v>
      </c>
      <c r="U2872" s="1" t="s">
        <v>44</v>
      </c>
      <c r="X2872" s="1" t="s">
        <v>140</v>
      </c>
      <c r="AA2872" s="3">
        <v>37707</v>
      </c>
      <c r="AB2872" s="1" t="s">
        <v>46</v>
      </c>
      <c r="AC2872" s="5">
        <v>1944</v>
      </c>
      <c r="AD2872" s="1" t="s">
        <v>6535</v>
      </c>
      <c r="AE2872" s="1" t="str">
        <f t="shared" si="200"/>
        <v>55332 T3</v>
      </c>
      <c r="AF2872" s="5" t="str">
        <f>MID(AD2872,FIND("(",AD2872)+1,FIND(")",AD2872)-FIND("(",AD2872)-1)</f>
        <v>176</v>
      </c>
      <c r="AG2872" s="1" t="str">
        <f t="shared" si="199"/>
        <v/>
      </c>
    </row>
    <row r="2873" spans="1:33" x14ac:dyDescent="0.2">
      <c r="A2873" s="1" t="s">
        <v>921</v>
      </c>
      <c r="B2873" s="1" t="s">
        <v>6529</v>
      </c>
      <c r="C2873" s="1">
        <v>55332</v>
      </c>
      <c r="D2873" s="1" t="s">
        <v>5651</v>
      </c>
      <c r="F2873" s="1">
        <v>2023</v>
      </c>
      <c r="G2873" s="1" t="s">
        <v>952</v>
      </c>
      <c r="H2873" s="1">
        <v>606323</v>
      </c>
      <c r="I2873" s="1">
        <v>4</v>
      </c>
      <c r="K2873" s="1" t="s">
        <v>196</v>
      </c>
      <c r="L2873" s="1" t="s">
        <v>6530</v>
      </c>
      <c r="M2873" s="1">
        <v>303</v>
      </c>
      <c r="N2873" s="1" t="s">
        <v>39</v>
      </c>
      <c r="O2873" s="1">
        <v>33.091700000000003</v>
      </c>
      <c r="P2873" s="1">
        <v>-82.9803</v>
      </c>
      <c r="Q2873" s="1" t="s">
        <v>6531</v>
      </c>
      <c r="R2873" s="1" t="s">
        <v>41</v>
      </c>
      <c r="T2873" s="1" t="s">
        <v>93</v>
      </c>
      <c r="U2873" s="1" t="s">
        <v>44</v>
      </c>
      <c r="X2873" s="1" t="s">
        <v>140</v>
      </c>
      <c r="AA2873" s="3">
        <v>37718</v>
      </c>
      <c r="AB2873" s="1" t="s">
        <v>46</v>
      </c>
      <c r="AC2873" s="5">
        <v>1944</v>
      </c>
      <c r="AD2873" s="1" t="s">
        <v>6536</v>
      </c>
      <c r="AE2873" s="1" t="str">
        <f t="shared" si="200"/>
        <v>55332 T4</v>
      </c>
      <c r="AF2873" s="5" t="str">
        <f>MID(AD2873,FIND("(",AD2873)+1,FIND(")",AD2873)-FIND("(",AD2873)-1)</f>
        <v>176</v>
      </c>
      <c r="AG2873" s="1" t="str">
        <f t="shared" si="199"/>
        <v/>
      </c>
    </row>
    <row r="2874" spans="1:33" x14ac:dyDescent="0.2">
      <c r="A2874" s="1" t="s">
        <v>370</v>
      </c>
      <c r="B2874" s="1" t="s">
        <v>6537</v>
      </c>
      <c r="C2874" s="1">
        <v>55333</v>
      </c>
      <c r="D2874" s="1">
        <v>1</v>
      </c>
      <c r="F2874" s="1">
        <v>2023</v>
      </c>
      <c r="G2874" s="1" t="s">
        <v>247</v>
      </c>
      <c r="H2874" s="1" t="s">
        <v>6006</v>
      </c>
      <c r="I2874" s="1">
        <v>9</v>
      </c>
      <c r="K2874" s="1" t="s">
        <v>6007</v>
      </c>
      <c r="L2874" s="1" t="s">
        <v>6008</v>
      </c>
      <c r="M2874" s="1">
        <v>13</v>
      </c>
      <c r="N2874" s="1" t="s">
        <v>39</v>
      </c>
      <c r="O2874" s="1">
        <v>38.0167</v>
      </c>
      <c r="P2874" s="1">
        <v>-121.8439</v>
      </c>
      <c r="Q2874" s="1" t="s">
        <v>6538</v>
      </c>
      <c r="R2874" s="1" t="s">
        <v>41</v>
      </c>
      <c r="T2874" s="1" t="s">
        <v>71</v>
      </c>
      <c r="U2874" s="1" t="s">
        <v>44</v>
      </c>
      <c r="X2874" s="1" t="s">
        <v>4785</v>
      </c>
      <c r="AA2874" s="3">
        <v>37226</v>
      </c>
      <c r="AB2874" s="1" t="s">
        <v>46</v>
      </c>
      <c r="AC2874" s="5">
        <v>2125</v>
      </c>
      <c r="AD2874" s="1" t="s">
        <v>6539</v>
      </c>
      <c r="AE2874" s="1" t="str">
        <f t="shared" si="200"/>
        <v>55333 1</v>
      </c>
      <c r="AF2874" s="14">
        <f>MID(AD2874,FIND("(",AD2874)+1,FIND(")",AD2874)-FIND("(",AD2874)-1)+306/3</f>
        <v>314</v>
      </c>
      <c r="AG2874" s="1" t="str">
        <f t="shared" si="199"/>
        <v/>
      </c>
    </row>
    <row r="2875" spans="1:33" x14ac:dyDescent="0.2">
      <c r="A2875" s="1" t="s">
        <v>370</v>
      </c>
      <c r="B2875" s="1" t="s">
        <v>6537</v>
      </c>
      <c r="C2875" s="1">
        <v>55333</v>
      </c>
      <c r="D2875" s="1">
        <v>2</v>
      </c>
      <c r="F2875" s="1">
        <v>2023</v>
      </c>
      <c r="G2875" s="1" t="s">
        <v>247</v>
      </c>
      <c r="H2875" s="1" t="s">
        <v>6006</v>
      </c>
      <c r="I2875" s="1">
        <v>9</v>
      </c>
      <c r="K2875" s="1" t="s">
        <v>6007</v>
      </c>
      <c r="L2875" s="1" t="s">
        <v>6008</v>
      </c>
      <c r="M2875" s="1">
        <v>13</v>
      </c>
      <c r="N2875" s="1" t="s">
        <v>39</v>
      </c>
      <c r="O2875" s="1">
        <v>38.0167</v>
      </c>
      <c r="P2875" s="1">
        <v>-121.8439</v>
      </c>
      <c r="Q2875" s="1" t="s">
        <v>6538</v>
      </c>
      <c r="R2875" s="1" t="s">
        <v>41</v>
      </c>
      <c r="T2875" s="1" t="s">
        <v>71</v>
      </c>
      <c r="U2875" s="1" t="s">
        <v>44</v>
      </c>
      <c r="X2875" s="1" t="s">
        <v>4785</v>
      </c>
      <c r="AA2875" s="3">
        <v>37226</v>
      </c>
      <c r="AB2875" s="1" t="s">
        <v>46</v>
      </c>
      <c r="AC2875" s="5">
        <v>2125</v>
      </c>
      <c r="AD2875" s="1" t="s">
        <v>6540</v>
      </c>
      <c r="AE2875" s="1" t="str">
        <f t="shared" si="200"/>
        <v>55333 2</v>
      </c>
      <c r="AF2875" s="14">
        <f>AF2874</f>
        <v>314</v>
      </c>
      <c r="AG2875" s="1" t="str">
        <f t="shared" si="199"/>
        <v/>
      </c>
    </row>
    <row r="2876" spans="1:33" x14ac:dyDescent="0.2">
      <c r="A2876" s="1" t="s">
        <v>370</v>
      </c>
      <c r="B2876" s="1" t="s">
        <v>6537</v>
      </c>
      <c r="C2876" s="1">
        <v>55333</v>
      </c>
      <c r="D2876" s="1">
        <v>3</v>
      </c>
      <c r="F2876" s="1">
        <v>2023</v>
      </c>
      <c r="G2876" s="1" t="s">
        <v>247</v>
      </c>
      <c r="H2876" s="1" t="s">
        <v>6006</v>
      </c>
      <c r="I2876" s="1">
        <v>9</v>
      </c>
      <c r="K2876" s="1" t="s">
        <v>6007</v>
      </c>
      <c r="L2876" s="1" t="s">
        <v>6008</v>
      </c>
      <c r="M2876" s="1">
        <v>13</v>
      </c>
      <c r="N2876" s="1" t="s">
        <v>39</v>
      </c>
      <c r="O2876" s="1">
        <v>38.0167</v>
      </c>
      <c r="P2876" s="1">
        <v>-121.8439</v>
      </c>
      <c r="Q2876" s="1" t="s">
        <v>6538</v>
      </c>
      <c r="R2876" s="1" t="s">
        <v>41</v>
      </c>
      <c r="T2876" s="1" t="s">
        <v>71</v>
      </c>
      <c r="U2876" s="1" t="s">
        <v>44</v>
      </c>
      <c r="X2876" s="1" t="s">
        <v>4785</v>
      </c>
      <c r="AA2876" s="3">
        <v>37226</v>
      </c>
      <c r="AB2876" s="1" t="s">
        <v>46</v>
      </c>
      <c r="AC2876" s="5">
        <v>2125</v>
      </c>
      <c r="AD2876" s="1" t="s">
        <v>6541</v>
      </c>
      <c r="AE2876" s="1" t="str">
        <f t="shared" si="200"/>
        <v>55333 3</v>
      </c>
      <c r="AF2876" s="14">
        <f>MID(AD2876,FIND("(",AD2876)+1,FIND(")",AD2876)-FIND("(",AD2876)-1)+306/3</f>
        <v>315.5</v>
      </c>
      <c r="AG2876" s="1" t="str">
        <f t="shared" si="199"/>
        <v/>
      </c>
    </row>
    <row r="2877" spans="1:33" x14ac:dyDescent="0.2">
      <c r="A2877" s="1" t="s">
        <v>458</v>
      </c>
      <c r="B2877" s="1" t="s">
        <v>6542</v>
      </c>
      <c r="C2877" s="1">
        <v>55334</v>
      </c>
      <c r="D2877" s="1" t="s">
        <v>1129</v>
      </c>
      <c r="F2877" s="1">
        <v>2023</v>
      </c>
      <c r="G2877" s="1" t="s">
        <v>461</v>
      </c>
      <c r="H2877" s="1" t="s">
        <v>6543</v>
      </c>
      <c r="I2877" s="1">
        <v>5</v>
      </c>
      <c r="K2877" s="1" t="s">
        <v>117</v>
      </c>
      <c r="L2877" s="1" t="s">
        <v>6151</v>
      </c>
      <c r="M2877" s="1">
        <v>173</v>
      </c>
      <c r="N2877" s="1" t="s">
        <v>39</v>
      </c>
      <c r="O2877" s="1">
        <v>39.224200000000003</v>
      </c>
      <c r="P2877" s="1">
        <v>-88.759399999999999</v>
      </c>
      <c r="Q2877" s="1" t="s">
        <v>6544</v>
      </c>
      <c r="R2877" s="1" t="s">
        <v>41</v>
      </c>
      <c r="T2877" s="1" t="s">
        <v>71</v>
      </c>
      <c r="U2877" s="1" t="s">
        <v>44</v>
      </c>
      <c r="X2877" s="1" t="s">
        <v>64</v>
      </c>
      <c r="AA2877" s="3">
        <v>37344</v>
      </c>
      <c r="AB2877" s="1" t="s">
        <v>46</v>
      </c>
      <c r="AC2877" s="5">
        <v>2600</v>
      </c>
      <c r="AD2877" s="1" t="s">
        <v>6545</v>
      </c>
      <c r="AE2877" s="1" t="str">
        <f t="shared" si="200"/>
        <v>55334 CTG1</v>
      </c>
      <c r="AF2877" s="14">
        <f>AF2878</f>
        <v>351.05</v>
      </c>
      <c r="AG2877" s="1" t="str">
        <f t="shared" si="199"/>
        <v>Y</v>
      </c>
    </row>
    <row r="2878" spans="1:33" x14ac:dyDescent="0.2">
      <c r="A2878" s="1" t="s">
        <v>458</v>
      </c>
      <c r="B2878" s="1" t="s">
        <v>6542</v>
      </c>
      <c r="C2878" s="1">
        <v>55334</v>
      </c>
      <c r="D2878" s="1" t="s">
        <v>1135</v>
      </c>
      <c r="F2878" s="1">
        <v>2023</v>
      </c>
      <c r="G2878" s="1" t="s">
        <v>461</v>
      </c>
      <c r="H2878" s="1" t="s">
        <v>6543</v>
      </c>
      <c r="I2878" s="1">
        <v>5</v>
      </c>
      <c r="K2878" s="1" t="s">
        <v>117</v>
      </c>
      <c r="L2878" s="1" t="s">
        <v>6151</v>
      </c>
      <c r="M2878" s="1">
        <v>173</v>
      </c>
      <c r="N2878" s="1" t="s">
        <v>39</v>
      </c>
      <c r="O2878" s="1">
        <v>39.224200000000003</v>
      </c>
      <c r="P2878" s="1">
        <v>-88.759399999999999</v>
      </c>
      <c r="Q2878" s="1" t="s">
        <v>6544</v>
      </c>
      <c r="R2878" s="1" t="s">
        <v>41</v>
      </c>
      <c r="T2878" s="1" t="s">
        <v>71</v>
      </c>
      <c r="U2878" s="1" t="s">
        <v>44</v>
      </c>
      <c r="X2878" s="1" t="s">
        <v>64</v>
      </c>
      <c r="AA2878" s="3">
        <v>37345</v>
      </c>
      <c r="AB2878" s="1" t="s">
        <v>46</v>
      </c>
      <c r="AC2878" s="5">
        <v>2600</v>
      </c>
      <c r="AD2878" s="1" t="s">
        <v>6546</v>
      </c>
      <c r="AE2878" s="1" t="str">
        <f t="shared" si="200"/>
        <v>55334 CTG2</v>
      </c>
      <c r="AF2878" s="14">
        <f>MID(AD2878,FIND("(",AD2878)+1,FIND(")",AD2878)-FIND("(",AD2878)-1)+345.1/2</f>
        <v>351.05</v>
      </c>
      <c r="AG2878" s="1" t="str">
        <f t="shared" si="199"/>
        <v>Y</v>
      </c>
    </row>
    <row r="2879" spans="1:33" x14ac:dyDescent="0.2">
      <c r="A2879" s="1" t="s">
        <v>2584</v>
      </c>
      <c r="B2879" s="1" t="s">
        <v>6547</v>
      </c>
      <c r="C2879" s="1">
        <v>55337</v>
      </c>
      <c r="D2879" s="1">
        <v>1</v>
      </c>
      <c r="F2879" s="1">
        <v>2023</v>
      </c>
      <c r="G2879" s="1" t="s">
        <v>1515</v>
      </c>
      <c r="H2879" s="1">
        <v>605624</v>
      </c>
      <c r="I2879" s="1">
        <v>3</v>
      </c>
      <c r="K2879" s="1" t="s">
        <v>6548</v>
      </c>
      <c r="L2879" s="1" t="s">
        <v>6549</v>
      </c>
      <c r="M2879" s="1">
        <v>75</v>
      </c>
      <c r="N2879" s="1" t="s">
        <v>39</v>
      </c>
      <c r="O2879" s="1">
        <v>40.350900000000003</v>
      </c>
      <c r="P2879" s="1">
        <v>-76.365799999999993</v>
      </c>
      <c r="Q2879" s="1" t="s">
        <v>6550</v>
      </c>
      <c r="R2879" s="1" t="s">
        <v>41</v>
      </c>
      <c r="T2879" s="1" t="s">
        <v>71</v>
      </c>
      <c r="U2879" s="1" t="s">
        <v>44</v>
      </c>
      <c r="X2879" s="1" t="s">
        <v>2214</v>
      </c>
      <c r="AA2879" s="3">
        <v>37089</v>
      </c>
      <c r="AB2879" s="1" t="s">
        <v>46</v>
      </c>
      <c r="AC2879" s="5">
        <v>3000</v>
      </c>
      <c r="AD2879" s="1" t="s">
        <v>6551</v>
      </c>
      <c r="AE2879" s="1" t="str">
        <f t="shared" si="200"/>
        <v>55337 1</v>
      </c>
      <c r="AF2879" s="14">
        <f>AF2880</f>
        <v>374.2</v>
      </c>
      <c r="AG2879" s="1" t="str">
        <f t="shared" si="199"/>
        <v/>
      </c>
    </row>
    <row r="2880" spans="1:33" x14ac:dyDescent="0.2">
      <c r="A2880" s="1" t="s">
        <v>2584</v>
      </c>
      <c r="B2880" s="1" t="s">
        <v>6547</v>
      </c>
      <c r="C2880" s="1">
        <v>55337</v>
      </c>
      <c r="D2880" s="1">
        <v>2</v>
      </c>
      <c r="F2880" s="1">
        <v>2023</v>
      </c>
      <c r="G2880" s="1" t="s">
        <v>1515</v>
      </c>
      <c r="H2880" s="1">
        <v>605624</v>
      </c>
      <c r="I2880" s="1">
        <v>3</v>
      </c>
      <c r="K2880" s="1" t="s">
        <v>6548</v>
      </c>
      <c r="L2880" s="1" t="s">
        <v>6549</v>
      </c>
      <c r="M2880" s="1">
        <v>75</v>
      </c>
      <c r="N2880" s="1" t="s">
        <v>39</v>
      </c>
      <c r="O2880" s="1">
        <v>40.350900000000003</v>
      </c>
      <c r="P2880" s="1">
        <v>-76.365799999999993</v>
      </c>
      <c r="Q2880" s="1" t="s">
        <v>6550</v>
      </c>
      <c r="R2880" s="1" t="s">
        <v>41</v>
      </c>
      <c r="T2880" s="1" t="s">
        <v>71</v>
      </c>
      <c r="U2880" s="1" t="s">
        <v>44</v>
      </c>
      <c r="X2880" s="1" t="s">
        <v>2214</v>
      </c>
      <c r="AA2880" s="3">
        <v>37104</v>
      </c>
      <c r="AB2880" s="1" t="s">
        <v>46</v>
      </c>
      <c r="AC2880" s="5">
        <v>3000</v>
      </c>
      <c r="AD2880" s="1" t="s">
        <v>6552</v>
      </c>
      <c r="AE2880" s="1" t="str">
        <f t="shared" si="200"/>
        <v>55337 2</v>
      </c>
      <c r="AF2880" s="14">
        <f>MID(AD2880,FIND("(",AD2880)+1,FIND(")",AD2880)-FIND("(",AD2880)-1)+230/2</f>
        <v>374.2</v>
      </c>
      <c r="AG2880" s="1" t="str">
        <f t="shared" si="199"/>
        <v/>
      </c>
    </row>
    <row r="2881" spans="1:33" x14ac:dyDescent="0.2">
      <c r="A2881" s="1" t="s">
        <v>348</v>
      </c>
      <c r="B2881" s="1" t="s">
        <v>6553</v>
      </c>
      <c r="C2881" s="1">
        <v>55340</v>
      </c>
      <c r="D2881" s="1">
        <v>1</v>
      </c>
      <c r="F2881" s="1">
        <v>2023</v>
      </c>
      <c r="G2881" s="1" t="s">
        <v>346</v>
      </c>
      <c r="H2881" s="1">
        <v>606546</v>
      </c>
      <c r="I2881" s="1">
        <v>6</v>
      </c>
      <c r="K2881" s="1" t="s">
        <v>6554</v>
      </c>
      <c r="L2881" s="1" t="s">
        <v>6555</v>
      </c>
      <c r="M2881" s="1">
        <v>93</v>
      </c>
      <c r="N2881" s="1" t="s">
        <v>39</v>
      </c>
      <c r="O2881" s="1">
        <v>35.861899999999999</v>
      </c>
      <c r="P2881" s="1">
        <v>-90.025300000000001</v>
      </c>
      <c r="Q2881" s="1" t="s">
        <v>1831</v>
      </c>
      <c r="R2881" s="1" t="s">
        <v>41</v>
      </c>
      <c r="T2881" s="1" t="s">
        <v>71</v>
      </c>
      <c r="U2881" s="1" t="s">
        <v>44</v>
      </c>
      <c r="V2881" s="1" t="s">
        <v>94</v>
      </c>
      <c r="X2881" s="1" t="s">
        <v>64</v>
      </c>
      <c r="AA2881" s="3">
        <v>39210</v>
      </c>
      <c r="AB2881" s="1" t="s">
        <v>46</v>
      </c>
      <c r="AC2881" s="5">
        <v>3672.9</v>
      </c>
      <c r="AD2881" s="1" t="s">
        <v>6556</v>
      </c>
      <c r="AE2881" s="1" t="str">
        <f t="shared" si="200"/>
        <v>55340 1</v>
      </c>
      <c r="AF2881" s="14">
        <f>AF2882</f>
        <v>339.5</v>
      </c>
      <c r="AG2881" s="1" t="str">
        <f t="shared" si="199"/>
        <v>Y</v>
      </c>
    </row>
    <row r="2882" spans="1:33" x14ac:dyDescent="0.2">
      <c r="A2882" s="1" t="s">
        <v>348</v>
      </c>
      <c r="B2882" s="1" t="s">
        <v>6553</v>
      </c>
      <c r="C2882" s="1">
        <v>55340</v>
      </c>
      <c r="D2882" s="1">
        <v>2</v>
      </c>
      <c r="F2882" s="1">
        <v>2023</v>
      </c>
      <c r="G2882" s="1" t="s">
        <v>346</v>
      </c>
      <c r="H2882" s="1">
        <v>606546</v>
      </c>
      <c r="I2882" s="1">
        <v>6</v>
      </c>
      <c r="K2882" s="1" t="s">
        <v>6554</v>
      </c>
      <c r="L2882" s="1" t="s">
        <v>6555</v>
      </c>
      <c r="M2882" s="1">
        <v>93</v>
      </c>
      <c r="N2882" s="1" t="s">
        <v>39</v>
      </c>
      <c r="O2882" s="1">
        <v>35.861899999999999</v>
      </c>
      <c r="P2882" s="1">
        <v>-90.025300000000001</v>
      </c>
      <c r="Q2882" s="1" t="s">
        <v>1831</v>
      </c>
      <c r="R2882" s="1" t="s">
        <v>41</v>
      </c>
      <c r="T2882" s="1" t="s">
        <v>71</v>
      </c>
      <c r="U2882" s="1" t="s">
        <v>44</v>
      </c>
      <c r="V2882" s="1" t="s">
        <v>94</v>
      </c>
      <c r="X2882" s="1" t="s">
        <v>64</v>
      </c>
      <c r="AA2882" s="3">
        <v>39195</v>
      </c>
      <c r="AB2882" s="1" t="s">
        <v>46</v>
      </c>
      <c r="AC2882" s="5">
        <v>4348.1000000000004</v>
      </c>
      <c r="AD2882" s="1" t="s">
        <v>6557</v>
      </c>
      <c r="AE2882" s="1" t="str">
        <f t="shared" si="200"/>
        <v>55340 2</v>
      </c>
      <c r="AF2882" s="14">
        <f>MID(AD2882,FIND("(",AD2882)+1,FIND(")",AD2882)-FIND("(",AD2882)-1)+281/2</f>
        <v>339.5</v>
      </c>
      <c r="AG2882" s="1" t="str">
        <f t="shared" ref="AG2882:AG2945" si="201">IF(ISNUMBER(SEARCH("selective", X2882)), "Y", "")</f>
        <v>Y</v>
      </c>
    </row>
    <row r="2883" spans="1:33" x14ac:dyDescent="0.2">
      <c r="A2883" s="1" t="s">
        <v>2054</v>
      </c>
      <c r="B2883" s="1" t="s">
        <v>6558</v>
      </c>
      <c r="C2883" s="1">
        <v>55343</v>
      </c>
      <c r="D2883" s="1" t="s">
        <v>1129</v>
      </c>
      <c r="F2883" s="1">
        <v>2023</v>
      </c>
      <c r="G2883" s="1" t="s">
        <v>247</v>
      </c>
      <c r="H2883" s="1">
        <v>610023</v>
      </c>
      <c r="I2883" s="1">
        <v>6</v>
      </c>
      <c r="K2883" s="1" t="s">
        <v>6559</v>
      </c>
      <c r="L2883" s="1" t="s">
        <v>6560</v>
      </c>
      <c r="M2883" s="1">
        <v>29</v>
      </c>
      <c r="N2883" s="1" t="s">
        <v>39</v>
      </c>
      <c r="O2883" s="1">
        <v>32.298299999999998</v>
      </c>
      <c r="P2883" s="1">
        <v>-107.78</v>
      </c>
      <c r="Q2883" s="1" t="s">
        <v>2078</v>
      </c>
      <c r="R2883" s="1" t="s">
        <v>41</v>
      </c>
      <c r="T2883" s="1" t="s">
        <v>71</v>
      </c>
      <c r="U2883" s="1" t="s">
        <v>44</v>
      </c>
      <c r="X2883" s="1" t="s">
        <v>64</v>
      </c>
      <c r="AA2883" s="3">
        <v>38700</v>
      </c>
      <c r="AB2883" s="1" t="s">
        <v>46</v>
      </c>
      <c r="AC2883" s="5">
        <v>2381.1999999999998</v>
      </c>
      <c r="AD2883" s="1" t="s">
        <v>6561</v>
      </c>
      <c r="AE2883" s="1" t="str">
        <f t="shared" ref="AE2883:AE2946" si="202">C2883&amp;" "&amp;D2883</f>
        <v>55343 CTG1</v>
      </c>
      <c r="AF2883" s="14">
        <f>AF2884</f>
        <v>325</v>
      </c>
      <c r="AG2883" s="1" t="str">
        <f t="shared" si="201"/>
        <v>Y</v>
      </c>
    </row>
    <row r="2884" spans="1:33" x14ac:dyDescent="0.2">
      <c r="A2884" s="1" t="s">
        <v>2054</v>
      </c>
      <c r="B2884" s="1" t="s">
        <v>6558</v>
      </c>
      <c r="C2884" s="1">
        <v>55343</v>
      </c>
      <c r="D2884" s="1" t="s">
        <v>1135</v>
      </c>
      <c r="F2884" s="1">
        <v>2023</v>
      </c>
      <c r="G2884" s="1" t="s">
        <v>247</v>
      </c>
      <c r="H2884" s="1">
        <v>610023</v>
      </c>
      <c r="I2884" s="1">
        <v>6</v>
      </c>
      <c r="K2884" s="1" t="s">
        <v>6559</v>
      </c>
      <c r="L2884" s="1" t="s">
        <v>6560</v>
      </c>
      <c r="M2884" s="1">
        <v>29</v>
      </c>
      <c r="N2884" s="1" t="s">
        <v>39</v>
      </c>
      <c r="O2884" s="1">
        <v>32.298299999999998</v>
      </c>
      <c r="P2884" s="1">
        <v>-107.78</v>
      </c>
      <c r="Q2884" s="1" t="s">
        <v>2078</v>
      </c>
      <c r="R2884" s="1" t="s">
        <v>41</v>
      </c>
      <c r="T2884" s="1" t="s">
        <v>71</v>
      </c>
      <c r="U2884" s="1" t="s">
        <v>44</v>
      </c>
      <c r="X2884" s="1" t="s">
        <v>64</v>
      </c>
      <c r="AA2884" s="3">
        <v>38697</v>
      </c>
      <c r="AB2884" s="1" t="s">
        <v>46</v>
      </c>
      <c r="AC2884" s="5">
        <v>2381.1999999999998</v>
      </c>
      <c r="AD2884" s="1" t="s">
        <v>6562</v>
      </c>
      <c r="AE2884" s="1" t="str">
        <f t="shared" si="202"/>
        <v>55343 CTG2</v>
      </c>
      <c r="AF2884" s="14">
        <f>MID(AD2884,FIND("(",AD2884)+1,FIND(")",AD2884)-FIND("(",AD2884)-1)+300/2</f>
        <v>325</v>
      </c>
      <c r="AG2884" s="1" t="str">
        <f t="shared" si="201"/>
        <v>Y</v>
      </c>
    </row>
    <row r="2885" spans="1:33" x14ac:dyDescent="0.2">
      <c r="A2885" s="1" t="s">
        <v>370</v>
      </c>
      <c r="B2885" s="1" t="s">
        <v>6563</v>
      </c>
      <c r="C2885" s="1">
        <v>55345</v>
      </c>
      <c r="D2885" s="1" t="s">
        <v>5681</v>
      </c>
      <c r="F2885" s="1">
        <v>2023</v>
      </c>
      <c r="G2885" s="1" t="s">
        <v>247</v>
      </c>
      <c r="H2885" s="1">
        <v>600932</v>
      </c>
      <c r="I2885" s="1">
        <v>9</v>
      </c>
      <c r="J2885" s="1" t="s">
        <v>237</v>
      </c>
      <c r="K2885" s="1" t="s">
        <v>395</v>
      </c>
      <c r="L2885" s="1" t="s">
        <v>396</v>
      </c>
      <c r="M2885" s="1">
        <v>73</v>
      </c>
      <c r="N2885" s="1" t="s">
        <v>39</v>
      </c>
      <c r="O2885" s="1">
        <v>32.573300000000003</v>
      </c>
      <c r="P2885" s="1">
        <v>-116.9153</v>
      </c>
      <c r="Q2885" s="1" t="s">
        <v>6564</v>
      </c>
      <c r="R2885" s="1" t="s">
        <v>41</v>
      </c>
      <c r="T2885" s="1" t="s">
        <v>71</v>
      </c>
      <c r="U2885" s="1" t="s">
        <v>44</v>
      </c>
      <c r="X2885" s="1" t="s">
        <v>64</v>
      </c>
      <c r="AA2885" s="3">
        <v>40016</v>
      </c>
      <c r="AB2885" s="1" t="s">
        <v>46</v>
      </c>
      <c r="AC2885" s="5">
        <v>2200</v>
      </c>
      <c r="AD2885" s="1" t="s">
        <v>6565</v>
      </c>
      <c r="AE2885" s="1" t="str">
        <f t="shared" si="202"/>
        <v>55345 CTG-1</v>
      </c>
      <c r="AF2885" s="14">
        <f>MID(AD2885,FIND("(",AD2885)+1,FIND(")",AD2885)-FIND("(",AD2885)-1)+290.7/2</f>
        <v>344.25</v>
      </c>
      <c r="AG2885" s="1" t="str">
        <f t="shared" si="201"/>
        <v>Y</v>
      </c>
    </row>
    <row r="2886" spans="1:33" x14ac:dyDescent="0.2">
      <c r="A2886" s="1" t="s">
        <v>370</v>
      </c>
      <c r="B2886" s="1" t="s">
        <v>6563</v>
      </c>
      <c r="C2886" s="1">
        <v>55345</v>
      </c>
      <c r="D2886" s="1" t="s">
        <v>5684</v>
      </c>
      <c r="F2886" s="1">
        <v>2023</v>
      </c>
      <c r="G2886" s="1" t="s">
        <v>247</v>
      </c>
      <c r="H2886" s="1">
        <v>600932</v>
      </c>
      <c r="I2886" s="1">
        <v>9</v>
      </c>
      <c r="J2886" s="1" t="s">
        <v>237</v>
      </c>
      <c r="K2886" s="1" t="s">
        <v>395</v>
      </c>
      <c r="L2886" s="1" t="s">
        <v>396</v>
      </c>
      <c r="M2886" s="1">
        <v>73</v>
      </c>
      <c r="N2886" s="1" t="s">
        <v>39</v>
      </c>
      <c r="O2886" s="1">
        <v>32.573300000000003</v>
      </c>
      <c r="P2886" s="1">
        <v>-116.9153</v>
      </c>
      <c r="Q2886" s="1" t="s">
        <v>6564</v>
      </c>
      <c r="R2886" s="1" t="s">
        <v>41</v>
      </c>
      <c r="T2886" s="1" t="s">
        <v>71</v>
      </c>
      <c r="U2886" s="1" t="s">
        <v>44</v>
      </c>
      <c r="X2886" s="1" t="s">
        <v>64</v>
      </c>
      <c r="AA2886" s="3">
        <v>40017</v>
      </c>
      <c r="AB2886" s="1" t="s">
        <v>46</v>
      </c>
      <c r="AC2886" s="5">
        <v>2200</v>
      </c>
      <c r="AD2886" s="1" t="s">
        <v>6566</v>
      </c>
      <c r="AE2886" s="1" t="str">
        <f t="shared" si="202"/>
        <v>55345 CTG-2</v>
      </c>
      <c r="AF2886" s="14">
        <f>AF2885</f>
        <v>344.25</v>
      </c>
      <c r="AG2886" s="1" t="str">
        <f t="shared" si="201"/>
        <v>Y</v>
      </c>
    </row>
    <row r="2887" spans="1:33" x14ac:dyDescent="0.2">
      <c r="A2887" s="1" t="s">
        <v>2584</v>
      </c>
      <c r="B2887" s="1" t="s">
        <v>6567</v>
      </c>
      <c r="C2887" s="1">
        <v>55347</v>
      </c>
      <c r="D2887" s="1">
        <v>1</v>
      </c>
      <c r="F2887" s="1">
        <v>2023</v>
      </c>
      <c r="G2887" s="1" t="s">
        <v>1515</v>
      </c>
      <c r="H2887" s="1">
        <v>605624</v>
      </c>
      <c r="I2887" s="1">
        <v>3</v>
      </c>
      <c r="K2887" s="1" t="s">
        <v>2636</v>
      </c>
      <c r="L2887" s="1" t="s">
        <v>2637</v>
      </c>
      <c r="M2887" s="1">
        <v>5</v>
      </c>
      <c r="N2887" s="1" t="s">
        <v>39</v>
      </c>
      <c r="O2887" s="1">
        <v>40.638300000000001</v>
      </c>
      <c r="P2887" s="1">
        <v>-79.350300000000004</v>
      </c>
      <c r="Q2887" s="1" t="s">
        <v>6568</v>
      </c>
      <c r="R2887" s="1" t="s">
        <v>41</v>
      </c>
      <c r="T2887" s="1" t="s">
        <v>93</v>
      </c>
      <c r="U2887" s="1" t="s">
        <v>44</v>
      </c>
      <c r="V2887" s="1" t="s">
        <v>94</v>
      </c>
      <c r="X2887" s="1" t="s">
        <v>183</v>
      </c>
      <c r="AA2887" s="3">
        <v>37357</v>
      </c>
      <c r="AB2887" s="1" t="s">
        <v>46</v>
      </c>
      <c r="AC2887" s="5">
        <v>1926</v>
      </c>
      <c r="AD2887" s="1" t="s">
        <v>6569</v>
      </c>
      <c r="AE2887" s="1" t="str">
        <f t="shared" si="202"/>
        <v>55347 1</v>
      </c>
      <c r="AF2887" s="5" t="str">
        <f t="shared" ref="AF2887:AF2896" si="203">MID(AD2887,FIND("(",AD2887)+1,FIND(")",AD2887)-FIND("(",AD2887)-1)</f>
        <v>172</v>
      </c>
      <c r="AG2887" s="1" t="str">
        <f t="shared" si="201"/>
        <v/>
      </c>
    </row>
    <row r="2888" spans="1:33" x14ac:dyDescent="0.2">
      <c r="A2888" s="1" t="s">
        <v>2584</v>
      </c>
      <c r="B2888" s="1" t="s">
        <v>6567</v>
      </c>
      <c r="C2888" s="1">
        <v>55347</v>
      </c>
      <c r="D2888" s="1">
        <v>2</v>
      </c>
      <c r="F2888" s="1">
        <v>2023</v>
      </c>
      <c r="G2888" s="1" t="s">
        <v>1515</v>
      </c>
      <c r="H2888" s="1">
        <v>605624</v>
      </c>
      <c r="I2888" s="1">
        <v>3</v>
      </c>
      <c r="K2888" s="1" t="s">
        <v>2636</v>
      </c>
      <c r="L2888" s="1" t="s">
        <v>2637</v>
      </c>
      <c r="M2888" s="1">
        <v>5</v>
      </c>
      <c r="N2888" s="1" t="s">
        <v>39</v>
      </c>
      <c r="O2888" s="1">
        <v>40.638300000000001</v>
      </c>
      <c r="P2888" s="1">
        <v>-79.350300000000004</v>
      </c>
      <c r="Q2888" s="1" t="s">
        <v>6568</v>
      </c>
      <c r="R2888" s="1" t="s">
        <v>41</v>
      </c>
      <c r="T2888" s="1" t="s">
        <v>93</v>
      </c>
      <c r="U2888" s="1" t="s">
        <v>44</v>
      </c>
      <c r="V2888" s="1" t="s">
        <v>94</v>
      </c>
      <c r="X2888" s="1" t="s">
        <v>183</v>
      </c>
      <c r="AA2888" s="3">
        <v>37362</v>
      </c>
      <c r="AB2888" s="1" t="s">
        <v>46</v>
      </c>
      <c r="AC2888" s="5">
        <v>1926</v>
      </c>
      <c r="AD2888" s="1" t="s">
        <v>6570</v>
      </c>
      <c r="AE2888" s="1" t="str">
        <f t="shared" si="202"/>
        <v>55347 2</v>
      </c>
      <c r="AF2888" s="5" t="str">
        <f t="shared" si="203"/>
        <v>172</v>
      </c>
      <c r="AG2888" s="1" t="str">
        <f t="shared" si="201"/>
        <v/>
      </c>
    </row>
    <row r="2889" spans="1:33" x14ac:dyDescent="0.2">
      <c r="A2889" s="1" t="s">
        <v>2584</v>
      </c>
      <c r="B2889" s="1" t="s">
        <v>6567</v>
      </c>
      <c r="C2889" s="1">
        <v>55347</v>
      </c>
      <c r="D2889" s="1">
        <v>3</v>
      </c>
      <c r="F2889" s="1">
        <v>2023</v>
      </c>
      <c r="G2889" s="1" t="s">
        <v>1515</v>
      </c>
      <c r="H2889" s="1">
        <v>605624</v>
      </c>
      <c r="I2889" s="1">
        <v>3</v>
      </c>
      <c r="K2889" s="1" t="s">
        <v>2636</v>
      </c>
      <c r="L2889" s="1" t="s">
        <v>2637</v>
      </c>
      <c r="M2889" s="1">
        <v>5</v>
      </c>
      <c r="N2889" s="1" t="s">
        <v>39</v>
      </c>
      <c r="O2889" s="1">
        <v>40.638300000000001</v>
      </c>
      <c r="P2889" s="1">
        <v>-79.350300000000004</v>
      </c>
      <c r="Q2889" s="1" t="s">
        <v>6568</v>
      </c>
      <c r="R2889" s="1" t="s">
        <v>41</v>
      </c>
      <c r="T2889" s="1" t="s">
        <v>93</v>
      </c>
      <c r="U2889" s="1" t="s">
        <v>44</v>
      </c>
      <c r="V2889" s="1" t="s">
        <v>94</v>
      </c>
      <c r="X2889" s="1" t="s">
        <v>183</v>
      </c>
      <c r="AA2889" s="3">
        <v>37372</v>
      </c>
      <c r="AB2889" s="1" t="s">
        <v>46</v>
      </c>
      <c r="AC2889" s="5">
        <v>1926</v>
      </c>
      <c r="AD2889" s="1" t="s">
        <v>6571</v>
      </c>
      <c r="AE2889" s="1" t="str">
        <f t="shared" si="202"/>
        <v>55347 3</v>
      </c>
      <c r="AF2889" s="5" t="str">
        <f t="shared" si="203"/>
        <v>172</v>
      </c>
      <c r="AG2889" s="1" t="str">
        <f t="shared" si="201"/>
        <v/>
      </c>
    </row>
    <row r="2890" spans="1:33" x14ac:dyDescent="0.2">
      <c r="A2890" s="1" t="s">
        <v>2584</v>
      </c>
      <c r="B2890" s="1" t="s">
        <v>6567</v>
      </c>
      <c r="C2890" s="1">
        <v>55347</v>
      </c>
      <c r="D2890" s="1">
        <v>4</v>
      </c>
      <c r="F2890" s="1">
        <v>2023</v>
      </c>
      <c r="G2890" s="1" t="s">
        <v>1515</v>
      </c>
      <c r="H2890" s="1">
        <v>605624</v>
      </c>
      <c r="I2890" s="1">
        <v>3</v>
      </c>
      <c r="K2890" s="1" t="s">
        <v>2636</v>
      </c>
      <c r="L2890" s="1" t="s">
        <v>2637</v>
      </c>
      <c r="M2890" s="1">
        <v>5</v>
      </c>
      <c r="N2890" s="1" t="s">
        <v>39</v>
      </c>
      <c r="O2890" s="1">
        <v>40.638300000000001</v>
      </c>
      <c r="P2890" s="1">
        <v>-79.350300000000004</v>
      </c>
      <c r="Q2890" s="1" t="s">
        <v>6568</v>
      </c>
      <c r="R2890" s="1" t="s">
        <v>41</v>
      </c>
      <c r="T2890" s="1" t="s">
        <v>93</v>
      </c>
      <c r="U2890" s="1" t="s">
        <v>44</v>
      </c>
      <c r="V2890" s="1" t="s">
        <v>94</v>
      </c>
      <c r="X2890" s="1" t="s">
        <v>183</v>
      </c>
      <c r="AA2890" s="3">
        <v>37384</v>
      </c>
      <c r="AB2890" s="1" t="s">
        <v>46</v>
      </c>
      <c r="AC2890" s="5">
        <v>1926</v>
      </c>
      <c r="AD2890" s="1" t="s">
        <v>6572</v>
      </c>
      <c r="AE2890" s="1" t="str">
        <f t="shared" si="202"/>
        <v>55347 4</v>
      </c>
      <c r="AF2890" s="5" t="str">
        <f t="shared" si="203"/>
        <v>172</v>
      </c>
      <c r="AG2890" s="1" t="str">
        <f t="shared" si="201"/>
        <v/>
      </c>
    </row>
    <row r="2891" spans="1:33" x14ac:dyDescent="0.2">
      <c r="A2891" s="1" t="s">
        <v>2430</v>
      </c>
      <c r="B2891" s="1" t="s">
        <v>6573</v>
      </c>
      <c r="C2891" s="1">
        <v>55348</v>
      </c>
      <c r="D2891" s="1">
        <v>1</v>
      </c>
      <c r="F2891" s="1">
        <v>2023</v>
      </c>
      <c r="G2891" s="1" t="s">
        <v>461</v>
      </c>
      <c r="H2891" s="1">
        <v>605624</v>
      </c>
      <c r="I2891" s="1">
        <v>5</v>
      </c>
      <c r="K2891" s="1" t="s">
        <v>4243</v>
      </c>
      <c r="L2891" s="1" t="s">
        <v>4244</v>
      </c>
      <c r="M2891" s="1">
        <v>173</v>
      </c>
      <c r="N2891" s="1" t="s">
        <v>39</v>
      </c>
      <c r="O2891" s="1">
        <v>41.477400000000003</v>
      </c>
      <c r="P2891" s="1">
        <v>-83.461600000000004</v>
      </c>
      <c r="Q2891" s="1" t="s">
        <v>6574</v>
      </c>
      <c r="R2891" s="1" t="s">
        <v>41</v>
      </c>
      <c r="T2891" s="1" t="s">
        <v>93</v>
      </c>
      <c r="U2891" s="1" t="s">
        <v>44</v>
      </c>
      <c r="V2891" s="1" t="s">
        <v>94</v>
      </c>
      <c r="X2891" s="1" t="s">
        <v>183</v>
      </c>
      <c r="AA2891" s="3">
        <v>37354</v>
      </c>
      <c r="AB2891" s="1" t="s">
        <v>46</v>
      </c>
      <c r="AC2891" s="5">
        <v>2128</v>
      </c>
      <c r="AD2891" s="1" t="s">
        <v>6575</v>
      </c>
      <c r="AE2891" s="1" t="str">
        <f t="shared" si="202"/>
        <v>55348 1</v>
      </c>
      <c r="AF2891" s="5" t="str">
        <f t="shared" si="203"/>
        <v>196.9</v>
      </c>
      <c r="AG2891" s="1" t="str">
        <f t="shared" si="201"/>
        <v/>
      </c>
    </row>
    <row r="2892" spans="1:33" x14ac:dyDescent="0.2">
      <c r="A2892" s="1" t="s">
        <v>2430</v>
      </c>
      <c r="B2892" s="1" t="s">
        <v>6573</v>
      </c>
      <c r="C2892" s="1">
        <v>55348</v>
      </c>
      <c r="D2892" s="1">
        <v>2</v>
      </c>
      <c r="F2892" s="1">
        <v>2023</v>
      </c>
      <c r="G2892" s="1" t="s">
        <v>461</v>
      </c>
      <c r="H2892" s="1">
        <v>605624</v>
      </c>
      <c r="I2892" s="1">
        <v>5</v>
      </c>
      <c r="K2892" s="1" t="s">
        <v>4243</v>
      </c>
      <c r="L2892" s="1" t="s">
        <v>4244</v>
      </c>
      <c r="M2892" s="1">
        <v>173</v>
      </c>
      <c r="N2892" s="1" t="s">
        <v>39</v>
      </c>
      <c r="O2892" s="1">
        <v>41.477400000000003</v>
      </c>
      <c r="P2892" s="1">
        <v>-83.461600000000004</v>
      </c>
      <c r="Q2892" s="1" t="s">
        <v>6574</v>
      </c>
      <c r="R2892" s="1" t="s">
        <v>41</v>
      </c>
      <c r="T2892" s="1" t="s">
        <v>93</v>
      </c>
      <c r="U2892" s="1" t="s">
        <v>44</v>
      </c>
      <c r="V2892" s="1" t="s">
        <v>94</v>
      </c>
      <c r="X2892" s="1" t="s">
        <v>183</v>
      </c>
      <c r="AA2892" s="3">
        <v>37371</v>
      </c>
      <c r="AB2892" s="1" t="s">
        <v>46</v>
      </c>
      <c r="AC2892" s="5">
        <v>2128</v>
      </c>
      <c r="AD2892" s="1" t="s">
        <v>6576</v>
      </c>
      <c r="AE2892" s="1" t="str">
        <f t="shared" si="202"/>
        <v>55348 2</v>
      </c>
      <c r="AF2892" s="5" t="str">
        <f t="shared" si="203"/>
        <v>196.9</v>
      </c>
      <c r="AG2892" s="1" t="str">
        <f t="shared" si="201"/>
        <v/>
      </c>
    </row>
    <row r="2893" spans="1:33" x14ac:dyDescent="0.2">
      <c r="A2893" s="1" t="s">
        <v>2430</v>
      </c>
      <c r="B2893" s="1" t="s">
        <v>6573</v>
      </c>
      <c r="C2893" s="1">
        <v>55348</v>
      </c>
      <c r="D2893" s="1">
        <v>3</v>
      </c>
      <c r="F2893" s="1">
        <v>2023</v>
      </c>
      <c r="G2893" s="1" t="s">
        <v>461</v>
      </c>
      <c r="H2893" s="1">
        <v>605624</v>
      </c>
      <c r="I2893" s="1">
        <v>5</v>
      </c>
      <c r="K2893" s="1" t="s">
        <v>4243</v>
      </c>
      <c r="L2893" s="1" t="s">
        <v>4244</v>
      </c>
      <c r="M2893" s="1">
        <v>173</v>
      </c>
      <c r="N2893" s="1" t="s">
        <v>39</v>
      </c>
      <c r="O2893" s="1">
        <v>41.477400000000003</v>
      </c>
      <c r="P2893" s="1">
        <v>-83.461600000000004</v>
      </c>
      <c r="Q2893" s="1" t="s">
        <v>6574</v>
      </c>
      <c r="R2893" s="1" t="s">
        <v>41</v>
      </c>
      <c r="T2893" s="1" t="s">
        <v>93</v>
      </c>
      <c r="U2893" s="1" t="s">
        <v>44</v>
      </c>
      <c r="V2893" s="1" t="s">
        <v>94</v>
      </c>
      <c r="X2893" s="1" t="s">
        <v>183</v>
      </c>
      <c r="AA2893" s="3">
        <v>37383</v>
      </c>
      <c r="AB2893" s="1" t="s">
        <v>46</v>
      </c>
      <c r="AC2893" s="5">
        <v>2128</v>
      </c>
      <c r="AD2893" s="1" t="s">
        <v>6577</v>
      </c>
      <c r="AE2893" s="1" t="str">
        <f t="shared" si="202"/>
        <v>55348 3</v>
      </c>
      <c r="AF2893" s="5" t="str">
        <f t="shared" si="203"/>
        <v>196.9</v>
      </c>
      <c r="AG2893" s="1" t="str">
        <f t="shared" si="201"/>
        <v/>
      </c>
    </row>
    <row r="2894" spans="1:33" x14ac:dyDescent="0.2">
      <c r="A2894" s="1" t="s">
        <v>2430</v>
      </c>
      <c r="B2894" s="1" t="s">
        <v>6573</v>
      </c>
      <c r="C2894" s="1">
        <v>55348</v>
      </c>
      <c r="D2894" s="1">
        <v>4</v>
      </c>
      <c r="F2894" s="1">
        <v>2023</v>
      </c>
      <c r="G2894" s="1" t="s">
        <v>461</v>
      </c>
      <c r="H2894" s="1">
        <v>605624</v>
      </c>
      <c r="I2894" s="1">
        <v>5</v>
      </c>
      <c r="K2894" s="1" t="s">
        <v>4243</v>
      </c>
      <c r="L2894" s="1" t="s">
        <v>4244</v>
      </c>
      <c r="M2894" s="1">
        <v>173</v>
      </c>
      <c r="N2894" s="1" t="s">
        <v>39</v>
      </c>
      <c r="O2894" s="1">
        <v>41.477400000000003</v>
      </c>
      <c r="P2894" s="1">
        <v>-83.461600000000004</v>
      </c>
      <c r="Q2894" s="1" t="s">
        <v>6574</v>
      </c>
      <c r="R2894" s="1" t="s">
        <v>41</v>
      </c>
      <c r="T2894" s="1" t="s">
        <v>93</v>
      </c>
      <c r="U2894" s="1" t="s">
        <v>44</v>
      </c>
      <c r="V2894" s="1" t="s">
        <v>94</v>
      </c>
      <c r="X2894" s="1" t="s">
        <v>183</v>
      </c>
      <c r="AA2894" s="3">
        <v>37388</v>
      </c>
      <c r="AB2894" s="1" t="s">
        <v>46</v>
      </c>
      <c r="AC2894" s="5">
        <v>2128</v>
      </c>
      <c r="AD2894" s="1" t="s">
        <v>6578</v>
      </c>
      <c r="AE2894" s="1" t="str">
        <f t="shared" si="202"/>
        <v>55348 4</v>
      </c>
      <c r="AF2894" s="5" t="str">
        <f t="shared" si="203"/>
        <v>196.9</v>
      </c>
      <c r="AG2894" s="1" t="str">
        <f t="shared" si="201"/>
        <v/>
      </c>
    </row>
    <row r="2895" spans="1:33" x14ac:dyDescent="0.2">
      <c r="A2895" s="1" t="s">
        <v>3140</v>
      </c>
      <c r="B2895" s="1" t="s">
        <v>6579</v>
      </c>
      <c r="C2895" s="1">
        <v>55349</v>
      </c>
      <c r="D2895" s="1">
        <v>1</v>
      </c>
      <c r="F2895" s="1">
        <v>2023</v>
      </c>
      <c r="G2895" s="1" t="s">
        <v>168</v>
      </c>
      <c r="H2895" s="1">
        <v>603383</v>
      </c>
      <c r="I2895" s="1">
        <v>3</v>
      </c>
      <c r="K2895" s="1" t="s">
        <v>3313</v>
      </c>
      <c r="L2895" s="1" t="s">
        <v>3314</v>
      </c>
      <c r="M2895" s="1">
        <v>73</v>
      </c>
      <c r="N2895" s="1" t="s">
        <v>39</v>
      </c>
      <c r="O2895" s="1">
        <v>39.332799999999999</v>
      </c>
      <c r="P2895" s="1">
        <v>-81.363900000000001</v>
      </c>
      <c r="Q2895" s="1" t="s">
        <v>6580</v>
      </c>
      <c r="R2895" s="1" t="s">
        <v>41</v>
      </c>
      <c r="T2895" s="1" t="s">
        <v>93</v>
      </c>
      <c r="U2895" s="1" t="s">
        <v>44</v>
      </c>
      <c r="V2895" s="1" t="s">
        <v>94</v>
      </c>
      <c r="X2895" s="1" t="s">
        <v>183</v>
      </c>
      <c r="AA2895" s="3">
        <v>37231</v>
      </c>
      <c r="AB2895" s="1" t="s">
        <v>46</v>
      </c>
      <c r="AC2895" s="5">
        <v>2013</v>
      </c>
      <c r="AD2895" s="1" t="s">
        <v>6569</v>
      </c>
      <c r="AE2895" s="1" t="str">
        <f t="shared" si="202"/>
        <v>55349 1</v>
      </c>
      <c r="AF2895" s="5" t="str">
        <f t="shared" si="203"/>
        <v>172</v>
      </c>
      <c r="AG2895" s="1" t="str">
        <f t="shared" si="201"/>
        <v/>
      </c>
    </row>
    <row r="2896" spans="1:33" x14ac:dyDescent="0.2">
      <c r="A2896" s="1" t="s">
        <v>3140</v>
      </c>
      <c r="B2896" s="1" t="s">
        <v>6579</v>
      </c>
      <c r="C2896" s="1">
        <v>55349</v>
      </c>
      <c r="D2896" s="1">
        <v>2</v>
      </c>
      <c r="F2896" s="1">
        <v>2023</v>
      </c>
      <c r="G2896" s="1" t="s">
        <v>168</v>
      </c>
      <c r="H2896" s="1">
        <v>603383</v>
      </c>
      <c r="I2896" s="1">
        <v>3</v>
      </c>
      <c r="K2896" s="1" t="s">
        <v>3313</v>
      </c>
      <c r="L2896" s="1" t="s">
        <v>3314</v>
      </c>
      <c r="M2896" s="1">
        <v>73</v>
      </c>
      <c r="N2896" s="1" t="s">
        <v>39</v>
      </c>
      <c r="O2896" s="1">
        <v>39.332799999999999</v>
      </c>
      <c r="P2896" s="1">
        <v>-81.363900000000001</v>
      </c>
      <c r="Q2896" s="1" t="s">
        <v>6580</v>
      </c>
      <c r="R2896" s="1" t="s">
        <v>41</v>
      </c>
      <c r="T2896" s="1" t="s">
        <v>93</v>
      </c>
      <c r="U2896" s="1" t="s">
        <v>44</v>
      </c>
      <c r="V2896" s="1" t="s">
        <v>94</v>
      </c>
      <c r="X2896" s="1" t="s">
        <v>183</v>
      </c>
      <c r="AA2896" s="3">
        <v>37267</v>
      </c>
      <c r="AB2896" s="1" t="s">
        <v>46</v>
      </c>
      <c r="AC2896" s="5">
        <v>2013</v>
      </c>
      <c r="AD2896" s="1" t="s">
        <v>6570</v>
      </c>
      <c r="AE2896" s="1" t="str">
        <f t="shared" si="202"/>
        <v>55349 2</v>
      </c>
      <c r="AF2896" s="5" t="str">
        <f t="shared" si="203"/>
        <v>172</v>
      </c>
      <c r="AG2896" s="1" t="str">
        <f t="shared" si="201"/>
        <v/>
      </c>
    </row>
    <row r="2897" spans="1:33" x14ac:dyDescent="0.2">
      <c r="A2897" s="1" t="s">
        <v>2430</v>
      </c>
      <c r="B2897" s="1" t="s">
        <v>6581</v>
      </c>
      <c r="C2897" s="1">
        <v>55350</v>
      </c>
      <c r="D2897" s="1" t="s">
        <v>372</v>
      </c>
      <c r="F2897" s="1">
        <v>2023</v>
      </c>
      <c r="G2897" s="1" t="s">
        <v>461</v>
      </c>
      <c r="H2897" s="1" t="s">
        <v>1346</v>
      </c>
      <c r="I2897" s="1">
        <v>5</v>
      </c>
      <c r="K2897" s="1" t="s">
        <v>6582</v>
      </c>
      <c r="L2897" s="1" t="s">
        <v>6583</v>
      </c>
      <c r="M2897" s="1">
        <v>119</v>
      </c>
      <c r="N2897" s="1" t="s">
        <v>39</v>
      </c>
      <c r="O2897" s="1">
        <v>40.093499999999999</v>
      </c>
      <c r="P2897" s="1">
        <v>-82.026700000000005</v>
      </c>
      <c r="Q2897" s="1" t="s">
        <v>3100</v>
      </c>
      <c r="R2897" s="1" t="s">
        <v>41</v>
      </c>
      <c r="T2897" s="1" t="s">
        <v>71</v>
      </c>
      <c r="U2897" s="1" t="s">
        <v>44</v>
      </c>
      <c r="X2897" s="1" t="s">
        <v>64</v>
      </c>
      <c r="AA2897" s="3">
        <v>40843</v>
      </c>
      <c r="AB2897" s="1" t="s">
        <v>46</v>
      </c>
      <c r="AC2897" s="5">
        <v>2250</v>
      </c>
      <c r="AD2897" s="1" t="s">
        <v>6584</v>
      </c>
      <c r="AE2897" s="1" t="str">
        <f t="shared" si="202"/>
        <v>55350 1A</v>
      </c>
      <c r="AF2897" s="14">
        <f>MID(AD2897,FIND("(",AD2897)+1,FIND(")",AD2897)-FIND("(",AD2897)-1)+280.5/2</f>
        <v>339.15</v>
      </c>
      <c r="AG2897" s="1" t="str">
        <f t="shared" si="201"/>
        <v>Y</v>
      </c>
    </row>
    <row r="2898" spans="1:33" x14ac:dyDescent="0.2">
      <c r="A2898" s="1" t="s">
        <v>2430</v>
      </c>
      <c r="B2898" s="1" t="s">
        <v>6581</v>
      </c>
      <c r="C2898" s="1">
        <v>55350</v>
      </c>
      <c r="D2898" s="1" t="s">
        <v>1199</v>
      </c>
      <c r="F2898" s="1">
        <v>2023</v>
      </c>
      <c r="G2898" s="1" t="s">
        <v>461</v>
      </c>
      <c r="H2898" s="1" t="s">
        <v>1346</v>
      </c>
      <c r="I2898" s="1">
        <v>5</v>
      </c>
      <c r="K2898" s="1" t="s">
        <v>6582</v>
      </c>
      <c r="L2898" s="1" t="s">
        <v>6583</v>
      </c>
      <c r="M2898" s="1">
        <v>119</v>
      </c>
      <c r="N2898" s="1" t="s">
        <v>39</v>
      </c>
      <c r="O2898" s="1">
        <v>40.093499999999999</v>
      </c>
      <c r="P2898" s="1">
        <v>-82.026700000000005</v>
      </c>
      <c r="Q2898" s="1" t="s">
        <v>3100</v>
      </c>
      <c r="R2898" s="1" t="s">
        <v>41</v>
      </c>
      <c r="T2898" s="1" t="s">
        <v>71</v>
      </c>
      <c r="U2898" s="1" t="s">
        <v>44</v>
      </c>
      <c r="X2898" s="1" t="s">
        <v>64</v>
      </c>
      <c r="AA2898" s="3">
        <v>40855</v>
      </c>
      <c r="AB2898" s="1" t="s">
        <v>46</v>
      </c>
      <c r="AC2898" s="5">
        <v>2250</v>
      </c>
      <c r="AD2898" s="1" t="s">
        <v>6585</v>
      </c>
      <c r="AE2898" s="1" t="str">
        <f t="shared" si="202"/>
        <v>55350 1B</v>
      </c>
      <c r="AF2898" s="14">
        <f>AF2897</f>
        <v>339.15</v>
      </c>
      <c r="AG2898" s="1" t="str">
        <f t="shared" si="201"/>
        <v>Y</v>
      </c>
    </row>
    <row r="2899" spans="1:33" x14ac:dyDescent="0.2">
      <c r="A2899" s="1" t="s">
        <v>383</v>
      </c>
      <c r="B2899" s="1" t="s">
        <v>6586</v>
      </c>
      <c r="C2899" s="1">
        <v>55357</v>
      </c>
      <c r="D2899" s="1" t="s">
        <v>1129</v>
      </c>
      <c r="F2899" s="1">
        <v>2023</v>
      </c>
      <c r="G2899" s="1" t="s">
        <v>346</v>
      </c>
      <c r="H2899" s="1">
        <v>610469</v>
      </c>
      <c r="I2899" s="1">
        <v>6</v>
      </c>
      <c r="K2899" s="1" t="s">
        <v>2928</v>
      </c>
      <c r="L2899" s="1" t="s">
        <v>2929</v>
      </c>
      <c r="M2899" s="1">
        <v>157</v>
      </c>
      <c r="N2899" s="1" t="s">
        <v>1680</v>
      </c>
      <c r="O2899" s="1">
        <v>29.473099999999999</v>
      </c>
      <c r="P2899" s="1">
        <v>-95.624399999999994</v>
      </c>
      <c r="Q2899" s="1" t="s">
        <v>6587</v>
      </c>
      <c r="R2899" s="1" t="s">
        <v>41</v>
      </c>
      <c r="T2899" s="1" t="s">
        <v>71</v>
      </c>
      <c r="U2899" s="1" t="s">
        <v>44</v>
      </c>
      <c r="X2899" s="1" t="s">
        <v>64</v>
      </c>
      <c r="AA2899" s="3">
        <v>37634</v>
      </c>
      <c r="AB2899" s="1" t="s">
        <v>46</v>
      </c>
      <c r="AC2899" s="5">
        <v>2360</v>
      </c>
      <c r="AD2899" s="1" t="s">
        <v>6588</v>
      </c>
      <c r="AE2899" s="1" t="str">
        <f t="shared" si="202"/>
        <v>55357 CTG1</v>
      </c>
      <c r="AF2899" s="14">
        <f>MID(AD2899,FIND("(",AD2899)+1,FIND(")",AD2899)-FIND("(",AD2899)-1)+275.6/2</f>
        <v>337.8</v>
      </c>
      <c r="AG2899" s="1" t="str">
        <f t="shared" si="201"/>
        <v>Y</v>
      </c>
    </row>
    <row r="2900" spans="1:33" x14ac:dyDescent="0.2">
      <c r="A2900" s="1" t="s">
        <v>383</v>
      </c>
      <c r="B2900" s="1" t="s">
        <v>6586</v>
      </c>
      <c r="C2900" s="1">
        <v>55357</v>
      </c>
      <c r="D2900" s="1" t="s">
        <v>1135</v>
      </c>
      <c r="F2900" s="1">
        <v>2023</v>
      </c>
      <c r="G2900" s="1" t="s">
        <v>346</v>
      </c>
      <c r="H2900" s="1">
        <v>610469</v>
      </c>
      <c r="I2900" s="1">
        <v>6</v>
      </c>
      <c r="K2900" s="1" t="s">
        <v>2928</v>
      </c>
      <c r="L2900" s="1" t="s">
        <v>2929</v>
      </c>
      <c r="M2900" s="1">
        <v>157</v>
      </c>
      <c r="N2900" s="1" t="s">
        <v>1680</v>
      </c>
      <c r="O2900" s="1">
        <v>29.473099999999999</v>
      </c>
      <c r="P2900" s="1">
        <v>-95.624399999999994</v>
      </c>
      <c r="Q2900" s="1" t="s">
        <v>6587</v>
      </c>
      <c r="R2900" s="1" t="s">
        <v>41</v>
      </c>
      <c r="T2900" s="1" t="s">
        <v>71</v>
      </c>
      <c r="U2900" s="1" t="s">
        <v>44</v>
      </c>
      <c r="X2900" s="1" t="s">
        <v>64</v>
      </c>
      <c r="AA2900" s="3">
        <v>37634</v>
      </c>
      <c r="AB2900" s="1" t="s">
        <v>46</v>
      </c>
      <c r="AC2900" s="5">
        <v>2360</v>
      </c>
      <c r="AD2900" s="1" t="s">
        <v>6589</v>
      </c>
      <c r="AE2900" s="1" t="str">
        <f t="shared" si="202"/>
        <v>55357 CTG2</v>
      </c>
      <c r="AF2900" s="14">
        <f>AF2899</f>
        <v>337.8</v>
      </c>
      <c r="AG2900" s="1" t="str">
        <f t="shared" si="201"/>
        <v>Y</v>
      </c>
    </row>
    <row r="2901" spans="1:33" x14ac:dyDescent="0.2">
      <c r="A2901" s="1" t="s">
        <v>383</v>
      </c>
      <c r="B2901" s="1" t="s">
        <v>6590</v>
      </c>
      <c r="C2901" s="1">
        <v>55358</v>
      </c>
      <c r="D2901" s="1" t="s">
        <v>311</v>
      </c>
      <c r="F2901" s="1">
        <v>2023</v>
      </c>
      <c r="G2901" s="1" t="s">
        <v>346</v>
      </c>
      <c r="H2901" s="1">
        <v>602998</v>
      </c>
      <c r="I2901" s="1">
        <v>6</v>
      </c>
      <c r="J2901" s="1" t="s">
        <v>36</v>
      </c>
      <c r="K2901" s="1" t="s">
        <v>6591</v>
      </c>
      <c r="L2901" s="1" t="s">
        <v>6592</v>
      </c>
      <c r="M2901" s="1">
        <v>351</v>
      </c>
      <c r="N2901" s="1" t="s">
        <v>39</v>
      </c>
      <c r="O2901" s="1">
        <v>30.258800000000001</v>
      </c>
      <c r="P2901" s="1">
        <v>-93.735299999999995</v>
      </c>
      <c r="Q2901" s="1" t="s">
        <v>6593</v>
      </c>
      <c r="R2901" s="1" t="s">
        <v>41</v>
      </c>
      <c r="T2901" s="1" t="s">
        <v>71</v>
      </c>
      <c r="U2901" s="1" t="s">
        <v>44</v>
      </c>
      <c r="X2901" s="1" t="s">
        <v>64</v>
      </c>
      <c r="AA2901" s="3">
        <v>37568</v>
      </c>
      <c r="AB2901" s="1" t="s">
        <v>46</v>
      </c>
      <c r="AC2901" s="5">
        <v>3450</v>
      </c>
      <c r="AD2901" s="1" t="s">
        <v>6594</v>
      </c>
      <c r="AE2901" s="1" t="str">
        <f t="shared" si="202"/>
        <v>55358 CT1</v>
      </c>
      <c r="AF2901" s="14">
        <f>MID(AD2901,FIND("(",AD2901)+1,FIND(")",AD2901)-FIND("(",AD2901)-1)+190</f>
        <v>346</v>
      </c>
      <c r="AG2901" s="1" t="str">
        <f t="shared" si="201"/>
        <v>Y</v>
      </c>
    </row>
    <row r="2902" spans="1:33" x14ac:dyDescent="0.2">
      <c r="A2902" s="1" t="s">
        <v>383</v>
      </c>
      <c r="B2902" s="1" t="s">
        <v>6590</v>
      </c>
      <c r="C2902" s="1">
        <v>55358</v>
      </c>
      <c r="D2902" s="1" t="s">
        <v>98</v>
      </c>
      <c r="F2902" s="1">
        <v>2023</v>
      </c>
      <c r="G2902" s="1" t="s">
        <v>346</v>
      </c>
      <c r="H2902" s="1">
        <v>602998</v>
      </c>
      <c r="I2902" s="1">
        <v>6</v>
      </c>
      <c r="J2902" s="1" t="s">
        <v>36</v>
      </c>
      <c r="K2902" s="1" t="s">
        <v>6591</v>
      </c>
      <c r="L2902" s="1" t="s">
        <v>6592</v>
      </c>
      <c r="M2902" s="1">
        <v>351</v>
      </c>
      <c r="N2902" s="1" t="s">
        <v>39</v>
      </c>
      <c r="O2902" s="1">
        <v>30.258800000000001</v>
      </c>
      <c r="P2902" s="1">
        <v>-93.735299999999995</v>
      </c>
      <c r="Q2902" s="1" t="s">
        <v>6593</v>
      </c>
      <c r="R2902" s="1" t="s">
        <v>41</v>
      </c>
      <c r="T2902" s="1" t="s">
        <v>71</v>
      </c>
      <c r="U2902" s="1" t="s">
        <v>44</v>
      </c>
      <c r="X2902" s="1" t="s">
        <v>64</v>
      </c>
      <c r="AA2902" s="3">
        <v>37577</v>
      </c>
      <c r="AB2902" s="1" t="s">
        <v>46</v>
      </c>
      <c r="AC2902" s="5">
        <v>3450</v>
      </c>
      <c r="AD2902" s="1" t="s">
        <v>6595</v>
      </c>
      <c r="AE2902" s="1" t="str">
        <f t="shared" si="202"/>
        <v>55358 CT2</v>
      </c>
      <c r="AF2902" s="14">
        <f>MID(AD2902,FIND("(",AD2902)+1,FIND(")",AD2902)-FIND("(",AD2902)-1)+156</f>
        <v>346</v>
      </c>
      <c r="AG2902" s="1" t="str">
        <f t="shared" si="201"/>
        <v>Y</v>
      </c>
    </row>
    <row r="2903" spans="1:33" x14ac:dyDescent="0.2">
      <c r="A2903" s="1" t="s">
        <v>383</v>
      </c>
      <c r="B2903" s="1" t="s">
        <v>6590</v>
      </c>
      <c r="C2903" s="1">
        <v>55358</v>
      </c>
      <c r="D2903" s="1" t="s">
        <v>101</v>
      </c>
      <c r="F2903" s="1">
        <v>2023</v>
      </c>
      <c r="G2903" s="1" t="s">
        <v>346</v>
      </c>
      <c r="H2903" s="1">
        <v>602998</v>
      </c>
      <c r="I2903" s="1">
        <v>6</v>
      </c>
      <c r="J2903" s="1" t="s">
        <v>36</v>
      </c>
      <c r="K2903" s="1" t="s">
        <v>6591</v>
      </c>
      <c r="L2903" s="1" t="s">
        <v>6592</v>
      </c>
      <c r="M2903" s="1">
        <v>351</v>
      </c>
      <c r="N2903" s="1" t="s">
        <v>39</v>
      </c>
      <c r="O2903" s="1">
        <v>30.258800000000001</v>
      </c>
      <c r="P2903" s="1">
        <v>-93.735299999999995</v>
      </c>
      <c r="Q2903" s="1" t="s">
        <v>6593</v>
      </c>
      <c r="R2903" s="1" t="s">
        <v>41</v>
      </c>
      <c r="T2903" s="1" t="s">
        <v>71</v>
      </c>
      <c r="U2903" s="1" t="s">
        <v>44</v>
      </c>
      <c r="X2903" s="1" t="s">
        <v>64</v>
      </c>
      <c r="AA2903" s="3">
        <v>37634</v>
      </c>
      <c r="AB2903" s="1" t="s">
        <v>46</v>
      </c>
      <c r="AC2903" s="5">
        <v>3150</v>
      </c>
      <c r="AD2903" s="1" t="s">
        <v>6596</v>
      </c>
      <c r="AE2903" s="1" t="str">
        <f t="shared" si="202"/>
        <v>55358 CT3</v>
      </c>
      <c r="AF2903" s="14">
        <f>MID(AD2903,FIND("(",AD2903)+1,FIND(")",AD2903)-FIND("(",AD2903)-1)+190</f>
        <v>346</v>
      </c>
      <c r="AG2903" s="1" t="str">
        <f t="shared" si="201"/>
        <v>Y</v>
      </c>
    </row>
    <row r="2904" spans="1:33" x14ac:dyDescent="0.2">
      <c r="A2904" s="1" t="s">
        <v>383</v>
      </c>
      <c r="B2904" s="1" t="s">
        <v>6590</v>
      </c>
      <c r="C2904" s="1">
        <v>55358</v>
      </c>
      <c r="D2904" s="1" t="s">
        <v>103</v>
      </c>
      <c r="F2904" s="1">
        <v>2023</v>
      </c>
      <c r="G2904" s="1" t="s">
        <v>346</v>
      </c>
      <c r="H2904" s="1">
        <v>602998</v>
      </c>
      <c r="I2904" s="1">
        <v>6</v>
      </c>
      <c r="J2904" s="1" t="s">
        <v>36</v>
      </c>
      <c r="K2904" s="1" t="s">
        <v>6591</v>
      </c>
      <c r="L2904" s="1" t="s">
        <v>6592</v>
      </c>
      <c r="M2904" s="1">
        <v>351</v>
      </c>
      <c r="N2904" s="1" t="s">
        <v>39</v>
      </c>
      <c r="O2904" s="1">
        <v>30.258800000000001</v>
      </c>
      <c r="P2904" s="1">
        <v>-93.735299999999995</v>
      </c>
      <c r="Q2904" s="1" t="s">
        <v>6593</v>
      </c>
      <c r="R2904" s="1" t="s">
        <v>41</v>
      </c>
      <c r="T2904" s="1" t="s">
        <v>71</v>
      </c>
      <c r="U2904" s="1" t="s">
        <v>44</v>
      </c>
      <c r="X2904" s="1" t="s">
        <v>64</v>
      </c>
      <c r="AA2904" s="3">
        <v>37658</v>
      </c>
      <c r="AB2904" s="1" t="s">
        <v>46</v>
      </c>
      <c r="AC2904" s="5">
        <v>3150</v>
      </c>
      <c r="AD2904" s="1" t="s">
        <v>6597</v>
      </c>
      <c r="AE2904" s="1" t="str">
        <f t="shared" si="202"/>
        <v>55358 CT4</v>
      </c>
      <c r="AF2904" s="14">
        <f>MID(AD2904,FIND("(",AD2904)+1,FIND(")",AD2904)-FIND("(",AD2904)-1)+156</f>
        <v>346</v>
      </c>
      <c r="AG2904" s="1" t="str">
        <f t="shared" si="201"/>
        <v>Y</v>
      </c>
    </row>
    <row r="2905" spans="1:33" x14ac:dyDescent="0.2">
      <c r="A2905" s="1" t="s">
        <v>1071</v>
      </c>
      <c r="B2905" s="1" t="s">
        <v>6598</v>
      </c>
      <c r="C2905" s="1">
        <v>55364</v>
      </c>
      <c r="D2905" s="1" t="s">
        <v>6599</v>
      </c>
      <c r="F2905" s="1">
        <v>2023</v>
      </c>
      <c r="G2905" s="1" t="s">
        <v>461</v>
      </c>
      <c r="H2905" s="1">
        <v>609545</v>
      </c>
      <c r="I2905" s="1">
        <v>5</v>
      </c>
      <c r="K2905" s="1" t="s">
        <v>6600</v>
      </c>
      <c r="L2905" s="1" t="s">
        <v>6601</v>
      </c>
      <c r="M2905" s="1">
        <v>167</v>
      </c>
      <c r="N2905" s="1" t="s">
        <v>39</v>
      </c>
      <c r="O2905" s="1">
        <v>39.392200000000003</v>
      </c>
      <c r="P2905" s="1">
        <v>-87.510300000000001</v>
      </c>
      <c r="Q2905" s="1" t="s">
        <v>1119</v>
      </c>
      <c r="R2905" s="1" t="s">
        <v>41</v>
      </c>
      <c r="T2905" s="1" t="s">
        <v>71</v>
      </c>
      <c r="U2905" s="1" t="s">
        <v>44</v>
      </c>
      <c r="X2905" s="1" t="s">
        <v>858</v>
      </c>
      <c r="AA2905" s="3">
        <v>37408</v>
      </c>
      <c r="AB2905" s="1" t="s">
        <v>46</v>
      </c>
      <c r="AC2905" s="5">
        <v>2800</v>
      </c>
      <c r="AD2905" s="1" t="s">
        <v>6602</v>
      </c>
      <c r="AE2905" s="1" t="str">
        <f t="shared" si="202"/>
        <v>55364 CT11</v>
      </c>
      <c r="AF2905" s="14">
        <f>MID(AD2905,FIND("(",AD2905)+1,FIND(")",AD2905)-FIND("(",AD2905)-1)+237.3/2</f>
        <v>277.64999999999998</v>
      </c>
      <c r="AG2905" s="1" t="str">
        <f t="shared" si="201"/>
        <v>Y</v>
      </c>
    </row>
    <row r="2906" spans="1:33" x14ac:dyDescent="0.2">
      <c r="A2906" s="1" t="s">
        <v>1071</v>
      </c>
      <c r="B2906" s="1" t="s">
        <v>6598</v>
      </c>
      <c r="C2906" s="1">
        <v>55364</v>
      </c>
      <c r="D2906" s="1" t="s">
        <v>6603</v>
      </c>
      <c r="F2906" s="1">
        <v>2023</v>
      </c>
      <c r="G2906" s="1" t="s">
        <v>461</v>
      </c>
      <c r="H2906" s="1">
        <v>609545</v>
      </c>
      <c r="I2906" s="1">
        <v>5</v>
      </c>
      <c r="K2906" s="1" t="s">
        <v>6600</v>
      </c>
      <c r="L2906" s="1" t="s">
        <v>6601</v>
      </c>
      <c r="M2906" s="1">
        <v>167</v>
      </c>
      <c r="N2906" s="1" t="s">
        <v>39</v>
      </c>
      <c r="O2906" s="1">
        <v>39.392200000000003</v>
      </c>
      <c r="P2906" s="1">
        <v>-87.510300000000001</v>
      </c>
      <c r="Q2906" s="1" t="s">
        <v>1119</v>
      </c>
      <c r="R2906" s="1" t="s">
        <v>41</v>
      </c>
      <c r="T2906" s="1" t="s">
        <v>71</v>
      </c>
      <c r="U2906" s="1" t="s">
        <v>44</v>
      </c>
      <c r="X2906" s="1" t="s">
        <v>858</v>
      </c>
      <c r="AA2906" s="3">
        <v>37408</v>
      </c>
      <c r="AB2906" s="1" t="s">
        <v>46</v>
      </c>
      <c r="AC2906" s="5">
        <v>2800</v>
      </c>
      <c r="AD2906" s="1" t="s">
        <v>6604</v>
      </c>
      <c r="AE2906" s="1" t="str">
        <f t="shared" si="202"/>
        <v>55364 CT12</v>
      </c>
      <c r="AF2906" s="14">
        <f>AF2905</f>
        <v>277.64999999999998</v>
      </c>
      <c r="AG2906" s="1" t="str">
        <f t="shared" si="201"/>
        <v>Y</v>
      </c>
    </row>
    <row r="2907" spans="1:33" x14ac:dyDescent="0.2">
      <c r="A2907" s="1" t="s">
        <v>383</v>
      </c>
      <c r="B2907" s="1" t="s">
        <v>6605</v>
      </c>
      <c r="C2907" s="1">
        <v>55365</v>
      </c>
      <c r="D2907" s="1" t="s">
        <v>1155</v>
      </c>
      <c r="E2907" s="1" t="s">
        <v>1156</v>
      </c>
      <c r="F2907" s="1">
        <v>2023</v>
      </c>
      <c r="G2907" s="1" t="s">
        <v>346</v>
      </c>
      <c r="H2907" s="1">
        <v>609694</v>
      </c>
      <c r="I2907" s="1">
        <v>6</v>
      </c>
      <c r="K2907" s="1" t="s">
        <v>4063</v>
      </c>
      <c r="L2907" s="1" t="s">
        <v>4064</v>
      </c>
      <c r="M2907" s="1">
        <v>201</v>
      </c>
      <c r="N2907" s="1" t="s">
        <v>39</v>
      </c>
      <c r="O2907" s="1">
        <v>29.702000000000002</v>
      </c>
      <c r="P2907" s="1">
        <v>-95.070999999999998</v>
      </c>
      <c r="Q2907" s="1" t="s">
        <v>6606</v>
      </c>
      <c r="R2907" s="1" t="s">
        <v>41</v>
      </c>
      <c r="T2907" s="1" t="s">
        <v>93</v>
      </c>
      <c r="U2907" s="1" t="s">
        <v>44</v>
      </c>
      <c r="X2907" s="1" t="s">
        <v>140</v>
      </c>
      <c r="AA2907" s="3">
        <v>37061</v>
      </c>
      <c r="AB2907" s="1" t="s">
        <v>46</v>
      </c>
      <c r="AC2907" s="5">
        <v>584</v>
      </c>
      <c r="AD2907" s="1" t="s">
        <v>6607</v>
      </c>
      <c r="AE2907" s="1" t="str">
        <f t="shared" si="202"/>
        <v>55365 GT-1</v>
      </c>
      <c r="AF2907" s="5" t="str">
        <f>MID(AD2907,FIND("(",AD2907)+1,FIND(")",AD2907)-FIND("(",AD2907)-1)</f>
        <v>44</v>
      </c>
      <c r="AG2907" s="1" t="str">
        <f t="shared" si="201"/>
        <v/>
      </c>
    </row>
    <row r="2908" spans="1:33" x14ac:dyDescent="0.2">
      <c r="A2908" s="1" t="s">
        <v>383</v>
      </c>
      <c r="B2908" s="1" t="s">
        <v>6605</v>
      </c>
      <c r="C2908" s="1">
        <v>55365</v>
      </c>
      <c r="D2908" s="1" t="s">
        <v>1162</v>
      </c>
      <c r="E2908" s="1" t="s">
        <v>1156</v>
      </c>
      <c r="F2908" s="1">
        <v>2023</v>
      </c>
      <c r="G2908" s="1" t="s">
        <v>346</v>
      </c>
      <c r="H2908" s="1">
        <v>609694</v>
      </c>
      <c r="I2908" s="1">
        <v>6</v>
      </c>
      <c r="K2908" s="1" t="s">
        <v>4063</v>
      </c>
      <c r="L2908" s="1" t="s">
        <v>4064</v>
      </c>
      <c r="M2908" s="1">
        <v>201</v>
      </c>
      <c r="N2908" s="1" t="s">
        <v>39</v>
      </c>
      <c r="O2908" s="1">
        <v>29.702000000000002</v>
      </c>
      <c r="P2908" s="1">
        <v>-95.070999999999998</v>
      </c>
      <c r="Q2908" s="1" t="s">
        <v>6606</v>
      </c>
      <c r="R2908" s="1" t="s">
        <v>41</v>
      </c>
      <c r="T2908" s="1" t="s">
        <v>93</v>
      </c>
      <c r="U2908" s="1" t="s">
        <v>44</v>
      </c>
      <c r="X2908" s="1" t="s">
        <v>140</v>
      </c>
      <c r="AA2908" s="3">
        <v>37062</v>
      </c>
      <c r="AB2908" s="1" t="s">
        <v>46</v>
      </c>
      <c r="AC2908" s="5">
        <v>584</v>
      </c>
      <c r="AD2908" s="1" t="s">
        <v>6608</v>
      </c>
      <c r="AE2908" s="1" t="str">
        <f t="shared" si="202"/>
        <v>55365 GT-2</v>
      </c>
      <c r="AF2908" s="5" t="str">
        <f>MID(AD2908,FIND("(",AD2908)+1,FIND(")",AD2908)-FIND("(",AD2908)-1)</f>
        <v>44</v>
      </c>
      <c r="AG2908" s="1" t="str">
        <f t="shared" si="201"/>
        <v/>
      </c>
    </row>
    <row r="2909" spans="1:33" x14ac:dyDescent="0.2">
      <c r="A2909" s="1" t="s">
        <v>383</v>
      </c>
      <c r="B2909" s="1" t="s">
        <v>6605</v>
      </c>
      <c r="C2909" s="1">
        <v>55365</v>
      </c>
      <c r="D2909" s="1" t="s">
        <v>1164</v>
      </c>
      <c r="E2909" s="1" t="s">
        <v>1156</v>
      </c>
      <c r="F2909" s="1">
        <v>2023</v>
      </c>
      <c r="G2909" s="1" t="s">
        <v>346</v>
      </c>
      <c r="H2909" s="1">
        <v>609694</v>
      </c>
      <c r="I2909" s="1">
        <v>6</v>
      </c>
      <c r="K2909" s="1" t="s">
        <v>4063</v>
      </c>
      <c r="L2909" s="1" t="s">
        <v>4064</v>
      </c>
      <c r="M2909" s="1">
        <v>201</v>
      </c>
      <c r="N2909" s="1" t="s">
        <v>39</v>
      </c>
      <c r="O2909" s="1">
        <v>29.702000000000002</v>
      </c>
      <c r="P2909" s="1">
        <v>-95.070999999999998</v>
      </c>
      <c r="Q2909" s="1" t="s">
        <v>6606</v>
      </c>
      <c r="R2909" s="1" t="s">
        <v>41</v>
      </c>
      <c r="T2909" s="1" t="s">
        <v>93</v>
      </c>
      <c r="U2909" s="1" t="s">
        <v>44</v>
      </c>
      <c r="X2909" s="1" t="s">
        <v>140</v>
      </c>
      <c r="AA2909" s="3">
        <v>37082</v>
      </c>
      <c r="AB2909" s="1" t="s">
        <v>46</v>
      </c>
      <c r="AC2909" s="5">
        <v>584</v>
      </c>
      <c r="AD2909" s="1" t="s">
        <v>6609</v>
      </c>
      <c r="AE2909" s="1" t="str">
        <f t="shared" si="202"/>
        <v>55365 GT-3</v>
      </c>
      <c r="AF2909" s="5" t="str">
        <f>MID(AD2909,FIND("(",AD2909)+1,FIND(")",AD2909)-FIND("(",AD2909)-1)</f>
        <v>44</v>
      </c>
      <c r="AG2909" s="1" t="str">
        <f t="shared" si="201"/>
        <v/>
      </c>
    </row>
    <row r="2910" spans="1:33" x14ac:dyDescent="0.2">
      <c r="A2910" s="1" t="s">
        <v>383</v>
      </c>
      <c r="B2910" s="1" t="s">
        <v>6605</v>
      </c>
      <c r="C2910" s="1">
        <v>55365</v>
      </c>
      <c r="D2910" s="1" t="s">
        <v>1166</v>
      </c>
      <c r="E2910" s="1" t="s">
        <v>1156</v>
      </c>
      <c r="F2910" s="1">
        <v>2023</v>
      </c>
      <c r="G2910" s="1" t="s">
        <v>346</v>
      </c>
      <c r="H2910" s="1">
        <v>609694</v>
      </c>
      <c r="I2910" s="1">
        <v>6</v>
      </c>
      <c r="K2910" s="1" t="s">
        <v>4063</v>
      </c>
      <c r="L2910" s="1" t="s">
        <v>4064</v>
      </c>
      <c r="M2910" s="1">
        <v>201</v>
      </c>
      <c r="N2910" s="1" t="s">
        <v>39</v>
      </c>
      <c r="O2910" s="1">
        <v>29.702000000000002</v>
      </c>
      <c r="P2910" s="1">
        <v>-95.070999999999998</v>
      </c>
      <c r="Q2910" s="1" t="s">
        <v>6606</v>
      </c>
      <c r="R2910" s="1" t="s">
        <v>41</v>
      </c>
      <c r="T2910" s="1" t="s">
        <v>93</v>
      </c>
      <c r="U2910" s="1" t="s">
        <v>44</v>
      </c>
      <c r="X2910" s="1" t="s">
        <v>140</v>
      </c>
      <c r="AA2910" s="3">
        <v>37107</v>
      </c>
      <c r="AB2910" s="1" t="s">
        <v>46</v>
      </c>
      <c r="AC2910" s="5">
        <v>584</v>
      </c>
      <c r="AD2910" s="1" t="s">
        <v>6610</v>
      </c>
      <c r="AE2910" s="1" t="str">
        <f t="shared" si="202"/>
        <v>55365 GT-4</v>
      </c>
      <c r="AF2910" s="5" t="str">
        <f>MID(AD2910,FIND("(",AD2910)+1,FIND(")",AD2910)-FIND("(",AD2910)-1)</f>
        <v>44</v>
      </c>
      <c r="AG2910" s="1" t="str">
        <f t="shared" si="201"/>
        <v/>
      </c>
    </row>
    <row r="2911" spans="1:33" x14ac:dyDescent="0.2">
      <c r="A2911" s="1" t="s">
        <v>234</v>
      </c>
      <c r="B2911" s="1" t="s">
        <v>6611</v>
      </c>
      <c r="C2911" s="1">
        <v>55372</v>
      </c>
      <c r="D2911" s="1" t="s">
        <v>1129</v>
      </c>
      <c r="F2911" s="1">
        <v>2023</v>
      </c>
      <c r="G2911" s="1" t="s">
        <v>247</v>
      </c>
      <c r="H2911" s="1">
        <v>603354</v>
      </c>
      <c r="I2911" s="1">
        <v>9</v>
      </c>
      <c r="K2911" s="1" t="s">
        <v>248</v>
      </c>
      <c r="L2911" s="1" t="s">
        <v>249</v>
      </c>
      <c r="M2911" s="1">
        <v>13</v>
      </c>
      <c r="N2911" s="1" t="s">
        <v>39</v>
      </c>
      <c r="O2911" s="1">
        <v>33.475900000000003</v>
      </c>
      <c r="P2911" s="1">
        <v>-113.1133</v>
      </c>
      <c r="Q2911" s="1" t="s">
        <v>6612</v>
      </c>
      <c r="R2911" s="1" t="s">
        <v>41</v>
      </c>
      <c r="T2911" s="1" t="s">
        <v>71</v>
      </c>
      <c r="U2911" s="1" t="s">
        <v>44</v>
      </c>
      <c r="X2911" s="1" t="s">
        <v>64</v>
      </c>
      <c r="AA2911" s="3">
        <v>37771</v>
      </c>
      <c r="AB2911" s="1" t="s">
        <v>46</v>
      </c>
      <c r="AC2911" s="5">
        <v>2531</v>
      </c>
      <c r="AD2911" s="1" t="s">
        <v>6613</v>
      </c>
      <c r="AE2911" s="1" t="str">
        <f t="shared" si="202"/>
        <v>55372 CTG1</v>
      </c>
      <c r="AF2911" s="14">
        <f>MID(AD2911,FIND("(",AD2911)+1,FIND(")",AD2911)-FIND("(",AD2911)-1)+160</f>
        <v>441.7</v>
      </c>
      <c r="AG2911" s="1" t="str">
        <f t="shared" si="201"/>
        <v>Y</v>
      </c>
    </row>
    <row r="2912" spans="1:33" x14ac:dyDescent="0.2">
      <c r="A2912" s="1" t="s">
        <v>234</v>
      </c>
      <c r="B2912" s="1" t="s">
        <v>6611</v>
      </c>
      <c r="C2912" s="1">
        <v>55372</v>
      </c>
      <c r="D2912" s="1" t="s">
        <v>1135</v>
      </c>
      <c r="F2912" s="1">
        <v>2023</v>
      </c>
      <c r="G2912" s="1" t="s">
        <v>247</v>
      </c>
      <c r="H2912" s="1">
        <v>603354</v>
      </c>
      <c r="I2912" s="1">
        <v>9</v>
      </c>
      <c r="K2912" s="1" t="s">
        <v>248</v>
      </c>
      <c r="L2912" s="1" t="s">
        <v>249</v>
      </c>
      <c r="M2912" s="1">
        <v>13</v>
      </c>
      <c r="N2912" s="1" t="s">
        <v>39</v>
      </c>
      <c r="O2912" s="1">
        <v>33.475900000000003</v>
      </c>
      <c r="P2912" s="1">
        <v>-113.1133</v>
      </c>
      <c r="Q2912" s="1" t="s">
        <v>6612</v>
      </c>
      <c r="R2912" s="1" t="s">
        <v>41</v>
      </c>
      <c r="T2912" s="1" t="s">
        <v>71</v>
      </c>
      <c r="U2912" s="1" t="s">
        <v>44</v>
      </c>
      <c r="X2912" s="1" t="s">
        <v>64</v>
      </c>
      <c r="AA2912" s="3">
        <v>37773</v>
      </c>
      <c r="AB2912" s="1" t="s">
        <v>46</v>
      </c>
      <c r="AC2912" s="5">
        <v>2531</v>
      </c>
      <c r="AD2912" s="1" t="s">
        <v>6614</v>
      </c>
      <c r="AE2912" s="1" t="str">
        <f t="shared" si="202"/>
        <v>55372 CTG2</v>
      </c>
      <c r="AF2912" s="14">
        <f>MID(AD2912,FIND("(",AD2912)+1,FIND(")",AD2912)-FIND("(",AD2912)-1)+281.7</f>
        <v>441.7</v>
      </c>
      <c r="AG2912" s="1" t="str">
        <f t="shared" si="201"/>
        <v>Y</v>
      </c>
    </row>
    <row r="2913" spans="1:33" x14ac:dyDescent="0.2">
      <c r="A2913" s="1" t="s">
        <v>234</v>
      </c>
      <c r="B2913" s="1" t="s">
        <v>6611</v>
      </c>
      <c r="C2913" s="1">
        <v>55372</v>
      </c>
      <c r="D2913" s="1" t="s">
        <v>6002</v>
      </c>
      <c r="F2913" s="1">
        <v>2023</v>
      </c>
      <c r="G2913" s="1" t="s">
        <v>247</v>
      </c>
      <c r="H2913" s="1">
        <v>603354</v>
      </c>
      <c r="I2913" s="1">
        <v>9</v>
      </c>
      <c r="K2913" s="1" t="s">
        <v>248</v>
      </c>
      <c r="L2913" s="1" t="s">
        <v>249</v>
      </c>
      <c r="M2913" s="1">
        <v>13</v>
      </c>
      <c r="N2913" s="1" t="s">
        <v>39</v>
      </c>
      <c r="O2913" s="1">
        <v>33.475900000000003</v>
      </c>
      <c r="P2913" s="1">
        <v>-113.1133</v>
      </c>
      <c r="Q2913" s="1" t="s">
        <v>6612</v>
      </c>
      <c r="R2913" s="1" t="s">
        <v>41</v>
      </c>
      <c r="T2913" s="1" t="s">
        <v>71</v>
      </c>
      <c r="U2913" s="1" t="s">
        <v>44</v>
      </c>
      <c r="X2913" s="1" t="s">
        <v>64</v>
      </c>
      <c r="AA2913" s="3">
        <v>37833</v>
      </c>
      <c r="AB2913" s="1" t="s">
        <v>46</v>
      </c>
      <c r="AC2913" s="5">
        <v>2531</v>
      </c>
      <c r="AD2913" s="1" t="s">
        <v>6615</v>
      </c>
      <c r="AE2913" s="1" t="str">
        <f t="shared" si="202"/>
        <v>55372 CTG3</v>
      </c>
      <c r="AF2913" s="14">
        <f>MID(AD2913,FIND("(",AD2913)+1,FIND(")",AD2913)-FIND("(",AD2913)-1)+160</f>
        <v>441.7</v>
      </c>
      <c r="AG2913" s="1" t="str">
        <f t="shared" si="201"/>
        <v>Y</v>
      </c>
    </row>
    <row r="2914" spans="1:33" x14ac:dyDescent="0.2">
      <c r="A2914" s="1" t="s">
        <v>2089</v>
      </c>
      <c r="B2914" s="1" t="s">
        <v>6616</v>
      </c>
      <c r="C2914" s="1">
        <v>55375</v>
      </c>
      <c r="D2914" s="1" t="s">
        <v>311</v>
      </c>
      <c r="F2914" s="1">
        <v>2023</v>
      </c>
      <c r="G2914" s="1" t="s">
        <v>1515</v>
      </c>
      <c r="H2914" s="1">
        <v>603228</v>
      </c>
      <c r="I2914" s="1">
        <v>2</v>
      </c>
      <c r="K2914" s="1" t="s">
        <v>2202</v>
      </c>
      <c r="L2914" s="1" t="s">
        <v>2203</v>
      </c>
      <c r="M2914" s="1">
        <v>81</v>
      </c>
      <c r="N2914" s="1" t="s">
        <v>39</v>
      </c>
      <c r="O2914" s="1">
        <v>40.782499999999999</v>
      </c>
      <c r="P2914" s="1">
        <v>-73.8964</v>
      </c>
      <c r="Q2914" s="1" t="s">
        <v>6617</v>
      </c>
      <c r="R2914" s="1" t="s">
        <v>41</v>
      </c>
      <c r="T2914" s="1" t="s">
        <v>71</v>
      </c>
      <c r="U2914" s="1" t="s">
        <v>44</v>
      </c>
      <c r="V2914" s="1" t="s">
        <v>94</v>
      </c>
      <c r="X2914" s="1" t="s">
        <v>643</v>
      </c>
      <c r="AA2914" s="3">
        <v>38805</v>
      </c>
      <c r="AB2914" s="1" t="s">
        <v>46</v>
      </c>
      <c r="AC2914" s="5">
        <v>2550</v>
      </c>
      <c r="AD2914" s="1" t="s">
        <v>6618</v>
      </c>
      <c r="AE2914" s="1" t="str">
        <f t="shared" si="202"/>
        <v>55375 CT1</v>
      </c>
      <c r="AF2914" s="14">
        <f>AF2915</f>
        <v>260</v>
      </c>
      <c r="AG2914" s="1" t="str">
        <f t="shared" si="201"/>
        <v>Y</v>
      </c>
    </row>
    <row r="2915" spans="1:33" x14ac:dyDescent="0.2">
      <c r="A2915" s="1" t="s">
        <v>2089</v>
      </c>
      <c r="B2915" s="1" t="s">
        <v>6616</v>
      </c>
      <c r="C2915" s="1">
        <v>55375</v>
      </c>
      <c r="D2915" s="1" t="s">
        <v>98</v>
      </c>
      <c r="F2915" s="1">
        <v>2023</v>
      </c>
      <c r="G2915" s="1" t="s">
        <v>1515</v>
      </c>
      <c r="H2915" s="1">
        <v>603228</v>
      </c>
      <c r="I2915" s="1">
        <v>2</v>
      </c>
      <c r="K2915" s="1" t="s">
        <v>2202</v>
      </c>
      <c r="L2915" s="1" t="s">
        <v>2203</v>
      </c>
      <c r="M2915" s="1">
        <v>81</v>
      </c>
      <c r="N2915" s="1" t="s">
        <v>39</v>
      </c>
      <c r="O2915" s="1">
        <v>40.782499999999999</v>
      </c>
      <c r="P2915" s="1">
        <v>-73.8964</v>
      </c>
      <c r="Q2915" s="1" t="s">
        <v>6617</v>
      </c>
      <c r="R2915" s="1" t="s">
        <v>41</v>
      </c>
      <c r="T2915" s="1" t="s">
        <v>71</v>
      </c>
      <c r="U2915" s="1" t="s">
        <v>44</v>
      </c>
      <c r="V2915" s="1" t="s">
        <v>94</v>
      </c>
      <c r="X2915" s="1" t="s">
        <v>643</v>
      </c>
      <c r="AA2915" s="3">
        <v>38805</v>
      </c>
      <c r="AB2915" s="1" t="s">
        <v>46</v>
      </c>
      <c r="AC2915" s="5">
        <v>2550</v>
      </c>
      <c r="AD2915" s="1" t="s">
        <v>6619</v>
      </c>
      <c r="AE2915" s="1" t="str">
        <f t="shared" si="202"/>
        <v>55375 CT2</v>
      </c>
      <c r="AF2915" s="14">
        <f>MID(AD2915,FIND("(",AD2915)+1,FIND(")",AD2915)-FIND("(",AD2915)-1)+180/2</f>
        <v>260</v>
      </c>
      <c r="AG2915" s="1" t="str">
        <f t="shared" si="201"/>
        <v>Y</v>
      </c>
    </row>
    <row r="2916" spans="1:33" x14ac:dyDescent="0.2">
      <c r="A2916" s="1" t="s">
        <v>2089</v>
      </c>
      <c r="B2916" s="1" t="s">
        <v>6616</v>
      </c>
      <c r="C2916" s="1">
        <v>55375</v>
      </c>
      <c r="D2916" s="1" t="s">
        <v>101</v>
      </c>
      <c r="F2916" s="1">
        <v>2023</v>
      </c>
      <c r="G2916" s="1" t="s">
        <v>1515</v>
      </c>
      <c r="H2916" s="1">
        <v>603228</v>
      </c>
      <c r="I2916" s="1">
        <v>2</v>
      </c>
      <c r="K2916" s="1" t="s">
        <v>2202</v>
      </c>
      <c r="L2916" s="1" t="s">
        <v>2203</v>
      </c>
      <c r="M2916" s="1">
        <v>81</v>
      </c>
      <c r="N2916" s="1" t="s">
        <v>39</v>
      </c>
      <c r="O2916" s="1">
        <v>40.782499999999999</v>
      </c>
      <c r="P2916" s="1">
        <v>-73.8964</v>
      </c>
      <c r="Q2916" s="1" t="s">
        <v>6617</v>
      </c>
      <c r="R2916" s="1" t="s">
        <v>41</v>
      </c>
      <c r="T2916" s="1" t="s">
        <v>71</v>
      </c>
      <c r="U2916" s="1" t="s">
        <v>44</v>
      </c>
      <c r="V2916" s="1" t="s">
        <v>94</v>
      </c>
      <c r="X2916" s="1" t="s">
        <v>643</v>
      </c>
      <c r="AA2916" s="3">
        <v>40639</v>
      </c>
      <c r="AB2916" s="1" t="s">
        <v>46</v>
      </c>
      <c r="AC2916" s="5">
        <v>2550</v>
      </c>
      <c r="AD2916" s="1" t="s">
        <v>6620</v>
      </c>
      <c r="AE2916" s="1" t="str">
        <f t="shared" si="202"/>
        <v>55375 CT3</v>
      </c>
      <c r="AF2916" s="14">
        <f>AF2915</f>
        <v>260</v>
      </c>
      <c r="AG2916" s="1" t="str">
        <f t="shared" si="201"/>
        <v>Y</v>
      </c>
    </row>
    <row r="2917" spans="1:33" x14ac:dyDescent="0.2">
      <c r="A2917" s="1" t="s">
        <v>2089</v>
      </c>
      <c r="B2917" s="1" t="s">
        <v>6616</v>
      </c>
      <c r="C2917" s="1">
        <v>55375</v>
      </c>
      <c r="D2917" s="1" t="s">
        <v>103</v>
      </c>
      <c r="F2917" s="1">
        <v>2023</v>
      </c>
      <c r="G2917" s="1" t="s">
        <v>1515</v>
      </c>
      <c r="H2917" s="1">
        <v>603228</v>
      </c>
      <c r="I2917" s="1">
        <v>2</v>
      </c>
      <c r="K2917" s="1" t="s">
        <v>2202</v>
      </c>
      <c r="L2917" s="1" t="s">
        <v>2203</v>
      </c>
      <c r="M2917" s="1">
        <v>81</v>
      </c>
      <c r="N2917" s="1" t="s">
        <v>39</v>
      </c>
      <c r="O2917" s="1">
        <v>40.782499999999999</v>
      </c>
      <c r="P2917" s="1">
        <v>-73.8964</v>
      </c>
      <c r="Q2917" s="1" t="s">
        <v>6617</v>
      </c>
      <c r="R2917" s="1" t="s">
        <v>41</v>
      </c>
      <c r="T2917" s="1" t="s">
        <v>71</v>
      </c>
      <c r="U2917" s="1" t="s">
        <v>44</v>
      </c>
      <c r="V2917" s="1" t="s">
        <v>94</v>
      </c>
      <c r="X2917" s="1" t="s">
        <v>643</v>
      </c>
      <c r="AA2917" s="3">
        <v>40644</v>
      </c>
      <c r="AB2917" s="1" t="s">
        <v>46</v>
      </c>
      <c r="AC2917" s="5">
        <v>2550</v>
      </c>
      <c r="AD2917" s="1" t="s">
        <v>6621</v>
      </c>
      <c r="AE2917" s="1" t="str">
        <f t="shared" si="202"/>
        <v>55375 CT4</v>
      </c>
      <c r="AF2917" s="14">
        <f>AF2915</f>
        <v>260</v>
      </c>
      <c r="AG2917" s="1" t="str">
        <f t="shared" si="201"/>
        <v>Y</v>
      </c>
    </row>
    <row r="2918" spans="1:33" x14ac:dyDescent="0.2">
      <c r="A2918" s="1" t="s">
        <v>2584</v>
      </c>
      <c r="B2918" s="1" t="s">
        <v>6622</v>
      </c>
      <c r="C2918" s="1">
        <v>55377</v>
      </c>
      <c r="D2918" s="1">
        <v>8</v>
      </c>
      <c r="F2918" s="1">
        <v>2023</v>
      </c>
      <c r="G2918" s="1" t="s">
        <v>1515</v>
      </c>
      <c r="H2918" s="1">
        <v>605624</v>
      </c>
      <c r="I2918" s="1">
        <v>3</v>
      </c>
      <c r="K2918" s="1" t="s">
        <v>3632</v>
      </c>
      <c r="L2918" s="1" t="s">
        <v>6623</v>
      </c>
      <c r="M2918" s="1">
        <v>51</v>
      </c>
      <c r="N2918" s="1" t="s">
        <v>39</v>
      </c>
      <c r="O2918" s="1">
        <v>39.747500000000002</v>
      </c>
      <c r="P2918" s="1">
        <v>-79.838800000000006</v>
      </c>
      <c r="Q2918" s="1" t="s">
        <v>6624</v>
      </c>
      <c r="R2918" s="1" t="s">
        <v>41</v>
      </c>
      <c r="T2918" s="1" t="s">
        <v>93</v>
      </c>
      <c r="U2918" s="1" t="s">
        <v>44</v>
      </c>
      <c r="V2918" s="1" t="s">
        <v>94</v>
      </c>
      <c r="X2918" s="1" t="s">
        <v>95</v>
      </c>
      <c r="AA2918" s="3">
        <v>36784</v>
      </c>
      <c r="AB2918" s="1" t="s">
        <v>46</v>
      </c>
      <c r="AC2918" s="5">
        <v>508</v>
      </c>
      <c r="AD2918" s="1" t="s">
        <v>6625</v>
      </c>
      <c r="AE2918" s="1" t="str">
        <f t="shared" si="202"/>
        <v>55377 8</v>
      </c>
      <c r="AF2918" s="5" t="str">
        <f>MID(AD2918,FIND("(",AD2918)+1,FIND(")",AD2918)-FIND("(",AD2918)-1)</f>
        <v>43.9</v>
      </c>
      <c r="AG2918" s="1" t="str">
        <f t="shared" si="201"/>
        <v/>
      </c>
    </row>
    <row r="2919" spans="1:33" x14ac:dyDescent="0.2">
      <c r="A2919" s="1" t="s">
        <v>2584</v>
      </c>
      <c r="B2919" s="1" t="s">
        <v>6622</v>
      </c>
      <c r="C2919" s="1">
        <v>55377</v>
      </c>
      <c r="D2919" s="1">
        <v>9</v>
      </c>
      <c r="F2919" s="1">
        <v>2023</v>
      </c>
      <c r="G2919" s="1" t="s">
        <v>1515</v>
      </c>
      <c r="H2919" s="1">
        <v>605624</v>
      </c>
      <c r="I2919" s="1">
        <v>3</v>
      </c>
      <c r="K2919" s="1" t="s">
        <v>3632</v>
      </c>
      <c r="L2919" s="1" t="s">
        <v>6623</v>
      </c>
      <c r="M2919" s="1">
        <v>51</v>
      </c>
      <c r="N2919" s="1" t="s">
        <v>39</v>
      </c>
      <c r="O2919" s="1">
        <v>39.747500000000002</v>
      </c>
      <c r="P2919" s="1">
        <v>-79.838800000000006</v>
      </c>
      <c r="Q2919" s="1" t="s">
        <v>6624</v>
      </c>
      <c r="R2919" s="1" t="s">
        <v>41</v>
      </c>
      <c r="T2919" s="1" t="s">
        <v>93</v>
      </c>
      <c r="U2919" s="1" t="s">
        <v>44</v>
      </c>
      <c r="V2919" s="1" t="s">
        <v>94</v>
      </c>
      <c r="X2919" s="1" t="s">
        <v>95</v>
      </c>
      <c r="AA2919" s="3">
        <v>36784</v>
      </c>
      <c r="AB2919" s="1" t="s">
        <v>46</v>
      </c>
      <c r="AC2919" s="5">
        <v>545</v>
      </c>
      <c r="AD2919" s="1" t="s">
        <v>6626</v>
      </c>
      <c r="AE2919" s="1" t="str">
        <f t="shared" si="202"/>
        <v>55377 9</v>
      </c>
      <c r="AF2919" s="5" t="str">
        <f>MID(AD2919,FIND("(",AD2919)+1,FIND(")",AD2919)-FIND("(",AD2919)-1)</f>
        <v>43.9</v>
      </c>
      <c r="AG2919" s="1" t="str">
        <f t="shared" si="201"/>
        <v/>
      </c>
    </row>
    <row r="2920" spans="1:33" x14ac:dyDescent="0.2">
      <c r="A2920" s="1" t="s">
        <v>348</v>
      </c>
      <c r="B2920" s="1" t="s">
        <v>6627</v>
      </c>
      <c r="C2920" s="1">
        <v>55380</v>
      </c>
      <c r="D2920" s="1" t="s">
        <v>5681</v>
      </c>
      <c r="F2920" s="1">
        <v>2023</v>
      </c>
      <c r="G2920" s="1" t="s">
        <v>346</v>
      </c>
      <c r="H2920" s="1" t="s">
        <v>350</v>
      </c>
      <c r="I2920" s="1">
        <v>6</v>
      </c>
      <c r="J2920" s="1" t="s">
        <v>36</v>
      </c>
      <c r="K2920" s="1" t="s">
        <v>1249</v>
      </c>
      <c r="L2920" s="1" t="s">
        <v>6628</v>
      </c>
      <c r="M2920" s="1">
        <v>139</v>
      </c>
      <c r="N2920" s="1" t="s">
        <v>39</v>
      </c>
      <c r="O2920" s="1">
        <v>33.296100000000003</v>
      </c>
      <c r="P2920" s="1">
        <v>-92.593299999999999</v>
      </c>
      <c r="Q2920" s="1" t="s">
        <v>353</v>
      </c>
      <c r="R2920" s="1" t="s">
        <v>41</v>
      </c>
      <c r="T2920" s="1" t="s">
        <v>71</v>
      </c>
      <c r="U2920" s="1" t="s">
        <v>44</v>
      </c>
      <c r="X2920" s="1" t="s">
        <v>223</v>
      </c>
      <c r="AA2920" s="3">
        <v>37502</v>
      </c>
      <c r="AB2920" s="1" t="s">
        <v>46</v>
      </c>
      <c r="AC2920" s="5">
        <v>2319</v>
      </c>
      <c r="AD2920" s="1" t="s">
        <v>6629</v>
      </c>
      <c r="AE2920" s="1" t="str">
        <f t="shared" si="202"/>
        <v>55380 CTG-1</v>
      </c>
      <c r="AF2920" s="14">
        <f>AF2921</f>
        <v>303.5</v>
      </c>
      <c r="AG2920" s="1" t="str">
        <f t="shared" si="201"/>
        <v>Y</v>
      </c>
    </row>
    <row r="2921" spans="1:33" x14ac:dyDescent="0.2">
      <c r="A2921" s="1" t="s">
        <v>348</v>
      </c>
      <c r="B2921" s="1" t="s">
        <v>6627</v>
      </c>
      <c r="C2921" s="1">
        <v>55380</v>
      </c>
      <c r="D2921" s="1" t="s">
        <v>5684</v>
      </c>
      <c r="F2921" s="1">
        <v>2023</v>
      </c>
      <c r="G2921" s="1" t="s">
        <v>346</v>
      </c>
      <c r="H2921" s="1" t="s">
        <v>350</v>
      </c>
      <c r="I2921" s="1">
        <v>6</v>
      </c>
      <c r="J2921" s="1" t="s">
        <v>36</v>
      </c>
      <c r="K2921" s="1" t="s">
        <v>1249</v>
      </c>
      <c r="L2921" s="1" t="s">
        <v>6628</v>
      </c>
      <c r="M2921" s="1">
        <v>139</v>
      </c>
      <c r="N2921" s="1" t="s">
        <v>39</v>
      </c>
      <c r="O2921" s="1">
        <v>33.296100000000003</v>
      </c>
      <c r="P2921" s="1">
        <v>-92.593299999999999</v>
      </c>
      <c r="Q2921" s="1" t="s">
        <v>353</v>
      </c>
      <c r="R2921" s="1" t="s">
        <v>41</v>
      </c>
      <c r="T2921" s="1" t="s">
        <v>71</v>
      </c>
      <c r="U2921" s="1" t="s">
        <v>44</v>
      </c>
      <c r="X2921" s="1" t="s">
        <v>223</v>
      </c>
      <c r="AA2921" s="3">
        <v>37505</v>
      </c>
      <c r="AB2921" s="1" t="s">
        <v>46</v>
      </c>
      <c r="AC2921" s="5">
        <v>2319</v>
      </c>
      <c r="AD2921" s="1" t="s">
        <v>6630</v>
      </c>
      <c r="AE2921" s="1" t="str">
        <f t="shared" si="202"/>
        <v>55380 CTG-2</v>
      </c>
      <c r="AF2921" s="14">
        <f>MID(AD2921,FIND("(",AD2921)+1,FIND(")",AD2921)-FIND("(",AD2921)-1)+255/2</f>
        <v>303.5</v>
      </c>
      <c r="AG2921" s="1" t="str">
        <f t="shared" si="201"/>
        <v>Y</v>
      </c>
    </row>
    <row r="2922" spans="1:33" x14ac:dyDescent="0.2">
      <c r="A2922" s="1" t="s">
        <v>348</v>
      </c>
      <c r="B2922" s="1" t="s">
        <v>6627</v>
      </c>
      <c r="C2922" s="1">
        <v>55380</v>
      </c>
      <c r="D2922" s="1" t="s">
        <v>5750</v>
      </c>
      <c r="F2922" s="1">
        <v>2023</v>
      </c>
      <c r="G2922" s="1" t="s">
        <v>346</v>
      </c>
      <c r="H2922" s="1" t="s">
        <v>350</v>
      </c>
      <c r="I2922" s="1">
        <v>6</v>
      </c>
      <c r="J2922" s="1" t="s">
        <v>36</v>
      </c>
      <c r="K2922" s="1" t="s">
        <v>1249</v>
      </c>
      <c r="L2922" s="1" t="s">
        <v>6628</v>
      </c>
      <c r="M2922" s="1">
        <v>139</v>
      </c>
      <c r="N2922" s="1" t="s">
        <v>39</v>
      </c>
      <c r="O2922" s="1">
        <v>33.296100000000003</v>
      </c>
      <c r="P2922" s="1">
        <v>-92.593299999999999</v>
      </c>
      <c r="Q2922" s="1" t="s">
        <v>353</v>
      </c>
      <c r="R2922" s="1" t="s">
        <v>41</v>
      </c>
      <c r="T2922" s="1" t="s">
        <v>71</v>
      </c>
      <c r="U2922" s="1" t="s">
        <v>44</v>
      </c>
      <c r="X2922" s="1" t="s">
        <v>223</v>
      </c>
      <c r="AA2922" s="3">
        <v>37585</v>
      </c>
      <c r="AB2922" s="1" t="s">
        <v>46</v>
      </c>
      <c r="AC2922" s="5">
        <v>2319</v>
      </c>
      <c r="AD2922" s="1" t="s">
        <v>6073</v>
      </c>
      <c r="AE2922" s="1" t="str">
        <f t="shared" si="202"/>
        <v>55380 CTG-3</v>
      </c>
      <c r="AF2922" s="14">
        <f>AF2921</f>
        <v>303.5</v>
      </c>
      <c r="AG2922" s="1" t="str">
        <f t="shared" si="201"/>
        <v>Y</v>
      </c>
    </row>
    <row r="2923" spans="1:33" x14ac:dyDescent="0.2">
      <c r="A2923" s="1" t="s">
        <v>348</v>
      </c>
      <c r="B2923" s="1" t="s">
        <v>6627</v>
      </c>
      <c r="C2923" s="1">
        <v>55380</v>
      </c>
      <c r="D2923" s="1" t="s">
        <v>5799</v>
      </c>
      <c r="F2923" s="1">
        <v>2023</v>
      </c>
      <c r="G2923" s="1" t="s">
        <v>346</v>
      </c>
      <c r="H2923" s="1" t="s">
        <v>350</v>
      </c>
      <c r="I2923" s="1">
        <v>6</v>
      </c>
      <c r="J2923" s="1" t="s">
        <v>36</v>
      </c>
      <c r="K2923" s="1" t="s">
        <v>1249</v>
      </c>
      <c r="L2923" s="1" t="s">
        <v>6628</v>
      </c>
      <c r="M2923" s="1">
        <v>139</v>
      </c>
      <c r="N2923" s="1" t="s">
        <v>39</v>
      </c>
      <c r="O2923" s="1">
        <v>33.296100000000003</v>
      </c>
      <c r="P2923" s="1">
        <v>-92.593299999999999</v>
      </c>
      <c r="Q2923" s="1" t="s">
        <v>353</v>
      </c>
      <c r="R2923" s="1" t="s">
        <v>41</v>
      </c>
      <c r="T2923" s="1" t="s">
        <v>71</v>
      </c>
      <c r="U2923" s="1" t="s">
        <v>44</v>
      </c>
      <c r="X2923" s="1" t="s">
        <v>223</v>
      </c>
      <c r="AA2923" s="3">
        <v>37588</v>
      </c>
      <c r="AB2923" s="1" t="s">
        <v>46</v>
      </c>
      <c r="AC2923" s="5">
        <v>2319</v>
      </c>
      <c r="AD2923" s="1" t="s">
        <v>6074</v>
      </c>
      <c r="AE2923" s="1" t="str">
        <f t="shared" si="202"/>
        <v>55380 CTG-4</v>
      </c>
      <c r="AF2923" s="14">
        <f>AF2921</f>
        <v>303.5</v>
      </c>
      <c r="AG2923" s="1" t="str">
        <f t="shared" si="201"/>
        <v>Y</v>
      </c>
    </row>
    <row r="2924" spans="1:33" x14ac:dyDescent="0.2">
      <c r="A2924" s="1" t="s">
        <v>348</v>
      </c>
      <c r="B2924" s="1" t="s">
        <v>6627</v>
      </c>
      <c r="C2924" s="1">
        <v>55380</v>
      </c>
      <c r="D2924" s="1" t="s">
        <v>6046</v>
      </c>
      <c r="F2924" s="1">
        <v>2023</v>
      </c>
      <c r="G2924" s="1" t="s">
        <v>346</v>
      </c>
      <c r="H2924" s="1" t="s">
        <v>350</v>
      </c>
      <c r="I2924" s="1">
        <v>6</v>
      </c>
      <c r="J2924" s="1" t="s">
        <v>36</v>
      </c>
      <c r="K2924" s="1" t="s">
        <v>1249</v>
      </c>
      <c r="L2924" s="1" t="s">
        <v>6628</v>
      </c>
      <c r="M2924" s="1">
        <v>139</v>
      </c>
      <c r="N2924" s="1" t="s">
        <v>39</v>
      </c>
      <c r="O2924" s="1">
        <v>33.296100000000003</v>
      </c>
      <c r="P2924" s="1">
        <v>-92.593299999999999</v>
      </c>
      <c r="Q2924" s="1" t="s">
        <v>353</v>
      </c>
      <c r="R2924" s="1" t="s">
        <v>41</v>
      </c>
      <c r="T2924" s="1" t="s">
        <v>71</v>
      </c>
      <c r="U2924" s="1" t="s">
        <v>44</v>
      </c>
      <c r="X2924" s="1" t="s">
        <v>223</v>
      </c>
      <c r="AA2924" s="3">
        <v>37649</v>
      </c>
      <c r="AB2924" s="1" t="s">
        <v>46</v>
      </c>
      <c r="AC2924" s="5">
        <v>2300</v>
      </c>
      <c r="AD2924" s="1" t="s">
        <v>6631</v>
      </c>
      <c r="AE2924" s="1" t="str">
        <f t="shared" si="202"/>
        <v>55380 CTG-5</v>
      </c>
      <c r="AF2924" s="14">
        <f>AF2921</f>
        <v>303.5</v>
      </c>
      <c r="AG2924" s="1" t="str">
        <f t="shared" si="201"/>
        <v>Y</v>
      </c>
    </row>
    <row r="2925" spans="1:33" x14ac:dyDescent="0.2">
      <c r="A2925" s="1" t="s">
        <v>348</v>
      </c>
      <c r="B2925" s="1" t="s">
        <v>6627</v>
      </c>
      <c r="C2925" s="1">
        <v>55380</v>
      </c>
      <c r="D2925" s="1" t="s">
        <v>6048</v>
      </c>
      <c r="F2925" s="1">
        <v>2023</v>
      </c>
      <c r="G2925" s="1" t="s">
        <v>346</v>
      </c>
      <c r="H2925" s="1" t="s">
        <v>350</v>
      </c>
      <c r="I2925" s="1">
        <v>6</v>
      </c>
      <c r="J2925" s="1" t="s">
        <v>36</v>
      </c>
      <c r="K2925" s="1" t="s">
        <v>1249</v>
      </c>
      <c r="L2925" s="1" t="s">
        <v>6628</v>
      </c>
      <c r="M2925" s="1">
        <v>139</v>
      </c>
      <c r="N2925" s="1" t="s">
        <v>39</v>
      </c>
      <c r="O2925" s="1">
        <v>33.296100000000003</v>
      </c>
      <c r="P2925" s="1">
        <v>-92.593299999999999</v>
      </c>
      <c r="Q2925" s="1" t="s">
        <v>353</v>
      </c>
      <c r="R2925" s="1" t="s">
        <v>41</v>
      </c>
      <c r="T2925" s="1" t="s">
        <v>71</v>
      </c>
      <c r="U2925" s="1" t="s">
        <v>44</v>
      </c>
      <c r="X2925" s="1" t="s">
        <v>223</v>
      </c>
      <c r="AA2925" s="3">
        <v>37654</v>
      </c>
      <c r="AB2925" s="1" t="s">
        <v>46</v>
      </c>
      <c r="AC2925" s="5">
        <v>2250</v>
      </c>
      <c r="AD2925" s="1" t="s">
        <v>6632</v>
      </c>
      <c r="AE2925" s="1" t="str">
        <f t="shared" si="202"/>
        <v>55380 CTG-6</v>
      </c>
      <c r="AF2925" s="14">
        <f>AF2921</f>
        <v>303.5</v>
      </c>
      <c r="AG2925" s="1" t="str">
        <f t="shared" si="201"/>
        <v>Y</v>
      </c>
    </row>
    <row r="2926" spans="1:33" x14ac:dyDescent="0.2">
      <c r="A2926" s="1" t="s">
        <v>348</v>
      </c>
      <c r="B2926" s="1" t="s">
        <v>6627</v>
      </c>
      <c r="C2926" s="1">
        <v>55380</v>
      </c>
      <c r="D2926" s="1" t="s">
        <v>6050</v>
      </c>
      <c r="F2926" s="1">
        <v>2023</v>
      </c>
      <c r="G2926" s="1" t="s">
        <v>346</v>
      </c>
      <c r="H2926" s="1" t="s">
        <v>350</v>
      </c>
      <c r="I2926" s="1">
        <v>6</v>
      </c>
      <c r="J2926" s="1" t="s">
        <v>36</v>
      </c>
      <c r="K2926" s="1" t="s">
        <v>1249</v>
      </c>
      <c r="L2926" s="1" t="s">
        <v>6628</v>
      </c>
      <c r="M2926" s="1">
        <v>139</v>
      </c>
      <c r="N2926" s="1" t="s">
        <v>39</v>
      </c>
      <c r="O2926" s="1">
        <v>33.296100000000003</v>
      </c>
      <c r="P2926" s="1">
        <v>-92.593299999999999</v>
      </c>
      <c r="Q2926" s="1" t="s">
        <v>353</v>
      </c>
      <c r="R2926" s="1" t="s">
        <v>41</v>
      </c>
      <c r="T2926" s="1" t="s">
        <v>71</v>
      </c>
      <c r="U2926" s="1" t="s">
        <v>44</v>
      </c>
      <c r="X2926" s="1" t="s">
        <v>223</v>
      </c>
      <c r="AA2926" s="3">
        <v>37683</v>
      </c>
      <c r="AB2926" s="1" t="s">
        <v>46</v>
      </c>
      <c r="AC2926" s="5">
        <v>2319</v>
      </c>
      <c r="AD2926" s="1" t="s">
        <v>6633</v>
      </c>
      <c r="AE2926" s="1" t="str">
        <f t="shared" si="202"/>
        <v>55380 CTG-7</v>
      </c>
      <c r="AF2926" s="14">
        <f>AF2921</f>
        <v>303.5</v>
      </c>
      <c r="AG2926" s="1" t="str">
        <f t="shared" si="201"/>
        <v>Y</v>
      </c>
    </row>
    <row r="2927" spans="1:33" x14ac:dyDescent="0.2">
      <c r="A2927" s="1" t="s">
        <v>348</v>
      </c>
      <c r="B2927" s="1" t="s">
        <v>6627</v>
      </c>
      <c r="C2927" s="1">
        <v>55380</v>
      </c>
      <c r="D2927" s="1" t="s">
        <v>6052</v>
      </c>
      <c r="F2927" s="1">
        <v>2023</v>
      </c>
      <c r="G2927" s="1" t="s">
        <v>346</v>
      </c>
      <c r="H2927" s="1" t="s">
        <v>350</v>
      </c>
      <c r="I2927" s="1">
        <v>6</v>
      </c>
      <c r="J2927" s="1" t="s">
        <v>36</v>
      </c>
      <c r="K2927" s="1" t="s">
        <v>1249</v>
      </c>
      <c r="L2927" s="1" t="s">
        <v>6628</v>
      </c>
      <c r="M2927" s="1">
        <v>139</v>
      </c>
      <c r="N2927" s="1" t="s">
        <v>39</v>
      </c>
      <c r="O2927" s="1">
        <v>33.296100000000003</v>
      </c>
      <c r="P2927" s="1">
        <v>-92.593299999999999</v>
      </c>
      <c r="Q2927" s="1" t="s">
        <v>353</v>
      </c>
      <c r="R2927" s="1" t="s">
        <v>41</v>
      </c>
      <c r="T2927" s="1" t="s">
        <v>71</v>
      </c>
      <c r="U2927" s="1" t="s">
        <v>44</v>
      </c>
      <c r="X2927" s="1" t="s">
        <v>223</v>
      </c>
      <c r="AA2927" s="3">
        <v>37687</v>
      </c>
      <c r="AB2927" s="1" t="s">
        <v>46</v>
      </c>
      <c r="AC2927" s="5">
        <v>2321.3000000000002</v>
      </c>
      <c r="AD2927" s="1" t="s">
        <v>6634</v>
      </c>
      <c r="AE2927" s="1" t="str">
        <f t="shared" si="202"/>
        <v>55380 CTG-8</v>
      </c>
      <c r="AF2927" s="14">
        <f>AF2921</f>
        <v>303.5</v>
      </c>
      <c r="AG2927" s="1" t="str">
        <f t="shared" si="201"/>
        <v>Y</v>
      </c>
    </row>
    <row r="2928" spans="1:33" x14ac:dyDescent="0.2">
      <c r="A2928" s="1" t="s">
        <v>3095</v>
      </c>
      <c r="B2928" s="1" t="s">
        <v>6635</v>
      </c>
      <c r="C2928" s="1">
        <v>55381</v>
      </c>
      <c r="D2928" s="1" t="s">
        <v>6636</v>
      </c>
      <c r="F2928" s="1">
        <v>2023</v>
      </c>
      <c r="G2928" s="1" t="s">
        <v>1515</v>
      </c>
      <c r="H2928" s="1" t="s">
        <v>5871</v>
      </c>
      <c r="I2928" s="1">
        <v>3</v>
      </c>
      <c r="J2928" s="1" t="s">
        <v>668</v>
      </c>
      <c r="K2928" s="1" t="s">
        <v>3106</v>
      </c>
      <c r="L2928" s="1" t="s">
        <v>3107</v>
      </c>
      <c r="M2928" s="1">
        <v>1</v>
      </c>
      <c r="N2928" s="1" t="s">
        <v>39</v>
      </c>
      <c r="O2928" s="1">
        <v>37.989199999999997</v>
      </c>
      <c r="P2928" s="1">
        <v>-75.540000000000006</v>
      </c>
      <c r="Q2928" s="1" t="s">
        <v>6637</v>
      </c>
      <c r="R2928" s="1" t="s">
        <v>41</v>
      </c>
      <c r="T2928" s="1" t="s">
        <v>93</v>
      </c>
      <c r="U2928" s="1" t="s">
        <v>94</v>
      </c>
      <c r="X2928" s="1" t="s">
        <v>95</v>
      </c>
      <c r="AA2928" s="3">
        <v>36740</v>
      </c>
      <c r="AB2928" s="1" t="s">
        <v>46</v>
      </c>
      <c r="AC2928" s="5">
        <v>473</v>
      </c>
      <c r="AD2928" s="1" t="s">
        <v>6638</v>
      </c>
      <c r="AE2928" s="1" t="str">
        <f t="shared" si="202"/>
        <v>55381 CT-001</v>
      </c>
      <c r="AF2928" s="5" t="str">
        <f t="shared" ref="AF2928:AF2934" si="204">MID(AD2928,FIND("(",AD2928)+1,FIND(")",AD2928)-FIND("(",AD2928)-1)</f>
        <v>57.5</v>
      </c>
      <c r="AG2928" s="1" t="str">
        <f t="shared" si="201"/>
        <v/>
      </c>
    </row>
    <row r="2929" spans="1:33" x14ac:dyDescent="0.2">
      <c r="A2929" s="1" t="s">
        <v>3095</v>
      </c>
      <c r="B2929" s="1" t="s">
        <v>6635</v>
      </c>
      <c r="C2929" s="1">
        <v>55381</v>
      </c>
      <c r="D2929" s="1" t="s">
        <v>6639</v>
      </c>
      <c r="F2929" s="1">
        <v>2023</v>
      </c>
      <c r="G2929" s="1" t="s">
        <v>1515</v>
      </c>
      <c r="H2929" s="1" t="s">
        <v>5871</v>
      </c>
      <c r="I2929" s="1">
        <v>3</v>
      </c>
      <c r="J2929" s="1" t="s">
        <v>668</v>
      </c>
      <c r="K2929" s="1" t="s">
        <v>3106</v>
      </c>
      <c r="L2929" s="1" t="s">
        <v>3107</v>
      </c>
      <c r="M2929" s="1">
        <v>1</v>
      </c>
      <c r="N2929" s="1" t="s">
        <v>39</v>
      </c>
      <c r="O2929" s="1">
        <v>37.989199999999997</v>
      </c>
      <c r="P2929" s="1">
        <v>-75.540000000000006</v>
      </c>
      <c r="Q2929" s="1" t="s">
        <v>6637</v>
      </c>
      <c r="R2929" s="1" t="s">
        <v>41</v>
      </c>
      <c r="T2929" s="1" t="s">
        <v>93</v>
      </c>
      <c r="U2929" s="1" t="s">
        <v>94</v>
      </c>
      <c r="X2929" s="1" t="s">
        <v>95</v>
      </c>
      <c r="AA2929" s="3">
        <v>36784</v>
      </c>
      <c r="AB2929" s="1" t="s">
        <v>46</v>
      </c>
      <c r="AC2929" s="5">
        <v>473</v>
      </c>
      <c r="AD2929" s="1" t="s">
        <v>6640</v>
      </c>
      <c r="AE2929" s="1" t="str">
        <f t="shared" si="202"/>
        <v>55381 CT-002</v>
      </c>
      <c r="AF2929" s="5" t="str">
        <f t="shared" si="204"/>
        <v>57.5</v>
      </c>
      <c r="AG2929" s="1" t="str">
        <f t="shared" si="201"/>
        <v/>
      </c>
    </row>
    <row r="2930" spans="1:33" x14ac:dyDescent="0.2">
      <c r="A2930" s="1" t="s">
        <v>3095</v>
      </c>
      <c r="B2930" s="1" t="s">
        <v>6635</v>
      </c>
      <c r="C2930" s="1">
        <v>55381</v>
      </c>
      <c r="D2930" s="1" t="s">
        <v>6641</v>
      </c>
      <c r="F2930" s="1">
        <v>2023</v>
      </c>
      <c r="G2930" s="1" t="s">
        <v>1515</v>
      </c>
      <c r="H2930" s="1" t="s">
        <v>5871</v>
      </c>
      <c r="I2930" s="1">
        <v>3</v>
      </c>
      <c r="J2930" s="1" t="s">
        <v>668</v>
      </c>
      <c r="K2930" s="1" t="s">
        <v>3106</v>
      </c>
      <c r="L2930" s="1" t="s">
        <v>3107</v>
      </c>
      <c r="M2930" s="1">
        <v>1</v>
      </c>
      <c r="N2930" s="1" t="s">
        <v>39</v>
      </c>
      <c r="O2930" s="1">
        <v>37.989199999999997</v>
      </c>
      <c r="P2930" s="1">
        <v>-75.540000000000006</v>
      </c>
      <c r="Q2930" s="1" t="s">
        <v>6637</v>
      </c>
      <c r="R2930" s="1" t="s">
        <v>41</v>
      </c>
      <c r="T2930" s="1" t="s">
        <v>93</v>
      </c>
      <c r="U2930" s="1" t="s">
        <v>94</v>
      </c>
      <c r="X2930" s="1" t="s">
        <v>95</v>
      </c>
      <c r="AA2930" s="3">
        <v>36762</v>
      </c>
      <c r="AB2930" s="1" t="s">
        <v>46</v>
      </c>
      <c r="AC2930" s="5">
        <v>473</v>
      </c>
      <c r="AD2930" s="1" t="s">
        <v>6642</v>
      </c>
      <c r="AE2930" s="1" t="str">
        <f t="shared" si="202"/>
        <v>55381 CT-003</v>
      </c>
      <c r="AF2930" s="5" t="str">
        <f t="shared" si="204"/>
        <v>57.5</v>
      </c>
      <c r="AG2930" s="1" t="str">
        <f t="shared" si="201"/>
        <v/>
      </c>
    </row>
    <row r="2931" spans="1:33" x14ac:dyDescent="0.2">
      <c r="A2931" s="1" t="s">
        <v>3095</v>
      </c>
      <c r="B2931" s="1" t="s">
        <v>6635</v>
      </c>
      <c r="C2931" s="1">
        <v>55381</v>
      </c>
      <c r="D2931" s="1" t="s">
        <v>6643</v>
      </c>
      <c r="F2931" s="1">
        <v>2023</v>
      </c>
      <c r="G2931" s="1" t="s">
        <v>1515</v>
      </c>
      <c r="H2931" s="1" t="s">
        <v>5871</v>
      </c>
      <c r="I2931" s="1">
        <v>3</v>
      </c>
      <c r="J2931" s="1" t="s">
        <v>668</v>
      </c>
      <c r="K2931" s="1" t="s">
        <v>3106</v>
      </c>
      <c r="L2931" s="1" t="s">
        <v>3107</v>
      </c>
      <c r="M2931" s="1">
        <v>1</v>
      </c>
      <c r="N2931" s="1" t="s">
        <v>39</v>
      </c>
      <c r="O2931" s="1">
        <v>37.989199999999997</v>
      </c>
      <c r="P2931" s="1">
        <v>-75.540000000000006</v>
      </c>
      <c r="Q2931" s="1" t="s">
        <v>6637</v>
      </c>
      <c r="R2931" s="1" t="s">
        <v>41</v>
      </c>
      <c r="T2931" s="1" t="s">
        <v>93</v>
      </c>
      <c r="U2931" s="1" t="s">
        <v>94</v>
      </c>
      <c r="X2931" s="1" t="s">
        <v>95</v>
      </c>
      <c r="AA2931" s="3">
        <v>37056</v>
      </c>
      <c r="AB2931" s="1" t="s">
        <v>46</v>
      </c>
      <c r="AC2931" s="5">
        <v>473</v>
      </c>
      <c r="AD2931" s="1" t="s">
        <v>6644</v>
      </c>
      <c r="AE2931" s="1" t="str">
        <f t="shared" si="202"/>
        <v>55381 CT-004</v>
      </c>
      <c r="AF2931" s="5" t="str">
        <f t="shared" si="204"/>
        <v>57.5</v>
      </c>
      <c r="AG2931" s="1" t="str">
        <f t="shared" si="201"/>
        <v/>
      </c>
    </row>
    <row r="2932" spans="1:33" x14ac:dyDescent="0.2">
      <c r="A2932" s="1" t="s">
        <v>3095</v>
      </c>
      <c r="B2932" s="1" t="s">
        <v>6635</v>
      </c>
      <c r="C2932" s="1">
        <v>55381</v>
      </c>
      <c r="D2932" s="1" t="s">
        <v>6645</v>
      </c>
      <c r="F2932" s="1">
        <v>2023</v>
      </c>
      <c r="G2932" s="1" t="s">
        <v>1515</v>
      </c>
      <c r="H2932" s="1" t="s">
        <v>5871</v>
      </c>
      <c r="I2932" s="1">
        <v>3</v>
      </c>
      <c r="J2932" s="1" t="s">
        <v>668</v>
      </c>
      <c r="K2932" s="1" t="s">
        <v>3106</v>
      </c>
      <c r="L2932" s="1" t="s">
        <v>3107</v>
      </c>
      <c r="M2932" s="1">
        <v>1</v>
      </c>
      <c r="N2932" s="1" t="s">
        <v>39</v>
      </c>
      <c r="O2932" s="1">
        <v>37.989199999999997</v>
      </c>
      <c r="P2932" s="1">
        <v>-75.540000000000006</v>
      </c>
      <c r="Q2932" s="1" t="s">
        <v>6637</v>
      </c>
      <c r="R2932" s="1" t="s">
        <v>41</v>
      </c>
      <c r="T2932" s="1" t="s">
        <v>93</v>
      </c>
      <c r="U2932" s="1" t="s">
        <v>94</v>
      </c>
      <c r="X2932" s="1" t="s">
        <v>95</v>
      </c>
      <c r="AA2932" s="3">
        <v>37039</v>
      </c>
      <c r="AB2932" s="1" t="s">
        <v>46</v>
      </c>
      <c r="AC2932" s="5">
        <v>473</v>
      </c>
      <c r="AD2932" s="1" t="s">
        <v>6646</v>
      </c>
      <c r="AE2932" s="1" t="str">
        <f t="shared" si="202"/>
        <v>55381 CT-005</v>
      </c>
      <c r="AF2932" s="5" t="str">
        <f t="shared" si="204"/>
        <v>57.5</v>
      </c>
      <c r="AG2932" s="1" t="str">
        <f t="shared" si="201"/>
        <v/>
      </c>
    </row>
    <row r="2933" spans="1:33" x14ac:dyDescent="0.2">
      <c r="A2933" s="1" t="s">
        <v>3095</v>
      </c>
      <c r="B2933" s="1" t="s">
        <v>6635</v>
      </c>
      <c r="C2933" s="1">
        <v>55381</v>
      </c>
      <c r="D2933" s="1" t="s">
        <v>6647</v>
      </c>
      <c r="F2933" s="1">
        <v>2023</v>
      </c>
      <c r="G2933" s="1" t="s">
        <v>1515</v>
      </c>
      <c r="H2933" s="1" t="s">
        <v>5871</v>
      </c>
      <c r="I2933" s="1">
        <v>3</v>
      </c>
      <c r="J2933" s="1" t="s">
        <v>668</v>
      </c>
      <c r="K2933" s="1" t="s">
        <v>3106</v>
      </c>
      <c r="L2933" s="1" t="s">
        <v>3107</v>
      </c>
      <c r="M2933" s="1">
        <v>1</v>
      </c>
      <c r="N2933" s="1" t="s">
        <v>39</v>
      </c>
      <c r="O2933" s="1">
        <v>37.989199999999997</v>
      </c>
      <c r="P2933" s="1">
        <v>-75.540000000000006</v>
      </c>
      <c r="Q2933" s="1" t="s">
        <v>6637</v>
      </c>
      <c r="R2933" s="1" t="s">
        <v>41</v>
      </c>
      <c r="T2933" s="1" t="s">
        <v>93</v>
      </c>
      <c r="U2933" s="1" t="s">
        <v>94</v>
      </c>
      <c r="X2933" s="1" t="s">
        <v>95</v>
      </c>
      <c r="AA2933" s="3">
        <v>37046</v>
      </c>
      <c r="AB2933" s="1" t="s">
        <v>46</v>
      </c>
      <c r="AC2933" s="5">
        <v>473</v>
      </c>
      <c r="AD2933" s="1" t="s">
        <v>6648</v>
      </c>
      <c r="AE2933" s="1" t="str">
        <f t="shared" si="202"/>
        <v>55381 CT-006</v>
      </c>
      <c r="AF2933" s="5" t="str">
        <f t="shared" si="204"/>
        <v>57.5</v>
      </c>
      <c r="AG2933" s="1" t="str">
        <f t="shared" si="201"/>
        <v/>
      </c>
    </row>
    <row r="2934" spans="1:33" x14ac:dyDescent="0.2">
      <c r="A2934" s="1" t="s">
        <v>3095</v>
      </c>
      <c r="B2934" s="1" t="s">
        <v>6635</v>
      </c>
      <c r="C2934" s="1">
        <v>55381</v>
      </c>
      <c r="D2934" s="1" t="s">
        <v>6649</v>
      </c>
      <c r="F2934" s="1">
        <v>2023</v>
      </c>
      <c r="G2934" s="1" t="s">
        <v>1515</v>
      </c>
      <c r="H2934" s="1" t="s">
        <v>5871</v>
      </c>
      <c r="I2934" s="1">
        <v>3</v>
      </c>
      <c r="J2934" s="1" t="s">
        <v>668</v>
      </c>
      <c r="K2934" s="1" t="s">
        <v>3106</v>
      </c>
      <c r="L2934" s="1" t="s">
        <v>3107</v>
      </c>
      <c r="M2934" s="1">
        <v>1</v>
      </c>
      <c r="N2934" s="1" t="s">
        <v>39</v>
      </c>
      <c r="O2934" s="1">
        <v>37.989199999999997</v>
      </c>
      <c r="P2934" s="1">
        <v>-75.540000000000006</v>
      </c>
      <c r="Q2934" s="1" t="s">
        <v>6637</v>
      </c>
      <c r="R2934" s="1" t="s">
        <v>41</v>
      </c>
      <c r="T2934" s="1" t="s">
        <v>93</v>
      </c>
      <c r="U2934" s="1" t="s">
        <v>94</v>
      </c>
      <c r="X2934" s="1" t="s">
        <v>95</v>
      </c>
      <c r="AA2934" s="3">
        <v>37065</v>
      </c>
      <c r="AB2934" s="1" t="s">
        <v>46</v>
      </c>
      <c r="AC2934" s="5">
        <v>473</v>
      </c>
      <c r="AD2934" s="1" t="s">
        <v>6650</v>
      </c>
      <c r="AE2934" s="1" t="str">
        <f t="shared" si="202"/>
        <v>55381 CT-007</v>
      </c>
      <c r="AF2934" s="5" t="str">
        <f t="shared" si="204"/>
        <v>57.5</v>
      </c>
      <c r="AG2934" s="1" t="str">
        <f t="shared" si="201"/>
        <v/>
      </c>
    </row>
    <row r="2935" spans="1:33" x14ac:dyDescent="0.2">
      <c r="A2935" s="1" t="s">
        <v>921</v>
      </c>
      <c r="B2935" s="1" t="s">
        <v>6651</v>
      </c>
      <c r="C2935" s="1">
        <v>55382</v>
      </c>
      <c r="D2935" s="1" t="s">
        <v>6652</v>
      </c>
      <c r="F2935" s="1">
        <v>2023</v>
      </c>
      <c r="G2935" s="1" t="s">
        <v>952</v>
      </c>
      <c r="H2935" s="1" t="s">
        <v>4261</v>
      </c>
      <c r="I2935" s="1">
        <v>4</v>
      </c>
      <c r="K2935" s="1" t="s">
        <v>6653</v>
      </c>
      <c r="L2935" s="1" t="s">
        <v>6654</v>
      </c>
      <c r="M2935" s="1">
        <v>213</v>
      </c>
      <c r="N2935" s="1" t="s">
        <v>39</v>
      </c>
      <c r="O2935" s="1">
        <v>34.709400000000002</v>
      </c>
      <c r="P2935" s="1">
        <v>-84.918199999999999</v>
      </c>
      <c r="Q2935" s="1" t="s">
        <v>4503</v>
      </c>
      <c r="R2935" s="1" t="s">
        <v>41</v>
      </c>
      <c r="T2935" s="1" t="s">
        <v>71</v>
      </c>
      <c r="U2935" s="1" t="s">
        <v>44</v>
      </c>
      <c r="X2935" s="1" t="s">
        <v>64</v>
      </c>
      <c r="AA2935" s="3">
        <v>37345</v>
      </c>
      <c r="AB2935" s="1" t="s">
        <v>46</v>
      </c>
      <c r="AC2935" s="5">
        <v>2700</v>
      </c>
      <c r="AD2935" s="1" t="s">
        <v>6655</v>
      </c>
      <c r="AE2935" s="1" t="str">
        <f t="shared" si="202"/>
        <v>55382 CCCT1</v>
      </c>
      <c r="AF2935" s="14">
        <f>MID(AD2935,FIND("(",AD2935)+1,FIND(")",AD2935)-FIND("(",AD2935)-1)+302/2</f>
        <v>298</v>
      </c>
      <c r="AG2935" s="1" t="str">
        <f t="shared" si="201"/>
        <v>Y</v>
      </c>
    </row>
    <row r="2936" spans="1:33" x14ac:dyDescent="0.2">
      <c r="A2936" s="1" t="s">
        <v>921</v>
      </c>
      <c r="B2936" s="1" t="s">
        <v>6651</v>
      </c>
      <c r="C2936" s="1">
        <v>55382</v>
      </c>
      <c r="D2936" s="1" t="s">
        <v>6656</v>
      </c>
      <c r="F2936" s="1">
        <v>2023</v>
      </c>
      <c r="G2936" s="1" t="s">
        <v>952</v>
      </c>
      <c r="H2936" s="1" t="s">
        <v>4261</v>
      </c>
      <c r="I2936" s="1">
        <v>4</v>
      </c>
      <c r="K2936" s="1" t="s">
        <v>6653</v>
      </c>
      <c r="L2936" s="1" t="s">
        <v>6654</v>
      </c>
      <c r="M2936" s="1">
        <v>213</v>
      </c>
      <c r="N2936" s="1" t="s">
        <v>39</v>
      </c>
      <c r="O2936" s="1">
        <v>34.709400000000002</v>
      </c>
      <c r="P2936" s="1">
        <v>-84.918199999999999</v>
      </c>
      <c r="Q2936" s="1" t="s">
        <v>4503</v>
      </c>
      <c r="R2936" s="1" t="s">
        <v>41</v>
      </c>
      <c r="T2936" s="1" t="s">
        <v>71</v>
      </c>
      <c r="U2936" s="1" t="s">
        <v>44</v>
      </c>
      <c r="X2936" s="1" t="s">
        <v>64</v>
      </c>
      <c r="AA2936" s="3">
        <v>37345</v>
      </c>
      <c r="AB2936" s="1" t="s">
        <v>46</v>
      </c>
      <c r="AC2936" s="5">
        <v>2700</v>
      </c>
      <c r="AD2936" s="1" t="s">
        <v>6657</v>
      </c>
      <c r="AE2936" s="1" t="str">
        <f t="shared" si="202"/>
        <v>55382 CCCT2</v>
      </c>
      <c r="AF2936" s="14">
        <f>AF2935</f>
        <v>298</v>
      </c>
      <c r="AG2936" s="1" t="str">
        <f t="shared" si="201"/>
        <v>Y</v>
      </c>
    </row>
    <row r="2937" spans="1:33" x14ac:dyDescent="0.2">
      <c r="A2937" s="1" t="s">
        <v>921</v>
      </c>
      <c r="B2937" s="1" t="s">
        <v>6651</v>
      </c>
      <c r="C2937" s="1">
        <v>55382</v>
      </c>
      <c r="D2937" s="1" t="s">
        <v>6658</v>
      </c>
      <c r="F2937" s="1">
        <v>2023</v>
      </c>
      <c r="G2937" s="1" t="s">
        <v>952</v>
      </c>
      <c r="H2937" s="1" t="s">
        <v>4261</v>
      </c>
      <c r="I2937" s="1">
        <v>4</v>
      </c>
      <c r="K2937" s="1" t="s">
        <v>6653</v>
      </c>
      <c r="L2937" s="1" t="s">
        <v>6654</v>
      </c>
      <c r="M2937" s="1">
        <v>213</v>
      </c>
      <c r="N2937" s="1" t="s">
        <v>39</v>
      </c>
      <c r="O2937" s="1">
        <v>34.709400000000002</v>
      </c>
      <c r="P2937" s="1">
        <v>-84.918199999999999</v>
      </c>
      <c r="Q2937" s="1" t="s">
        <v>4503</v>
      </c>
      <c r="R2937" s="1" t="s">
        <v>41</v>
      </c>
      <c r="T2937" s="1" t="s">
        <v>71</v>
      </c>
      <c r="U2937" s="1" t="s">
        <v>44</v>
      </c>
      <c r="X2937" s="1" t="s">
        <v>64</v>
      </c>
      <c r="AA2937" s="3">
        <v>37360</v>
      </c>
      <c r="AB2937" s="1" t="s">
        <v>46</v>
      </c>
      <c r="AC2937" s="5">
        <v>2700</v>
      </c>
      <c r="AD2937" s="1" t="s">
        <v>6659</v>
      </c>
      <c r="AE2937" s="1" t="str">
        <f t="shared" si="202"/>
        <v>55382 CCCT3</v>
      </c>
      <c r="AF2937" s="14">
        <f>MID(AD2937,FIND("(",AD2937)+1,FIND(")",AD2937)-FIND("(",AD2937)-1)+302/2</f>
        <v>298</v>
      </c>
      <c r="AG2937" s="1" t="str">
        <f t="shared" si="201"/>
        <v>Y</v>
      </c>
    </row>
    <row r="2938" spans="1:33" x14ac:dyDescent="0.2">
      <c r="A2938" s="1" t="s">
        <v>921</v>
      </c>
      <c r="B2938" s="1" t="s">
        <v>6651</v>
      </c>
      <c r="C2938" s="1">
        <v>55382</v>
      </c>
      <c r="D2938" s="1" t="s">
        <v>6660</v>
      </c>
      <c r="F2938" s="1">
        <v>2023</v>
      </c>
      <c r="G2938" s="1" t="s">
        <v>952</v>
      </c>
      <c r="H2938" s="1" t="s">
        <v>4261</v>
      </c>
      <c r="I2938" s="1">
        <v>4</v>
      </c>
      <c r="K2938" s="1" t="s">
        <v>6653</v>
      </c>
      <c r="L2938" s="1" t="s">
        <v>6654</v>
      </c>
      <c r="M2938" s="1">
        <v>213</v>
      </c>
      <c r="N2938" s="1" t="s">
        <v>39</v>
      </c>
      <c r="O2938" s="1">
        <v>34.709400000000002</v>
      </c>
      <c r="P2938" s="1">
        <v>-84.918199999999999</v>
      </c>
      <c r="Q2938" s="1" t="s">
        <v>4503</v>
      </c>
      <c r="R2938" s="1" t="s">
        <v>41</v>
      </c>
      <c r="T2938" s="1" t="s">
        <v>71</v>
      </c>
      <c r="U2938" s="1" t="s">
        <v>44</v>
      </c>
      <c r="X2938" s="1" t="s">
        <v>64</v>
      </c>
      <c r="AA2938" s="3">
        <v>37361</v>
      </c>
      <c r="AB2938" s="1" t="s">
        <v>46</v>
      </c>
      <c r="AC2938" s="5">
        <v>2700</v>
      </c>
      <c r="AD2938" s="1" t="s">
        <v>6661</v>
      </c>
      <c r="AE2938" s="1" t="str">
        <f t="shared" si="202"/>
        <v>55382 CCCT4</v>
      </c>
      <c r="AF2938" s="14">
        <f>AF2937</f>
        <v>298</v>
      </c>
      <c r="AG2938" s="1" t="str">
        <f t="shared" si="201"/>
        <v>Y</v>
      </c>
    </row>
    <row r="2939" spans="1:33" x14ac:dyDescent="0.2">
      <c r="A2939" s="1" t="s">
        <v>291</v>
      </c>
      <c r="B2939" s="1" t="s">
        <v>6662</v>
      </c>
      <c r="C2939" s="1">
        <v>55386</v>
      </c>
      <c r="D2939" s="1" t="s">
        <v>1296</v>
      </c>
      <c r="F2939" s="1">
        <v>2023</v>
      </c>
      <c r="G2939" s="1" t="s">
        <v>2690</v>
      </c>
      <c r="H2939" s="1">
        <v>609991</v>
      </c>
      <c r="I2939" s="1">
        <v>4</v>
      </c>
      <c r="K2939" s="1" t="s">
        <v>6663</v>
      </c>
      <c r="L2939" s="1" t="s">
        <v>6664</v>
      </c>
      <c r="M2939" s="1">
        <v>17</v>
      </c>
      <c r="N2939" s="1" t="s">
        <v>39</v>
      </c>
      <c r="O2939" s="1">
        <v>33.869199999999999</v>
      </c>
      <c r="P2939" s="1">
        <v>-81.018299999999996</v>
      </c>
      <c r="Q2939" s="1" t="s">
        <v>2707</v>
      </c>
      <c r="R2939" s="1" t="s">
        <v>41</v>
      </c>
      <c r="T2939" s="1" t="s">
        <v>71</v>
      </c>
      <c r="U2939" s="1" t="s">
        <v>44</v>
      </c>
      <c r="V2939" s="1" t="s">
        <v>94</v>
      </c>
      <c r="X2939" s="1" t="s">
        <v>643</v>
      </c>
      <c r="AA2939" s="3">
        <v>38048</v>
      </c>
      <c r="AB2939" s="1" t="s">
        <v>46</v>
      </c>
      <c r="AC2939" s="5">
        <v>2484</v>
      </c>
      <c r="AD2939" s="1" t="s">
        <v>6665</v>
      </c>
      <c r="AE2939" s="1" t="str">
        <f t="shared" si="202"/>
        <v>55386 CT-1</v>
      </c>
      <c r="AF2939" s="14">
        <f>MID(AD2939,FIND("(",AD2939)+1,FIND(")",AD2939)-FIND("(",AD2939)-1)+274.5/2</f>
        <v>307.25</v>
      </c>
      <c r="AG2939" s="1" t="str">
        <f t="shared" si="201"/>
        <v>Y</v>
      </c>
    </row>
    <row r="2940" spans="1:33" x14ac:dyDescent="0.2">
      <c r="A2940" s="1" t="s">
        <v>291</v>
      </c>
      <c r="B2940" s="1" t="s">
        <v>6662</v>
      </c>
      <c r="C2940" s="1">
        <v>55386</v>
      </c>
      <c r="D2940" s="1" t="s">
        <v>1300</v>
      </c>
      <c r="F2940" s="1">
        <v>2023</v>
      </c>
      <c r="G2940" s="1" t="s">
        <v>2690</v>
      </c>
      <c r="H2940" s="1">
        <v>609991</v>
      </c>
      <c r="I2940" s="1">
        <v>4</v>
      </c>
      <c r="K2940" s="1" t="s">
        <v>6663</v>
      </c>
      <c r="L2940" s="1" t="s">
        <v>6664</v>
      </c>
      <c r="M2940" s="1">
        <v>17</v>
      </c>
      <c r="N2940" s="1" t="s">
        <v>39</v>
      </c>
      <c r="O2940" s="1">
        <v>33.869199999999999</v>
      </c>
      <c r="P2940" s="1">
        <v>-81.018299999999996</v>
      </c>
      <c r="Q2940" s="1" t="s">
        <v>2707</v>
      </c>
      <c r="R2940" s="1" t="s">
        <v>41</v>
      </c>
      <c r="T2940" s="1" t="s">
        <v>71</v>
      </c>
      <c r="U2940" s="1" t="s">
        <v>44</v>
      </c>
      <c r="V2940" s="1" t="s">
        <v>94</v>
      </c>
      <c r="X2940" s="1" t="s">
        <v>643</v>
      </c>
      <c r="AA2940" s="3">
        <v>38048</v>
      </c>
      <c r="AB2940" s="1" t="s">
        <v>46</v>
      </c>
      <c r="AC2940" s="5">
        <v>2484</v>
      </c>
      <c r="AD2940" s="1" t="s">
        <v>6666</v>
      </c>
      <c r="AE2940" s="1" t="str">
        <f t="shared" si="202"/>
        <v>55386 CT-2</v>
      </c>
      <c r="AF2940" s="14">
        <f>AF2939</f>
        <v>307.25</v>
      </c>
      <c r="AG2940" s="1" t="str">
        <f t="shared" si="201"/>
        <v>Y</v>
      </c>
    </row>
    <row r="2941" spans="1:33" x14ac:dyDescent="0.2">
      <c r="A2941" s="1" t="s">
        <v>3167</v>
      </c>
      <c r="B2941" s="1" t="s">
        <v>6667</v>
      </c>
      <c r="C2941" s="1">
        <v>55391</v>
      </c>
      <c r="D2941" s="1" t="s">
        <v>1296</v>
      </c>
      <c r="F2941" s="1">
        <v>2023</v>
      </c>
      <c r="G2941" s="1" t="s">
        <v>461</v>
      </c>
      <c r="H2941" s="1">
        <v>606455</v>
      </c>
      <c r="I2941" s="1">
        <v>5</v>
      </c>
      <c r="K2941" s="1" t="s">
        <v>3175</v>
      </c>
      <c r="L2941" s="1" t="s">
        <v>3176</v>
      </c>
      <c r="M2941" s="1">
        <v>25</v>
      </c>
      <c r="N2941" s="1" t="s">
        <v>39</v>
      </c>
      <c r="O2941" s="1">
        <v>42.976700000000001</v>
      </c>
      <c r="P2941" s="1">
        <v>-89.049199999999999</v>
      </c>
      <c r="Q2941" s="1" t="s">
        <v>6668</v>
      </c>
      <c r="R2941" s="1" t="s">
        <v>41</v>
      </c>
      <c r="T2941" s="1" t="s">
        <v>93</v>
      </c>
      <c r="U2941" s="1" t="s">
        <v>44</v>
      </c>
      <c r="V2941" s="1" t="s">
        <v>94</v>
      </c>
      <c r="X2941" s="1" t="s">
        <v>183</v>
      </c>
      <c r="AA2941" s="3">
        <v>36937</v>
      </c>
      <c r="AB2941" s="1" t="s">
        <v>46</v>
      </c>
      <c r="AC2941" s="5">
        <v>2160</v>
      </c>
      <c r="AD2941" s="1" t="s">
        <v>6669</v>
      </c>
      <c r="AE2941" s="1" t="str">
        <f t="shared" si="202"/>
        <v>55391 CT-1</v>
      </c>
      <c r="AF2941" s="5" t="str">
        <f t="shared" ref="AF2941:AF2946" si="205">MID(AD2941,FIND("(",AD2941)+1,FIND(")",AD2941)-FIND("(",AD2941)-1)</f>
        <v>172</v>
      </c>
      <c r="AG2941" s="1" t="str">
        <f t="shared" si="201"/>
        <v/>
      </c>
    </row>
    <row r="2942" spans="1:33" x14ac:dyDescent="0.2">
      <c r="A2942" s="1" t="s">
        <v>3167</v>
      </c>
      <c r="B2942" s="1" t="s">
        <v>6667</v>
      </c>
      <c r="C2942" s="1">
        <v>55391</v>
      </c>
      <c r="D2942" s="1" t="s">
        <v>1300</v>
      </c>
      <c r="F2942" s="1">
        <v>2023</v>
      </c>
      <c r="G2942" s="1" t="s">
        <v>461</v>
      </c>
      <c r="H2942" s="1">
        <v>606455</v>
      </c>
      <c r="I2942" s="1">
        <v>5</v>
      </c>
      <c r="K2942" s="1" t="s">
        <v>3175</v>
      </c>
      <c r="L2942" s="1" t="s">
        <v>3176</v>
      </c>
      <c r="M2942" s="1">
        <v>25</v>
      </c>
      <c r="N2942" s="1" t="s">
        <v>39</v>
      </c>
      <c r="O2942" s="1">
        <v>42.976700000000001</v>
      </c>
      <c r="P2942" s="1">
        <v>-89.049199999999999</v>
      </c>
      <c r="Q2942" s="1" t="s">
        <v>6668</v>
      </c>
      <c r="R2942" s="1" t="s">
        <v>41</v>
      </c>
      <c r="T2942" s="1" t="s">
        <v>93</v>
      </c>
      <c r="U2942" s="1" t="s">
        <v>44</v>
      </c>
      <c r="V2942" s="1" t="s">
        <v>94</v>
      </c>
      <c r="X2942" s="1" t="s">
        <v>183</v>
      </c>
      <c r="AA2942" s="3">
        <v>36971</v>
      </c>
      <c r="AB2942" s="1" t="s">
        <v>46</v>
      </c>
      <c r="AC2942" s="5">
        <v>2160</v>
      </c>
      <c r="AD2942" s="1" t="s">
        <v>6670</v>
      </c>
      <c r="AE2942" s="1" t="str">
        <f t="shared" si="202"/>
        <v>55391 CT-2</v>
      </c>
      <c r="AF2942" s="5" t="str">
        <f t="shared" si="205"/>
        <v>172</v>
      </c>
      <c r="AG2942" s="1" t="str">
        <f t="shared" si="201"/>
        <v/>
      </c>
    </row>
    <row r="2943" spans="1:33" x14ac:dyDescent="0.2">
      <c r="A2943" s="1" t="s">
        <v>3167</v>
      </c>
      <c r="B2943" s="1" t="s">
        <v>6667</v>
      </c>
      <c r="C2943" s="1">
        <v>55391</v>
      </c>
      <c r="D2943" s="1" t="s">
        <v>1302</v>
      </c>
      <c r="F2943" s="1">
        <v>2023</v>
      </c>
      <c r="G2943" s="1" t="s">
        <v>461</v>
      </c>
      <c r="H2943" s="1">
        <v>606455</v>
      </c>
      <c r="I2943" s="1">
        <v>5</v>
      </c>
      <c r="K2943" s="1" t="s">
        <v>3175</v>
      </c>
      <c r="L2943" s="1" t="s">
        <v>3176</v>
      </c>
      <c r="M2943" s="1">
        <v>25</v>
      </c>
      <c r="N2943" s="1" t="s">
        <v>39</v>
      </c>
      <c r="O2943" s="1">
        <v>42.976700000000001</v>
      </c>
      <c r="P2943" s="1">
        <v>-89.049199999999999</v>
      </c>
      <c r="Q2943" s="1" t="s">
        <v>6668</v>
      </c>
      <c r="R2943" s="1" t="s">
        <v>41</v>
      </c>
      <c r="T2943" s="1" t="s">
        <v>93</v>
      </c>
      <c r="U2943" s="1" t="s">
        <v>44</v>
      </c>
      <c r="V2943" s="1" t="s">
        <v>94</v>
      </c>
      <c r="X2943" s="1" t="s">
        <v>183</v>
      </c>
      <c r="AA2943" s="3">
        <v>36988</v>
      </c>
      <c r="AB2943" s="1" t="s">
        <v>46</v>
      </c>
      <c r="AC2943" s="5">
        <v>2160</v>
      </c>
      <c r="AD2943" s="1" t="s">
        <v>6671</v>
      </c>
      <c r="AE2943" s="1" t="str">
        <f t="shared" si="202"/>
        <v>55391 CT-3</v>
      </c>
      <c r="AF2943" s="5" t="str">
        <f t="shared" si="205"/>
        <v>172</v>
      </c>
      <c r="AG2943" s="1" t="str">
        <f t="shared" si="201"/>
        <v/>
      </c>
    </row>
    <row r="2944" spans="1:33" x14ac:dyDescent="0.2">
      <c r="A2944" s="1" t="s">
        <v>458</v>
      </c>
      <c r="B2944" s="1" t="s">
        <v>6672</v>
      </c>
      <c r="C2944" s="1">
        <v>55392</v>
      </c>
      <c r="D2944" s="1" t="s">
        <v>1296</v>
      </c>
      <c r="F2944" s="1">
        <v>2023</v>
      </c>
      <c r="G2944" s="1" t="s">
        <v>461</v>
      </c>
      <c r="H2944" s="1" t="s">
        <v>6673</v>
      </c>
      <c r="I2944" s="1">
        <v>5</v>
      </c>
      <c r="K2944" s="1" t="s">
        <v>1021</v>
      </c>
      <c r="L2944" s="1" t="s">
        <v>1022</v>
      </c>
      <c r="M2944" s="1">
        <v>97</v>
      </c>
      <c r="N2944" s="1" t="s">
        <v>39</v>
      </c>
      <c r="O2944" s="1">
        <v>42.477600000000002</v>
      </c>
      <c r="P2944" s="1">
        <v>-87.894999999999996</v>
      </c>
      <c r="Q2944" s="1" t="s">
        <v>6674</v>
      </c>
      <c r="R2944" s="1" t="s">
        <v>41</v>
      </c>
      <c r="T2944" s="1" t="s">
        <v>93</v>
      </c>
      <c r="U2944" s="1" t="s">
        <v>44</v>
      </c>
      <c r="V2944" s="1" t="s">
        <v>94</v>
      </c>
      <c r="X2944" s="1" t="s">
        <v>183</v>
      </c>
      <c r="AA2944" s="3">
        <v>37377</v>
      </c>
      <c r="AB2944" s="1" t="s">
        <v>46</v>
      </c>
      <c r="AC2944" s="5">
        <v>2060</v>
      </c>
      <c r="AD2944" s="1" t="s">
        <v>6675</v>
      </c>
      <c r="AE2944" s="1" t="str">
        <f t="shared" si="202"/>
        <v>55392 CT-1</v>
      </c>
      <c r="AF2944" s="5" t="str">
        <f t="shared" si="205"/>
        <v>160</v>
      </c>
      <c r="AG2944" s="1" t="str">
        <f t="shared" si="201"/>
        <v/>
      </c>
    </row>
    <row r="2945" spans="1:33" x14ac:dyDescent="0.2">
      <c r="A2945" s="1" t="s">
        <v>458</v>
      </c>
      <c r="B2945" s="1" t="s">
        <v>6672</v>
      </c>
      <c r="C2945" s="1">
        <v>55392</v>
      </c>
      <c r="D2945" s="1" t="s">
        <v>1300</v>
      </c>
      <c r="F2945" s="1">
        <v>2023</v>
      </c>
      <c r="G2945" s="1" t="s">
        <v>461</v>
      </c>
      <c r="H2945" s="1" t="s">
        <v>6673</v>
      </c>
      <c r="I2945" s="1">
        <v>5</v>
      </c>
      <c r="K2945" s="1" t="s">
        <v>1021</v>
      </c>
      <c r="L2945" s="1" t="s">
        <v>1022</v>
      </c>
      <c r="M2945" s="1">
        <v>97</v>
      </c>
      <c r="N2945" s="1" t="s">
        <v>39</v>
      </c>
      <c r="O2945" s="1">
        <v>42.477600000000002</v>
      </c>
      <c r="P2945" s="1">
        <v>-87.894999999999996</v>
      </c>
      <c r="Q2945" s="1" t="s">
        <v>6674</v>
      </c>
      <c r="R2945" s="1" t="s">
        <v>41</v>
      </c>
      <c r="T2945" s="1" t="s">
        <v>93</v>
      </c>
      <c r="U2945" s="1" t="s">
        <v>44</v>
      </c>
      <c r="V2945" s="1" t="s">
        <v>94</v>
      </c>
      <c r="X2945" s="1" t="s">
        <v>183</v>
      </c>
      <c r="AA2945" s="3">
        <v>37377</v>
      </c>
      <c r="AB2945" s="1" t="s">
        <v>46</v>
      </c>
      <c r="AC2945" s="5">
        <v>2060</v>
      </c>
      <c r="AD2945" s="1" t="s">
        <v>6676</v>
      </c>
      <c r="AE2945" s="1" t="str">
        <f t="shared" si="202"/>
        <v>55392 CT-2</v>
      </c>
      <c r="AF2945" s="5" t="str">
        <f t="shared" si="205"/>
        <v>160</v>
      </c>
      <c r="AG2945" s="1" t="str">
        <f t="shared" si="201"/>
        <v/>
      </c>
    </row>
    <row r="2946" spans="1:33" x14ac:dyDescent="0.2">
      <c r="A2946" s="1" t="s">
        <v>458</v>
      </c>
      <c r="B2946" s="1" t="s">
        <v>6672</v>
      </c>
      <c r="C2946" s="1">
        <v>55392</v>
      </c>
      <c r="D2946" s="1" t="s">
        <v>1302</v>
      </c>
      <c r="F2946" s="1">
        <v>2023</v>
      </c>
      <c r="G2946" s="1" t="s">
        <v>461</v>
      </c>
      <c r="H2946" s="1" t="s">
        <v>6673</v>
      </c>
      <c r="I2946" s="1">
        <v>5</v>
      </c>
      <c r="K2946" s="1" t="s">
        <v>1021</v>
      </c>
      <c r="L2946" s="1" t="s">
        <v>1022</v>
      </c>
      <c r="M2946" s="1">
        <v>97</v>
      </c>
      <c r="N2946" s="1" t="s">
        <v>39</v>
      </c>
      <c r="O2946" s="1">
        <v>42.477600000000002</v>
      </c>
      <c r="P2946" s="1">
        <v>-87.894999999999996</v>
      </c>
      <c r="Q2946" s="1" t="s">
        <v>6674</v>
      </c>
      <c r="R2946" s="1" t="s">
        <v>41</v>
      </c>
      <c r="T2946" s="1" t="s">
        <v>93</v>
      </c>
      <c r="U2946" s="1" t="s">
        <v>44</v>
      </c>
      <c r="V2946" s="1" t="s">
        <v>94</v>
      </c>
      <c r="X2946" s="1" t="s">
        <v>183</v>
      </c>
      <c r="AA2946" s="3">
        <v>37760</v>
      </c>
      <c r="AB2946" s="1" t="s">
        <v>46</v>
      </c>
      <c r="AC2946" s="5">
        <v>2060</v>
      </c>
      <c r="AD2946" s="1" t="s">
        <v>6677</v>
      </c>
      <c r="AE2946" s="1" t="str">
        <f t="shared" si="202"/>
        <v>55392 CT-3</v>
      </c>
      <c r="AF2946" s="5" t="str">
        <f t="shared" si="205"/>
        <v>160</v>
      </c>
      <c r="AG2946" s="1" t="str">
        <f t="shared" ref="AG2946:AG3009" si="206">IF(ISNUMBER(SEARCH("selective", X2946)), "Y", "")</f>
        <v/>
      </c>
    </row>
    <row r="2947" spans="1:33" x14ac:dyDescent="0.2">
      <c r="A2947" s="1" t="s">
        <v>370</v>
      </c>
      <c r="B2947" s="1" t="s">
        <v>6678</v>
      </c>
      <c r="C2947" s="1">
        <v>55393</v>
      </c>
      <c r="D2947" s="1">
        <v>1</v>
      </c>
      <c r="F2947" s="1">
        <v>2023</v>
      </c>
      <c r="G2947" s="1" t="s">
        <v>247</v>
      </c>
      <c r="H2947" s="1">
        <v>603807</v>
      </c>
      <c r="I2947" s="1">
        <v>9</v>
      </c>
      <c r="K2947" s="1" t="s">
        <v>4766</v>
      </c>
      <c r="L2947" s="1" t="s">
        <v>4767</v>
      </c>
      <c r="M2947" s="1">
        <v>85</v>
      </c>
      <c r="N2947" s="1" t="s">
        <v>39</v>
      </c>
      <c r="O2947" s="1">
        <v>37.216900000000003</v>
      </c>
      <c r="P2947" s="1">
        <v>-121.7439</v>
      </c>
      <c r="Q2947" s="1" t="s">
        <v>6679</v>
      </c>
      <c r="R2947" s="1" t="s">
        <v>41</v>
      </c>
      <c r="T2947" s="1" t="s">
        <v>71</v>
      </c>
      <c r="U2947" s="1" t="s">
        <v>44</v>
      </c>
      <c r="X2947" s="1" t="s">
        <v>64</v>
      </c>
      <c r="AA2947" s="3">
        <v>38470</v>
      </c>
      <c r="AB2947" s="1" t="s">
        <v>46</v>
      </c>
      <c r="AC2947" s="5">
        <v>2150</v>
      </c>
      <c r="AD2947" s="1" t="s">
        <v>6680</v>
      </c>
      <c r="AE2947" s="1" t="str">
        <f t="shared" ref="AE2947:AE3010" si="207">C2947&amp;" "&amp;D2947</f>
        <v>55393 1</v>
      </c>
      <c r="AF2947" s="14">
        <f>MID(AD2947,FIND("(",AD2947)+1,FIND(")",AD2947)-FIND("(",AD2947)-1)+235/2</f>
        <v>317.5</v>
      </c>
      <c r="AG2947" s="1" t="str">
        <f t="shared" si="206"/>
        <v>Y</v>
      </c>
    </row>
    <row r="2948" spans="1:33" x14ac:dyDescent="0.2">
      <c r="A2948" s="1" t="s">
        <v>370</v>
      </c>
      <c r="B2948" s="1" t="s">
        <v>6678</v>
      </c>
      <c r="C2948" s="1">
        <v>55393</v>
      </c>
      <c r="D2948" s="1">
        <v>2</v>
      </c>
      <c r="F2948" s="1">
        <v>2023</v>
      </c>
      <c r="G2948" s="1" t="s">
        <v>247</v>
      </c>
      <c r="H2948" s="1">
        <v>603807</v>
      </c>
      <c r="I2948" s="1">
        <v>9</v>
      </c>
      <c r="K2948" s="1" t="s">
        <v>4766</v>
      </c>
      <c r="L2948" s="1" t="s">
        <v>4767</v>
      </c>
      <c r="M2948" s="1">
        <v>85</v>
      </c>
      <c r="N2948" s="1" t="s">
        <v>39</v>
      </c>
      <c r="O2948" s="1">
        <v>37.216900000000003</v>
      </c>
      <c r="P2948" s="1">
        <v>-121.7439</v>
      </c>
      <c r="Q2948" s="1" t="s">
        <v>6679</v>
      </c>
      <c r="R2948" s="1" t="s">
        <v>41</v>
      </c>
      <c r="T2948" s="1" t="s">
        <v>71</v>
      </c>
      <c r="U2948" s="1" t="s">
        <v>44</v>
      </c>
      <c r="X2948" s="1" t="s">
        <v>64</v>
      </c>
      <c r="AA2948" s="3">
        <v>38473</v>
      </c>
      <c r="AB2948" s="1" t="s">
        <v>46</v>
      </c>
      <c r="AC2948" s="5">
        <v>2156</v>
      </c>
      <c r="AD2948" s="1" t="s">
        <v>6681</v>
      </c>
      <c r="AE2948" s="1" t="str">
        <f t="shared" si="207"/>
        <v>55393 2</v>
      </c>
      <c r="AF2948" s="14">
        <f>AF2947</f>
        <v>317.5</v>
      </c>
      <c r="AG2948" s="1" t="str">
        <f t="shared" si="206"/>
        <v>Y</v>
      </c>
    </row>
    <row r="2949" spans="1:33" x14ac:dyDescent="0.2">
      <c r="A2949" s="1" t="s">
        <v>1732</v>
      </c>
      <c r="B2949" s="1" t="s">
        <v>6682</v>
      </c>
      <c r="C2949" s="1">
        <v>55395</v>
      </c>
      <c r="D2949" s="1" t="s">
        <v>993</v>
      </c>
      <c r="F2949" s="1">
        <v>2023</v>
      </c>
      <c r="G2949" s="1" t="s">
        <v>346</v>
      </c>
      <c r="H2949" s="1">
        <v>607331</v>
      </c>
      <c r="I2949" s="1">
        <v>4</v>
      </c>
      <c r="J2949" s="1" t="s">
        <v>228</v>
      </c>
      <c r="K2949" s="1" t="s">
        <v>6683</v>
      </c>
      <c r="L2949" s="1" t="s">
        <v>6684</v>
      </c>
      <c r="M2949" s="1">
        <v>27</v>
      </c>
      <c r="N2949" s="1" t="s">
        <v>39</v>
      </c>
      <c r="O2949" s="1">
        <v>34.183</v>
      </c>
      <c r="P2949" s="1">
        <v>-90.562100000000001</v>
      </c>
      <c r="Q2949" s="1" t="s">
        <v>6685</v>
      </c>
      <c r="R2949" s="1" t="s">
        <v>41</v>
      </c>
      <c r="T2949" s="1" t="s">
        <v>93</v>
      </c>
      <c r="U2949" s="1" t="s">
        <v>44</v>
      </c>
      <c r="X2949" s="1" t="s">
        <v>140</v>
      </c>
      <c r="AA2949" s="3">
        <v>37347</v>
      </c>
      <c r="AB2949" s="1" t="s">
        <v>46</v>
      </c>
      <c r="AC2949" s="5">
        <v>962.4</v>
      </c>
      <c r="AD2949" s="1" t="s">
        <v>6686</v>
      </c>
      <c r="AE2949" s="1" t="str">
        <f t="shared" si="207"/>
        <v>55395 CT01</v>
      </c>
      <c r="AF2949" s="5" t="str">
        <f>MID(AD2949,FIND("(",AD2949)+1,FIND(")",AD2949)-FIND("(",AD2949)-1)</f>
        <v>76.6</v>
      </c>
      <c r="AG2949" s="1" t="str">
        <f t="shared" si="206"/>
        <v/>
      </c>
    </row>
    <row r="2950" spans="1:33" x14ac:dyDescent="0.2">
      <c r="A2950" s="1" t="s">
        <v>1732</v>
      </c>
      <c r="B2950" s="1" t="s">
        <v>6682</v>
      </c>
      <c r="C2950" s="1">
        <v>55395</v>
      </c>
      <c r="D2950" s="1" t="s">
        <v>998</v>
      </c>
      <c r="F2950" s="1">
        <v>2023</v>
      </c>
      <c r="G2950" s="1" t="s">
        <v>346</v>
      </c>
      <c r="H2950" s="1">
        <v>607331</v>
      </c>
      <c r="I2950" s="1">
        <v>4</v>
      </c>
      <c r="J2950" s="1" t="s">
        <v>228</v>
      </c>
      <c r="K2950" s="1" t="s">
        <v>6683</v>
      </c>
      <c r="L2950" s="1" t="s">
        <v>6684</v>
      </c>
      <c r="M2950" s="1">
        <v>27</v>
      </c>
      <c r="N2950" s="1" t="s">
        <v>39</v>
      </c>
      <c r="O2950" s="1">
        <v>34.183</v>
      </c>
      <c r="P2950" s="1">
        <v>-90.562100000000001</v>
      </c>
      <c r="Q2950" s="1" t="s">
        <v>6685</v>
      </c>
      <c r="R2950" s="1" t="s">
        <v>41</v>
      </c>
      <c r="T2950" s="1" t="s">
        <v>93</v>
      </c>
      <c r="U2950" s="1" t="s">
        <v>44</v>
      </c>
      <c r="X2950" s="1" t="s">
        <v>140</v>
      </c>
      <c r="AA2950" s="3">
        <v>37347</v>
      </c>
      <c r="AB2950" s="1" t="s">
        <v>46</v>
      </c>
      <c r="AC2950" s="5">
        <v>962.4</v>
      </c>
      <c r="AD2950" s="1" t="s">
        <v>6687</v>
      </c>
      <c r="AE2950" s="1" t="str">
        <f t="shared" si="207"/>
        <v>55395 CT02</v>
      </c>
      <c r="AF2950" s="5" t="str">
        <f>MID(AD2950,FIND("(",AD2950)+1,FIND(")",AD2950)-FIND("(",AD2950)-1)</f>
        <v>76.6</v>
      </c>
      <c r="AG2950" s="1" t="str">
        <f t="shared" si="206"/>
        <v/>
      </c>
    </row>
    <row r="2951" spans="1:33" x14ac:dyDescent="0.2">
      <c r="A2951" s="1" t="s">
        <v>1732</v>
      </c>
      <c r="B2951" s="1" t="s">
        <v>6682</v>
      </c>
      <c r="C2951" s="1">
        <v>55395</v>
      </c>
      <c r="D2951" s="1" t="s">
        <v>1043</v>
      </c>
      <c r="F2951" s="1">
        <v>2023</v>
      </c>
      <c r="G2951" s="1" t="s">
        <v>346</v>
      </c>
      <c r="H2951" s="1">
        <v>607331</v>
      </c>
      <c r="I2951" s="1">
        <v>4</v>
      </c>
      <c r="J2951" s="1" t="s">
        <v>228</v>
      </c>
      <c r="K2951" s="1" t="s">
        <v>6683</v>
      </c>
      <c r="L2951" s="1" t="s">
        <v>6684</v>
      </c>
      <c r="M2951" s="1">
        <v>27</v>
      </c>
      <c r="N2951" s="1" t="s">
        <v>39</v>
      </c>
      <c r="O2951" s="1">
        <v>34.183</v>
      </c>
      <c r="P2951" s="1">
        <v>-90.562100000000001</v>
      </c>
      <c r="Q2951" s="1" t="s">
        <v>6685</v>
      </c>
      <c r="R2951" s="1" t="s">
        <v>41</v>
      </c>
      <c r="T2951" s="1" t="s">
        <v>93</v>
      </c>
      <c r="U2951" s="1" t="s">
        <v>44</v>
      </c>
      <c r="X2951" s="1" t="s">
        <v>140</v>
      </c>
      <c r="AA2951" s="3">
        <v>37347</v>
      </c>
      <c r="AB2951" s="1" t="s">
        <v>46</v>
      </c>
      <c r="AC2951" s="5">
        <v>962.4</v>
      </c>
      <c r="AD2951" s="1" t="s">
        <v>6688</v>
      </c>
      <c r="AE2951" s="1" t="str">
        <f t="shared" si="207"/>
        <v>55395 CT03</v>
      </c>
      <c r="AF2951" s="5" t="str">
        <f>MID(AD2951,FIND("(",AD2951)+1,FIND(")",AD2951)-FIND("(",AD2951)-1)</f>
        <v>76.6</v>
      </c>
      <c r="AG2951" s="1" t="str">
        <f t="shared" si="206"/>
        <v/>
      </c>
    </row>
    <row r="2952" spans="1:33" x14ac:dyDescent="0.2">
      <c r="A2952" s="1" t="s">
        <v>1732</v>
      </c>
      <c r="B2952" s="1" t="s">
        <v>6682</v>
      </c>
      <c r="C2952" s="1">
        <v>55395</v>
      </c>
      <c r="D2952" s="1" t="s">
        <v>1048</v>
      </c>
      <c r="F2952" s="1">
        <v>2023</v>
      </c>
      <c r="G2952" s="1" t="s">
        <v>346</v>
      </c>
      <c r="H2952" s="1">
        <v>607331</v>
      </c>
      <c r="I2952" s="1">
        <v>4</v>
      </c>
      <c r="J2952" s="1" t="s">
        <v>228</v>
      </c>
      <c r="K2952" s="1" t="s">
        <v>6683</v>
      </c>
      <c r="L2952" s="1" t="s">
        <v>6684</v>
      </c>
      <c r="M2952" s="1">
        <v>27</v>
      </c>
      <c r="N2952" s="1" t="s">
        <v>39</v>
      </c>
      <c r="O2952" s="1">
        <v>34.183</v>
      </c>
      <c r="P2952" s="1">
        <v>-90.562100000000001</v>
      </c>
      <c r="Q2952" s="1" t="s">
        <v>6685</v>
      </c>
      <c r="R2952" s="1" t="s">
        <v>41</v>
      </c>
      <c r="T2952" s="1" t="s">
        <v>93</v>
      </c>
      <c r="U2952" s="1" t="s">
        <v>44</v>
      </c>
      <c r="X2952" s="1" t="s">
        <v>140</v>
      </c>
      <c r="AA2952" s="3">
        <v>37347</v>
      </c>
      <c r="AB2952" s="1" t="s">
        <v>46</v>
      </c>
      <c r="AC2952" s="5">
        <v>962.4</v>
      </c>
      <c r="AD2952" s="1" t="s">
        <v>6689</v>
      </c>
      <c r="AE2952" s="1" t="str">
        <f t="shared" si="207"/>
        <v>55395 CT04</v>
      </c>
      <c r="AF2952" s="5" t="str">
        <f>MID(AD2952,FIND("(",AD2952)+1,FIND(")",AD2952)-FIND("(",AD2952)-1)</f>
        <v>76.6</v>
      </c>
      <c r="AG2952" s="1" t="str">
        <f t="shared" si="206"/>
        <v/>
      </c>
    </row>
    <row r="2953" spans="1:33" x14ac:dyDescent="0.2">
      <c r="A2953" s="1" t="s">
        <v>2430</v>
      </c>
      <c r="B2953" s="1" t="s">
        <v>6690</v>
      </c>
      <c r="C2953" s="1">
        <v>55397</v>
      </c>
      <c r="D2953" s="1" t="s">
        <v>311</v>
      </c>
      <c r="F2953" s="1">
        <v>2023</v>
      </c>
      <c r="G2953" s="1" t="s">
        <v>461</v>
      </c>
      <c r="H2953" s="1">
        <v>603383</v>
      </c>
      <c r="I2953" s="1">
        <v>5</v>
      </c>
      <c r="K2953" s="1" t="s">
        <v>196</v>
      </c>
      <c r="L2953" s="1" t="s">
        <v>6691</v>
      </c>
      <c r="M2953" s="1">
        <v>167</v>
      </c>
      <c r="N2953" s="1" t="s">
        <v>39</v>
      </c>
      <c r="O2953" s="1">
        <v>39.579799999999999</v>
      </c>
      <c r="P2953" s="1">
        <v>-81.6571</v>
      </c>
      <c r="Q2953" s="1" t="s">
        <v>6692</v>
      </c>
      <c r="R2953" s="1" t="s">
        <v>41</v>
      </c>
      <c r="T2953" s="1" t="s">
        <v>71</v>
      </c>
      <c r="U2953" s="1" t="s">
        <v>44</v>
      </c>
      <c r="X2953" s="1" t="s">
        <v>64</v>
      </c>
      <c r="AA2953" s="3">
        <v>37373</v>
      </c>
      <c r="AB2953" s="1" t="s">
        <v>46</v>
      </c>
      <c r="AC2953" s="5">
        <v>2625</v>
      </c>
      <c r="AD2953" s="1" t="s">
        <v>6693</v>
      </c>
      <c r="AE2953" s="1" t="str">
        <f t="shared" si="207"/>
        <v>55397 CT1</v>
      </c>
      <c r="AF2953" s="14">
        <f>MID(AD2953,FIND("(",AD2953)+1,FIND(")",AD2953)-FIND("(",AD2953)-1)+317.1/2</f>
        <v>357.45000000000005</v>
      </c>
      <c r="AG2953" s="1" t="str">
        <f t="shared" si="206"/>
        <v>Y</v>
      </c>
    </row>
    <row r="2954" spans="1:33" x14ac:dyDescent="0.2">
      <c r="A2954" s="1" t="s">
        <v>2430</v>
      </c>
      <c r="B2954" s="1" t="s">
        <v>6690</v>
      </c>
      <c r="C2954" s="1">
        <v>55397</v>
      </c>
      <c r="D2954" s="1" t="s">
        <v>98</v>
      </c>
      <c r="F2954" s="1">
        <v>2023</v>
      </c>
      <c r="G2954" s="1" t="s">
        <v>461</v>
      </c>
      <c r="H2954" s="1">
        <v>603383</v>
      </c>
      <c r="I2954" s="1">
        <v>5</v>
      </c>
      <c r="K2954" s="1" t="s">
        <v>196</v>
      </c>
      <c r="L2954" s="1" t="s">
        <v>6691</v>
      </c>
      <c r="M2954" s="1">
        <v>167</v>
      </c>
      <c r="N2954" s="1" t="s">
        <v>39</v>
      </c>
      <c r="O2954" s="1">
        <v>39.579799999999999</v>
      </c>
      <c r="P2954" s="1">
        <v>-81.6571</v>
      </c>
      <c r="Q2954" s="1" t="s">
        <v>6692</v>
      </c>
      <c r="R2954" s="1" t="s">
        <v>41</v>
      </c>
      <c r="T2954" s="1" t="s">
        <v>71</v>
      </c>
      <c r="U2954" s="1" t="s">
        <v>44</v>
      </c>
      <c r="X2954" s="1" t="s">
        <v>64</v>
      </c>
      <c r="AA2954" s="3">
        <v>37379</v>
      </c>
      <c r="AB2954" s="1" t="s">
        <v>46</v>
      </c>
      <c r="AC2954" s="5">
        <v>2625</v>
      </c>
      <c r="AD2954" s="1" t="s">
        <v>6694</v>
      </c>
      <c r="AE2954" s="1" t="str">
        <f t="shared" si="207"/>
        <v>55397 CT2</v>
      </c>
      <c r="AF2954" s="14">
        <f>AF2953</f>
        <v>357.45000000000005</v>
      </c>
      <c r="AG2954" s="1" t="str">
        <f t="shared" si="206"/>
        <v>Y</v>
      </c>
    </row>
    <row r="2955" spans="1:33" x14ac:dyDescent="0.2">
      <c r="A2955" s="1" t="s">
        <v>370</v>
      </c>
      <c r="B2955" s="1" t="s">
        <v>6695</v>
      </c>
      <c r="C2955" s="1">
        <v>55400</v>
      </c>
      <c r="D2955" s="1" t="s">
        <v>5681</v>
      </c>
      <c r="F2955" s="1">
        <v>2023</v>
      </c>
      <c r="G2955" s="1" t="s">
        <v>247</v>
      </c>
      <c r="H2955" s="1">
        <v>609009</v>
      </c>
      <c r="I2955" s="1">
        <v>9</v>
      </c>
      <c r="K2955" s="1" t="s">
        <v>4903</v>
      </c>
      <c r="L2955" s="1" t="s">
        <v>4904</v>
      </c>
      <c r="M2955" s="1">
        <v>29</v>
      </c>
      <c r="N2955" s="1" t="s">
        <v>4999</v>
      </c>
      <c r="O2955" s="1">
        <v>35.280200000000001</v>
      </c>
      <c r="P2955" s="1">
        <v>-119.4699</v>
      </c>
      <c r="Q2955" s="1" t="s">
        <v>6696</v>
      </c>
      <c r="R2955" s="1" t="s">
        <v>41</v>
      </c>
      <c r="T2955" s="1" t="s">
        <v>71</v>
      </c>
      <c r="U2955" s="1" t="s">
        <v>44</v>
      </c>
      <c r="X2955" s="1" t="s">
        <v>64</v>
      </c>
      <c r="AA2955" s="3">
        <v>37687</v>
      </c>
      <c r="AB2955" s="1" t="s">
        <v>46</v>
      </c>
      <c r="AC2955" s="5">
        <v>2061</v>
      </c>
      <c r="AD2955" s="1" t="s">
        <v>6697</v>
      </c>
      <c r="AE2955" s="1" t="str">
        <f t="shared" si="207"/>
        <v>55400 CTG-1</v>
      </c>
      <c r="AF2955" s="14">
        <f>MID(AD2955,FIND("(",AD2955)+1,FIND(")",AD2955)-FIND("(",AD2955)-1)+225/2</f>
        <v>311.5</v>
      </c>
      <c r="AG2955" s="1" t="str">
        <f t="shared" si="206"/>
        <v>Y</v>
      </c>
    </row>
    <row r="2956" spans="1:33" x14ac:dyDescent="0.2">
      <c r="A2956" s="1" t="s">
        <v>370</v>
      </c>
      <c r="B2956" s="1" t="s">
        <v>6695</v>
      </c>
      <c r="C2956" s="1">
        <v>55400</v>
      </c>
      <c r="D2956" s="1" t="s">
        <v>5684</v>
      </c>
      <c r="F2956" s="1">
        <v>2023</v>
      </c>
      <c r="G2956" s="1" t="s">
        <v>247</v>
      </c>
      <c r="H2956" s="1">
        <v>609009</v>
      </c>
      <c r="I2956" s="1">
        <v>9</v>
      </c>
      <c r="K2956" s="1" t="s">
        <v>4903</v>
      </c>
      <c r="L2956" s="1" t="s">
        <v>4904</v>
      </c>
      <c r="M2956" s="1">
        <v>29</v>
      </c>
      <c r="N2956" s="1" t="s">
        <v>4999</v>
      </c>
      <c r="O2956" s="1">
        <v>35.280200000000001</v>
      </c>
      <c r="P2956" s="1">
        <v>-119.4699</v>
      </c>
      <c r="Q2956" s="1" t="s">
        <v>6696</v>
      </c>
      <c r="R2956" s="1" t="s">
        <v>41</v>
      </c>
      <c r="T2956" s="1" t="s">
        <v>71</v>
      </c>
      <c r="U2956" s="1" t="s">
        <v>44</v>
      </c>
      <c r="X2956" s="1" t="s">
        <v>64</v>
      </c>
      <c r="AA2956" s="3">
        <v>37687</v>
      </c>
      <c r="AB2956" s="1" t="s">
        <v>46</v>
      </c>
      <c r="AC2956" s="5">
        <v>2061</v>
      </c>
      <c r="AD2956" s="1" t="s">
        <v>6698</v>
      </c>
      <c r="AE2956" s="1" t="str">
        <f t="shared" si="207"/>
        <v>55400 CTG-2</v>
      </c>
      <c r="AF2956" s="14">
        <f>AF2955</f>
        <v>311.5</v>
      </c>
      <c r="AG2956" s="1" t="str">
        <f t="shared" si="206"/>
        <v>Y</v>
      </c>
    </row>
    <row r="2957" spans="1:33" x14ac:dyDescent="0.2">
      <c r="A2957" s="1" t="s">
        <v>2430</v>
      </c>
      <c r="B2957" s="1" t="s">
        <v>6699</v>
      </c>
      <c r="C2957" s="1">
        <v>55401</v>
      </c>
      <c r="D2957" s="1" t="s">
        <v>1296</v>
      </c>
      <c r="F2957" s="1">
        <v>2023</v>
      </c>
      <c r="G2957" s="1" t="s">
        <v>461</v>
      </c>
      <c r="H2957" s="1">
        <v>605624</v>
      </c>
      <c r="I2957" s="1">
        <v>5</v>
      </c>
      <c r="K2957" s="1" t="s">
        <v>6700</v>
      </c>
      <c r="L2957" s="1" t="s">
        <v>6701</v>
      </c>
      <c r="M2957" s="1">
        <v>163</v>
      </c>
      <c r="N2957" s="1" t="s">
        <v>39</v>
      </c>
      <c r="O2957" s="1">
        <v>39.0839</v>
      </c>
      <c r="P2957" s="1">
        <v>-82.332800000000006</v>
      </c>
      <c r="Q2957" s="1" t="s">
        <v>6702</v>
      </c>
      <c r="R2957" s="1" t="s">
        <v>41</v>
      </c>
      <c r="T2957" s="1" t="s">
        <v>93</v>
      </c>
      <c r="U2957" s="1" t="s">
        <v>44</v>
      </c>
      <c r="X2957" s="1" t="s">
        <v>643</v>
      </c>
      <c r="AA2957" s="3">
        <v>37681</v>
      </c>
      <c r="AB2957" s="1" t="s">
        <v>46</v>
      </c>
      <c r="AC2957" s="5">
        <v>2250</v>
      </c>
      <c r="AD2957" s="1" t="s">
        <v>6703</v>
      </c>
      <c r="AE2957" s="1" t="str">
        <f t="shared" si="207"/>
        <v>55401 CT-1</v>
      </c>
      <c r="AF2957" s="5" t="str">
        <f t="shared" ref="AF2957:AF2965" si="208">MID(AD2957,FIND("(",AD2957)+1,FIND(")",AD2957)-FIND("(",AD2957)-1)</f>
        <v>209</v>
      </c>
      <c r="AG2957" s="1" t="str">
        <f t="shared" si="206"/>
        <v>Y</v>
      </c>
    </row>
    <row r="2958" spans="1:33" x14ac:dyDescent="0.2">
      <c r="A2958" s="1" t="s">
        <v>2430</v>
      </c>
      <c r="B2958" s="1" t="s">
        <v>6699</v>
      </c>
      <c r="C2958" s="1">
        <v>55401</v>
      </c>
      <c r="D2958" s="1" t="s">
        <v>1300</v>
      </c>
      <c r="F2958" s="1">
        <v>2023</v>
      </c>
      <c r="G2958" s="1" t="s">
        <v>461</v>
      </c>
      <c r="H2958" s="1">
        <v>605624</v>
      </c>
      <c r="I2958" s="1">
        <v>5</v>
      </c>
      <c r="K2958" s="1" t="s">
        <v>6700</v>
      </c>
      <c r="L2958" s="1" t="s">
        <v>6701</v>
      </c>
      <c r="M2958" s="1">
        <v>163</v>
      </c>
      <c r="N2958" s="1" t="s">
        <v>39</v>
      </c>
      <c r="O2958" s="1">
        <v>39.0839</v>
      </c>
      <c r="P2958" s="1">
        <v>-82.332800000000006</v>
      </c>
      <c r="Q2958" s="1" t="s">
        <v>6702</v>
      </c>
      <c r="R2958" s="1" t="s">
        <v>41</v>
      </c>
      <c r="T2958" s="1" t="s">
        <v>93</v>
      </c>
      <c r="U2958" s="1" t="s">
        <v>44</v>
      </c>
      <c r="X2958" s="1" t="s">
        <v>643</v>
      </c>
      <c r="AA2958" s="3">
        <v>37705</v>
      </c>
      <c r="AB2958" s="1" t="s">
        <v>46</v>
      </c>
      <c r="AC2958" s="5">
        <v>2250</v>
      </c>
      <c r="AD2958" s="1" t="s">
        <v>6704</v>
      </c>
      <c r="AE2958" s="1" t="str">
        <f t="shared" si="207"/>
        <v>55401 CT-2</v>
      </c>
      <c r="AF2958" s="5" t="str">
        <f t="shared" si="208"/>
        <v>209</v>
      </c>
      <c r="AG2958" s="1" t="str">
        <f t="shared" si="206"/>
        <v>Y</v>
      </c>
    </row>
    <row r="2959" spans="1:33" x14ac:dyDescent="0.2">
      <c r="A2959" s="1" t="s">
        <v>2430</v>
      </c>
      <c r="B2959" s="1" t="s">
        <v>6699</v>
      </c>
      <c r="C2959" s="1">
        <v>55401</v>
      </c>
      <c r="D2959" s="1" t="s">
        <v>1302</v>
      </c>
      <c r="F2959" s="1">
        <v>2023</v>
      </c>
      <c r="G2959" s="1" t="s">
        <v>461</v>
      </c>
      <c r="H2959" s="1">
        <v>605624</v>
      </c>
      <c r="I2959" s="1">
        <v>5</v>
      </c>
      <c r="K2959" s="1" t="s">
        <v>6700</v>
      </c>
      <c r="L2959" s="1" t="s">
        <v>6701</v>
      </c>
      <c r="M2959" s="1">
        <v>163</v>
      </c>
      <c r="N2959" s="1" t="s">
        <v>39</v>
      </c>
      <c r="O2959" s="1">
        <v>39.0839</v>
      </c>
      <c r="P2959" s="1">
        <v>-82.332800000000006</v>
      </c>
      <c r="Q2959" s="1" t="s">
        <v>6702</v>
      </c>
      <c r="R2959" s="1" t="s">
        <v>41</v>
      </c>
      <c r="T2959" s="1" t="s">
        <v>93</v>
      </c>
      <c r="U2959" s="1" t="s">
        <v>44</v>
      </c>
      <c r="X2959" s="1" t="s">
        <v>183</v>
      </c>
      <c r="AA2959" s="3">
        <v>37708</v>
      </c>
      <c r="AB2959" s="1" t="s">
        <v>46</v>
      </c>
      <c r="AC2959" s="5">
        <v>2250</v>
      </c>
      <c r="AD2959" s="1" t="s">
        <v>6705</v>
      </c>
      <c r="AE2959" s="1" t="str">
        <f t="shared" si="207"/>
        <v>55401 CT-3</v>
      </c>
      <c r="AF2959" s="5" t="str">
        <f t="shared" si="208"/>
        <v>209</v>
      </c>
      <c r="AG2959" s="1" t="str">
        <f t="shared" si="206"/>
        <v/>
      </c>
    </row>
    <row r="2960" spans="1:33" x14ac:dyDescent="0.2">
      <c r="A2960" s="1" t="s">
        <v>2430</v>
      </c>
      <c r="B2960" s="1" t="s">
        <v>6699</v>
      </c>
      <c r="C2960" s="1">
        <v>55401</v>
      </c>
      <c r="D2960" s="1" t="s">
        <v>1304</v>
      </c>
      <c r="F2960" s="1">
        <v>2023</v>
      </c>
      <c r="G2960" s="1" t="s">
        <v>461</v>
      </c>
      <c r="H2960" s="1">
        <v>605624</v>
      </c>
      <c r="I2960" s="1">
        <v>5</v>
      </c>
      <c r="K2960" s="1" t="s">
        <v>6700</v>
      </c>
      <c r="L2960" s="1" t="s">
        <v>6701</v>
      </c>
      <c r="M2960" s="1">
        <v>163</v>
      </c>
      <c r="N2960" s="1" t="s">
        <v>39</v>
      </c>
      <c r="O2960" s="1">
        <v>39.0839</v>
      </c>
      <c r="P2960" s="1">
        <v>-82.332800000000006</v>
      </c>
      <c r="Q2960" s="1" t="s">
        <v>6702</v>
      </c>
      <c r="R2960" s="1" t="s">
        <v>41</v>
      </c>
      <c r="T2960" s="1" t="s">
        <v>93</v>
      </c>
      <c r="U2960" s="1" t="s">
        <v>44</v>
      </c>
      <c r="X2960" s="1" t="s">
        <v>183</v>
      </c>
      <c r="AA2960" s="3">
        <v>37739</v>
      </c>
      <c r="AB2960" s="1" t="s">
        <v>46</v>
      </c>
      <c r="AC2960" s="5">
        <v>2250</v>
      </c>
      <c r="AD2960" s="1" t="s">
        <v>6706</v>
      </c>
      <c r="AE2960" s="1" t="str">
        <f t="shared" si="207"/>
        <v>55401 CT-4</v>
      </c>
      <c r="AF2960" s="5" t="str">
        <f t="shared" si="208"/>
        <v>209</v>
      </c>
      <c r="AG2960" s="1" t="str">
        <f t="shared" si="206"/>
        <v/>
      </c>
    </row>
    <row r="2961" spans="1:33" x14ac:dyDescent="0.2">
      <c r="A2961" s="1" t="s">
        <v>2430</v>
      </c>
      <c r="B2961" s="1" t="s">
        <v>6699</v>
      </c>
      <c r="C2961" s="1">
        <v>55401</v>
      </c>
      <c r="D2961" s="1" t="s">
        <v>5830</v>
      </c>
      <c r="F2961" s="1">
        <v>2023</v>
      </c>
      <c r="G2961" s="1" t="s">
        <v>461</v>
      </c>
      <c r="H2961" s="1">
        <v>605624</v>
      </c>
      <c r="I2961" s="1">
        <v>5</v>
      </c>
      <c r="K2961" s="1" t="s">
        <v>6700</v>
      </c>
      <c r="L2961" s="1" t="s">
        <v>6701</v>
      </c>
      <c r="M2961" s="1">
        <v>163</v>
      </c>
      <c r="N2961" s="1" t="s">
        <v>39</v>
      </c>
      <c r="O2961" s="1">
        <v>39.0839</v>
      </c>
      <c r="P2961" s="1">
        <v>-82.332800000000006</v>
      </c>
      <c r="Q2961" s="1" t="s">
        <v>6702</v>
      </c>
      <c r="R2961" s="1" t="s">
        <v>41</v>
      </c>
      <c r="T2961" s="1" t="s">
        <v>93</v>
      </c>
      <c r="U2961" s="1" t="s">
        <v>44</v>
      </c>
      <c r="X2961" s="1" t="s">
        <v>183</v>
      </c>
      <c r="AA2961" s="3">
        <v>37749</v>
      </c>
      <c r="AB2961" s="1" t="s">
        <v>46</v>
      </c>
      <c r="AC2961" s="5">
        <v>2250</v>
      </c>
      <c r="AD2961" s="1" t="s">
        <v>6707</v>
      </c>
      <c r="AE2961" s="1" t="str">
        <f t="shared" si="207"/>
        <v>55401 CT-5</v>
      </c>
      <c r="AF2961" s="5" t="str">
        <f t="shared" si="208"/>
        <v>209</v>
      </c>
      <c r="AG2961" s="1" t="str">
        <f t="shared" si="206"/>
        <v/>
      </c>
    </row>
    <row r="2962" spans="1:33" x14ac:dyDescent="0.2">
      <c r="A2962" s="1" t="s">
        <v>1621</v>
      </c>
      <c r="B2962" s="1" t="s">
        <v>6708</v>
      </c>
      <c r="C2962" s="1">
        <v>55402</v>
      </c>
      <c r="D2962" s="1" t="s">
        <v>311</v>
      </c>
      <c r="F2962" s="1">
        <v>2023</v>
      </c>
      <c r="G2962" s="1" t="s">
        <v>461</v>
      </c>
      <c r="H2962" s="1" t="s">
        <v>1639</v>
      </c>
      <c r="I2962" s="1">
        <v>5</v>
      </c>
      <c r="J2962" s="1" t="s">
        <v>169</v>
      </c>
      <c r="K2962" s="1" t="s">
        <v>6709</v>
      </c>
      <c r="L2962" s="1" t="s">
        <v>6710</v>
      </c>
      <c r="M2962" s="1">
        <v>117</v>
      </c>
      <c r="N2962" s="1" t="s">
        <v>39</v>
      </c>
      <c r="O2962" s="1">
        <v>43.186399999999999</v>
      </c>
      <c r="P2962" s="1">
        <v>-84.8429</v>
      </c>
      <c r="Q2962" s="1" t="s">
        <v>6711</v>
      </c>
      <c r="R2962" s="1" t="s">
        <v>41</v>
      </c>
      <c r="T2962" s="1" t="s">
        <v>93</v>
      </c>
      <c r="U2962" s="1" t="s">
        <v>44</v>
      </c>
      <c r="X2962" s="1" t="s">
        <v>140</v>
      </c>
      <c r="AA2962" s="3">
        <v>37316</v>
      </c>
      <c r="AB2962" s="1" t="s">
        <v>46</v>
      </c>
      <c r="AC2962" s="5">
        <v>2200</v>
      </c>
      <c r="AD2962" s="1" t="s">
        <v>6712</v>
      </c>
      <c r="AE2962" s="1" t="str">
        <f t="shared" si="207"/>
        <v>55402 CT1</v>
      </c>
      <c r="AF2962" s="5" t="str">
        <f t="shared" si="208"/>
        <v>170</v>
      </c>
      <c r="AG2962" s="1" t="str">
        <f t="shared" si="206"/>
        <v/>
      </c>
    </row>
    <row r="2963" spans="1:33" x14ac:dyDescent="0.2">
      <c r="A2963" s="1" t="s">
        <v>1621</v>
      </c>
      <c r="B2963" s="1" t="s">
        <v>6708</v>
      </c>
      <c r="C2963" s="1">
        <v>55402</v>
      </c>
      <c r="D2963" s="1" t="s">
        <v>98</v>
      </c>
      <c r="F2963" s="1">
        <v>2023</v>
      </c>
      <c r="G2963" s="1" t="s">
        <v>461</v>
      </c>
      <c r="H2963" s="1" t="s">
        <v>1639</v>
      </c>
      <c r="I2963" s="1">
        <v>5</v>
      </c>
      <c r="J2963" s="1" t="s">
        <v>169</v>
      </c>
      <c r="K2963" s="1" t="s">
        <v>6709</v>
      </c>
      <c r="L2963" s="1" t="s">
        <v>6710</v>
      </c>
      <c r="M2963" s="1">
        <v>117</v>
      </c>
      <c r="N2963" s="1" t="s">
        <v>39</v>
      </c>
      <c r="O2963" s="1">
        <v>43.186399999999999</v>
      </c>
      <c r="P2963" s="1">
        <v>-84.8429</v>
      </c>
      <c r="Q2963" s="1" t="s">
        <v>6711</v>
      </c>
      <c r="R2963" s="1" t="s">
        <v>41</v>
      </c>
      <c r="T2963" s="1" t="s">
        <v>93</v>
      </c>
      <c r="U2963" s="1" t="s">
        <v>44</v>
      </c>
      <c r="X2963" s="1" t="s">
        <v>140</v>
      </c>
      <c r="AA2963" s="3">
        <v>37316</v>
      </c>
      <c r="AB2963" s="1" t="s">
        <v>46</v>
      </c>
      <c r="AC2963" s="5">
        <v>2200</v>
      </c>
      <c r="AD2963" s="1" t="s">
        <v>6713</v>
      </c>
      <c r="AE2963" s="1" t="str">
        <f t="shared" si="207"/>
        <v>55402 CT2</v>
      </c>
      <c r="AF2963" s="5" t="str">
        <f t="shared" si="208"/>
        <v>170</v>
      </c>
      <c r="AG2963" s="1" t="str">
        <f t="shared" si="206"/>
        <v/>
      </c>
    </row>
    <row r="2964" spans="1:33" x14ac:dyDescent="0.2">
      <c r="A2964" s="1" t="s">
        <v>1621</v>
      </c>
      <c r="B2964" s="1" t="s">
        <v>6708</v>
      </c>
      <c r="C2964" s="1">
        <v>55402</v>
      </c>
      <c r="D2964" s="1" t="s">
        <v>101</v>
      </c>
      <c r="F2964" s="1">
        <v>2023</v>
      </c>
      <c r="G2964" s="1" t="s">
        <v>461</v>
      </c>
      <c r="H2964" s="1" t="s">
        <v>1639</v>
      </c>
      <c r="I2964" s="1">
        <v>5</v>
      </c>
      <c r="J2964" s="1" t="s">
        <v>169</v>
      </c>
      <c r="K2964" s="1" t="s">
        <v>6709</v>
      </c>
      <c r="L2964" s="1" t="s">
        <v>6710</v>
      </c>
      <c r="M2964" s="1">
        <v>117</v>
      </c>
      <c r="N2964" s="1" t="s">
        <v>39</v>
      </c>
      <c r="O2964" s="1">
        <v>43.186399999999999</v>
      </c>
      <c r="P2964" s="1">
        <v>-84.8429</v>
      </c>
      <c r="Q2964" s="1" t="s">
        <v>6711</v>
      </c>
      <c r="R2964" s="1" t="s">
        <v>41</v>
      </c>
      <c r="T2964" s="1" t="s">
        <v>93</v>
      </c>
      <c r="U2964" s="1" t="s">
        <v>44</v>
      </c>
      <c r="X2964" s="1" t="s">
        <v>140</v>
      </c>
      <c r="AA2964" s="3">
        <v>37316</v>
      </c>
      <c r="AB2964" s="1" t="s">
        <v>46</v>
      </c>
      <c r="AC2964" s="5">
        <v>2200</v>
      </c>
      <c r="AD2964" s="1" t="s">
        <v>6714</v>
      </c>
      <c r="AE2964" s="1" t="str">
        <f t="shared" si="207"/>
        <v>55402 CT3</v>
      </c>
      <c r="AF2964" s="5" t="str">
        <f t="shared" si="208"/>
        <v>170</v>
      </c>
      <c r="AG2964" s="1" t="str">
        <f t="shared" si="206"/>
        <v/>
      </c>
    </row>
    <row r="2965" spans="1:33" x14ac:dyDescent="0.2">
      <c r="A2965" s="1" t="s">
        <v>1621</v>
      </c>
      <c r="B2965" s="1" t="s">
        <v>6708</v>
      </c>
      <c r="C2965" s="1">
        <v>55402</v>
      </c>
      <c r="D2965" s="1" t="s">
        <v>103</v>
      </c>
      <c r="F2965" s="1">
        <v>2023</v>
      </c>
      <c r="G2965" s="1" t="s">
        <v>461</v>
      </c>
      <c r="H2965" s="1" t="s">
        <v>1639</v>
      </c>
      <c r="I2965" s="1">
        <v>5</v>
      </c>
      <c r="J2965" s="1" t="s">
        <v>169</v>
      </c>
      <c r="K2965" s="1" t="s">
        <v>6709</v>
      </c>
      <c r="L2965" s="1" t="s">
        <v>6710</v>
      </c>
      <c r="M2965" s="1">
        <v>117</v>
      </c>
      <c r="N2965" s="1" t="s">
        <v>39</v>
      </c>
      <c r="O2965" s="1">
        <v>43.186399999999999</v>
      </c>
      <c r="P2965" s="1">
        <v>-84.8429</v>
      </c>
      <c r="Q2965" s="1" t="s">
        <v>6711</v>
      </c>
      <c r="R2965" s="1" t="s">
        <v>41</v>
      </c>
      <c r="T2965" s="1" t="s">
        <v>93</v>
      </c>
      <c r="U2965" s="1" t="s">
        <v>44</v>
      </c>
      <c r="X2965" s="1" t="s">
        <v>140</v>
      </c>
      <c r="AA2965" s="3">
        <v>37316</v>
      </c>
      <c r="AB2965" s="1" t="s">
        <v>46</v>
      </c>
      <c r="AC2965" s="5">
        <v>2200</v>
      </c>
      <c r="AD2965" s="1" t="s">
        <v>6715</v>
      </c>
      <c r="AE2965" s="1" t="str">
        <f t="shared" si="207"/>
        <v>55402 CT4</v>
      </c>
      <c r="AF2965" s="5" t="str">
        <f t="shared" si="208"/>
        <v>170</v>
      </c>
      <c r="AG2965" s="1" t="str">
        <f t="shared" si="206"/>
        <v/>
      </c>
    </row>
    <row r="2966" spans="1:33" x14ac:dyDescent="0.2">
      <c r="A2966" s="1" t="s">
        <v>1426</v>
      </c>
      <c r="B2966" s="1" t="s">
        <v>6716</v>
      </c>
      <c r="C2966" s="1">
        <v>55404</v>
      </c>
      <c r="D2966" s="1" t="s">
        <v>6179</v>
      </c>
      <c r="F2966" s="1">
        <v>2023</v>
      </c>
      <c r="G2966" s="1" t="s">
        <v>1428</v>
      </c>
      <c r="H2966" s="1">
        <v>3038</v>
      </c>
      <c r="I2966" s="1">
        <v>6</v>
      </c>
      <c r="K2966" s="1" t="s">
        <v>6717</v>
      </c>
      <c r="L2966" s="1" t="s">
        <v>6718</v>
      </c>
      <c r="M2966" s="1">
        <v>47</v>
      </c>
      <c r="N2966" s="1" t="s">
        <v>1680</v>
      </c>
      <c r="O2966" s="1">
        <v>30.229199999999999</v>
      </c>
      <c r="P2966" s="1">
        <v>-91.064999999999998</v>
      </c>
      <c r="Q2966" s="1" t="s">
        <v>6719</v>
      </c>
      <c r="R2966" s="1" t="s">
        <v>41</v>
      </c>
      <c r="T2966" s="1" t="s">
        <v>71</v>
      </c>
      <c r="U2966" s="1" t="s">
        <v>44</v>
      </c>
      <c r="X2966" s="1" t="s">
        <v>140</v>
      </c>
      <c r="AA2966" s="3">
        <v>37789</v>
      </c>
      <c r="AB2966" s="1" t="s">
        <v>46</v>
      </c>
      <c r="AC2966" s="5">
        <v>2493</v>
      </c>
      <c r="AD2966" s="1" t="s">
        <v>6720</v>
      </c>
      <c r="AE2966" s="1" t="str">
        <f t="shared" si="207"/>
        <v>55404 COG01</v>
      </c>
      <c r="AF2966" s="14">
        <f>AF2967</f>
        <v>285</v>
      </c>
      <c r="AG2966" s="1" t="str">
        <f t="shared" si="206"/>
        <v/>
      </c>
    </row>
    <row r="2967" spans="1:33" x14ac:dyDescent="0.2">
      <c r="A2967" s="1" t="s">
        <v>1426</v>
      </c>
      <c r="B2967" s="1" t="s">
        <v>6716</v>
      </c>
      <c r="C2967" s="1">
        <v>55404</v>
      </c>
      <c r="D2967" s="1" t="s">
        <v>6721</v>
      </c>
      <c r="F2967" s="1">
        <v>2023</v>
      </c>
      <c r="G2967" s="1" t="s">
        <v>1428</v>
      </c>
      <c r="H2967" s="1">
        <v>3038</v>
      </c>
      <c r="I2967" s="1">
        <v>6</v>
      </c>
      <c r="K2967" s="1" t="s">
        <v>6717</v>
      </c>
      <c r="L2967" s="1" t="s">
        <v>6718</v>
      </c>
      <c r="M2967" s="1">
        <v>47</v>
      </c>
      <c r="N2967" s="1" t="s">
        <v>1680</v>
      </c>
      <c r="O2967" s="1">
        <v>30.229199999999999</v>
      </c>
      <c r="P2967" s="1">
        <v>-91.064999999999998</v>
      </c>
      <c r="Q2967" s="1" t="s">
        <v>6719</v>
      </c>
      <c r="R2967" s="1" t="s">
        <v>41</v>
      </c>
      <c r="T2967" s="1" t="s">
        <v>71</v>
      </c>
      <c r="U2967" s="1" t="s">
        <v>44</v>
      </c>
      <c r="X2967" s="1" t="s">
        <v>140</v>
      </c>
      <c r="AA2967" s="3">
        <v>37834</v>
      </c>
      <c r="AB2967" s="1" t="s">
        <v>46</v>
      </c>
      <c r="AC2967" s="5">
        <v>2493</v>
      </c>
      <c r="AD2967" s="1" t="s">
        <v>6722</v>
      </c>
      <c r="AE2967" s="1" t="str">
        <f t="shared" si="207"/>
        <v>55404 COG02</v>
      </c>
      <c r="AF2967" s="14">
        <f>MID(AD2967,FIND("(",AD2967)+1,FIND(")",AD2967)-FIND("(",AD2967)-1)+196/2</f>
        <v>285</v>
      </c>
      <c r="AG2967" s="1" t="str">
        <f t="shared" si="206"/>
        <v/>
      </c>
    </row>
    <row r="2968" spans="1:33" x14ac:dyDescent="0.2">
      <c r="A2968" s="1" t="s">
        <v>2089</v>
      </c>
      <c r="B2968" s="1" t="s">
        <v>6723</v>
      </c>
      <c r="C2968" s="1">
        <v>55405</v>
      </c>
      <c r="D2968" s="1">
        <v>1</v>
      </c>
      <c r="F2968" s="1">
        <v>2023</v>
      </c>
      <c r="G2968" s="1" t="s">
        <v>1515</v>
      </c>
      <c r="H2968" s="1">
        <v>603354</v>
      </c>
      <c r="I2968" s="1">
        <v>2</v>
      </c>
      <c r="K2968" s="1" t="s">
        <v>81</v>
      </c>
      <c r="L2968" s="1" t="s">
        <v>6724</v>
      </c>
      <c r="M2968" s="1">
        <v>39</v>
      </c>
      <c r="N2968" s="1" t="s">
        <v>39</v>
      </c>
      <c r="O2968" s="1">
        <v>42.272799999999997</v>
      </c>
      <c r="P2968" s="1">
        <v>-73.849199999999996</v>
      </c>
      <c r="Q2968" s="1" t="s">
        <v>6725</v>
      </c>
      <c r="R2968" s="1" t="s">
        <v>41</v>
      </c>
      <c r="T2968" s="1" t="s">
        <v>71</v>
      </c>
      <c r="U2968" s="1" t="s">
        <v>44</v>
      </c>
      <c r="V2968" s="1" t="s">
        <v>94</v>
      </c>
      <c r="X2968" s="1" t="s">
        <v>643</v>
      </c>
      <c r="AA2968" s="3">
        <v>37799</v>
      </c>
      <c r="AB2968" s="1" t="s">
        <v>46</v>
      </c>
      <c r="AC2968" s="5">
        <v>3100</v>
      </c>
      <c r="AD2968" s="1" t="s">
        <v>6726</v>
      </c>
      <c r="AE2968" s="1" t="str">
        <f t="shared" si="207"/>
        <v>55405 1</v>
      </c>
      <c r="AF2968" s="14">
        <f>MID(AD2968,FIND("(",AD2968)+1,FIND(")",AD2968)-FIND("(",AD2968)-1)+300</f>
        <v>441</v>
      </c>
      <c r="AG2968" s="1" t="str">
        <f t="shared" si="206"/>
        <v>Y</v>
      </c>
    </row>
    <row r="2969" spans="1:33" x14ac:dyDescent="0.2">
      <c r="A2969" s="1" t="s">
        <v>2089</v>
      </c>
      <c r="B2969" s="1" t="s">
        <v>6723</v>
      </c>
      <c r="C2969" s="1">
        <v>55405</v>
      </c>
      <c r="D2969" s="1">
        <v>2</v>
      </c>
      <c r="F2969" s="1">
        <v>2023</v>
      </c>
      <c r="G2969" s="1" t="s">
        <v>1515</v>
      </c>
      <c r="H2969" s="1">
        <v>603354</v>
      </c>
      <c r="I2969" s="1">
        <v>2</v>
      </c>
      <c r="K2969" s="1" t="s">
        <v>81</v>
      </c>
      <c r="L2969" s="1" t="s">
        <v>6724</v>
      </c>
      <c r="M2969" s="1">
        <v>39</v>
      </c>
      <c r="N2969" s="1" t="s">
        <v>39</v>
      </c>
      <c r="O2969" s="1">
        <v>42.272799999999997</v>
      </c>
      <c r="P2969" s="1">
        <v>-73.849199999999996</v>
      </c>
      <c r="Q2969" s="1" t="s">
        <v>6725</v>
      </c>
      <c r="R2969" s="1" t="s">
        <v>41</v>
      </c>
      <c r="T2969" s="1" t="s">
        <v>71</v>
      </c>
      <c r="U2969" s="1" t="s">
        <v>44</v>
      </c>
      <c r="V2969" s="1" t="s">
        <v>94</v>
      </c>
      <c r="X2969" s="1" t="s">
        <v>643</v>
      </c>
      <c r="AA2969" s="3">
        <v>37753</v>
      </c>
      <c r="AB2969" s="1" t="s">
        <v>46</v>
      </c>
      <c r="AC2969" s="5">
        <v>3100</v>
      </c>
      <c r="AD2969" s="1" t="s">
        <v>6727</v>
      </c>
      <c r="AE2969" s="1" t="str">
        <f t="shared" si="207"/>
        <v>55405 2</v>
      </c>
      <c r="AF2969" s="14">
        <f>MID(AD2969,FIND("(",AD2969)+1,FIND(")",AD2969)-FIND("(",AD2969)-1)+141</f>
        <v>441</v>
      </c>
      <c r="AG2969" s="1" t="str">
        <f t="shared" si="206"/>
        <v>Y</v>
      </c>
    </row>
    <row r="2970" spans="1:33" x14ac:dyDescent="0.2">
      <c r="A2970" s="1" t="s">
        <v>2089</v>
      </c>
      <c r="B2970" s="1" t="s">
        <v>6723</v>
      </c>
      <c r="C2970" s="1">
        <v>55405</v>
      </c>
      <c r="D2970" s="1">
        <v>3</v>
      </c>
      <c r="F2970" s="1">
        <v>2023</v>
      </c>
      <c r="G2970" s="1" t="s">
        <v>1515</v>
      </c>
      <c r="H2970" s="1">
        <v>603354</v>
      </c>
      <c r="I2970" s="1">
        <v>2</v>
      </c>
      <c r="K2970" s="1" t="s">
        <v>81</v>
      </c>
      <c r="L2970" s="1" t="s">
        <v>6724</v>
      </c>
      <c r="M2970" s="1">
        <v>39</v>
      </c>
      <c r="N2970" s="1" t="s">
        <v>39</v>
      </c>
      <c r="O2970" s="1">
        <v>42.272799999999997</v>
      </c>
      <c r="P2970" s="1">
        <v>-73.849199999999996</v>
      </c>
      <c r="Q2970" s="1" t="s">
        <v>6725</v>
      </c>
      <c r="R2970" s="1" t="s">
        <v>41</v>
      </c>
      <c r="T2970" s="1" t="s">
        <v>71</v>
      </c>
      <c r="U2970" s="1" t="s">
        <v>44</v>
      </c>
      <c r="V2970" s="1" t="s">
        <v>94</v>
      </c>
      <c r="X2970" s="1" t="s">
        <v>643</v>
      </c>
      <c r="AA2970" s="3">
        <v>37719</v>
      </c>
      <c r="AB2970" s="1" t="s">
        <v>46</v>
      </c>
      <c r="AC2970" s="5">
        <v>3100</v>
      </c>
      <c r="AD2970" s="1" t="s">
        <v>6728</v>
      </c>
      <c r="AE2970" s="1" t="str">
        <f t="shared" si="207"/>
        <v>55405 3</v>
      </c>
      <c r="AF2970" s="14">
        <f>MID(AD2970,FIND("(",AD2970)+1,FIND(")",AD2970)-FIND("(",AD2970)-1)+141</f>
        <v>441</v>
      </c>
      <c r="AG2970" s="1" t="str">
        <f t="shared" si="206"/>
        <v>Y</v>
      </c>
    </row>
    <row r="2971" spans="1:33" x14ac:dyDescent="0.2">
      <c r="A2971" s="1" t="s">
        <v>921</v>
      </c>
      <c r="B2971" s="1" t="s">
        <v>6729</v>
      </c>
      <c r="C2971" s="1">
        <v>55406</v>
      </c>
      <c r="D2971" s="1">
        <v>1</v>
      </c>
      <c r="F2971" s="1">
        <v>2023</v>
      </c>
      <c r="G2971" s="1" t="s">
        <v>952</v>
      </c>
      <c r="H2971" s="1" t="s">
        <v>4261</v>
      </c>
      <c r="I2971" s="1">
        <v>4</v>
      </c>
      <c r="K2971" s="1" t="s">
        <v>3561</v>
      </c>
      <c r="L2971" s="1" t="s">
        <v>3562</v>
      </c>
      <c r="M2971" s="1">
        <v>103</v>
      </c>
      <c r="N2971" s="1" t="s">
        <v>39</v>
      </c>
      <c r="O2971" s="1">
        <v>32.279200000000003</v>
      </c>
      <c r="P2971" s="1">
        <v>-81.284199999999998</v>
      </c>
      <c r="Q2971" s="1" t="s">
        <v>4503</v>
      </c>
      <c r="R2971" s="1" t="s">
        <v>41</v>
      </c>
      <c r="T2971" s="1" t="s">
        <v>71</v>
      </c>
      <c r="U2971" s="1" t="s">
        <v>44</v>
      </c>
      <c r="X2971" s="1" t="s">
        <v>64</v>
      </c>
      <c r="AA2971" s="3">
        <v>37656</v>
      </c>
      <c r="AB2971" s="1" t="s">
        <v>46</v>
      </c>
      <c r="AC2971" s="5">
        <v>1944</v>
      </c>
      <c r="AD2971" s="1" t="s">
        <v>6730</v>
      </c>
      <c r="AE2971" s="1" t="str">
        <f t="shared" si="207"/>
        <v>55406 1</v>
      </c>
      <c r="AF2971" s="14">
        <f>MID(AD2971,FIND("(",AD2971)+1,FIND(")",AD2971)-FIND("(",AD2971)-1)+197.8/2</f>
        <v>298.3</v>
      </c>
      <c r="AG2971" s="1" t="str">
        <f t="shared" si="206"/>
        <v>Y</v>
      </c>
    </row>
    <row r="2972" spans="1:33" x14ac:dyDescent="0.2">
      <c r="A2972" s="1" t="s">
        <v>921</v>
      </c>
      <c r="B2972" s="1" t="s">
        <v>6729</v>
      </c>
      <c r="C2972" s="1">
        <v>55406</v>
      </c>
      <c r="D2972" s="1">
        <v>2</v>
      </c>
      <c r="F2972" s="1">
        <v>2023</v>
      </c>
      <c r="G2972" s="1" t="s">
        <v>952</v>
      </c>
      <c r="H2972" s="1" t="s">
        <v>4261</v>
      </c>
      <c r="I2972" s="1">
        <v>4</v>
      </c>
      <c r="K2972" s="1" t="s">
        <v>3561</v>
      </c>
      <c r="L2972" s="1" t="s">
        <v>3562</v>
      </c>
      <c r="M2972" s="1">
        <v>103</v>
      </c>
      <c r="N2972" s="1" t="s">
        <v>39</v>
      </c>
      <c r="O2972" s="1">
        <v>32.279200000000003</v>
      </c>
      <c r="P2972" s="1">
        <v>-81.284199999999998</v>
      </c>
      <c r="Q2972" s="1" t="s">
        <v>4503</v>
      </c>
      <c r="R2972" s="1" t="s">
        <v>41</v>
      </c>
      <c r="T2972" s="1" t="s">
        <v>71</v>
      </c>
      <c r="U2972" s="1" t="s">
        <v>44</v>
      </c>
      <c r="X2972" s="1" t="s">
        <v>64</v>
      </c>
      <c r="AA2972" s="3">
        <v>37660</v>
      </c>
      <c r="AB2972" s="1" t="s">
        <v>46</v>
      </c>
      <c r="AC2972" s="5">
        <v>1944</v>
      </c>
      <c r="AD2972" s="1" t="s">
        <v>6731</v>
      </c>
      <c r="AE2972" s="1" t="str">
        <f t="shared" si="207"/>
        <v>55406 2</v>
      </c>
      <c r="AF2972" s="14">
        <f>AF2971</f>
        <v>298.3</v>
      </c>
      <c r="AG2972" s="1" t="str">
        <f t="shared" si="206"/>
        <v>Y</v>
      </c>
    </row>
    <row r="2973" spans="1:33" x14ac:dyDescent="0.2">
      <c r="A2973" s="1" t="s">
        <v>32</v>
      </c>
      <c r="B2973" s="1" t="s">
        <v>6732</v>
      </c>
      <c r="C2973" s="1">
        <v>55409</v>
      </c>
      <c r="D2973" s="1" t="s">
        <v>311</v>
      </c>
      <c r="F2973" s="1">
        <v>2023</v>
      </c>
      <c r="G2973" s="1" t="s">
        <v>35</v>
      </c>
      <c r="H2973" s="1">
        <v>605449</v>
      </c>
      <c r="I2973" s="1">
        <v>4</v>
      </c>
      <c r="K2973" s="1" t="s">
        <v>6663</v>
      </c>
      <c r="L2973" s="1" t="s">
        <v>6733</v>
      </c>
      <c r="M2973" s="1">
        <v>15</v>
      </c>
      <c r="N2973" s="1" t="s">
        <v>39</v>
      </c>
      <c r="O2973" s="1">
        <v>33.588299999999997</v>
      </c>
      <c r="P2973" s="1">
        <v>-85.973100000000002</v>
      </c>
      <c r="Q2973" s="1" t="s">
        <v>40</v>
      </c>
      <c r="R2973" s="1" t="s">
        <v>41</v>
      </c>
      <c r="T2973" s="1" t="s">
        <v>93</v>
      </c>
      <c r="U2973" s="1" t="s">
        <v>44</v>
      </c>
      <c r="V2973" s="1" t="s">
        <v>94</v>
      </c>
      <c r="X2973" s="1" t="s">
        <v>183</v>
      </c>
      <c r="AA2973" s="3">
        <v>37651</v>
      </c>
      <c r="AB2973" s="1" t="s">
        <v>46</v>
      </c>
      <c r="AC2973" s="5">
        <v>1940</v>
      </c>
      <c r="AD2973" s="1" t="s">
        <v>6734</v>
      </c>
      <c r="AE2973" s="1" t="str">
        <f t="shared" si="207"/>
        <v>55409 CT1</v>
      </c>
      <c r="AF2973" s="5" t="str">
        <f>MID(AD2973,FIND("(",AD2973)+1,FIND(")",AD2973)-FIND("(",AD2973)-1)</f>
        <v>187</v>
      </c>
      <c r="AG2973" s="1" t="str">
        <f t="shared" si="206"/>
        <v/>
      </c>
    </row>
    <row r="2974" spans="1:33" x14ac:dyDescent="0.2">
      <c r="A2974" s="1" t="s">
        <v>32</v>
      </c>
      <c r="B2974" s="1" t="s">
        <v>6732</v>
      </c>
      <c r="C2974" s="1">
        <v>55409</v>
      </c>
      <c r="D2974" s="1" t="s">
        <v>98</v>
      </c>
      <c r="F2974" s="1">
        <v>2023</v>
      </c>
      <c r="G2974" s="1" t="s">
        <v>35</v>
      </c>
      <c r="H2974" s="1">
        <v>605449</v>
      </c>
      <c r="I2974" s="1">
        <v>4</v>
      </c>
      <c r="K2974" s="1" t="s">
        <v>6663</v>
      </c>
      <c r="L2974" s="1" t="s">
        <v>6733</v>
      </c>
      <c r="M2974" s="1">
        <v>15</v>
      </c>
      <c r="N2974" s="1" t="s">
        <v>39</v>
      </c>
      <c r="O2974" s="1">
        <v>33.588299999999997</v>
      </c>
      <c r="P2974" s="1">
        <v>-85.973100000000002</v>
      </c>
      <c r="Q2974" s="1" t="s">
        <v>40</v>
      </c>
      <c r="R2974" s="1" t="s">
        <v>41</v>
      </c>
      <c r="T2974" s="1" t="s">
        <v>93</v>
      </c>
      <c r="U2974" s="1" t="s">
        <v>44</v>
      </c>
      <c r="V2974" s="1" t="s">
        <v>94</v>
      </c>
      <c r="X2974" s="1" t="s">
        <v>183</v>
      </c>
      <c r="AA2974" s="3">
        <v>37678</v>
      </c>
      <c r="AB2974" s="1" t="s">
        <v>46</v>
      </c>
      <c r="AC2974" s="5">
        <v>1940</v>
      </c>
      <c r="AD2974" s="1" t="s">
        <v>6735</v>
      </c>
      <c r="AE2974" s="1" t="str">
        <f t="shared" si="207"/>
        <v>55409 CT2</v>
      </c>
      <c r="AF2974" s="5" t="str">
        <f>MID(AD2974,FIND("(",AD2974)+1,FIND(")",AD2974)-FIND("(",AD2974)-1)</f>
        <v>187</v>
      </c>
      <c r="AG2974" s="1" t="str">
        <f t="shared" si="206"/>
        <v/>
      </c>
    </row>
    <row r="2975" spans="1:33" x14ac:dyDescent="0.2">
      <c r="A2975" s="1" t="s">
        <v>32</v>
      </c>
      <c r="B2975" s="1" t="s">
        <v>6732</v>
      </c>
      <c r="C2975" s="1">
        <v>55409</v>
      </c>
      <c r="D2975" s="1" t="s">
        <v>101</v>
      </c>
      <c r="F2975" s="1">
        <v>2023</v>
      </c>
      <c r="G2975" s="1" t="s">
        <v>35</v>
      </c>
      <c r="H2975" s="1">
        <v>605449</v>
      </c>
      <c r="I2975" s="1">
        <v>4</v>
      </c>
      <c r="K2975" s="1" t="s">
        <v>6663</v>
      </c>
      <c r="L2975" s="1" t="s">
        <v>6733</v>
      </c>
      <c r="M2975" s="1">
        <v>15</v>
      </c>
      <c r="N2975" s="1" t="s">
        <v>39</v>
      </c>
      <c r="O2975" s="1">
        <v>33.588299999999997</v>
      </c>
      <c r="P2975" s="1">
        <v>-85.973100000000002</v>
      </c>
      <c r="Q2975" s="1" t="s">
        <v>40</v>
      </c>
      <c r="R2975" s="1" t="s">
        <v>41</v>
      </c>
      <c r="T2975" s="1" t="s">
        <v>93</v>
      </c>
      <c r="U2975" s="1" t="s">
        <v>44</v>
      </c>
      <c r="V2975" s="1" t="s">
        <v>94</v>
      </c>
      <c r="X2975" s="1" t="s">
        <v>183</v>
      </c>
      <c r="AA2975" s="3">
        <v>37705</v>
      </c>
      <c r="AB2975" s="1" t="s">
        <v>46</v>
      </c>
      <c r="AC2975" s="5">
        <v>1940</v>
      </c>
      <c r="AD2975" s="1" t="s">
        <v>6736</v>
      </c>
      <c r="AE2975" s="1" t="str">
        <f t="shared" si="207"/>
        <v>55409 CT3</v>
      </c>
      <c r="AF2975" s="5" t="str">
        <f>MID(AD2975,FIND("(",AD2975)+1,FIND(")",AD2975)-FIND("(",AD2975)-1)</f>
        <v>187</v>
      </c>
      <c r="AG2975" s="1" t="str">
        <f t="shared" si="206"/>
        <v/>
      </c>
    </row>
    <row r="2976" spans="1:33" x14ac:dyDescent="0.2">
      <c r="A2976" s="1" t="s">
        <v>32</v>
      </c>
      <c r="B2976" s="1" t="s">
        <v>6732</v>
      </c>
      <c r="C2976" s="1">
        <v>55409</v>
      </c>
      <c r="D2976" s="1" t="s">
        <v>103</v>
      </c>
      <c r="F2976" s="1">
        <v>2023</v>
      </c>
      <c r="G2976" s="1" t="s">
        <v>35</v>
      </c>
      <c r="H2976" s="1">
        <v>605449</v>
      </c>
      <c r="I2976" s="1">
        <v>4</v>
      </c>
      <c r="K2976" s="1" t="s">
        <v>6663</v>
      </c>
      <c r="L2976" s="1" t="s">
        <v>6733</v>
      </c>
      <c r="M2976" s="1">
        <v>15</v>
      </c>
      <c r="N2976" s="1" t="s">
        <v>39</v>
      </c>
      <c r="O2976" s="1">
        <v>33.588299999999997</v>
      </c>
      <c r="P2976" s="1">
        <v>-85.973100000000002</v>
      </c>
      <c r="Q2976" s="1" t="s">
        <v>40</v>
      </c>
      <c r="R2976" s="1" t="s">
        <v>41</v>
      </c>
      <c r="T2976" s="1" t="s">
        <v>93</v>
      </c>
      <c r="U2976" s="1" t="s">
        <v>44</v>
      </c>
      <c r="V2976" s="1" t="s">
        <v>94</v>
      </c>
      <c r="X2976" s="1" t="s">
        <v>183</v>
      </c>
      <c r="AA2976" s="3">
        <v>37734</v>
      </c>
      <c r="AB2976" s="1" t="s">
        <v>46</v>
      </c>
      <c r="AC2976" s="5">
        <v>1940</v>
      </c>
      <c r="AD2976" s="1" t="s">
        <v>6737</v>
      </c>
      <c r="AE2976" s="1" t="str">
        <f t="shared" si="207"/>
        <v>55409 CT4</v>
      </c>
      <c r="AF2976" s="5" t="str">
        <f>MID(AD2976,FIND("(",AD2976)+1,FIND(")",AD2976)-FIND("(",AD2976)-1)</f>
        <v>187</v>
      </c>
      <c r="AG2976" s="1" t="str">
        <f t="shared" si="206"/>
        <v/>
      </c>
    </row>
    <row r="2977" spans="1:33" x14ac:dyDescent="0.2">
      <c r="A2977" s="1" t="s">
        <v>32</v>
      </c>
      <c r="B2977" s="1" t="s">
        <v>6738</v>
      </c>
      <c r="C2977" s="1">
        <v>55411</v>
      </c>
      <c r="D2977" s="1" t="s">
        <v>311</v>
      </c>
      <c r="F2977" s="1">
        <v>2023</v>
      </c>
      <c r="G2977" s="1" t="s">
        <v>35</v>
      </c>
      <c r="H2977" s="1" t="s">
        <v>2992</v>
      </c>
      <c r="I2977" s="1">
        <v>4</v>
      </c>
      <c r="K2977" s="1" t="s">
        <v>6739</v>
      </c>
      <c r="L2977" s="1" t="s">
        <v>6740</v>
      </c>
      <c r="M2977" s="1">
        <v>123</v>
      </c>
      <c r="N2977" s="1" t="s">
        <v>39</v>
      </c>
      <c r="O2977" s="1">
        <v>33</v>
      </c>
      <c r="P2977" s="1">
        <v>-85.903099999999995</v>
      </c>
      <c r="Q2977" s="1" t="s">
        <v>6741</v>
      </c>
      <c r="R2977" s="1" t="s">
        <v>41</v>
      </c>
      <c r="T2977" s="1" t="s">
        <v>71</v>
      </c>
      <c r="U2977" s="1" t="s">
        <v>44</v>
      </c>
      <c r="X2977" s="1" t="s">
        <v>64</v>
      </c>
      <c r="AA2977" s="3">
        <v>40092</v>
      </c>
      <c r="AB2977" s="1" t="s">
        <v>46</v>
      </c>
      <c r="AC2977" s="5">
        <v>3000</v>
      </c>
      <c r="AD2977" s="1" t="s">
        <v>6742</v>
      </c>
      <c r="AE2977" s="1" t="str">
        <f t="shared" si="207"/>
        <v>55411 CT1</v>
      </c>
      <c r="AF2977" s="14">
        <f>MID(AD2977,FIND("(",AD2977)+1,FIND(")",AD2977)-FIND("(",AD2977)-1)+306/2</f>
        <v>411.4</v>
      </c>
      <c r="AG2977" s="1" t="str">
        <f t="shared" si="206"/>
        <v>Y</v>
      </c>
    </row>
    <row r="2978" spans="1:33" x14ac:dyDescent="0.2">
      <c r="A2978" s="1" t="s">
        <v>32</v>
      </c>
      <c r="B2978" s="1" t="s">
        <v>6738</v>
      </c>
      <c r="C2978" s="1">
        <v>55411</v>
      </c>
      <c r="D2978" s="1" t="s">
        <v>98</v>
      </c>
      <c r="F2978" s="1">
        <v>2023</v>
      </c>
      <c r="G2978" s="1" t="s">
        <v>35</v>
      </c>
      <c r="H2978" s="1" t="s">
        <v>2992</v>
      </c>
      <c r="I2978" s="1">
        <v>4</v>
      </c>
      <c r="K2978" s="1" t="s">
        <v>6739</v>
      </c>
      <c r="L2978" s="1" t="s">
        <v>6740</v>
      </c>
      <c r="M2978" s="1">
        <v>123</v>
      </c>
      <c r="N2978" s="1" t="s">
        <v>39</v>
      </c>
      <c r="O2978" s="1">
        <v>33</v>
      </c>
      <c r="P2978" s="1">
        <v>-85.903099999999995</v>
      </c>
      <c r="Q2978" s="1" t="s">
        <v>6741</v>
      </c>
      <c r="R2978" s="1" t="s">
        <v>41</v>
      </c>
      <c r="T2978" s="1" t="s">
        <v>71</v>
      </c>
      <c r="U2978" s="1" t="s">
        <v>44</v>
      </c>
      <c r="X2978" s="1" t="s">
        <v>64</v>
      </c>
      <c r="AA2978" s="3">
        <v>40122</v>
      </c>
      <c r="AB2978" s="1" t="s">
        <v>46</v>
      </c>
      <c r="AC2978" s="5">
        <v>3000</v>
      </c>
      <c r="AD2978" s="1" t="s">
        <v>6743</v>
      </c>
      <c r="AE2978" s="1" t="str">
        <f t="shared" si="207"/>
        <v>55411 CT2</v>
      </c>
      <c r="AF2978" s="14">
        <f>AF2977</f>
        <v>411.4</v>
      </c>
      <c r="AG2978" s="1" t="str">
        <f t="shared" si="206"/>
        <v>Y</v>
      </c>
    </row>
    <row r="2979" spans="1:33" x14ac:dyDescent="0.2">
      <c r="A2979" s="1" t="s">
        <v>304</v>
      </c>
      <c r="B2979" s="1" t="s">
        <v>6744</v>
      </c>
      <c r="C2979" s="1">
        <v>55412</v>
      </c>
      <c r="D2979" s="1" t="s">
        <v>311</v>
      </c>
      <c r="F2979" s="1">
        <v>2023</v>
      </c>
      <c r="G2979" s="1" t="s">
        <v>247</v>
      </c>
      <c r="H2979" s="1">
        <v>610088</v>
      </c>
      <c r="I2979" s="1">
        <v>4</v>
      </c>
      <c r="K2979" s="1" t="s">
        <v>896</v>
      </c>
      <c r="L2979" s="1" t="s">
        <v>897</v>
      </c>
      <c r="M2979" s="1">
        <v>105</v>
      </c>
      <c r="N2979" s="1" t="s">
        <v>39</v>
      </c>
      <c r="O2979" s="1">
        <v>28.052499999999998</v>
      </c>
      <c r="P2979" s="1">
        <v>-81.808300000000003</v>
      </c>
      <c r="Q2979" s="1" t="s">
        <v>799</v>
      </c>
      <c r="R2979" s="1" t="s">
        <v>41</v>
      </c>
      <c r="T2979" s="1" t="s">
        <v>71</v>
      </c>
      <c r="U2979" s="1" t="s">
        <v>44</v>
      </c>
      <c r="X2979" s="1" t="s">
        <v>64</v>
      </c>
      <c r="AA2979" s="3">
        <v>38111</v>
      </c>
      <c r="AB2979" s="1" t="s">
        <v>46</v>
      </c>
      <c r="AC2979" s="5">
        <v>2275</v>
      </c>
      <c r="AD2979" s="1" t="s">
        <v>6745</v>
      </c>
      <c r="AE2979" s="1" t="str">
        <f t="shared" si="207"/>
        <v>55412 CT1</v>
      </c>
      <c r="AF2979" s="14">
        <f>AF2980</f>
        <v>322.10000000000002</v>
      </c>
      <c r="AG2979" s="1" t="str">
        <f t="shared" si="206"/>
        <v>Y</v>
      </c>
    </row>
    <row r="2980" spans="1:33" x14ac:dyDescent="0.2">
      <c r="A2980" s="1" t="s">
        <v>304</v>
      </c>
      <c r="B2980" s="1" t="s">
        <v>6744</v>
      </c>
      <c r="C2980" s="1">
        <v>55412</v>
      </c>
      <c r="D2980" s="1" t="s">
        <v>98</v>
      </c>
      <c r="F2980" s="1">
        <v>2023</v>
      </c>
      <c r="G2980" s="1" t="s">
        <v>247</v>
      </c>
      <c r="H2980" s="1">
        <v>610088</v>
      </c>
      <c r="I2980" s="1">
        <v>4</v>
      </c>
      <c r="K2980" s="1" t="s">
        <v>896</v>
      </c>
      <c r="L2980" s="1" t="s">
        <v>897</v>
      </c>
      <c r="M2980" s="1">
        <v>105</v>
      </c>
      <c r="N2980" s="1" t="s">
        <v>39</v>
      </c>
      <c r="O2980" s="1">
        <v>28.052499999999998</v>
      </c>
      <c r="P2980" s="1">
        <v>-81.808300000000003</v>
      </c>
      <c r="Q2980" s="1" t="s">
        <v>799</v>
      </c>
      <c r="R2980" s="1" t="s">
        <v>41</v>
      </c>
      <c r="T2980" s="1" t="s">
        <v>71</v>
      </c>
      <c r="U2980" s="1" t="s">
        <v>44</v>
      </c>
      <c r="X2980" s="1" t="s">
        <v>64</v>
      </c>
      <c r="AA2980" s="3">
        <v>38111</v>
      </c>
      <c r="AB2980" s="1" t="s">
        <v>46</v>
      </c>
      <c r="AC2980" s="5">
        <v>2275</v>
      </c>
      <c r="AD2980" s="1" t="s">
        <v>6746</v>
      </c>
      <c r="AE2980" s="1" t="str">
        <f t="shared" si="207"/>
        <v>55412 CT2</v>
      </c>
      <c r="AF2980" s="14">
        <f>MID(AD2980,FIND("(",AD2980)+1,FIND(")",AD2980)-FIND("(",AD2980)-1)+260/2</f>
        <v>322.10000000000002</v>
      </c>
      <c r="AG2980" s="1" t="str">
        <f t="shared" si="206"/>
        <v>Y</v>
      </c>
    </row>
    <row r="2981" spans="1:33" x14ac:dyDescent="0.2">
      <c r="A2981" s="1" t="s">
        <v>304</v>
      </c>
      <c r="B2981" s="1" t="s">
        <v>6747</v>
      </c>
      <c r="C2981" s="1">
        <v>55414</v>
      </c>
      <c r="D2981" s="1" t="s">
        <v>6748</v>
      </c>
      <c r="F2981" s="1">
        <v>2023</v>
      </c>
      <c r="G2981" s="1" t="s">
        <v>247</v>
      </c>
      <c r="H2981" s="1">
        <v>603149</v>
      </c>
      <c r="I2981" s="1">
        <v>4</v>
      </c>
      <c r="K2981" s="1" t="s">
        <v>4676</v>
      </c>
      <c r="L2981" s="1" t="s">
        <v>4677</v>
      </c>
      <c r="M2981" s="1">
        <v>101</v>
      </c>
      <c r="N2981" s="1" t="s">
        <v>39</v>
      </c>
      <c r="O2981" s="1">
        <v>28.366499999999998</v>
      </c>
      <c r="P2981" s="1">
        <v>-82.559100000000001</v>
      </c>
      <c r="Q2981" s="1" t="s">
        <v>6749</v>
      </c>
      <c r="R2981" s="1" t="s">
        <v>41</v>
      </c>
      <c r="T2981" s="1" t="s">
        <v>93</v>
      </c>
      <c r="U2981" s="1" t="s">
        <v>44</v>
      </c>
      <c r="V2981" s="1" t="s">
        <v>94</v>
      </c>
      <c r="X2981" s="1" t="s">
        <v>183</v>
      </c>
      <c r="AA2981" s="3">
        <v>37246</v>
      </c>
      <c r="AB2981" s="1" t="s">
        <v>46</v>
      </c>
      <c r="AC2981" s="5">
        <v>1955.7</v>
      </c>
      <c r="AD2981" s="1" t="s">
        <v>6750</v>
      </c>
      <c r="AE2981" s="1" t="str">
        <f t="shared" si="207"/>
        <v>55414 GT101</v>
      </c>
      <c r="AF2981" s="5" t="str">
        <f t="shared" ref="AF2981:AF2991" si="209">MID(AD2981,FIND("(",AD2981)+1,FIND(")",AD2981)-FIND("(",AD2981)-1)</f>
        <v>171</v>
      </c>
      <c r="AG2981" s="1" t="str">
        <f t="shared" si="206"/>
        <v/>
      </c>
    </row>
    <row r="2982" spans="1:33" x14ac:dyDescent="0.2">
      <c r="A2982" s="1" t="s">
        <v>304</v>
      </c>
      <c r="B2982" s="1" t="s">
        <v>6747</v>
      </c>
      <c r="C2982" s="1">
        <v>55414</v>
      </c>
      <c r="D2982" s="1" t="s">
        <v>6751</v>
      </c>
      <c r="F2982" s="1">
        <v>2023</v>
      </c>
      <c r="G2982" s="1" t="s">
        <v>247</v>
      </c>
      <c r="H2982" s="1">
        <v>603149</v>
      </c>
      <c r="I2982" s="1">
        <v>4</v>
      </c>
      <c r="K2982" s="1" t="s">
        <v>4676</v>
      </c>
      <c r="L2982" s="1" t="s">
        <v>4677</v>
      </c>
      <c r="M2982" s="1">
        <v>101</v>
      </c>
      <c r="N2982" s="1" t="s">
        <v>39</v>
      </c>
      <c r="O2982" s="1">
        <v>28.366499999999998</v>
      </c>
      <c r="P2982" s="1">
        <v>-82.559100000000001</v>
      </c>
      <c r="Q2982" s="1" t="s">
        <v>6749</v>
      </c>
      <c r="R2982" s="1" t="s">
        <v>41</v>
      </c>
      <c r="T2982" s="1" t="s">
        <v>93</v>
      </c>
      <c r="U2982" s="1" t="s">
        <v>44</v>
      </c>
      <c r="V2982" s="1" t="s">
        <v>94</v>
      </c>
      <c r="X2982" s="1" t="s">
        <v>183</v>
      </c>
      <c r="AA2982" s="3">
        <v>37258</v>
      </c>
      <c r="AB2982" s="1" t="s">
        <v>46</v>
      </c>
      <c r="AC2982" s="5">
        <v>1964.5</v>
      </c>
      <c r="AD2982" s="1" t="s">
        <v>6752</v>
      </c>
      <c r="AE2982" s="1" t="str">
        <f t="shared" si="207"/>
        <v>55414 GT201</v>
      </c>
      <c r="AF2982" s="5" t="str">
        <f t="shared" si="209"/>
        <v>171</v>
      </c>
      <c r="AG2982" s="1" t="str">
        <f t="shared" si="206"/>
        <v/>
      </c>
    </row>
    <row r="2983" spans="1:33" x14ac:dyDescent="0.2">
      <c r="A2983" s="1" t="s">
        <v>304</v>
      </c>
      <c r="B2983" s="1" t="s">
        <v>6747</v>
      </c>
      <c r="C2983" s="1">
        <v>55414</v>
      </c>
      <c r="D2983" s="1" t="s">
        <v>6753</v>
      </c>
      <c r="F2983" s="1">
        <v>2023</v>
      </c>
      <c r="G2983" s="1" t="s">
        <v>247</v>
      </c>
      <c r="H2983" s="1">
        <v>603149</v>
      </c>
      <c r="I2983" s="1">
        <v>4</v>
      </c>
      <c r="K2983" s="1" t="s">
        <v>4676</v>
      </c>
      <c r="L2983" s="1" t="s">
        <v>4677</v>
      </c>
      <c r="M2983" s="1">
        <v>101</v>
      </c>
      <c r="N2983" s="1" t="s">
        <v>39</v>
      </c>
      <c r="O2983" s="1">
        <v>28.366499999999998</v>
      </c>
      <c r="P2983" s="1">
        <v>-82.559100000000001</v>
      </c>
      <c r="Q2983" s="1" t="s">
        <v>6749</v>
      </c>
      <c r="R2983" s="1" t="s">
        <v>41</v>
      </c>
      <c r="T2983" s="1" t="s">
        <v>93</v>
      </c>
      <c r="U2983" s="1" t="s">
        <v>44</v>
      </c>
      <c r="V2983" s="1" t="s">
        <v>94</v>
      </c>
      <c r="X2983" s="1" t="s">
        <v>183</v>
      </c>
      <c r="AA2983" s="3">
        <v>37292</v>
      </c>
      <c r="AB2983" s="1" t="s">
        <v>46</v>
      </c>
      <c r="AC2983" s="5">
        <v>1958.4</v>
      </c>
      <c r="AD2983" s="1" t="s">
        <v>6754</v>
      </c>
      <c r="AE2983" s="1" t="str">
        <f t="shared" si="207"/>
        <v>55414 GT301</v>
      </c>
      <c r="AF2983" s="5" t="str">
        <f t="shared" si="209"/>
        <v>171</v>
      </c>
      <c r="AG2983" s="1" t="str">
        <f t="shared" si="206"/>
        <v/>
      </c>
    </row>
    <row r="2984" spans="1:33" x14ac:dyDescent="0.2">
      <c r="A2984" s="1" t="s">
        <v>304</v>
      </c>
      <c r="B2984" s="1" t="s">
        <v>6755</v>
      </c>
      <c r="C2984" s="1">
        <v>55415</v>
      </c>
      <c r="D2984" s="1" t="s">
        <v>6748</v>
      </c>
      <c r="F2984" s="1">
        <v>2023</v>
      </c>
      <c r="G2984" s="1" t="s">
        <v>247</v>
      </c>
      <c r="H2984" s="1">
        <v>608904</v>
      </c>
      <c r="I2984" s="1">
        <v>4</v>
      </c>
      <c r="J2984" s="1" t="s">
        <v>796</v>
      </c>
      <c r="K2984" s="1" t="s">
        <v>4104</v>
      </c>
      <c r="L2984" s="1" t="s">
        <v>4105</v>
      </c>
      <c r="M2984" s="1">
        <v>49</v>
      </c>
      <c r="N2984" s="1" t="s">
        <v>39</v>
      </c>
      <c r="O2984" s="1">
        <v>27.5242</v>
      </c>
      <c r="P2984" s="1">
        <v>-81.923599999999993</v>
      </c>
      <c r="Q2984" s="1" t="s">
        <v>6756</v>
      </c>
      <c r="R2984" s="1" t="s">
        <v>41</v>
      </c>
      <c r="T2984" s="1" t="s">
        <v>93</v>
      </c>
      <c r="U2984" s="1" t="s">
        <v>44</v>
      </c>
      <c r="V2984" s="1" t="s">
        <v>94</v>
      </c>
      <c r="X2984" s="1" t="s">
        <v>183</v>
      </c>
      <c r="AA2984" s="3">
        <v>37353</v>
      </c>
      <c r="AB2984" s="1" t="s">
        <v>46</v>
      </c>
      <c r="AC2984" s="5">
        <v>2220</v>
      </c>
      <c r="AD2984" s="1" t="s">
        <v>6757</v>
      </c>
      <c r="AE2984" s="1" t="str">
        <f t="shared" si="207"/>
        <v>55415 GT101</v>
      </c>
      <c r="AF2984" s="5" t="str">
        <f t="shared" si="209"/>
        <v>170</v>
      </c>
      <c r="AG2984" s="1" t="str">
        <f t="shared" si="206"/>
        <v/>
      </c>
    </row>
    <row r="2985" spans="1:33" x14ac:dyDescent="0.2">
      <c r="A2985" s="1" t="s">
        <v>304</v>
      </c>
      <c r="B2985" s="1" t="s">
        <v>6755</v>
      </c>
      <c r="C2985" s="1">
        <v>55415</v>
      </c>
      <c r="D2985" s="1" t="s">
        <v>6751</v>
      </c>
      <c r="F2985" s="1">
        <v>2023</v>
      </c>
      <c r="G2985" s="1" t="s">
        <v>247</v>
      </c>
      <c r="H2985" s="1">
        <v>608904</v>
      </c>
      <c r="I2985" s="1">
        <v>4</v>
      </c>
      <c r="J2985" s="1" t="s">
        <v>796</v>
      </c>
      <c r="K2985" s="1" t="s">
        <v>4104</v>
      </c>
      <c r="L2985" s="1" t="s">
        <v>4105</v>
      </c>
      <c r="M2985" s="1">
        <v>49</v>
      </c>
      <c r="N2985" s="1" t="s">
        <v>39</v>
      </c>
      <c r="O2985" s="1">
        <v>27.5242</v>
      </c>
      <c r="P2985" s="1">
        <v>-81.923599999999993</v>
      </c>
      <c r="Q2985" s="1" t="s">
        <v>6756</v>
      </c>
      <c r="R2985" s="1" t="s">
        <v>41</v>
      </c>
      <c r="T2985" s="1" t="s">
        <v>93</v>
      </c>
      <c r="U2985" s="1" t="s">
        <v>44</v>
      </c>
      <c r="V2985" s="1" t="s">
        <v>94</v>
      </c>
      <c r="X2985" s="1" t="s">
        <v>183</v>
      </c>
      <c r="AA2985" s="3">
        <v>37362</v>
      </c>
      <c r="AB2985" s="1" t="s">
        <v>46</v>
      </c>
      <c r="AC2985" s="5">
        <v>2220</v>
      </c>
      <c r="AD2985" s="1" t="s">
        <v>6758</v>
      </c>
      <c r="AE2985" s="1" t="str">
        <f t="shared" si="207"/>
        <v>55415 GT201</v>
      </c>
      <c r="AF2985" s="5" t="str">
        <f t="shared" si="209"/>
        <v>170</v>
      </c>
      <c r="AG2985" s="1" t="str">
        <f t="shared" si="206"/>
        <v/>
      </c>
    </row>
    <row r="2986" spans="1:33" x14ac:dyDescent="0.2">
      <c r="A2986" s="1" t="s">
        <v>304</v>
      </c>
      <c r="B2986" s="1" t="s">
        <v>6755</v>
      </c>
      <c r="C2986" s="1">
        <v>55415</v>
      </c>
      <c r="D2986" s="1" t="s">
        <v>6753</v>
      </c>
      <c r="F2986" s="1">
        <v>2023</v>
      </c>
      <c r="G2986" s="1" t="s">
        <v>247</v>
      </c>
      <c r="H2986" s="1">
        <v>608904</v>
      </c>
      <c r="I2986" s="1">
        <v>4</v>
      </c>
      <c r="J2986" s="1" t="s">
        <v>796</v>
      </c>
      <c r="K2986" s="1" t="s">
        <v>4104</v>
      </c>
      <c r="L2986" s="1" t="s">
        <v>4105</v>
      </c>
      <c r="M2986" s="1">
        <v>49</v>
      </c>
      <c r="N2986" s="1" t="s">
        <v>39</v>
      </c>
      <c r="O2986" s="1">
        <v>27.5242</v>
      </c>
      <c r="P2986" s="1">
        <v>-81.923599999999993</v>
      </c>
      <c r="Q2986" s="1" t="s">
        <v>6756</v>
      </c>
      <c r="R2986" s="1" t="s">
        <v>41</v>
      </c>
      <c r="T2986" s="1" t="s">
        <v>93</v>
      </c>
      <c r="U2986" s="1" t="s">
        <v>44</v>
      </c>
      <c r="V2986" s="1" t="s">
        <v>94</v>
      </c>
      <c r="X2986" s="1" t="s">
        <v>183</v>
      </c>
      <c r="AA2986" s="3">
        <v>37365</v>
      </c>
      <c r="AB2986" s="1" t="s">
        <v>46</v>
      </c>
      <c r="AC2986" s="5">
        <v>2220</v>
      </c>
      <c r="AD2986" s="1" t="s">
        <v>6759</v>
      </c>
      <c r="AE2986" s="1" t="str">
        <f t="shared" si="207"/>
        <v>55415 GT301</v>
      </c>
      <c r="AF2986" s="5" t="str">
        <f t="shared" si="209"/>
        <v>170</v>
      </c>
      <c r="AG2986" s="1" t="str">
        <f t="shared" si="206"/>
        <v/>
      </c>
    </row>
    <row r="2987" spans="1:33" x14ac:dyDescent="0.2">
      <c r="A2987" s="1" t="s">
        <v>304</v>
      </c>
      <c r="B2987" s="1" t="s">
        <v>6755</v>
      </c>
      <c r="C2987" s="1">
        <v>55415</v>
      </c>
      <c r="D2987" s="1" t="s">
        <v>6760</v>
      </c>
      <c r="F2987" s="1">
        <v>2023</v>
      </c>
      <c r="G2987" s="1" t="s">
        <v>247</v>
      </c>
      <c r="H2987" s="1">
        <v>608904</v>
      </c>
      <c r="I2987" s="1">
        <v>4</v>
      </c>
      <c r="J2987" s="1" t="s">
        <v>796</v>
      </c>
      <c r="K2987" s="1" t="s">
        <v>4104</v>
      </c>
      <c r="L2987" s="1" t="s">
        <v>4105</v>
      </c>
      <c r="M2987" s="1">
        <v>49</v>
      </c>
      <c r="N2987" s="1" t="s">
        <v>39</v>
      </c>
      <c r="O2987" s="1">
        <v>27.5242</v>
      </c>
      <c r="P2987" s="1">
        <v>-81.923599999999993</v>
      </c>
      <c r="Q2987" s="1" t="s">
        <v>6756</v>
      </c>
      <c r="R2987" s="1" t="s">
        <v>41</v>
      </c>
      <c r="T2987" s="1" t="s">
        <v>93</v>
      </c>
      <c r="U2987" s="1" t="s">
        <v>44</v>
      </c>
      <c r="V2987" s="1" t="s">
        <v>94</v>
      </c>
      <c r="X2987" s="1" t="s">
        <v>183</v>
      </c>
      <c r="AA2987" s="3">
        <v>37386</v>
      </c>
      <c r="AB2987" s="1" t="s">
        <v>46</v>
      </c>
      <c r="AC2987" s="5">
        <v>2220</v>
      </c>
      <c r="AD2987" s="1" t="s">
        <v>6761</v>
      </c>
      <c r="AE2987" s="1" t="str">
        <f t="shared" si="207"/>
        <v>55415 GT401</v>
      </c>
      <c r="AF2987" s="5" t="str">
        <f t="shared" si="209"/>
        <v>170</v>
      </c>
      <c r="AG2987" s="1" t="str">
        <f t="shared" si="206"/>
        <v/>
      </c>
    </row>
    <row r="2988" spans="1:33" x14ac:dyDescent="0.2">
      <c r="A2988" s="1" t="s">
        <v>458</v>
      </c>
      <c r="B2988" s="1" t="s">
        <v>6762</v>
      </c>
      <c r="C2988" s="1">
        <v>55417</v>
      </c>
      <c r="D2988" s="1" t="s">
        <v>6763</v>
      </c>
      <c r="F2988" s="1">
        <v>2023</v>
      </c>
      <c r="G2988" s="1" t="s">
        <v>461</v>
      </c>
      <c r="H2988" s="1">
        <v>607655</v>
      </c>
      <c r="I2988" s="1">
        <v>5</v>
      </c>
      <c r="K2988" s="1" t="s">
        <v>1256</v>
      </c>
      <c r="L2988" s="1" t="s">
        <v>6764</v>
      </c>
      <c r="M2988" s="1">
        <v>25</v>
      </c>
      <c r="N2988" s="1" t="s">
        <v>39</v>
      </c>
      <c r="O2988" s="1">
        <v>38.699599999999997</v>
      </c>
      <c r="P2988" s="1">
        <v>-88.539199999999994</v>
      </c>
      <c r="Q2988" s="1" t="s">
        <v>1046</v>
      </c>
      <c r="R2988" s="1" t="s">
        <v>41</v>
      </c>
      <c r="T2988" s="1" t="s">
        <v>93</v>
      </c>
      <c r="U2988" s="1" t="s">
        <v>44</v>
      </c>
      <c r="X2988" s="1" t="s">
        <v>140</v>
      </c>
      <c r="AA2988" s="3">
        <v>37413</v>
      </c>
      <c r="AB2988" s="1" t="s">
        <v>46</v>
      </c>
      <c r="AC2988" s="5">
        <v>1060</v>
      </c>
      <c r="AD2988" s="1" t="s">
        <v>6765</v>
      </c>
      <c r="AE2988" s="1" t="str">
        <f t="shared" si="207"/>
        <v>55417 CT-01</v>
      </c>
      <c r="AF2988" s="5" t="str">
        <f t="shared" si="209"/>
        <v>114</v>
      </c>
      <c r="AG2988" s="1" t="str">
        <f t="shared" si="206"/>
        <v/>
      </c>
    </row>
    <row r="2989" spans="1:33" x14ac:dyDescent="0.2">
      <c r="A2989" s="1" t="s">
        <v>458</v>
      </c>
      <c r="B2989" s="1" t="s">
        <v>6762</v>
      </c>
      <c r="C2989" s="1">
        <v>55417</v>
      </c>
      <c r="D2989" s="1" t="s">
        <v>6766</v>
      </c>
      <c r="F2989" s="1">
        <v>2023</v>
      </c>
      <c r="G2989" s="1" t="s">
        <v>461</v>
      </c>
      <c r="H2989" s="1">
        <v>607655</v>
      </c>
      <c r="I2989" s="1">
        <v>5</v>
      </c>
      <c r="K2989" s="1" t="s">
        <v>1256</v>
      </c>
      <c r="L2989" s="1" t="s">
        <v>6764</v>
      </c>
      <c r="M2989" s="1">
        <v>25</v>
      </c>
      <c r="N2989" s="1" t="s">
        <v>39</v>
      </c>
      <c r="O2989" s="1">
        <v>38.699599999999997</v>
      </c>
      <c r="P2989" s="1">
        <v>-88.539199999999994</v>
      </c>
      <c r="Q2989" s="1" t="s">
        <v>1046</v>
      </c>
      <c r="R2989" s="1" t="s">
        <v>41</v>
      </c>
      <c r="T2989" s="1" t="s">
        <v>93</v>
      </c>
      <c r="U2989" s="1" t="s">
        <v>44</v>
      </c>
      <c r="X2989" s="1" t="s">
        <v>140</v>
      </c>
      <c r="AA2989" s="3">
        <v>37413</v>
      </c>
      <c r="AB2989" s="1" t="s">
        <v>46</v>
      </c>
      <c r="AC2989" s="5">
        <v>1060</v>
      </c>
      <c r="AD2989" s="1" t="s">
        <v>6767</v>
      </c>
      <c r="AE2989" s="1" t="str">
        <f t="shared" si="207"/>
        <v>55417 CT-02</v>
      </c>
      <c r="AF2989" s="5" t="str">
        <f t="shared" si="209"/>
        <v>114</v>
      </c>
      <c r="AG2989" s="1" t="str">
        <f t="shared" si="206"/>
        <v/>
      </c>
    </row>
    <row r="2990" spans="1:33" x14ac:dyDescent="0.2">
      <c r="A2990" s="1" t="s">
        <v>458</v>
      </c>
      <c r="B2990" s="1" t="s">
        <v>6762</v>
      </c>
      <c r="C2990" s="1">
        <v>55417</v>
      </c>
      <c r="D2990" s="1" t="s">
        <v>6768</v>
      </c>
      <c r="F2990" s="1">
        <v>2023</v>
      </c>
      <c r="G2990" s="1" t="s">
        <v>461</v>
      </c>
      <c r="H2990" s="1">
        <v>607655</v>
      </c>
      <c r="I2990" s="1">
        <v>5</v>
      </c>
      <c r="K2990" s="1" t="s">
        <v>1256</v>
      </c>
      <c r="L2990" s="1" t="s">
        <v>6764</v>
      </c>
      <c r="M2990" s="1">
        <v>25</v>
      </c>
      <c r="N2990" s="1" t="s">
        <v>39</v>
      </c>
      <c r="O2990" s="1">
        <v>38.699599999999997</v>
      </c>
      <c r="P2990" s="1">
        <v>-88.539199999999994</v>
      </c>
      <c r="Q2990" s="1" t="s">
        <v>1046</v>
      </c>
      <c r="R2990" s="1" t="s">
        <v>41</v>
      </c>
      <c r="T2990" s="1" t="s">
        <v>93</v>
      </c>
      <c r="U2990" s="1" t="s">
        <v>44</v>
      </c>
      <c r="X2990" s="1" t="s">
        <v>140</v>
      </c>
      <c r="AA2990" s="3">
        <v>37413</v>
      </c>
      <c r="AB2990" s="1" t="s">
        <v>46</v>
      </c>
      <c r="AC2990" s="5">
        <v>1060</v>
      </c>
      <c r="AD2990" s="1" t="s">
        <v>6769</v>
      </c>
      <c r="AE2990" s="1" t="str">
        <f t="shared" si="207"/>
        <v>55417 CT-03</v>
      </c>
      <c r="AF2990" s="5" t="str">
        <f t="shared" si="209"/>
        <v>114</v>
      </c>
      <c r="AG2990" s="1" t="str">
        <f t="shared" si="206"/>
        <v/>
      </c>
    </row>
    <row r="2991" spans="1:33" x14ac:dyDescent="0.2">
      <c r="A2991" s="1" t="s">
        <v>458</v>
      </c>
      <c r="B2991" s="1" t="s">
        <v>6762</v>
      </c>
      <c r="C2991" s="1">
        <v>55417</v>
      </c>
      <c r="D2991" s="1" t="s">
        <v>6770</v>
      </c>
      <c r="F2991" s="1">
        <v>2023</v>
      </c>
      <c r="G2991" s="1" t="s">
        <v>461</v>
      </c>
      <c r="H2991" s="1">
        <v>607655</v>
      </c>
      <c r="I2991" s="1">
        <v>5</v>
      </c>
      <c r="K2991" s="1" t="s">
        <v>1256</v>
      </c>
      <c r="L2991" s="1" t="s">
        <v>6764</v>
      </c>
      <c r="M2991" s="1">
        <v>25</v>
      </c>
      <c r="N2991" s="1" t="s">
        <v>39</v>
      </c>
      <c r="O2991" s="1">
        <v>38.699599999999997</v>
      </c>
      <c r="P2991" s="1">
        <v>-88.539199999999994</v>
      </c>
      <c r="Q2991" s="1" t="s">
        <v>1046</v>
      </c>
      <c r="R2991" s="1" t="s">
        <v>41</v>
      </c>
      <c r="T2991" s="1" t="s">
        <v>93</v>
      </c>
      <c r="U2991" s="1" t="s">
        <v>44</v>
      </c>
      <c r="X2991" s="1" t="s">
        <v>140</v>
      </c>
      <c r="AA2991" s="3">
        <v>37413</v>
      </c>
      <c r="AB2991" s="1" t="s">
        <v>46</v>
      </c>
      <c r="AC2991" s="5">
        <v>1060</v>
      </c>
      <c r="AD2991" s="1" t="s">
        <v>6771</v>
      </c>
      <c r="AE2991" s="1" t="str">
        <f t="shared" si="207"/>
        <v>55417 CT-04</v>
      </c>
      <c r="AF2991" s="5" t="str">
        <f t="shared" si="209"/>
        <v>114</v>
      </c>
      <c r="AG2991" s="1" t="str">
        <f t="shared" si="206"/>
        <v/>
      </c>
    </row>
    <row r="2992" spans="1:33" x14ac:dyDescent="0.2">
      <c r="A2992" s="1" t="s">
        <v>348</v>
      </c>
      <c r="B2992" s="1" t="s">
        <v>6772</v>
      </c>
      <c r="C2992" s="1">
        <v>55418</v>
      </c>
      <c r="D2992" s="1" t="s">
        <v>1296</v>
      </c>
      <c r="F2992" s="1">
        <v>2023</v>
      </c>
      <c r="G2992" s="1" t="s">
        <v>346</v>
      </c>
      <c r="H2992" s="1" t="s">
        <v>350</v>
      </c>
      <c r="I2992" s="1">
        <v>6</v>
      </c>
      <c r="K2992" s="1" t="s">
        <v>351</v>
      </c>
      <c r="L2992" s="1" t="s">
        <v>352</v>
      </c>
      <c r="M2992" s="1">
        <v>59</v>
      </c>
      <c r="N2992" s="1" t="s">
        <v>39</v>
      </c>
      <c r="O2992" s="1">
        <v>34.296300000000002</v>
      </c>
      <c r="P2992" s="1">
        <v>-92.868300000000005</v>
      </c>
      <c r="Q2992" s="1" t="s">
        <v>353</v>
      </c>
      <c r="R2992" s="1" t="s">
        <v>41</v>
      </c>
      <c r="T2992" s="1" t="s">
        <v>71</v>
      </c>
      <c r="U2992" s="1" t="s">
        <v>44</v>
      </c>
      <c r="X2992" s="1" t="s">
        <v>64</v>
      </c>
      <c r="AA2992" s="3">
        <v>37363</v>
      </c>
      <c r="AB2992" s="1" t="s">
        <v>46</v>
      </c>
      <c r="AC2992" s="5">
        <v>2650</v>
      </c>
      <c r="AD2992" s="1" t="s">
        <v>6773</v>
      </c>
      <c r="AE2992" s="1" t="str">
        <f t="shared" si="207"/>
        <v>55418 CT-1</v>
      </c>
      <c r="AF2992" s="14">
        <f>MID(AD2992,FIND("(",AD2992)+1,FIND(")",AD2992)-FIND("(",AD2992)-1)+317/2</f>
        <v>357.4</v>
      </c>
      <c r="AG2992" s="1" t="str">
        <f t="shared" si="206"/>
        <v>Y</v>
      </c>
    </row>
    <row r="2993" spans="1:33" x14ac:dyDescent="0.2">
      <c r="A2993" s="1" t="s">
        <v>348</v>
      </c>
      <c r="B2993" s="1" t="s">
        <v>6772</v>
      </c>
      <c r="C2993" s="1">
        <v>55418</v>
      </c>
      <c r="D2993" s="1" t="s">
        <v>1300</v>
      </c>
      <c r="F2993" s="1">
        <v>2023</v>
      </c>
      <c r="G2993" s="1" t="s">
        <v>346</v>
      </c>
      <c r="H2993" s="1" t="s">
        <v>350</v>
      </c>
      <c r="I2993" s="1">
        <v>6</v>
      </c>
      <c r="K2993" s="1" t="s">
        <v>351</v>
      </c>
      <c r="L2993" s="1" t="s">
        <v>352</v>
      </c>
      <c r="M2993" s="1">
        <v>59</v>
      </c>
      <c r="N2993" s="1" t="s">
        <v>39</v>
      </c>
      <c r="O2993" s="1">
        <v>34.296300000000002</v>
      </c>
      <c r="P2993" s="1">
        <v>-92.868300000000005</v>
      </c>
      <c r="Q2993" s="1" t="s">
        <v>353</v>
      </c>
      <c r="R2993" s="1" t="s">
        <v>41</v>
      </c>
      <c r="T2993" s="1" t="s">
        <v>71</v>
      </c>
      <c r="U2993" s="1" t="s">
        <v>44</v>
      </c>
      <c r="X2993" s="1" t="s">
        <v>64</v>
      </c>
      <c r="AA2993" s="3">
        <v>37344</v>
      </c>
      <c r="AB2993" s="1" t="s">
        <v>46</v>
      </c>
      <c r="AC2993" s="5">
        <v>2650</v>
      </c>
      <c r="AD2993" s="1" t="s">
        <v>6774</v>
      </c>
      <c r="AE2993" s="1" t="str">
        <f t="shared" si="207"/>
        <v>55418 CT-2</v>
      </c>
      <c r="AF2993" s="14">
        <f>AF2992</f>
        <v>357.4</v>
      </c>
      <c r="AG2993" s="1" t="str">
        <f t="shared" si="206"/>
        <v>Y</v>
      </c>
    </row>
    <row r="2994" spans="1:33" x14ac:dyDescent="0.2">
      <c r="A2994" s="1" t="s">
        <v>1426</v>
      </c>
      <c r="B2994" s="1" t="s">
        <v>6775</v>
      </c>
      <c r="C2994" s="1">
        <v>55419</v>
      </c>
      <c r="D2994" s="1">
        <v>500</v>
      </c>
      <c r="F2994" s="1">
        <v>2023</v>
      </c>
      <c r="G2994" s="1" t="s">
        <v>1428</v>
      </c>
      <c r="H2994" s="1">
        <v>610269</v>
      </c>
      <c r="I2994" s="1">
        <v>6</v>
      </c>
      <c r="K2994" s="1" t="s">
        <v>6717</v>
      </c>
      <c r="L2994" s="1" t="s">
        <v>6718</v>
      </c>
      <c r="M2994" s="1">
        <v>47</v>
      </c>
      <c r="N2994" s="1" t="s">
        <v>1680</v>
      </c>
      <c r="O2994" s="1">
        <v>30.3215</v>
      </c>
      <c r="P2994" s="1">
        <v>-91.239199999999997</v>
      </c>
      <c r="Q2994" s="1" t="s">
        <v>6776</v>
      </c>
      <c r="R2994" s="1" t="s">
        <v>41</v>
      </c>
      <c r="T2994" s="1" t="s">
        <v>71</v>
      </c>
      <c r="U2994" s="1" t="s">
        <v>284</v>
      </c>
      <c r="V2994" s="1" t="s">
        <v>1432</v>
      </c>
      <c r="X2994" s="1" t="s">
        <v>64</v>
      </c>
      <c r="AA2994" s="3">
        <v>38064</v>
      </c>
      <c r="AB2994" s="1" t="s">
        <v>46</v>
      </c>
      <c r="AC2994" s="5">
        <v>2603</v>
      </c>
      <c r="AD2994" s="1" t="s">
        <v>6777</v>
      </c>
      <c r="AE2994" s="1" t="str">
        <f t="shared" si="207"/>
        <v>55419 500</v>
      </c>
      <c r="AF2994" s="14">
        <f>MID(AD2994,FIND("(",AD2994)+1,FIND(")",AD2994)-FIND("(",AD2994)-1)+195/4</f>
        <v>219.85</v>
      </c>
      <c r="AG2994" s="1" t="str">
        <f t="shared" si="206"/>
        <v>Y</v>
      </c>
    </row>
    <row r="2995" spans="1:33" x14ac:dyDescent="0.2">
      <c r="A2995" s="1" t="s">
        <v>1426</v>
      </c>
      <c r="B2995" s="1" t="s">
        <v>6775</v>
      </c>
      <c r="C2995" s="1">
        <v>55419</v>
      </c>
      <c r="D2995" s="1">
        <v>600</v>
      </c>
      <c r="F2995" s="1">
        <v>2023</v>
      </c>
      <c r="G2995" s="1" t="s">
        <v>1428</v>
      </c>
      <c r="H2995" s="1">
        <v>610269</v>
      </c>
      <c r="I2995" s="1">
        <v>6</v>
      </c>
      <c r="K2995" s="1" t="s">
        <v>6717</v>
      </c>
      <c r="L2995" s="1" t="s">
        <v>6718</v>
      </c>
      <c r="M2995" s="1">
        <v>47</v>
      </c>
      <c r="N2995" s="1" t="s">
        <v>1680</v>
      </c>
      <c r="O2995" s="1">
        <v>30.3215</v>
      </c>
      <c r="P2995" s="1">
        <v>-91.239199999999997</v>
      </c>
      <c r="Q2995" s="1" t="s">
        <v>6776</v>
      </c>
      <c r="R2995" s="1" t="s">
        <v>41</v>
      </c>
      <c r="T2995" s="1" t="s">
        <v>71</v>
      </c>
      <c r="U2995" s="1" t="s">
        <v>284</v>
      </c>
      <c r="V2995" s="1" t="s">
        <v>1432</v>
      </c>
      <c r="X2995" s="1" t="s">
        <v>64</v>
      </c>
      <c r="AA2995" s="3">
        <v>38064</v>
      </c>
      <c r="AB2995" s="1" t="s">
        <v>46</v>
      </c>
      <c r="AC2995" s="5">
        <v>2603</v>
      </c>
      <c r="AD2995" s="1" t="s">
        <v>6778</v>
      </c>
      <c r="AE2995" s="1" t="str">
        <f t="shared" si="207"/>
        <v>55419 600</v>
      </c>
      <c r="AF2995" s="14">
        <f>AF2994</f>
        <v>219.85</v>
      </c>
      <c r="AG2995" s="1" t="str">
        <f t="shared" si="206"/>
        <v>Y</v>
      </c>
    </row>
    <row r="2996" spans="1:33" x14ac:dyDescent="0.2">
      <c r="A2996" s="1" t="s">
        <v>1426</v>
      </c>
      <c r="B2996" s="1" t="s">
        <v>6775</v>
      </c>
      <c r="C2996" s="1">
        <v>55419</v>
      </c>
      <c r="D2996" s="1">
        <v>700</v>
      </c>
      <c r="F2996" s="1">
        <v>2023</v>
      </c>
      <c r="G2996" s="1" t="s">
        <v>1428</v>
      </c>
      <c r="H2996" s="1">
        <v>610269</v>
      </c>
      <c r="I2996" s="1">
        <v>6</v>
      </c>
      <c r="K2996" s="1" t="s">
        <v>6717</v>
      </c>
      <c r="L2996" s="1" t="s">
        <v>6718</v>
      </c>
      <c r="M2996" s="1">
        <v>47</v>
      </c>
      <c r="N2996" s="1" t="s">
        <v>1680</v>
      </c>
      <c r="O2996" s="1">
        <v>30.3215</v>
      </c>
      <c r="P2996" s="1">
        <v>-91.239199999999997</v>
      </c>
      <c r="Q2996" s="1" t="s">
        <v>6776</v>
      </c>
      <c r="R2996" s="1" t="s">
        <v>41</v>
      </c>
      <c r="T2996" s="1" t="s">
        <v>71</v>
      </c>
      <c r="U2996" s="1" t="s">
        <v>284</v>
      </c>
      <c r="V2996" s="1" t="s">
        <v>1432</v>
      </c>
      <c r="X2996" s="1" t="s">
        <v>64</v>
      </c>
      <c r="AA2996" s="3">
        <v>38064</v>
      </c>
      <c r="AB2996" s="1" t="s">
        <v>46</v>
      </c>
      <c r="AC2996" s="5">
        <v>2603</v>
      </c>
      <c r="AD2996" s="1" t="s">
        <v>6779</v>
      </c>
      <c r="AE2996" s="1" t="str">
        <f t="shared" si="207"/>
        <v>55419 700</v>
      </c>
      <c r="AF2996" s="14">
        <f>AF2994</f>
        <v>219.85</v>
      </c>
      <c r="AG2996" s="1" t="str">
        <f t="shared" si="206"/>
        <v>Y</v>
      </c>
    </row>
    <row r="2997" spans="1:33" x14ac:dyDescent="0.2">
      <c r="A2997" s="1" t="s">
        <v>1426</v>
      </c>
      <c r="B2997" s="1" t="s">
        <v>6775</v>
      </c>
      <c r="C2997" s="1">
        <v>55419</v>
      </c>
      <c r="D2997" s="1">
        <v>800</v>
      </c>
      <c r="F2997" s="1">
        <v>2023</v>
      </c>
      <c r="G2997" s="1" t="s">
        <v>1428</v>
      </c>
      <c r="H2997" s="1">
        <v>610269</v>
      </c>
      <c r="I2997" s="1">
        <v>6</v>
      </c>
      <c r="K2997" s="1" t="s">
        <v>6717</v>
      </c>
      <c r="L2997" s="1" t="s">
        <v>6718</v>
      </c>
      <c r="M2997" s="1">
        <v>47</v>
      </c>
      <c r="N2997" s="1" t="s">
        <v>1680</v>
      </c>
      <c r="O2997" s="1">
        <v>30.3215</v>
      </c>
      <c r="P2997" s="1">
        <v>-91.239199999999997</v>
      </c>
      <c r="Q2997" s="1" t="s">
        <v>6776</v>
      </c>
      <c r="R2997" s="1" t="s">
        <v>41</v>
      </c>
      <c r="T2997" s="1" t="s">
        <v>71</v>
      </c>
      <c r="U2997" s="1" t="s">
        <v>284</v>
      </c>
      <c r="V2997" s="1" t="s">
        <v>1432</v>
      </c>
      <c r="X2997" s="1" t="s">
        <v>64</v>
      </c>
      <c r="AA2997" s="3">
        <v>38064</v>
      </c>
      <c r="AB2997" s="1" t="s">
        <v>46</v>
      </c>
      <c r="AC2997" s="5">
        <v>2603</v>
      </c>
      <c r="AD2997" s="1" t="s">
        <v>6780</v>
      </c>
      <c r="AE2997" s="1" t="str">
        <f t="shared" si="207"/>
        <v>55419 800</v>
      </c>
      <c r="AF2997" s="14">
        <f>AF2994</f>
        <v>219.85</v>
      </c>
      <c r="AG2997" s="1" t="str">
        <f t="shared" si="206"/>
        <v>Y</v>
      </c>
    </row>
    <row r="2998" spans="1:33" x14ac:dyDescent="0.2">
      <c r="A2998" s="1" t="s">
        <v>1426</v>
      </c>
      <c r="B2998" s="1" t="s">
        <v>6781</v>
      </c>
      <c r="C2998" s="1">
        <v>55433</v>
      </c>
      <c r="D2998" s="1" t="s">
        <v>5681</v>
      </c>
      <c r="F2998" s="1">
        <v>2023</v>
      </c>
      <c r="G2998" s="1" t="s">
        <v>1428</v>
      </c>
      <c r="H2998" s="1">
        <v>605667</v>
      </c>
      <c r="I2998" s="1">
        <v>6</v>
      </c>
      <c r="K2998" s="1" t="s">
        <v>5851</v>
      </c>
      <c r="L2998" s="1" t="s">
        <v>5852</v>
      </c>
      <c r="M2998" s="1">
        <v>1</v>
      </c>
      <c r="N2998" s="1" t="s">
        <v>39</v>
      </c>
      <c r="O2998" s="1">
        <v>30.282499999999999</v>
      </c>
      <c r="P2998" s="1">
        <v>-92.599400000000003</v>
      </c>
      <c r="Q2998" s="1" t="s">
        <v>6782</v>
      </c>
      <c r="R2998" s="1" t="s">
        <v>41</v>
      </c>
      <c r="T2998" s="1" t="s">
        <v>93</v>
      </c>
      <c r="U2998" s="1" t="s">
        <v>44</v>
      </c>
      <c r="X2998" s="1" t="s">
        <v>140</v>
      </c>
      <c r="AA2998" s="3">
        <v>37476</v>
      </c>
      <c r="AB2998" s="1" t="s">
        <v>46</v>
      </c>
      <c r="AC2998" s="5">
        <v>1073</v>
      </c>
      <c r="AD2998" s="1" t="s">
        <v>6783</v>
      </c>
      <c r="AE2998" s="1" t="str">
        <f t="shared" si="207"/>
        <v>55433 CTG-1</v>
      </c>
      <c r="AF2998" s="5" t="str">
        <f t="shared" ref="AF2998:AF3005" si="210">MID(AD2998,FIND("(",AD2998)+1,FIND(")",AD2998)-FIND("(",AD2998)-1)</f>
        <v>110</v>
      </c>
      <c r="AG2998" s="1" t="str">
        <f t="shared" si="206"/>
        <v/>
      </c>
    </row>
    <row r="2999" spans="1:33" x14ac:dyDescent="0.2">
      <c r="A2999" s="1" t="s">
        <v>1426</v>
      </c>
      <c r="B2999" s="1" t="s">
        <v>6781</v>
      </c>
      <c r="C2999" s="1">
        <v>55433</v>
      </c>
      <c r="D2999" s="1" t="s">
        <v>5684</v>
      </c>
      <c r="F2999" s="1">
        <v>2023</v>
      </c>
      <c r="G2999" s="1" t="s">
        <v>1428</v>
      </c>
      <c r="H2999" s="1">
        <v>605667</v>
      </c>
      <c r="I2999" s="1">
        <v>6</v>
      </c>
      <c r="K2999" s="1" t="s">
        <v>5851</v>
      </c>
      <c r="L2999" s="1" t="s">
        <v>5852</v>
      </c>
      <c r="M2999" s="1">
        <v>1</v>
      </c>
      <c r="N2999" s="1" t="s">
        <v>39</v>
      </c>
      <c r="O2999" s="1">
        <v>30.282499999999999</v>
      </c>
      <c r="P2999" s="1">
        <v>-92.599400000000003</v>
      </c>
      <c r="Q2999" s="1" t="s">
        <v>6782</v>
      </c>
      <c r="R2999" s="1" t="s">
        <v>41</v>
      </c>
      <c r="T2999" s="1" t="s">
        <v>93</v>
      </c>
      <c r="U2999" s="1" t="s">
        <v>44</v>
      </c>
      <c r="X2999" s="1" t="s">
        <v>140</v>
      </c>
      <c r="AA2999" s="3">
        <v>37462</v>
      </c>
      <c r="AB2999" s="1" t="s">
        <v>46</v>
      </c>
      <c r="AC2999" s="5">
        <v>1073</v>
      </c>
      <c r="AD2999" s="1" t="s">
        <v>6784</v>
      </c>
      <c r="AE2999" s="1" t="str">
        <f t="shared" si="207"/>
        <v>55433 CTG-2</v>
      </c>
      <c r="AF2999" s="5" t="str">
        <f t="shared" si="210"/>
        <v>110</v>
      </c>
      <c r="AG2999" s="1" t="str">
        <f t="shared" si="206"/>
        <v/>
      </c>
    </row>
    <row r="3000" spans="1:33" x14ac:dyDescent="0.2">
      <c r="A3000" s="1" t="s">
        <v>1426</v>
      </c>
      <c r="B3000" s="1" t="s">
        <v>6781</v>
      </c>
      <c r="C3000" s="1">
        <v>55433</v>
      </c>
      <c r="D3000" s="1" t="s">
        <v>5750</v>
      </c>
      <c r="F3000" s="1">
        <v>2023</v>
      </c>
      <c r="G3000" s="1" t="s">
        <v>1428</v>
      </c>
      <c r="H3000" s="1">
        <v>605667</v>
      </c>
      <c r="I3000" s="1">
        <v>6</v>
      </c>
      <c r="K3000" s="1" t="s">
        <v>5851</v>
      </c>
      <c r="L3000" s="1" t="s">
        <v>5852</v>
      </c>
      <c r="M3000" s="1">
        <v>1</v>
      </c>
      <c r="N3000" s="1" t="s">
        <v>39</v>
      </c>
      <c r="O3000" s="1">
        <v>30.282499999999999</v>
      </c>
      <c r="P3000" s="1">
        <v>-92.599400000000003</v>
      </c>
      <c r="Q3000" s="1" t="s">
        <v>6782</v>
      </c>
      <c r="R3000" s="1" t="s">
        <v>41</v>
      </c>
      <c r="T3000" s="1" t="s">
        <v>93</v>
      </c>
      <c r="U3000" s="1" t="s">
        <v>44</v>
      </c>
      <c r="X3000" s="1" t="s">
        <v>140</v>
      </c>
      <c r="AA3000" s="3">
        <v>37456</v>
      </c>
      <c r="AB3000" s="1" t="s">
        <v>46</v>
      </c>
      <c r="AC3000" s="5">
        <v>1073</v>
      </c>
      <c r="AD3000" s="1" t="s">
        <v>6785</v>
      </c>
      <c r="AE3000" s="1" t="str">
        <f t="shared" si="207"/>
        <v>55433 CTG-3</v>
      </c>
      <c r="AF3000" s="5" t="str">
        <f t="shared" si="210"/>
        <v>110</v>
      </c>
      <c r="AG3000" s="1" t="str">
        <f t="shared" si="206"/>
        <v/>
      </c>
    </row>
    <row r="3001" spans="1:33" x14ac:dyDescent="0.2">
      <c r="A3001" s="1" t="s">
        <v>1426</v>
      </c>
      <c r="B3001" s="1" t="s">
        <v>6781</v>
      </c>
      <c r="C3001" s="1">
        <v>55433</v>
      </c>
      <c r="D3001" s="1" t="s">
        <v>5799</v>
      </c>
      <c r="F3001" s="1">
        <v>2023</v>
      </c>
      <c r="G3001" s="1" t="s">
        <v>1428</v>
      </c>
      <c r="H3001" s="1">
        <v>605667</v>
      </c>
      <c r="I3001" s="1">
        <v>6</v>
      </c>
      <c r="K3001" s="1" t="s">
        <v>5851</v>
      </c>
      <c r="L3001" s="1" t="s">
        <v>5852</v>
      </c>
      <c r="M3001" s="1">
        <v>1</v>
      </c>
      <c r="N3001" s="1" t="s">
        <v>39</v>
      </c>
      <c r="O3001" s="1">
        <v>30.282499999999999</v>
      </c>
      <c r="P3001" s="1">
        <v>-92.599400000000003</v>
      </c>
      <c r="Q3001" s="1" t="s">
        <v>6782</v>
      </c>
      <c r="R3001" s="1" t="s">
        <v>41</v>
      </c>
      <c r="T3001" s="1" t="s">
        <v>93</v>
      </c>
      <c r="U3001" s="1" t="s">
        <v>44</v>
      </c>
      <c r="X3001" s="1" t="s">
        <v>140</v>
      </c>
      <c r="AA3001" s="3">
        <v>37526</v>
      </c>
      <c r="AB3001" s="1" t="s">
        <v>46</v>
      </c>
      <c r="AC3001" s="5">
        <v>1073</v>
      </c>
      <c r="AD3001" s="1" t="s">
        <v>6786</v>
      </c>
      <c r="AE3001" s="1" t="str">
        <f t="shared" si="207"/>
        <v>55433 CTG-4</v>
      </c>
      <c r="AF3001" s="5" t="str">
        <f t="shared" si="210"/>
        <v>110</v>
      </c>
      <c r="AG3001" s="1" t="str">
        <f t="shared" si="206"/>
        <v/>
      </c>
    </row>
    <row r="3002" spans="1:33" x14ac:dyDescent="0.2">
      <c r="A3002" s="1" t="s">
        <v>458</v>
      </c>
      <c r="B3002" s="1" t="s">
        <v>6787</v>
      </c>
      <c r="C3002" s="1">
        <v>55438</v>
      </c>
      <c r="D3002" s="1" t="s">
        <v>993</v>
      </c>
      <c r="F3002" s="1">
        <v>2023</v>
      </c>
      <c r="G3002" s="1" t="s">
        <v>461</v>
      </c>
      <c r="H3002" s="1">
        <v>609316</v>
      </c>
      <c r="I3002" s="1">
        <v>5</v>
      </c>
      <c r="K3002" s="1" t="s">
        <v>1029</v>
      </c>
      <c r="L3002" s="1" t="s">
        <v>1030</v>
      </c>
      <c r="M3002" s="1">
        <v>31</v>
      </c>
      <c r="N3002" s="1" t="s">
        <v>39</v>
      </c>
      <c r="O3002" s="1">
        <v>41.999699999999997</v>
      </c>
      <c r="P3002" s="1">
        <v>-88.244500000000002</v>
      </c>
      <c r="Q3002" s="1" t="s">
        <v>6788</v>
      </c>
      <c r="R3002" s="1" t="s">
        <v>41</v>
      </c>
      <c r="T3002" s="1" t="s">
        <v>93</v>
      </c>
      <c r="U3002" s="1" t="s">
        <v>44</v>
      </c>
      <c r="X3002" s="1" t="s">
        <v>140</v>
      </c>
      <c r="AA3002" s="3">
        <v>37488</v>
      </c>
      <c r="AB3002" s="1" t="s">
        <v>46</v>
      </c>
      <c r="AC3002" s="5">
        <v>1472</v>
      </c>
      <c r="AD3002" s="1" t="s">
        <v>6789</v>
      </c>
      <c r="AE3002" s="1" t="str">
        <f t="shared" si="207"/>
        <v>55438 CT01</v>
      </c>
      <c r="AF3002" s="5" t="str">
        <f t="shared" si="210"/>
        <v>135</v>
      </c>
      <c r="AG3002" s="1" t="str">
        <f t="shared" si="206"/>
        <v/>
      </c>
    </row>
    <row r="3003" spans="1:33" x14ac:dyDescent="0.2">
      <c r="A3003" s="1" t="s">
        <v>458</v>
      </c>
      <c r="B3003" s="1" t="s">
        <v>6787</v>
      </c>
      <c r="C3003" s="1">
        <v>55438</v>
      </c>
      <c r="D3003" s="1" t="s">
        <v>998</v>
      </c>
      <c r="F3003" s="1">
        <v>2023</v>
      </c>
      <c r="G3003" s="1" t="s">
        <v>461</v>
      </c>
      <c r="H3003" s="1">
        <v>609316</v>
      </c>
      <c r="I3003" s="1">
        <v>5</v>
      </c>
      <c r="K3003" s="1" t="s">
        <v>1029</v>
      </c>
      <c r="L3003" s="1" t="s">
        <v>1030</v>
      </c>
      <c r="M3003" s="1">
        <v>31</v>
      </c>
      <c r="N3003" s="1" t="s">
        <v>39</v>
      </c>
      <c r="O3003" s="1">
        <v>41.999699999999997</v>
      </c>
      <c r="P3003" s="1">
        <v>-88.244500000000002</v>
      </c>
      <c r="Q3003" s="1" t="s">
        <v>6788</v>
      </c>
      <c r="R3003" s="1" t="s">
        <v>41</v>
      </c>
      <c r="T3003" s="1" t="s">
        <v>93</v>
      </c>
      <c r="U3003" s="1" t="s">
        <v>44</v>
      </c>
      <c r="X3003" s="1" t="s">
        <v>140</v>
      </c>
      <c r="AA3003" s="3">
        <v>37502</v>
      </c>
      <c r="AB3003" s="1" t="s">
        <v>46</v>
      </c>
      <c r="AC3003" s="5">
        <v>1472</v>
      </c>
      <c r="AD3003" s="1" t="s">
        <v>6790</v>
      </c>
      <c r="AE3003" s="1" t="str">
        <f t="shared" si="207"/>
        <v>55438 CT02</v>
      </c>
      <c r="AF3003" s="5" t="str">
        <f t="shared" si="210"/>
        <v>135</v>
      </c>
      <c r="AG3003" s="1" t="str">
        <f t="shared" si="206"/>
        <v/>
      </c>
    </row>
    <row r="3004" spans="1:33" x14ac:dyDescent="0.2">
      <c r="A3004" s="1" t="s">
        <v>458</v>
      </c>
      <c r="B3004" s="1" t="s">
        <v>6787</v>
      </c>
      <c r="C3004" s="1">
        <v>55438</v>
      </c>
      <c r="D3004" s="1" t="s">
        <v>1043</v>
      </c>
      <c r="F3004" s="1">
        <v>2023</v>
      </c>
      <c r="G3004" s="1" t="s">
        <v>461</v>
      </c>
      <c r="H3004" s="1">
        <v>609316</v>
      </c>
      <c r="I3004" s="1">
        <v>5</v>
      </c>
      <c r="K3004" s="1" t="s">
        <v>1029</v>
      </c>
      <c r="L3004" s="1" t="s">
        <v>1030</v>
      </c>
      <c r="M3004" s="1">
        <v>31</v>
      </c>
      <c r="N3004" s="1" t="s">
        <v>39</v>
      </c>
      <c r="O3004" s="1">
        <v>41.999699999999997</v>
      </c>
      <c r="P3004" s="1">
        <v>-88.244500000000002</v>
      </c>
      <c r="Q3004" s="1" t="s">
        <v>6788</v>
      </c>
      <c r="R3004" s="1" t="s">
        <v>41</v>
      </c>
      <c r="T3004" s="1" t="s">
        <v>93</v>
      </c>
      <c r="U3004" s="1" t="s">
        <v>44</v>
      </c>
      <c r="X3004" s="1" t="s">
        <v>140</v>
      </c>
      <c r="AA3004" s="3">
        <v>37524</v>
      </c>
      <c r="AB3004" s="1" t="s">
        <v>46</v>
      </c>
      <c r="AC3004" s="5">
        <v>1472</v>
      </c>
      <c r="AD3004" s="1" t="s">
        <v>6791</v>
      </c>
      <c r="AE3004" s="1" t="str">
        <f t="shared" si="207"/>
        <v>55438 CT03</v>
      </c>
      <c r="AF3004" s="5" t="str">
        <f t="shared" si="210"/>
        <v>135</v>
      </c>
      <c r="AG3004" s="1" t="str">
        <f t="shared" si="206"/>
        <v/>
      </c>
    </row>
    <row r="3005" spans="1:33" x14ac:dyDescent="0.2">
      <c r="A3005" s="1" t="s">
        <v>458</v>
      </c>
      <c r="B3005" s="1" t="s">
        <v>6787</v>
      </c>
      <c r="C3005" s="1">
        <v>55438</v>
      </c>
      <c r="D3005" s="1" t="s">
        <v>1048</v>
      </c>
      <c r="F3005" s="1">
        <v>2023</v>
      </c>
      <c r="G3005" s="1" t="s">
        <v>461</v>
      </c>
      <c r="H3005" s="1">
        <v>609316</v>
      </c>
      <c r="I3005" s="1">
        <v>5</v>
      </c>
      <c r="K3005" s="1" t="s">
        <v>1029</v>
      </c>
      <c r="L3005" s="1" t="s">
        <v>1030</v>
      </c>
      <c r="M3005" s="1">
        <v>31</v>
      </c>
      <c r="N3005" s="1" t="s">
        <v>39</v>
      </c>
      <c r="O3005" s="1">
        <v>41.999699999999997</v>
      </c>
      <c r="P3005" s="1">
        <v>-88.244500000000002</v>
      </c>
      <c r="Q3005" s="1" t="s">
        <v>6788</v>
      </c>
      <c r="R3005" s="1" t="s">
        <v>41</v>
      </c>
      <c r="T3005" s="1" t="s">
        <v>93</v>
      </c>
      <c r="U3005" s="1" t="s">
        <v>44</v>
      </c>
      <c r="X3005" s="1" t="s">
        <v>140</v>
      </c>
      <c r="AA3005" s="3">
        <v>37550</v>
      </c>
      <c r="AB3005" s="1" t="s">
        <v>46</v>
      </c>
      <c r="AC3005" s="5">
        <v>1472</v>
      </c>
      <c r="AD3005" s="1" t="s">
        <v>6792</v>
      </c>
      <c r="AE3005" s="1" t="str">
        <f t="shared" si="207"/>
        <v>55438 CT04</v>
      </c>
      <c r="AF3005" s="5" t="str">
        <f t="shared" si="210"/>
        <v>135</v>
      </c>
      <c r="AG3005" s="1" t="str">
        <f t="shared" si="206"/>
        <v/>
      </c>
    </row>
    <row r="3006" spans="1:33" x14ac:dyDescent="0.2">
      <c r="A3006" s="1" t="s">
        <v>3095</v>
      </c>
      <c r="B3006" s="1" t="s">
        <v>6793</v>
      </c>
      <c r="C3006" s="1">
        <v>55439</v>
      </c>
      <c r="D3006" s="1" t="s">
        <v>6794</v>
      </c>
      <c r="F3006" s="1">
        <v>2023</v>
      </c>
      <c r="G3006" s="1" t="s">
        <v>1515</v>
      </c>
      <c r="H3006" s="1">
        <v>604188</v>
      </c>
      <c r="I3006" s="1">
        <v>3</v>
      </c>
      <c r="J3006" s="1" t="s">
        <v>36</v>
      </c>
      <c r="K3006" s="1" t="s">
        <v>6795</v>
      </c>
      <c r="L3006" s="1" t="s">
        <v>6796</v>
      </c>
      <c r="M3006" s="1">
        <v>65</v>
      </c>
      <c r="N3006" s="1" t="s">
        <v>39</v>
      </c>
      <c r="O3006" s="1">
        <v>37.866700000000002</v>
      </c>
      <c r="P3006" s="1">
        <v>-78.381299999999996</v>
      </c>
      <c r="Q3006" s="1" t="s">
        <v>6797</v>
      </c>
      <c r="R3006" s="1" t="s">
        <v>41</v>
      </c>
      <c r="T3006" s="1" t="s">
        <v>71</v>
      </c>
      <c r="U3006" s="1" t="s">
        <v>44</v>
      </c>
      <c r="V3006" s="1" t="s">
        <v>94</v>
      </c>
      <c r="X3006" s="1" t="s">
        <v>643</v>
      </c>
      <c r="AA3006" s="3">
        <v>37981</v>
      </c>
      <c r="AB3006" s="1" t="s">
        <v>46</v>
      </c>
      <c r="AC3006" s="5">
        <v>2550</v>
      </c>
      <c r="AD3006" s="1" t="s">
        <v>6798</v>
      </c>
      <c r="AE3006" s="1" t="str">
        <f t="shared" si="207"/>
        <v>55439 CTGDB1</v>
      </c>
      <c r="AF3006" s="14">
        <f>AF3008</f>
        <v>315.36666666666667</v>
      </c>
      <c r="AG3006" s="1" t="str">
        <f t="shared" si="206"/>
        <v>Y</v>
      </c>
    </row>
    <row r="3007" spans="1:33" x14ac:dyDescent="0.2">
      <c r="A3007" s="1" t="s">
        <v>3095</v>
      </c>
      <c r="B3007" s="1" t="s">
        <v>6793</v>
      </c>
      <c r="C3007" s="1">
        <v>55439</v>
      </c>
      <c r="D3007" s="1" t="s">
        <v>6799</v>
      </c>
      <c r="F3007" s="1">
        <v>2023</v>
      </c>
      <c r="G3007" s="1" t="s">
        <v>1515</v>
      </c>
      <c r="H3007" s="1">
        <v>604188</v>
      </c>
      <c r="I3007" s="1">
        <v>3</v>
      </c>
      <c r="J3007" s="1" t="s">
        <v>36</v>
      </c>
      <c r="K3007" s="1" t="s">
        <v>6795</v>
      </c>
      <c r="L3007" s="1" t="s">
        <v>6796</v>
      </c>
      <c r="M3007" s="1">
        <v>65</v>
      </c>
      <c r="N3007" s="1" t="s">
        <v>39</v>
      </c>
      <c r="O3007" s="1">
        <v>37.866700000000002</v>
      </c>
      <c r="P3007" s="1">
        <v>-78.381299999999996</v>
      </c>
      <c r="Q3007" s="1" t="s">
        <v>6797</v>
      </c>
      <c r="R3007" s="1" t="s">
        <v>41</v>
      </c>
      <c r="T3007" s="1" t="s">
        <v>71</v>
      </c>
      <c r="U3007" s="1" t="s">
        <v>44</v>
      </c>
      <c r="V3007" s="1" t="s">
        <v>94</v>
      </c>
      <c r="X3007" s="1" t="s">
        <v>643</v>
      </c>
      <c r="AA3007" s="3">
        <v>37988</v>
      </c>
      <c r="AB3007" s="1" t="s">
        <v>46</v>
      </c>
      <c r="AC3007" s="5">
        <v>2550</v>
      </c>
      <c r="AD3007" s="1" t="s">
        <v>6800</v>
      </c>
      <c r="AE3007" s="1" t="str">
        <f t="shared" si="207"/>
        <v>55439 CTGDB2</v>
      </c>
      <c r="AF3007" s="14">
        <f>AF3008</f>
        <v>315.36666666666667</v>
      </c>
      <c r="AG3007" s="1" t="str">
        <f t="shared" si="206"/>
        <v>Y</v>
      </c>
    </row>
    <row r="3008" spans="1:33" x14ac:dyDescent="0.2">
      <c r="A3008" s="1" t="s">
        <v>3095</v>
      </c>
      <c r="B3008" s="1" t="s">
        <v>6793</v>
      </c>
      <c r="C3008" s="1">
        <v>55439</v>
      </c>
      <c r="D3008" s="1" t="s">
        <v>6801</v>
      </c>
      <c r="F3008" s="1">
        <v>2023</v>
      </c>
      <c r="G3008" s="1" t="s">
        <v>1515</v>
      </c>
      <c r="H3008" s="1">
        <v>604188</v>
      </c>
      <c r="I3008" s="1">
        <v>3</v>
      </c>
      <c r="J3008" s="1" t="s">
        <v>36</v>
      </c>
      <c r="K3008" s="1" t="s">
        <v>6795</v>
      </c>
      <c r="L3008" s="1" t="s">
        <v>6796</v>
      </c>
      <c r="M3008" s="1">
        <v>65</v>
      </c>
      <c r="N3008" s="1" t="s">
        <v>39</v>
      </c>
      <c r="O3008" s="1">
        <v>37.866700000000002</v>
      </c>
      <c r="P3008" s="1">
        <v>-78.381299999999996</v>
      </c>
      <c r="Q3008" s="1" t="s">
        <v>6797</v>
      </c>
      <c r="R3008" s="1" t="s">
        <v>41</v>
      </c>
      <c r="T3008" s="1" t="s">
        <v>71</v>
      </c>
      <c r="U3008" s="1" t="s">
        <v>44</v>
      </c>
      <c r="V3008" s="1" t="s">
        <v>94</v>
      </c>
      <c r="X3008" s="1" t="s">
        <v>643</v>
      </c>
      <c r="AA3008" s="3">
        <v>38002</v>
      </c>
      <c r="AB3008" s="1" t="s">
        <v>46</v>
      </c>
      <c r="AC3008" s="5">
        <v>2550</v>
      </c>
      <c r="AD3008" s="1" t="s">
        <v>6802</v>
      </c>
      <c r="AE3008" s="1" t="str">
        <f t="shared" si="207"/>
        <v>55439 CTGDB3</v>
      </c>
      <c r="AF3008" s="14">
        <f>MID(AD3008,FIND("(",AD3008)+1,FIND(")",AD3008)-FIND("(",AD3008)-1)+396.2/3</f>
        <v>315.36666666666667</v>
      </c>
      <c r="AG3008" s="1" t="str">
        <f t="shared" si="206"/>
        <v>Y</v>
      </c>
    </row>
    <row r="3009" spans="1:33" x14ac:dyDescent="0.2">
      <c r="A3009" s="1" t="s">
        <v>32</v>
      </c>
      <c r="B3009" s="1" t="s">
        <v>6803</v>
      </c>
      <c r="C3009" s="1">
        <v>55440</v>
      </c>
      <c r="D3009" s="1" t="s">
        <v>6794</v>
      </c>
      <c r="F3009" s="1">
        <v>2023</v>
      </c>
      <c r="G3009" s="1" t="s">
        <v>35</v>
      </c>
      <c r="H3009" s="1">
        <v>605449</v>
      </c>
      <c r="I3009" s="1">
        <v>4</v>
      </c>
      <c r="J3009" s="1" t="s">
        <v>36</v>
      </c>
      <c r="K3009" s="1" t="s">
        <v>4439</v>
      </c>
      <c r="L3009" s="1" t="s">
        <v>4440</v>
      </c>
      <c r="M3009" s="1">
        <v>1</v>
      </c>
      <c r="N3009" s="1" t="s">
        <v>39</v>
      </c>
      <c r="O3009" s="1">
        <v>32.650300000000001</v>
      </c>
      <c r="P3009" s="1">
        <v>-86.738600000000005</v>
      </c>
      <c r="Q3009" s="1" t="s">
        <v>40</v>
      </c>
      <c r="R3009" s="1" t="s">
        <v>41</v>
      </c>
      <c r="T3009" s="1" t="s">
        <v>71</v>
      </c>
      <c r="U3009" s="1" t="s">
        <v>44</v>
      </c>
      <c r="V3009" s="1" t="s">
        <v>94</v>
      </c>
      <c r="X3009" s="1" t="s">
        <v>643</v>
      </c>
      <c r="AA3009" s="3">
        <v>37636</v>
      </c>
      <c r="AB3009" s="1" t="s">
        <v>46</v>
      </c>
      <c r="AC3009" s="5">
        <v>2860</v>
      </c>
      <c r="AD3009" s="1" t="s">
        <v>6804</v>
      </c>
      <c r="AE3009" s="1" t="str">
        <f t="shared" si="207"/>
        <v>55440 CTGDB1</v>
      </c>
      <c r="AF3009" s="14">
        <f>MID(AD3009,FIND("(",AD3009)+1,FIND(")",AD3009)-FIND("(",AD3009)-1)+390.1/3</f>
        <v>313.33333333333337</v>
      </c>
      <c r="AG3009" s="1" t="str">
        <f t="shared" si="206"/>
        <v>Y</v>
      </c>
    </row>
    <row r="3010" spans="1:33" x14ac:dyDescent="0.2">
      <c r="A3010" s="1" t="s">
        <v>32</v>
      </c>
      <c r="B3010" s="1" t="s">
        <v>6803</v>
      </c>
      <c r="C3010" s="1">
        <v>55440</v>
      </c>
      <c r="D3010" s="1" t="s">
        <v>6799</v>
      </c>
      <c r="F3010" s="1">
        <v>2023</v>
      </c>
      <c r="G3010" s="1" t="s">
        <v>35</v>
      </c>
      <c r="H3010" s="1">
        <v>605449</v>
      </c>
      <c r="I3010" s="1">
        <v>4</v>
      </c>
      <c r="J3010" s="1" t="s">
        <v>36</v>
      </c>
      <c r="K3010" s="1" t="s">
        <v>4439</v>
      </c>
      <c r="L3010" s="1" t="s">
        <v>4440</v>
      </c>
      <c r="M3010" s="1">
        <v>1</v>
      </c>
      <c r="N3010" s="1" t="s">
        <v>39</v>
      </c>
      <c r="O3010" s="1">
        <v>32.650300000000001</v>
      </c>
      <c r="P3010" s="1">
        <v>-86.738600000000005</v>
      </c>
      <c r="Q3010" s="1" t="s">
        <v>40</v>
      </c>
      <c r="R3010" s="1" t="s">
        <v>41</v>
      </c>
      <c r="T3010" s="1" t="s">
        <v>71</v>
      </c>
      <c r="U3010" s="1" t="s">
        <v>44</v>
      </c>
      <c r="V3010" s="1" t="s">
        <v>94</v>
      </c>
      <c r="X3010" s="1" t="s">
        <v>643</v>
      </c>
      <c r="AA3010" s="3">
        <v>37598</v>
      </c>
      <c r="AB3010" s="1" t="s">
        <v>46</v>
      </c>
      <c r="AC3010" s="5">
        <v>2860</v>
      </c>
      <c r="AD3010" s="1" t="s">
        <v>6805</v>
      </c>
      <c r="AE3010" s="1" t="str">
        <f t="shared" si="207"/>
        <v>55440 CTGDB2</v>
      </c>
      <c r="AF3010" s="14">
        <f>AF3009</f>
        <v>313.33333333333337</v>
      </c>
      <c r="AG3010" s="1" t="str">
        <f t="shared" ref="AG3010:AG3073" si="211">IF(ISNUMBER(SEARCH("selective", X3010)), "Y", "")</f>
        <v>Y</v>
      </c>
    </row>
    <row r="3011" spans="1:33" x14ac:dyDescent="0.2">
      <c r="A3011" s="1" t="s">
        <v>32</v>
      </c>
      <c r="B3011" s="1" t="s">
        <v>6803</v>
      </c>
      <c r="C3011" s="1">
        <v>55440</v>
      </c>
      <c r="D3011" s="1" t="s">
        <v>6801</v>
      </c>
      <c r="F3011" s="1">
        <v>2023</v>
      </c>
      <c r="G3011" s="1" t="s">
        <v>35</v>
      </c>
      <c r="H3011" s="1">
        <v>605449</v>
      </c>
      <c r="I3011" s="1">
        <v>4</v>
      </c>
      <c r="J3011" s="1" t="s">
        <v>36</v>
      </c>
      <c r="K3011" s="1" t="s">
        <v>4439</v>
      </c>
      <c r="L3011" s="1" t="s">
        <v>4440</v>
      </c>
      <c r="M3011" s="1">
        <v>1</v>
      </c>
      <c r="N3011" s="1" t="s">
        <v>39</v>
      </c>
      <c r="O3011" s="1">
        <v>32.650300000000001</v>
      </c>
      <c r="P3011" s="1">
        <v>-86.738600000000005</v>
      </c>
      <c r="Q3011" s="1" t="s">
        <v>40</v>
      </c>
      <c r="R3011" s="1" t="s">
        <v>41</v>
      </c>
      <c r="T3011" s="1" t="s">
        <v>71</v>
      </c>
      <c r="U3011" s="1" t="s">
        <v>44</v>
      </c>
      <c r="V3011" s="1" t="s">
        <v>94</v>
      </c>
      <c r="X3011" s="1" t="s">
        <v>643</v>
      </c>
      <c r="AA3011" s="3">
        <v>37686</v>
      </c>
      <c r="AB3011" s="1" t="s">
        <v>46</v>
      </c>
      <c r="AC3011" s="5">
        <v>2860</v>
      </c>
      <c r="AD3011" s="1" t="s">
        <v>6806</v>
      </c>
      <c r="AE3011" s="1" t="str">
        <f t="shared" ref="AE3011:AE3074" si="212">C3011&amp;" "&amp;D3011</f>
        <v>55440 CTGDB3</v>
      </c>
      <c r="AF3011" s="14">
        <f>AF3009</f>
        <v>313.33333333333337</v>
      </c>
      <c r="AG3011" s="1" t="str">
        <f t="shared" si="211"/>
        <v>Y</v>
      </c>
    </row>
    <row r="3012" spans="1:33" x14ac:dyDescent="0.2">
      <c r="A3012" s="1" t="s">
        <v>1755</v>
      </c>
      <c r="B3012" s="1" t="s">
        <v>6807</v>
      </c>
      <c r="C3012" s="1">
        <v>55447</v>
      </c>
      <c r="D3012" s="1" t="s">
        <v>993</v>
      </c>
      <c r="F3012" s="1">
        <v>2023</v>
      </c>
      <c r="G3012" s="1" t="s">
        <v>1207</v>
      </c>
      <c r="H3012" s="1" t="s">
        <v>1809</v>
      </c>
      <c r="I3012" s="1">
        <v>7</v>
      </c>
      <c r="J3012" s="1" t="s">
        <v>36</v>
      </c>
      <c r="K3012" s="1" t="s">
        <v>1810</v>
      </c>
      <c r="L3012" s="1" t="s">
        <v>1811</v>
      </c>
      <c r="M3012" s="1">
        <v>19</v>
      </c>
      <c r="N3012" s="1" t="s">
        <v>39</v>
      </c>
      <c r="O3012" s="1">
        <v>39.018300000000004</v>
      </c>
      <c r="P3012" s="1">
        <v>-92.263300000000001</v>
      </c>
      <c r="Q3012" s="1" t="s">
        <v>1812</v>
      </c>
      <c r="R3012" s="1" t="s">
        <v>41</v>
      </c>
      <c r="T3012" s="1" t="s">
        <v>93</v>
      </c>
      <c r="U3012" s="1" t="s">
        <v>44</v>
      </c>
      <c r="X3012" s="1" t="s">
        <v>140</v>
      </c>
      <c r="AA3012" s="3">
        <v>37097</v>
      </c>
      <c r="AB3012" s="1" t="s">
        <v>46</v>
      </c>
      <c r="AC3012" s="5">
        <v>545</v>
      </c>
      <c r="AD3012" s="1" t="s">
        <v>6808</v>
      </c>
      <c r="AE3012" s="1" t="str">
        <f t="shared" si="212"/>
        <v>55447 CT01</v>
      </c>
      <c r="AF3012" s="5" t="str">
        <f>MID(AD3012,FIND("(",AD3012)+1,FIND(")",AD3012)-FIND("(",AD3012)-1)</f>
        <v>48</v>
      </c>
      <c r="AG3012" s="1" t="str">
        <f t="shared" si="211"/>
        <v/>
      </c>
    </row>
    <row r="3013" spans="1:33" x14ac:dyDescent="0.2">
      <c r="A3013" s="1" t="s">
        <v>1755</v>
      </c>
      <c r="B3013" s="1" t="s">
        <v>6807</v>
      </c>
      <c r="C3013" s="1">
        <v>55447</v>
      </c>
      <c r="D3013" s="1" t="s">
        <v>998</v>
      </c>
      <c r="F3013" s="1">
        <v>2023</v>
      </c>
      <c r="G3013" s="1" t="s">
        <v>1207</v>
      </c>
      <c r="H3013" s="1" t="s">
        <v>1809</v>
      </c>
      <c r="I3013" s="1">
        <v>7</v>
      </c>
      <c r="J3013" s="1" t="s">
        <v>36</v>
      </c>
      <c r="K3013" s="1" t="s">
        <v>1810</v>
      </c>
      <c r="L3013" s="1" t="s">
        <v>1811</v>
      </c>
      <c r="M3013" s="1">
        <v>19</v>
      </c>
      <c r="N3013" s="1" t="s">
        <v>39</v>
      </c>
      <c r="O3013" s="1">
        <v>39.018300000000004</v>
      </c>
      <c r="P3013" s="1">
        <v>-92.263300000000001</v>
      </c>
      <c r="Q3013" s="1" t="s">
        <v>1812</v>
      </c>
      <c r="R3013" s="1" t="s">
        <v>41</v>
      </c>
      <c r="T3013" s="1" t="s">
        <v>93</v>
      </c>
      <c r="U3013" s="1" t="s">
        <v>44</v>
      </c>
      <c r="X3013" s="1" t="s">
        <v>140</v>
      </c>
      <c r="AA3013" s="3">
        <v>37077</v>
      </c>
      <c r="AB3013" s="1" t="s">
        <v>46</v>
      </c>
      <c r="AC3013" s="5">
        <v>545</v>
      </c>
      <c r="AD3013" s="1" t="s">
        <v>6809</v>
      </c>
      <c r="AE3013" s="1" t="str">
        <f t="shared" si="212"/>
        <v>55447 CT02</v>
      </c>
      <c r="AF3013" s="5" t="str">
        <f>MID(AD3013,FIND("(",AD3013)+1,FIND(")",AD3013)-FIND("(",AD3013)-1)</f>
        <v>48</v>
      </c>
      <c r="AG3013" s="1" t="str">
        <f t="shared" si="211"/>
        <v/>
      </c>
    </row>
    <row r="3014" spans="1:33" x14ac:dyDescent="0.2">
      <c r="A3014" s="1" t="s">
        <v>1755</v>
      </c>
      <c r="B3014" s="1" t="s">
        <v>6807</v>
      </c>
      <c r="C3014" s="1">
        <v>55447</v>
      </c>
      <c r="D3014" s="1" t="s">
        <v>1043</v>
      </c>
      <c r="F3014" s="1">
        <v>2023</v>
      </c>
      <c r="G3014" s="1" t="s">
        <v>1207</v>
      </c>
      <c r="H3014" s="1" t="s">
        <v>1809</v>
      </c>
      <c r="I3014" s="1">
        <v>7</v>
      </c>
      <c r="J3014" s="1" t="s">
        <v>36</v>
      </c>
      <c r="K3014" s="1" t="s">
        <v>1810</v>
      </c>
      <c r="L3014" s="1" t="s">
        <v>1811</v>
      </c>
      <c r="M3014" s="1">
        <v>19</v>
      </c>
      <c r="N3014" s="1" t="s">
        <v>39</v>
      </c>
      <c r="O3014" s="1">
        <v>39.018300000000004</v>
      </c>
      <c r="P3014" s="1">
        <v>-92.263300000000001</v>
      </c>
      <c r="Q3014" s="1" t="s">
        <v>1812</v>
      </c>
      <c r="R3014" s="1" t="s">
        <v>41</v>
      </c>
      <c r="T3014" s="1" t="s">
        <v>93</v>
      </c>
      <c r="U3014" s="1" t="s">
        <v>44</v>
      </c>
      <c r="X3014" s="1" t="s">
        <v>140</v>
      </c>
      <c r="AA3014" s="3">
        <v>37047</v>
      </c>
      <c r="AB3014" s="1" t="s">
        <v>46</v>
      </c>
      <c r="AC3014" s="5">
        <v>545</v>
      </c>
      <c r="AD3014" s="1" t="s">
        <v>6810</v>
      </c>
      <c r="AE3014" s="1" t="str">
        <f t="shared" si="212"/>
        <v>55447 CT03</v>
      </c>
      <c r="AF3014" s="5" t="str">
        <f>MID(AD3014,FIND("(",AD3014)+1,FIND(")",AD3014)-FIND("(",AD3014)-1)</f>
        <v>48</v>
      </c>
      <c r="AG3014" s="1" t="str">
        <f t="shared" si="211"/>
        <v/>
      </c>
    </row>
    <row r="3015" spans="1:33" x14ac:dyDescent="0.2">
      <c r="A3015" s="1" t="s">
        <v>1755</v>
      </c>
      <c r="B3015" s="1" t="s">
        <v>6807</v>
      </c>
      <c r="C3015" s="1">
        <v>55447</v>
      </c>
      <c r="D3015" s="1" t="s">
        <v>1048</v>
      </c>
      <c r="F3015" s="1">
        <v>2023</v>
      </c>
      <c r="G3015" s="1" t="s">
        <v>1207</v>
      </c>
      <c r="H3015" s="1" t="s">
        <v>1809</v>
      </c>
      <c r="I3015" s="1">
        <v>7</v>
      </c>
      <c r="J3015" s="1" t="s">
        <v>36</v>
      </c>
      <c r="K3015" s="1" t="s">
        <v>1810</v>
      </c>
      <c r="L3015" s="1" t="s">
        <v>1811</v>
      </c>
      <c r="M3015" s="1">
        <v>19</v>
      </c>
      <c r="N3015" s="1" t="s">
        <v>39</v>
      </c>
      <c r="O3015" s="1">
        <v>39.018300000000004</v>
      </c>
      <c r="P3015" s="1">
        <v>-92.263300000000001</v>
      </c>
      <c r="Q3015" s="1" t="s">
        <v>1812</v>
      </c>
      <c r="R3015" s="1" t="s">
        <v>41</v>
      </c>
      <c r="T3015" s="1" t="s">
        <v>93</v>
      </c>
      <c r="U3015" s="1" t="s">
        <v>44</v>
      </c>
      <c r="X3015" s="1" t="s">
        <v>140</v>
      </c>
      <c r="AA3015" s="3">
        <v>37044</v>
      </c>
      <c r="AB3015" s="1" t="s">
        <v>46</v>
      </c>
      <c r="AC3015" s="5">
        <v>545</v>
      </c>
      <c r="AD3015" s="1" t="s">
        <v>6811</v>
      </c>
      <c r="AE3015" s="1" t="str">
        <f t="shared" si="212"/>
        <v>55447 CT04</v>
      </c>
      <c r="AF3015" s="5" t="str">
        <f>MID(AD3015,FIND("(",AD3015)+1,FIND(")",AD3015)-FIND("(",AD3015)-1)</f>
        <v>48</v>
      </c>
      <c r="AG3015" s="1" t="str">
        <f t="shared" si="211"/>
        <v/>
      </c>
    </row>
    <row r="3016" spans="1:33" x14ac:dyDescent="0.2">
      <c r="A3016" s="1" t="s">
        <v>1732</v>
      </c>
      <c r="B3016" s="1" t="s">
        <v>6812</v>
      </c>
      <c r="C3016" s="1">
        <v>55451</v>
      </c>
      <c r="D3016" s="1" t="s">
        <v>5681</v>
      </c>
      <c r="F3016" s="1">
        <v>2023</v>
      </c>
      <c r="G3016" s="1" t="s">
        <v>346</v>
      </c>
      <c r="H3016" s="1">
        <v>609315</v>
      </c>
      <c r="I3016" s="1">
        <v>4</v>
      </c>
      <c r="J3016" s="1" t="s">
        <v>36</v>
      </c>
      <c r="K3016" s="1" t="s">
        <v>3578</v>
      </c>
      <c r="L3016" s="1" t="s">
        <v>6813</v>
      </c>
      <c r="M3016" s="1">
        <v>9</v>
      </c>
      <c r="N3016" s="1" t="s">
        <v>39</v>
      </c>
      <c r="O3016" s="1">
        <v>34.835799999999999</v>
      </c>
      <c r="P3016" s="1">
        <v>-89.201700000000002</v>
      </c>
      <c r="Q3016" s="1" t="s">
        <v>136</v>
      </c>
      <c r="R3016" s="1" t="s">
        <v>41</v>
      </c>
      <c r="T3016" s="1" t="s">
        <v>71</v>
      </c>
      <c r="U3016" s="1" t="s">
        <v>44</v>
      </c>
      <c r="X3016" s="1" t="s">
        <v>64</v>
      </c>
      <c r="AA3016" s="3">
        <v>37609</v>
      </c>
      <c r="AB3016" s="1" t="s">
        <v>46</v>
      </c>
      <c r="AC3016" s="5">
        <v>2790.2</v>
      </c>
      <c r="AD3016" s="1" t="s">
        <v>6814</v>
      </c>
      <c r="AE3016" s="1" t="str">
        <f t="shared" si="212"/>
        <v>55451 CTG-1</v>
      </c>
      <c r="AF3016" s="14">
        <f>MID(AD3016,FIND("(",AD3016)+1,FIND(")",AD3016)-FIND("(",AD3016)-1)+156</f>
        <v>334.5</v>
      </c>
      <c r="AG3016" s="1" t="str">
        <f t="shared" si="211"/>
        <v>Y</v>
      </c>
    </row>
    <row r="3017" spans="1:33" x14ac:dyDescent="0.2">
      <c r="A3017" s="1" t="s">
        <v>1732</v>
      </c>
      <c r="B3017" s="1" t="s">
        <v>6812</v>
      </c>
      <c r="C3017" s="1">
        <v>55451</v>
      </c>
      <c r="D3017" s="1" t="s">
        <v>5684</v>
      </c>
      <c r="F3017" s="1">
        <v>2023</v>
      </c>
      <c r="G3017" s="1" t="s">
        <v>346</v>
      </c>
      <c r="H3017" s="1">
        <v>609315</v>
      </c>
      <c r="I3017" s="1">
        <v>4</v>
      </c>
      <c r="J3017" s="1" t="s">
        <v>36</v>
      </c>
      <c r="K3017" s="1" t="s">
        <v>3578</v>
      </c>
      <c r="L3017" s="1" t="s">
        <v>6813</v>
      </c>
      <c r="M3017" s="1">
        <v>9</v>
      </c>
      <c r="N3017" s="1" t="s">
        <v>39</v>
      </c>
      <c r="O3017" s="1">
        <v>34.835799999999999</v>
      </c>
      <c r="P3017" s="1">
        <v>-89.201700000000002</v>
      </c>
      <c r="Q3017" s="1" t="s">
        <v>136</v>
      </c>
      <c r="R3017" s="1" t="s">
        <v>41</v>
      </c>
      <c r="T3017" s="1" t="s">
        <v>71</v>
      </c>
      <c r="U3017" s="1" t="s">
        <v>44</v>
      </c>
      <c r="X3017" s="1" t="s">
        <v>64</v>
      </c>
      <c r="AA3017" s="3">
        <v>37612</v>
      </c>
      <c r="AB3017" s="1" t="s">
        <v>46</v>
      </c>
      <c r="AC3017" s="5">
        <v>2753.4</v>
      </c>
      <c r="AD3017" s="1" t="s">
        <v>6815</v>
      </c>
      <c r="AE3017" s="1" t="str">
        <f t="shared" si="212"/>
        <v>55451 CTG-2</v>
      </c>
      <c r="AF3017" s="14">
        <f>MID(AD3017,FIND("(",AD3017)+1,FIND(")",AD3017)-FIND("(",AD3017)-1)+178.5</f>
        <v>334.5</v>
      </c>
      <c r="AG3017" s="1" t="str">
        <f t="shared" si="211"/>
        <v>Y</v>
      </c>
    </row>
    <row r="3018" spans="1:33" x14ac:dyDescent="0.2">
      <c r="A3018" s="1" t="s">
        <v>1732</v>
      </c>
      <c r="B3018" s="1" t="s">
        <v>6812</v>
      </c>
      <c r="C3018" s="1">
        <v>55451</v>
      </c>
      <c r="D3018" s="1" t="s">
        <v>5750</v>
      </c>
      <c r="F3018" s="1">
        <v>2023</v>
      </c>
      <c r="G3018" s="1" t="s">
        <v>346</v>
      </c>
      <c r="H3018" s="1">
        <v>609315</v>
      </c>
      <c r="I3018" s="1">
        <v>4</v>
      </c>
      <c r="J3018" s="1" t="s">
        <v>36</v>
      </c>
      <c r="K3018" s="1" t="s">
        <v>3578</v>
      </c>
      <c r="L3018" s="1" t="s">
        <v>6813</v>
      </c>
      <c r="M3018" s="1">
        <v>9</v>
      </c>
      <c r="N3018" s="1" t="s">
        <v>39</v>
      </c>
      <c r="O3018" s="1">
        <v>34.835799999999999</v>
      </c>
      <c r="P3018" s="1">
        <v>-89.201700000000002</v>
      </c>
      <c r="Q3018" s="1" t="s">
        <v>136</v>
      </c>
      <c r="R3018" s="1" t="s">
        <v>41</v>
      </c>
      <c r="T3018" s="1" t="s">
        <v>71</v>
      </c>
      <c r="U3018" s="1" t="s">
        <v>44</v>
      </c>
      <c r="X3018" s="1" t="s">
        <v>64</v>
      </c>
      <c r="AA3018" s="3">
        <v>37712</v>
      </c>
      <c r="AB3018" s="1" t="s">
        <v>46</v>
      </c>
      <c r="AC3018" s="5">
        <v>2751.2</v>
      </c>
      <c r="AD3018" s="1" t="s">
        <v>6816</v>
      </c>
      <c r="AE3018" s="1" t="str">
        <f t="shared" si="212"/>
        <v>55451 CTG-3</v>
      </c>
      <c r="AF3018" s="14">
        <f>MID(AD3018,FIND("(",AD3018)+1,FIND(")",AD3018)-FIND("(",AD3018)-1)+178.5</f>
        <v>334.5</v>
      </c>
      <c r="AG3018" s="1" t="str">
        <f t="shared" si="211"/>
        <v>Y</v>
      </c>
    </row>
    <row r="3019" spans="1:33" x14ac:dyDescent="0.2">
      <c r="A3019" s="1" t="s">
        <v>516</v>
      </c>
      <c r="B3019" s="1" t="s">
        <v>6817</v>
      </c>
      <c r="C3019" s="1">
        <v>55453</v>
      </c>
      <c r="D3019" s="1">
        <v>1</v>
      </c>
      <c r="F3019" s="1">
        <v>2023</v>
      </c>
      <c r="G3019" s="1" t="s">
        <v>247</v>
      </c>
      <c r="H3019" s="1">
        <v>604601</v>
      </c>
      <c r="I3019" s="1">
        <v>8</v>
      </c>
      <c r="K3019" s="1" t="s">
        <v>531</v>
      </c>
      <c r="L3019" s="1" t="s">
        <v>532</v>
      </c>
      <c r="M3019" s="1">
        <v>41</v>
      </c>
      <c r="N3019" s="1" t="s">
        <v>39</v>
      </c>
      <c r="O3019" s="1">
        <v>38.556899999999999</v>
      </c>
      <c r="P3019" s="1">
        <v>-104.6875</v>
      </c>
      <c r="Q3019" s="1" t="s">
        <v>6818</v>
      </c>
      <c r="R3019" s="1" t="s">
        <v>41</v>
      </c>
      <c r="T3019" s="1" t="s">
        <v>93</v>
      </c>
      <c r="U3019" s="1" t="s">
        <v>44</v>
      </c>
      <c r="X3019" s="1" t="s">
        <v>95</v>
      </c>
      <c r="AA3019" s="3">
        <v>37080</v>
      </c>
      <c r="AB3019" s="1" t="s">
        <v>46</v>
      </c>
      <c r="AC3019" s="5">
        <v>440</v>
      </c>
      <c r="AD3019" s="1" t="s">
        <v>6819</v>
      </c>
      <c r="AE3019" s="1" t="str">
        <f t="shared" si="212"/>
        <v>55453 1</v>
      </c>
      <c r="AF3019" s="5" t="str">
        <f t="shared" ref="AF3019:AF3024" si="213">MID(AD3019,FIND("(",AD3019)+1,FIND(")",AD3019)-FIND("(",AD3019)-1)</f>
        <v>43</v>
      </c>
      <c r="AG3019" s="1" t="str">
        <f t="shared" si="211"/>
        <v/>
      </c>
    </row>
    <row r="3020" spans="1:33" x14ac:dyDescent="0.2">
      <c r="A3020" s="1" t="s">
        <v>516</v>
      </c>
      <c r="B3020" s="1" t="s">
        <v>6817</v>
      </c>
      <c r="C3020" s="1">
        <v>55453</v>
      </c>
      <c r="D3020" s="1">
        <v>2</v>
      </c>
      <c r="F3020" s="1">
        <v>2023</v>
      </c>
      <c r="G3020" s="1" t="s">
        <v>247</v>
      </c>
      <c r="H3020" s="1">
        <v>604601</v>
      </c>
      <c r="I3020" s="1">
        <v>8</v>
      </c>
      <c r="K3020" s="1" t="s">
        <v>531</v>
      </c>
      <c r="L3020" s="1" t="s">
        <v>532</v>
      </c>
      <c r="M3020" s="1">
        <v>41</v>
      </c>
      <c r="N3020" s="1" t="s">
        <v>39</v>
      </c>
      <c r="O3020" s="1">
        <v>38.556899999999999</v>
      </c>
      <c r="P3020" s="1">
        <v>-104.6875</v>
      </c>
      <c r="Q3020" s="1" t="s">
        <v>6818</v>
      </c>
      <c r="R3020" s="1" t="s">
        <v>41</v>
      </c>
      <c r="T3020" s="1" t="s">
        <v>93</v>
      </c>
      <c r="U3020" s="1" t="s">
        <v>44</v>
      </c>
      <c r="X3020" s="1" t="s">
        <v>95</v>
      </c>
      <c r="AA3020" s="3">
        <v>37086</v>
      </c>
      <c r="AB3020" s="1" t="s">
        <v>46</v>
      </c>
      <c r="AC3020" s="5">
        <v>425</v>
      </c>
      <c r="AD3020" s="1" t="s">
        <v>6820</v>
      </c>
      <c r="AE3020" s="1" t="str">
        <f t="shared" si="212"/>
        <v>55453 2</v>
      </c>
      <c r="AF3020" s="5" t="str">
        <f t="shared" si="213"/>
        <v>43</v>
      </c>
      <c r="AG3020" s="1" t="str">
        <f t="shared" si="211"/>
        <v/>
      </c>
    </row>
    <row r="3021" spans="1:33" x14ac:dyDescent="0.2">
      <c r="A3021" s="1" t="s">
        <v>516</v>
      </c>
      <c r="B3021" s="1" t="s">
        <v>6817</v>
      </c>
      <c r="C3021" s="1">
        <v>55453</v>
      </c>
      <c r="D3021" s="1">
        <v>3</v>
      </c>
      <c r="F3021" s="1">
        <v>2023</v>
      </c>
      <c r="G3021" s="1" t="s">
        <v>247</v>
      </c>
      <c r="H3021" s="1">
        <v>604601</v>
      </c>
      <c r="I3021" s="1">
        <v>8</v>
      </c>
      <c r="K3021" s="1" t="s">
        <v>531</v>
      </c>
      <c r="L3021" s="1" t="s">
        <v>532</v>
      </c>
      <c r="M3021" s="1">
        <v>41</v>
      </c>
      <c r="N3021" s="1" t="s">
        <v>39</v>
      </c>
      <c r="O3021" s="1">
        <v>38.556899999999999</v>
      </c>
      <c r="P3021" s="1">
        <v>-104.6875</v>
      </c>
      <c r="Q3021" s="1" t="s">
        <v>6818</v>
      </c>
      <c r="R3021" s="1" t="s">
        <v>41</v>
      </c>
      <c r="T3021" s="1" t="s">
        <v>93</v>
      </c>
      <c r="U3021" s="1" t="s">
        <v>44</v>
      </c>
      <c r="X3021" s="1" t="s">
        <v>95</v>
      </c>
      <c r="AA3021" s="3">
        <v>37096</v>
      </c>
      <c r="AB3021" s="1" t="s">
        <v>46</v>
      </c>
      <c r="AC3021" s="5">
        <v>430</v>
      </c>
      <c r="AD3021" s="1" t="s">
        <v>6821</v>
      </c>
      <c r="AE3021" s="1" t="str">
        <f t="shared" si="212"/>
        <v>55453 3</v>
      </c>
      <c r="AF3021" s="5" t="str">
        <f t="shared" si="213"/>
        <v>43</v>
      </c>
      <c r="AG3021" s="1" t="str">
        <f t="shared" si="211"/>
        <v/>
      </c>
    </row>
    <row r="3022" spans="1:33" x14ac:dyDescent="0.2">
      <c r="A3022" s="1" t="s">
        <v>516</v>
      </c>
      <c r="B3022" s="1" t="s">
        <v>6817</v>
      </c>
      <c r="C3022" s="1">
        <v>55453</v>
      </c>
      <c r="D3022" s="1">
        <v>4</v>
      </c>
      <c r="F3022" s="1">
        <v>2023</v>
      </c>
      <c r="G3022" s="1" t="s">
        <v>247</v>
      </c>
      <c r="H3022" s="1">
        <v>604601</v>
      </c>
      <c r="I3022" s="1">
        <v>8</v>
      </c>
      <c r="K3022" s="1" t="s">
        <v>531</v>
      </c>
      <c r="L3022" s="1" t="s">
        <v>532</v>
      </c>
      <c r="M3022" s="1">
        <v>41</v>
      </c>
      <c r="N3022" s="1" t="s">
        <v>39</v>
      </c>
      <c r="O3022" s="1">
        <v>38.556899999999999</v>
      </c>
      <c r="P3022" s="1">
        <v>-104.6875</v>
      </c>
      <c r="Q3022" s="1" t="s">
        <v>6818</v>
      </c>
      <c r="R3022" s="1" t="s">
        <v>41</v>
      </c>
      <c r="T3022" s="1" t="s">
        <v>93</v>
      </c>
      <c r="U3022" s="1" t="s">
        <v>44</v>
      </c>
      <c r="X3022" s="1" t="s">
        <v>95</v>
      </c>
      <c r="AA3022" s="3">
        <v>37097</v>
      </c>
      <c r="AB3022" s="1" t="s">
        <v>46</v>
      </c>
      <c r="AC3022" s="5">
        <v>420</v>
      </c>
      <c r="AD3022" s="1" t="s">
        <v>6822</v>
      </c>
      <c r="AE3022" s="1" t="str">
        <f t="shared" si="212"/>
        <v>55453 4</v>
      </c>
      <c r="AF3022" s="5" t="str">
        <f t="shared" si="213"/>
        <v>43</v>
      </c>
      <c r="AG3022" s="1" t="str">
        <f t="shared" si="211"/>
        <v/>
      </c>
    </row>
    <row r="3023" spans="1:33" x14ac:dyDescent="0.2">
      <c r="A3023" s="1" t="s">
        <v>516</v>
      </c>
      <c r="B3023" s="1" t="s">
        <v>6817</v>
      </c>
      <c r="C3023" s="1">
        <v>55453</v>
      </c>
      <c r="D3023" s="1">
        <v>5</v>
      </c>
      <c r="F3023" s="1">
        <v>2023</v>
      </c>
      <c r="G3023" s="1" t="s">
        <v>247</v>
      </c>
      <c r="H3023" s="1">
        <v>604601</v>
      </c>
      <c r="I3023" s="1">
        <v>8</v>
      </c>
      <c r="K3023" s="1" t="s">
        <v>531</v>
      </c>
      <c r="L3023" s="1" t="s">
        <v>532</v>
      </c>
      <c r="M3023" s="1">
        <v>41</v>
      </c>
      <c r="N3023" s="1" t="s">
        <v>39</v>
      </c>
      <c r="O3023" s="1">
        <v>38.556899999999999</v>
      </c>
      <c r="P3023" s="1">
        <v>-104.6875</v>
      </c>
      <c r="Q3023" s="1" t="s">
        <v>6818</v>
      </c>
      <c r="R3023" s="1" t="s">
        <v>41</v>
      </c>
      <c r="T3023" s="1" t="s">
        <v>93</v>
      </c>
      <c r="U3023" s="1" t="s">
        <v>44</v>
      </c>
      <c r="X3023" s="1" t="s">
        <v>95</v>
      </c>
      <c r="AA3023" s="3">
        <v>37101</v>
      </c>
      <c r="AB3023" s="1" t="s">
        <v>46</v>
      </c>
      <c r="AC3023" s="5">
        <v>420</v>
      </c>
      <c r="AD3023" s="1" t="s">
        <v>6823</v>
      </c>
      <c r="AE3023" s="1" t="str">
        <f t="shared" si="212"/>
        <v>55453 5</v>
      </c>
      <c r="AF3023" s="5" t="str">
        <f t="shared" si="213"/>
        <v>43</v>
      </c>
      <c r="AG3023" s="1" t="str">
        <f t="shared" si="211"/>
        <v/>
      </c>
    </row>
    <row r="3024" spans="1:33" x14ac:dyDescent="0.2">
      <c r="A3024" s="1" t="s">
        <v>516</v>
      </c>
      <c r="B3024" s="1" t="s">
        <v>6817</v>
      </c>
      <c r="C3024" s="1">
        <v>55453</v>
      </c>
      <c r="D3024" s="1">
        <v>6</v>
      </c>
      <c r="F3024" s="1">
        <v>2023</v>
      </c>
      <c r="G3024" s="1" t="s">
        <v>247</v>
      </c>
      <c r="H3024" s="1">
        <v>604601</v>
      </c>
      <c r="I3024" s="1">
        <v>8</v>
      </c>
      <c r="K3024" s="1" t="s">
        <v>531</v>
      </c>
      <c r="L3024" s="1" t="s">
        <v>532</v>
      </c>
      <c r="M3024" s="1">
        <v>41</v>
      </c>
      <c r="N3024" s="1" t="s">
        <v>39</v>
      </c>
      <c r="O3024" s="1">
        <v>38.556899999999999</v>
      </c>
      <c r="P3024" s="1">
        <v>-104.6875</v>
      </c>
      <c r="Q3024" s="1" t="s">
        <v>6818</v>
      </c>
      <c r="R3024" s="1" t="s">
        <v>41</v>
      </c>
      <c r="T3024" s="1" t="s">
        <v>93</v>
      </c>
      <c r="U3024" s="1" t="s">
        <v>44</v>
      </c>
      <c r="X3024" s="1" t="s">
        <v>95</v>
      </c>
      <c r="AA3024" s="3">
        <v>37104</v>
      </c>
      <c r="AB3024" s="1" t="s">
        <v>46</v>
      </c>
      <c r="AC3024" s="5">
        <v>420</v>
      </c>
      <c r="AD3024" s="1" t="s">
        <v>6824</v>
      </c>
      <c r="AE3024" s="1" t="str">
        <f t="shared" si="212"/>
        <v>55453 6</v>
      </c>
      <c r="AF3024" s="5" t="str">
        <f t="shared" si="213"/>
        <v>43</v>
      </c>
      <c r="AG3024" s="1" t="str">
        <f t="shared" si="211"/>
        <v/>
      </c>
    </row>
    <row r="3025" spans="1:33" x14ac:dyDescent="0.2">
      <c r="A3025" s="1" t="s">
        <v>234</v>
      </c>
      <c r="B3025" s="1" t="s">
        <v>6825</v>
      </c>
      <c r="C3025" s="1">
        <v>55455</v>
      </c>
      <c r="D3025" s="1" t="s">
        <v>6826</v>
      </c>
      <c r="F3025" s="1">
        <v>2023</v>
      </c>
      <c r="G3025" s="1" t="s">
        <v>247</v>
      </c>
      <c r="H3025" s="1" t="s">
        <v>6827</v>
      </c>
      <c r="I3025" s="1">
        <v>9</v>
      </c>
      <c r="K3025" s="1" t="s">
        <v>248</v>
      </c>
      <c r="L3025" s="1" t="s">
        <v>249</v>
      </c>
      <c r="M3025" s="1">
        <v>13</v>
      </c>
      <c r="N3025" s="1" t="s">
        <v>39</v>
      </c>
      <c r="O3025" s="1">
        <v>33.33</v>
      </c>
      <c r="P3025" s="1">
        <v>-112.84</v>
      </c>
      <c r="Q3025" s="1" t="s">
        <v>240</v>
      </c>
      <c r="R3025" s="1" t="s">
        <v>41</v>
      </c>
      <c r="T3025" s="1" t="s">
        <v>71</v>
      </c>
      <c r="U3025" s="1" t="s">
        <v>44</v>
      </c>
      <c r="X3025" s="1" t="s">
        <v>64</v>
      </c>
      <c r="AA3025" s="3">
        <v>37371</v>
      </c>
      <c r="AB3025" s="1" t="s">
        <v>46</v>
      </c>
      <c r="AC3025" s="5">
        <v>2053</v>
      </c>
      <c r="AD3025" s="1" t="s">
        <v>6828</v>
      </c>
      <c r="AE3025" s="1" t="str">
        <f t="shared" si="212"/>
        <v>55455 CC1A</v>
      </c>
      <c r="AF3025" s="14">
        <f>MID(AD3025,FIND("(",AD3025)+1,FIND(")",AD3025)-FIND("(",AD3025)-1)+204/2</f>
        <v>284</v>
      </c>
      <c r="AG3025" s="1" t="str">
        <f t="shared" si="211"/>
        <v>Y</v>
      </c>
    </row>
    <row r="3026" spans="1:33" x14ac:dyDescent="0.2">
      <c r="A3026" s="1" t="s">
        <v>234</v>
      </c>
      <c r="B3026" s="1" t="s">
        <v>6825</v>
      </c>
      <c r="C3026" s="1">
        <v>55455</v>
      </c>
      <c r="D3026" s="1" t="s">
        <v>6829</v>
      </c>
      <c r="F3026" s="1">
        <v>2023</v>
      </c>
      <c r="G3026" s="1" t="s">
        <v>247</v>
      </c>
      <c r="H3026" s="1" t="s">
        <v>6827</v>
      </c>
      <c r="I3026" s="1">
        <v>9</v>
      </c>
      <c r="K3026" s="1" t="s">
        <v>248</v>
      </c>
      <c r="L3026" s="1" t="s">
        <v>249</v>
      </c>
      <c r="M3026" s="1">
        <v>13</v>
      </c>
      <c r="N3026" s="1" t="s">
        <v>39</v>
      </c>
      <c r="O3026" s="1">
        <v>33.33</v>
      </c>
      <c r="P3026" s="1">
        <v>-112.84</v>
      </c>
      <c r="Q3026" s="1" t="s">
        <v>240</v>
      </c>
      <c r="R3026" s="1" t="s">
        <v>41</v>
      </c>
      <c r="T3026" s="1" t="s">
        <v>71</v>
      </c>
      <c r="U3026" s="1" t="s">
        <v>44</v>
      </c>
      <c r="X3026" s="1" t="s">
        <v>64</v>
      </c>
      <c r="AA3026" s="3">
        <v>37360</v>
      </c>
      <c r="AB3026" s="1" t="s">
        <v>46</v>
      </c>
      <c r="AC3026" s="5">
        <v>2053</v>
      </c>
      <c r="AD3026" s="1" t="s">
        <v>6830</v>
      </c>
      <c r="AE3026" s="1" t="str">
        <f t="shared" si="212"/>
        <v>55455 CC1B</v>
      </c>
      <c r="AF3026" s="14">
        <f>AF3025</f>
        <v>284</v>
      </c>
      <c r="AG3026" s="1" t="str">
        <f t="shared" si="211"/>
        <v>Y</v>
      </c>
    </row>
    <row r="3027" spans="1:33" x14ac:dyDescent="0.2">
      <c r="A3027" s="1" t="s">
        <v>234</v>
      </c>
      <c r="B3027" s="1" t="s">
        <v>6825</v>
      </c>
      <c r="C3027" s="1">
        <v>55455</v>
      </c>
      <c r="D3027" s="1" t="s">
        <v>6831</v>
      </c>
      <c r="F3027" s="1">
        <v>2023</v>
      </c>
      <c r="G3027" s="1" t="s">
        <v>247</v>
      </c>
      <c r="H3027" s="1" t="s">
        <v>6827</v>
      </c>
      <c r="I3027" s="1">
        <v>9</v>
      </c>
      <c r="K3027" s="1" t="s">
        <v>248</v>
      </c>
      <c r="L3027" s="1" t="s">
        <v>249</v>
      </c>
      <c r="M3027" s="1">
        <v>13</v>
      </c>
      <c r="N3027" s="1" t="s">
        <v>39</v>
      </c>
      <c r="O3027" s="1">
        <v>33.33</v>
      </c>
      <c r="P3027" s="1">
        <v>-112.84</v>
      </c>
      <c r="Q3027" s="1" t="s">
        <v>240</v>
      </c>
      <c r="R3027" s="1" t="s">
        <v>41</v>
      </c>
      <c r="T3027" s="1" t="s">
        <v>71</v>
      </c>
      <c r="U3027" s="1" t="s">
        <v>44</v>
      </c>
      <c r="X3027" s="1" t="s">
        <v>64</v>
      </c>
      <c r="AA3027" s="3">
        <v>37391</v>
      </c>
      <c r="AB3027" s="1" t="s">
        <v>46</v>
      </c>
      <c r="AC3027" s="5">
        <v>2053</v>
      </c>
      <c r="AD3027" s="1" t="s">
        <v>6832</v>
      </c>
      <c r="AE3027" s="1" t="str">
        <f t="shared" si="212"/>
        <v>55455 CC2A</v>
      </c>
      <c r="AF3027" s="14">
        <f>AF3025</f>
        <v>284</v>
      </c>
      <c r="AG3027" s="1" t="str">
        <f t="shared" si="211"/>
        <v>Y</v>
      </c>
    </row>
    <row r="3028" spans="1:33" x14ac:dyDescent="0.2">
      <c r="A3028" s="1" t="s">
        <v>234</v>
      </c>
      <c r="B3028" s="1" t="s">
        <v>6825</v>
      </c>
      <c r="C3028" s="1">
        <v>55455</v>
      </c>
      <c r="D3028" s="1" t="s">
        <v>6833</v>
      </c>
      <c r="F3028" s="1">
        <v>2023</v>
      </c>
      <c r="G3028" s="1" t="s">
        <v>247</v>
      </c>
      <c r="H3028" s="1" t="s">
        <v>6827</v>
      </c>
      <c r="I3028" s="1">
        <v>9</v>
      </c>
      <c r="K3028" s="1" t="s">
        <v>248</v>
      </c>
      <c r="L3028" s="1" t="s">
        <v>249</v>
      </c>
      <c r="M3028" s="1">
        <v>13</v>
      </c>
      <c r="N3028" s="1" t="s">
        <v>39</v>
      </c>
      <c r="O3028" s="1">
        <v>33.33</v>
      </c>
      <c r="P3028" s="1">
        <v>-112.84</v>
      </c>
      <c r="Q3028" s="1" t="s">
        <v>240</v>
      </c>
      <c r="R3028" s="1" t="s">
        <v>41</v>
      </c>
      <c r="T3028" s="1" t="s">
        <v>71</v>
      </c>
      <c r="U3028" s="1" t="s">
        <v>44</v>
      </c>
      <c r="X3028" s="1" t="s">
        <v>64</v>
      </c>
      <c r="AA3028" s="3">
        <v>37399</v>
      </c>
      <c r="AB3028" s="1" t="s">
        <v>46</v>
      </c>
      <c r="AC3028" s="5">
        <v>2053</v>
      </c>
      <c r="AD3028" s="1" t="s">
        <v>6834</v>
      </c>
      <c r="AE3028" s="1" t="str">
        <f t="shared" si="212"/>
        <v>55455 CC2B</v>
      </c>
      <c r="AF3028" s="14">
        <f>AF3025</f>
        <v>284</v>
      </c>
      <c r="AG3028" s="1" t="str">
        <f t="shared" si="211"/>
        <v>Y</v>
      </c>
    </row>
    <row r="3029" spans="1:33" x14ac:dyDescent="0.2">
      <c r="A3029" s="1" t="s">
        <v>335</v>
      </c>
      <c r="B3029" s="1" t="s">
        <v>6835</v>
      </c>
      <c r="C3029" s="1">
        <v>55457</v>
      </c>
      <c r="D3029" s="1" t="s">
        <v>311</v>
      </c>
      <c r="F3029" s="1">
        <v>2023</v>
      </c>
      <c r="G3029" s="1" t="s">
        <v>346</v>
      </c>
      <c r="H3029" s="1">
        <v>603925</v>
      </c>
      <c r="I3029" s="1">
        <v>6</v>
      </c>
      <c r="K3029" s="1" t="s">
        <v>6836</v>
      </c>
      <c r="L3029" s="1" t="s">
        <v>6837</v>
      </c>
      <c r="M3029" s="1">
        <v>87</v>
      </c>
      <c r="N3029" s="1" t="s">
        <v>39</v>
      </c>
      <c r="O3029" s="1">
        <v>35.297899999999998</v>
      </c>
      <c r="P3029" s="1">
        <v>-97.589600000000004</v>
      </c>
      <c r="Q3029" s="1" t="s">
        <v>6838</v>
      </c>
      <c r="R3029" s="1" t="s">
        <v>41</v>
      </c>
      <c r="T3029" s="1" t="s">
        <v>71</v>
      </c>
      <c r="U3029" s="1" t="s">
        <v>44</v>
      </c>
      <c r="X3029" s="1" t="s">
        <v>140</v>
      </c>
      <c r="AA3029" s="3">
        <v>36981</v>
      </c>
      <c r="AB3029" s="1" t="s">
        <v>46</v>
      </c>
      <c r="AC3029" s="5">
        <v>2083</v>
      </c>
      <c r="AD3029" s="1" t="s">
        <v>6839</v>
      </c>
      <c r="AE3029" s="1" t="str">
        <f t="shared" si="212"/>
        <v>55457 CT1</v>
      </c>
      <c r="AF3029" s="14">
        <f>MID(AD3029,FIND("(",AD3029)+1,FIND(")",AD3029)-FIND("(",AD3029)-1)+168.3/2</f>
        <v>234.25</v>
      </c>
      <c r="AG3029" s="1" t="str">
        <f t="shared" si="211"/>
        <v/>
      </c>
    </row>
    <row r="3030" spans="1:33" x14ac:dyDescent="0.2">
      <c r="A3030" s="1" t="s">
        <v>335</v>
      </c>
      <c r="B3030" s="1" t="s">
        <v>6835</v>
      </c>
      <c r="C3030" s="1">
        <v>55457</v>
      </c>
      <c r="D3030" s="1" t="s">
        <v>98</v>
      </c>
      <c r="F3030" s="1">
        <v>2023</v>
      </c>
      <c r="G3030" s="1" t="s">
        <v>346</v>
      </c>
      <c r="H3030" s="1">
        <v>603925</v>
      </c>
      <c r="I3030" s="1">
        <v>6</v>
      </c>
      <c r="K3030" s="1" t="s">
        <v>6836</v>
      </c>
      <c r="L3030" s="1" t="s">
        <v>6837</v>
      </c>
      <c r="M3030" s="1">
        <v>87</v>
      </c>
      <c r="N3030" s="1" t="s">
        <v>39</v>
      </c>
      <c r="O3030" s="1">
        <v>35.297899999999998</v>
      </c>
      <c r="P3030" s="1">
        <v>-97.589600000000004</v>
      </c>
      <c r="Q3030" s="1" t="s">
        <v>6838</v>
      </c>
      <c r="R3030" s="1" t="s">
        <v>41</v>
      </c>
      <c r="T3030" s="1" t="s">
        <v>71</v>
      </c>
      <c r="U3030" s="1" t="s">
        <v>44</v>
      </c>
      <c r="X3030" s="1" t="s">
        <v>140</v>
      </c>
      <c r="AA3030" s="3">
        <v>36985</v>
      </c>
      <c r="AB3030" s="1" t="s">
        <v>46</v>
      </c>
      <c r="AC3030" s="5">
        <v>2083</v>
      </c>
      <c r="AD3030" s="1" t="s">
        <v>6840</v>
      </c>
      <c r="AE3030" s="1" t="str">
        <f t="shared" si="212"/>
        <v>55457 CT2</v>
      </c>
      <c r="AF3030" s="14">
        <f>AF3029</f>
        <v>234.25</v>
      </c>
      <c r="AG3030" s="1" t="str">
        <f t="shared" si="211"/>
        <v/>
      </c>
    </row>
    <row r="3031" spans="1:33" x14ac:dyDescent="0.2">
      <c r="A3031" s="1" t="s">
        <v>1621</v>
      </c>
      <c r="B3031" s="1" t="s">
        <v>6841</v>
      </c>
      <c r="C3031" s="1">
        <v>55460</v>
      </c>
      <c r="D3031" s="1" t="s">
        <v>6842</v>
      </c>
      <c r="F3031" s="1">
        <v>2023</v>
      </c>
      <c r="G3031" s="1" t="s">
        <v>6843</v>
      </c>
      <c r="H3031" s="1">
        <v>2911</v>
      </c>
      <c r="I3031" s="1">
        <v>5</v>
      </c>
      <c r="K3031" s="1" t="s">
        <v>1777</v>
      </c>
      <c r="L3031" s="1" t="s">
        <v>6844</v>
      </c>
      <c r="M3031" s="1">
        <v>27</v>
      </c>
      <c r="N3031" s="1" t="s">
        <v>39</v>
      </c>
      <c r="O3031" s="1">
        <v>41.862099999999998</v>
      </c>
      <c r="P3031" s="1">
        <v>-86.221299999999999</v>
      </c>
      <c r="Q3031" s="1" t="s">
        <v>6845</v>
      </c>
      <c r="R3031" s="1" t="s">
        <v>41</v>
      </c>
      <c r="T3031" s="1" t="s">
        <v>71</v>
      </c>
      <c r="U3031" s="1" t="s">
        <v>44</v>
      </c>
      <c r="X3031" s="1" t="s">
        <v>64</v>
      </c>
      <c r="AA3031" s="3">
        <v>44582</v>
      </c>
      <c r="AB3031" s="1" t="s">
        <v>46</v>
      </c>
      <c r="AC3031" s="5">
        <v>3722</v>
      </c>
      <c r="AD3031" s="1" t="s">
        <v>6846</v>
      </c>
      <c r="AE3031" s="1" t="str">
        <f t="shared" si="212"/>
        <v>55460 EUCT1</v>
      </c>
      <c r="AF3031" s="14">
        <f>MID(AD3031,FIND("(",AD3031)+1,FIND(")",AD3031)-FIND("(",AD3031)-1)+368.1/2</f>
        <v>554.65000000000009</v>
      </c>
      <c r="AG3031" s="1" t="str">
        <f t="shared" si="211"/>
        <v>Y</v>
      </c>
    </row>
    <row r="3032" spans="1:33" x14ac:dyDescent="0.2">
      <c r="A3032" s="1" t="s">
        <v>1621</v>
      </c>
      <c r="B3032" s="1" t="s">
        <v>6841</v>
      </c>
      <c r="C3032" s="1">
        <v>55460</v>
      </c>
      <c r="D3032" s="1" t="s">
        <v>6847</v>
      </c>
      <c r="F3032" s="1">
        <v>2023</v>
      </c>
      <c r="G3032" s="1" t="s">
        <v>6843</v>
      </c>
      <c r="H3032" s="1">
        <v>2911</v>
      </c>
      <c r="I3032" s="1">
        <v>5</v>
      </c>
      <c r="K3032" s="1" t="s">
        <v>1777</v>
      </c>
      <c r="L3032" s="1" t="s">
        <v>6844</v>
      </c>
      <c r="M3032" s="1">
        <v>27</v>
      </c>
      <c r="N3032" s="1" t="s">
        <v>39</v>
      </c>
      <c r="O3032" s="1">
        <v>41.862099999999998</v>
      </c>
      <c r="P3032" s="1">
        <v>-86.221299999999999</v>
      </c>
      <c r="Q3032" s="1" t="s">
        <v>6845</v>
      </c>
      <c r="R3032" s="1" t="s">
        <v>41</v>
      </c>
      <c r="T3032" s="1" t="s">
        <v>71</v>
      </c>
      <c r="U3032" s="1" t="s">
        <v>44</v>
      </c>
      <c r="X3032" s="1" t="s">
        <v>64</v>
      </c>
      <c r="AA3032" s="3">
        <v>44558</v>
      </c>
      <c r="AB3032" s="1" t="s">
        <v>46</v>
      </c>
      <c r="AC3032" s="5">
        <v>3722</v>
      </c>
      <c r="AD3032" s="1" t="s">
        <v>6848</v>
      </c>
      <c r="AE3032" s="1" t="str">
        <f t="shared" si="212"/>
        <v>55460 EUCT2</v>
      </c>
      <c r="AF3032" s="14">
        <f>AF3031</f>
        <v>554.65000000000009</v>
      </c>
      <c r="AG3032" s="1" t="str">
        <f t="shared" si="211"/>
        <v>Y</v>
      </c>
    </row>
    <row r="3033" spans="1:33" x14ac:dyDescent="0.2">
      <c r="A3033" s="1" t="s">
        <v>335</v>
      </c>
      <c r="B3033" s="1" t="s">
        <v>6849</v>
      </c>
      <c r="C3033" s="1">
        <v>55463</v>
      </c>
      <c r="D3033" s="1" t="s">
        <v>6763</v>
      </c>
      <c r="F3033" s="1">
        <v>2023</v>
      </c>
      <c r="G3033" s="1" t="s">
        <v>346</v>
      </c>
      <c r="H3033" s="1">
        <v>603925</v>
      </c>
      <c r="I3033" s="1">
        <v>6</v>
      </c>
      <c r="J3033" s="1" t="s">
        <v>228</v>
      </c>
      <c r="K3033" s="1" t="s">
        <v>2505</v>
      </c>
      <c r="L3033" s="1" t="s">
        <v>2506</v>
      </c>
      <c r="M3033" s="1">
        <v>109</v>
      </c>
      <c r="N3033" s="1" t="s">
        <v>39</v>
      </c>
      <c r="O3033" s="1">
        <v>35.685299999999998</v>
      </c>
      <c r="P3033" s="1">
        <v>-97.224199999999996</v>
      </c>
      <c r="Q3033" s="1" t="s">
        <v>6850</v>
      </c>
      <c r="R3033" s="1" t="s">
        <v>41</v>
      </c>
      <c r="T3033" s="1" t="s">
        <v>71</v>
      </c>
      <c r="U3033" s="1" t="s">
        <v>44</v>
      </c>
      <c r="X3033" s="1" t="s">
        <v>64</v>
      </c>
      <c r="AA3033" s="3">
        <v>37820</v>
      </c>
      <c r="AB3033" s="1" t="s">
        <v>46</v>
      </c>
      <c r="AC3033" s="5">
        <v>2750</v>
      </c>
      <c r="AD3033" s="1" t="s">
        <v>6851</v>
      </c>
      <c r="AE3033" s="1" t="str">
        <f t="shared" si="212"/>
        <v>55463 CT-01</v>
      </c>
      <c r="AF3033" s="14">
        <f>MID(AD3033,FIND("(",AD3033)+1,FIND(")",AD3033)-FIND("(",AD3033)-1)+159.5</f>
        <v>358.4</v>
      </c>
      <c r="AG3033" s="1" t="str">
        <f t="shared" si="211"/>
        <v>Y</v>
      </c>
    </row>
    <row r="3034" spans="1:33" x14ac:dyDescent="0.2">
      <c r="A3034" s="1" t="s">
        <v>335</v>
      </c>
      <c r="B3034" s="1" t="s">
        <v>6849</v>
      </c>
      <c r="C3034" s="1">
        <v>55463</v>
      </c>
      <c r="D3034" s="1" t="s">
        <v>6766</v>
      </c>
      <c r="F3034" s="1">
        <v>2023</v>
      </c>
      <c r="G3034" s="1" t="s">
        <v>346</v>
      </c>
      <c r="H3034" s="1">
        <v>603925</v>
      </c>
      <c r="I3034" s="1">
        <v>6</v>
      </c>
      <c r="J3034" s="1" t="s">
        <v>228</v>
      </c>
      <c r="K3034" s="1" t="s">
        <v>2505</v>
      </c>
      <c r="L3034" s="1" t="s">
        <v>2506</v>
      </c>
      <c r="M3034" s="1">
        <v>109</v>
      </c>
      <c r="N3034" s="1" t="s">
        <v>39</v>
      </c>
      <c r="O3034" s="1">
        <v>35.685299999999998</v>
      </c>
      <c r="P3034" s="1">
        <v>-97.224199999999996</v>
      </c>
      <c r="Q3034" s="1" t="s">
        <v>6850</v>
      </c>
      <c r="R3034" s="1" t="s">
        <v>41</v>
      </c>
      <c r="T3034" s="1" t="s">
        <v>71</v>
      </c>
      <c r="U3034" s="1" t="s">
        <v>44</v>
      </c>
      <c r="X3034" s="1" t="s">
        <v>64</v>
      </c>
      <c r="AA3034" s="3">
        <v>37729</v>
      </c>
      <c r="AB3034" s="1" t="s">
        <v>46</v>
      </c>
      <c r="AC3034" s="5">
        <v>2820</v>
      </c>
      <c r="AD3034" s="1" t="s">
        <v>6852</v>
      </c>
      <c r="AE3034" s="1" t="str">
        <f t="shared" si="212"/>
        <v>55463 CT-02</v>
      </c>
      <c r="AF3034" s="14">
        <f>MID(AD3034,FIND("(",AD3034)+1,FIND(")",AD3034)-FIND("(",AD3034)-1)+159.5</f>
        <v>358.4</v>
      </c>
      <c r="AG3034" s="1" t="str">
        <f t="shared" si="211"/>
        <v>Y</v>
      </c>
    </row>
    <row r="3035" spans="1:33" x14ac:dyDescent="0.2">
      <c r="A3035" s="1" t="s">
        <v>335</v>
      </c>
      <c r="B3035" s="1" t="s">
        <v>6849</v>
      </c>
      <c r="C3035" s="1">
        <v>55463</v>
      </c>
      <c r="D3035" s="1" t="s">
        <v>6768</v>
      </c>
      <c r="F3035" s="1">
        <v>2023</v>
      </c>
      <c r="G3035" s="1" t="s">
        <v>346</v>
      </c>
      <c r="H3035" s="1">
        <v>603925</v>
      </c>
      <c r="I3035" s="1">
        <v>6</v>
      </c>
      <c r="J3035" s="1" t="s">
        <v>228</v>
      </c>
      <c r="K3035" s="1" t="s">
        <v>2505</v>
      </c>
      <c r="L3035" s="1" t="s">
        <v>2506</v>
      </c>
      <c r="M3035" s="1">
        <v>109</v>
      </c>
      <c r="N3035" s="1" t="s">
        <v>39</v>
      </c>
      <c r="O3035" s="1">
        <v>35.685299999999998</v>
      </c>
      <c r="P3035" s="1">
        <v>-97.224199999999996</v>
      </c>
      <c r="Q3035" s="1" t="s">
        <v>6850</v>
      </c>
      <c r="R3035" s="1" t="s">
        <v>41</v>
      </c>
      <c r="T3035" s="1" t="s">
        <v>71</v>
      </c>
      <c r="U3035" s="1" t="s">
        <v>44</v>
      </c>
      <c r="X3035" s="1" t="s">
        <v>64</v>
      </c>
      <c r="AA3035" s="3">
        <v>37719</v>
      </c>
      <c r="AB3035" s="1" t="s">
        <v>46</v>
      </c>
      <c r="AC3035" s="5">
        <v>2750</v>
      </c>
      <c r="AD3035" s="1" t="s">
        <v>6853</v>
      </c>
      <c r="AE3035" s="1" t="str">
        <f t="shared" si="212"/>
        <v>55463 CT-03</v>
      </c>
      <c r="AF3035" s="14">
        <f>MID(AD3035,FIND("(",AD3035)+1,FIND(")",AD3035)-FIND("(",AD3035)-1)+159.5</f>
        <v>358.4</v>
      </c>
      <c r="AG3035" s="1" t="str">
        <f t="shared" si="211"/>
        <v>Y</v>
      </c>
    </row>
    <row r="3036" spans="1:33" x14ac:dyDescent="0.2">
      <c r="A3036" s="1" t="s">
        <v>335</v>
      </c>
      <c r="B3036" s="1" t="s">
        <v>6849</v>
      </c>
      <c r="C3036" s="1">
        <v>55463</v>
      </c>
      <c r="D3036" s="1" t="s">
        <v>6770</v>
      </c>
      <c r="F3036" s="1">
        <v>2023</v>
      </c>
      <c r="G3036" s="1" t="s">
        <v>346</v>
      </c>
      <c r="H3036" s="1">
        <v>603925</v>
      </c>
      <c r="I3036" s="1">
        <v>6</v>
      </c>
      <c r="J3036" s="1" t="s">
        <v>228</v>
      </c>
      <c r="K3036" s="1" t="s">
        <v>2505</v>
      </c>
      <c r="L3036" s="1" t="s">
        <v>2506</v>
      </c>
      <c r="M3036" s="1">
        <v>109</v>
      </c>
      <c r="N3036" s="1" t="s">
        <v>39</v>
      </c>
      <c r="O3036" s="1">
        <v>35.685299999999998</v>
      </c>
      <c r="P3036" s="1">
        <v>-97.224199999999996</v>
      </c>
      <c r="Q3036" s="1" t="s">
        <v>6850</v>
      </c>
      <c r="R3036" s="1" t="s">
        <v>41</v>
      </c>
      <c r="T3036" s="1" t="s">
        <v>71</v>
      </c>
      <c r="U3036" s="1" t="s">
        <v>44</v>
      </c>
      <c r="X3036" s="1" t="s">
        <v>64</v>
      </c>
      <c r="AA3036" s="3">
        <v>37798</v>
      </c>
      <c r="AB3036" s="1" t="s">
        <v>46</v>
      </c>
      <c r="AC3036" s="5">
        <v>2750</v>
      </c>
      <c r="AD3036" s="1" t="s">
        <v>6854</v>
      </c>
      <c r="AE3036" s="1" t="str">
        <f t="shared" si="212"/>
        <v>55463 CT-04</v>
      </c>
      <c r="AF3036" s="14">
        <f>MID(AD3036,FIND("(",AD3036)+1,FIND(")",AD3036)-FIND("(",AD3036)-1)+198.9</f>
        <v>358.4</v>
      </c>
      <c r="AG3036" s="1" t="str">
        <f t="shared" si="211"/>
        <v>Y</v>
      </c>
    </row>
    <row r="3037" spans="1:33" x14ac:dyDescent="0.2">
      <c r="A3037" s="1" t="s">
        <v>383</v>
      </c>
      <c r="B3037" s="1" t="s">
        <v>6855</v>
      </c>
      <c r="C3037" s="1">
        <v>55464</v>
      </c>
      <c r="D3037" s="1" t="s">
        <v>1129</v>
      </c>
      <c r="F3037" s="1">
        <v>2023</v>
      </c>
      <c r="G3037" s="1" t="s">
        <v>346</v>
      </c>
      <c r="H3037" s="1">
        <v>608150</v>
      </c>
      <c r="I3037" s="1">
        <v>6</v>
      </c>
      <c r="K3037" s="1" t="s">
        <v>4063</v>
      </c>
      <c r="L3037" s="1" t="s">
        <v>4064</v>
      </c>
      <c r="M3037" s="1">
        <v>201</v>
      </c>
      <c r="N3037" s="1" t="s">
        <v>1680</v>
      </c>
      <c r="O3037" s="1">
        <v>29.715299999999999</v>
      </c>
      <c r="P3037" s="1">
        <v>-95.136099999999999</v>
      </c>
      <c r="Q3037" s="1" t="s">
        <v>6856</v>
      </c>
      <c r="R3037" s="1" t="s">
        <v>41</v>
      </c>
      <c r="T3037" s="1" t="s">
        <v>71</v>
      </c>
      <c r="U3037" s="1" t="s">
        <v>44</v>
      </c>
      <c r="X3037" s="1" t="s">
        <v>64</v>
      </c>
      <c r="AA3037" s="3">
        <v>37570</v>
      </c>
      <c r="AB3037" s="1" t="s">
        <v>46</v>
      </c>
      <c r="AC3037" s="5">
        <v>2798</v>
      </c>
      <c r="AD3037" s="1" t="s">
        <v>6857</v>
      </c>
      <c r="AE3037" s="1" t="str">
        <f t="shared" si="212"/>
        <v>55464 CTG1</v>
      </c>
      <c r="AF3037" s="14">
        <f>AF3038</f>
        <v>235.2</v>
      </c>
      <c r="AG3037" s="1" t="str">
        <f t="shared" si="211"/>
        <v>Y</v>
      </c>
    </row>
    <row r="3038" spans="1:33" x14ac:dyDescent="0.2">
      <c r="A3038" s="1" t="s">
        <v>383</v>
      </c>
      <c r="B3038" s="1" t="s">
        <v>6855</v>
      </c>
      <c r="C3038" s="1">
        <v>55464</v>
      </c>
      <c r="D3038" s="1" t="s">
        <v>1135</v>
      </c>
      <c r="F3038" s="1">
        <v>2023</v>
      </c>
      <c r="G3038" s="1" t="s">
        <v>346</v>
      </c>
      <c r="H3038" s="1">
        <v>608150</v>
      </c>
      <c r="I3038" s="1">
        <v>6</v>
      </c>
      <c r="K3038" s="1" t="s">
        <v>4063</v>
      </c>
      <c r="L3038" s="1" t="s">
        <v>4064</v>
      </c>
      <c r="M3038" s="1">
        <v>201</v>
      </c>
      <c r="N3038" s="1" t="s">
        <v>1680</v>
      </c>
      <c r="O3038" s="1">
        <v>29.715299999999999</v>
      </c>
      <c r="P3038" s="1">
        <v>-95.136099999999999</v>
      </c>
      <c r="Q3038" s="1" t="s">
        <v>6856</v>
      </c>
      <c r="R3038" s="1" t="s">
        <v>41</v>
      </c>
      <c r="T3038" s="1" t="s">
        <v>71</v>
      </c>
      <c r="U3038" s="1" t="s">
        <v>44</v>
      </c>
      <c r="X3038" s="1" t="s">
        <v>64</v>
      </c>
      <c r="AA3038" s="3">
        <v>37726</v>
      </c>
      <c r="AB3038" s="1" t="s">
        <v>46</v>
      </c>
      <c r="AC3038" s="5">
        <v>2707</v>
      </c>
      <c r="AD3038" s="1" t="s">
        <v>6858</v>
      </c>
      <c r="AE3038" s="1" t="str">
        <f t="shared" si="212"/>
        <v>55464 CTG2</v>
      </c>
      <c r="AF3038" s="14">
        <f>MID(AD3038,FIND("(",AD3038)+1,FIND(")",AD3038)-FIND("(",AD3038)-1)+276/5</f>
        <v>235.2</v>
      </c>
      <c r="AG3038" s="1" t="str">
        <f t="shared" si="211"/>
        <v>Y</v>
      </c>
    </row>
    <row r="3039" spans="1:33" x14ac:dyDescent="0.2">
      <c r="A3039" s="1" t="s">
        <v>383</v>
      </c>
      <c r="B3039" s="1" t="s">
        <v>6855</v>
      </c>
      <c r="C3039" s="1">
        <v>55464</v>
      </c>
      <c r="D3039" s="1" t="s">
        <v>6002</v>
      </c>
      <c r="F3039" s="1">
        <v>2023</v>
      </c>
      <c r="G3039" s="1" t="s">
        <v>346</v>
      </c>
      <c r="H3039" s="1">
        <v>608150</v>
      </c>
      <c r="I3039" s="1">
        <v>6</v>
      </c>
      <c r="K3039" s="1" t="s">
        <v>4063</v>
      </c>
      <c r="L3039" s="1" t="s">
        <v>4064</v>
      </c>
      <c r="M3039" s="1">
        <v>201</v>
      </c>
      <c r="N3039" s="1" t="s">
        <v>1680</v>
      </c>
      <c r="O3039" s="1">
        <v>29.715299999999999</v>
      </c>
      <c r="P3039" s="1">
        <v>-95.136099999999999</v>
      </c>
      <c r="Q3039" s="1" t="s">
        <v>6856</v>
      </c>
      <c r="R3039" s="1" t="s">
        <v>41</v>
      </c>
      <c r="T3039" s="1" t="s">
        <v>71</v>
      </c>
      <c r="U3039" s="1" t="s">
        <v>44</v>
      </c>
      <c r="X3039" s="1" t="s">
        <v>64</v>
      </c>
      <c r="AA3039" s="3">
        <v>37940</v>
      </c>
      <c r="AB3039" s="1" t="s">
        <v>46</v>
      </c>
      <c r="AC3039" s="5">
        <v>2750</v>
      </c>
      <c r="AD3039" s="1" t="s">
        <v>6859</v>
      </c>
      <c r="AE3039" s="1" t="str">
        <f t="shared" si="212"/>
        <v>55464 CTG3</v>
      </c>
      <c r="AF3039" s="14">
        <f>AF3038</f>
        <v>235.2</v>
      </c>
      <c r="AG3039" s="1" t="str">
        <f t="shared" si="211"/>
        <v>Y</v>
      </c>
    </row>
    <row r="3040" spans="1:33" x14ac:dyDescent="0.2">
      <c r="A3040" s="1" t="s">
        <v>383</v>
      </c>
      <c r="B3040" s="1" t="s">
        <v>6855</v>
      </c>
      <c r="C3040" s="1">
        <v>55464</v>
      </c>
      <c r="D3040" s="1" t="s">
        <v>2495</v>
      </c>
      <c r="F3040" s="1">
        <v>2023</v>
      </c>
      <c r="G3040" s="1" t="s">
        <v>346</v>
      </c>
      <c r="H3040" s="1">
        <v>608150</v>
      </c>
      <c r="I3040" s="1">
        <v>6</v>
      </c>
      <c r="K3040" s="1" t="s">
        <v>4063</v>
      </c>
      <c r="L3040" s="1" t="s">
        <v>4064</v>
      </c>
      <c r="M3040" s="1">
        <v>201</v>
      </c>
      <c r="N3040" s="1" t="s">
        <v>1680</v>
      </c>
      <c r="O3040" s="1">
        <v>29.715299999999999</v>
      </c>
      <c r="P3040" s="1">
        <v>-95.136099999999999</v>
      </c>
      <c r="Q3040" s="1" t="s">
        <v>6856</v>
      </c>
      <c r="R3040" s="1" t="s">
        <v>41</v>
      </c>
      <c r="T3040" s="1" t="s">
        <v>71</v>
      </c>
      <c r="U3040" s="1" t="s">
        <v>44</v>
      </c>
      <c r="X3040" s="1" t="s">
        <v>64</v>
      </c>
      <c r="AA3040" s="3">
        <v>38057</v>
      </c>
      <c r="AB3040" s="1" t="s">
        <v>46</v>
      </c>
      <c r="AC3040" s="5">
        <v>2707</v>
      </c>
      <c r="AD3040" s="1" t="s">
        <v>6860</v>
      </c>
      <c r="AE3040" s="1" t="str">
        <f t="shared" si="212"/>
        <v>55464 CTG4</v>
      </c>
      <c r="AF3040" s="14">
        <f>AF3038</f>
        <v>235.2</v>
      </c>
      <c r="AG3040" s="1" t="str">
        <f t="shared" si="211"/>
        <v>Y</v>
      </c>
    </row>
    <row r="3041" spans="1:33" x14ac:dyDescent="0.2">
      <c r="A3041" s="1" t="s">
        <v>383</v>
      </c>
      <c r="B3041" s="1" t="s">
        <v>6855</v>
      </c>
      <c r="C3041" s="1">
        <v>55464</v>
      </c>
      <c r="D3041" s="1" t="s">
        <v>2500</v>
      </c>
      <c r="F3041" s="1">
        <v>2023</v>
      </c>
      <c r="G3041" s="1" t="s">
        <v>346</v>
      </c>
      <c r="H3041" s="1">
        <v>608150</v>
      </c>
      <c r="I3041" s="1">
        <v>6</v>
      </c>
      <c r="K3041" s="1" t="s">
        <v>4063</v>
      </c>
      <c r="L3041" s="1" t="s">
        <v>4064</v>
      </c>
      <c r="M3041" s="1">
        <v>201</v>
      </c>
      <c r="N3041" s="1" t="s">
        <v>1680</v>
      </c>
      <c r="O3041" s="1">
        <v>29.715299999999999</v>
      </c>
      <c r="P3041" s="1">
        <v>-95.136099999999999</v>
      </c>
      <c r="Q3041" s="1" t="s">
        <v>6856</v>
      </c>
      <c r="R3041" s="1" t="s">
        <v>41</v>
      </c>
      <c r="T3041" s="1" t="s">
        <v>71</v>
      </c>
      <c r="U3041" s="1" t="s">
        <v>44</v>
      </c>
      <c r="X3041" s="1" t="s">
        <v>64</v>
      </c>
      <c r="AA3041" s="3">
        <v>41780</v>
      </c>
      <c r="AB3041" s="1" t="s">
        <v>46</v>
      </c>
      <c r="AC3041" s="5">
        <v>2700</v>
      </c>
      <c r="AD3041" s="1" t="s">
        <v>6861</v>
      </c>
      <c r="AE3041" s="1" t="str">
        <f t="shared" si="212"/>
        <v>55464 CTG5</v>
      </c>
      <c r="AF3041" s="14">
        <f>AF3038</f>
        <v>235.2</v>
      </c>
      <c r="AG3041" s="1" t="str">
        <f t="shared" si="211"/>
        <v>Y</v>
      </c>
    </row>
    <row r="3042" spans="1:33" x14ac:dyDescent="0.2">
      <c r="A3042" s="1" t="s">
        <v>1426</v>
      </c>
      <c r="B3042" s="1" t="s">
        <v>6862</v>
      </c>
      <c r="C3042" s="1">
        <v>55467</v>
      </c>
      <c r="D3042" s="1" t="s">
        <v>5775</v>
      </c>
      <c r="F3042" s="1">
        <v>2023</v>
      </c>
      <c r="G3042" s="1" t="s">
        <v>1428</v>
      </c>
      <c r="H3042" s="1" t="s">
        <v>350</v>
      </c>
      <c r="I3042" s="1">
        <v>6</v>
      </c>
      <c r="K3042" s="1" t="s">
        <v>1472</v>
      </c>
      <c r="L3042" s="1" t="s">
        <v>1473</v>
      </c>
      <c r="M3042" s="1">
        <v>73</v>
      </c>
      <c r="N3042" s="1" t="s">
        <v>39</v>
      </c>
      <c r="O3042" s="1">
        <v>32.705599999999997</v>
      </c>
      <c r="P3042" s="1">
        <v>-92.069699999999997</v>
      </c>
      <c r="Q3042" s="1" t="s">
        <v>353</v>
      </c>
      <c r="R3042" s="1" t="s">
        <v>41</v>
      </c>
      <c r="T3042" s="1" t="s">
        <v>71</v>
      </c>
      <c r="U3042" s="1" t="s">
        <v>44</v>
      </c>
      <c r="X3042" s="1" t="s">
        <v>64</v>
      </c>
      <c r="AA3042" s="3">
        <v>37407</v>
      </c>
      <c r="AB3042" s="1" t="s">
        <v>46</v>
      </c>
      <c r="AC3042" s="5">
        <v>2100</v>
      </c>
      <c r="AD3042" s="1" t="s">
        <v>5777</v>
      </c>
      <c r="AE3042" s="1" t="str">
        <f t="shared" si="212"/>
        <v>55467 CTGEN1</v>
      </c>
      <c r="AF3042" s="14">
        <f>MID(AD3042,FIND("(",AD3042)+1,FIND(")",AD3042)-FIND("(",AD3042)-1)+179.3</f>
        <v>301.3</v>
      </c>
      <c r="AG3042" s="1" t="str">
        <f t="shared" si="211"/>
        <v>Y</v>
      </c>
    </row>
    <row r="3043" spans="1:33" x14ac:dyDescent="0.2">
      <c r="A3043" s="1" t="s">
        <v>1426</v>
      </c>
      <c r="B3043" s="1" t="s">
        <v>6862</v>
      </c>
      <c r="C3043" s="1">
        <v>55467</v>
      </c>
      <c r="D3043" s="1" t="s">
        <v>5778</v>
      </c>
      <c r="F3043" s="1">
        <v>2023</v>
      </c>
      <c r="G3043" s="1" t="s">
        <v>1428</v>
      </c>
      <c r="H3043" s="1" t="s">
        <v>350</v>
      </c>
      <c r="I3043" s="1">
        <v>6</v>
      </c>
      <c r="K3043" s="1" t="s">
        <v>1472</v>
      </c>
      <c r="L3043" s="1" t="s">
        <v>1473</v>
      </c>
      <c r="M3043" s="1">
        <v>73</v>
      </c>
      <c r="N3043" s="1" t="s">
        <v>39</v>
      </c>
      <c r="O3043" s="1">
        <v>32.705599999999997</v>
      </c>
      <c r="P3043" s="1">
        <v>-92.069699999999997</v>
      </c>
      <c r="Q3043" s="1" t="s">
        <v>353</v>
      </c>
      <c r="R3043" s="1" t="s">
        <v>41</v>
      </c>
      <c r="T3043" s="1" t="s">
        <v>71</v>
      </c>
      <c r="U3043" s="1" t="s">
        <v>44</v>
      </c>
      <c r="X3043" s="1" t="s">
        <v>64</v>
      </c>
      <c r="AA3043" s="3">
        <v>37419</v>
      </c>
      <c r="AB3043" s="1" t="s">
        <v>46</v>
      </c>
      <c r="AC3043" s="5">
        <v>2200</v>
      </c>
      <c r="AD3043" s="1" t="s">
        <v>6863</v>
      </c>
      <c r="AE3043" s="1" t="str">
        <f t="shared" si="212"/>
        <v>55467 CTGEN2</v>
      </c>
      <c r="AF3043" s="14">
        <f>MID(AD3043,FIND("(",AD3043)+1,FIND(")",AD3043)-FIND("(",AD3043)-1)+122</f>
        <v>301.3</v>
      </c>
      <c r="AG3043" s="1" t="str">
        <f t="shared" si="211"/>
        <v>Y</v>
      </c>
    </row>
    <row r="3044" spans="1:33" x14ac:dyDescent="0.2">
      <c r="A3044" s="1" t="s">
        <v>1426</v>
      </c>
      <c r="B3044" s="1" t="s">
        <v>6862</v>
      </c>
      <c r="C3044" s="1">
        <v>55467</v>
      </c>
      <c r="D3044" s="1" t="s">
        <v>5780</v>
      </c>
      <c r="F3044" s="1">
        <v>2023</v>
      </c>
      <c r="G3044" s="1" t="s">
        <v>1428</v>
      </c>
      <c r="H3044" s="1" t="s">
        <v>350</v>
      </c>
      <c r="I3044" s="1">
        <v>6</v>
      </c>
      <c r="K3044" s="1" t="s">
        <v>1472</v>
      </c>
      <c r="L3044" s="1" t="s">
        <v>1473</v>
      </c>
      <c r="M3044" s="1">
        <v>73</v>
      </c>
      <c r="N3044" s="1" t="s">
        <v>39</v>
      </c>
      <c r="O3044" s="1">
        <v>32.705599999999997</v>
      </c>
      <c r="P3044" s="1">
        <v>-92.069699999999997</v>
      </c>
      <c r="Q3044" s="1" t="s">
        <v>353</v>
      </c>
      <c r="R3044" s="1" t="s">
        <v>41</v>
      </c>
      <c r="T3044" s="1" t="s">
        <v>71</v>
      </c>
      <c r="U3044" s="1" t="s">
        <v>44</v>
      </c>
      <c r="X3044" s="1" t="s">
        <v>64</v>
      </c>
      <c r="AA3044" s="3">
        <v>37436</v>
      </c>
      <c r="AB3044" s="1" t="s">
        <v>46</v>
      </c>
      <c r="AC3044" s="5">
        <v>2200</v>
      </c>
      <c r="AD3044" s="1" t="s">
        <v>6864</v>
      </c>
      <c r="AE3044" s="1" t="str">
        <f t="shared" si="212"/>
        <v>55467 CTGEN3</v>
      </c>
      <c r="AF3044" s="14">
        <f>MID(AD3044,FIND("(",AD3044)+1,FIND(")",AD3044)-FIND("(",AD3044)-1)+179.3</f>
        <v>301.3</v>
      </c>
      <c r="AG3044" s="1" t="str">
        <f t="shared" si="211"/>
        <v>Y</v>
      </c>
    </row>
    <row r="3045" spans="1:33" x14ac:dyDescent="0.2">
      <c r="A3045" s="1" t="s">
        <v>383</v>
      </c>
      <c r="B3045" s="1" t="s">
        <v>6865</v>
      </c>
      <c r="C3045" s="1">
        <v>55470</v>
      </c>
      <c r="D3045" s="1" t="s">
        <v>6866</v>
      </c>
      <c r="F3045" s="1">
        <v>2023</v>
      </c>
      <c r="G3045" s="1" t="s">
        <v>346</v>
      </c>
      <c r="H3045" s="1">
        <v>609613</v>
      </c>
      <c r="I3045" s="1">
        <v>6</v>
      </c>
      <c r="K3045" s="1" t="s">
        <v>5240</v>
      </c>
      <c r="L3045" s="1" t="s">
        <v>5241</v>
      </c>
      <c r="M3045" s="1">
        <v>167</v>
      </c>
      <c r="N3045" s="1" t="s">
        <v>1680</v>
      </c>
      <c r="O3045" s="1">
        <v>29.377500000000001</v>
      </c>
      <c r="P3045" s="1">
        <v>-94.9328</v>
      </c>
      <c r="Q3045" s="1" t="s">
        <v>6867</v>
      </c>
      <c r="R3045" s="1" t="s">
        <v>41</v>
      </c>
      <c r="T3045" s="1" t="s">
        <v>71</v>
      </c>
      <c r="U3045" s="1" t="s">
        <v>44</v>
      </c>
      <c r="V3045" s="1" t="s">
        <v>1432</v>
      </c>
      <c r="X3045" s="1" t="s">
        <v>64</v>
      </c>
      <c r="AA3045" s="3">
        <v>37892</v>
      </c>
      <c r="AB3045" s="1" t="s">
        <v>46</v>
      </c>
      <c r="AC3045" s="5">
        <v>2950</v>
      </c>
      <c r="AD3045" s="1" t="s">
        <v>6868</v>
      </c>
      <c r="AE3045" s="1" t="str">
        <f t="shared" si="212"/>
        <v>55470 EPN801</v>
      </c>
      <c r="AF3045" s="14">
        <f>AF3046</f>
        <v>287</v>
      </c>
      <c r="AG3045" s="1" t="str">
        <f t="shared" si="211"/>
        <v>Y</v>
      </c>
    </row>
    <row r="3046" spans="1:33" x14ac:dyDescent="0.2">
      <c r="A3046" s="1" t="s">
        <v>383</v>
      </c>
      <c r="B3046" s="1" t="s">
        <v>6865</v>
      </c>
      <c r="C3046" s="1">
        <v>55470</v>
      </c>
      <c r="D3046" s="1" t="s">
        <v>6869</v>
      </c>
      <c r="F3046" s="1">
        <v>2023</v>
      </c>
      <c r="G3046" s="1" t="s">
        <v>346</v>
      </c>
      <c r="H3046" s="1">
        <v>609613</v>
      </c>
      <c r="I3046" s="1">
        <v>6</v>
      </c>
      <c r="K3046" s="1" t="s">
        <v>5240</v>
      </c>
      <c r="L3046" s="1" t="s">
        <v>5241</v>
      </c>
      <c r="M3046" s="1">
        <v>167</v>
      </c>
      <c r="N3046" s="1" t="s">
        <v>1680</v>
      </c>
      <c r="O3046" s="1">
        <v>29.377500000000001</v>
      </c>
      <c r="P3046" s="1">
        <v>-94.9328</v>
      </c>
      <c r="Q3046" s="1" t="s">
        <v>6867</v>
      </c>
      <c r="R3046" s="1" t="s">
        <v>41</v>
      </c>
      <c r="T3046" s="1" t="s">
        <v>71</v>
      </c>
      <c r="U3046" s="1" t="s">
        <v>44</v>
      </c>
      <c r="V3046" s="1" t="s">
        <v>1432</v>
      </c>
      <c r="X3046" s="1" t="s">
        <v>64</v>
      </c>
      <c r="AA3046" s="3">
        <v>37897</v>
      </c>
      <c r="AB3046" s="1" t="s">
        <v>46</v>
      </c>
      <c r="AC3046" s="5">
        <v>2950</v>
      </c>
      <c r="AD3046" s="1" t="s">
        <v>6870</v>
      </c>
      <c r="AE3046" s="1" t="str">
        <f t="shared" si="212"/>
        <v>55470 EPN802</v>
      </c>
      <c r="AF3046" s="14">
        <f>MID(AD3046,FIND("(",AD3046)+1,FIND(")",AD3046)-FIND("(",AD3046)-1)+250/3+110/3</f>
        <v>287</v>
      </c>
      <c r="AG3046" s="1" t="str">
        <f t="shared" si="211"/>
        <v>Y</v>
      </c>
    </row>
    <row r="3047" spans="1:33" x14ac:dyDescent="0.2">
      <c r="A3047" s="1" t="s">
        <v>383</v>
      </c>
      <c r="B3047" s="1" t="s">
        <v>6865</v>
      </c>
      <c r="C3047" s="1">
        <v>55470</v>
      </c>
      <c r="D3047" s="1" t="s">
        <v>6871</v>
      </c>
      <c r="F3047" s="1">
        <v>2023</v>
      </c>
      <c r="G3047" s="1" t="s">
        <v>346</v>
      </c>
      <c r="H3047" s="1">
        <v>609613</v>
      </c>
      <c r="I3047" s="1">
        <v>6</v>
      </c>
      <c r="K3047" s="1" t="s">
        <v>5240</v>
      </c>
      <c r="L3047" s="1" t="s">
        <v>5241</v>
      </c>
      <c r="M3047" s="1">
        <v>167</v>
      </c>
      <c r="N3047" s="1" t="s">
        <v>1680</v>
      </c>
      <c r="O3047" s="1">
        <v>29.377500000000001</v>
      </c>
      <c r="P3047" s="1">
        <v>-94.9328</v>
      </c>
      <c r="Q3047" s="1" t="s">
        <v>6867</v>
      </c>
      <c r="R3047" s="1" t="s">
        <v>41</v>
      </c>
      <c r="T3047" s="1" t="s">
        <v>71</v>
      </c>
      <c r="U3047" s="1" t="s">
        <v>44</v>
      </c>
      <c r="V3047" s="1" t="s">
        <v>1432</v>
      </c>
      <c r="X3047" s="1" t="s">
        <v>64</v>
      </c>
      <c r="AA3047" s="3">
        <v>37905</v>
      </c>
      <c r="AB3047" s="1" t="s">
        <v>46</v>
      </c>
      <c r="AC3047" s="5">
        <v>2950</v>
      </c>
      <c r="AD3047" s="1" t="s">
        <v>6872</v>
      </c>
      <c r="AE3047" s="1" t="str">
        <f t="shared" si="212"/>
        <v>55470 EPN803</v>
      </c>
      <c r="AF3047" s="14">
        <f>AF3046</f>
        <v>287</v>
      </c>
      <c r="AG3047" s="1" t="str">
        <f t="shared" si="211"/>
        <v>Y</v>
      </c>
    </row>
    <row r="3048" spans="1:33" x14ac:dyDescent="0.2">
      <c r="A3048" s="1" t="s">
        <v>3253</v>
      </c>
      <c r="B3048" s="1" t="s">
        <v>6873</v>
      </c>
      <c r="C3048" s="1">
        <v>55477</v>
      </c>
      <c r="D3048" s="1" t="s">
        <v>98</v>
      </c>
      <c r="F3048" s="1">
        <v>2023</v>
      </c>
      <c r="G3048" s="1" t="s">
        <v>247</v>
      </c>
      <c r="H3048" s="1" t="s">
        <v>4126</v>
      </c>
      <c r="I3048" s="1">
        <v>8</v>
      </c>
      <c r="K3048" s="1" t="s">
        <v>3539</v>
      </c>
      <c r="L3048" s="1" t="s">
        <v>3540</v>
      </c>
      <c r="M3048" s="1">
        <v>5</v>
      </c>
      <c r="N3048" s="1" t="s">
        <v>39</v>
      </c>
      <c r="O3048" s="1">
        <v>44.285299999999999</v>
      </c>
      <c r="P3048" s="1">
        <v>-105.3841</v>
      </c>
      <c r="Q3048" s="1" t="s">
        <v>6874</v>
      </c>
      <c r="R3048" s="1" t="s">
        <v>41</v>
      </c>
      <c r="T3048" s="1" t="s">
        <v>93</v>
      </c>
      <c r="U3048" s="1" t="s">
        <v>44</v>
      </c>
      <c r="X3048" s="1" t="s">
        <v>140</v>
      </c>
      <c r="AA3048" s="3">
        <v>37041</v>
      </c>
      <c r="AB3048" s="1" t="s">
        <v>46</v>
      </c>
      <c r="AC3048" s="5">
        <v>393</v>
      </c>
      <c r="AD3048" s="1" t="s">
        <v>1805</v>
      </c>
      <c r="AE3048" s="1" t="str">
        <f t="shared" si="212"/>
        <v>55477 CT2</v>
      </c>
      <c r="AF3048" s="5" t="str">
        <f>MID(AD3048,FIND("(",AD3048)+1,FIND(")",AD3048)-FIND("(",AD3048)-1)</f>
        <v>40</v>
      </c>
      <c r="AG3048" s="1" t="str">
        <f t="shared" si="211"/>
        <v/>
      </c>
    </row>
    <row r="3049" spans="1:33" x14ac:dyDescent="0.2">
      <c r="A3049" s="1" t="s">
        <v>2750</v>
      </c>
      <c r="B3049" s="1" t="s">
        <v>6875</v>
      </c>
      <c r="C3049" s="1">
        <v>55478</v>
      </c>
      <c r="D3049" s="1" t="s">
        <v>311</v>
      </c>
      <c r="F3049" s="1">
        <v>2023</v>
      </c>
      <c r="G3049" s="1" t="s">
        <v>247</v>
      </c>
      <c r="H3049" s="1" t="s">
        <v>6876</v>
      </c>
      <c r="I3049" s="1">
        <v>8</v>
      </c>
      <c r="K3049" s="1" t="s">
        <v>6877</v>
      </c>
      <c r="L3049" s="1" t="s">
        <v>6878</v>
      </c>
      <c r="M3049" s="1">
        <v>103</v>
      </c>
      <c r="N3049" s="1" t="s">
        <v>39</v>
      </c>
      <c r="O3049" s="1">
        <v>44.121200000000002</v>
      </c>
      <c r="P3049" s="1">
        <v>-103.2608</v>
      </c>
      <c r="Q3049" s="1" t="s">
        <v>4127</v>
      </c>
      <c r="R3049" s="1" t="s">
        <v>41</v>
      </c>
      <c r="T3049" s="1" t="s">
        <v>93</v>
      </c>
      <c r="U3049" s="1" t="s">
        <v>44</v>
      </c>
      <c r="X3049" s="1" t="s">
        <v>140</v>
      </c>
      <c r="AA3049" s="3">
        <v>37399</v>
      </c>
      <c r="AB3049" s="1" t="s">
        <v>46</v>
      </c>
      <c r="AC3049" s="5">
        <v>399</v>
      </c>
      <c r="AD3049" s="1" t="s">
        <v>6879</v>
      </c>
      <c r="AE3049" s="1" t="str">
        <f t="shared" si="212"/>
        <v>55478 CT1</v>
      </c>
      <c r="AF3049" s="5" t="str">
        <f>MID(AD3049,FIND("(",AD3049)+1,FIND(")",AD3049)-FIND("(",AD3049)-1)</f>
        <v>44</v>
      </c>
      <c r="AG3049" s="1" t="str">
        <f t="shared" si="211"/>
        <v/>
      </c>
    </row>
    <row r="3050" spans="1:33" x14ac:dyDescent="0.2">
      <c r="A3050" s="1" t="s">
        <v>3253</v>
      </c>
      <c r="B3050" s="1" t="s">
        <v>6880</v>
      </c>
      <c r="C3050" s="1">
        <v>55479</v>
      </c>
      <c r="D3050" s="1">
        <v>1</v>
      </c>
      <c r="F3050" s="1">
        <v>2023</v>
      </c>
      <c r="G3050" s="1" t="s">
        <v>236</v>
      </c>
      <c r="H3050" s="1" t="s">
        <v>4126</v>
      </c>
      <c r="I3050" s="1">
        <v>8</v>
      </c>
      <c r="K3050" s="1" t="s">
        <v>3539</v>
      </c>
      <c r="L3050" s="1" t="s">
        <v>3540</v>
      </c>
      <c r="M3050" s="1">
        <v>5</v>
      </c>
      <c r="N3050" s="1" t="s">
        <v>39</v>
      </c>
      <c r="O3050" s="1">
        <v>44.286200000000001</v>
      </c>
      <c r="P3050" s="1">
        <v>-105.3843</v>
      </c>
      <c r="Q3050" s="1" t="s">
        <v>6881</v>
      </c>
      <c r="R3050" s="1" t="s">
        <v>41</v>
      </c>
      <c r="T3050" s="1" t="s">
        <v>89</v>
      </c>
      <c r="U3050" s="1" t="s">
        <v>55</v>
      </c>
      <c r="W3050" s="1" t="s">
        <v>212</v>
      </c>
      <c r="X3050" s="1" t="s">
        <v>563</v>
      </c>
      <c r="Y3050" s="1" t="s">
        <v>232</v>
      </c>
      <c r="AA3050" s="3">
        <v>37644</v>
      </c>
      <c r="AB3050" s="1" t="s">
        <v>46</v>
      </c>
      <c r="AC3050" s="5">
        <v>1300</v>
      </c>
      <c r="AD3050" s="1" t="s">
        <v>6882</v>
      </c>
      <c r="AE3050" s="1" t="str">
        <f t="shared" si="212"/>
        <v>55479 1</v>
      </c>
      <c r="AF3050" s="5" t="str">
        <f>MID(AD3050,FIND("(",AD3050)+1,FIND(")",AD3050)-FIND("(",AD3050)-1)</f>
        <v>100</v>
      </c>
      <c r="AG3050" s="1" t="str">
        <f t="shared" si="211"/>
        <v>Y</v>
      </c>
    </row>
    <row r="3051" spans="1:33" x14ac:dyDescent="0.2">
      <c r="A3051" s="1" t="s">
        <v>383</v>
      </c>
      <c r="B3051" s="1" t="s">
        <v>6883</v>
      </c>
      <c r="C3051" s="1">
        <v>55480</v>
      </c>
      <c r="D3051" s="1" t="s">
        <v>3858</v>
      </c>
      <c r="F3051" s="1">
        <v>2023</v>
      </c>
      <c r="G3051" s="1" t="s">
        <v>346</v>
      </c>
      <c r="H3051" s="1">
        <v>603383</v>
      </c>
      <c r="I3051" s="1">
        <v>6</v>
      </c>
      <c r="K3051" s="1" t="s">
        <v>6884</v>
      </c>
      <c r="L3051" s="1" t="s">
        <v>6885</v>
      </c>
      <c r="M3051" s="1">
        <v>257</v>
      </c>
      <c r="N3051" s="1" t="s">
        <v>39</v>
      </c>
      <c r="O3051" s="1">
        <v>32.756300000000003</v>
      </c>
      <c r="P3051" s="1">
        <v>-96.491600000000005</v>
      </c>
      <c r="Q3051" s="1" t="s">
        <v>5602</v>
      </c>
      <c r="R3051" s="1" t="s">
        <v>41</v>
      </c>
      <c r="T3051" s="1" t="s">
        <v>71</v>
      </c>
      <c r="U3051" s="1" t="s">
        <v>44</v>
      </c>
      <c r="X3051" s="1" t="s">
        <v>140</v>
      </c>
      <c r="AA3051" s="3">
        <v>37742</v>
      </c>
      <c r="AB3051" s="1" t="s">
        <v>46</v>
      </c>
      <c r="AC3051" s="5">
        <v>2445</v>
      </c>
      <c r="AD3051" s="1" t="s">
        <v>6886</v>
      </c>
      <c r="AE3051" s="1" t="str">
        <f t="shared" si="212"/>
        <v>55480 U1</v>
      </c>
      <c r="AF3051" s="14">
        <f>MID(AD3051,FIND("(",AD3051)+1,FIND(")",AD3051)-FIND("(",AD3051)-1)+414/3</f>
        <v>310</v>
      </c>
      <c r="AG3051" s="1" t="str">
        <f t="shared" si="211"/>
        <v/>
      </c>
    </row>
    <row r="3052" spans="1:33" x14ac:dyDescent="0.2">
      <c r="A3052" s="1" t="s">
        <v>383</v>
      </c>
      <c r="B3052" s="1" t="s">
        <v>6883</v>
      </c>
      <c r="C3052" s="1">
        <v>55480</v>
      </c>
      <c r="D3052" s="1" t="s">
        <v>3862</v>
      </c>
      <c r="F3052" s="1">
        <v>2023</v>
      </c>
      <c r="G3052" s="1" t="s">
        <v>346</v>
      </c>
      <c r="H3052" s="1">
        <v>603383</v>
      </c>
      <c r="I3052" s="1">
        <v>6</v>
      </c>
      <c r="K3052" s="1" t="s">
        <v>6884</v>
      </c>
      <c r="L3052" s="1" t="s">
        <v>6885</v>
      </c>
      <c r="M3052" s="1">
        <v>257</v>
      </c>
      <c r="N3052" s="1" t="s">
        <v>39</v>
      </c>
      <c r="O3052" s="1">
        <v>32.756300000000003</v>
      </c>
      <c r="P3052" s="1">
        <v>-96.491600000000005</v>
      </c>
      <c r="Q3052" s="1" t="s">
        <v>5602</v>
      </c>
      <c r="R3052" s="1" t="s">
        <v>41</v>
      </c>
      <c r="T3052" s="1" t="s">
        <v>71</v>
      </c>
      <c r="U3052" s="1" t="s">
        <v>44</v>
      </c>
      <c r="X3052" s="1" t="s">
        <v>140</v>
      </c>
      <c r="AA3052" s="3">
        <v>37653</v>
      </c>
      <c r="AB3052" s="1" t="s">
        <v>46</v>
      </c>
      <c r="AC3052" s="5">
        <v>2445</v>
      </c>
      <c r="AD3052" s="1" t="s">
        <v>6887</v>
      </c>
      <c r="AE3052" s="1" t="str">
        <f t="shared" si="212"/>
        <v>55480 U2</v>
      </c>
      <c r="AF3052" s="14">
        <f>AF3051</f>
        <v>310</v>
      </c>
      <c r="AG3052" s="1" t="str">
        <f t="shared" si="211"/>
        <v/>
      </c>
    </row>
    <row r="3053" spans="1:33" x14ac:dyDescent="0.2">
      <c r="A3053" s="1" t="s">
        <v>383</v>
      </c>
      <c r="B3053" s="1" t="s">
        <v>6883</v>
      </c>
      <c r="C3053" s="1">
        <v>55480</v>
      </c>
      <c r="D3053" s="1" t="s">
        <v>6888</v>
      </c>
      <c r="F3053" s="1">
        <v>2023</v>
      </c>
      <c r="G3053" s="1" t="s">
        <v>346</v>
      </c>
      <c r="H3053" s="1">
        <v>603383</v>
      </c>
      <c r="I3053" s="1">
        <v>6</v>
      </c>
      <c r="K3053" s="1" t="s">
        <v>6884</v>
      </c>
      <c r="L3053" s="1" t="s">
        <v>6885</v>
      </c>
      <c r="M3053" s="1">
        <v>257</v>
      </c>
      <c r="N3053" s="1" t="s">
        <v>39</v>
      </c>
      <c r="O3053" s="1">
        <v>32.756300000000003</v>
      </c>
      <c r="P3053" s="1">
        <v>-96.491600000000005</v>
      </c>
      <c r="Q3053" s="1" t="s">
        <v>5602</v>
      </c>
      <c r="R3053" s="1" t="s">
        <v>41</v>
      </c>
      <c r="T3053" s="1" t="s">
        <v>71</v>
      </c>
      <c r="U3053" s="1" t="s">
        <v>44</v>
      </c>
      <c r="X3053" s="1" t="s">
        <v>140</v>
      </c>
      <c r="AA3053" s="3">
        <v>37653</v>
      </c>
      <c r="AB3053" s="1" t="s">
        <v>46</v>
      </c>
      <c r="AC3053" s="5">
        <v>2445</v>
      </c>
      <c r="AD3053" s="1" t="s">
        <v>6889</v>
      </c>
      <c r="AE3053" s="1" t="str">
        <f t="shared" si="212"/>
        <v>55480 U3</v>
      </c>
      <c r="AF3053" s="14">
        <f>AF3051</f>
        <v>310</v>
      </c>
      <c r="AG3053" s="1" t="str">
        <f t="shared" si="211"/>
        <v/>
      </c>
    </row>
    <row r="3054" spans="1:33" x14ac:dyDescent="0.2">
      <c r="A3054" s="1" t="s">
        <v>383</v>
      </c>
      <c r="B3054" s="1" t="s">
        <v>6883</v>
      </c>
      <c r="C3054" s="1">
        <v>55480</v>
      </c>
      <c r="D3054" s="1" t="s">
        <v>6890</v>
      </c>
      <c r="F3054" s="1">
        <v>2023</v>
      </c>
      <c r="G3054" s="1" t="s">
        <v>346</v>
      </c>
      <c r="H3054" s="1">
        <v>603383</v>
      </c>
      <c r="I3054" s="1">
        <v>6</v>
      </c>
      <c r="K3054" s="1" t="s">
        <v>6884</v>
      </c>
      <c r="L3054" s="1" t="s">
        <v>6885</v>
      </c>
      <c r="M3054" s="1">
        <v>257</v>
      </c>
      <c r="N3054" s="1" t="s">
        <v>39</v>
      </c>
      <c r="O3054" s="1">
        <v>32.756300000000003</v>
      </c>
      <c r="P3054" s="1">
        <v>-96.491600000000005</v>
      </c>
      <c r="Q3054" s="1" t="s">
        <v>5602</v>
      </c>
      <c r="R3054" s="1" t="s">
        <v>41</v>
      </c>
      <c r="T3054" s="1" t="s">
        <v>71</v>
      </c>
      <c r="U3054" s="1" t="s">
        <v>44</v>
      </c>
      <c r="X3054" s="1" t="s">
        <v>140</v>
      </c>
      <c r="AA3054" s="3">
        <v>37742</v>
      </c>
      <c r="AB3054" s="1" t="s">
        <v>46</v>
      </c>
      <c r="AC3054" s="5">
        <v>2445</v>
      </c>
      <c r="AD3054" s="1" t="s">
        <v>6891</v>
      </c>
      <c r="AE3054" s="1" t="str">
        <f t="shared" si="212"/>
        <v>55480 U4</v>
      </c>
      <c r="AF3054" s="14">
        <f>MID(AD3054,FIND("(",AD3054)+1,FIND(")",AD3054)-FIND("(",AD3054)-1)+414/3</f>
        <v>310</v>
      </c>
      <c r="AG3054" s="1" t="str">
        <f t="shared" si="211"/>
        <v/>
      </c>
    </row>
    <row r="3055" spans="1:33" x14ac:dyDescent="0.2">
      <c r="A3055" s="1" t="s">
        <v>383</v>
      </c>
      <c r="B3055" s="1" t="s">
        <v>6883</v>
      </c>
      <c r="C3055" s="1">
        <v>55480</v>
      </c>
      <c r="D3055" s="1" t="s">
        <v>6892</v>
      </c>
      <c r="F3055" s="1">
        <v>2023</v>
      </c>
      <c r="G3055" s="1" t="s">
        <v>346</v>
      </c>
      <c r="H3055" s="1">
        <v>603383</v>
      </c>
      <c r="I3055" s="1">
        <v>6</v>
      </c>
      <c r="K3055" s="1" t="s">
        <v>6884</v>
      </c>
      <c r="L3055" s="1" t="s">
        <v>6885</v>
      </c>
      <c r="M3055" s="1">
        <v>257</v>
      </c>
      <c r="N3055" s="1" t="s">
        <v>39</v>
      </c>
      <c r="O3055" s="1">
        <v>32.756300000000003</v>
      </c>
      <c r="P3055" s="1">
        <v>-96.491600000000005</v>
      </c>
      <c r="Q3055" s="1" t="s">
        <v>5602</v>
      </c>
      <c r="R3055" s="1" t="s">
        <v>41</v>
      </c>
      <c r="T3055" s="1" t="s">
        <v>71</v>
      </c>
      <c r="U3055" s="1" t="s">
        <v>44</v>
      </c>
      <c r="X3055" s="1" t="s">
        <v>140</v>
      </c>
      <c r="AA3055" s="3">
        <v>37742</v>
      </c>
      <c r="AB3055" s="1" t="s">
        <v>46</v>
      </c>
      <c r="AC3055" s="5">
        <v>2445</v>
      </c>
      <c r="AD3055" s="1" t="s">
        <v>6893</v>
      </c>
      <c r="AE3055" s="1" t="str">
        <f t="shared" si="212"/>
        <v>55480 U5</v>
      </c>
      <c r="AF3055" s="14">
        <f>MID(AD3055,FIND("(",AD3055)+1,FIND(")",AD3055)-FIND("(",AD3055)-1)+414/3</f>
        <v>307.8</v>
      </c>
      <c r="AG3055" s="1" t="str">
        <f t="shared" si="211"/>
        <v/>
      </c>
    </row>
    <row r="3056" spans="1:33" x14ac:dyDescent="0.2">
      <c r="A3056" s="1" t="s">
        <v>383</v>
      </c>
      <c r="B3056" s="1" t="s">
        <v>6883</v>
      </c>
      <c r="C3056" s="1">
        <v>55480</v>
      </c>
      <c r="D3056" s="1" t="s">
        <v>6894</v>
      </c>
      <c r="F3056" s="1">
        <v>2023</v>
      </c>
      <c r="G3056" s="1" t="s">
        <v>346</v>
      </c>
      <c r="H3056" s="1">
        <v>603383</v>
      </c>
      <c r="I3056" s="1">
        <v>6</v>
      </c>
      <c r="K3056" s="1" t="s">
        <v>6884</v>
      </c>
      <c r="L3056" s="1" t="s">
        <v>6885</v>
      </c>
      <c r="M3056" s="1">
        <v>257</v>
      </c>
      <c r="N3056" s="1" t="s">
        <v>39</v>
      </c>
      <c r="O3056" s="1">
        <v>32.756300000000003</v>
      </c>
      <c r="P3056" s="1">
        <v>-96.491600000000005</v>
      </c>
      <c r="Q3056" s="1" t="s">
        <v>5602</v>
      </c>
      <c r="R3056" s="1" t="s">
        <v>41</v>
      </c>
      <c r="T3056" s="1" t="s">
        <v>71</v>
      </c>
      <c r="U3056" s="1" t="s">
        <v>44</v>
      </c>
      <c r="X3056" s="1" t="s">
        <v>140</v>
      </c>
      <c r="AA3056" s="3">
        <v>37742</v>
      </c>
      <c r="AB3056" s="1" t="s">
        <v>46</v>
      </c>
      <c r="AC3056" s="5">
        <v>2445</v>
      </c>
      <c r="AD3056" s="1" t="s">
        <v>6895</v>
      </c>
      <c r="AE3056" s="1" t="str">
        <f t="shared" si="212"/>
        <v>55480 U6</v>
      </c>
      <c r="AF3056" s="14">
        <f>AF3055</f>
        <v>307.8</v>
      </c>
      <c r="AG3056" s="1" t="str">
        <f t="shared" si="211"/>
        <v/>
      </c>
    </row>
    <row r="3057" spans="1:33" x14ac:dyDescent="0.2">
      <c r="A3057" s="1" t="s">
        <v>234</v>
      </c>
      <c r="B3057" s="1" t="s">
        <v>6896</v>
      </c>
      <c r="C3057" s="1">
        <v>55481</v>
      </c>
      <c r="D3057" s="1">
        <v>1</v>
      </c>
      <c r="F3057" s="1">
        <v>2023</v>
      </c>
      <c r="G3057" s="1" t="s">
        <v>247</v>
      </c>
      <c r="H3057" s="1">
        <v>608572</v>
      </c>
      <c r="I3057" s="1">
        <v>9</v>
      </c>
      <c r="K3057" s="1" t="s">
        <v>248</v>
      </c>
      <c r="L3057" s="1" t="s">
        <v>249</v>
      </c>
      <c r="M3057" s="1">
        <v>13</v>
      </c>
      <c r="N3057" s="1" t="s">
        <v>39</v>
      </c>
      <c r="O3057" s="1">
        <v>33.345100000000002</v>
      </c>
      <c r="P3057" s="1">
        <v>-112.8638</v>
      </c>
      <c r="Q3057" s="1" t="s">
        <v>6897</v>
      </c>
      <c r="R3057" s="1" t="s">
        <v>41</v>
      </c>
      <c r="T3057" s="1" t="s">
        <v>71</v>
      </c>
      <c r="U3057" s="1" t="s">
        <v>44</v>
      </c>
      <c r="X3057" s="1" t="s">
        <v>64</v>
      </c>
      <c r="AA3057" s="3">
        <v>37663</v>
      </c>
      <c r="AB3057" s="1" t="s">
        <v>46</v>
      </c>
      <c r="AC3057" s="5">
        <v>2530</v>
      </c>
      <c r="AD3057" s="1" t="s">
        <v>6898</v>
      </c>
      <c r="AE3057" s="1" t="str">
        <f t="shared" si="212"/>
        <v>55481 1</v>
      </c>
      <c r="AF3057" s="14">
        <f>AF3059</f>
        <v>330.5</v>
      </c>
      <c r="AG3057" s="1" t="str">
        <f t="shared" si="211"/>
        <v>Y</v>
      </c>
    </row>
    <row r="3058" spans="1:33" x14ac:dyDescent="0.2">
      <c r="A3058" s="1" t="s">
        <v>234</v>
      </c>
      <c r="B3058" s="1" t="s">
        <v>6896</v>
      </c>
      <c r="C3058" s="1">
        <v>55481</v>
      </c>
      <c r="D3058" s="1">
        <v>2</v>
      </c>
      <c r="F3058" s="1">
        <v>2023</v>
      </c>
      <c r="G3058" s="1" t="s">
        <v>247</v>
      </c>
      <c r="H3058" s="1">
        <v>608572</v>
      </c>
      <c r="I3058" s="1">
        <v>9</v>
      </c>
      <c r="K3058" s="1" t="s">
        <v>248</v>
      </c>
      <c r="L3058" s="1" t="s">
        <v>249</v>
      </c>
      <c r="M3058" s="1">
        <v>13</v>
      </c>
      <c r="N3058" s="1" t="s">
        <v>39</v>
      </c>
      <c r="O3058" s="1">
        <v>33.345100000000002</v>
      </c>
      <c r="P3058" s="1">
        <v>-112.8638</v>
      </c>
      <c r="Q3058" s="1" t="s">
        <v>6897</v>
      </c>
      <c r="R3058" s="1" t="s">
        <v>41</v>
      </c>
      <c r="T3058" s="1" t="s">
        <v>71</v>
      </c>
      <c r="U3058" s="1" t="s">
        <v>44</v>
      </c>
      <c r="X3058" s="1" t="s">
        <v>64</v>
      </c>
      <c r="AA3058" s="3">
        <v>37664</v>
      </c>
      <c r="AB3058" s="1" t="s">
        <v>46</v>
      </c>
      <c r="AC3058" s="5">
        <v>2530</v>
      </c>
      <c r="AD3058" s="1" t="s">
        <v>6899</v>
      </c>
      <c r="AE3058" s="1" t="str">
        <f t="shared" si="212"/>
        <v>55481 2</v>
      </c>
      <c r="AF3058" s="14">
        <f>AF3059</f>
        <v>330.5</v>
      </c>
      <c r="AG3058" s="1" t="str">
        <f t="shared" si="211"/>
        <v>Y</v>
      </c>
    </row>
    <row r="3059" spans="1:33" x14ac:dyDescent="0.2">
      <c r="A3059" s="1" t="s">
        <v>234</v>
      </c>
      <c r="B3059" s="1" t="s">
        <v>6896</v>
      </c>
      <c r="C3059" s="1">
        <v>55481</v>
      </c>
      <c r="D3059" s="1">
        <v>5</v>
      </c>
      <c r="F3059" s="1">
        <v>2023</v>
      </c>
      <c r="G3059" s="1" t="s">
        <v>247</v>
      </c>
      <c r="H3059" s="1">
        <v>608572</v>
      </c>
      <c r="I3059" s="1">
        <v>9</v>
      </c>
      <c r="K3059" s="1" t="s">
        <v>248</v>
      </c>
      <c r="L3059" s="1" t="s">
        <v>249</v>
      </c>
      <c r="M3059" s="1">
        <v>13</v>
      </c>
      <c r="N3059" s="1" t="s">
        <v>39</v>
      </c>
      <c r="O3059" s="1">
        <v>33.345100000000002</v>
      </c>
      <c r="P3059" s="1">
        <v>-112.8638</v>
      </c>
      <c r="Q3059" s="1" t="s">
        <v>6897</v>
      </c>
      <c r="R3059" s="1" t="s">
        <v>41</v>
      </c>
      <c r="T3059" s="1" t="s">
        <v>71</v>
      </c>
      <c r="U3059" s="1" t="s">
        <v>44</v>
      </c>
      <c r="X3059" s="1" t="s">
        <v>64</v>
      </c>
      <c r="AA3059" s="3">
        <v>37834</v>
      </c>
      <c r="AB3059" s="1" t="s">
        <v>46</v>
      </c>
      <c r="AC3059" s="5">
        <v>2370</v>
      </c>
      <c r="AD3059" s="1" t="s">
        <v>6900</v>
      </c>
      <c r="AE3059" s="1" t="str">
        <f t="shared" si="212"/>
        <v>55481 5</v>
      </c>
      <c r="AF3059" s="14">
        <f>MID(AD3059,FIND("(",AD3059)+1,FIND(")",AD3059)-FIND("(",AD3059)-1)+321/2</f>
        <v>330.5</v>
      </c>
      <c r="AG3059" s="1" t="str">
        <f t="shared" si="211"/>
        <v>Y</v>
      </c>
    </row>
    <row r="3060" spans="1:33" x14ac:dyDescent="0.2">
      <c r="A3060" s="1" t="s">
        <v>234</v>
      </c>
      <c r="B3060" s="1" t="s">
        <v>6896</v>
      </c>
      <c r="C3060" s="1">
        <v>55481</v>
      </c>
      <c r="D3060" s="1">
        <v>6</v>
      </c>
      <c r="F3060" s="1">
        <v>2023</v>
      </c>
      <c r="G3060" s="1" t="s">
        <v>247</v>
      </c>
      <c r="H3060" s="1">
        <v>608572</v>
      </c>
      <c r="I3060" s="1">
        <v>9</v>
      </c>
      <c r="K3060" s="1" t="s">
        <v>248</v>
      </c>
      <c r="L3060" s="1" t="s">
        <v>249</v>
      </c>
      <c r="M3060" s="1">
        <v>13</v>
      </c>
      <c r="N3060" s="1" t="s">
        <v>39</v>
      </c>
      <c r="O3060" s="1">
        <v>33.345100000000002</v>
      </c>
      <c r="P3060" s="1">
        <v>-112.8638</v>
      </c>
      <c r="Q3060" s="1" t="s">
        <v>6897</v>
      </c>
      <c r="R3060" s="1" t="s">
        <v>41</v>
      </c>
      <c r="T3060" s="1" t="s">
        <v>71</v>
      </c>
      <c r="U3060" s="1" t="s">
        <v>44</v>
      </c>
      <c r="X3060" s="1" t="s">
        <v>64</v>
      </c>
      <c r="AA3060" s="3">
        <v>37834</v>
      </c>
      <c r="AB3060" s="1" t="s">
        <v>46</v>
      </c>
      <c r="AC3060" s="5">
        <v>2370</v>
      </c>
      <c r="AD3060" s="1" t="s">
        <v>6901</v>
      </c>
      <c r="AE3060" s="1" t="str">
        <f t="shared" si="212"/>
        <v>55481 6</v>
      </c>
      <c r="AF3060" s="14">
        <f>AF3059</f>
        <v>330.5</v>
      </c>
      <c r="AG3060" s="1" t="str">
        <f t="shared" si="211"/>
        <v>Y</v>
      </c>
    </row>
    <row r="3061" spans="1:33" x14ac:dyDescent="0.2">
      <c r="A3061" s="1" t="s">
        <v>690</v>
      </c>
      <c r="B3061" s="1" t="s">
        <v>6902</v>
      </c>
      <c r="C3061" s="1">
        <v>55482</v>
      </c>
      <c r="D3061" s="1" t="s">
        <v>1296</v>
      </c>
      <c r="F3061" s="1">
        <v>2023</v>
      </c>
      <c r="G3061" s="1" t="s">
        <v>247</v>
      </c>
      <c r="H3061" s="1">
        <v>610011</v>
      </c>
      <c r="I3061" s="1">
        <v>10</v>
      </c>
      <c r="K3061" s="1" t="s">
        <v>6903</v>
      </c>
      <c r="L3061" s="1" t="s">
        <v>6904</v>
      </c>
      <c r="M3061" s="1">
        <v>39</v>
      </c>
      <c r="N3061" s="1" t="s">
        <v>39</v>
      </c>
      <c r="O3061" s="1">
        <v>45.811399999999999</v>
      </c>
      <c r="P3061" s="1">
        <v>-120.833</v>
      </c>
      <c r="Q3061" s="1" t="s">
        <v>695</v>
      </c>
      <c r="R3061" s="1" t="s">
        <v>41</v>
      </c>
      <c r="T3061" s="1" t="s">
        <v>71</v>
      </c>
      <c r="U3061" s="1" t="s">
        <v>44</v>
      </c>
      <c r="X3061" s="1" t="s">
        <v>64</v>
      </c>
      <c r="AA3061" s="3">
        <v>38177</v>
      </c>
      <c r="AB3061" s="1" t="s">
        <v>46</v>
      </c>
      <c r="AC3061" s="5">
        <v>2500</v>
      </c>
      <c r="AD3061" s="1" t="s">
        <v>6905</v>
      </c>
      <c r="AE3061" s="1" t="str">
        <f t="shared" si="212"/>
        <v>55482 CT-1</v>
      </c>
      <c r="AF3061" s="14">
        <f>MID(AD3061,FIND("(",AD3061)+1,FIND(")",AD3061)-FIND("(",AD3061)-1)+114.3</f>
        <v>284.3</v>
      </c>
      <c r="AG3061" s="1" t="str">
        <f t="shared" si="211"/>
        <v>Y</v>
      </c>
    </row>
    <row r="3062" spans="1:33" x14ac:dyDescent="0.2">
      <c r="A3062" s="1" t="s">
        <v>1426</v>
      </c>
      <c r="B3062" s="1" t="s">
        <v>6906</v>
      </c>
      <c r="C3062" s="1">
        <v>55486</v>
      </c>
      <c r="D3062" s="1" t="s">
        <v>6907</v>
      </c>
      <c r="F3062" s="1">
        <v>2023</v>
      </c>
      <c r="G3062" s="1" t="s">
        <v>1428</v>
      </c>
      <c r="H3062" s="1" t="s">
        <v>350</v>
      </c>
      <c r="I3062" s="1">
        <v>6</v>
      </c>
      <c r="J3062" s="1" t="s">
        <v>36</v>
      </c>
      <c r="K3062" s="1" t="s">
        <v>6908</v>
      </c>
      <c r="L3062" s="1" t="s">
        <v>6909</v>
      </c>
      <c r="M3062" s="1">
        <v>117</v>
      </c>
      <c r="N3062" s="1" t="s">
        <v>39</v>
      </c>
      <c r="O3062" s="1">
        <v>30.791399999999999</v>
      </c>
      <c r="P3062" s="1">
        <v>-89.909199999999998</v>
      </c>
      <c r="Q3062" s="1" t="s">
        <v>353</v>
      </c>
      <c r="R3062" s="1" t="s">
        <v>41</v>
      </c>
      <c r="T3062" s="1" t="s">
        <v>93</v>
      </c>
      <c r="U3062" s="1" t="s">
        <v>44</v>
      </c>
      <c r="X3062" s="1" t="s">
        <v>140</v>
      </c>
      <c r="AA3062" s="3">
        <v>44093</v>
      </c>
      <c r="AB3062" s="1" t="s">
        <v>46</v>
      </c>
      <c r="AC3062" s="5">
        <v>2201</v>
      </c>
      <c r="AD3062" s="1" t="s">
        <v>6910</v>
      </c>
      <c r="AE3062" s="1" t="str">
        <f t="shared" si="212"/>
        <v>55486 CTG01</v>
      </c>
      <c r="AF3062" s="5" t="str">
        <f t="shared" ref="AF3062:AF3071" si="214">MID(AD3062,FIND("(",AD3062)+1,FIND(")",AD3062)-FIND("(",AD3062)-1)</f>
        <v>207</v>
      </c>
      <c r="AG3062" s="1" t="str">
        <f t="shared" si="211"/>
        <v/>
      </c>
    </row>
    <row r="3063" spans="1:33" x14ac:dyDescent="0.2">
      <c r="A3063" s="1" t="s">
        <v>1426</v>
      </c>
      <c r="B3063" s="1" t="s">
        <v>6906</v>
      </c>
      <c r="C3063" s="1">
        <v>55486</v>
      </c>
      <c r="D3063" s="1" t="s">
        <v>6911</v>
      </c>
      <c r="F3063" s="1">
        <v>2023</v>
      </c>
      <c r="G3063" s="1" t="s">
        <v>1428</v>
      </c>
      <c r="H3063" s="1" t="s">
        <v>350</v>
      </c>
      <c r="I3063" s="1">
        <v>6</v>
      </c>
      <c r="J3063" s="1" t="s">
        <v>36</v>
      </c>
      <c r="K3063" s="1" t="s">
        <v>6908</v>
      </c>
      <c r="L3063" s="1" t="s">
        <v>6909</v>
      </c>
      <c r="M3063" s="1">
        <v>117</v>
      </c>
      <c r="N3063" s="1" t="s">
        <v>39</v>
      </c>
      <c r="O3063" s="1">
        <v>30.791399999999999</v>
      </c>
      <c r="P3063" s="1">
        <v>-89.909199999999998</v>
      </c>
      <c r="Q3063" s="1" t="s">
        <v>353</v>
      </c>
      <c r="R3063" s="1" t="s">
        <v>41</v>
      </c>
      <c r="T3063" s="1" t="s">
        <v>93</v>
      </c>
      <c r="U3063" s="1" t="s">
        <v>44</v>
      </c>
      <c r="X3063" s="1" t="s">
        <v>140</v>
      </c>
      <c r="AA3063" s="3">
        <v>44105</v>
      </c>
      <c r="AB3063" s="1" t="s">
        <v>46</v>
      </c>
      <c r="AC3063" s="5">
        <v>2201</v>
      </c>
      <c r="AD3063" s="1" t="s">
        <v>6912</v>
      </c>
      <c r="AE3063" s="1" t="str">
        <f t="shared" si="212"/>
        <v>55486 CTG02</v>
      </c>
      <c r="AF3063" s="5" t="str">
        <f t="shared" si="214"/>
        <v>207</v>
      </c>
      <c r="AG3063" s="1" t="str">
        <f t="shared" si="211"/>
        <v/>
      </c>
    </row>
    <row r="3064" spans="1:33" x14ac:dyDescent="0.2">
      <c r="A3064" s="1" t="s">
        <v>458</v>
      </c>
      <c r="B3064" s="1" t="s">
        <v>6913</v>
      </c>
      <c r="C3064" s="1">
        <v>55496</v>
      </c>
      <c r="D3064" s="1" t="s">
        <v>6763</v>
      </c>
      <c r="F3064" s="1">
        <v>2023</v>
      </c>
      <c r="G3064" s="1" t="s">
        <v>461</v>
      </c>
      <c r="H3064" s="1">
        <v>607655</v>
      </c>
      <c r="I3064" s="1">
        <v>5</v>
      </c>
      <c r="K3064" s="1" t="s">
        <v>6914</v>
      </c>
      <c r="L3064" s="1" t="s">
        <v>6915</v>
      </c>
      <c r="M3064" s="1">
        <v>147</v>
      </c>
      <c r="N3064" s="1" t="s">
        <v>39</v>
      </c>
      <c r="O3064" s="1">
        <v>40.1083</v>
      </c>
      <c r="P3064" s="1">
        <v>-88.598600000000005</v>
      </c>
      <c r="Q3064" s="1" t="s">
        <v>1046</v>
      </c>
      <c r="R3064" s="1" t="s">
        <v>41</v>
      </c>
      <c r="T3064" s="1" t="s">
        <v>93</v>
      </c>
      <c r="U3064" s="1" t="s">
        <v>44</v>
      </c>
      <c r="X3064" s="1" t="s">
        <v>140</v>
      </c>
      <c r="AA3064" s="3">
        <v>37636</v>
      </c>
      <c r="AB3064" s="1" t="s">
        <v>46</v>
      </c>
      <c r="AC3064" s="5">
        <v>1082</v>
      </c>
      <c r="AD3064" s="1" t="s">
        <v>6765</v>
      </c>
      <c r="AE3064" s="1" t="str">
        <f t="shared" si="212"/>
        <v>55496 CT-01</v>
      </c>
      <c r="AF3064" s="5" t="str">
        <f t="shared" si="214"/>
        <v>114</v>
      </c>
      <c r="AG3064" s="1" t="str">
        <f t="shared" si="211"/>
        <v/>
      </c>
    </row>
    <row r="3065" spans="1:33" x14ac:dyDescent="0.2">
      <c r="A3065" s="1" t="s">
        <v>458</v>
      </c>
      <c r="B3065" s="1" t="s">
        <v>6913</v>
      </c>
      <c r="C3065" s="1">
        <v>55496</v>
      </c>
      <c r="D3065" s="1" t="s">
        <v>6766</v>
      </c>
      <c r="F3065" s="1">
        <v>2023</v>
      </c>
      <c r="G3065" s="1" t="s">
        <v>461</v>
      </c>
      <c r="H3065" s="1">
        <v>607655</v>
      </c>
      <c r="I3065" s="1">
        <v>5</v>
      </c>
      <c r="K3065" s="1" t="s">
        <v>6914</v>
      </c>
      <c r="L3065" s="1" t="s">
        <v>6915</v>
      </c>
      <c r="M3065" s="1">
        <v>147</v>
      </c>
      <c r="N3065" s="1" t="s">
        <v>39</v>
      </c>
      <c r="O3065" s="1">
        <v>40.1083</v>
      </c>
      <c r="P3065" s="1">
        <v>-88.598600000000005</v>
      </c>
      <c r="Q3065" s="1" t="s">
        <v>1046</v>
      </c>
      <c r="R3065" s="1" t="s">
        <v>41</v>
      </c>
      <c r="T3065" s="1" t="s">
        <v>93</v>
      </c>
      <c r="U3065" s="1" t="s">
        <v>44</v>
      </c>
      <c r="X3065" s="1" t="s">
        <v>140</v>
      </c>
      <c r="AA3065" s="3">
        <v>37622</v>
      </c>
      <c r="AB3065" s="1" t="s">
        <v>46</v>
      </c>
      <c r="AC3065" s="5">
        <v>1082</v>
      </c>
      <c r="AD3065" s="1" t="s">
        <v>6767</v>
      </c>
      <c r="AE3065" s="1" t="str">
        <f t="shared" si="212"/>
        <v>55496 CT-02</v>
      </c>
      <c r="AF3065" s="5" t="str">
        <f t="shared" si="214"/>
        <v>114</v>
      </c>
      <c r="AG3065" s="1" t="str">
        <f t="shared" si="211"/>
        <v/>
      </c>
    </row>
    <row r="3066" spans="1:33" x14ac:dyDescent="0.2">
      <c r="A3066" s="1" t="s">
        <v>458</v>
      </c>
      <c r="B3066" s="1" t="s">
        <v>6913</v>
      </c>
      <c r="C3066" s="1">
        <v>55496</v>
      </c>
      <c r="D3066" s="1" t="s">
        <v>6768</v>
      </c>
      <c r="F3066" s="1">
        <v>2023</v>
      </c>
      <c r="G3066" s="1" t="s">
        <v>461</v>
      </c>
      <c r="H3066" s="1">
        <v>607655</v>
      </c>
      <c r="I3066" s="1">
        <v>5</v>
      </c>
      <c r="K3066" s="1" t="s">
        <v>6914</v>
      </c>
      <c r="L3066" s="1" t="s">
        <v>6915</v>
      </c>
      <c r="M3066" s="1">
        <v>147</v>
      </c>
      <c r="N3066" s="1" t="s">
        <v>39</v>
      </c>
      <c r="O3066" s="1">
        <v>40.1083</v>
      </c>
      <c r="P3066" s="1">
        <v>-88.598600000000005</v>
      </c>
      <c r="Q3066" s="1" t="s">
        <v>1046</v>
      </c>
      <c r="R3066" s="1" t="s">
        <v>41</v>
      </c>
      <c r="T3066" s="1" t="s">
        <v>93</v>
      </c>
      <c r="U3066" s="1" t="s">
        <v>44</v>
      </c>
      <c r="X3066" s="1" t="s">
        <v>140</v>
      </c>
      <c r="AA3066" s="3">
        <v>37653</v>
      </c>
      <c r="AB3066" s="1" t="s">
        <v>46</v>
      </c>
      <c r="AC3066" s="5">
        <v>1082</v>
      </c>
      <c r="AD3066" s="1" t="s">
        <v>6769</v>
      </c>
      <c r="AE3066" s="1" t="str">
        <f t="shared" si="212"/>
        <v>55496 CT-03</v>
      </c>
      <c r="AF3066" s="5" t="str">
        <f t="shared" si="214"/>
        <v>114</v>
      </c>
      <c r="AG3066" s="1" t="str">
        <f t="shared" si="211"/>
        <v/>
      </c>
    </row>
    <row r="3067" spans="1:33" x14ac:dyDescent="0.2">
      <c r="A3067" s="1" t="s">
        <v>458</v>
      </c>
      <c r="B3067" s="1" t="s">
        <v>6913</v>
      </c>
      <c r="C3067" s="1">
        <v>55496</v>
      </c>
      <c r="D3067" s="1" t="s">
        <v>6770</v>
      </c>
      <c r="F3067" s="1">
        <v>2023</v>
      </c>
      <c r="G3067" s="1" t="s">
        <v>461</v>
      </c>
      <c r="H3067" s="1">
        <v>607655</v>
      </c>
      <c r="I3067" s="1">
        <v>5</v>
      </c>
      <c r="K3067" s="1" t="s">
        <v>6914</v>
      </c>
      <c r="L3067" s="1" t="s">
        <v>6915</v>
      </c>
      <c r="M3067" s="1">
        <v>147</v>
      </c>
      <c r="N3067" s="1" t="s">
        <v>39</v>
      </c>
      <c r="O3067" s="1">
        <v>40.1083</v>
      </c>
      <c r="P3067" s="1">
        <v>-88.598600000000005</v>
      </c>
      <c r="Q3067" s="1" t="s">
        <v>1046</v>
      </c>
      <c r="R3067" s="1" t="s">
        <v>41</v>
      </c>
      <c r="T3067" s="1" t="s">
        <v>93</v>
      </c>
      <c r="U3067" s="1" t="s">
        <v>44</v>
      </c>
      <c r="X3067" s="1" t="s">
        <v>140</v>
      </c>
      <c r="AA3067" s="3">
        <v>37653</v>
      </c>
      <c r="AB3067" s="1" t="s">
        <v>46</v>
      </c>
      <c r="AC3067" s="5">
        <v>1082</v>
      </c>
      <c r="AD3067" s="1" t="s">
        <v>6771</v>
      </c>
      <c r="AE3067" s="1" t="str">
        <f t="shared" si="212"/>
        <v>55496 CT-04</v>
      </c>
      <c r="AF3067" s="5" t="str">
        <f t="shared" si="214"/>
        <v>114</v>
      </c>
      <c r="AG3067" s="1" t="str">
        <f t="shared" si="211"/>
        <v/>
      </c>
    </row>
    <row r="3068" spans="1:33" x14ac:dyDescent="0.2">
      <c r="A3068" s="1" t="s">
        <v>458</v>
      </c>
      <c r="B3068" s="1" t="s">
        <v>6913</v>
      </c>
      <c r="C3068" s="1">
        <v>55496</v>
      </c>
      <c r="D3068" s="1" t="s">
        <v>6916</v>
      </c>
      <c r="F3068" s="1">
        <v>2023</v>
      </c>
      <c r="G3068" s="1" t="s">
        <v>461</v>
      </c>
      <c r="H3068" s="1">
        <v>607655</v>
      </c>
      <c r="I3068" s="1">
        <v>5</v>
      </c>
      <c r="K3068" s="1" t="s">
        <v>6914</v>
      </c>
      <c r="L3068" s="1" t="s">
        <v>6915</v>
      </c>
      <c r="M3068" s="1">
        <v>147</v>
      </c>
      <c r="N3068" s="1" t="s">
        <v>39</v>
      </c>
      <c r="O3068" s="1">
        <v>40.1083</v>
      </c>
      <c r="P3068" s="1">
        <v>-88.598600000000005</v>
      </c>
      <c r="Q3068" s="1" t="s">
        <v>1046</v>
      </c>
      <c r="R3068" s="1" t="s">
        <v>41</v>
      </c>
      <c r="T3068" s="1" t="s">
        <v>93</v>
      </c>
      <c r="U3068" s="1" t="s">
        <v>44</v>
      </c>
      <c r="X3068" s="1" t="s">
        <v>140</v>
      </c>
      <c r="AA3068" s="3">
        <v>37691</v>
      </c>
      <c r="AB3068" s="1" t="s">
        <v>46</v>
      </c>
      <c r="AC3068" s="5">
        <v>1082</v>
      </c>
      <c r="AD3068" s="1" t="s">
        <v>6917</v>
      </c>
      <c r="AE3068" s="1" t="str">
        <f t="shared" si="212"/>
        <v>55496 CT-05</v>
      </c>
      <c r="AF3068" s="5" t="str">
        <f t="shared" si="214"/>
        <v>114</v>
      </c>
      <c r="AG3068" s="1" t="str">
        <f t="shared" si="211"/>
        <v/>
      </c>
    </row>
    <row r="3069" spans="1:33" x14ac:dyDescent="0.2">
      <c r="A3069" s="1" t="s">
        <v>458</v>
      </c>
      <c r="B3069" s="1" t="s">
        <v>6913</v>
      </c>
      <c r="C3069" s="1">
        <v>55496</v>
      </c>
      <c r="D3069" s="1" t="s">
        <v>6918</v>
      </c>
      <c r="F3069" s="1">
        <v>2023</v>
      </c>
      <c r="G3069" s="1" t="s">
        <v>461</v>
      </c>
      <c r="H3069" s="1">
        <v>607655</v>
      </c>
      <c r="I3069" s="1">
        <v>5</v>
      </c>
      <c r="K3069" s="1" t="s">
        <v>6914</v>
      </c>
      <c r="L3069" s="1" t="s">
        <v>6915</v>
      </c>
      <c r="M3069" s="1">
        <v>147</v>
      </c>
      <c r="N3069" s="1" t="s">
        <v>39</v>
      </c>
      <c r="O3069" s="1">
        <v>40.1083</v>
      </c>
      <c r="P3069" s="1">
        <v>-88.598600000000005</v>
      </c>
      <c r="Q3069" s="1" t="s">
        <v>1046</v>
      </c>
      <c r="R3069" s="1" t="s">
        <v>41</v>
      </c>
      <c r="T3069" s="1" t="s">
        <v>93</v>
      </c>
      <c r="U3069" s="1" t="s">
        <v>44</v>
      </c>
      <c r="X3069" s="1" t="s">
        <v>140</v>
      </c>
      <c r="AA3069" s="3">
        <v>37706</v>
      </c>
      <c r="AB3069" s="1" t="s">
        <v>46</v>
      </c>
      <c r="AC3069" s="5">
        <v>1082</v>
      </c>
      <c r="AD3069" s="1" t="s">
        <v>6919</v>
      </c>
      <c r="AE3069" s="1" t="str">
        <f t="shared" si="212"/>
        <v>55496 CT-06</v>
      </c>
      <c r="AF3069" s="5" t="str">
        <f t="shared" si="214"/>
        <v>114</v>
      </c>
      <c r="AG3069" s="1" t="str">
        <f t="shared" si="211"/>
        <v/>
      </c>
    </row>
    <row r="3070" spans="1:33" x14ac:dyDescent="0.2">
      <c r="A3070" s="1" t="s">
        <v>370</v>
      </c>
      <c r="B3070" s="1" t="s">
        <v>6920</v>
      </c>
      <c r="C3070" s="1">
        <v>55499</v>
      </c>
      <c r="D3070" s="1" t="s">
        <v>1155</v>
      </c>
      <c r="F3070" s="1">
        <v>2023</v>
      </c>
      <c r="G3070" s="1" t="s">
        <v>247</v>
      </c>
      <c r="H3070" s="1">
        <v>609325</v>
      </c>
      <c r="I3070" s="1">
        <v>9</v>
      </c>
      <c r="J3070" s="1" t="s">
        <v>237</v>
      </c>
      <c r="K3070" s="1" t="s">
        <v>6921</v>
      </c>
      <c r="L3070" s="1" t="s">
        <v>6922</v>
      </c>
      <c r="M3070" s="1">
        <v>95</v>
      </c>
      <c r="N3070" s="1" t="s">
        <v>39</v>
      </c>
      <c r="O3070" s="1">
        <v>38.398899999999998</v>
      </c>
      <c r="P3070" s="1">
        <v>-121.9239</v>
      </c>
      <c r="Q3070" s="1" t="s">
        <v>6923</v>
      </c>
      <c r="R3070" s="1" t="s">
        <v>41</v>
      </c>
      <c r="T3070" s="1" t="s">
        <v>93</v>
      </c>
      <c r="U3070" s="1" t="s">
        <v>44</v>
      </c>
      <c r="X3070" s="1" t="s">
        <v>442</v>
      </c>
      <c r="AA3070" s="3">
        <v>37227</v>
      </c>
      <c r="AB3070" s="1" t="s">
        <v>46</v>
      </c>
      <c r="AC3070" s="5">
        <v>600</v>
      </c>
      <c r="AD3070" s="1" t="s">
        <v>6924</v>
      </c>
      <c r="AE3070" s="1" t="str">
        <f t="shared" si="212"/>
        <v>55499 GT-1</v>
      </c>
      <c r="AF3070" s="5" t="str">
        <f t="shared" si="214"/>
        <v>60.5</v>
      </c>
      <c r="AG3070" s="1" t="str">
        <f t="shared" si="211"/>
        <v>Y</v>
      </c>
    </row>
    <row r="3071" spans="1:33" x14ac:dyDescent="0.2">
      <c r="A3071" s="1" t="s">
        <v>370</v>
      </c>
      <c r="B3071" s="1" t="s">
        <v>6920</v>
      </c>
      <c r="C3071" s="1">
        <v>55499</v>
      </c>
      <c r="D3071" s="1" t="s">
        <v>1162</v>
      </c>
      <c r="F3071" s="1">
        <v>2023</v>
      </c>
      <c r="G3071" s="1" t="s">
        <v>247</v>
      </c>
      <c r="H3071" s="1">
        <v>609325</v>
      </c>
      <c r="I3071" s="1">
        <v>9</v>
      </c>
      <c r="J3071" s="1" t="s">
        <v>237</v>
      </c>
      <c r="K3071" s="1" t="s">
        <v>6921</v>
      </c>
      <c r="L3071" s="1" t="s">
        <v>6922</v>
      </c>
      <c r="M3071" s="1">
        <v>95</v>
      </c>
      <c r="N3071" s="1" t="s">
        <v>39</v>
      </c>
      <c r="O3071" s="1">
        <v>38.398899999999998</v>
      </c>
      <c r="P3071" s="1">
        <v>-121.9239</v>
      </c>
      <c r="Q3071" s="1" t="s">
        <v>6923</v>
      </c>
      <c r="R3071" s="1" t="s">
        <v>41</v>
      </c>
      <c r="T3071" s="1" t="s">
        <v>93</v>
      </c>
      <c r="AA3071" s="3">
        <v>37165</v>
      </c>
      <c r="AB3071" s="1" t="s">
        <v>46</v>
      </c>
      <c r="AD3071" s="1" t="s">
        <v>6924</v>
      </c>
      <c r="AE3071" s="1" t="str">
        <f t="shared" si="212"/>
        <v>55499 GT-2</v>
      </c>
      <c r="AF3071" s="5" t="str">
        <f t="shared" si="214"/>
        <v>60.5</v>
      </c>
      <c r="AG3071" s="1" t="str">
        <f t="shared" si="211"/>
        <v/>
      </c>
    </row>
    <row r="3072" spans="1:33" x14ac:dyDescent="0.2">
      <c r="A3072" s="1" t="s">
        <v>335</v>
      </c>
      <c r="B3072" s="1" t="s">
        <v>6925</v>
      </c>
      <c r="C3072" s="1">
        <v>55501</v>
      </c>
      <c r="D3072" s="1" t="s">
        <v>6794</v>
      </c>
      <c r="F3072" s="1">
        <v>2023</v>
      </c>
      <c r="G3072" s="1" t="s">
        <v>346</v>
      </c>
      <c r="H3072" s="1">
        <v>604188</v>
      </c>
      <c r="I3072" s="1">
        <v>6</v>
      </c>
      <c r="K3072" s="1" t="s">
        <v>6926</v>
      </c>
      <c r="L3072" s="1" t="s">
        <v>6927</v>
      </c>
      <c r="M3072" s="1">
        <v>121</v>
      </c>
      <c r="N3072" s="1" t="s">
        <v>39</v>
      </c>
      <c r="O3072" s="1">
        <v>34.683100000000003</v>
      </c>
      <c r="P3072" s="1">
        <v>-95.934899999999999</v>
      </c>
      <c r="Q3072" s="1" t="s">
        <v>6928</v>
      </c>
      <c r="R3072" s="1" t="s">
        <v>41</v>
      </c>
      <c r="T3072" s="1" t="s">
        <v>71</v>
      </c>
      <c r="U3072" s="1" t="s">
        <v>44</v>
      </c>
      <c r="X3072" s="1" t="s">
        <v>140</v>
      </c>
      <c r="AA3072" s="3">
        <v>37583</v>
      </c>
      <c r="AB3072" s="1" t="s">
        <v>46</v>
      </c>
      <c r="AC3072" s="5">
        <v>2685</v>
      </c>
      <c r="AD3072" s="1" t="s">
        <v>6929</v>
      </c>
      <c r="AE3072" s="1" t="str">
        <f t="shared" si="212"/>
        <v>55501 CTGDB1</v>
      </c>
      <c r="AF3072" s="14">
        <f>AF3073</f>
        <v>342.5</v>
      </c>
      <c r="AG3072" s="1" t="str">
        <f t="shared" si="211"/>
        <v/>
      </c>
    </row>
    <row r="3073" spans="1:33" x14ac:dyDescent="0.2">
      <c r="A3073" s="1" t="s">
        <v>335</v>
      </c>
      <c r="B3073" s="1" t="s">
        <v>6925</v>
      </c>
      <c r="C3073" s="1">
        <v>55501</v>
      </c>
      <c r="D3073" s="1" t="s">
        <v>6799</v>
      </c>
      <c r="F3073" s="1">
        <v>2023</v>
      </c>
      <c r="G3073" s="1" t="s">
        <v>346</v>
      </c>
      <c r="H3073" s="1">
        <v>604188</v>
      </c>
      <c r="I3073" s="1">
        <v>6</v>
      </c>
      <c r="K3073" s="1" t="s">
        <v>6926</v>
      </c>
      <c r="L3073" s="1" t="s">
        <v>6927</v>
      </c>
      <c r="M3073" s="1">
        <v>121</v>
      </c>
      <c r="N3073" s="1" t="s">
        <v>39</v>
      </c>
      <c r="O3073" s="1">
        <v>34.683100000000003</v>
      </c>
      <c r="P3073" s="1">
        <v>-95.934899999999999</v>
      </c>
      <c r="Q3073" s="1" t="s">
        <v>6928</v>
      </c>
      <c r="R3073" s="1" t="s">
        <v>41</v>
      </c>
      <c r="T3073" s="1" t="s">
        <v>71</v>
      </c>
      <c r="U3073" s="1" t="s">
        <v>44</v>
      </c>
      <c r="X3073" s="1" t="s">
        <v>140</v>
      </c>
      <c r="AA3073" s="3">
        <v>37598</v>
      </c>
      <c r="AB3073" s="1" t="s">
        <v>46</v>
      </c>
      <c r="AC3073" s="5">
        <v>2685</v>
      </c>
      <c r="AD3073" s="1" t="s">
        <v>6930</v>
      </c>
      <c r="AE3073" s="1" t="str">
        <f t="shared" si="212"/>
        <v>55501 CTGDB2</v>
      </c>
      <c r="AF3073" s="14">
        <f>MID(AD3073,FIND("(",AD3073)+1,FIND(")",AD3073)-FIND("(",AD3073)-1)+317.2/2</f>
        <v>342.5</v>
      </c>
      <c r="AG3073" s="1" t="str">
        <f t="shared" si="211"/>
        <v/>
      </c>
    </row>
    <row r="3074" spans="1:33" x14ac:dyDescent="0.2">
      <c r="A3074" s="1" t="s">
        <v>335</v>
      </c>
      <c r="B3074" s="1" t="s">
        <v>6925</v>
      </c>
      <c r="C3074" s="1">
        <v>55501</v>
      </c>
      <c r="D3074" s="1" t="s">
        <v>6801</v>
      </c>
      <c r="F3074" s="1">
        <v>2023</v>
      </c>
      <c r="G3074" s="1" t="s">
        <v>346</v>
      </c>
      <c r="H3074" s="1">
        <v>604188</v>
      </c>
      <c r="I3074" s="1">
        <v>6</v>
      </c>
      <c r="K3074" s="1" t="s">
        <v>6926</v>
      </c>
      <c r="L3074" s="1" t="s">
        <v>6927</v>
      </c>
      <c r="M3074" s="1">
        <v>121</v>
      </c>
      <c r="N3074" s="1" t="s">
        <v>39</v>
      </c>
      <c r="O3074" s="1">
        <v>34.683100000000003</v>
      </c>
      <c r="P3074" s="1">
        <v>-95.934899999999999</v>
      </c>
      <c r="Q3074" s="1" t="s">
        <v>6928</v>
      </c>
      <c r="R3074" s="1" t="s">
        <v>41</v>
      </c>
      <c r="T3074" s="1" t="s">
        <v>71</v>
      </c>
      <c r="U3074" s="1" t="s">
        <v>44</v>
      </c>
      <c r="X3074" s="1" t="s">
        <v>140</v>
      </c>
      <c r="AA3074" s="3">
        <v>37627</v>
      </c>
      <c r="AB3074" s="1" t="s">
        <v>46</v>
      </c>
      <c r="AC3074" s="5">
        <v>2685</v>
      </c>
      <c r="AD3074" s="1" t="s">
        <v>6931</v>
      </c>
      <c r="AE3074" s="1" t="str">
        <f t="shared" si="212"/>
        <v>55501 CTGDB3</v>
      </c>
      <c r="AF3074" s="14">
        <f>AF3073</f>
        <v>342.5</v>
      </c>
      <c r="AG3074" s="1" t="str">
        <f t="shared" ref="AG3074:AG3137" si="215">IF(ISNUMBER(SEARCH("selective", X3074)), "Y", "")</f>
        <v/>
      </c>
    </row>
    <row r="3075" spans="1:33" x14ac:dyDescent="0.2">
      <c r="A3075" s="1" t="s">
        <v>335</v>
      </c>
      <c r="B3075" s="1" t="s">
        <v>6925</v>
      </c>
      <c r="C3075" s="1">
        <v>55501</v>
      </c>
      <c r="D3075" s="1" t="s">
        <v>6932</v>
      </c>
      <c r="F3075" s="1">
        <v>2023</v>
      </c>
      <c r="G3075" s="1" t="s">
        <v>346</v>
      </c>
      <c r="H3075" s="1">
        <v>604188</v>
      </c>
      <c r="I3075" s="1">
        <v>6</v>
      </c>
      <c r="K3075" s="1" t="s">
        <v>6926</v>
      </c>
      <c r="L3075" s="1" t="s">
        <v>6927</v>
      </c>
      <c r="M3075" s="1">
        <v>121</v>
      </c>
      <c r="N3075" s="1" t="s">
        <v>39</v>
      </c>
      <c r="O3075" s="1">
        <v>34.683100000000003</v>
      </c>
      <c r="P3075" s="1">
        <v>-95.934899999999999</v>
      </c>
      <c r="Q3075" s="1" t="s">
        <v>6928</v>
      </c>
      <c r="R3075" s="1" t="s">
        <v>41</v>
      </c>
      <c r="T3075" s="1" t="s">
        <v>71</v>
      </c>
      <c r="U3075" s="1" t="s">
        <v>44</v>
      </c>
      <c r="X3075" s="1" t="s">
        <v>140</v>
      </c>
      <c r="AA3075" s="3">
        <v>37633</v>
      </c>
      <c r="AB3075" s="1" t="s">
        <v>46</v>
      </c>
      <c r="AC3075" s="5">
        <v>2685</v>
      </c>
      <c r="AD3075" s="1" t="s">
        <v>6933</v>
      </c>
      <c r="AE3075" s="1" t="str">
        <f t="shared" ref="AE3075:AE3138" si="216">C3075&amp;" "&amp;D3075</f>
        <v>55501 CTGDB4</v>
      </c>
      <c r="AF3075" s="14">
        <f>AF3073</f>
        <v>342.5</v>
      </c>
      <c r="AG3075" s="1" t="str">
        <f t="shared" si="215"/>
        <v/>
      </c>
    </row>
    <row r="3076" spans="1:33" x14ac:dyDescent="0.2">
      <c r="A3076" s="1" t="s">
        <v>1071</v>
      </c>
      <c r="B3076" s="1" t="s">
        <v>6934</v>
      </c>
      <c r="C3076" s="1">
        <v>55502</v>
      </c>
      <c r="D3076" s="1">
        <v>1</v>
      </c>
      <c r="F3076" s="1">
        <v>2023</v>
      </c>
      <c r="G3076" s="1" t="s">
        <v>461</v>
      </c>
      <c r="H3076" s="1">
        <v>610098</v>
      </c>
      <c r="I3076" s="1">
        <v>5</v>
      </c>
      <c r="J3076" s="1" t="s">
        <v>169</v>
      </c>
      <c r="K3076" s="1" t="s">
        <v>6935</v>
      </c>
      <c r="L3076" s="1" t="s">
        <v>6936</v>
      </c>
      <c r="M3076" s="1">
        <v>29</v>
      </c>
      <c r="N3076" s="1" t="s">
        <v>39</v>
      </c>
      <c r="O3076" s="1">
        <v>39.091299999999997</v>
      </c>
      <c r="P3076" s="1">
        <v>-84.866699999999994</v>
      </c>
      <c r="Q3076" s="1" t="s">
        <v>6937</v>
      </c>
      <c r="R3076" s="1" t="s">
        <v>41</v>
      </c>
      <c r="T3076" s="1" t="s">
        <v>71</v>
      </c>
      <c r="U3076" s="1" t="s">
        <v>44</v>
      </c>
      <c r="X3076" s="1" t="s">
        <v>64</v>
      </c>
      <c r="AA3076" s="3">
        <v>37870</v>
      </c>
      <c r="AB3076" s="1" t="s">
        <v>46</v>
      </c>
      <c r="AC3076" s="5">
        <v>2411</v>
      </c>
      <c r="AD3076" s="1" t="s">
        <v>6938</v>
      </c>
      <c r="AE3076" s="1" t="str">
        <f t="shared" si="216"/>
        <v>55502 1</v>
      </c>
      <c r="AF3076" s="14">
        <f>MID(AD3076,FIND("(",AD3076)+1,FIND(")",AD3076)-FIND("(",AD3076)-1)+268/2</f>
        <v>308</v>
      </c>
      <c r="AG3076" s="1" t="str">
        <f t="shared" si="215"/>
        <v>Y</v>
      </c>
    </row>
    <row r="3077" spans="1:33" x14ac:dyDescent="0.2">
      <c r="A3077" s="1" t="s">
        <v>1071</v>
      </c>
      <c r="B3077" s="1" t="s">
        <v>6934</v>
      </c>
      <c r="C3077" s="1">
        <v>55502</v>
      </c>
      <c r="D3077" s="1">
        <v>2</v>
      </c>
      <c r="F3077" s="1">
        <v>2023</v>
      </c>
      <c r="G3077" s="1" t="s">
        <v>461</v>
      </c>
      <c r="H3077" s="1">
        <v>610098</v>
      </c>
      <c r="I3077" s="1">
        <v>5</v>
      </c>
      <c r="J3077" s="1" t="s">
        <v>169</v>
      </c>
      <c r="K3077" s="1" t="s">
        <v>6935</v>
      </c>
      <c r="L3077" s="1" t="s">
        <v>6936</v>
      </c>
      <c r="M3077" s="1">
        <v>29</v>
      </c>
      <c r="N3077" s="1" t="s">
        <v>39</v>
      </c>
      <c r="O3077" s="1">
        <v>39.091299999999997</v>
      </c>
      <c r="P3077" s="1">
        <v>-84.866699999999994</v>
      </c>
      <c r="Q3077" s="1" t="s">
        <v>6937</v>
      </c>
      <c r="R3077" s="1" t="s">
        <v>41</v>
      </c>
      <c r="T3077" s="1" t="s">
        <v>71</v>
      </c>
      <c r="U3077" s="1" t="s">
        <v>44</v>
      </c>
      <c r="X3077" s="1" t="s">
        <v>64</v>
      </c>
      <c r="AA3077" s="3">
        <v>37869</v>
      </c>
      <c r="AB3077" s="1" t="s">
        <v>46</v>
      </c>
      <c r="AC3077" s="5">
        <v>2411</v>
      </c>
      <c r="AD3077" s="1" t="s">
        <v>6939</v>
      </c>
      <c r="AE3077" s="1" t="str">
        <f t="shared" si="216"/>
        <v>55502 2</v>
      </c>
      <c r="AF3077" s="14">
        <f>AF3076</f>
        <v>308</v>
      </c>
      <c r="AG3077" s="1" t="str">
        <f t="shared" si="215"/>
        <v>Y</v>
      </c>
    </row>
    <row r="3078" spans="1:33" x14ac:dyDescent="0.2">
      <c r="A3078" s="1" t="s">
        <v>1071</v>
      </c>
      <c r="B3078" s="1" t="s">
        <v>6934</v>
      </c>
      <c r="C3078" s="1">
        <v>55502</v>
      </c>
      <c r="D3078" s="1">
        <v>3</v>
      </c>
      <c r="F3078" s="1">
        <v>2023</v>
      </c>
      <c r="G3078" s="1" t="s">
        <v>461</v>
      </c>
      <c r="H3078" s="1">
        <v>610098</v>
      </c>
      <c r="I3078" s="1">
        <v>5</v>
      </c>
      <c r="J3078" s="1" t="s">
        <v>169</v>
      </c>
      <c r="K3078" s="1" t="s">
        <v>6935</v>
      </c>
      <c r="L3078" s="1" t="s">
        <v>6936</v>
      </c>
      <c r="M3078" s="1">
        <v>29</v>
      </c>
      <c r="N3078" s="1" t="s">
        <v>39</v>
      </c>
      <c r="O3078" s="1">
        <v>39.091299999999997</v>
      </c>
      <c r="P3078" s="1">
        <v>-84.866699999999994</v>
      </c>
      <c r="Q3078" s="1" t="s">
        <v>6937</v>
      </c>
      <c r="R3078" s="1" t="s">
        <v>41</v>
      </c>
      <c r="T3078" s="1" t="s">
        <v>71</v>
      </c>
      <c r="U3078" s="1" t="s">
        <v>44</v>
      </c>
      <c r="X3078" s="1" t="s">
        <v>64</v>
      </c>
      <c r="AA3078" s="3">
        <v>37907</v>
      </c>
      <c r="AB3078" s="1" t="s">
        <v>46</v>
      </c>
      <c r="AC3078" s="5">
        <v>2411</v>
      </c>
      <c r="AD3078" s="1" t="s">
        <v>6940</v>
      </c>
      <c r="AE3078" s="1" t="str">
        <f t="shared" si="216"/>
        <v>55502 3</v>
      </c>
      <c r="AF3078" s="14">
        <f>MID(AD3078,FIND("(",AD3078)+1,FIND(")",AD3078)-FIND("(",AD3078)-1)+268/2</f>
        <v>308</v>
      </c>
      <c r="AG3078" s="1" t="str">
        <f t="shared" si="215"/>
        <v>Y</v>
      </c>
    </row>
    <row r="3079" spans="1:33" x14ac:dyDescent="0.2">
      <c r="A3079" s="1" t="s">
        <v>1071</v>
      </c>
      <c r="B3079" s="1" t="s">
        <v>6934</v>
      </c>
      <c r="C3079" s="1">
        <v>55502</v>
      </c>
      <c r="D3079" s="1">
        <v>4</v>
      </c>
      <c r="F3079" s="1">
        <v>2023</v>
      </c>
      <c r="G3079" s="1" t="s">
        <v>461</v>
      </c>
      <c r="H3079" s="1">
        <v>610098</v>
      </c>
      <c r="I3079" s="1">
        <v>5</v>
      </c>
      <c r="J3079" s="1" t="s">
        <v>169</v>
      </c>
      <c r="K3079" s="1" t="s">
        <v>6935</v>
      </c>
      <c r="L3079" s="1" t="s">
        <v>6936</v>
      </c>
      <c r="M3079" s="1">
        <v>29</v>
      </c>
      <c r="N3079" s="1" t="s">
        <v>39</v>
      </c>
      <c r="O3079" s="1">
        <v>39.091299999999997</v>
      </c>
      <c r="P3079" s="1">
        <v>-84.866699999999994</v>
      </c>
      <c r="Q3079" s="1" t="s">
        <v>6937</v>
      </c>
      <c r="R3079" s="1" t="s">
        <v>41</v>
      </c>
      <c r="T3079" s="1" t="s">
        <v>71</v>
      </c>
      <c r="U3079" s="1" t="s">
        <v>44</v>
      </c>
      <c r="X3079" s="1" t="s">
        <v>64</v>
      </c>
      <c r="AA3079" s="3">
        <v>37909</v>
      </c>
      <c r="AB3079" s="1" t="s">
        <v>46</v>
      </c>
      <c r="AC3079" s="5">
        <v>2411</v>
      </c>
      <c r="AD3079" s="1" t="s">
        <v>6941</v>
      </c>
      <c r="AE3079" s="1" t="str">
        <f t="shared" si="216"/>
        <v>55502 4</v>
      </c>
      <c r="AF3079" s="14">
        <f>AF3078</f>
        <v>308</v>
      </c>
      <c r="AG3079" s="1" t="str">
        <f t="shared" si="215"/>
        <v>Y</v>
      </c>
    </row>
    <row r="3080" spans="1:33" x14ac:dyDescent="0.2">
      <c r="A3080" s="1" t="s">
        <v>2430</v>
      </c>
      <c r="B3080" s="1" t="s">
        <v>6942</v>
      </c>
      <c r="C3080" s="1">
        <v>55503</v>
      </c>
      <c r="D3080" s="1">
        <v>1</v>
      </c>
      <c r="F3080" s="1">
        <v>2023</v>
      </c>
      <c r="G3080" s="1" t="s">
        <v>461</v>
      </c>
      <c r="H3080" s="1">
        <v>610098</v>
      </c>
      <c r="I3080" s="1">
        <v>5</v>
      </c>
      <c r="J3080" s="1" t="s">
        <v>169</v>
      </c>
      <c r="K3080" s="1" t="s">
        <v>196</v>
      </c>
      <c r="L3080" s="1" t="s">
        <v>6691</v>
      </c>
      <c r="M3080" s="1">
        <v>167</v>
      </c>
      <c r="N3080" s="1" t="s">
        <v>39</v>
      </c>
      <c r="O3080" s="1">
        <v>39.531399999999998</v>
      </c>
      <c r="P3080" s="1">
        <v>-81.717200000000005</v>
      </c>
      <c r="Q3080" s="1" t="s">
        <v>6943</v>
      </c>
      <c r="R3080" s="1" t="s">
        <v>41</v>
      </c>
      <c r="T3080" s="1" t="s">
        <v>71</v>
      </c>
      <c r="U3080" s="1" t="s">
        <v>44</v>
      </c>
      <c r="X3080" s="1" t="s">
        <v>64</v>
      </c>
      <c r="AA3080" s="3">
        <v>37723</v>
      </c>
      <c r="AB3080" s="1" t="s">
        <v>46</v>
      </c>
      <c r="AC3080" s="5">
        <v>2460</v>
      </c>
      <c r="AD3080" s="1" t="s">
        <v>6944</v>
      </c>
      <c r="AE3080" s="1" t="str">
        <f t="shared" si="216"/>
        <v>55503 1</v>
      </c>
      <c r="AF3080" s="14">
        <f>MID(AD3080,FIND("(",AD3080)+1,FIND(")",AD3080)-FIND("(",AD3080)-1)+399/3</f>
        <v>307.2</v>
      </c>
      <c r="AG3080" s="1" t="str">
        <f t="shared" si="215"/>
        <v>Y</v>
      </c>
    </row>
    <row r="3081" spans="1:33" x14ac:dyDescent="0.2">
      <c r="A3081" s="1" t="s">
        <v>2430</v>
      </c>
      <c r="B3081" s="1" t="s">
        <v>6942</v>
      </c>
      <c r="C3081" s="1">
        <v>55503</v>
      </c>
      <c r="D3081" s="1">
        <v>2</v>
      </c>
      <c r="F3081" s="1">
        <v>2023</v>
      </c>
      <c r="G3081" s="1" t="s">
        <v>461</v>
      </c>
      <c r="H3081" s="1">
        <v>610098</v>
      </c>
      <c r="I3081" s="1">
        <v>5</v>
      </c>
      <c r="J3081" s="1" t="s">
        <v>169</v>
      </c>
      <c r="K3081" s="1" t="s">
        <v>196</v>
      </c>
      <c r="L3081" s="1" t="s">
        <v>6691</v>
      </c>
      <c r="M3081" s="1">
        <v>167</v>
      </c>
      <c r="N3081" s="1" t="s">
        <v>39</v>
      </c>
      <c r="O3081" s="1">
        <v>39.531399999999998</v>
      </c>
      <c r="P3081" s="1">
        <v>-81.717200000000005</v>
      </c>
      <c r="Q3081" s="1" t="s">
        <v>6943</v>
      </c>
      <c r="R3081" s="1" t="s">
        <v>41</v>
      </c>
      <c r="T3081" s="1" t="s">
        <v>71</v>
      </c>
      <c r="U3081" s="1" t="s">
        <v>44</v>
      </c>
      <c r="X3081" s="1" t="s">
        <v>64</v>
      </c>
      <c r="AA3081" s="3">
        <v>37721</v>
      </c>
      <c r="AB3081" s="1" t="s">
        <v>46</v>
      </c>
      <c r="AC3081" s="5">
        <v>2460</v>
      </c>
      <c r="AD3081" s="1" t="s">
        <v>6945</v>
      </c>
      <c r="AE3081" s="1" t="str">
        <f t="shared" si="216"/>
        <v>55503 2</v>
      </c>
      <c r="AF3081" s="14">
        <f>AF3080</f>
        <v>307.2</v>
      </c>
      <c r="AG3081" s="1" t="str">
        <f t="shared" si="215"/>
        <v>Y</v>
      </c>
    </row>
    <row r="3082" spans="1:33" x14ac:dyDescent="0.2">
      <c r="A3082" s="1" t="s">
        <v>2430</v>
      </c>
      <c r="B3082" s="1" t="s">
        <v>6942</v>
      </c>
      <c r="C3082" s="1">
        <v>55503</v>
      </c>
      <c r="D3082" s="1">
        <v>3</v>
      </c>
      <c r="F3082" s="1">
        <v>2023</v>
      </c>
      <c r="G3082" s="1" t="s">
        <v>461</v>
      </c>
      <c r="H3082" s="1">
        <v>610098</v>
      </c>
      <c r="I3082" s="1">
        <v>5</v>
      </c>
      <c r="J3082" s="1" t="s">
        <v>169</v>
      </c>
      <c r="K3082" s="1" t="s">
        <v>196</v>
      </c>
      <c r="L3082" s="1" t="s">
        <v>6691</v>
      </c>
      <c r="M3082" s="1">
        <v>167</v>
      </c>
      <c r="N3082" s="1" t="s">
        <v>39</v>
      </c>
      <c r="O3082" s="1">
        <v>39.531399999999998</v>
      </c>
      <c r="P3082" s="1">
        <v>-81.717200000000005</v>
      </c>
      <c r="Q3082" s="1" t="s">
        <v>6943</v>
      </c>
      <c r="R3082" s="1" t="s">
        <v>41</v>
      </c>
      <c r="T3082" s="1" t="s">
        <v>71</v>
      </c>
      <c r="U3082" s="1" t="s">
        <v>44</v>
      </c>
      <c r="X3082" s="1" t="s">
        <v>64</v>
      </c>
      <c r="AA3082" s="3">
        <v>37718</v>
      </c>
      <c r="AB3082" s="1" t="s">
        <v>46</v>
      </c>
      <c r="AC3082" s="5">
        <v>2460</v>
      </c>
      <c r="AD3082" s="1" t="s">
        <v>6946</v>
      </c>
      <c r="AE3082" s="1" t="str">
        <f t="shared" si="216"/>
        <v>55503 3</v>
      </c>
      <c r="AF3082" s="14">
        <f>AF3080</f>
        <v>307.2</v>
      </c>
      <c r="AG3082" s="1" t="str">
        <f t="shared" si="215"/>
        <v>Y</v>
      </c>
    </row>
    <row r="3083" spans="1:33" x14ac:dyDescent="0.2">
      <c r="A3083" s="1" t="s">
        <v>516</v>
      </c>
      <c r="B3083" s="1" t="s">
        <v>6947</v>
      </c>
      <c r="C3083" s="1">
        <v>55504</v>
      </c>
      <c r="D3083" s="1" t="s">
        <v>6948</v>
      </c>
      <c r="F3083" s="1">
        <v>2023</v>
      </c>
      <c r="G3083" s="1" t="s">
        <v>247</v>
      </c>
      <c r="H3083" s="1">
        <v>603008</v>
      </c>
      <c r="I3083" s="1">
        <v>8</v>
      </c>
      <c r="K3083" s="1" t="s">
        <v>3267</v>
      </c>
      <c r="L3083" s="1" t="s">
        <v>6949</v>
      </c>
      <c r="M3083" s="1">
        <v>73</v>
      </c>
      <c r="N3083" s="1" t="s">
        <v>39</v>
      </c>
      <c r="O3083" s="1">
        <v>39.203800000000001</v>
      </c>
      <c r="P3083" s="1">
        <v>-103.70050000000001</v>
      </c>
      <c r="Q3083" s="1" t="s">
        <v>6950</v>
      </c>
      <c r="R3083" s="1" t="s">
        <v>41</v>
      </c>
      <c r="T3083" s="1" t="s">
        <v>93</v>
      </c>
      <c r="U3083" s="1" t="s">
        <v>44</v>
      </c>
      <c r="V3083" s="1" t="s">
        <v>94</v>
      </c>
      <c r="X3083" s="1" t="s">
        <v>183</v>
      </c>
      <c r="AA3083" s="3">
        <v>37238</v>
      </c>
      <c r="AB3083" s="1" t="s">
        <v>46</v>
      </c>
      <c r="AC3083" s="5">
        <v>1075</v>
      </c>
      <c r="AD3083" s="1" t="s">
        <v>6951</v>
      </c>
      <c r="AE3083" s="1" t="str">
        <f t="shared" si="216"/>
        <v>55504 L1</v>
      </c>
      <c r="AF3083" s="5" t="str">
        <f t="shared" ref="AF3083:AF3094" si="217">MID(AD3083,FIND("(",AD3083)+1,FIND(")",AD3083)-FIND("(",AD3083)-1)</f>
        <v>82</v>
      </c>
      <c r="AG3083" s="1" t="str">
        <f t="shared" si="215"/>
        <v/>
      </c>
    </row>
    <row r="3084" spans="1:33" x14ac:dyDescent="0.2">
      <c r="A3084" s="1" t="s">
        <v>516</v>
      </c>
      <c r="B3084" s="1" t="s">
        <v>6947</v>
      </c>
      <c r="C3084" s="1">
        <v>55504</v>
      </c>
      <c r="D3084" s="1" t="s">
        <v>6952</v>
      </c>
      <c r="F3084" s="1">
        <v>2023</v>
      </c>
      <c r="G3084" s="1" t="s">
        <v>247</v>
      </c>
      <c r="H3084" s="1">
        <v>603008</v>
      </c>
      <c r="I3084" s="1">
        <v>8</v>
      </c>
      <c r="K3084" s="1" t="s">
        <v>3267</v>
      </c>
      <c r="L3084" s="1" t="s">
        <v>6949</v>
      </c>
      <c r="M3084" s="1">
        <v>73</v>
      </c>
      <c r="N3084" s="1" t="s">
        <v>39</v>
      </c>
      <c r="O3084" s="1">
        <v>39.203800000000001</v>
      </c>
      <c r="P3084" s="1">
        <v>-103.70050000000001</v>
      </c>
      <c r="Q3084" s="1" t="s">
        <v>6950</v>
      </c>
      <c r="R3084" s="1" t="s">
        <v>41</v>
      </c>
      <c r="T3084" s="1" t="s">
        <v>93</v>
      </c>
      <c r="U3084" s="1" t="s">
        <v>44</v>
      </c>
      <c r="V3084" s="1" t="s">
        <v>94</v>
      </c>
      <c r="X3084" s="1" t="s">
        <v>183</v>
      </c>
      <c r="AA3084" s="3">
        <v>37246</v>
      </c>
      <c r="AB3084" s="1" t="s">
        <v>46</v>
      </c>
      <c r="AC3084" s="5">
        <v>1075</v>
      </c>
      <c r="AD3084" s="1" t="s">
        <v>6953</v>
      </c>
      <c r="AE3084" s="1" t="str">
        <f t="shared" si="216"/>
        <v>55504 L2</v>
      </c>
      <c r="AF3084" s="5" t="str">
        <f t="shared" si="217"/>
        <v>82</v>
      </c>
      <c r="AG3084" s="1" t="str">
        <f t="shared" si="215"/>
        <v/>
      </c>
    </row>
    <row r="3085" spans="1:33" x14ac:dyDescent="0.2">
      <c r="A3085" s="1" t="s">
        <v>516</v>
      </c>
      <c r="B3085" s="1" t="s">
        <v>6954</v>
      </c>
      <c r="C3085" s="1">
        <v>55505</v>
      </c>
      <c r="D3085" s="1" t="s">
        <v>6955</v>
      </c>
      <c r="F3085" s="1">
        <v>2023</v>
      </c>
      <c r="G3085" s="1" t="s">
        <v>247</v>
      </c>
      <c r="H3085" s="1">
        <v>603008</v>
      </c>
      <c r="I3085" s="1">
        <v>8</v>
      </c>
      <c r="K3085" s="1" t="s">
        <v>217</v>
      </c>
      <c r="L3085" s="1" t="s">
        <v>518</v>
      </c>
      <c r="M3085" s="1">
        <v>1</v>
      </c>
      <c r="N3085" s="1" t="s">
        <v>39</v>
      </c>
      <c r="O3085" s="1">
        <v>39.941400000000002</v>
      </c>
      <c r="P3085" s="1">
        <v>-104.68170000000001</v>
      </c>
      <c r="Q3085" s="1" t="s">
        <v>6950</v>
      </c>
      <c r="R3085" s="1" t="s">
        <v>41</v>
      </c>
      <c r="T3085" s="1" t="s">
        <v>93</v>
      </c>
      <c r="U3085" s="1" t="s">
        <v>44</v>
      </c>
      <c r="V3085" s="1" t="s">
        <v>94</v>
      </c>
      <c r="X3085" s="1" t="s">
        <v>183</v>
      </c>
      <c r="AA3085" s="3">
        <v>37355</v>
      </c>
      <c r="AB3085" s="1" t="s">
        <v>46</v>
      </c>
      <c r="AC3085" s="5">
        <v>1048.9000000000001</v>
      </c>
      <c r="AD3085" s="1" t="s">
        <v>6956</v>
      </c>
      <c r="AE3085" s="1" t="str">
        <f t="shared" si="216"/>
        <v>55505 BR1</v>
      </c>
      <c r="AF3085" s="5" t="str">
        <f t="shared" si="217"/>
        <v>82</v>
      </c>
      <c r="AG3085" s="1" t="str">
        <f t="shared" si="215"/>
        <v/>
      </c>
    </row>
    <row r="3086" spans="1:33" x14ac:dyDescent="0.2">
      <c r="A3086" s="1" t="s">
        <v>516</v>
      </c>
      <c r="B3086" s="1" t="s">
        <v>6954</v>
      </c>
      <c r="C3086" s="1">
        <v>55505</v>
      </c>
      <c r="D3086" s="1" t="s">
        <v>6957</v>
      </c>
      <c r="F3086" s="1">
        <v>2023</v>
      </c>
      <c r="G3086" s="1" t="s">
        <v>247</v>
      </c>
      <c r="H3086" s="1">
        <v>603008</v>
      </c>
      <c r="I3086" s="1">
        <v>8</v>
      </c>
      <c r="K3086" s="1" t="s">
        <v>217</v>
      </c>
      <c r="L3086" s="1" t="s">
        <v>518</v>
      </c>
      <c r="M3086" s="1">
        <v>1</v>
      </c>
      <c r="N3086" s="1" t="s">
        <v>39</v>
      </c>
      <c r="O3086" s="1">
        <v>39.941400000000002</v>
      </c>
      <c r="P3086" s="1">
        <v>-104.68170000000001</v>
      </c>
      <c r="Q3086" s="1" t="s">
        <v>6950</v>
      </c>
      <c r="R3086" s="1" t="s">
        <v>41</v>
      </c>
      <c r="T3086" s="1" t="s">
        <v>93</v>
      </c>
      <c r="U3086" s="1" t="s">
        <v>44</v>
      </c>
      <c r="V3086" s="1" t="s">
        <v>94</v>
      </c>
      <c r="X3086" s="1" t="s">
        <v>183</v>
      </c>
      <c r="AA3086" s="3">
        <v>37365</v>
      </c>
      <c r="AB3086" s="1" t="s">
        <v>46</v>
      </c>
      <c r="AC3086" s="5">
        <v>1030.7</v>
      </c>
      <c r="AD3086" s="1" t="s">
        <v>6958</v>
      </c>
      <c r="AE3086" s="1" t="str">
        <f t="shared" si="216"/>
        <v>55505 BR2</v>
      </c>
      <c r="AF3086" s="5" t="str">
        <f t="shared" si="217"/>
        <v>82</v>
      </c>
      <c r="AG3086" s="1" t="str">
        <f t="shared" si="215"/>
        <v/>
      </c>
    </row>
    <row r="3087" spans="1:33" x14ac:dyDescent="0.2">
      <c r="A3087" s="1" t="s">
        <v>370</v>
      </c>
      <c r="B3087" s="1" t="s">
        <v>6959</v>
      </c>
      <c r="C3087" s="1">
        <v>55508</v>
      </c>
      <c r="D3087" s="1" t="s">
        <v>1155</v>
      </c>
      <c r="F3087" s="1">
        <v>2023</v>
      </c>
      <c r="G3087" s="1" t="s">
        <v>247</v>
      </c>
      <c r="H3087" s="1">
        <v>609325</v>
      </c>
      <c r="I3087" s="1">
        <v>9</v>
      </c>
      <c r="J3087" s="1" t="s">
        <v>237</v>
      </c>
      <c r="K3087" s="1" t="s">
        <v>4802</v>
      </c>
      <c r="L3087" s="1" t="s">
        <v>4803</v>
      </c>
      <c r="M3087" s="1">
        <v>19</v>
      </c>
      <c r="N3087" s="1" t="s">
        <v>39</v>
      </c>
      <c r="O3087" s="1">
        <v>36.653100000000002</v>
      </c>
      <c r="P3087" s="1">
        <v>-120.5797</v>
      </c>
      <c r="Q3087" s="1" t="s">
        <v>6960</v>
      </c>
      <c r="R3087" s="1" t="s">
        <v>41</v>
      </c>
      <c r="T3087" s="1" t="s">
        <v>93</v>
      </c>
      <c r="U3087" s="1" t="s">
        <v>44</v>
      </c>
      <c r="X3087" s="1" t="s">
        <v>442</v>
      </c>
      <c r="AA3087" s="3">
        <v>37214</v>
      </c>
      <c r="AB3087" s="1" t="s">
        <v>46</v>
      </c>
      <c r="AC3087" s="5">
        <v>600</v>
      </c>
      <c r="AD3087" s="1" t="s">
        <v>6961</v>
      </c>
      <c r="AE3087" s="1" t="str">
        <f t="shared" si="216"/>
        <v>55508 GT-1</v>
      </c>
      <c r="AF3087" s="5" t="str">
        <f t="shared" si="217"/>
        <v>60.5</v>
      </c>
      <c r="AG3087" s="1" t="str">
        <f t="shared" si="215"/>
        <v>Y</v>
      </c>
    </row>
    <row r="3088" spans="1:33" x14ac:dyDescent="0.2">
      <c r="A3088" s="1" t="s">
        <v>370</v>
      </c>
      <c r="B3088" s="1" t="s">
        <v>6959</v>
      </c>
      <c r="C3088" s="1">
        <v>55508</v>
      </c>
      <c r="D3088" s="1" t="s">
        <v>1162</v>
      </c>
      <c r="F3088" s="1">
        <v>2023</v>
      </c>
      <c r="G3088" s="1" t="s">
        <v>247</v>
      </c>
      <c r="H3088" s="1">
        <v>609325</v>
      </c>
      <c r="I3088" s="1">
        <v>9</v>
      </c>
      <c r="J3088" s="1" t="s">
        <v>237</v>
      </c>
      <c r="K3088" s="1" t="s">
        <v>4802</v>
      </c>
      <c r="L3088" s="1" t="s">
        <v>4803</v>
      </c>
      <c r="M3088" s="1">
        <v>19</v>
      </c>
      <c r="N3088" s="1" t="s">
        <v>39</v>
      </c>
      <c r="O3088" s="1">
        <v>36.653100000000002</v>
      </c>
      <c r="P3088" s="1">
        <v>-120.5797</v>
      </c>
      <c r="Q3088" s="1" t="s">
        <v>6960</v>
      </c>
      <c r="R3088" s="1" t="s">
        <v>41</v>
      </c>
      <c r="T3088" s="1" t="s">
        <v>93</v>
      </c>
      <c r="AA3088" s="3">
        <v>37135</v>
      </c>
      <c r="AB3088" s="1" t="s">
        <v>46</v>
      </c>
      <c r="AD3088" s="1" t="s">
        <v>6961</v>
      </c>
      <c r="AE3088" s="1" t="str">
        <f t="shared" si="216"/>
        <v>55508 GT-2</v>
      </c>
      <c r="AF3088" s="5" t="str">
        <f t="shared" si="217"/>
        <v>60.5</v>
      </c>
      <c r="AG3088" s="1" t="str">
        <f t="shared" si="215"/>
        <v/>
      </c>
    </row>
    <row r="3089" spans="1:33" x14ac:dyDescent="0.2">
      <c r="A3089" s="1" t="s">
        <v>370</v>
      </c>
      <c r="B3089" s="1" t="s">
        <v>6962</v>
      </c>
      <c r="C3089" s="1">
        <v>55510</v>
      </c>
      <c r="D3089" s="1" t="s">
        <v>1155</v>
      </c>
      <c r="F3089" s="1">
        <v>2023</v>
      </c>
      <c r="G3089" s="1" t="s">
        <v>247</v>
      </c>
      <c r="H3089" s="1">
        <v>609325</v>
      </c>
      <c r="I3089" s="1">
        <v>9</v>
      </c>
      <c r="J3089" s="1" t="s">
        <v>237</v>
      </c>
      <c r="K3089" s="1" t="s">
        <v>395</v>
      </c>
      <c r="L3089" s="1" t="s">
        <v>396</v>
      </c>
      <c r="M3089" s="1">
        <v>73</v>
      </c>
      <c r="N3089" s="1" t="s">
        <v>39</v>
      </c>
      <c r="O3089" s="1">
        <v>32.562199999999997</v>
      </c>
      <c r="P3089" s="1">
        <v>-116.94329999999999</v>
      </c>
      <c r="Q3089" s="1" t="s">
        <v>6963</v>
      </c>
      <c r="R3089" s="1" t="s">
        <v>41</v>
      </c>
      <c r="T3089" s="1" t="s">
        <v>93</v>
      </c>
      <c r="U3089" s="1" t="s">
        <v>44</v>
      </c>
      <c r="X3089" s="1" t="s">
        <v>442</v>
      </c>
      <c r="AA3089" s="3">
        <v>37190</v>
      </c>
      <c r="AB3089" s="1" t="s">
        <v>46</v>
      </c>
      <c r="AC3089" s="5">
        <v>600</v>
      </c>
      <c r="AD3089" s="1" t="s">
        <v>6964</v>
      </c>
      <c r="AE3089" s="1" t="str">
        <f t="shared" si="216"/>
        <v>55510 GT-1</v>
      </c>
      <c r="AF3089" s="5" t="str">
        <f t="shared" si="217"/>
        <v>60.5</v>
      </c>
      <c r="AG3089" s="1" t="str">
        <f t="shared" si="215"/>
        <v>Y</v>
      </c>
    </row>
    <row r="3090" spans="1:33" x14ac:dyDescent="0.2">
      <c r="A3090" s="1" t="s">
        <v>370</v>
      </c>
      <c r="B3090" s="1" t="s">
        <v>6962</v>
      </c>
      <c r="C3090" s="1">
        <v>55510</v>
      </c>
      <c r="D3090" s="1" t="s">
        <v>1162</v>
      </c>
      <c r="F3090" s="1">
        <v>2023</v>
      </c>
      <c r="G3090" s="1" t="s">
        <v>247</v>
      </c>
      <c r="H3090" s="1">
        <v>609325</v>
      </c>
      <c r="I3090" s="1">
        <v>9</v>
      </c>
      <c r="J3090" s="1" t="s">
        <v>237</v>
      </c>
      <c r="K3090" s="1" t="s">
        <v>395</v>
      </c>
      <c r="L3090" s="1" t="s">
        <v>396</v>
      </c>
      <c r="M3090" s="1">
        <v>73</v>
      </c>
      <c r="N3090" s="1" t="s">
        <v>39</v>
      </c>
      <c r="O3090" s="1">
        <v>32.562199999999997</v>
      </c>
      <c r="P3090" s="1">
        <v>-116.94329999999999</v>
      </c>
      <c r="Q3090" s="1" t="s">
        <v>6963</v>
      </c>
      <c r="R3090" s="1" t="s">
        <v>41</v>
      </c>
      <c r="T3090" s="1" t="s">
        <v>93</v>
      </c>
      <c r="AA3090" s="3">
        <v>37135</v>
      </c>
      <c r="AB3090" s="1" t="s">
        <v>46</v>
      </c>
      <c r="AD3090" s="1" t="s">
        <v>6964</v>
      </c>
      <c r="AE3090" s="1" t="str">
        <f t="shared" si="216"/>
        <v>55510 GT-2</v>
      </c>
      <c r="AF3090" s="5" t="str">
        <f t="shared" si="217"/>
        <v>60.5</v>
      </c>
      <c r="AG3090" s="1" t="str">
        <f t="shared" si="215"/>
        <v/>
      </c>
    </row>
    <row r="3091" spans="1:33" x14ac:dyDescent="0.2">
      <c r="A3091" s="1" t="s">
        <v>370</v>
      </c>
      <c r="B3091" s="1" t="s">
        <v>6965</v>
      </c>
      <c r="C3091" s="1">
        <v>55512</v>
      </c>
      <c r="D3091" s="1" t="s">
        <v>1155</v>
      </c>
      <c r="F3091" s="1">
        <v>2023</v>
      </c>
      <c r="G3091" s="1" t="s">
        <v>247</v>
      </c>
      <c r="H3091" s="1" t="s">
        <v>6966</v>
      </c>
      <c r="I3091" s="1">
        <v>9</v>
      </c>
      <c r="K3091" s="1" t="s">
        <v>395</v>
      </c>
      <c r="L3091" s="1" t="s">
        <v>396</v>
      </c>
      <c r="M3091" s="1">
        <v>73</v>
      </c>
      <c r="N3091" s="1" t="s">
        <v>39</v>
      </c>
      <c r="O3091" s="1">
        <v>32.7971</v>
      </c>
      <c r="P3091" s="1">
        <v>-116.97199999999999</v>
      </c>
      <c r="Q3091" s="1" t="s">
        <v>5538</v>
      </c>
      <c r="R3091" s="1" t="s">
        <v>41</v>
      </c>
      <c r="T3091" s="1" t="s">
        <v>93</v>
      </c>
      <c r="U3091" s="1" t="s">
        <v>44</v>
      </c>
      <c r="X3091" s="1" t="s">
        <v>442</v>
      </c>
      <c r="AA3091" s="3">
        <v>37226</v>
      </c>
      <c r="AB3091" s="1" t="s">
        <v>46</v>
      </c>
      <c r="AC3091" s="5">
        <v>600</v>
      </c>
      <c r="AD3091" s="1" t="s">
        <v>6967</v>
      </c>
      <c r="AE3091" s="1" t="str">
        <f t="shared" si="216"/>
        <v>55512 GT-1</v>
      </c>
      <c r="AF3091" s="5" t="str">
        <f t="shared" si="217"/>
        <v>48.7</v>
      </c>
      <c r="AG3091" s="1" t="str">
        <f t="shared" si="215"/>
        <v>Y</v>
      </c>
    </row>
    <row r="3092" spans="1:33" x14ac:dyDescent="0.2">
      <c r="A3092" s="1" t="s">
        <v>370</v>
      </c>
      <c r="B3092" s="1" t="s">
        <v>6965</v>
      </c>
      <c r="C3092" s="1">
        <v>55512</v>
      </c>
      <c r="D3092" s="1" t="s">
        <v>1162</v>
      </c>
      <c r="F3092" s="1">
        <v>2023</v>
      </c>
      <c r="G3092" s="1" t="s">
        <v>247</v>
      </c>
      <c r="H3092" s="1" t="s">
        <v>6966</v>
      </c>
      <c r="I3092" s="1">
        <v>9</v>
      </c>
      <c r="K3092" s="1" t="s">
        <v>395</v>
      </c>
      <c r="L3092" s="1" t="s">
        <v>396</v>
      </c>
      <c r="M3092" s="1">
        <v>73</v>
      </c>
      <c r="N3092" s="1" t="s">
        <v>39</v>
      </c>
      <c r="O3092" s="1">
        <v>32.7971</v>
      </c>
      <c r="P3092" s="1">
        <v>-116.97199999999999</v>
      </c>
      <c r="Q3092" s="1" t="s">
        <v>5538</v>
      </c>
      <c r="R3092" s="1" t="s">
        <v>41</v>
      </c>
      <c r="T3092" s="1" t="s">
        <v>93</v>
      </c>
      <c r="AA3092" s="3">
        <v>37226</v>
      </c>
      <c r="AB3092" s="1" t="s">
        <v>46</v>
      </c>
      <c r="AD3092" s="1" t="s">
        <v>6967</v>
      </c>
      <c r="AE3092" s="1" t="str">
        <f t="shared" si="216"/>
        <v>55512 GT-2</v>
      </c>
      <c r="AF3092" s="5" t="str">
        <f t="shared" si="217"/>
        <v>48.7</v>
      </c>
      <c r="AG3092" s="1" t="str">
        <f t="shared" si="215"/>
        <v/>
      </c>
    </row>
    <row r="3093" spans="1:33" x14ac:dyDescent="0.2">
      <c r="A3093" s="1" t="s">
        <v>370</v>
      </c>
      <c r="B3093" s="1" t="s">
        <v>6968</v>
      </c>
      <c r="C3093" s="1">
        <v>55513</v>
      </c>
      <c r="D3093" s="1" t="s">
        <v>1155</v>
      </c>
      <c r="F3093" s="1">
        <v>2023</v>
      </c>
      <c r="G3093" s="1" t="s">
        <v>247</v>
      </c>
      <c r="H3093" s="1">
        <v>609325</v>
      </c>
      <c r="I3093" s="1">
        <v>9</v>
      </c>
      <c r="K3093" s="1" t="s">
        <v>395</v>
      </c>
      <c r="L3093" s="1" t="s">
        <v>396</v>
      </c>
      <c r="M3093" s="1">
        <v>73</v>
      </c>
      <c r="N3093" s="1" t="s">
        <v>39</v>
      </c>
      <c r="O3093" s="1">
        <v>33.122100000000003</v>
      </c>
      <c r="P3093" s="1">
        <v>-117.117</v>
      </c>
      <c r="Q3093" s="1" t="s">
        <v>6969</v>
      </c>
      <c r="R3093" s="1" t="s">
        <v>41</v>
      </c>
      <c r="T3093" s="1" t="s">
        <v>93</v>
      </c>
      <c r="U3093" s="1" t="s">
        <v>44</v>
      </c>
      <c r="X3093" s="1" t="s">
        <v>442</v>
      </c>
      <c r="AA3093" s="3">
        <v>37187</v>
      </c>
      <c r="AB3093" s="1" t="s">
        <v>46</v>
      </c>
      <c r="AC3093" s="5">
        <v>600</v>
      </c>
      <c r="AD3093" s="1" t="s">
        <v>6970</v>
      </c>
      <c r="AE3093" s="1" t="str">
        <f t="shared" si="216"/>
        <v>55513 GT-1</v>
      </c>
      <c r="AF3093" s="5" t="str">
        <f t="shared" si="217"/>
        <v>58.9</v>
      </c>
      <c r="AG3093" s="1" t="str">
        <f t="shared" si="215"/>
        <v>Y</v>
      </c>
    </row>
    <row r="3094" spans="1:33" x14ac:dyDescent="0.2">
      <c r="A3094" s="1" t="s">
        <v>370</v>
      </c>
      <c r="B3094" s="1" t="s">
        <v>6968</v>
      </c>
      <c r="C3094" s="1">
        <v>55513</v>
      </c>
      <c r="D3094" s="1" t="s">
        <v>1162</v>
      </c>
      <c r="F3094" s="1">
        <v>2023</v>
      </c>
      <c r="G3094" s="1" t="s">
        <v>247</v>
      </c>
      <c r="H3094" s="1">
        <v>609325</v>
      </c>
      <c r="I3094" s="1">
        <v>9</v>
      </c>
      <c r="K3094" s="1" t="s">
        <v>395</v>
      </c>
      <c r="L3094" s="1" t="s">
        <v>396</v>
      </c>
      <c r="M3094" s="1">
        <v>73</v>
      </c>
      <c r="N3094" s="1" t="s">
        <v>39</v>
      </c>
      <c r="O3094" s="1">
        <v>33.122100000000003</v>
      </c>
      <c r="P3094" s="1">
        <v>-117.117</v>
      </c>
      <c r="Q3094" s="1" t="s">
        <v>6969</v>
      </c>
      <c r="R3094" s="1" t="s">
        <v>41</v>
      </c>
      <c r="T3094" s="1" t="s">
        <v>93</v>
      </c>
      <c r="AA3094" s="3">
        <v>37135</v>
      </c>
      <c r="AB3094" s="1" t="s">
        <v>46</v>
      </c>
      <c r="AD3094" s="1" t="s">
        <v>6970</v>
      </c>
      <c r="AE3094" s="1" t="str">
        <f t="shared" si="216"/>
        <v>55513 GT-2</v>
      </c>
      <c r="AF3094" s="5" t="str">
        <f t="shared" si="217"/>
        <v>58.9</v>
      </c>
      <c r="AG3094" s="1" t="str">
        <f t="shared" si="215"/>
        <v/>
      </c>
    </row>
    <row r="3095" spans="1:33" x14ac:dyDescent="0.2">
      <c r="A3095" s="1" t="s">
        <v>1903</v>
      </c>
      <c r="B3095" s="1" t="s">
        <v>6971</v>
      </c>
      <c r="C3095" s="1">
        <v>55514</v>
      </c>
      <c r="D3095" s="1" t="s">
        <v>6907</v>
      </c>
      <c r="F3095" s="1">
        <v>2023</v>
      </c>
      <c r="G3095" s="1" t="s">
        <v>247</v>
      </c>
      <c r="H3095" s="1">
        <v>609567</v>
      </c>
      <c r="I3095" s="1">
        <v>9</v>
      </c>
      <c r="K3095" s="1" t="s">
        <v>170</v>
      </c>
      <c r="L3095" s="1" t="s">
        <v>1906</v>
      </c>
      <c r="M3095" s="1">
        <v>3</v>
      </c>
      <c r="N3095" s="1" t="s">
        <v>39</v>
      </c>
      <c r="O3095" s="1">
        <v>36.4178</v>
      </c>
      <c r="P3095" s="1">
        <v>-114.9622</v>
      </c>
      <c r="Q3095" s="1" t="s">
        <v>6972</v>
      </c>
      <c r="R3095" s="1" t="s">
        <v>41</v>
      </c>
      <c r="T3095" s="1" t="s">
        <v>71</v>
      </c>
      <c r="U3095" s="1" t="s">
        <v>44</v>
      </c>
      <c r="X3095" s="1" t="s">
        <v>64</v>
      </c>
      <c r="AA3095" s="3">
        <v>37711</v>
      </c>
      <c r="AB3095" s="1" t="s">
        <v>46</v>
      </c>
      <c r="AC3095" s="5">
        <v>2410</v>
      </c>
      <c r="AD3095" s="1" t="s">
        <v>6973</v>
      </c>
      <c r="AE3095" s="1" t="str">
        <f t="shared" si="216"/>
        <v>55514 CTG01</v>
      </c>
      <c r="AF3095" s="14">
        <f>MID(AD3095,FIND("(",AD3095)+1,FIND(")",AD3095)-FIND("(",AD3095)-1)+252.6/2</f>
        <v>300.3</v>
      </c>
      <c r="AG3095" s="1" t="str">
        <f t="shared" si="215"/>
        <v>Y</v>
      </c>
    </row>
    <row r="3096" spans="1:33" x14ac:dyDescent="0.2">
      <c r="A3096" s="1" t="s">
        <v>1903</v>
      </c>
      <c r="B3096" s="1" t="s">
        <v>6971</v>
      </c>
      <c r="C3096" s="1">
        <v>55514</v>
      </c>
      <c r="D3096" s="1" t="s">
        <v>6911</v>
      </c>
      <c r="F3096" s="1">
        <v>2023</v>
      </c>
      <c r="G3096" s="1" t="s">
        <v>247</v>
      </c>
      <c r="H3096" s="1">
        <v>609567</v>
      </c>
      <c r="I3096" s="1">
        <v>9</v>
      </c>
      <c r="K3096" s="1" t="s">
        <v>170</v>
      </c>
      <c r="L3096" s="1" t="s">
        <v>1906</v>
      </c>
      <c r="M3096" s="1">
        <v>3</v>
      </c>
      <c r="N3096" s="1" t="s">
        <v>39</v>
      </c>
      <c r="O3096" s="1">
        <v>36.4178</v>
      </c>
      <c r="P3096" s="1">
        <v>-114.9622</v>
      </c>
      <c r="Q3096" s="1" t="s">
        <v>6972</v>
      </c>
      <c r="R3096" s="1" t="s">
        <v>41</v>
      </c>
      <c r="T3096" s="1" t="s">
        <v>71</v>
      </c>
      <c r="U3096" s="1" t="s">
        <v>44</v>
      </c>
      <c r="X3096" s="1" t="s">
        <v>64</v>
      </c>
      <c r="AA3096" s="3">
        <v>37711</v>
      </c>
      <c r="AB3096" s="1" t="s">
        <v>46</v>
      </c>
      <c r="AC3096" s="5">
        <v>2410</v>
      </c>
      <c r="AD3096" s="1" t="s">
        <v>6974</v>
      </c>
      <c r="AE3096" s="1" t="str">
        <f t="shared" si="216"/>
        <v>55514 CTG02</v>
      </c>
      <c r="AF3096" s="14">
        <f>AF3095</f>
        <v>300.3</v>
      </c>
      <c r="AG3096" s="1" t="str">
        <f t="shared" si="215"/>
        <v>Y</v>
      </c>
    </row>
    <row r="3097" spans="1:33" x14ac:dyDescent="0.2">
      <c r="A3097" s="1" t="s">
        <v>2584</v>
      </c>
      <c r="B3097" s="1" t="s">
        <v>6975</v>
      </c>
      <c r="C3097" s="1">
        <v>55516</v>
      </c>
      <c r="D3097" s="1" t="s">
        <v>1129</v>
      </c>
      <c r="F3097" s="1">
        <v>2023</v>
      </c>
      <c r="G3097" s="1" t="s">
        <v>1515</v>
      </c>
      <c r="H3097" s="1">
        <v>603383</v>
      </c>
      <c r="I3097" s="1">
        <v>3</v>
      </c>
      <c r="K3097" s="1" t="s">
        <v>3632</v>
      </c>
      <c r="L3097" s="1" t="s">
        <v>6623</v>
      </c>
      <c r="M3097" s="1">
        <v>51</v>
      </c>
      <c r="N3097" s="1" t="s">
        <v>39</v>
      </c>
      <c r="O3097" s="1">
        <v>39.859200000000001</v>
      </c>
      <c r="P3097" s="1">
        <v>-79.918199999999999</v>
      </c>
      <c r="Q3097" s="1" t="s">
        <v>6976</v>
      </c>
      <c r="R3097" s="1" t="s">
        <v>41</v>
      </c>
      <c r="T3097" s="1" t="s">
        <v>71</v>
      </c>
      <c r="U3097" s="1" t="s">
        <v>44</v>
      </c>
      <c r="X3097" s="1" t="s">
        <v>64</v>
      </c>
      <c r="AA3097" s="3">
        <v>37701</v>
      </c>
      <c r="AB3097" s="1" t="s">
        <v>46</v>
      </c>
      <c r="AC3097" s="5">
        <v>2700</v>
      </c>
      <c r="AD3097" s="1" t="s">
        <v>6977</v>
      </c>
      <c r="AE3097" s="1" t="str">
        <f t="shared" si="216"/>
        <v>55516 CTG1</v>
      </c>
      <c r="AF3097" s="14">
        <f>AF3098</f>
        <v>322.05</v>
      </c>
      <c r="AG3097" s="1" t="str">
        <f t="shared" si="215"/>
        <v>Y</v>
      </c>
    </row>
    <row r="3098" spans="1:33" x14ac:dyDescent="0.2">
      <c r="A3098" s="1" t="s">
        <v>2584</v>
      </c>
      <c r="B3098" s="1" t="s">
        <v>6975</v>
      </c>
      <c r="C3098" s="1">
        <v>55516</v>
      </c>
      <c r="D3098" s="1" t="s">
        <v>1135</v>
      </c>
      <c r="F3098" s="1">
        <v>2023</v>
      </c>
      <c r="G3098" s="1" t="s">
        <v>1515</v>
      </c>
      <c r="H3098" s="1">
        <v>603383</v>
      </c>
      <c r="I3098" s="1">
        <v>3</v>
      </c>
      <c r="K3098" s="1" t="s">
        <v>3632</v>
      </c>
      <c r="L3098" s="1" t="s">
        <v>6623</v>
      </c>
      <c r="M3098" s="1">
        <v>51</v>
      </c>
      <c r="N3098" s="1" t="s">
        <v>39</v>
      </c>
      <c r="O3098" s="1">
        <v>39.859200000000001</v>
      </c>
      <c r="P3098" s="1">
        <v>-79.918199999999999</v>
      </c>
      <c r="Q3098" s="1" t="s">
        <v>6976</v>
      </c>
      <c r="R3098" s="1" t="s">
        <v>41</v>
      </c>
      <c r="T3098" s="1" t="s">
        <v>71</v>
      </c>
      <c r="U3098" s="1" t="s">
        <v>44</v>
      </c>
      <c r="X3098" s="1" t="s">
        <v>64</v>
      </c>
      <c r="AA3098" s="3">
        <v>37696</v>
      </c>
      <c r="AB3098" s="1" t="s">
        <v>46</v>
      </c>
      <c r="AC3098" s="5">
        <v>2700</v>
      </c>
      <c r="AD3098" s="1" t="s">
        <v>6978</v>
      </c>
      <c r="AE3098" s="1" t="str">
        <f t="shared" si="216"/>
        <v>55516 CTG2</v>
      </c>
      <c r="AF3098" s="14">
        <f>MID(AD3098,FIND("(",AD3098)+1,FIND(")",AD3098)-FIND("(",AD3098)-1)+317.1/2</f>
        <v>322.05</v>
      </c>
      <c r="AG3098" s="1" t="str">
        <f t="shared" si="215"/>
        <v>Y</v>
      </c>
    </row>
    <row r="3099" spans="1:33" x14ac:dyDescent="0.2">
      <c r="A3099" s="1" t="s">
        <v>577</v>
      </c>
      <c r="B3099" s="1" t="s">
        <v>6979</v>
      </c>
      <c r="C3099" s="1">
        <v>55517</v>
      </c>
      <c r="D3099" s="1" t="s">
        <v>993</v>
      </c>
      <c r="F3099" s="1">
        <v>2023</v>
      </c>
      <c r="G3099" s="1" t="s">
        <v>579</v>
      </c>
      <c r="H3099" s="1">
        <v>605624</v>
      </c>
      <c r="I3099" s="1">
        <v>1</v>
      </c>
      <c r="K3099" s="1" t="s">
        <v>581</v>
      </c>
      <c r="L3099" s="1" t="s">
        <v>582</v>
      </c>
      <c r="M3099" s="1">
        <v>9</v>
      </c>
      <c r="N3099" s="1" t="s">
        <v>39</v>
      </c>
      <c r="O3099" s="1">
        <v>41.448599999999999</v>
      </c>
      <c r="P3099" s="1">
        <v>-72.835800000000006</v>
      </c>
      <c r="Q3099" s="1" t="s">
        <v>6980</v>
      </c>
      <c r="R3099" s="1" t="s">
        <v>41</v>
      </c>
      <c r="T3099" s="1" t="s">
        <v>93</v>
      </c>
      <c r="U3099" s="1" t="s">
        <v>44</v>
      </c>
      <c r="X3099" s="1" t="s">
        <v>176</v>
      </c>
      <c r="AA3099" s="3">
        <v>37167</v>
      </c>
      <c r="AB3099" s="1" t="s">
        <v>46</v>
      </c>
      <c r="AC3099" s="5">
        <v>530</v>
      </c>
      <c r="AD3099" s="1" t="s">
        <v>6981</v>
      </c>
      <c r="AE3099" s="1" t="str">
        <f t="shared" si="216"/>
        <v>55517 CT01</v>
      </c>
      <c r="AF3099" s="5" t="str">
        <f t="shared" ref="AF3099:AF3105" si="218">MID(AD3099,FIND("(",AD3099)+1,FIND(")",AD3099)-FIND("(",AD3099)-1)</f>
        <v>45</v>
      </c>
      <c r="AG3099" s="1" t="str">
        <f t="shared" si="215"/>
        <v>Y</v>
      </c>
    </row>
    <row r="3100" spans="1:33" x14ac:dyDescent="0.2">
      <c r="A3100" s="1" t="s">
        <v>577</v>
      </c>
      <c r="B3100" s="1" t="s">
        <v>6979</v>
      </c>
      <c r="C3100" s="1">
        <v>55517</v>
      </c>
      <c r="D3100" s="1" t="s">
        <v>998</v>
      </c>
      <c r="F3100" s="1">
        <v>2023</v>
      </c>
      <c r="G3100" s="1" t="s">
        <v>579</v>
      </c>
      <c r="H3100" s="1">
        <v>605624</v>
      </c>
      <c r="I3100" s="1">
        <v>1</v>
      </c>
      <c r="K3100" s="1" t="s">
        <v>581</v>
      </c>
      <c r="L3100" s="1" t="s">
        <v>582</v>
      </c>
      <c r="M3100" s="1">
        <v>9</v>
      </c>
      <c r="N3100" s="1" t="s">
        <v>39</v>
      </c>
      <c r="O3100" s="1">
        <v>41.448599999999999</v>
      </c>
      <c r="P3100" s="1">
        <v>-72.835800000000006</v>
      </c>
      <c r="Q3100" s="1" t="s">
        <v>6980</v>
      </c>
      <c r="R3100" s="1" t="s">
        <v>41</v>
      </c>
      <c r="T3100" s="1" t="s">
        <v>93</v>
      </c>
      <c r="U3100" s="1" t="s">
        <v>44</v>
      </c>
      <c r="X3100" s="1" t="s">
        <v>176</v>
      </c>
      <c r="AA3100" s="3">
        <v>37142</v>
      </c>
      <c r="AB3100" s="1" t="s">
        <v>46</v>
      </c>
      <c r="AC3100" s="5">
        <v>530</v>
      </c>
      <c r="AD3100" s="1" t="s">
        <v>6982</v>
      </c>
      <c r="AE3100" s="1" t="str">
        <f t="shared" si="216"/>
        <v>55517 CT02</v>
      </c>
      <c r="AF3100" s="5" t="str">
        <f t="shared" si="218"/>
        <v>45</v>
      </c>
      <c r="AG3100" s="1" t="str">
        <f t="shared" si="215"/>
        <v>Y</v>
      </c>
    </row>
    <row r="3101" spans="1:33" x14ac:dyDescent="0.2">
      <c r="A3101" s="1" t="s">
        <v>577</v>
      </c>
      <c r="B3101" s="1" t="s">
        <v>6979</v>
      </c>
      <c r="C3101" s="1">
        <v>55517</v>
      </c>
      <c r="D3101" s="1" t="s">
        <v>1043</v>
      </c>
      <c r="F3101" s="1">
        <v>2023</v>
      </c>
      <c r="G3101" s="1" t="s">
        <v>579</v>
      </c>
      <c r="H3101" s="1">
        <v>605624</v>
      </c>
      <c r="I3101" s="1">
        <v>1</v>
      </c>
      <c r="K3101" s="1" t="s">
        <v>581</v>
      </c>
      <c r="L3101" s="1" t="s">
        <v>582</v>
      </c>
      <c r="M3101" s="1">
        <v>9</v>
      </c>
      <c r="N3101" s="1" t="s">
        <v>39</v>
      </c>
      <c r="O3101" s="1">
        <v>41.448599999999999</v>
      </c>
      <c r="P3101" s="1">
        <v>-72.835800000000006</v>
      </c>
      <c r="Q3101" s="1" t="s">
        <v>6980</v>
      </c>
      <c r="R3101" s="1" t="s">
        <v>41</v>
      </c>
      <c r="T3101" s="1" t="s">
        <v>93</v>
      </c>
      <c r="U3101" s="1" t="s">
        <v>44</v>
      </c>
      <c r="X3101" s="1" t="s">
        <v>176</v>
      </c>
      <c r="AA3101" s="3">
        <v>37125</v>
      </c>
      <c r="AB3101" s="1" t="s">
        <v>46</v>
      </c>
      <c r="AC3101" s="5">
        <v>530</v>
      </c>
      <c r="AD3101" s="1" t="s">
        <v>6983</v>
      </c>
      <c r="AE3101" s="1" t="str">
        <f t="shared" si="216"/>
        <v>55517 CT03</v>
      </c>
      <c r="AF3101" s="5" t="str">
        <f t="shared" si="218"/>
        <v>45</v>
      </c>
      <c r="AG3101" s="1" t="str">
        <f t="shared" si="215"/>
        <v>Y</v>
      </c>
    </row>
    <row r="3102" spans="1:33" x14ac:dyDescent="0.2">
      <c r="A3102" s="1" t="s">
        <v>577</v>
      </c>
      <c r="B3102" s="1" t="s">
        <v>6979</v>
      </c>
      <c r="C3102" s="1">
        <v>55517</v>
      </c>
      <c r="D3102" s="1" t="s">
        <v>1048</v>
      </c>
      <c r="F3102" s="1">
        <v>2023</v>
      </c>
      <c r="G3102" s="1" t="s">
        <v>579</v>
      </c>
      <c r="H3102" s="1">
        <v>605624</v>
      </c>
      <c r="I3102" s="1">
        <v>1</v>
      </c>
      <c r="K3102" s="1" t="s">
        <v>581</v>
      </c>
      <c r="L3102" s="1" t="s">
        <v>582</v>
      </c>
      <c r="M3102" s="1">
        <v>9</v>
      </c>
      <c r="N3102" s="1" t="s">
        <v>39</v>
      </c>
      <c r="O3102" s="1">
        <v>41.448599999999999</v>
      </c>
      <c r="P3102" s="1">
        <v>-72.835800000000006</v>
      </c>
      <c r="Q3102" s="1" t="s">
        <v>6980</v>
      </c>
      <c r="R3102" s="1" t="s">
        <v>41</v>
      </c>
      <c r="T3102" s="1" t="s">
        <v>93</v>
      </c>
      <c r="U3102" s="1" t="s">
        <v>44</v>
      </c>
      <c r="X3102" s="1" t="s">
        <v>176</v>
      </c>
      <c r="AA3102" s="3">
        <v>37124</v>
      </c>
      <c r="AB3102" s="1" t="s">
        <v>46</v>
      </c>
      <c r="AC3102" s="5">
        <v>530</v>
      </c>
      <c r="AD3102" s="1" t="s">
        <v>6984</v>
      </c>
      <c r="AE3102" s="1" t="str">
        <f t="shared" si="216"/>
        <v>55517 CT04</v>
      </c>
      <c r="AF3102" s="5" t="str">
        <f t="shared" si="218"/>
        <v>45</v>
      </c>
      <c r="AG3102" s="1" t="str">
        <f t="shared" si="215"/>
        <v>Y</v>
      </c>
    </row>
    <row r="3103" spans="1:33" x14ac:dyDescent="0.2">
      <c r="A3103" s="1" t="s">
        <v>577</v>
      </c>
      <c r="B3103" s="1" t="s">
        <v>6979</v>
      </c>
      <c r="C3103" s="1">
        <v>55517</v>
      </c>
      <c r="D3103" s="1" t="s">
        <v>1050</v>
      </c>
      <c r="F3103" s="1">
        <v>2023</v>
      </c>
      <c r="G3103" s="1" t="s">
        <v>579</v>
      </c>
      <c r="H3103" s="1">
        <v>605624</v>
      </c>
      <c r="I3103" s="1">
        <v>1</v>
      </c>
      <c r="K3103" s="1" t="s">
        <v>581</v>
      </c>
      <c r="L3103" s="1" t="s">
        <v>582</v>
      </c>
      <c r="M3103" s="1">
        <v>9</v>
      </c>
      <c r="N3103" s="1" t="s">
        <v>39</v>
      </c>
      <c r="O3103" s="1">
        <v>41.448599999999999</v>
      </c>
      <c r="P3103" s="1">
        <v>-72.835800000000006</v>
      </c>
      <c r="Q3103" s="1" t="s">
        <v>6980</v>
      </c>
      <c r="R3103" s="1" t="s">
        <v>41</v>
      </c>
      <c r="T3103" s="1" t="s">
        <v>93</v>
      </c>
      <c r="U3103" s="1" t="s">
        <v>44</v>
      </c>
      <c r="X3103" s="1" t="s">
        <v>176</v>
      </c>
      <c r="AA3103" s="3">
        <v>37123</v>
      </c>
      <c r="AB3103" s="1" t="s">
        <v>46</v>
      </c>
      <c r="AC3103" s="5">
        <v>530</v>
      </c>
      <c r="AD3103" s="1" t="s">
        <v>6985</v>
      </c>
      <c r="AE3103" s="1" t="str">
        <f t="shared" si="216"/>
        <v>55517 CT05</v>
      </c>
      <c r="AF3103" s="5" t="str">
        <f t="shared" si="218"/>
        <v>45</v>
      </c>
      <c r="AG3103" s="1" t="str">
        <f t="shared" si="215"/>
        <v>Y</v>
      </c>
    </row>
    <row r="3104" spans="1:33" x14ac:dyDescent="0.2">
      <c r="A3104" s="1" t="s">
        <v>577</v>
      </c>
      <c r="B3104" s="1" t="s">
        <v>6979</v>
      </c>
      <c r="C3104" s="1">
        <v>55517</v>
      </c>
      <c r="D3104" s="1" t="s">
        <v>4517</v>
      </c>
      <c r="F3104" s="1">
        <v>2023</v>
      </c>
      <c r="G3104" s="1" t="s">
        <v>579</v>
      </c>
      <c r="H3104" s="1">
        <v>605624</v>
      </c>
      <c r="I3104" s="1">
        <v>1</v>
      </c>
      <c r="K3104" s="1" t="s">
        <v>581</v>
      </c>
      <c r="L3104" s="1" t="s">
        <v>582</v>
      </c>
      <c r="M3104" s="1">
        <v>9</v>
      </c>
      <c r="N3104" s="1" t="s">
        <v>39</v>
      </c>
      <c r="O3104" s="1">
        <v>41.448599999999999</v>
      </c>
      <c r="P3104" s="1">
        <v>-72.835800000000006</v>
      </c>
      <c r="Q3104" s="1" t="s">
        <v>6980</v>
      </c>
      <c r="R3104" s="1" t="s">
        <v>41</v>
      </c>
      <c r="T3104" s="1" t="s">
        <v>93</v>
      </c>
      <c r="U3104" s="1" t="s">
        <v>44</v>
      </c>
      <c r="X3104" s="1" t="s">
        <v>176</v>
      </c>
      <c r="AA3104" s="3">
        <v>43076</v>
      </c>
      <c r="AB3104" s="1" t="s">
        <v>46</v>
      </c>
      <c r="AC3104" s="5">
        <v>485</v>
      </c>
      <c r="AD3104" s="1" t="s">
        <v>6986</v>
      </c>
      <c r="AE3104" s="1" t="str">
        <f t="shared" si="216"/>
        <v>55517 CT06</v>
      </c>
      <c r="AF3104" s="5" t="str">
        <f t="shared" si="218"/>
        <v>50</v>
      </c>
      <c r="AG3104" s="1" t="str">
        <f t="shared" si="215"/>
        <v>Y</v>
      </c>
    </row>
    <row r="3105" spans="1:33" x14ac:dyDescent="0.2">
      <c r="A3105" s="1" t="s">
        <v>577</v>
      </c>
      <c r="B3105" s="1" t="s">
        <v>6979</v>
      </c>
      <c r="C3105" s="1">
        <v>55517</v>
      </c>
      <c r="D3105" s="1" t="s">
        <v>5961</v>
      </c>
      <c r="F3105" s="1">
        <v>2023</v>
      </c>
      <c r="G3105" s="1" t="s">
        <v>579</v>
      </c>
      <c r="H3105" s="1">
        <v>605624</v>
      </c>
      <c r="I3105" s="1">
        <v>1</v>
      </c>
      <c r="K3105" s="1" t="s">
        <v>581</v>
      </c>
      <c r="L3105" s="1" t="s">
        <v>582</v>
      </c>
      <c r="M3105" s="1">
        <v>9</v>
      </c>
      <c r="N3105" s="1" t="s">
        <v>39</v>
      </c>
      <c r="O3105" s="1">
        <v>41.448599999999999</v>
      </c>
      <c r="P3105" s="1">
        <v>-72.835800000000006</v>
      </c>
      <c r="Q3105" s="1" t="s">
        <v>6980</v>
      </c>
      <c r="R3105" s="1" t="s">
        <v>41</v>
      </c>
      <c r="T3105" s="1" t="s">
        <v>93</v>
      </c>
      <c r="U3105" s="1" t="s">
        <v>44</v>
      </c>
      <c r="X3105" s="1" t="s">
        <v>176</v>
      </c>
      <c r="AA3105" s="3">
        <v>43076</v>
      </c>
      <c r="AB3105" s="1" t="s">
        <v>46</v>
      </c>
      <c r="AC3105" s="5">
        <v>478</v>
      </c>
      <c r="AD3105" s="1" t="s">
        <v>6987</v>
      </c>
      <c r="AE3105" s="1" t="str">
        <f t="shared" si="216"/>
        <v>55517 CT07</v>
      </c>
      <c r="AF3105" s="5" t="str">
        <f t="shared" si="218"/>
        <v>50</v>
      </c>
      <c r="AG3105" s="1" t="str">
        <f t="shared" si="215"/>
        <v>Y</v>
      </c>
    </row>
    <row r="3106" spans="1:33" x14ac:dyDescent="0.2">
      <c r="A3106" s="1" t="s">
        <v>370</v>
      </c>
      <c r="B3106" s="1" t="s">
        <v>6988</v>
      </c>
      <c r="C3106" s="1">
        <v>55518</v>
      </c>
      <c r="D3106" s="1" t="s">
        <v>1129</v>
      </c>
      <c r="F3106" s="1">
        <v>2023</v>
      </c>
      <c r="G3106" s="1" t="s">
        <v>247</v>
      </c>
      <c r="H3106" s="1">
        <v>609325</v>
      </c>
      <c r="I3106" s="1">
        <v>9</v>
      </c>
      <c r="K3106" s="1" t="s">
        <v>439</v>
      </c>
      <c r="L3106" s="1" t="s">
        <v>440</v>
      </c>
      <c r="M3106" s="1">
        <v>71</v>
      </c>
      <c r="N3106" s="1" t="s">
        <v>39</v>
      </c>
      <c r="O3106" s="1">
        <v>34.595300000000002</v>
      </c>
      <c r="P3106" s="1">
        <v>-117.3647</v>
      </c>
      <c r="Q3106" s="1" t="s">
        <v>6989</v>
      </c>
      <c r="R3106" s="1" t="s">
        <v>41</v>
      </c>
      <c r="T3106" s="1" t="s">
        <v>71</v>
      </c>
      <c r="U3106" s="1" t="s">
        <v>44</v>
      </c>
      <c r="X3106" s="1" t="s">
        <v>223</v>
      </c>
      <c r="AA3106" s="3">
        <v>37679</v>
      </c>
      <c r="AB3106" s="1" t="s">
        <v>46</v>
      </c>
      <c r="AC3106" s="5">
        <v>2237</v>
      </c>
      <c r="AD3106" s="1" t="s">
        <v>6990</v>
      </c>
      <c r="AE3106" s="1" t="str">
        <f t="shared" si="216"/>
        <v>55518 CTG1</v>
      </c>
      <c r="AF3106" s="14">
        <f>MID(AD3106,FIND("(",AD3106)+1,FIND(")",AD3106)-FIND("(",AD3106)-1)+330</f>
        <v>507</v>
      </c>
      <c r="AG3106" s="1" t="str">
        <f t="shared" si="215"/>
        <v>Y</v>
      </c>
    </row>
    <row r="3107" spans="1:33" x14ac:dyDescent="0.2">
      <c r="A3107" s="1" t="s">
        <v>370</v>
      </c>
      <c r="B3107" s="1" t="s">
        <v>6988</v>
      </c>
      <c r="C3107" s="1">
        <v>55518</v>
      </c>
      <c r="D3107" s="1" t="s">
        <v>1135</v>
      </c>
      <c r="F3107" s="1">
        <v>2023</v>
      </c>
      <c r="G3107" s="1" t="s">
        <v>247</v>
      </c>
      <c r="H3107" s="1">
        <v>609325</v>
      </c>
      <c r="I3107" s="1">
        <v>9</v>
      </c>
      <c r="K3107" s="1" t="s">
        <v>439</v>
      </c>
      <c r="L3107" s="1" t="s">
        <v>440</v>
      </c>
      <c r="M3107" s="1">
        <v>71</v>
      </c>
      <c r="N3107" s="1" t="s">
        <v>39</v>
      </c>
      <c r="O3107" s="1">
        <v>34.595300000000002</v>
      </c>
      <c r="P3107" s="1">
        <v>-117.3647</v>
      </c>
      <c r="Q3107" s="1" t="s">
        <v>6989</v>
      </c>
      <c r="R3107" s="1" t="s">
        <v>41</v>
      </c>
      <c r="T3107" s="1" t="s">
        <v>71</v>
      </c>
      <c r="U3107" s="1" t="s">
        <v>44</v>
      </c>
      <c r="X3107" s="1" t="s">
        <v>223</v>
      </c>
      <c r="AA3107" s="3">
        <v>37679</v>
      </c>
      <c r="AB3107" s="1" t="s">
        <v>46</v>
      </c>
      <c r="AC3107" s="5">
        <v>2237</v>
      </c>
      <c r="AD3107" s="1" t="s">
        <v>6991</v>
      </c>
      <c r="AE3107" s="1" t="str">
        <f t="shared" si="216"/>
        <v>55518 CTG2</v>
      </c>
      <c r="AF3107" s="14">
        <f>MID(AD3107,FIND("(",AD3107)+1,FIND(")",AD3107)-FIND("(",AD3107)-1)+177</f>
        <v>507</v>
      </c>
      <c r="AG3107" s="1" t="str">
        <f t="shared" si="215"/>
        <v>Y</v>
      </c>
    </row>
    <row r="3108" spans="1:33" x14ac:dyDescent="0.2">
      <c r="A3108" s="1" t="s">
        <v>370</v>
      </c>
      <c r="B3108" s="1" t="s">
        <v>6988</v>
      </c>
      <c r="C3108" s="1">
        <v>55518</v>
      </c>
      <c r="D3108" s="1" t="s">
        <v>6002</v>
      </c>
      <c r="F3108" s="1">
        <v>2023</v>
      </c>
      <c r="G3108" s="1" t="s">
        <v>247</v>
      </c>
      <c r="H3108" s="1">
        <v>609325</v>
      </c>
      <c r="I3108" s="1">
        <v>9</v>
      </c>
      <c r="K3108" s="1" t="s">
        <v>439</v>
      </c>
      <c r="L3108" s="1" t="s">
        <v>440</v>
      </c>
      <c r="M3108" s="1">
        <v>71</v>
      </c>
      <c r="N3108" s="1" t="s">
        <v>39</v>
      </c>
      <c r="O3108" s="1">
        <v>34.595300000000002</v>
      </c>
      <c r="P3108" s="1">
        <v>-117.3647</v>
      </c>
      <c r="Q3108" s="1" t="s">
        <v>6989</v>
      </c>
      <c r="R3108" s="1" t="s">
        <v>41</v>
      </c>
      <c r="T3108" s="1" t="s">
        <v>71</v>
      </c>
      <c r="U3108" s="1" t="s">
        <v>44</v>
      </c>
      <c r="X3108" s="1" t="s">
        <v>223</v>
      </c>
      <c r="AA3108" s="3">
        <v>37679</v>
      </c>
      <c r="AB3108" s="1" t="s">
        <v>46</v>
      </c>
      <c r="AC3108" s="5">
        <v>2237</v>
      </c>
      <c r="AD3108" s="1" t="s">
        <v>6992</v>
      </c>
      <c r="AE3108" s="1" t="str">
        <f t="shared" si="216"/>
        <v>55518 CTG3</v>
      </c>
      <c r="AF3108" s="14">
        <f>MID(AD3108,FIND("(",AD3108)+1,FIND(")",AD3108)-FIND("(",AD3108)-1)+330</f>
        <v>507</v>
      </c>
      <c r="AG3108" s="1" t="str">
        <f t="shared" si="215"/>
        <v>Y</v>
      </c>
    </row>
    <row r="3109" spans="1:33" x14ac:dyDescent="0.2">
      <c r="A3109" s="1" t="s">
        <v>234</v>
      </c>
      <c r="B3109" s="1" t="s">
        <v>6993</v>
      </c>
      <c r="C3109" s="1">
        <v>55522</v>
      </c>
      <c r="D3109" s="1" t="s">
        <v>993</v>
      </c>
      <c r="F3109" s="1">
        <v>2023</v>
      </c>
      <c r="G3109" s="1" t="s">
        <v>247</v>
      </c>
      <c r="H3109" s="1">
        <v>608779</v>
      </c>
      <c r="I3109" s="1">
        <v>9</v>
      </c>
      <c r="K3109" s="1" t="s">
        <v>268</v>
      </c>
      <c r="L3109" s="1" t="s">
        <v>269</v>
      </c>
      <c r="M3109" s="1">
        <v>21</v>
      </c>
      <c r="N3109" s="1" t="s">
        <v>39</v>
      </c>
      <c r="O3109" s="1">
        <v>32.9285</v>
      </c>
      <c r="P3109" s="1">
        <v>-111.5899</v>
      </c>
      <c r="Q3109" s="1" t="s">
        <v>240</v>
      </c>
      <c r="R3109" s="1" t="s">
        <v>41</v>
      </c>
      <c r="T3109" s="1" t="s">
        <v>93</v>
      </c>
      <c r="U3109" s="1" t="s">
        <v>44</v>
      </c>
      <c r="X3109" s="1" t="s">
        <v>176</v>
      </c>
      <c r="AA3109" s="3">
        <v>37404</v>
      </c>
      <c r="AB3109" s="1" t="s">
        <v>46</v>
      </c>
      <c r="AC3109" s="5">
        <v>495</v>
      </c>
      <c r="AD3109" s="1" t="s">
        <v>6994</v>
      </c>
      <c r="AE3109" s="1" t="str">
        <f t="shared" si="216"/>
        <v>55522 CT01</v>
      </c>
      <c r="AF3109" s="5" t="str">
        <f t="shared" ref="AF3109:AF3118" si="219">MID(AD3109,FIND("(",AD3109)+1,FIND(")",AD3109)-FIND("(",AD3109)-1)</f>
        <v>45</v>
      </c>
      <c r="AG3109" s="1" t="str">
        <f t="shared" si="215"/>
        <v>Y</v>
      </c>
    </row>
    <row r="3110" spans="1:33" x14ac:dyDescent="0.2">
      <c r="A3110" s="1" t="s">
        <v>234</v>
      </c>
      <c r="B3110" s="1" t="s">
        <v>6993</v>
      </c>
      <c r="C3110" s="1">
        <v>55522</v>
      </c>
      <c r="D3110" s="1" t="s">
        <v>998</v>
      </c>
      <c r="F3110" s="1">
        <v>2023</v>
      </c>
      <c r="G3110" s="1" t="s">
        <v>247</v>
      </c>
      <c r="H3110" s="1">
        <v>608779</v>
      </c>
      <c r="I3110" s="1">
        <v>9</v>
      </c>
      <c r="K3110" s="1" t="s">
        <v>268</v>
      </c>
      <c r="L3110" s="1" t="s">
        <v>269</v>
      </c>
      <c r="M3110" s="1">
        <v>21</v>
      </c>
      <c r="N3110" s="1" t="s">
        <v>39</v>
      </c>
      <c r="O3110" s="1">
        <v>32.9285</v>
      </c>
      <c r="P3110" s="1">
        <v>-111.5899</v>
      </c>
      <c r="Q3110" s="1" t="s">
        <v>240</v>
      </c>
      <c r="R3110" s="1" t="s">
        <v>41</v>
      </c>
      <c r="T3110" s="1" t="s">
        <v>93</v>
      </c>
      <c r="U3110" s="1" t="s">
        <v>44</v>
      </c>
      <c r="X3110" s="1" t="s">
        <v>176</v>
      </c>
      <c r="AA3110" s="3">
        <v>37405</v>
      </c>
      <c r="AB3110" s="1" t="s">
        <v>46</v>
      </c>
      <c r="AC3110" s="5">
        <v>495</v>
      </c>
      <c r="AD3110" s="1" t="s">
        <v>6995</v>
      </c>
      <c r="AE3110" s="1" t="str">
        <f t="shared" si="216"/>
        <v>55522 CT02</v>
      </c>
      <c r="AF3110" s="5" t="str">
        <f t="shared" si="219"/>
        <v>45</v>
      </c>
      <c r="AG3110" s="1" t="str">
        <f t="shared" si="215"/>
        <v>Y</v>
      </c>
    </row>
    <row r="3111" spans="1:33" x14ac:dyDescent="0.2">
      <c r="A3111" s="1" t="s">
        <v>234</v>
      </c>
      <c r="B3111" s="1" t="s">
        <v>6993</v>
      </c>
      <c r="C3111" s="1">
        <v>55522</v>
      </c>
      <c r="D3111" s="1" t="s">
        <v>1043</v>
      </c>
      <c r="F3111" s="1">
        <v>2023</v>
      </c>
      <c r="G3111" s="1" t="s">
        <v>247</v>
      </c>
      <c r="H3111" s="1">
        <v>608779</v>
      </c>
      <c r="I3111" s="1">
        <v>9</v>
      </c>
      <c r="K3111" s="1" t="s">
        <v>268</v>
      </c>
      <c r="L3111" s="1" t="s">
        <v>269</v>
      </c>
      <c r="M3111" s="1">
        <v>21</v>
      </c>
      <c r="N3111" s="1" t="s">
        <v>39</v>
      </c>
      <c r="O3111" s="1">
        <v>32.9285</v>
      </c>
      <c r="P3111" s="1">
        <v>-111.5899</v>
      </c>
      <c r="Q3111" s="1" t="s">
        <v>240</v>
      </c>
      <c r="R3111" s="1" t="s">
        <v>41</v>
      </c>
      <c r="T3111" s="1" t="s">
        <v>93</v>
      </c>
      <c r="U3111" s="1" t="s">
        <v>44</v>
      </c>
      <c r="X3111" s="1" t="s">
        <v>176</v>
      </c>
      <c r="AA3111" s="3">
        <v>37396</v>
      </c>
      <c r="AB3111" s="1" t="s">
        <v>46</v>
      </c>
      <c r="AC3111" s="5">
        <v>495</v>
      </c>
      <c r="AD3111" s="1" t="s">
        <v>6996</v>
      </c>
      <c r="AE3111" s="1" t="str">
        <f t="shared" si="216"/>
        <v>55522 CT03</v>
      </c>
      <c r="AF3111" s="5" t="str">
        <f t="shared" si="219"/>
        <v>45</v>
      </c>
      <c r="AG3111" s="1" t="str">
        <f t="shared" si="215"/>
        <v>Y</v>
      </c>
    </row>
    <row r="3112" spans="1:33" x14ac:dyDescent="0.2">
      <c r="A3112" s="1" t="s">
        <v>234</v>
      </c>
      <c r="B3112" s="1" t="s">
        <v>6993</v>
      </c>
      <c r="C3112" s="1">
        <v>55522</v>
      </c>
      <c r="D3112" s="1" t="s">
        <v>1048</v>
      </c>
      <c r="F3112" s="1">
        <v>2023</v>
      </c>
      <c r="G3112" s="1" t="s">
        <v>247</v>
      </c>
      <c r="H3112" s="1">
        <v>608779</v>
      </c>
      <c r="I3112" s="1">
        <v>9</v>
      </c>
      <c r="K3112" s="1" t="s">
        <v>268</v>
      </c>
      <c r="L3112" s="1" t="s">
        <v>269</v>
      </c>
      <c r="M3112" s="1">
        <v>21</v>
      </c>
      <c r="N3112" s="1" t="s">
        <v>39</v>
      </c>
      <c r="O3112" s="1">
        <v>32.9285</v>
      </c>
      <c r="P3112" s="1">
        <v>-111.5899</v>
      </c>
      <c r="Q3112" s="1" t="s">
        <v>240</v>
      </c>
      <c r="R3112" s="1" t="s">
        <v>41</v>
      </c>
      <c r="T3112" s="1" t="s">
        <v>93</v>
      </c>
      <c r="U3112" s="1" t="s">
        <v>44</v>
      </c>
      <c r="X3112" s="1" t="s">
        <v>176</v>
      </c>
      <c r="AA3112" s="3">
        <v>37396</v>
      </c>
      <c r="AB3112" s="1" t="s">
        <v>46</v>
      </c>
      <c r="AC3112" s="5">
        <v>495</v>
      </c>
      <c r="AD3112" s="1" t="s">
        <v>6997</v>
      </c>
      <c r="AE3112" s="1" t="str">
        <f t="shared" si="216"/>
        <v>55522 CT04</v>
      </c>
      <c r="AF3112" s="5" t="str">
        <f t="shared" si="219"/>
        <v>45</v>
      </c>
      <c r="AG3112" s="1" t="str">
        <f t="shared" si="215"/>
        <v>Y</v>
      </c>
    </row>
    <row r="3113" spans="1:33" x14ac:dyDescent="0.2">
      <c r="A3113" s="1" t="s">
        <v>234</v>
      </c>
      <c r="B3113" s="1" t="s">
        <v>6993</v>
      </c>
      <c r="C3113" s="1">
        <v>55522</v>
      </c>
      <c r="D3113" s="1" t="s">
        <v>1050</v>
      </c>
      <c r="F3113" s="1">
        <v>2023</v>
      </c>
      <c r="G3113" s="1" t="s">
        <v>247</v>
      </c>
      <c r="H3113" s="1">
        <v>608779</v>
      </c>
      <c r="I3113" s="1">
        <v>9</v>
      </c>
      <c r="K3113" s="1" t="s">
        <v>268</v>
      </c>
      <c r="L3113" s="1" t="s">
        <v>269</v>
      </c>
      <c r="M3113" s="1">
        <v>21</v>
      </c>
      <c r="N3113" s="1" t="s">
        <v>39</v>
      </c>
      <c r="O3113" s="1">
        <v>32.9285</v>
      </c>
      <c r="P3113" s="1">
        <v>-111.5899</v>
      </c>
      <c r="Q3113" s="1" t="s">
        <v>240</v>
      </c>
      <c r="R3113" s="1" t="s">
        <v>41</v>
      </c>
      <c r="T3113" s="1" t="s">
        <v>93</v>
      </c>
      <c r="U3113" s="1" t="s">
        <v>44</v>
      </c>
      <c r="X3113" s="1" t="s">
        <v>176</v>
      </c>
      <c r="AA3113" s="3">
        <v>37380</v>
      </c>
      <c r="AB3113" s="1" t="s">
        <v>46</v>
      </c>
      <c r="AC3113" s="5">
        <v>495</v>
      </c>
      <c r="AD3113" s="1" t="s">
        <v>6998</v>
      </c>
      <c r="AE3113" s="1" t="str">
        <f t="shared" si="216"/>
        <v>55522 CT05</v>
      </c>
      <c r="AF3113" s="5" t="str">
        <f t="shared" si="219"/>
        <v>45</v>
      </c>
      <c r="AG3113" s="1" t="str">
        <f t="shared" si="215"/>
        <v>Y</v>
      </c>
    </row>
    <row r="3114" spans="1:33" x14ac:dyDescent="0.2">
      <c r="A3114" s="1" t="s">
        <v>234</v>
      </c>
      <c r="B3114" s="1" t="s">
        <v>6993</v>
      </c>
      <c r="C3114" s="1">
        <v>55522</v>
      </c>
      <c r="D3114" s="1" t="s">
        <v>4517</v>
      </c>
      <c r="F3114" s="1">
        <v>2023</v>
      </c>
      <c r="G3114" s="1" t="s">
        <v>247</v>
      </c>
      <c r="H3114" s="1">
        <v>608779</v>
      </c>
      <c r="I3114" s="1">
        <v>9</v>
      </c>
      <c r="K3114" s="1" t="s">
        <v>268</v>
      </c>
      <c r="L3114" s="1" t="s">
        <v>269</v>
      </c>
      <c r="M3114" s="1">
        <v>21</v>
      </c>
      <c r="N3114" s="1" t="s">
        <v>39</v>
      </c>
      <c r="O3114" s="1">
        <v>32.9285</v>
      </c>
      <c r="P3114" s="1">
        <v>-111.5899</v>
      </c>
      <c r="Q3114" s="1" t="s">
        <v>240</v>
      </c>
      <c r="R3114" s="1" t="s">
        <v>41</v>
      </c>
      <c r="T3114" s="1" t="s">
        <v>93</v>
      </c>
      <c r="U3114" s="1" t="s">
        <v>44</v>
      </c>
      <c r="X3114" s="1" t="s">
        <v>176</v>
      </c>
      <c r="AA3114" s="3">
        <v>37381</v>
      </c>
      <c r="AB3114" s="1" t="s">
        <v>46</v>
      </c>
      <c r="AC3114" s="5">
        <v>495</v>
      </c>
      <c r="AD3114" s="1" t="s">
        <v>6999</v>
      </c>
      <c r="AE3114" s="1" t="str">
        <f t="shared" si="216"/>
        <v>55522 CT06</v>
      </c>
      <c r="AF3114" s="5" t="str">
        <f t="shared" si="219"/>
        <v>45</v>
      </c>
      <c r="AG3114" s="1" t="str">
        <f t="shared" si="215"/>
        <v>Y</v>
      </c>
    </row>
    <row r="3115" spans="1:33" x14ac:dyDescent="0.2">
      <c r="A3115" s="1" t="s">
        <v>234</v>
      </c>
      <c r="B3115" s="1" t="s">
        <v>6993</v>
      </c>
      <c r="C3115" s="1">
        <v>55522</v>
      </c>
      <c r="D3115" s="1" t="s">
        <v>5961</v>
      </c>
      <c r="F3115" s="1">
        <v>2023</v>
      </c>
      <c r="G3115" s="1" t="s">
        <v>247</v>
      </c>
      <c r="H3115" s="1">
        <v>608779</v>
      </c>
      <c r="I3115" s="1">
        <v>9</v>
      </c>
      <c r="K3115" s="1" t="s">
        <v>268</v>
      </c>
      <c r="L3115" s="1" t="s">
        <v>269</v>
      </c>
      <c r="M3115" s="1">
        <v>21</v>
      </c>
      <c r="N3115" s="1" t="s">
        <v>39</v>
      </c>
      <c r="O3115" s="1">
        <v>32.9285</v>
      </c>
      <c r="P3115" s="1">
        <v>-111.5899</v>
      </c>
      <c r="Q3115" s="1" t="s">
        <v>240</v>
      </c>
      <c r="R3115" s="1" t="s">
        <v>41</v>
      </c>
      <c r="T3115" s="1" t="s">
        <v>93</v>
      </c>
      <c r="U3115" s="1" t="s">
        <v>44</v>
      </c>
      <c r="X3115" s="1" t="s">
        <v>176</v>
      </c>
      <c r="AA3115" s="3">
        <v>37426</v>
      </c>
      <c r="AB3115" s="1" t="s">
        <v>46</v>
      </c>
      <c r="AC3115" s="5">
        <v>495</v>
      </c>
      <c r="AD3115" s="1" t="s">
        <v>7000</v>
      </c>
      <c r="AE3115" s="1" t="str">
        <f t="shared" si="216"/>
        <v>55522 CT07</v>
      </c>
      <c r="AF3115" s="5" t="str">
        <f t="shared" si="219"/>
        <v>45</v>
      </c>
      <c r="AG3115" s="1" t="str">
        <f t="shared" si="215"/>
        <v>Y</v>
      </c>
    </row>
    <row r="3116" spans="1:33" x14ac:dyDescent="0.2">
      <c r="A3116" s="1" t="s">
        <v>234</v>
      </c>
      <c r="B3116" s="1" t="s">
        <v>6993</v>
      </c>
      <c r="C3116" s="1">
        <v>55522</v>
      </c>
      <c r="D3116" s="1" t="s">
        <v>5962</v>
      </c>
      <c r="F3116" s="1">
        <v>2023</v>
      </c>
      <c r="G3116" s="1" t="s">
        <v>247</v>
      </c>
      <c r="H3116" s="1">
        <v>608779</v>
      </c>
      <c r="I3116" s="1">
        <v>9</v>
      </c>
      <c r="K3116" s="1" t="s">
        <v>268</v>
      </c>
      <c r="L3116" s="1" t="s">
        <v>269</v>
      </c>
      <c r="M3116" s="1">
        <v>21</v>
      </c>
      <c r="N3116" s="1" t="s">
        <v>39</v>
      </c>
      <c r="O3116" s="1">
        <v>32.9285</v>
      </c>
      <c r="P3116" s="1">
        <v>-111.5899</v>
      </c>
      <c r="Q3116" s="1" t="s">
        <v>240</v>
      </c>
      <c r="R3116" s="1" t="s">
        <v>41</v>
      </c>
      <c r="T3116" s="1" t="s">
        <v>93</v>
      </c>
      <c r="U3116" s="1" t="s">
        <v>44</v>
      </c>
      <c r="X3116" s="1" t="s">
        <v>176</v>
      </c>
      <c r="AA3116" s="3">
        <v>37434</v>
      </c>
      <c r="AB3116" s="1" t="s">
        <v>46</v>
      </c>
      <c r="AC3116" s="5">
        <v>495</v>
      </c>
      <c r="AD3116" s="1" t="s">
        <v>7001</v>
      </c>
      <c r="AE3116" s="1" t="str">
        <f t="shared" si="216"/>
        <v>55522 CT08</v>
      </c>
      <c r="AF3116" s="5" t="str">
        <f t="shared" si="219"/>
        <v>45</v>
      </c>
      <c r="AG3116" s="1" t="str">
        <f t="shared" si="215"/>
        <v>Y</v>
      </c>
    </row>
    <row r="3117" spans="1:33" x14ac:dyDescent="0.2">
      <c r="A3117" s="1" t="s">
        <v>234</v>
      </c>
      <c r="B3117" s="1" t="s">
        <v>6993</v>
      </c>
      <c r="C3117" s="1">
        <v>55522</v>
      </c>
      <c r="D3117" s="1" t="s">
        <v>7002</v>
      </c>
      <c r="F3117" s="1">
        <v>2023</v>
      </c>
      <c r="G3117" s="1" t="s">
        <v>247</v>
      </c>
      <c r="H3117" s="1">
        <v>608779</v>
      </c>
      <c r="I3117" s="1">
        <v>9</v>
      </c>
      <c r="K3117" s="1" t="s">
        <v>268</v>
      </c>
      <c r="L3117" s="1" t="s">
        <v>269</v>
      </c>
      <c r="M3117" s="1">
        <v>21</v>
      </c>
      <c r="N3117" s="1" t="s">
        <v>39</v>
      </c>
      <c r="O3117" s="1">
        <v>32.9285</v>
      </c>
      <c r="P3117" s="1">
        <v>-111.5899</v>
      </c>
      <c r="Q3117" s="1" t="s">
        <v>240</v>
      </c>
      <c r="R3117" s="1" t="s">
        <v>41</v>
      </c>
      <c r="T3117" s="1" t="s">
        <v>93</v>
      </c>
      <c r="U3117" s="1" t="s">
        <v>44</v>
      </c>
      <c r="X3117" s="1" t="s">
        <v>176</v>
      </c>
      <c r="AA3117" s="3">
        <v>37436</v>
      </c>
      <c r="AB3117" s="1" t="s">
        <v>46</v>
      </c>
      <c r="AC3117" s="5">
        <v>495</v>
      </c>
      <c r="AD3117" s="1" t="s">
        <v>7003</v>
      </c>
      <c r="AE3117" s="1" t="str">
        <f t="shared" si="216"/>
        <v>55522 CT09</v>
      </c>
      <c r="AF3117" s="5" t="str">
        <f t="shared" si="219"/>
        <v>45</v>
      </c>
      <c r="AG3117" s="1" t="str">
        <f t="shared" si="215"/>
        <v>Y</v>
      </c>
    </row>
    <row r="3118" spans="1:33" x14ac:dyDescent="0.2">
      <c r="A3118" s="1" t="s">
        <v>234</v>
      </c>
      <c r="B3118" s="1" t="s">
        <v>6993</v>
      </c>
      <c r="C3118" s="1">
        <v>55522</v>
      </c>
      <c r="D3118" s="1" t="s">
        <v>92</v>
      </c>
      <c r="F3118" s="1">
        <v>2023</v>
      </c>
      <c r="G3118" s="1" t="s">
        <v>247</v>
      </c>
      <c r="H3118" s="1">
        <v>608779</v>
      </c>
      <c r="I3118" s="1">
        <v>9</v>
      </c>
      <c r="K3118" s="1" t="s">
        <v>268</v>
      </c>
      <c r="L3118" s="1" t="s">
        <v>269</v>
      </c>
      <c r="M3118" s="1">
        <v>21</v>
      </c>
      <c r="N3118" s="1" t="s">
        <v>39</v>
      </c>
      <c r="O3118" s="1">
        <v>32.9285</v>
      </c>
      <c r="P3118" s="1">
        <v>-111.5899</v>
      </c>
      <c r="Q3118" s="1" t="s">
        <v>240</v>
      </c>
      <c r="R3118" s="1" t="s">
        <v>41</v>
      </c>
      <c r="T3118" s="1" t="s">
        <v>93</v>
      </c>
      <c r="U3118" s="1" t="s">
        <v>44</v>
      </c>
      <c r="X3118" s="1" t="s">
        <v>176</v>
      </c>
      <c r="AA3118" s="3">
        <v>37436</v>
      </c>
      <c r="AB3118" s="1" t="s">
        <v>46</v>
      </c>
      <c r="AC3118" s="5">
        <v>495</v>
      </c>
      <c r="AD3118" s="1" t="s">
        <v>7004</v>
      </c>
      <c r="AE3118" s="1" t="str">
        <f t="shared" si="216"/>
        <v>55522 CT10</v>
      </c>
      <c r="AF3118" s="5" t="str">
        <f t="shared" si="219"/>
        <v>45</v>
      </c>
      <c r="AG3118" s="1" t="str">
        <f t="shared" si="215"/>
        <v>Y</v>
      </c>
    </row>
    <row r="3119" spans="1:33" x14ac:dyDescent="0.2">
      <c r="A3119" s="1" t="s">
        <v>2584</v>
      </c>
      <c r="B3119" s="1" t="s">
        <v>7005</v>
      </c>
      <c r="C3119" s="1">
        <v>55524</v>
      </c>
      <c r="D3119" s="1">
        <v>1</v>
      </c>
      <c r="F3119" s="1">
        <v>2023</v>
      </c>
      <c r="G3119" s="1" t="s">
        <v>1515</v>
      </c>
      <c r="H3119" s="1">
        <v>609575</v>
      </c>
      <c r="I3119" s="1">
        <v>3</v>
      </c>
      <c r="K3119" s="1" t="s">
        <v>2604</v>
      </c>
      <c r="L3119" s="1" t="s">
        <v>2605</v>
      </c>
      <c r="M3119" s="1">
        <v>133</v>
      </c>
      <c r="N3119" s="1" t="s">
        <v>39</v>
      </c>
      <c r="O3119" s="1">
        <v>39.738</v>
      </c>
      <c r="P3119" s="1">
        <v>-76.307199999999995</v>
      </c>
      <c r="Q3119" s="1" t="s">
        <v>7006</v>
      </c>
      <c r="R3119" s="1" t="s">
        <v>41</v>
      </c>
      <c r="T3119" s="1" t="s">
        <v>71</v>
      </c>
      <c r="U3119" s="1" t="s">
        <v>44</v>
      </c>
      <c r="V3119" s="1" t="s">
        <v>94</v>
      </c>
      <c r="X3119" s="1" t="s">
        <v>223</v>
      </c>
      <c r="AA3119" s="3">
        <v>40604</v>
      </c>
      <c r="AB3119" s="1" t="s">
        <v>46</v>
      </c>
      <c r="AC3119" s="5">
        <v>1675</v>
      </c>
      <c r="AD3119" s="1" t="s">
        <v>7007</v>
      </c>
      <c r="AE3119" s="1" t="str">
        <f t="shared" si="216"/>
        <v>55524 1</v>
      </c>
      <c r="AF3119" s="14">
        <f>MID(AD3119,FIND("(",AD3119)+1,FIND(")",AD3119)-FIND("(",AD3119)-1)+200/3</f>
        <v>186.66666666666669</v>
      </c>
      <c r="AG3119" s="1" t="str">
        <f t="shared" si="215"/>
        <v>Y</v>
      </c>
    </row>
    <row r="3120" spans="1:33" x14ac:dyDescent="0.2">
      <c r="A3120" s="1" t="s">
        <v>2584</v>
      </c>
      <c r="B3120" s="1" t="s">
        <v>7005</v>
      </c>
      <c r="C3120" s="1">
        <v>55524</v>
      </c>
      <c r="D3120" s="1">
        <v>2</v>
      </c>
      <c r="F3120" s="1">
        <v>2023</v>
      </c>
      <c r="G3120" s="1" t="s">
        <v>1515</v>
      </c>
      <c r="H3120" s="1">
        <v>609575</v>
      </c>
      <c r="I3120" s="1">
        <v>3</v>
      </c>
      <c r="K3120" s="1" t="s">
        <v>2604</v>
      </c>
      <c r="L3120" s="1" t="s">
        <v>2605</v>
      </c>
      <c r="M3120" s="1">
        <v>133</v>
      </c>
      <c r="N3120" s="1" t="s">
        <v>39</v>
      </c>
      <c r="O3120" s="1">
        <v>39.738</v>
      </c>
      <c r="P3120" s="1">
        <v>-76.307199999999995</v>
      </c>
      <c r="Q3120" s="1" t="s">
        <v>7006</v>
      </c>
      <c r="R3120" s="1" t="s">
        <v>41</v>
      </c>
      <c r="T3120" s="1" t="s">
        <v>71</v>
      </c>
      <c r="U3120" s="1" t="s">
        <v>44</v>
      </c>
      <c r="V3120" s="1" t="s">
        <v>94</v>
      </c>
      <c r="X3120" s="1" t="s">
        <v>223</v>
      </c>
      <c r="AA3120" s="3">
        <v>40604</v>
      </c>
      <c r="AB3120" s="1" t="s">
        <v>46</v>
      </c>
      <c r="AC3120" s="5">
        <v>1675</v>
      </c>
      <c r="AD3120" s="1" t="s">
        <v>7008</v>
      </c>
      <c r="AE3120" s="1" t="str">
        <f t="shared" si="216"/>
        <v>55524 2</v>
      </c>
      <c r="AF3120" s="14">
        <f>AF3119</f>
        <v>186.66666666666669</v>
      </c>
      <c r="AG3120" s="1" t="str">
        <f t="shared" si="215"/>
        <v>Y</v>
      </c>
    </row>
    <row r="3121" spans="1:33" x14ac:dyDescent="0.2">
      <c r="A3121" s="1" t="s">
        <v>2584</v>
      </c>
      <c r="B3121" s="1" t="s">
        <v>7005</v>
      </c>
      <c r="C3121" s="1">
        <v>55524</v>
      </c>
      <c r="D3121" s="1">
        <v>3</v>
      </c>
      <c r="F3121" s="1">
        <v>2023</v>
      </c>
      <c r="G3121" s="1" t="s">
        <v>1515</v>
      </c>
      <c r="H3121" s="1">
        <v>609575</v>
      </c>
      <c r="I3121" s="1">
        <v>3</v>
      </c>
      <c r="K3121" s="1" t="s">
        <v>2604</v>
      </c>
      <c r="L3121" s="1" t="s">
        <v>2605</v>
      </c>
      <c r="M3121" s="1">
        <v>133</v>
      </c>
      <c r="N3121" s="1" t="s">
        <v>39</v>
      </c>
      <c r="O3121" s="1">
        <v>39.738</v>
      </c>
      <c r="P3121" s="1">
        <v>-76.307199999999995</v>
      </c>
      <c r="Q3121" s="1" t="s">
        <v>7006</v>
      </c>
      <c r="R3121" s="1" t="s">
        <v>41</v>
      </c>
      <c r="T3121" s="1" t="s">
        <v>71</v>
      </c>
      <c r="U3121" s="1" t="s">
        <v>44</v>
      </c>
      <c r="V3121" s="1" t="s">
        <v>94</v>
      </c>
      <c r="X3121" s="1" t="s">
        <v>223</v>
      </c>
      <c r="AA3121" s="3">
        <v>40604</v>
      </c>
      <c r="AB3121" s="1" t="s">
        <v>46</v>
      </c>
      <c r="AC3121" s="5">
        <v>1675</v>
      </c>
      <c r="AD3121" s="1" t="s">
        <v>7009</v>
      </c>
      <c r="AE3121" s="1" t="str">
        <f t="shared" si="216"/>
        <v>55524 3</v>
      </c>
      <c r="AF3121" s="14">
        <f>AF3119</f>
        <v>186.66666666666669</v>
      </c>
      <c r="AG3121" s="1" t="str">
        <f t="shared" si="215"/>
        <v>Y</v>
      </c>
    </row>
    <row r="3122" spans="1:33" x14ac:dyDescent="0.2">
      <c r="A3122" s="1" t="s">
        <v>2584</v>
      </c>
      <c r="B3122" s="1" t="s">
        <v>7005</v>
      </c>
      <c r="C3122" s="1">
        <v>55524</v>
      </c>
      <c r="D3122" s="1">
        <v>5</v>
      </c>
      <c r="F3122" s="1">
        <v>2023</v>
      </c>
      <c r="G3122" s="1" t="s">
        <v>1515</v>
      </c>
      <c r="H3122" s="1">
        <v>609575</v>
      </c>
      <c r="I3122" s="1">
        <v>3</v>
      </c>
      <c r="K3122" s="1" t="s">
        <v>2604</v>
      </c>
      <c r="L3122" s="1" t="s">
        <v>2605</v>
      </c>
      <c r="M3122" s="1">
        <v>133</v>
      </c>
      <c r="N3122" s="1" t="s">
        <v>39</v>
      </c>
      <c r="O3122" s="1">
        <v>39.738</v>
      </c>
      <c r="P3122" s="1">
        <v>-76.307199999999995</v>
      </c>
      <c r="Q3122" s="1" t="s">
        <v>7006</v>
      </c>
      <c r="R3122" s="1" t="s">
        <v>41</v>
      </c>
      <c r="T3122" s="1" t="s">
        <v>71</v>
      </c>
      <c r="U3122" s="1" t="s">
        <v>44</v>
      </c>
      <c r="V3122" s="1" t="s">
        <v>94</v>
      </c>
      <c r="X3122" s="1" t="s">
        <v>643</v>
      </c>
      <c r="AA3122" s="3">
        <v>43444</v>
      </c>
      <c r="AB3122" s="1" t="s">
        <v>46</v>
      </c>
      <c r="AC3122" s="5">
        <v>3410</v>
      </c>
      <c r="AD3122" s="1" t="s">
        <v>7010</v>
      </c>
      <c r="AE3122" s="1" t="str">
        <f t="shared" si="216"/>
        <v>55524 5</v>
      </c>
      <c r="AF3122" s="14">
        <f>MID(AD3122,FIND("(",AD3122)+1,FIND(")",AD3122)-FIND("(",AD3122)-1)+419.6/2</f>
        <v>444.70000000000005</v>
      </c>
      <c r="AG3122" s="1" t="str">
        <f t="shared" si="215"/>
        <v>Y</v>
      </c>
    </row>
    <row r="3123" spans="1:33" x14ac:dyDescent="0.2">
      <c r="A3123" s="1" t="s">
        <v>2584</v>
      </c>
      <c r="B3123" s="1" t="s">
        <v>7005</v>
      </c>
      <c r="C3123" s="1">
        <v>55524</v>
      </c>
      <c r="D3123" s="1">
        <v>6</v>
      </c>
      <c r="F3123" s="1">
        <v>2023</v>
      </c>
      <c r="G3123" s="1" t="s">
        <v>1515</v>
      </c>
      <c r="H3123" s="1">
        <v>609575</v>
      </c>
      <c r="I3123" s="1">
        <v>3</v>
      </c>
      <c r="K3123" s="1" t="s">
        <v>2604</v>
      </c>
      <c r="L3123" s="1" t="s">
        <v>2605</v>
      </c>
      <c r="M3123" s="1">
        <v>133</v>
      </c>
      <c r="N3123" s="1" t="s">
        <v>39</v>
      </c>
      <c r="O3123" s="1">
        <v>39.738</v>
      </c>
      <c r="P3123" s="1">
        <v>-76.307199999999995</v>
      </c>
      <c r="Q3123" s="1" t="s">
        <v>7006</v>
      </c>
      <c r="R3123" s="1" t="s">
        <v>41</v>
      </c>
      <c r="T3123" s="1" t="s">
        <v>71</v>
      </c>
      <c r="U3123" s="1" t="s">
        <v>44</v>
      </c>
      <c r="V3123" s="1" t="s">
        <v>94</v>
      </c>
      <c r="X3123" s="1" t="s">
        <v>643</v>
      </c>
      <c r="AA3123" s="3">
        <v>43450</v>
      </c>
      <c r="AB3123" s="1" t="s">
        <v>46</v>
      </c>
      <c r="AC3123" s="5">
        <v>3410</v>
      </c>
      <c r="AD3123" s="1" t="s">
        <v>7011</v>
      </c>
      <c r="AE3123" s="1" t="str">
        <f t="shared" si="216"/>
        <v>55524 6</v>
      </c>
      <c r="AF3123" s="14">
        <f>AF3122</f>
        <v>444.70000000000005</v>
      </c>
      <c r="AG3123" s="1" t="str">
        <f t="shared" si="215"/>
        <v>Y</v>
      </c>
    </row>
    <row r="3124" spans="1:33" x14ac:dyDescent="0.2">
      <c r="A3124" s="1" t="s">
        <v>370</v>
      </c>
      <c r="B3124" s="1" t="s">
        <v>7012</v>
      </c>
      <c r="C3124" s="1">
        <v>55538</v>
      </c>
      <c r="D3124" s="1" t="s">
        <v>1129</v>
      </c>
      <c r="F3124" s="1">
        <v>2023</v>
      </c>
      <c r="G3124" s="1" t="s">
        <v>247</v>
      </c>
      <c r="H3124" s="1">
        <v>601499</v>
      </c>
      <c r="I3124" s="1">
        <v>9</v>
      </c>
      <c r="K3124" s="1" t="s">
        <v>395</v>
      </c>
      <c r="L3124" s="1" t="s">
        <v>396</v>
      </c>
      <c r="M3124" s="1">
        <v>73</v>
      </c>
      <c r="N3124" s="1" t="s">
        <v>39</v>
      </c>
      <c r="O3124" s="1">
        <v>33.126100000000001</v>
      </c>
      <c r="P3124" s="1">
        <v>-117.1172</v>
      </c>
      <c r="Q3124" s="1" t="s">
        <v>7013</v>
      </c>
      <c r="R3124" s="1" t="s">
        <v>41</v>
      </c>
      <c r="T3124" s="1" t="s">
        <v>93</v>
      </c>
      <c r="U3124" s="1" t="s">
        <v>44</v>
      </c>
      <c r="X3124" s="1" t="s">
        <v>95</v>
      </c>
      <c r="AA3124" s="3">
        <v>41628</v>
      </c>
      <c r="AB3124" s="1" t="s">
        <v>46</v>
      </c>
      <c r="AC3124" s="5">
        <v>500</v>
      </c>
      <c r="AD3124" s="1" t="s">
        <v>7014</v>
      </c>
      <c r="AE3124" s="1" t="str">
        <f t="shared" si="216"/>
        <v>55538 CTG1</v>
      </c>
      <c r="AF3124" s="5" t="str">
        <f t="shared" ref="AF3124:AF3135" si="220">MID(AD3124,FIND("(",AD3124)+1,FIND(")",AD3124)-FIND("(",AD3124)-1)</f>
        <v>46.5</v>
      </c>
      <c r="AG3124" s="1" t="str">
        <f t="shared" si="215"/>
        <v/>
      </c>
    </row>
    <row r="3125" spans="1:33" x14ac:dyDescent="0.2">
      <c r="A3125" s="1" t="s">
        <v>370</v>
      </c>
      <c r="B3125" s="1" t="s">
        <v>7015</v>
      </c>
      <c r="C3125" s="1">
        <v>55540</v>
      </c>
      <c r="D3125" s="1" t="s">
        <v>372</v>
      </c>
      <c r="E3125" s="1" t="s">
        <v>1963</v>
      </c>
      <c r="F3125" s="1">
        <v>2023</v>
      </c>
      <c r="G3125" s="1" t="s">
        <v>247</v>
      </c>
      <c r="H3125" s="1">
        <v>601499</v>
      </c>
      <c r="I3125" s="1">
        <v>9</v>
      </c>
      <c r="K3125" s="1" t="s">
        <v>395</v>
      </c>
      <c r="L3125" s="1" t="s">
        <v>396</v>
      </c>
      <c r="M3125" s="1">
        <v>73</v>
      </c>
      <c r="N3125" s="1" t="s">
        <v>39</v>
      </c>
      <c r="O3125" s="1">
        <v>32.5914</v>
      </c>
      <c r="P3125" s="1">
        <v>-117.0586</v>
      </c>
      <c r="Q3125" s="1" t="s">
        <v>7016</v>
      </c>
      <c r="R3125" s="1" t="s">
        <v>41</v>
      </c>
      <c r="T3125" s="1" t="s">
        <v>93</v>
      </c>
      <c r="U3125" s="1" t="s">
        <v>44</v>
      </c>
      <c r="X3125" s="1" t="s">
        <v>4380</v>
      </c>
      <c r="AA3125" s="3">
        <v>37023</v>
      </c>
      <c r="AB3125" s="1" t="s">
        <v>46</v>
      </c>
      <c r="AC3125" s="5">
        <v>400</v>
      </c>
      <c r="AD3125" s="1" t="s">
        <v>7017</v>
      </c>
      <c r="AE3125" s="1" t="str">
        <f t="shared" si="216"/>
        <v>55540 1A</v>
      </c>
      <c r="AF3125" s="5" t="str">
        <f t="shared" si="220"/>
        <v>44</v>
      </c>
      <c r="AG3125" s="1" t="str">
        <f t="shared" si="215"/>
        <v>Y</v>
      </c>
    </row>
    <row r="3126" spans="1:33" x14ac:dyDescent="0.2">
      <c r="A3126" s="1" t="s">
        <v>370</v>
      </c>
      <c r="B3126" s="1" t="s">
        <v>7015</v>
      </c>
      <c r="C3126" s="1">
        <v>55540</v>
      </c>
      <c r="D3126" s="1" t="s">
        <v>1199</v>
      </c>
      <c r="E3126" s="1" t="s">
        <v>1963</v>
      </c>
      <c r="F3126" s="1">
        <v>2023</v>
      </c>
      <c r="G3126" s="1" t="s">
        <v>247</v>
      </c>
      <c r="H3126" s="1">
        <v>601499</v>
      </c>
      <c r="I3126" s="1">
        <v>9</v>
      </c>
      <c r="K3126" s="1" t="s">
        <v>395</v>
      </c>
      <c r="L3126" s="1" t="s">
        <v>396</v>
      </c>
      <c r="M3126" s="1">
        <v>73</v>
      </c>
      <c r="N3126" s="1" t="s">
        <v>39</v>
      </c>
      <c r="O3126" s="1">
        <v>32.5914</v>
      </c>
      <c r="P3126" s="1">
        <v>-117.0586</v>
      </c>
      <c r="Q3126" s="1" t="s">
        <v>7016</v>
      </c>
      <c r="R3126" s="1" t="s">
        <v>41</v>
      </c>
      <c r="T3126" s="1" t="s">
        <v>93</v>
      </c>
      <c r="U3126" s="1" t="s">
        <v>44</v>
      </c>
      <c r="X3126" s="1" t="s">
        <v>4380</v>
      </c>
      <c r="AA3126" s="3">
        <v>37023</v>
      </c>
      <c r="AB3126" s="1" t="s">
        <v>46</v>
      </c>
      <c r="AC3126" s="5">
        <v>400</v>
      </c>
      <c r="AD3126" s="1" t="s">
        <v>7017</v>
      </c>
      <c r="AE3126" s="1" t="str">
        <f t="shared" si="216"/>
        <v>55540 1B</v>
      </c>
      <c r="AF3126" s="5" t="str">
        <f t="shared" si="220"/>
        <v>44</v>
      </c>
      <c r="AG3126" s="1" t="str">
        <f t="shared" si="215"/>
        <v>Y</v>
      </c>
    </row>
    <row r="3127" spans="1:33" x14ac:dyDescent="0.2">
      <c r="A3127" s="1" t="s">
        <v>370</v>
      </c>
      <c r="B3127" s="1" t="s">
        <v>7018</v>
      </c>
      <c r="C3127" s="1">
        <v>55541</v>
      </c>
      <c r="D3127" s="1">
        <v>1</v>
      </c>
      <c r="F3127" s="1">
        <v>2023</v>
      </c>
      <c r="G3127" s="1" t="s">
        <v>247</v>
      </c>
      <c r="H3127" s="1">
        <v>1866</v>
      </c>
      <c r="I3127" s="1">
        <v>9</v>
      </c>
      <c r="K3127" s="1" t="s">
        <v>6451</v>
      </c>
      <c r="L3127" s="1" t="s">
        <v>6452</v>
      </c>
      <c r="M3127" s="1">
        <v>65</v>
      </c>
      <c r="N3127" s="1" t="s">
        <v>39</v>
      </c>
      <c r="O3127" s="1">
        <v>33.9114</v>
      </c>
      <c r="P3127" s="1">
        <v>-116.55329999999999</v>
      </c>
      <c r="Q3127" s="1" t="s">
        <v>7019</v>
      </c>
      <c r="R3127" s="1" t="s">
        <v>41</v>
      </c>
      <c r="T3127" s="1" t="s">
        <v>93</v>
      </c>
      <c r="U3127" s="1" t="s">
        <v>44</v>
      </c>
      <c r="X3127" s="1" t="s">
        <v>176</v>
      </c>
      <c r="AA3127" s="3">
        <v>37096</v>
      </c>
      <c r="AB3127" s="1" t="s">
        <v>46</v>
      </c>
      <c r="AC3127" s="5">
        <v>504</v>
      </c>
      <c r="AD3127" s="1" t="s">
        <v>7020</v>
      </c>
      <c r="AE3127" s="1" t="str">
        <f t="shared" si="216"/>
        <v>55541 1</v>
      </c>
      <c r="AF3127" s="5" t="str">
        <f t="shared" si="220"/>
        <v>49.9</v>
      </c>
      <c r="AG3127" s="1" t="str">
        <f t="shared" si="215"/>
        <v>Y</v>
      </c>
    </row>
    <row r="3128" spans="1:33" x14ac:dyDescent="0.2">
      <c r="A3128" s="1" t="s">
        <v>370</v>
      </c>
      <c r="B3128" s="1" t="s">
        <v>7018</v>
      </c>
      <c r="C3128" s="1">
        <v>55541</v>
      </c>
      <c r="D3128" s="1">
        <v>2</v>
      </c>
      <c r="F3128" s="1">
        <v>2023</v>
      </c>
      <c r="G3128" s="1" t="s">
        <v>247</v>
      </c>
      <c r="H3128" s="1">
        <v>1866</v>
      </c>
      <c r="I3128" s="1">
        <v>9</v>
      </c>
      <c r="K3128" s="1" t="s">
        <v>6451</v>
      </c>
      <c r="L3128" s="1" t="s">
        <v>6452</v>
      </c>
      <c r="M3128" s="1">
        <v>65</v>
      </c>
      <c r="N3128" s="1" t="s">
        <v>39</v>
      </c>
      <c r="O3128" s="1">
        <v>33.9114</v>
      </c>
      <c r="P3128" s="1">
        <v>-116.55329999999999</v>
      </c>
      <c r="Q3128" s="1" t="s">
        <v>7019</v>
      </c>
      <c r="R3128" s="1" t="s">
        <v>41</v>
      </c>
      <c r="T3128" s="1" t="s">
        <v>93</v>
      </c>
      <c r="U3128" s="1" t="s">
        <v>44</v>
      </c>
      <c r="X3128" s="1" t="s">
        <v>223</v>
      </c>
      <c r="AA3128" s="3">
        <v>37096</v>
      </c>
      <c r="AB3128" s="1" t="s">
        <v>46</v>
      </c>
      <c r="AC3128" s="5">
        <v>504</v>
      </c>
      <c r="AD3128" s="1" t="s">
        <v>7021</v>
      </c>
      <c r="AE3128" s="1" t="str">
        <f t="shared" si="216"/>
        <v>55541 2</v>
      </c>
      <c r="AF3128" s="5" t="str">
        <f t="shared" si="220"/>
        <v>49.9</v>
      </c>
      <c r="AG3128" s="1" t="str">
        <f t="shared" si="215"/>
        <v>Y</v>
      </c>
    </row>
    <row r="3129" spans="1:33" x14ac:dyDescent="0.2">
      <c r="A3129" s="1" t="s">
        <v>370</v>
      </c>
      <c r="B3129" s="1" t="s">
        <v>7018</v>
      </c>
      <c r="C3129" s="1">
        <v>55541</v>
      </c>
      <c r="D3129" s="1">
        <v>3</v>
      </c>
      <c r="F3129" s="1">
        <v>2023</v>
      </c>
      <c r="G3129" s="1" t="s">
        <v>247</v>
      </c>
      <c r="H3129" s="1">
        <v>1866</v>
      </c>
      <c r="I3129" s="1">
        <v>9</v>
      </c>
      <c r="K3129" s="1" t="s">
        <v>6451</v>
      </c>
      <c r="L3129" s="1" t="s">
        <v>6452</v>
      </c>
      <c r="M3129" s="1">
        <v>65</v>
      </c>
      <c r="N3129" s="1" t="s">
        <v>39</v>
      </c>
      <c r="O3129" s="1">
        <v>33.9114</v>
      </c>
      <c r="P3129" s="1">
        <v>-116.55329999999999</v>
      </c>
      <c r="Q3129" s="1" t="s">
        <v>7019</v>
      </c>
      <c r="R3129" s="1" t="s">
        <v>41</v>
      </c>
      <c r="T3129" s="1" t="s">
        <v>93</v>
      </c>
      <c r="U3129" s="1" t="s">
        <v>44</v>
      </c>
      <c r="X3129" s="1" t="s">
        <v>223</v>
      </c>
      <c r="AA3129" s="3">
        <v>37152</v>
      </c>
      <c r="AB3129" s="1" t="s">
        <v>46</v>
      </c>
      <c r="AC3129" s="5">
        <v>504</v>
      </c>
      <c r="AD3129" s="1" t="s">
        <v>7022</v>
      </c>
      <c r="AE3129" s="1" t="str">
        <f t="shared" si="216"/>
        <v>55541 3</v>
      </c>
      <c r="AF3129" s="5" t="str">
        <f t="shared" si="220"/>
        <v>49.9</v>
      </c>
      <c r="AG3129" s="1" t="str">
        <f t="shared" si="215"/>
        <v>Y</v>
      </c>
    </row>
    <row r="3130" spans="1:33" x14ac:dyDescent="0.2">
      <c r="A3130" s="1" t="s">
        <v>370</v>
      </c>
      <c r="B3130" s="1" t="s">
        <v>7023</v>
      </c>
      <c r="C3130" s="1">
        <v>55542</v>
      </c>
      <c r="D3130" s="1">
        <v>1</v>
      </c>
      <c r="F3130" s="1">
        <v>2023</v>
      </c>
      <c r="G3130" s="1" t="s">
        <v>247</v>
      </c>
      <c r="H3130" s="1">
        <v>1866</v>
      </c>
      <c r="I3130" s="1">
        <v>9</v>
      </c>
      <c r="J3130" s="1" t="s">
        <v>237</v>
      </c>
      <c r="K3130" s="1" t="s">
        <v>395</v>
      </c>
      <c r="L3130" s="1" t="s">
        <v>396</v>
      </c>
      <c r="M3130" s="1">
        <v>73</v>
      </c>
      <c r="N3130" s="1" t="s">
        <v>39</v>
      </c>
      <c r="O3130" s="1">
        <v>32.5672</v>
      </c>
      <c r="P3130" s="1">
        <v>-116.9444</v>
      </c>
      <c r="Q3130" s="1" t="s">
        <v>7019</v>
      </c>
      <c r="R3130" s="1" t="s">
        <v>41</v>
      </c>
      <c r="T3130" s="1" t="s">
        <v>93</v>
      </c>
      <c r="U3130" s="1" t="s">
        <v>44</v>
      </c>
      <c r="V3130" s="1" t="s">
        <v>94</v>
      </c>
      <c r="X3130" s="1" t="s">
        <v>223</v>
      </c>
      <c r="AA3130" s="3">
        <v>37080</v>
      </c>
      <c r="AB3130" s="1" t="s">
        <v>46</v>
      </c>
      <c r="AC3130" s="5">
        <v>504</v>
      </c>
      <c r="AD3130" s="1" t="s">
        <v>7020</v>
      </c>
      <c r="AE3130" s="1" t="str">
        <f t="shared" si="216"/>
        <v>55542 1</v>
      </c>
      <c r="AF3130" s="5" t="str">
        <f t="shared" si="220"/>
        <v>49.9</v>
      </c>
      <c r="AG3130" s="1" t="str">
        <f t="shared" si="215"/>
        <v>Y</v>
      </c>
    </row>
    <row r="3131" spans="1:33" x14ac:dyDescent="0.2">
      <c r="A3131" s="1" t="s">
        <v>370</v>
      </c>
      <c r="B3131" s="1" t="s">
        <v>7023</v>
      </c>
      <c r="C3131" s="1">
        <v>55542</v>
      </c>
      <c r="D3131" s="1">
        <v>2</v>
      </c>
      <c r="F3131" s="1">
        <v>2023</v>
      </c>
      <c r="G3131" s="1" t="s">
        <v>247</v>
      </c>
      <c r="H3131" s="1">
        <v>1866</v>
      </c>
      <c r="I3131" s="1">
        <v>9</v>
      </c>
      <c r="J3131" s="1" t="s">
        <v>237</v>
      </c>
      <c r="K3131" s="1" t="s">
        <v>395</v>
      </c>
      <c r="L3131" s="1" t="s">
        <v>396</v>
      </c>
      <c r="M3131" s="1">
        <v>73</v>
      </c>
      <c r="N3131" s="1" t="s">
        <v>39</v>
      </c>
      <c r="O3131" s="1">
        <v>32.5672</v>
      </c>
      <c r="P3131" s="1">
        <v>-116.9444</v>
      </c>
      <c r="Q3131" s="1" t="s">
        <v>7019</v>
      </c>
      <c r="R3131" s="1" t="s">
        <v>41</v>
      </c>
      <c r="T3131" s="1" t="s">
        <v>93</v>
      </c>
      <c r="U3131" s="1" t="s">
        <v>44</v>
      </c>
      <c r="V3131" s="1" t="s">
        <v>94</v>
      </c>
      <c r="X3131" s="1" t="s">
        <v>223</v>
      </c>
      <c r="AA3131" s="3">
        <v>37080</v>
      </c>
      <c r="AB3131" s="1" t="s">
        <v>46</v>
      </c>
      <c r="AC3131" s="5">
        <v>504</v>
      </c>
      <c r="AD3131" s="1" t="s">
        <v>7021</v>
      </c>
      <c r="AE3131" s="1" t="str">
        <f t="shared" si="216"/>
        <v>55542 2</v>
      </c>
      <c r="AF3131" s="5" t="str">
        <f t="shared" si="220"/>
        <v>49.9</v>
      </c>
      <c r="AG3131" s="1" t="str">
        <f t="shared" si="215"/>
        <v>Y</v>
      </c>
    </row>
    <row r="3132" spans="1:33" x14ac:dyDescent="0.2">
      <c r="A3132" s="1" t="s">
        <v>4093</v>
      </c>
      <c r="B3132" s="1" t="s">
        <v>7024</v>
      </c>
      <c r="C3132" s="1">
        <v>55544</v>
      </c>
      <c r="D3132" s="1" t="s">
        <v>280</v>
      </c>
      <c r="F3132" s="1">
        <v>2023</v>
      </c>
      <c r="G3132" s="1" t="s">
        <v>247</v>
      </c>
      <c r="H3132" s="1">
        <v>610050</v>
      </c>
      <c r="I3132" s="1">
        <v>10</v>
      </c>
      <c r="K3132" s="1" t="s">
        <v>5629</v>
      </c>
      <c r="L3132" s="1" t="s">
        <v>5630</v>
      </c>
      <c r="M3132" s="1">
        <v>35</v>
      </c>
      <c r="N3132" s="1" t="s">
        <v>39</v>
      </c>
      <c r="O3132" s="1">
        <v>42.172699999999999</v>
      </c>
      <c r="P3132" s="1">
        <v>-121.81440000000001</v>
      </c>
      <c r="Q3132" s="1" t="s">
        <v>5631</v>
      </c>
      <c r="R3132" s="1" t="s">
        <v>41</v>
      </c>
      <c r="T3132" s="1" t="s">
        <v>93</v>
      </c>
      <c r="U3132" s="1" t="s">
        <v>44</v>
      </c>
      <c r="X3132" s="1" t="s">
        <v>95</v>
      </c>
      <c r="AA3132" s="3">
        <v>37377</v>
      </c>
      <c r="AB3132" s="1" t="s">
        <v>46</v>
      </c>
      <c r="AC3132" s="5">
        <v>280</v>
      </c>
      <c r="AD3132" s="1" t="s">
        <v>7025</v>
      </c>
      <c r="AE3132" s="1" t="str">
        <f t="shared" si="216"/>
        <v>55544 GT1</v>
      </c>
      <c r="AF3132" s="5" t="str">
        <f t="shared" si="220"/>
        <v>29.4</v>
      </c>
      <c r="AG3132" s="1" t="str">
        <f t="shared" si="215"/>
        <v/>
      </c>
    </row>
    <row r="3133" spans="1:33" x14ac:dyDescent="0.2">
      <c r="A3133" s="1" t="s">
        <v>4093</v>
      </c>
      <c r="B3133" s="1" t="s">
        <v>7024</v>
      </c>
      <c r="C3133" s="1">
        <v>55544</v>
      </c>
      <c r="D3133" s="1" t="s">
        <v>1102</v>
      </c>
      <c r="F3133" s="1">
        <v>2023</v>
      </c>
      <c r="G3133" s="1" t="s">
        <v>247</v>
      </c>
      <c r="H3133" s="1">
        <v>610050</v>
      </c>
      <c r="I3133" s="1">
        <v>10</v>
      </c>
      <c r="K3133" s="1" t="s">
        <v>5629</v>
      </c>
      <c r="L3133" s="1" t="s">
        <v>5630</v>
      </c>
      <c r="M3133" s="1">
        <v>35</v>
      </c>
      <c r="N3133" s="1" t="s">
        <v>39</v>
      </c>
      <c r="O3133" s="1">
        <v>42.172699999999999</v>
      </c>
      <c r="P3133" s="1">
        <v>-121.81440000000001</v>
      </c>
      <c r="Q3133" s="1" t="s">
        <v>5631</v>
      </c>
      <c r="R3133" s="1" t="s">
        <v>41</v>
      </c>
      <c r="T3133" s="1" t="s">
        <v>93</v>
      </c>
      <c r="U3133" s="1" t="s">
        <v>44</v>
      </c>
      <c r="X3133" s="1" t="s">
        <v>95</v>
      </c>
      <c r="AA3133" s="3">
        <v>37377</v>
      </c>
      <c r="AB3133" s="1" t="s">
        <v>46</v>
      </c>
      <c r="AC3133" s="5">
        <v>280</v>
      </c>
      <c r="AD3133" s="1" t="s">
        <v>7026</v>
      </c>
      <c r="AE3133" s="1" t="str">
        <f t="shared" si="216"/>
        <v>55544 GT2</v>
      </c>
      <c r="AF3133" s="5" t="str">
        <f t="shared" si="220"/>
        <v>29.4</v>
      </c>
      <c r="AG3133" s="1" t="str">
        <f t="shared" si="215"/>
        <v/>
      </c>
    </row>
    <row r="3134" spans="1:33" x14ac:dyDescent="0.2">
      <c r="A3134" s="1" t="s">
        <v>4093</v>
      </c>
      <c r="B3134" s="1" t="s">
        <v>7024</v>
      </c>
      <c r="C3134" s="1">
        <v>55544</v>
      </c>
      <c r="D3134" s="1" t="s">
        <v>246</v>
      </c>
      <c r="F3134" s="1">
        <v>2023</v>
      </c>
      <c r="G3134" s="1" t="s">
        <v>247</v>
      </c>
      <c r="H3134" s="1">
        <v>610050</v>
      </c>
      <c r="I3134" s="1">
        <v>10</v>
      </c>
      <c r="K3134" s="1" t="s">
        <v>5629</v>
      </c>
      <c r="L3134" s="1" t="s">
        <v>5630</v>
      </c>
      <c r="M3134" s="1">
        <v>35</v>
      </c>
      <c r="N3134" s="1" t="s">
        <v>39</v>
      </c>
      <c r="O3134" s="1">
        <v>42.172699999999999</v>
      </c>
      <c r="P3134" s="1">
        <v>-121.81440000000001</v>
      </c>
      <c r="Q3134" s="1" t="s">
        <v>5631</v>
      </c>
      <c r="R3134" s="1" t="s">
        <v>41</v>
      </c>
      <c r="T3134" s="1" t="s">
        <v>93</v>
      </c>
      <c r="U3134" s="1" t="s">
        <v>44</v>
      </c>
      <c r="X3134" s="1" t="s">
        <v>95</v>
      </c>
      <c r="AA3134" s="3">
        <v>37377</v>
      </c>
      <c r="AB3134" s="1" t="s">
        <v>46</v>
      </c>
      <c r="AC3134" s="5">
        <v>280</v>
      </c>
      <c r="AD3134" s="1" t="s">
        <v>7027</v>
      </c>
      <c r="AE3134" s="1" t="str">
        <f t="shared" si="216"/>
        <v>55544 GT3</v>
      </c>
      <c r="AF3134" s="5" t="str">
        <f t="shared" si="220"/>
        <v>29.4</v>
      </c>
      <c r="AG3134" s="1" t="str">
        <f t="shared" si="215"/>
        <v/>
      </c>
    </row>
    <row r="3135" spans="1:33" x14ac:dyDescent="0.2">
      <c r="A3135" s="1" t="s">
        <v>4093</v>
      </c>
      <c r="B3135" s="1" t="s">
        <v>7024</v>
      </c>
      <c r="C3135" s="1">
        <v>55544</v>
      </c>
      <c r="D3135" s="1" t="s">
        <v>251</v>
      </c>
      <c r="F3135" s="1">
        <v>2023</v>
      </c>
      <c r="G3135" s="1" t="s">
        <v>247</v>
      </c>
      <c r="H3135" s="1">
        <v>610050</v>
      </c>
      <c r="I3135" s="1">
        <v>10</v>
      </c>
      <c r="K3135" s="1" t="s">
        <v>5629</v>
      </c>
      <c r="L3135" s="1" t="s">
        <v>5630</v>
      </c>
      <c r="M3135" s="1">
        <v>35</v>
      </c>
      <c r="N3135" s="1" t="s">
        <v>39</v>
      </c>
      <c r="O3135" s="1">
        <v>42.172699999999999</v>
      </c>
      <c r="P3135" s="1">
        <v>-121.81440000000001</v>
      </c>
      <c r="Q3135" s="1" t="s">
        <v>5631</v>
      </c>
      <c r="R3135" s="1" t="s">
        <v>41</v>
      </c>
      <c r="T3135" s="1" t="s">
        <v>93</v>
      </c>
      <c r="U3135" s="1" t="s">
        <v>44</v>
      </c>
      <c r="X3135" s="1" t="s">
        <v>95</v>
      </c>
      <c r="AA3135" s="3">
        <v>37377</v>
      </c>
      <c r="AB3135" s="1" t="s">
        <v>46</v>
      </c>
      <c r="AC3135" s="5">
        <v>280</v>
      </c>
      <c r="AD3135" s="1" t="s">
        <v>7028</v>
      </c>
      <c r="AE3135" s="1" t="str">
        <f t="shared" si="216"/>
        <v>55544 GT4</v>
      </c>
      <c r="AF3135" s="5" t="str">
        <f t="shared" si="220"/>
        <v>29.4</v>
      </c>
      <c r="AG3135" s="1" t="str">
        <f t="shared" si="215"/>
        <v/>
      </c>
    </row>
    <row r="3136" spans="1:33" x14ac:dyDescent="0.2">
      <c r="A3136" s="1" t="s">
        <v>3167</v>
      </c>
      <c r="B3136" s="1" t="s">
        <v>7029</v>
      </c>
      <c r="C3136" s="1">
        <v>55558</v>
      </c>
      <c r="D3136" s="1" t="s">
        <v>7030</v>
      </c>
      <c r="F3136" s="1">
        <v>2023</v>
      </c>
      <c r="G3136" s="1" t="s">
        <v>461</v>
      </c>
      <c r="H3136" s="1">
        <v>609747</v>
      </c>
      <c r="I3136" s="1">
        <v>5</v>
      </c>
      <c r="K3136" s="1" t="s">
        <v>7031</v>
      </c>
      <c r="L3136" s="1" t="s">
        <v>7032</v>
      </c>
      <c r="M3136" s="1">
        <v>87</v>
      </c>
      <c r="N3136" s="1" t="s">
        <v>39</v>
      </c>
      <c r="O3136" s="1">
        <v>44.271700000000003</v>
      </c>
      <c r="P3136" s="1">
        <v>-88.301100000000005</v>
      </c>
      <c r="Q3136" s="1" t="s">
        <v>7033</v>
      </c>
      <c r="R3136" s="1" t="s">
        <v>41</v>
      </c>
      <c r="T3136" s="1" t="s">
        <v>71</v>
      </c>
      <c r="U3136" s="1" t="s">
        <v>44</v>
      </c>
      <c r="X3136" s="1" t="s">
        <v>176</v>
      </c>
      <c r="AA3136" s="3">
        <v>37347</v>
      </c>
      <c r="AB3136" s="1" t="s">
        <v>46</v>
      </c>
      <c r="AC3136" s="5">
        <v>587</v>
      </c>
      <c r="AD3136" s="1" t="s">
        <v>7034</v>
      </c>
      <c r="AE3136" s="1" t="str">
        <f t="shared" si="216"/>
        <v>55558 B06</v>
      </c>
      <c r="AF3136" s="14">
        <f>MID(AD3136,FIND("(",AD3136)+1,FIND(")",AD3136)-FIND("(",AD3136)-1)+48</f>
        <v>53</v>
      </c>
      <c r="AG3136" s="1" t="str">
        <f t="shared" si="215"/>
        <v>Y</v>
      </c>
    </row>
    <row r="3137" spans="1:33" x14ac:dyDescent="0.2">
      <c r="A3137" s="1" t="s">
        <v>1426</v>
      </c>
      <c r="B3137" s="1" t="s">
        <v>7035</v>
      </c>
      <c r="C3137" s="1">
        <v>55620</v>
      </c>
      <c r="D3137" s="2">
        <v>45292</v>
      </c>
      <c r="F3137" s="1">
        <v>2023</v>
      </c>
      <c r="G3137" s="1" t="s">
        <v>1428</v>
      </c>
      <c r="H3137" s="1" t="s">
        <v>350</v>
      </c>
      <c r="I3137" s="1">
        <v>6</v>
      </c>
      <c r="K3137" s="1" t="s">
        <v>1472</v>
      </c>
      <c r="L3137" s="1" t="s">
        <v>1473</v>
      </c>
      <c r="M3137" s="1">
        <v>73</v>
      </c>
      <c r="N3137" s="1" t="s">
        <v>39</v>
      </c>
      <c r="O3137" s="1">
        <v>32.691400000000002</v>
      </c>
      <c r="P3137" s="1">
        <v>-92.019199999999998</v>
      </c>
      <c r="Q3137" s="1" t="s">
        <v>353</v>
      </c>
      <c r="R3137" s="1" t="s">
        <v>41</v>
      </c>
      <c r="T3137" s="1" t="s">
        <v>71</v>
      </c>
      <c r="U3137" s="1" t="s">
        <v>44</v>
      </c>
      <c r="X3137" s="1" t="s">
        <v>64</v>
      </c>
      <c r="AA3137" s="3">
        <v>37422</v>
      </c>
      <c r="AB3137" s="1" t="s">
        <v>46</v>
      </c>
      <c r="AC3137" s="5">
        <v>2280</v>
      </c>
      <c r="AD3137" s="1" t="s">
        <v>7036</v>
      </c>
      <c r="AE3137" s="1" t="str">
        <f t="shared" si="216"/>
        <v>55620 45292</v>
      </c>
      <c r="AF3137" s="14">
        <f>AF3138</f>
        <v>329</v>
      </c>
      <c r="AG3137" s="1" t="str">
        <f t="shared" si="215"/>
        <v>Y</v>
      </c>
    </row>
    <row r="3138" spans="1:33" x14ac:dyDescent="0.2">
      <c r="A3138" s="1" t="s">
        <v>1426</v>
      </c>
      <c r="B3138" s="1" t="s">
        <v>7035</v>
      </c>
      <c r="C3138" s="1">
        <v>55620</v>
      </c>
      <c r="D3138" s="2">
        <v>45293</v>
      </c>
      <c r="F3138" s="1">
        <v>2023</v>
      </c>
      <c r="G3138" s="1" t="s">
        <v>1428</v>
      </c>
      <c r="H3138" s="1" t="s">
        <v>350</v>
      </c>
      <c r="I3138" s="1">
        <v>6</v>
      </c>
      <c r="K3138" s="1" t="s">
        <v>1472</v>
      </c>
      <c r="L3138" s="1" t="s">
        <v>1473</v>
      </c>
      <c r="M3138" s="1">
        <v>73</v>
      </c>
      <c r="N3138" s="1" t="s">
        <v>39</v>
      </c>
      <c r="O3138" s="1">
        <v>32.691400000000002</v>
      </c>
      <c r="P3138" s="1">
        <v>-92.019199999999998</v>
      </c>
      <c r="Q3138" s="1" t="s">
        <v>353</v>
      </c>
      <c r="R3138" s="1" t="s">
        <v>41</v>
      </c>
      <c r="T3138" s="1" t="s">
        <v>71</v>
      </c>
      <c r="U3138" s="1" t="s">
        <v>44</v>
      </c>
      <c r="X3138" s="1" t="s">
        <v>64</v>
      </c>
      <c r="AA3138" s="3">
        <v>37196</v>
      </c>
      <c r="AB3138" s="1" t="s">
        <v>46</v>
      </c>
      <c r="AC3138" s="5">
        <v>2315</v>
      </c>
      <c r="AD3138" s="1" t="s">
        <v>7037</v>
      </c>
      <c r="AE3138" s="1" t="str">
        <f t="shared" si="216"/>
        <v>55620 45293</v>
      </c>
      <c r="AF3138" s="14">
        <f>MID(AD3138,FIND("(",AD3138)+1,FIND(")",AD3138)-FIND("(",AD3138)-1)+237/2</f>
        <v>329</v>
      </c>
      <c r="AG3138" s="1" t="str">
        <f t="shared" ref="AG3138:AG3201" si="221">IF(ISNUMBER(SEARCH("selective", X3138)), "Y", "")</f>
        <v>Y</v>
      </c>
    </row>
    <row r="3139" spans="1:33" x14ac:dyDescent="0.2">
      <c r="A3139" s="1" t="s">
        <v>1426</v>
      </c>
      <c r="B3139" s="1" t="s">
        <v>7035</v>
      </c>
      <c r="C3139" s="1">
        <v>55620</v>
      </c>
      <c r="D3139" s="2">
        <v>45323</v>
      </c>
      <c r="F3139" s="1">
        <v>2023</v>
      </c>
      <c r="G3139" s="1" t="s">
        <v>1428</v>
      </c>
      <c r="H3139" s="1" t="s">
        <v>350</v>
      </c>
      <c r="I3139" s="1">
        <v>6</v>
      </c>
      <c r="K3139" s="1" t="s">
        <v>1472</v>
      </c>
      <c r="L3139" s="1" t="s">
        <v>1473</v>
      </c>
      <c r="M3139" s="1">
        <v>73</v>
      </c>
      <c r="N3139" s="1" t="s">
        <v>39</v>
      </c>
      <c r="O3139" s="1">
        <v>32.691400000000002</v>
      </c>
      <c r="P3139" s="1">
        <v>-92.019199999999998</v>
      </c>
      <c r="Q3139" s="1" t="s">
        <v>353</v>
      </c>
      <c r="R3139" s="1" t="s">
        <v>41</v>
      </c>
      <c r="T3139" s="1" t="s">
        <v>93</v>
      </c>
      <c r="U3139" s="1" t="s">
        <v>44</v>
      </c>
      <c r="X3139" s="1" t="s">
        <v>140</v>
      </c>
      <c r="AA3139" s="3">
        <v>37021</v>
      </c>
      <c r="AB3139" s="1" t="s">
        <v>46</v>
      </c>
      <c r="AC3139" s="5">
        <v>2200</v>
      </c>
      <c r="AD3139" s="1" t="s">
        <v>7038</v>
      </c>
      <c r="AE3139" s="1" t="str">
        <f t="shared" ref="AE3139:AE3202" si="222">C3139&amp;" "&amp;D3139</f>
        <v>55620 45323</v>
      </c>
      <c r="AF3139" s="5" t="str">
        <f t="shared" ref="AF3139:AF3159" si="223">MID(AD3139,FIND("(",AD3139)+1,FIND(")",AD3139)-FIND("(",AD3139)-1)</f>
        <v>183</v>
      </c>
      <c r="AG3139" s="1" t="str">
        <f t="shared" si="221"/>
        <v/>
      </c>
    </row>
    <row r="3140" spans="1:33" x14ac:dyDescent="0.2">
      <c r="A3140" s="1" t="s">
        <v>3076</v>
      </c>
      <c r="B3140" s="1" t="s">
        <v>7039</v>
      </c>
      <c r="C3140" s="1">
        <v>55622</v>
      </c>
      <c r="D3140" s="1" t="s">
        <v>3858</v>
      </c>
      <c r="F3140" s="1">
        <v>2023</v>
      </c>
      <c r="G3140" s="1" t="s">
        <v>247</v>
      </c>
      <c r="H3140" s="1">
        <v>608472</v>
      </c>
      <c r="I3140" s="1">
        <v>8</v>
      </c>
      <c r="K3140" s="1" t="s">
        <v>3078</v>
      </c>
      <c r="L3140" s="1" t="s">
        <v>3079</v>
      </c>
      <c r="M3140" s="1">
        <v>35</v>
      </c>
      <c r="N3140" s="1" t="s">
        <v>39</v>
      </c>
      <c r="O3140" s="1">
        <v>40.6663</v>
      </c>
      <c r="P3140" s="1">
        <v>-112.03100000000001</v>
      </c>
      <c r="Q3140" s="1" t="s">
        <v>7040</v>
      </c>
      <c r="R3140" s="1" t="s">
        <v>41</v>
      </c>
      <c r="T3140" s="1" t="s">
        <v>93</v>
      </c>
      <c r="U3140" s="1" t="s">
        <v>44</v>
      </c>
      <c r="X3140" s="1" t="s">
        <v>176</v>
      </c>
      <c r="AA3140" s="3">
        <v>37418</v>
      </c>
      <c r="AB3140" s="1" t="s">
        <v>46</v>
      </c>
      <c r="AC3140" s="5">
        <v>545</v>
      </c>
      <c r="AD3140" s="1" t="s">
        <v>7041</v>
      </c>
      <c r="AE3140" s="1" t="str">
        <f t="shared" si="222"/>
        <v>55622 U1</v>
      </c>
      <c r="AF3140" s="5" t="str">
        <f t="shared" si="223"/>
        <v>43.4</v>
      </c>
      <c r="AG3140" s="1" t="str">
        <f t="shared" si="221"/>
        <v>Y</v>
      </c>
    </row>
    <row r="3141" spans="1:33" x14ac:dyDescent="0.2">
      <c r="A3141" s="1" t="s">
        <v>3076</v>
      </c>
      <c r="B3141" s="1" t="s">
        <v>7039</v>
      </c>
      <c r="C3141" s="1">
        <v>55622</v>
      </c>
      <c r="D3141" s="1" t="s">
        <v>3862</v>
      </c>
      <c r="F3141" s="1">
        <v>2023</v>
      </c>
      <c r="G3141" s="1" t="s">
        <v>247</v>
      </c>
      <c r="H3141" s="1">
        <v>608472</v>
      </c>
      <c r="I3141" s="1">
        <v>8</v>
      </c>
      <c r="K3141" s="1" t="s">
        <v>3078</v>
      </c>
      <c r="L3141" s="1" t="s">
        <v>3079</v>
      </c>
      <c r="M3141" s="1">
        <v>35</v>
      </c>
      <c r="N3141" s="1" t="s">
        <v>39</v>
      </c>
      <c r="O3141" s="1">
        <v>40.6663</v>
      </c>
      <c r="P3141" s="1">
        <v>-112.03100000000001</v>
      </c>
      <c r="Q3141" s="1" t="s">
        <v>7040</v>
      </c>
      <c r="R3141" s="1" t="s">
        <v>41</v>
      </c>
      <c r="T3141" s="1" t="s">
        <v>93</v>
      </c>
      <c r="U3141" s="1" t="s">
        <v>44</v>
      </c>
      <c r="X3141" s="1" t="s">
        <v>176</v>
      </c>
      <c r="AA3141" s="3">
        <v>37419</v>
      </c>
      <c r="AB3141" s="1" t="s">
        <v>46</v>
      </c>
      <c r="AC3141" s="5">
        <v>545</v>
      </c>
      <c r="AD3141" s="1" t="s">
        <v>7042</v>
      </c>
      <c r="AE3141" s="1" t="str">
        <f t="shared" si="222"/>
        <v>55622 U2</v>
      </c>
      <c r="AF3141" s="5" t="str">
        <f t="shared" si="223"/>
        <v>43.4</v>
      </c>
      <c r="AG3141" s="1" t="str">
        <f t="shared" si="221"/>
        <v>Y</v>
      </c>
    </row>
    <row r="3142" spans="1:33" x14ac:dyDescent="0.2">
      <c r="A3142" s="1" t="s">
        <v>3076</v>
      </c>
      <c r="B3142" s="1" t="s">
        <v>7039</v>
      </c>
      <c r="C3142" s="1">
        <v>55622</v>
      </c>
      <c r="D3142" s="1" t="s">
        <v>6888</v>
      </c>
      <c r="F3142" s="1">
        <v>2023</v>
      </c>
      <c r="G3142" s="1" t="s">
        <v>247</v>
      </c>
      <c r="H3142" s="1">
        <v>608472</v>
      </c>
      <c r="I3142" s="1">
        <v>8</v>
      </c>
      <c r="K3142" s="1" t="s">
        <v>3078</v>
      </c>
      <c r="L3142" s="1" t="s">
        <v>3079</v>
      </c>
      <c r="M3142" s="1">
        <v>35</v>
      </c>
      <c r="N3142" s="1" t="s">
        <v>39</v>
      </c>
      <c r="O3142" s="1">
        <v>40.6663</v>
      </c>
      <c r="P3142" s="1">
        <v>-112.03100000000001</v>
      </c>
      <c r="Q3142" s="1" t="s">
        <v>7040</v>
      </c>
      <c r="R3142" s="1" t="s">
        <v>41</v>
      </c>
      <c r="T3142" s="1" t="s">
        <v>93</v>
      </c>
      <c r="U3142" s="1" t="s">
        <v>44</v>
      </c>
      <c r="X3142" s="1" t="s">
        <v>176</v>
      </c>
      <c r="AA3142" s="3">
        <v>37174</v>
      </c>
      <c r="AB3142" s="1" t="s">
        <v>46</v>
      </c>
      <c r="AC3142" s="5">
        <v>545</v>
      </c>
      <c r="AD3142" s="1" t="s">
        <v>7043</v>
      </c>
      <c r="AE3142" s="1" t="str">
        <f t="shared" si="222"/>
        <v>55622 U3</v>
      </c>
      <c r="AF3142" s="5" t="str">
        <f t="shared" si="223"/>
        <v>43.4</v>
      </c>
      <c r="AG3142" s="1" t="str">
        <f t="shared" si="221"/>
        <v>Y</v>
      </c>
    </row>
    <row r="3143" spans="1:33" x14ac:dyDescent="0.2">
      <c r="A3143" s="1" t="s">
        <v>3076</v>
      </c>
      <c r="B3143" s="1" t="s">
        <v>7039</v>
      </c>
      <c r="C3143" s="1">
        <v>55622</v>
      </c>
      <c r="D3143" s="1" t="s">
        <v>6890</v>
      </c>
      <c r="F3143" s="1">
        <v>2023</v>
      </c>
      <c r="G3143" s="1" t="s">
        <v>247</v>
      </c>
      <c r="H3143" s="1">
        <v>608472</v>
      </c>
      <c r="I3143" s="1">
        <v>8</v>
      </c>
      <c r="K3143" s="1" t="s">
        <v>3078</v>
      </c>
      <c r="L3143" s="1" t="s">
        <v>3079</v>
      </c>
      <c r="M3143" s="1">
        <v>35</v>
      </c>
      <c r="N3143" s="1" t="s">
        <v>39</v>
      </c>
      <c r="O3143" s="1">
        <v>40.6663</v>
      </c>
      <c r="P3143" s="1">
        <v>-112.03100000000001</v>
      </c>
      <c r="Q3143" s="1" t="s">
        <v>7040</v>
      </c>
      <c r="R3143" s="1" t="s">
        <v>41</v>
      </c>
      <c r="T3143" s="1" t="s">
        <v>93</v>
      </c>
      <c r="U3143" s="1" t="s">
        <v>44</v>
      </c>
      <c r="X3143" s="1" t="s">
        <v>176</v>
      </c>
      <c r="AA3143" s="3">
        <v>37165</v>
      </c>
      <c r="AB3143" s="1" t="s">
        <v>46</v>
      </c>
      <c r="AC3143" s="5">
        <v>545</v>
      </c>
      <c r="AD3143" s="1" t="s">
        <v>7044</v>
      </c>
      <c r="AE3143" s="1" t="str">
        <f t="shared" si="222"/>
        <v>55622 U4</v>
      </c>
      <c r="AF3143" s="5" t="str">
        <f t="shared" si="223"/>
        <v>43.4</v>
      </c>
      <c r="AG3143" s="1" t="str">
        <f t="shared" si="221"/>
        <v>Y</v>
      </c>
    </row>
    <row r="3144" spans="1:33" x14ac:dyDescent="0.2">
      <c r="A3144" s="1" t="s">
        <v>3076</v>
      </c>
      <c r="B3144" s="1" t="s">
        <v>7039</v>
      </c>
      <c r="C3144" s="1">
        <v>55622</v>
      </c>
      <c r="D3144" s="1" t="s">
        <v>6892</v>
      </c>
      <c r="F3144" s="1">
        <v>2023</v>
      </c>
      <c r="G3144" s="1" t="s">
        <v>247</v>
      </c>
      <c r="H3144" s="1">
        <v>608472</v>
      </c>
      <c r="I3144" s="1">
        <v>8</v>
      </c>
      <c r="K3144" s="1" t="s">
        <v>3078</v>
      </c>
      <c r="L3144" s="1" t="s">
        <v>3079</v>
      </c>
      <c r="M3144" s="1">
        <v>35</v>
      </c>
      <c r="N3144" s="1" t="s">
        <v>39</v>
      </c>
      <c r="O3144" s="1">
        <v>40.6663</v>
      </c>
      <c r="P3144" s="1">
        <v>-112.03100000000001</v>
      </c>
      <c r="Q3144" s="1" t="s">
        <v>7040</v>
      </c>
      <c r="R3144" s="1" t="s">
        <v>41</v>
      </c>
      <c r="T3144" s="1" t="s">
        <v>93</v>
      </c>
      <c r="U3144" s="1" t="s">
        <v>44</v>
      </c>
      <c r="X3144" s="1" t="s">
        <v>176</v>
      </c>
      <c r="AA3144" s="3">
        <v>37462</v>
      </c>
      <c r="AB3144" s="1" t="s">
        <v>46</v>
      </c>
      <c r="AC3144" s="5">
        <v>545</v>
      </c>
      <c r="AD3144" s="1" t="s">
        <v>7045</v>
      </c>
      <c r="AE3144" s="1" t="str">
        <f t="shared" si="222"/>
        <v>55622 U5</v>
      </c>
      <c r="AF3144" s="5" t="str">
        <f t="shared" si="223"/>
        <v>43.4</v>
      </c>
      <c r="AG3144" s="1" t="str">
        <f t="shared" si="221"/>
        <v>Y</v>
      </c>
    </row>
    <row r="3145" spans="1:33" x14ac:dyDescent="0.2">
      <c r="A3145" s="1" t="s">
        <v>370</v>
      </c>
      <c r="B3145" s="1" t="s">
        <v>7046</v>
      </c>
      <c r="C3145" s="1">
        <v>55625</v>
      </c>
      <c r="D3145" s="1" t="s">
        <v>7047</v>
      </c>
      <c r="F3145" s="1">
        <v>2023</v>
      </c>
      <c r="G3145" s="1" t="s">
        <v>247</v>
      </c>
      <c r="H3145" s="1">
        <v>606775</v>
      </c>
      <c r="I3145" s="1">
        <v>9</v>
      </c>
      <c r="K3145" s="1" t="s">
        <v>6921</v>
      </c>
      <c r="L3145" s="1" t="s">
        <v>6922</v>
      </c>
      <c r="M3145" s="1">
        <v>95</v>
      </c>
      <c r="N3145" s="1" t="s">
        <v>39</v>
      </c>
      <c r="O3145" s="1">
        <v>38.241900000000001</v>
      </c>
      <c r="P3145" s="1">
        <v>-121.85509999999999</v>
      </c>
      <c r="Q3145" s="1" t="s">
        <v>7048</v>
      </c>
      <c r="R3145" s="1" t="s">
        <v>41</v>
      </c>
      <c r="T3145" s="1" t="s">
        <v>93</v>
      </c>
      <c r="U3145" s="1" t="s">
        <v>44</v>
      </c>
      <c r="X3145" s="1" t="s">
        <v>2111</v>
      </c>
      <c r="AA3145" s="3">
        <v>37599</v>
      </c>
      <c r="AB3145" s="1" t="s">
        <v>46</v>
      </c>
      <c r="AC3145" s="5">
        <v>500</v>
      </c>
      <c r="AD3145" s="1" t="s">
        <v>4340</v>
      </c>
      <c r="AE3145" s="1" t="str">
        <f t="shared" si="222"/>
        <v>55625 UNIT1</v>
      </c>
      <c r="AF3145" s="5" t="str">
        <f t="shared" si="223"/>
        <v>47</v>
      </c>
      <c r="AG3145" s="1" t="str">
        <f t="shared" si="221"/>
        <v>Y</v>
      </c>
    </row>
    <row r="3146" spans="1:33" x14ac:dyDescent="0.2">
      <c r="A3146" s="1" t="s">
        <v>370</v>
      </c>
      <c r="B3146" s="1" t="s">
        <v>7049</v>
      </c>
      <c r="C3146" s="1">
        <v>55626</v>
      </c>
      <c r="D3146" s="1" t="s">
        <v>7047</v>
      </c>
      <c r="F3146" s="1">
        <v>2023</v>
      </c>
      <c r="G3146" s="1" t="s">
        <v>247</v>
      </c>
      <c r="H3146" s="1">
        <v>606775</v>
      </c>
      <c r="I3146" s="1">
        <v>9</v>
      </c>
      <c r="K3146" s="1" t="s">
        <v>6921</v>
      </c>
      <c r="L3146" s="1" t="s">
        <v>6922</v>
      </c>
      <c r="M3146" s="1">
        <v>95</v>
      </c>
      <c r="N3146" s="1" t="s">
        <v>39</v>
      </c>
      <c r="O3146" s="1">
        <v>38.221600000000002</v>
      </c>
      <c r="P3146" s="1">
        <v>-121.8683</v>
      </c>
      <c r="Q3146" s="1" t="s">
        <v>7050</v>
      </c>
      <c r="R3146" s="1" t="s">
        <v>41</v>
      </c>
      <c r="T3146" s="1" t="s">
        <v>93</v>
      </c>
      <c r="U3146" s="1" t="s">
        <v>44</v>
      </c>
      <c r="X3146" s="1" t="s">
        <v>2111</v>
      </c>
      <c r="AA3146" s="3">
        <v>37597</v>
      </c>
      <c r="AB3146" s="1" t="s">
        <v>46</v>
      </c>
      <c r="AC3146" s="5">
        <v>500</v>
      </c>
      <c r="AD3146" s="1" t="s">
        <v>4340</v>
      </c>
      <c r="AE3146" s="1" t="str">
        <f t="shared" si="222"/>
        <v>55626 UNIT1</v>
      </c>
      <c r="AF3146" s="5" t="str">
        <f t="shared" si="223"/>
        <v>47</v>
      </c>
      <c r="AG3146" s="1" t="str">
        <f t="shared" si="221"/>
        <v>Y</v>
      </c>
    </row>
    <row r="3147" spans="1:33" x14ac:dyDescent="0.2">
      <c r="A3147" s="1" t="s">
        <v>370</v>
      </c>
      <c r="B3147" s="1" t="s">
        <v>7051</v>
      </c>
      <c r="C3147" s="1">
        <v>55627</v>
      </c>
      <c r="D3147" s="1" t="s">
        <v>7047</v>
      </c>
      <c r="F3147" s="1">
        <v>2023</v>
      </c>
      <c r="G3147" s="1" t="s">
        <v>247</v>
      </c>
      <c r="H3147" s="1">
        <v>606775</v>
      </c>
      <c r="I3147" s="1">
        <v>9</v>
      </c>
      <c r="K3147" s="1" t="s">
        <v>6921</v>
      </c>
      <c r="L3147" s="1" t="s">
        <v>6922</v>
      </c>
      <c r="M3147" s="1">
        <v>95</v>
      </c>
      <c r="N3147" s="1" t="s">
        <v>39</v>
      </c>
      <c r="O3147" s="1">
        <v>38.2271</v>
      </c>
      <c r="P3147" s="1">
        <v>-121.84399999999999</v>
      </c>
      <c r="Q3147" s="1" t="s">
        <v>7052</v>
      </c>
      <c r="R3147" s="1" t="s">
        <v>41</v>
      </c>
      <c r="T3147" s="1" t="s">
        <v>93</v>
      </c>
      <c r="U3147" s="1" t="s">
        <v>44</v>
      </c>
      <c r="X3147" s="1" t="s">
        <v>1608</v>
      </c>
      <c r="AA3147" s="3">
        <v>37598</v>
      </c>
      <c r="AB3147" s="1" t="s">
        <v>46</v>
      </c>
      <c r="AC3147" s="5">
        <v>500</v>
      </c>
      <c r="AD3147" s="1" t="s">
        <v>4340</v>
      </c>
      <c r="AE3147" s="1" t="str">
        <f t="shared" si="222"/>
        <v>55627 UNIT1</v>
      </c>
      <c r="AF3147" s="5" t="str">
        <f t="shared" si="223"/>
        <v>47</v>
      </c>
      <c r="AG3147" s="1" t="str">
        <f t="shared" si="221"/>
        <v>Y</v>
      </c>
    </row>
    <row r="3148" spans="1:33" x14ac:dyDescent="0.2">
      <c r="A3148" s="1" t="s">
        <v>458</v>
      </c>
      <c r="B3148" s="1" t="s">
        <v>7053</v>
      </c>
      <c r="C3148" s="1">
        <v>55640</v>
      </c>
      <c r="D3148" s="1" t="s">
        <v>993</v>
      </c>
      <c r="F3148" s="1">
        <v>2023</v>
      </c>
      <c r="G3148" s="1" t="s">
        <v>461</v>
      </c>
      <c r="H3148" s="1">
        <v>605624</v>
      </c>
      <c r="I3148" s="1">
        <v>5</v>
      </c>
      <c r="K3148" s="1" t="s">
        <v>463</v>
      </c>
      <c r="L3148" s="1" t="s">
        <v>464</v>
      </c>
      <c r="M3148" s="1">
        <v>197</v>
      </c>
      <c r="N3148" s="1" t="s">
        <v>39</v>
      </c>
      <c r="O3148" s="1">
        <v>41.442599999999999</v>
      </c>
      <c r="P3148" s="1">
        <v>-87.751499999999993</v>
      </c>
      <c r="Q3148" s="1" t="s">
        <v>7054</v>
      </c>
      <c r="R3148" s="1" t="s">
        <v>41</v>
      </c>
      <c r="T3148" s="1" t="s">
        <v>93</v>
      </c>
      <c r="U3148" s="1" t="s">
        <v>44</v>
      </c>
      <c r="X3148" s="1" t="s">
        <v>176</v>
      </c>
      <c r="AA3148" s="3">
        <v>37432</v>
      </c>
      <c r="AB3148" s="1" t="s">
        <v>46</v>
      </c>
      <c r="AC3148" s="5">
        <v>519</v>
      </c>
      <c r="AD3148" s="1" t="s">
        <v>7055</v>
      </c>
      <c r="AE3148" s="1" t="str">
        <f t="shared" si="222"/>
        <v>55640 CT01</v>
      </c>
      <c r="AF3148" s="5" t="str">
        <f t="shared" si="223"/>
        <v>45</v>
      </c>
      <c r="AG3148" s="1" t="str">
        <f t="shared" si="221"/>
        <v>Y</v>
      </c>
    </row>
    <row r="3149" spans="1:33" x14ac:dyDescent="0.2">
      <c r="A3149" s="1" t="s">
        <v>458</v>
      </c>
      <c r="B3149" s="1" t="s">
        <v>7053</v>
      </c>
      <c r="C3149" s="1">
        <v>55640</v>
      </c>
      <c r="D3149" s="1" t="s">
        <v>998</v>
      </c>
      <c r="F3149" s="1">
        <v>2023</v>
      </c>
      <c r="G3149" s="1" t="s">
        <v>461</v>
      </c>
      <c r="H3149" s="1">
        <v>605624</v>
      </c>
      <c r="I3149" s="1">
        <v>5</v>
      </c>
      <c r="K3149" s="1" t="s">
        <v>463</v>
      </c>
      <c r="L3149" s="1" t="s">
        <v>464</v>
      </c>
      <c r="M3149" s="1">
        <v>197</v>
      </c>
      <c r="N3149" s="1" t="s">
        <v>39</v>
      </c>
      <c r="O3149" s="1">
        <v>41.442599999999999</v>
      </c>
      <c r="P3149" s="1">
        <v>-87.751499999999993</v>
      </c>
      <c r="Q3149" s="1" t="s">
        <v>7054</v>
      </c>
      <c r="R3149" s="1" t="s">
        <v>41</v>
      </c>
      <c r="T3149" s="1" t="s">
        <v>93</v>
      </c>
      <c r="U3149" s="1" t="s">
        <v>44</v>
      </c>
      <c r="X3149" s="1" t="s">
        <v>176</v>
      </c>
      <c r="AA3149" s="3">
        <v>37432</v>
      </c>
      <c r="AB3149" s="1" t="s">
        <v>46</v>
      </c>
      <c r="AC3149" s="5">
        <v>505</v>
      </c>
      <c r="AD3149" s="1" t="s">
        <v>7056</v>
      </c>
      <c r="AE3149" s="1" t="str">
        <f t="shared" si="222"/>
        <v>55640 CT02</v>
      </c>
      <c r="AF3149" s="5" t="str">
        <f t="shared" si="223"/>
        <v>45</v>
      </c>
      <c r="AG3149" s="1" t="str">
        <f t="shared" si="221"/>
        <v>Y</v>
      </c>
    </row>
    <row r="3150" spans="1:33" x14ac:dyDescent="0.2">
      <c r="A3150" s="1" t="s">
        <v>458</v>
      </c>
      <c r="B3150" s="1" t="s">
        <v>7053</v>
      </c>
      <c r="C3150" s="1">
        <v>55640</v>
      </c>
      <c r="D3150" s="1" t="s">
        <v>1043</v>
      </c>
      <c r="F3150" s="1">
        <v>2023</v>
      </c>
      <c r="G3150" s="1" t="s">
        <v>461</v>
      </c>
      <c r="H3150" s="1">
        <v>605624</v>
      </c>
      <c r="I3150" s="1">
        <v>5</v>
      </c>
      <c r="K3150" s="1" t="s">
        <v>463</v>
      </c>
      <c r="L3150" s="1" t="s">
        <v>464</v>
      </c>
      <c r="M3150" s="1">
        <v>197</v>
      </c>
      <c r="N3150" s="1" t="s">
        <v>39</v>
      </c>
      <c r="O3150" s="1">
        <v>41.442599999999999</v>
      </c>
      <c r="P3150" s="1">
        <v>-87.751499999999993</v>
      </c>
      <c r="Q3150" s="1" t="s">
        <v>7054</v>
      </c>
      <c r="R3150" s="1" t="s">
        <v>41</v>
      </c>
      <c r="T3150" s="1" t="s">
        <v>93</v>
      </c>
      <c r="U3150" s="1" t="s">
        <v>44</v>
      </c>
      <c r="X3150" s="1" t="s">
        <v>176</v>
      </c>
      <c r="AA3150" s="3">
        <v>37424</v>
      </c>
      <c r="AB3150" s="1" t="s">
        <v>46</v>
      </c>
      <c r="AC3150" s="5">
        <v>517</v>
      </c>
      <c r="AD3150" s="1" t="s">
        <v>7057</v>
      </c>
      <c r="AE3150" s="1" t="str">
        <f t="shared" si="222"/>
        <v>55640 CT03</v>
      </c>
      <c r="AF3150" s="5" t="str">
        <f t="shared" si="223"/>
        <v>45</v>
      </c>
      <c r="AG3150" s="1" t="str">
        <f t="shared" si="221"/>
        <v>Y</v>
      </c>
    </row>
    <row r="3151" spans="1:33" x14ac:dyDescent="0.2">
      <c r="A3151" s="1" t="s">
        <v>458</v>
      </c>
      <c r="B3151" s="1" t="s">
        <v>7053</v>
      </c>
      <c r="C3151" s="1">
        <v>55640</v>
      </c>
      <c r="D3151" s="1" t="s">
        <v>1048</v>
      </c>
      <c r="F3151" s="1">
        <v>2023</v>
      </c>
      <c r="G3151" s="1" t="s">
        <v>461</v>
      </c>
      <c r="H3151" s="1">
        <v>605624</v>
      </c>
      <c r="I3151" s="1">
        <v>5</v>
      </c>
      <c r="K3151" s="1" t="s">
        <v>463</v>
      </c>
      <c r="L3151" s="1" t="s">
        <v>464</v>
      </c>
      <c r="M3151" s="1">
        <v>197</v>
      </c>
      <c r="N3151" s="1" t="s">
        <v>39</v>
      </c>
      <c r="O3151" s="1">
        <v>41.442599999999999</v>
      </c>
      <c r="P3151" s="1">
        <v>-87.751499999999993</v>
      </c>
      <c r="Q3151" s="1" t="s">
        <v>7054</v>
      </c>
      <c r="R3151" s="1" t="s">
        <v>41</v>
      </c>
      <c r="T3151" s="1" t="s">
        <v>93</v>
      </c>
      <c r="U3151" s="1" t="s">
        <v>44</v>
      </c>
      <c r="X3151" s="1" t="s">
        <v>176</v>
      </c>
      <c r="AA3151" s="3">
        <v>37425</v>
      </c>
      <c r="AB3151" s="1" t="s">
        <v>46</v>
      </c>
      <c r="AC3151" s="5">
        <v>505</v>
      </c>
      <c r="AD3151" s="1" t="s">
        <v>7058</v>
      </c>
      <c r="AE3151" s="1" t="str">
        <f t="shared" si="222"/>
        <v>55640 CT04</v>
      </c>
      <c r="AF3151" s="5" t="str">
        <f t="shared" si="223"/>
        <v>45</v>
      </c>
      <c r="AG3151" s="1" t="str">
        <f t="shared" si="221"/>
        <v>Y</v>
      </c>
    </row>
    <row r="3152" spans="1:33" x14ac:dyDescent="0.2">
      <c r="A3152" s="1" t="s">
        <v>458</v>
      </c>
      <c r="B3152" s="1" t="s">
        <v>7053</v>
      </c>
      <c r="C3152" s="1">
        <v>55640</v>
      </c>
      <c r="D3152" s="1" t="s">
        <v>1050</v>
      </c>
      <c r="F3152" s="1">
        <v>2023</v>
      </c>
      <c r="G3152" s="1" t="s">
        <v>461</v>
      </c>
      <c r="H3152" s="1">
        <v>605624</v>
      </c>
      <c r="I3152" s="1">
        <v>5</v>
      </c>
      <c r="K3152" s="1" t="s">
        <v>463</v>
      </c>
      <c r="L3152" s="1" t="s">
        <v>464</v>
      </c>
      <c r="M3152" s="1">
        <v>197</v>
      </c>
      <c r="N3152" s="1" t="s">
        <v>39</v>
      </c>
      <c r="O3152" s="1">
        <v>41.442599999999999</v>
      </c>
      <c r="P3152" s="1">
        <v>-87.751499999999993</v>
      </c>
      <c r="Q3152" s="1" t="s">
        <v>7054</v>
      </c>
      <c r="R3152" s="1" t="s">
        <v>41</v>
      </c>
      <c r="T3152" s="1" t="s">
        <v>93</v>
      </c>
      <c r="U3152" s="1" t="s">
        <v>44</v>
      </c>
      <c r="X3152" s="1" t="s">
        <v>176</v>
      </c>
      <c r="AA3152" s="3">
        <v>37419</v>
      </c>
      <c r="AB3152" s="1" t="s">
        <v>46</v>
      </c>
      <c r="AC3152" s="5">
        <v>505</v>
      </c>
      <c r="AD3152" s="1" t="s">
        <v>7059</v>
      </c>
      <c r="AE3152" s="1" t="str">
        <f t="shared" si="222"/>
        <v>55640 CT05</v>
      </c>
      <c r="AF3152" s="5" t="str">
        <f t="shared" si="223"/>
        <v>45</v>
      </c>
      <c r="AG3152" s="1" t="str">
        <f t="shared" si="221"/>
        <v>Y</v>
      </c>
    </row>
    <row r="3153" spans="1:33" x14ac:dyDescent="0.2">
      <c r="A3153" s="1" t="s">
        <v>458</v>
      </c>
      <c r="B3153" s="1" t="s">
        <v>7053</v>
      </c>
      <c r="C3153" s="1">
        <v>55640</v>
      </c>
      <c r="D3153" s="1" t="s">
        <v>4517</v>
      </c>
      <c r="F3153" s="1">
        <v>2023</v>
      </c>
      <c r="G3153" s="1" t="s">
        <v>461</v>
      </c>
      <c r="H3153" s="1">
        <v>605624</v>
      </c>
      <c r="I3153" s="1">
        <v>5</v>
      </c>
      <c r="K3153" s="1" t="s">
        <v>463</v>
      </c>
      <c r="L3153" s="1" t="s">
        <v>464</v>
      </c>
      <c r="M3153" s="1">
        <v>197</v>
      </c>
      <c r="N3153" s="1" t="s">
        <v>39</v>
      </c>
      <c r="O3153" s="1">
        <v>41.442599999999999</v>
      </c>
      <c r="P3153" s="1">
        <v>-87.751499999999993</v>
      </c>
      <c r="Q3153" s="1" t="s">
        <v>7054</v>
      </c>
      <c r="R3153" s="1" t="s">
        <v>41</v>
      </c>
      <c r="T3153" s="1" t="s">
        <v>93</v>
      </c>
      <c r="U3153" s="1" t="s">
        <v>44</v>
      </c>
      <c r="X3153" s="1" t="s">
        <v>176</v>
      </c>
      <c r="AA3153" s="3">
        <v>37421</v>
      </c>
      <c r="AB3153" s="1" t="s">
        <v>46</v>
      </c>
      <c r="AC3153" s="5">
        <v>505</v>
      </c>
      <c r="AD3153" s="1" t="s">
        <v>7060</v>
      </c>
      <c r="AE3153" s="1" t="str">
        <f t="shared" si="222"/>
        <v>55640 CT06</v>
      </c>
      <c r="AF3153" s="5" t="str">
        <f t="shared" si="223"/>
        <v>45</v>
      </c>
      <c r="AG3153" s="1" t="str">
        <f t="shared" si="221"/>
        <v>Y</v>
      </c>
    </row>
    <row r="3154" spans="1:33" x14ac:dyDescent="0.2">
      <c r="A3154" s="1" t="s">
        <v>458</v>
      </c>
      <c r="B3154" s="1" t="s">
        <v>7053</v>
      </c>
      <c r="C3154" s="1">
        <v>55640</v>
      </c>
      <c r="D3154" s="1" t="s">
        <v>5961</v>
      </c>
      <c r="F3154" s="1">
        <v>2023</v>
      </c>
      <c r="G3154" s="1" t="s">
        <v>461</v>
      </c>
      <c r="H3154" s="1">
        <v>605624</v>
      </c>
      <c r="I3154" s="1">
        <v>5</v>
      </c>
      <c r="K3154" s="1" t="s">
        <v>463</v>
      </c>
      <c r="L3154" s="1" t="s">
        <v>464</v>
      </c>
      <c r="M3154" s="1">
        <v>197</v>
      </c>
      <c r="N3154" s="1" t="s">
        <v>39</v>
      </c>
      <c r="O3154" s="1">
        <v>41.442599999999999</v>
      </c>
      <c r="P3154" s="1">
        <v>-87.751499999999993</v>
      </c>
      <c r="Q3154" s="1" t="s">
        <v>7054</v>
      </c>
      <c r="R3154" s="1" t="s">
        <v>41</v>
      </c>
      <c r="T3154" s="1" t="s">
        <v>93</v>
      </c>
      <c r="U3154" s="1" t="s">
        <v>44</v>
      </c>
      <c r="X3154" s="1" t="s">
        <v>176</v>
      </c>
      <c r="AA3154" s="3">
        <v>37432</v>
      </c>
      <c r="AB3154" s="1" t="s">
        <v>46</v>
      </c>
      <c r="AC3154" s="5">
        <v>505</v>
      </c>
      <c r="AD3154" s="1" t="s">
        <v>7061</v>
      </c>
      <c r="AE3154" s="1" t="str">
        <f t="shared" si="222"/>
        <v>55640 CT07</v>
      </c>
      <c r="AF3154" s="5" t="str">
        <f t="shared" si="223"/>
        <v>45</v>
      </c>
      <c r="AG3154" s="1" t="str">
        <f t="shared" si="221"/>
        <v>Y</v>
      </c>
    </row>
    <row r="3155" spans="1:33" x14ac:dyDescent="0.2">
      <c r="A3155" s="1" t="s">
        <v>458</v>
      </c>
      <c r="B3155" s="1" t="s">
        <v>7053</v>
      </c>
      <c r="C3155" s="1">
        <v>55640</v>
      </c>
      <c r="D3155" s="1" t="s">
        <v>5962</v>
      </c>
      <c r="F3155" s="1">
        <v>2023</v>
      </c>
      <c r="G3155" s="1" t="s">
        <v>461</v>
      </c>
      <c r="H3155" s="1">
        <v>605624</v>
      </c>
      <c r="I3155" s="1">
        <v>5</v>
      </c>
      <c r="K3155" s="1" t="s">
        <v>463</v>
      </c>
      <c r="L3155" s="1" t="s">
        <v>464</v>
      </c>
      <c r="M3155" s="1">
        <v>197</v>
      </c>
      <c r="N3155" s="1" t="s">
        <v>39</v>
      </c>
      <c r="O3155" s="1">
        <v>41.442599999999999</v>
      </c>
      <c r="P3155" s="1">
        <v>-87.751499999999993</v>
      </c>
      <c r="Q3155" s="1" t="s">
        <v>7054</v>
      </c>
      <c r="R3155" s="1" t="s">
        <v>41</v>
      </c>
      <c r="T3155" s="1" t="s">
        <v>93</v>
      </c>
      <c r="U3155" s="1" t="s">
        <v>44</v>
      </c>
      <c r="X3155" s="1" t="s">
        <v>176</v>
      </c>
      <c r="AA3155" s="3">
        <v>37435</v>
      </c>
      <c r="AB3155" s="1" t="s">
        <v>46</v>
      </c>
      <c r="AC3155" s="5">
        <v>505</v>
      </c>
      <c r="AD3155" s="1" t="s">
        <v>7062</v>
      </c>
      <c r="AE3155" s="1" t="str">
        <f t="shared" si="222"/>
        <v>55640 CT08</v>
      </c>
      <c r="AF3155" s="5" t="str">
        <f t="shared" si="223"/>
        <v>45</v>
      </c>
      <c r="AG3155" s="1" t="str">
        <f t="shared" si="221"/>
        <v>Y</v>
      </c>
    </row>
    <row r="3156" spans="1:33" x14ac:dyDescent="0.2">
      <c r="A3156" s="1" t="s">
        <v>458</v>
      </c>
      <c r="B3156" s="1" t="s">
        <v>7053</v>
      </c>
      <c r="C3156" s="1">
        <v>55640</v>
      </c>
      <c r="D3156" s="1" t="s">
        <v>7002</v>
      </c>
      <c r="F3156" s="1">
        <v>2023</v>
      </c>
      <c r="G3156" s="1" t="s">
        <v>461</v>
      </c>
      <c r="H3156" s="1">
        <v>605624</v>
      </c>
      <c r="I3156" s="1">
        <v>5</v>
      </c>
      <c r="K3156" s="1" t="s">
        <v>463</v>
      </c>
      <c r="L3156" s="1" t="s">
        <v>464</v>
      </c>
      <c r="M3156" s="1">
        <v>197</v>
      </c>
      <c r="N3156" s="1" t="s">
        <v>39</v>
      </c>
      <c r="O3156" s="1">
        <v>41.442599999999999</v>
      </c>
      <c r="P3156" s="1">
        <v>-87.751499999999993</v>
      </c>
      <c r="Q3156" s="1" t="s">
        <v>7054</v>
      </c>
      <c r="R3156" s="1" t="s">
        <v>41</v>
      </c>
      <c r="T3156" s="1" t="s">
        <v>93</v>
      </c>
      <c r="U3156" s="1" t="s">
        <v>44</v>
      </c>
      <c r="X3156" s="1" t="s">
        <v>176</v>
      </c>
      <c r="AA3156" s="3">
        <v>37435</v>
      </c>
      <c r="AB3156" s="1" t="s">
        <v>46</v>
      </c>
      <c r="AC3156" s="5">
        <v>505</v>
      </c>
      <c r="AD3156" s="1" t="s">
        <v>7063</v>
      </c>
      <c r="AE3156" s="1" t="str">
        <f t="shared" si="222"/>
        <v>55640 CT09</v>
      </c>
      <c r="AF3156" s="5" t="str">
        <f t="shared" si="223"/>
        <v>45</v>
      </c>
      <c r="AG3156" s="1" t="str">
        <f t="shared" si="221"/>
        <v>Y</v>
      </c>
    </row>
    <row r="3157" spans="1:33" x14ac:dyDescent="0.2">
      <c r="A3157" s="1" t="s">
        <v>458</v>
      </c>
      <c r="B3157" s="1" t="s">
        <v>7053</v>
      </c>
      <c r="C3157" s="1">
        <v>55640</v>
      </c>
      <c r="D3157" s="1" t="s">
        <v>92</v>
      </c>
      <c r="F3157" s="1">
        <v>2023</v>
      </c>
      <c r="G3157" s="1" t="s">
        <v>461</v>
      </c>
      <c r="H3157" s="1">
        <v>605624</v>
      </c>
      <c r="I3157" s="1">
        <v>5</v>
      </c>
      <c r="K3157" s="1" t="s">
        <v>463</v>
      </c>
      <c r="L3157" s="1" t="s">
        <v>464</v>
      </c>
      <c r="M3157" s="1">
        <v>197</v>
      </c>
      <c r="N3157" s="1" t="s">
        <v>39</v>
      </c>
      <c r="O3157" s="1">
        <v>41.442599999999999</v>
      </c>
      <c r="P3157" s="1">
        <v>-87.751499999999993</v>
      </c>
      <c r="Q3157" s="1" t="s">
        <v>7054</v>
      </c>
      <c r="R3157" s="1" t="s">
        <v>41</v>
      </c>
      <c r="T3157" s="1" t="s">
        <v>93</v>
      </c>
      <c r="U3157" s="1" t="s">
        <v>44</v>
      </c>
      <c r="X3157" s="1" t="s">
        <v>176</v>
      </c>
      <c r="AA3157" s="3">
        <v>37438</v>
      </c>
      <c r="AB3157" s="1" t="s">
        <v>46</v>
      </c>
      <c r="AC3157" s="5">
        <v>505</v>
      </c>
      <c r="AD3157" s="1" t="s">
        <v>7064</v>
      </c>
      <c r="AE3157" s="1" t="str">
        <f t="shared" si="222"/>
        <v>55640 CT10</v>
      </c>
      <c r="AF3157" s="5" t="str">
        <f t="shared" si="223"/>
        <v>45</v>
      </c>
      <c r="AG3157" s="1" t="str">
        <f t="shared" si="221"/>
        <v>Y</v>
      </c>
    </row>
    <row r="3158" spans="1:33" x14ac:dyDescent="0.2">
      <c r="A3158" s="1" t="s">
        <v>458</v>
      </c>
      <c r="B3158" s="1" t="s">
        <v>7053</v>
      </c>
      <c r="C3158" s="1">
        <v>55640</v>
      </c>
      <c r="D3158" s="1" t="s">
        <v>6599</v>
      </c>
      <c r="F3158" s="1">
        <v>2023</v>
      </c>
      <c r="G3158" s="1" t="s">
        <v>461</v>
      </c>
      <c r="H3158" s="1">
        <v>605624</v>
      </c>
      <c r="I3158" s="1">
        <v>5</v>
      </c>
      <c r="K3158" s="1" t="s">
        <v>463</v>
      </c>
      <c r="L3158" s="1" t="s">
        <v>464</v>
      </c>
      <c r="M3158" s="1">
        <v>197</v>
      </c>
      <c r="N3158" s="1" t="s">
        <v>39</v>
      </c>
      <c r="O3158" s="1">
        <v>41.442599999999999</v>
      </c>
      <c r="P3158" s="1">
        <v>-87.751499999999993</v>
      </c>
      <c r="Q3158" s="1" t="s">
        <v>7054</v>
      </c>
      <c r="R3158" s="1" t="s">
        <v>41</v>
      </c>
      <c r="T3158" s="1" t="s">
        <v>93</v>
      </c>
      <c r="U3158" s="1" t="s">
        <v>44</v>
      </c>
      <c r="X3158" s="1" t="s">
        <v>176</v>
      </c>
      <c r="AA3158" s="3">
        <v>37448</v>
      </c>
      <c r="AB3158" s="1" t="s">
        <v>46</v>
      </c>
      <c r="AC3158" s="5">
        <v>505</v>
      </c>
      <c r="AD3158" s="1" t="s">
        <v>7065</v>
      </c>
      <c r="AE3158" s="1" t="str">
        <f t="shared" si="222"/>
        <v>55640 CT11</v>
      </c>
      <c r="AF3158" s="5" t="str">
        <f t="shared" si="223"/>
        <v>45</v>
      </c>
      <c r="AG3158" s="1" t="str">
        <f t="shared" si="221"/>
        <v>Y</v>
      </c>
    </row>
    <row r="3159" spans="1:33" x14ac:dyDescent="0.2">
      <c r="A3159" s="1" t="s">
        <v>458</v>
      </c>
      <c r="B3159" s="1" t="s">
        <v>7053</v>
      </c>
      <c r="C3159" s="1">
        <v>55640</v>
      </c>
      <c r="D3159" s="1" t="s">
        <v>6603</v>
      </c>
      <c r="F3159" s="1">
        <v>2023</v>
      </c>
      <c r="G3159" s="1" t="s">
        <v>461</v>
      </c>
      <c r="H3159" s="1">
        <v>605624</v>
      </c>
      <c r="I3159" s="1">
        <v>5</v>
      </c>
      <c r="K3159" s="1" t="s">
        <v>463</v>
      </c>
      <c r="L3159" s="1" t="s">
        <v>464</v>
      </c>
      <c r="M3159" s="1">
        <v>197</v>
      </c>
      <c r="N3159" s="1" t="s">
        <v>39</v>
      </c>
      <c r="O3159" s="1">
        <v>41.442599999999999</v>
      </c>
      <c r="P3159" s="1">
        <v>-87.751499999999993</v>
      </c>
      <c r="Q3159" s="1" t="s">
        <v>7054</v>
      </c>
      <c r="R3159" s="1" t="s">
        <v>41</v>
      </c>
      <c r="T3159" s="1" t="s">
        <v>93</v>
      </c>
      <c r="U3159" s="1" t="s">
        <v>44</v>
      </c>
      <c r="X3159" s="1" t="s">
        <v>176</v>
      </c>
      <c r="AA3159" s="3">
        <v>37459</v>
      </c>
      <c r="AB3159" s="1" t="s">
        <v>46</v>
      </c>
      <c r="AC3159" s="5">
        <v>564.29999999999995</v>
      </c>
      <c r="AD3159" s="1" t="s">
        <v>7066</v>
      </c>
      <c r="AE3159" s="1" t="str">
        <f t="shared" si="222"/>
        <v>55640 CT12</v>
      </c>
      <c r="AF3159" s="5" t="str">
        <f t="shared" si="223"/>
        <v>45</v>
      </c>
      <c r="AG3159" s="1" t="str">
        <f t="shared" si="221"/>
        <v>Y</v>
      </c>
    </row>
    <row r="3160" spans="1:33" x14ac:dyDescent="0.2">
      <c r="A3160" s="1" t="s">
        <v>3167</v>
      </c>
      <c r="B3160" s="1" t="s">
        <v>7067</v>
      </c>
      <c r="C3160" s="1">
        <v>55641</v>
      </c>
      <c r="D3160" s="1" t="s">
        <v>6763</v>
      </c>
      <c r="F3160" s="1">
        <v>2023</v>
      </c>
      <c r="G3160" s="1" t="s">
        <v>461</v>
      </c>
      <c r="H3160" s="1">
        <v>608055</v>
      </c>
      <c r="I3160" s="1">
        <v>5</v>
      </c>
      <c r="J3160" s="1" t="s">
        <v>462</v>
      </c>
      <c r="K3160" s="1" t="s">
        <v>7068</v>
      </c>
      <c r="L3160" s="1" t="s">
        <v>7069</v>
      </c>
      <c r="M3160" s="1">
        <v>105</v>
      </c>
      <c r="N3160" s="1" t="s">
        <v>39</v>
      </c>
      <c r="O3160" s="1">
        <v>42.583500000000001</v>
      </c>
      <c r="P3160" s="1">
        <v>-89.0351</v>
      </c>
      <c r="Q3160" s="1" t="s">
        <v>3214</v>
      </c>
      <c r="R3160" s="1" t="s">
        <v>41</v>
      </c>
      <c r="T3160" s="1" t="s">
        <v>71</v>
      </c>
      <c r="U3160" s="1" t="s">
        <v>44</v>
      </c>
      <c r="X3160" s="1" t="s">
        <v>64</v>
      </c>
      <c r="AA3160" s="3">
        <v>38063</v>
      </c>
      <c r="AB3160" s="1" t="s">
        <v>46</v>
      </c>
      <c r="AC3160" s="5">
        <v>2362.5</v>
      </c>
      <c r="AD3160" s="1" t="s">
        <v>7070</v>
      </c>
      <c r="AE3160" s="1" t="str">
        <f t="shared" si="222"/>
        <v>55641 CT-01</v>
      </c>
      <c r="AF3160" s="14">
        <f>MID(AD3160,FIND("(",AD3160)+1,FIND(")",AD3160)-FIND("(",AD3160)-1)+299.7/2</f>
        <v>347.85</v>
      </c>
      <c r="AG3160" s="1" t="str">
        <f t="shared" si="221"/>
        <v>Y</v>
      </c>
    </row>
    <row r="3161" spans="1:33" x14ac:dyDescent="0.2">
      <c r="A3161" s="1" t="s">
        <v>3167</v>
      </c>
      <c r="B3161" s="1" t="s">
        <v>7067</v>
      </c>
      <c r="C3161" s="1">
        <v>55641</v>
      </c>
      <c r="D3161" s="1" t="s">
        <v>6766</v>
      </c>
      <c r="F3161" s="1">
        <v>2023</v>
      </c>
      <c r="G3161" s="1" t="s">
        <v>461</v>
      </c>
      <c r="H3161" s="1">
        <v>608055</v>
      </c>
      <c r="I3161" s="1">
        <v>5</v>
      </c>
      <c r="J3161" s="1" t="s">
        <v>462</v>
      </c>
      <c r="K3161" s="1" t="s">
        <v>7068</v>
      </c>
      <c r="L3161" s="1" t="s">
        <v>7069</v>
      </c>
      <c r="M3161" s="1">
        <v>105</v>
      </c>
      <c r="N3161" s="1" t="s">
        <v>39</v>
      </c>
      <c r="O3161" s="1">
        <v>42.583500000000001</v>
      </c>
      <c r="P3161" s="1">
        <v>-89.0351</v>
      </c>
      <c r="Q3161" s="1" t="s">
        <v>3214</v>
      </c>
      <c r="R3161" s="1" t="s">
        <v>41</v>
      </c>
      <c r="T3161" s="1" t="s">
        <v>71</v>
      </c>
      <c r="U3161" s="1" t="s">
        <v>44</v>
      </c>
      <c r="X3161" s="1" t="s">
        <v>64</v>
      </c>
      <c r="AA3161" s="3">
        <v>38063</v>
      </c>
      <c r="AB3161" s="1" t="s">
        <v>46</v>
      </c>
      <c r="AC3161" s="5">
        <v>2362.5</v>
      </c>
      <c r="AD3161" s="1" t="s">
        <v>7071</v>
      </c>
      <c r="AE3161" s="1" t="str">
        <f t="shared" si="222"/>
        <v>55641 CT-02</v>
      </c>
      <c r="AF3161" s="14">
        <f>AF3160</f>
        <v>347.85</v>
      </c>
      <c r="AG3161" s="1" t="str">
        <f t="shared" si="221"/>
        <v>Y</v>
      </c>
    </row>
    <row r="3162" spans="1:33" x14ac:dyDescent="0.2">
      <c r="A3162" s="1" t="s">
        <v>3167</v>
      </c>
      <c r="B3162" s="1" t="s">
        <v>7067</v>
      </c>
      <c r="C3162" s="1">
        <v>55641</v>
      </c>
      <c r="D3162" s="1" t="s">
        <v>6768</v>
      </c>
      <c r="F3162" s="1">
        <v>2023</v>
      </c>
      <c r="G3162" s="1" t="s">
        <v>6843</v>
      </c>
      <c r="H3162" s="1">
        <v>608055</v>
      </c>
      <c r="I3162" s="1">
        <v>5</v>
      </c>
      <c r="J3162" s="1" t="s">
        <v>462</v>
      </c>
      <c r="K3162" s="1" t="s">
        <v>7068</v>
      </c>
      <c r="L3162" s="1" t="s">
        <v>7069</v>
      </c>
      <c r="M3162" s="1">
        <v>105</v>
      </c>
      <c r="N3162" s="1" t="s">
        <v>39</v>
      </c>
      <c r="O3162" s="1">
        <v>42.583500000000001</v>
      </c>
      <c r="P3162" s="1">
        <v>-89.0351</v>
      </c>
      <c r="Q3162" s="1" t="s">
        <v>7072</v>
      </c>
      <c r="R3162" s="1" t="s">
        <v>41</v>
      </c>
      <c r="T3162" s="1" t="s">
        <v>71</v>
      </c>
      <c r="U3162" s="1" t="s">
        <v>44</v>
      </c>
      <c r="X3162" s="1" t="s">
        <v>64</v>
      </c>
      <c r="AA3162" s="3">
        <v>43764</v>
      </c>
      <c r="AB3162" s="1" t="s">
        <v>46</v>
      </c>
      <c r="AC3162" s="5">
        <v>2524</v>
      </c>
      <c r="AD3162" s="1" t="s">
        <v>7073</v>
      </c>
      <c r="AE3162" s="1" t="str">
        <f t="shared" si="222"/>
        <v>55641 CT-03</v>
      </c>
      <c r="AF3162" s="14">
        <f>AF3163</f>
        <v>362.95000000000005</v>
      </c>
      <c r="AG3162" s="1" t="str">
        <f t="shared" si="221"/>
        <v>Y</v>
      </c>
    </row>
    <row r="3163" spans="1:33" x14ac:dyDescent="0.2">
      <c r="A3163" s="1" t="s">
        <v>3167</v>
      </c>
      <c r="B3163" s="1" t="s">
        <v>7067</v>
      </c>
      <c r="C3163" s="1">
        <v>55641</v>
      </c>
      <c r="D3163" s="1" t="s">
        <v>6770</v>
      </c>
      <c r="F3163" s="1">
        <v>2023</v>
      </c>
      <c r="G3163" s="1" t="s">
        <v>6843</v>
      </c>
      <c r="H3163" s="1">
        <v>608055</v>
      </c>
      <c r="I3163" s="1">
        <v>5</v>
      </c>
      <c r="J3163" s="1" t="s">
        <v>462</v>
      </c>
      <c r="K3163" s="1" t="s">
        <v>7068</v>
      </c>
      <c r="L3163" s="1" t="s">
        <v>7069</v>
      </c>
      <c r="M3163" s="1">
        <v>105</v>
      </c>
      <c r="N3163" s="1" t="s">
        <v>39</v>
      </c>
      <c r="O3163" s="1">
        <v>42.583500000000001</v>
      </c>
      <c r="P3163" s="1">
        <v>-89.0351</v>
      </c>
      <c r="Q3163" s="1" t="s">
        <v>7072</v>
      </c>
      <c r="R3163" s="1" t="s">
        <v>41</v>
      </c>
      <c r="T3163" s="1" t="s">
        <v>71</v>
      </c>
      <c r="U3163" s="1" t="s">
        <v>44</v>
      </c>
      <c r="X3163" s="1" t="s">
        <v>64</v>
      </c>
      <c r="AA3163" s="3">
        <v>43784</v>
      </c>
      <c r="AB3163" s="1" t="s">
        <v>46</v>
      </c>
      <c r="AC3163" s="5">
        <v>2568</v>
      </c>
      <c r="AD3163" s="1" t="s">
        <v>7074</v>
      </c>
      <c r="AE3163" s="1" t="str">
        <f t="shared" si="222"/>
        <v>55641 CT-04</v>
      </c>
      <c r="AF3163" s="14">
        <f>MID(AD3163,FIND("(",AD3163)+1,FIND(")",AD3163)-FIND("(",AD3163)-1)+260.1/2</f>
        <v>362.95000000000005</v>
      </c>
      <c r="AG3163" s="1" t="str">
        <f t="shared" si="221"/>
        <v>Y</v>
      </c>
    </row>
    <row r="3164" spans="1:33" x14ac:dyDescent="0.2">
      <c r="A3164" s="1" t="s">
        <v>516</v>
      </c>
      <c r="B3164" s="1" t="s">
        <v>7075</v>
      </c>
      <c r="C3164" s="1">
        <v>55645</v>
      </c>
      <c r="D3164" s="1" t="s">
        <v>6763</v>
      </c>
      <c r="F3164" s="1">
        <v>2023</v>
      </c>
      <c r="G3164" s="1" t="s">
        <v>247</v>
      </c>
      <c r="H3164" s="1">
        <v>608791</v>
      </c>
      <c r="I3164" s="1">
        <v>8</v>
      </c>
      <c r="K3164" s="1" t="s">
        <v>217</v>
      </c>
      <c r="L3164" s="1" t="s">
        <v>518</v>
      </c>
      <c r="M3164" s="1">
        <v>1</v>
      </c>
      <c r="N3164" s="1" t="s">
        <v>39</v>
      </c>
      <c r="O3164" s="1">
        <v>39.743600000000001</v>
      </c>
      <c r="P3164" s="1">
        <v>-104.68</v>
      </c>
      <c r="Q3164" s="1" t="s">
        <v>519</v>
      </c>
      <c r="R3164" s="1" t="s">
        <v>41</v>
      </c>
      <c r="T3164" s="1" t="s">
        <v>93</v>
      </c>
      <c r="U3164" s="1" t="s">
        <v>44</v>
      </c>
      <c r="V3164" s="1" t="s">
        <v>94</v>
      </c>
      <c r="X3164" s="1" t="s">
        <v>183</v>
      </c>
      <c r="AA3164" s="3">
        <v>37622</v>
      </c>
      <c r="AB3164" s="1" t="s">
        <v>46</v>
      </c>
      <c r="AC3164" s="5">
        <v>2707</v>
      </c>
      <c r="AD3164" s="1" t="s">
        <v>7076</v>
      </c>
      <c r="AE3164" s="1" t="str">
        <f t="shared" si="222"/>
        <v>55645 CT-01</v>
      </c>
      <c r="AF3164" s="5" t="str">
        <f t="shared" ref="AF3164:AF3171" si="224">MID(AD3164,FIND("(",AD3164)+1,FIND(")",AD3164)-FIND("(",AD3164)-1)</f>
        <v>145</v>
      </c>
      <c r="AG3164" s="1" t="str">
        <f t="shared" si="221"/>
        <v/>
      </c>
    </row>
    <row r="3165" spans="1:33" x14ac:dyDescent="0.2">
      <c r="A3165" s="1" t="s">
        <v>516</v>
      </c>
      <c r="B3165" s="1" t="s">
        <v>7075</v>
      </c>
      <c r="C3165" s="1">
        <v>55645</v>
      </c>
      <c r="D3165" s="1" t="s">
        <v>6766</v>
      </c>
      <c r="F3165" s="1">
        <v>2023</v>
      </c>
      <c r="G3165" s="1" t="s">
        <v>247</v>
      </c>
      <c r="H3165" s="1">
        <v>608791</v>
      </c>
      <c r="I3165" s="1">
        <v>8</v>
      </c>
      <c r="K3165" s="1" t="s">
        <v>217</v>
      </c>
      <c r="L3165" s="1" t="s">
        <v>518</v>
      </c>
      <c r="M3165" s="1">
        <v>1</v>
      </c>
      <c r="N3165" s="1" t="s">
        <v>39</v>
      </c>
      <c r="O3165" s="1">
        <v>39.743600000000001</v>
      </c>
      <c r="P3165" s="1">
        <v>-104.68</v>
      </c>
      <c r="Q3165" s="1" t="s">
        <v>519</v>
      </c>
      <c r="R3165" s="1" t="s">
        <v>41</v>
      </c>
      <c r="T3165" s="1" t="s">
        <v>93</v>
      </c>
      <c r="U3165" s="1" t="s">
        <v>44</v>
      </c>
      <c r="V3165" s="1" t="s">
        <v>94</v>
      </c>
      <c r="X3165" s="1" t="s">
        <v>183</v>
      </c>
      <c r="AA3165" s="3">
        <v>37712</v>
      </c>
      <c r="AB3165" s="1" t="s">
        <v>46</v>
      </c>
      <c r="AC3165" s="5">
        <v>2707</v>
      </c>
      <c r="AD3165" s="1" t="s">
        <v>7077</v>
      </c>
      <c r="AE3165" s="1" t="str">
        <f t="shared" si="222"/>
        <v>55645 CT-02</v>
      </c>
      <c r="AF3165" s="5" t="str">
        <f t="shared" si="224"/>
        <v>145</v>
      </c>
      <c r="AG3165" s="1" t="str">
        <f t="shared" si="221"/>
        <v/>
      </c>
    </row>
    <row r="3166" spans="1:33" x14ac:dyDescent="0.2">
      <c r="A3166" s="1" t="s">
        <v>335</v>
      </c>
      <c r="B3166" s="1" t="s">
        <v>7078</v>
      </c>
      <c r="C3166" s="1">
        <v>55651</v>
      </c>
      <c r="D3166" s="1" t="s">
        <v>6763</v>
      </c>
      <c r="F3166" s="1">
        <v>2023</v>
      </c>
      <c r="G3166" s="1" t="s">
        <v>346</v>
      </c>
      <c r="H3166" s="1">
        <v>605879</v>
      </c>
      <c r="I3166" s="1">
        <v>6</v>
      </c>
      <c r="K3166" s="1" t="s">
        <v>7079</v>
      </c>
      <c r="L3166" s="1" t="s">
        <v>7080</v>
      </c>
      <c r="M3166" s="1">
        <v>83</v>
      </c>
      <c r="N3166" s="1" t="s">
        <v>39</v>
      </c>
      <c r="O3166" s="1">
        <v>35.742199999999997</v>
      </c>
      <c r="P3166" s="1">
        <v>-97.655000000000001</v>
      </c>
      <c r="Q3166" s="1" t="s">
        <v>1283</v>
      </c>
      <c r="R3166" s="1" t="s">
        <v>41</v>
      </c>
      <c r="T3166" s="1" t="s">
        <v>93</v>
      </c>
      <c r="U3166" s="1" t="s">
        <v>44</v>
      </c>
      <c r="X3166" s="1" t="s">
        <v>140</v>
      </c>
      <c r="AA3166" s="3">
        <v>37012</v>
      </c>
      <c r="AB3166" s="1" t="s">
        <v>46</v>
      </c>
      <c r="AC3166" s="5">
        <v>1200</v>
      </c>
      <c r="AD3166" s="1" t="s">
        <v>7081</v>
      </c>
      <c r="AE3166" s="1" t="str">
        <f t="shared" si="222"/>
        <v>55651 CT-01</v>
      </c>
      <c r="AF3166" s="5" t="str">
        <f t="shared" si="224"/>
        <v>80</v>
      </c>
      <c r="AG3166" s="1" t="str">
        <f t="shared" si="221"/>
        <v/>
      </c>
    </row>
    <row r="3167" spans="1:33" x14ac:dyDescent="0.2">
      <c r="A3167" s="1" t="s">
        <v>335</v>
      </c>
      <c r="B3167" s="1" t="s">
        <v>7078</v>
      </c>
      <c r="C3167" s="1">
        <v>55651</v>
      </c>
      <c r="D3167" s="1" t="s">
        <v>6766</v>
      </c>
      <c r="F3167" s="1">
        <v>2023</v>
      </c>
      <c r="G3167" s="1" t="s">
        <v>346</v>
      </c>
      <c r="H3167" s="1">
        <v>605879</v>
      </c>
      <c r="I3167" s="1">
        <v>6</v>
      </c>
      <c r="K3167" s="1" t="s">
        <v>7079</v>
      </c>
      <c r="L3167" s="1" t="s">
        <v>7080</v>
      </c>
      <c r="M3167" s="1">
        <v>83</v>
      </c>
      <c r="N3167" s="1" t="s">
        <v>39</v>
      </c>
      <c r="O3167" s="1">
        <v>35.742199999999997</v>
      </c>
      <c r="P3167" s="1">
        <v>-97.655000000000001</v>
      </c>
      <c r="Q3167" s="1" t="s">
        <v>1283</v>
      </c>
      <c r="R3167" s="1" t="s">
        <v>41</v>
      </c>
      <c r="T3167" s="1" t="s">
        <v>93</v>
      </c>
      <c r="U3167" s="1" t="s">
        <v>44</v>
      </c>
      <c r="X3167" s="1" t="s">
        <v>140</v>
      </c>
      <c r="AA3167" s="3">
        <v>37012</v>
      </c>
      <c r="AB3167" s="1" t="s">
        <v>46</v>
      </c>
      <c r="AC3167" s="5">
        <v>1200</v>
      </c>
      <c r="AD3167" s="1" t="s">
        <v>7082</v>
      </c>
      <c r="AE3167" s="1" t="str">
        <f t="shared" si="222"/>
        <v>55651 CT-02</v>
      </c>
      <c r="AF3167" s="5" t="str">
        <f t="shared" si="224"/>
        <v>80</v>
      </c>
      <c r="AG3167" s="1" t="str">
        <f t="shared" si="221"/>
        <v/>
      </c>
    </row>
    <row r="3168" spans="1:33" x14ac:dyDescent="0.2">
      <c r="A3168" s="1" t="s">
        <v>335</v>
      </c>
      <c r="B3168" s="1" t="s">
        <v>7078</v>
      </c>
      <c r="C3168" s="1">
        <v>55651</v>
      </c>
      <c r="D3168" s="1" t="s">
        <v>6768</v>
      </c>
      <c r="F3168" s="1">
        <v>2023</v>
      </c>
      <c r="G3168" s="1" t="s">
        <v>346</v>
      </c>
      <c r="H3168" s="1">
        <v>605879</v>
      </c>
      <c r="I3168" s="1">
        <v>6</v>
      </c>
      <c r="K3168" s="1" t="s">
        <v>7079</v>
      </c>
      <c r="L3168" s="1" t="s">
        <v>7080</v>
      </c>
      <c r="M3168" s="1">
        <v>83</v>
      </c>
      <c r="N3168" s="1" t="s">
        <v>39</v>
      </c>
      <c r="O3168" s="1">
        <v>35.742199999999997</v>
      </c>
      <c r="P3168" s="1">
        <v>-97.655000000000001</v>
      </c>
      <c r="Q3168" s="1" t="s">
        <v>1283</v>
      </c>
      <c r="R3168" s="1" t="s">
        <v>41</v>
      </c>
      <c r="T3168" s="1" t="s">
        <v>93</v>
      </c>
      <c r="U3168" s="1" t="s">
        <v>44</v>
      </c>
      <c r="X3168" s="1" t="s">
        <v>140</v>
      </c>
      <c r="AA3168" s="3">
        <v>37026</v>
      </c>
      <c r="AB3168" s="1" t="s">
        <v>46</v>
      </c>
      <c r="AC3168" s="5">
        <v>1200</v>
      </c>
      <c r="AD3168" s="1" t="s">
        <v>7083</v>
      </c>
      <c r="AE3168" s="1" t="str">
        <f t="shared" si="222"/>
        <v>55651 CT-03</v>
      </c>
      <c r="AF3168" s="5" t="str">
        <f t="shared" si="224"/>
        <v>80</v>
      </c>
      <c r="AG3168" s="1" t="str">
        <f t="shared" si="221"/>
        <v/>
      </c>
    </row>
    <row r="3169" spans="1:33" x14ac:dyDescent="0.2">
      <c r="A3169" s="1" t="s">
        <v>335</v>
      </c>
      <c r="B3169" s="1" t="s">
        <v>7078</v>
      </c>
      <c r="C3169" s="1">
        <v>55651</v>
      </c>
      <c r="D3169" s="1" t="s">
        <v>6770</v>
      </c>
      <c r="F3169" s="1">
        <v>2023</v>
      </c>
      <c r="G3169" s="1" t="s">
        <v>346</v>
      </c>
      <c r="H3169" s="1">
        <v>605879</v>
      </c>
      <c r="I3169" s="1">
        <v>6</v>
      </c>
      <c r="K3169" s="1" t="s">
        <v>7079</v>
      </c>
      <c r="L3169" s="1" t="s">
        <v>7080</v>
      </c>
      <c r="M3169" s="1">
        <v>83</v>
      </c>
      <c r="N3169" s="1" t="s">
        <v>39</v>
      </c>
      <c r="O3169" s="1">
        <v>35.742199999999997</v>
      </c>
      <c r="P3169" s="1">
        <v>-97.655000000000001</v>
      </c>
      <c r="Q3169" s="1" t="s">
        <v>1283</v>
      </c>
      <c r="R3169" s="1" t="s">
        <v>41</v>
      </c>
      <c r="T3169" s="1" t="s">
        <v>93</v>
      </c>
      <c r="U3169" s="1" t="s">
        <v>44</v>
      </c>
      <c r="X3169" s="1" t="s">
        <v>140</v>
      </c>
      <c r="AA3169" s="3">
        <v>37040</v>
      </c>
      <c r="AB3169" s="1" t="s">
        <v>46</v>
      </c>
      <c r="AC3169" s="5">
        <v>1200</v>
      </c>
      <c r="AD3169" s="1" t="s">
        <v>7084</v>
      </c>
      <c r="AE3169" s="1" t="str">
        <f t="shared" si="222"/>
        <v>55651 CT-04</v>
      </c>
      <c r="AF3169" s="5" t="str">
        <f t="shared" si="224"/>
        <v>80</v>
      </c>
      <c r="AG3169" s="1" t="str">
        <f t="shared" si="221"/>
        <v/>
      </c>
    </row>
    <row r="3170" spans="1:33" x14ac:dyDescent="0.2">
      <c r="A3170" s="1" t="s">
        <v>2584</v>
      </c>
      <c r="B3170" s="1" t="s">
        <v>7085</v>
      </c>
      <c r="C3170" s="1">
        <v>55654</v>
      </c>
      <c r="D3170" s="1">
        <v>12</v>
      </c>
      <c r="F3170" s="1">
        <v>2023</v>
      </c>
      <c r="G3170" s="1" t="s">
        <v>1515</v>
      </c>
      <c r="H3170" s="1">
        <v>605624</v>
      </c>
      <c r="I3170" s="1">
        <v>3</v>
      </c>
      <c r="K3170" s="1" t="s">
        <v>357</v>
      </c>
      <c r="L3170" s="1" t="s">
        <v>7086</v>
      </c>
      <c r="M3170" s="1">
        <v>55</v>
      </c>
      <c r="N3170" s="1" t="s">
        <v>39</v>
      </c>
      <c r="O3170" s="1">
        <v>39.866799999999998</v>
      </c>
      <c r="P3170" s="1">
        <v>-77.685900000000004</v>
      </c>
      <c r="Q3170" s="1" t="s">
        <v>7087</v>
      </c>
      <c r="R3170" s="1" t="s">
        <v>41</v>
      </c>
      <c r="T3170" s="1" t="s">
        <v>93</v>
      </c>
      <c r="U3170" s="1" t="s">
        <v>44</v>
      </c>
      <c r="X3170" s="1" t="s">
        <v>95</v>
      </c>
      <c r="AA3170" s="3">
        <v>37226</v>
      </c>
      <c r="AB3170" s="1" t="s">
        <v>46</v>
      </c>
      <c r="AC3170" s="5">
        <v>510</v>
      </c>
      <c r="AD3170" s="1" t="s">
        <v>7088</v>
      </c>
      <c r="AE3170" s="1" t="str">
        <f t="shared" si="222"/>
        <v>55654 12</v>
      </c>
      <c r="AF3170" s="5" t="str">
        <f t="shared" si="224"/>
        <v>44</v>
      </c>
      <c r="AG3170" s="1" t="str">
        <f t="shared" si="221"/>
        <v/>
      </c>
    </row>
    <row r="3171" spans="1:33" x14ac:dyDescent="0.2">
      <c r="A3171" s="1" t="s">
        <v>2584</v>
      </c>
      <c r="B3171" s="1" t="s">
        <v>7085</v>
      </c>
      <c r="C3171" s="1">
        <v>55654</v>
      </c>
      <c r="D3171" s="1">
        <v>13</v>
      </c>
      <c r="F3171" s="1">
        <v>2023</v>
      </c>
      <c r="G3171" s="1" t="s">
        <v>1515</v>
      </c>
      <c r="H3171" s="1">
        <v>605624</v>
      </c>
      <c r="I3171" s="1">
        <v>3</v>
      </c>
      <c r="K3171" s="1" t="s">
        <v>357</v>
      </c>
      <c r="L3171" s="1" t="s">
        <v>7086</v>
      </c>
      <c r="M3171" s="1">
        <v>55</v>
      </c>
      <c r="N3171" s="1" t="s">
        <v>39</v>
      </c>
      <c r="O3171" s="1">
        <v>39.866799999999998</v>
      </c>
      <c r="P3171" s="1">
        <v>-77.685900000000004</v>
      </c>
      <c r="Q3171" s="1" t="s">
        <v>7087</v>
      </c>
      <c r="R3171" s="1" t="s">
        <v>41</v>
      </c>
      <c r="T3171" s="1" t="s">
        <v>93</v>
      </c>
      <c r="U3171" s="1" t="s">
        <v>44</v>
      </c>
      <c r="X3171" s="1" t="s">
        <v>95</v>
      </c>
      <c r="AA3171" s="3">
        <v>37226</v>
      </c>
      <c r="AB3171" s="1" t="s">
        <v>46</v>
      </c>
      <c r="AC3171" s="5">
        <v>510</v>
      </c>
      <c r="AD3171" s="1" t="s">
        <v>7089</v>
      </c>
      <c r="AE3171" s="1" t="str">
        <f t="shared" si="222"/>
        <v>55654 13</v>
      </c>
      <c r="AF3171" s="5" t="str">
        <f t="shared" si="224"/>
        <v>44</v>
      </c>
      <c r="AG3171" s="1" t="str">
        <f t="shared" si="221"/>
        <v/>
      </c>
    </row>
    <row r="3172" spans="1:33" x14ac:dyDescent="0.2">
      <c r="A3172" s="1" t="s">
        <v>370</v>
      </c>
      <c r="B3172" s="1" t="s">
        <v>7090</v>
      </c>
      <c r="C3172" s="1">
        <v>55656</v>
      </c>
      <c r="D3172" s="1" t="s">
        <v>648</v>
      </c>
      <c r="F3172" s="1">
        <v>2023</v>
      </c>
      <c r="G3172" s="1" t="s">
        <v>247</v>
      </c>
      <c r="H3172" s="1">
        <v>603395</v>
      </c>
      <c r="I3172" s="1">
        <v>9</v>
      </c>
      <c r="K3172" s="1" t="s">
        <v>4903</v>
      </c>
      <c r="L3172" s="1" t="s">
        <v>4904</v>
      </c>
      <c r="M3172" s="1">
        <v>29</v>
      </c>
      <c r="N3172" s="1" t="s">
        <v>39</v>
      </c>
      <c r="O3172" s="1">
        <v>34.955599999999997</v>
      </c>
      <c r="P3172" s="1">
        <v>-118.84399999999999</v>
      </c>
      <c r="Q3172" s="1" t="s">
        <v>7091</v>
      </c>
      <c r="R3172" s="1" t="s">
        <v>41</v>
      </c>
      <c r="T3172" s="1" t="s">
        <v>71</v>
      </c>
      <c r="U3172" s="1" t="s">
        <v>44</v>
      </c>
      <c r="X3172" s="1" t="s">
        <v>64</v>
      </c>
      <c r="AA3172" s="3">
        <v>38476</v>
      </c>
      <c r="AB3172" s="1" t="s">
        <v>46</v>
      </c>
      <c r="AC3172" s="5">
        <v>1981</v>
      </c>
      <c r="AD3172" s="1" t="s">
        <v>7092</v>
      </c>
      <c r="AE3172" s="1" t="str">
        <f t="shared" si="222"/>
        <v>55656 CT001</v>
      </c>
      <c r="AF3172" s="14">
        <f>MID(AD3172,FIND("(",AD3172)+1,FIND(")",AD3172)-FIND("(",AD3172)-1)+185/2</f>
        <v>260.5</v>
      </c>
      <c r="AG3172" s="1" t="str">
        <f t="shared" si="221"/>
        <v>Y</v>
      </c>
    </row>
    <row r="3173" spans="1:33" x14ac:dyDescent="0.2">
      <c r="A3173" s="1" t="s">
        <v>370</v>
      </c>
      <c r="B3173" s="1" t="s">
        <v>7090</v>
      </c>
      <c r="C3173" s="1">
        <v>55656</v>
      </c>
      <c r="D3173" s="1" t="s">
        <v>7093</v>
      </c>
      <c r="F3173" s="1">
        <v>2023</v>
      </c>
      <c r="G3173" s="1" t="s">
        <v>247</v>
      </c>
      <c r="H3173" s="1">
        <v>603395</v>
      </c>
      <c r="I3173" s="1">
        <v>9</v>
      </c>
      <c r="K3173" s="1" t="s">
        <v>4903</v>
      </c>
      <c r="L3173" s="1" t="s">
        <v>4904</v>
      </c>
      <c r="M3173" s="1">
        <v>29</v>
      </c>
      <c r="N3173" s="1" t="s">
        <v>39</v>
      </c>
      <c r="O3173" s="1">
        <v>34.955599999999997</v>
      </c>
      <c r="P3173" s="1">
        <v>-118.84399999999999</v>
      </c>
      <c r="Q3173" s="1" t="s">
        <v>7091</v>
      </c>
      <c r="R3173" s="1" t="s">
        <v>41</v>
      </c>
      <c r="T3173" s="1" t="s">
        <v>71</v>
      </c>
      <c r="U3173" s="1" t="s">
        <v>44</v>
      </c>
      <c r="X3173" s="1" t="s">
        <v>64</v>
      </c>
      <c r="AA3173" s="3">
        <v>38472</v>
      </c>
      <c r="AB3173" s="1" t="s">
        <v>46</v>
      </c>
      <c r="AC3173" s="5">
        <v>2061</v>
      </c>
      <c r="AD3173" s="1" t="s">
        <v>7094</v>
      </c>
      <c r="AE3173" s="1" t="str">
        <f t="shared" si="222"/>
        <v>55656 CT002</v>
      </c>
      <c r="AF3173" s="14">
        <f>AF3172</f>
        <v>260.5</v>
      </c>
      <c r="AG3173" s="1" t="str">
        <f t="shared" si="221"/>
        <v>Y</v>
      </c>
    </row>
    <row r="3174" spans="1:33" x14ac:dyDescent="0.2">
      <c r="A3174" s="1" t="s">
        <v>370</v>
      </c>
      <c r="B3174" s="1" t="s">
        <v>7090</v>
      </c>
      <c r="C3174" s="1">
        <v>55656</v>
      </c>
      <c r="D3174" s="1" t="s">
        <v>7095</v>
      </c>
      <c r="F3174" s="1">
        <v>2023</v>
      </c>
      <c r="G3174" s="1" t="s">
        <v>247</v>
      </c>
      <c r="H3174" s="1">
        <v>603395</v>
      </c>
      <c r="I3174" s="1">
        <v>9</v>
      </c>
      <c r="K3174" s="1" t="s">
        <v>4903</v>
      </c>
      <c r="L3174" s="1" t="s">
        <v>4904</v>
      </c>
      <c r="M3174" s="1">
        <v>29</v>
      </c>
      <c r="N3174" s="1" t="s">
        <v>39</v>
      </c>
      <c r="O3174" s="1">
        <v>34.955599999999997</v>
      </c>
      <c r="P3174" s="1">
        <v>-118.84399999999999</v>
      </c>
      <c r="Q3174" s="1" t="s">
        <v>7091</v>
      </c>
      <c r="R3174" s="1" t="s">
        <v>41</v>
      </c>
      <c r="T3174" s="1" t="s">
        <v>71</v>
      </c>
      <c r="U3174" s="1" t="s">
        <v>44</v>
      </c>
      <c r="X3174" s="1" t="s">
        <v>64</v>
      </c>
      <c r="AA3174" s="3">
        <v>38400</v>
      </c>
      <c r="AB3174" s="1" t="s">
        <v>46</v>
      </c>
      <c r="AC3174" s="5">
        <v>2061</v>
      </c>
      <c r="AD3174" s="1" t="s">
        <v>7096</v>
      </c>
      <c r="AE3174" s="1" t="str">
        <f t="shared" si="222"/>
        <v>55656 CT004</v>
      </c>
      <c r="AF3174" s="14">
        <f>MID(AD3174,FIND("(",AD3174)+1,FIND(")",AD3174)-FIND("(",AD3174)-1)+168</f>
        <v>258</v>
      </c>
      <c r="AG3174" s="1" t="str">
        <f t="shared" si="221"/>
        <v>Y</v>
      </c>
    </row>
    <row r="3175" spans="1:33" x14ac:dyDescent="0.2">
      <c r="A3175" s="1" t="s">
        <v>1961</v>
      </c>
      <c r="B3175" s="1" t="s">
        <v>7097</v>
      </c>
      <c r="C3175" s="1">
        <v>55661</v>
      </c>
      <c r="D3175" s="1">
        <v>1</v>
      </c>
      <c r="F3175" s="1">
        <v>2023</v>
      </c>
      <c r="G3175" s="1" t="s">
        <v>1976</v>
      </c>
      <c r="H3175" s="1">
        <v>609347</v>
      </c>
      <c r="I3175" s="1">
        <v>1</v>
      </c>
      <c r="K3175" s="1" t="s">
        <v>1970</v>
      </c>
      <c r="L3175" s="1" t="s">
        <v>1971</v>
      </c>
      <c r="M3175" s="1">
        <v>15</v>
      </c>
      <c r="N3175" s="1" t="s">
        <v>39</v>
      </c>
      <c r="O3175" s="1">
        <v>43.104700000000001</v>
      </c>
      <c r="P3175" s="1">
        <v>-70.804400000000001</v>
      </c>
      <c r="Q3175" s="1" t="s">
        <v>7098</v>
      </c>
      <c r="R3175" s="1" t="s">
        <v>41</v>
      </c>
      <c r="T3175" s="1" t="s">
        <v>71</v>
      </c>
      <c r="U3175" s="1" t="s">
        <v>44</v>
      </c>
      <c r="V3175" s="1" t="s">
        <v>94</v>
      </c>
      <c r="X3175" s="1" t="s">
        <v>787</v>
      </c>
      <c r="AA3175" s="3">
        <v>37429</v>
      </c>
      <c r="AB3175" s="1" t="s">
        <v>46</v>
      </c>
      <c r="AC3175" s="5">
        <v>2395</v>
      </c>
      <c r="AD3175" s="1" t="s">
        <v>7099</v>
      </c>
      <c r="AE3175" s="1" t="str">
        <f t="shared" si="222"/>
        <v>55661 1</v>
      </c>
      <c r="AF3175" s="14">
        <f>MID(AD3175,FIND("(",AD3175)+1,FIND(")",AD3175)-FIND("(",AD3175)-1)+234.3/2</f>
        <v>302.75</v>
      </c>
      <c r="AG3175" s="1" t="str">
        <f t="shared" si="221"/>
        <v>Y</v>
      </c>
    </row>
    <row r="3176" spans="1:33" x14ac:dyDescent="0.2">
      <c r="A3176" s="1" t="s">
        <v>1961</v>
      </c>
      <c r="B3176" s="1" t="s">
        <v>7097</v>
      </c>
      <c r="C3176" s="1">
        <v>55661</v>
      </c>
      <c r="D3176" s="1">
        <v>2</v>
      </c>
      <c r="F3176" s="1">
        <v>2023</v>
      </c>
      <c r="G3176" s="1" t="s">
        <v>1976</v>
      </c>
      <c r="H3176" s="1">
        <v>609347</v>
      </c>
      <c r="I3176" s="1">
        <v>1</v>
      </c>
      <c r="K3176" s="1" t="s">
        <v>1970</v>
      </c>
      <c r="L3176" s="1" t="s">
        <v>1971</v>
      </c>
      <c r="M3176" s="1">
        <v>15</v>
      </c>
      <c r="N3176" s="1" t="s">
        <v>39</v>
      </c>
      <c r="O3176" s="1">
        <v>43.104700000000001</v>
      </c>
      <c r="P3176" s="1">
        <v>-70.804400000000001</v>
      </c>
      <c r="Q3176" s="1" t="s">
        <v>7098</v>
      </c>
      <c r="R3176" s="1" t="s">
        <v>41</v>
      </c>
      <c r="T3176" s="1" t="s">
        <v>71</v>
      </c>
      <c r="U3176" s="1" t="s">
        <v>44</v>
      </c>
      <c r="V3176" s="1" t="s">
        <v>94</v>
      </c>
      <c r="X3176" s="1" t="s">
        <v>787</v>
      </c>
      <c r="AA3176" s="3">
        <v>37429</v>
      </c>
      <c r="AB3176" s="1" t="s">
        <v>46</v>
      </c>
      <c r="AC3176" s="5">
        <v>2395</v>
      </c>
      <c r="AD3176" s="1" t="s">
        <v>7100</v>
      </c>
      <c r="AE3176" s="1" t="str">
        <f t="shared" si="222"/>
        <v>55661 2</v>
      </c>
      <c r="AF3176" s="14">
        <f>AF3175</f>
        <v>302.75</v>
      </c>
      <c r="AG3176" s="1" t="str">
        <f t="shared" si="221"/>
        <v>Y</v>
      </c>
    </row>
    <row r="3177" spans="1:33" x14ac:dyDescent="0.2">
      <c r="A3177" s="1" t="s">
        <v>690</v>
      </c>
      <c r="B3177" s="1" t="s">
        <v>7101</v>
      </c>
      <c r="C3177" s="1">
        <v>55662</v>
      </c>
      <c r="D3177" s="1" t="s">
        <v>311</v>
      </c>
      <c r="F3177" s="1">
        <v>2023</v>
      </c>
      <c r="G3177" s="1" t="s">
        <v>247</v>
      </c>
      <c r="H3177" s="1">
        <v>609068</v>
      </c>
      <c r="I3177" s="1">
        <v>10</v>
      </c>
      <c r="J3177" s="1" t="s">
        <v>237</v>
      </c>
      <c r="K3177" s="1" t="s">
        <v>3136</v>
      </c>
      <c r="L3177" s="1" t="s">
        <v>3137</v>
      </c>
      <c r="M3177" s="1">
        <v>41</v>
      </c>
      <c r="N3177" s="1" t="s">
        <v>39</v>
      </c>
      <c r="O3177" s="1">
        <v>46.622599999999998</v>
      </c>
      <c r="P3177" s="1">
        <v>-122.9145</v>
      </c>
      <c r="Q3177" s="1" t="s">
        <v>3080</v>
      </c>
      <c r="R3177" s="1" t="s">
        <v>41</v>
      </c>
      <c r="T3177" s="1" t="s">
        <v>71</v>
      </c>
      <c r="U3177" s="1" t="s">
        <v>284</v>
      </c>
      <c r="X3177" s="1" t="s">
        <v>643</v>
      </c>
      <c r="AA3177" s="3">
        <v>37785</v>
      </c>
      <c r="AB3177" s="1" t="s">
        <v>46</v>
      </c>
      <c r="AC3177" s="5">
        <v>2067</v>
      </c>
      <c r="AD3177" s="1" t="s">
        <v>7102</v>
      </c>
      <c r="AE3177" s="1" t="str">
        <f t="shared" si="222"/>
        <v>55662 CT1</v>
      </c>
      <c r="AF3177" s="14">
        <f>MID(AD3177,FIND("(",AD3177)+1,FIND(")",AD3177)-FIND("(",AD3177)-1)+195.5/2</f>
        <v>269.55</v>
      </c>
      <c r="AG3177" s="1" t="str">
        <f t="shared" si="221"/>
        <v>Y</v>
      </c>
    </row>
    <row r="3178" spans="1:33" x14ac:dyDescent="0.2">
      <c r="A3178" s="1" t="s">
        <v>690</v>
      </c>
      <c r="B3178" s="1" t="s">
        <v>7101</v>
      </c>
      <c r="C3178" s="1">
        <v>55662</v>
      </c>
      <c r="D3178" s="1" t="s">
        <v>98</v>
      </c>
      <c r="F3178" s="1">
        <v>2023</v>
      </c>
      <c r="G3178" s="1" t="s">
        <v>247</v>
      </c>
      <c r="H3178" s="1">
        <v>609068</v>
      </c>
      <c r="I3178" s="1">
        <v>10</v>
      </c>
      <c r="J3178" s="1" t="s">
        <v>237</v>
      </c>
      <c r="K3178" s="1" t="s">
        <v>3136</v>
      </c>
      <c r="L3178" s="1" t="s">
        <v>3137</v>
      </c>
      <c r="M3178" s="1">
        <v>41</v>
      </c>
      <c r="N3178" s="1" t="s">
        <v>39</v>
      </c>
      <c r="O3178" s="1">
        <v>46.622599999999998</v>
      </c>
      <c r="P3178" s="1">
        <v>-122.9145</v>
      </c>
      <c r="Q3178" s="1" t="s">
        <v>3080</v>
      </c>
      <c r="R3178" s="1" t="s">
        <v>41</v>
      </c>
      <c r="T3178" s="1" t="s">
        <v>71</v>
      </c>
      <c r="U3178" s="1" t="s">
        <v>284</v>
      </c>
      <c r="X3178" s="1" t="s">
        <v>643</v>
      </c>
      <c r="AA3178" s="3">
        <v>37777</v>
      </c>
      <c r="AB3178" s="1" t="s">
        <v>46</v>
      </c>
      <c r="AC3178" s="5">
        <v>2067</v>
      </c>
      <c r="AD3178" s="1" t="s">
        <v>7103</v>
      </c>
      <c r="AE3178" s="1" t="str">
        <f t="shared" si="222"/>
        <v>55662 CT2</v>
      </c>
      <c r="AF3178" s="14">
        <f>AF3177</f>
        <v>269.55</v>
      </c>
      <c r="AG3178" s="1" t="str">
        <f t="shared" si="221"/>
        <v>Y</v>
      </c>
    </row>
    <row r="3179" spans="1:33" x14ac:dyDescent="0.2">
      <c r="A3179" s="1" t="s">
        <v>383</v>
      </c>
      <c r="B3179" s="1" t="s">
        <v>7104</v>
      </c>
      <c r="C3179" s="1">
        <v>55664</v>
      </c>
      <c r="D3179" s="1" t="s">
        <v>1155</v>
      </c>
      <c r="F3179" s="1">
        <v>2023</v>
      </c>
      <c r="G3179" s="1" t="s">
        <v>346</v>
      </c>
      <c r="H3179" s="1" t="s">
        <v>7105</v>
      </c>
      <c r="I3179" s="1">
        <v>6</v>
      </c>
      <c r="K3179" s="1" t="s">
        <v>1738</v>
      </c>
      <c r="L3179" s="1" t="s">
        <v>4465</v>
      </c>
      <c r="M3179" s="1">
        <v>203</v>
      </c>
      <c r="N3179" s="1" t="s">
        <v>39</v>
      </c>
      <c r="O3179" s="1">
        <v>32.395800000000001</v>
      </c>
      <c r="P3179" s="1">
        <v>-94.436099999999996</v>
      </c>
      <c r="Q3179" s="1" t="s">
        <v>7106</v>
      </c>
      <c r="R3179" s="1" t="s">
        <v>41</v>
      </c>
      <c r="T3179" s="1" t="s">
        <v>71</v>
      </c>
      <c r="U3179" s="1" t="s">
        <v>44</v>
      </c>
      <c r="X3179" s="1" t="s">
        <v>64</v>
      </c>
      <c r="AA3179" s="3">
        <v>37803</v>
      </c>
      <c r="AB3179" s="1" t="s">
        <v>46</v>
      </c>
      <c r="AC3179" s="5">
        <v>2201</v>
      </c>
      <c r="AD3179" s="1" t="s">
        <v>7107</v>
      </c>
      <c r="AE3179" s="1" t="str">
        <f t="shared" si="222"/>
        <v>55664 GT-1</v>
      </c>
      <c r="AF3179" s="14">
        <f>MID(AD3179,FIND("(",AD3179)+1,FIND(")",AD3179)-FIND("(",AD3179)-1)+230/2</f>
        <v>285</v>
      </c>
      <c r="AG3179" s="1" t="str">
        <f t="shared" si="221"/>
        <v>Y</v>
      </c>
    </row>
    <row r="3180" spans="1:33" x14ac:dyDescent="0.2">
      <c r="A3180" s="1" t="s">
        <v>383</v>
      </c>
      <c r="B3180" s="1" t="s">
        <v>7104</v>
      </c>
      <c r="C3180" s="1">
        <v>55664</v>
      </c>
      <c r="D3180" s="1" t="s">
        <v>1162</v>
      </c>
      <c r="F3180" s="1">
        <v>2023</v>
      </c>
      <c r="G3180" s="1" t="s">
        <v>346</v>
      </c>
      <c r="H3180" s="1" t="s">
        <v>7105</v>
      </c>
      <c r="I3180" s="1">
        <v>6</v>
      </c>
      <c r="K3180" s="1" t="s">
        <v>1738</v>
      </c>
      <c r="L3180" s="1" t="s">
        <v>4465</v>
      </c>
      <c r="M3180" s="1">
        <v>203</v>
      </c>
      <c r="N3180" s="1" t="s">
        <v>39</v>
      </c>
      <c r="O3180" s="1">
        <v>32.395800000000001</v>
      </c>
      <c r="P3180" s="1">
        <v>-94.436099999999996</v>
      </c>
      <c r="Q3180" s="1" t="s">
        <v>7106</v>
      </c>
      <c r="R3180" s="1" t="s">
        <v>41</v>
      </c>
      <c r="T3180" s="1" t="s">
        <v>71</v>
      </c>
      <c r="U3180" s="1" t="s">
        <v>44</v>
      </c>
      <c r="X3180" s="1" t="s">
        <v>64</v>
      </c>
      <c r="AA3180" s="3">
        <v>37803</v>
      </c>
      <c r="AB3180" s="1" t="s">
        <v>46</v>
      </c>
      <c r="AC3180" s="5">
        <v>2500</v>
      </c>
      <c r="AD3180" s="1" t="s">
        <v>7108</v>
      </c>
      <c r="AE3180" s="1" t="str">
        <f t="shared" si="222"/>
        <v>55664 GT-2</v>
      </c>
      <c r="AF3180" s="14">
        <f>AF3179</f>
        <v>285</v>
      </c>
      <c r="AG3180" s="1" t="str">
        <f t="shared" si="221"/>
        <v>Y</v>
      </c>
    </row>
    <row r="3181" spans="1:33" x14ac:dyDescent="0.2">
      <c r="A3181" s="1" t="s">
        <v>2584</v>
      </c>
      <c r="B3181" s="1" t="s">
        <v>7109</v>
      </c>
      <c r="C3181" s="1">
        <v>55667</v>
      </c>
      <c r="D3181" s="1" t="s">
        <v>993</v>
      </c>
      <c r="F3181" s="1">
        <v>2023</v>
      </c>
      <c r="G3181" s="1" t="s">
        <v>1515</v>
      </c>
      <c r="H3181" s="1">
        <v>601710</v>
      </c>
      <c r="I3181" s="1">
        <v>3</v>
      </c>
      <c r="K3181" s="1" t="s">
        <v>2599</v>
      </c>
      <c r="L3181" s="1" t="s">
        <v>2600</v>
      </c>
      <c r="M3181" s="1">
        <v>95</v>
      </c>
      <c r="N3181" s="1" t="s">
        <v>39</v>
      </c>
      <c r="O3181" s="1">
        <v>40.801099999999998</v>
      </c>
      <c r="P3181" s="1">
        <v>-75.105000000000004</v>
      </c>
      <c r="Q3181" s="1" t="s">
        <v>7110</v>
      </c>
      <c r="R3181" s="1" t="s">
        <v>41</v>
      </c>
      <c r="T3181" s="1" t="s">
        <v>71</v>
      </c>
      <c r="U3181" s="1" t="s">
        <v>44</v>
      </c>
      <c r="X3181" s="1" t="s">
        <v>64</v>
      </c>
      <c r="AA3181" s="3">
        <v>37949</v>
      </c>
      <c r="AB3181" s="1" t="s">
        <v>46</v>
      </c>
      <c r="AC3181" s="5">
        <v>2400</v>
      </c>
      <c r="AD3181" s="1" t="s">
        <v>7111</v>
      </c>
      <c r="AE3181" s="1" t="str">
        <f t="shared" si="222"/>
        <v>55667 CT01</v>
      </c>
      <c r="AF3181" s="14">
        <f>AF3182</f>
        <v>327.3</v>
      </c>
      <c r="AG3181" s="1" t="str">
        <f t="shared" si="221"/>
        <v>Y</v>
      </c>
    </row>
    <row r="3182" spans="1:33" x14ac:dyDescent="0.2">
      <c r="A3182" s="1" t="s">
        <v>2584</v>
      </c>
      <c r="B3182" s="1" t="s">
        <v>7109</v>
      </c>
      <c r="C3182" s="1">
        <v>55667</v>
      </c>
      <c r="D3182" s="1" t="s">
        <v>998</v>
      </c>
      <c r="F3182" s="1">
        <v>2023</v>
      </c>
      <c r="G3182" s="1" t="s">
        <v>1515</v>
      </c>
      <c r="H3182" s="1">
        <v>601710</v>
      </c>
      <c r="I3182" s="1">
        <v>3</v>
      </c>
      <c r="K3182" s="1" t="s">
        <v>2599</v>
      </c>
      <c r="L3182" s="1" t="s">
        <v>2600</v>
      </c>
      <c r="M3182" s="1">
        <v>95</v>
      </c>
      <c r="N3182" s="1" t="s">
        <v>39</v>
      </c>
      <c r="O3182" s="1">
        <v>40.801099999999998</v>
      </c>
      <c r="P3182" s="1">
        <v>-75.105000000000004</v>
      </c>
      <c r="Q3182" s="1" t="s">
        <v>7110</v>
      </c>
      <c r="R3182" s="1" t="s">
        <v>41</v>
      </c>
      <c r="T3182" s="1" t="s">
        <v>71</v>
      </c>
      <c r="U3182" s="1" t="s">
        <v>44</v>
      </c>
      <c r="X3182" s="1" t="s">
        <v>64</v>
      </c>
      <c r="AA3182" s="3">
        <v>37970</v>
      </c>
      <c r="AB3182" s="1" t="s">
        <v>46</v>
      </c>
      <c r="AC3182" s="5">
        <v>2400</v>
      </c>
      <c r="AD3182" s="1" t="s">
        <v>7112</v>
      </c>
      <c r="AE3182" s="1" t="str">
        <f t="shared" si="222"/>
        <v>55667 CT02</v>
      </c>
      <c r="AF3182" s="14">
        <f>MID(AD3182,FIND("(",AD3182)+1,FIND(")",AD3182)-FIND("(",AD3182)-1)+228.6/2</f>
        <v>327.3</v>
      </c>
      <c r="AG3182" s="1" t="str">
        <f t="shared" si="221"/>
        <v>Y</v>
      </c>
    </row>
    <row r="3183" spans="1:33" x14ac:dyDescent="0.2">
      <c r="A3183" s="1" t="s">
        <v>921</v>
      </c>
      <c r="B3183" s="1" t="s">
        <v>7113</v>
      </c>
      <c r="C3183" s="1">
        <v>55672</v>
      </c>
      <c r="D3183" s="1" t="s">
        <v>311</v>
      </c>
      <c r="F3183" s="1">
        <v>2023</v>
      </c>
      <c r="G3183" s="1" t="s">
        <v>952</v>
      </c>
      <c r="H3183" s="1">
        <v>606323</v>
      </c>
      <c r="I3183" s="1">
        <v>4</v>
      </c>
      <c r="K3183" s="1" t="s">
        <v>196</v>
      </c>
      <c r="L3183" s="1" t="s">
        <v>6530</v>
      </c>
      <c r="M3183" s="1">
        <v>303</v>
      </c>
      <c r="N3183" s="1" t="s">
        <v>39</v>
      </c>
      <c r="O3183" s="1">
        <v>33.118899999999996</v>
      </c>
      <c r="P3183" s="1">
        <v>-82.860799999999998</v>
      </c>
      <c r="Q3183" s="1" t="s">
        <v>7114</v>
      </c>
      <c r="R3183" s="1" t="s">
        <v>41</v>
      </c>
      <c r="T3183" s="1" t="s">
        <v>93</v>
      </c>
      <c r="U3183" s="1" t="s">
        <v>44</v>
      </c>
      <c r="X3183" s="1" t="s">
        <v>140</v>
      </c>
      <c r="AA3183" s="3">
        <v>37400</v>
      </c>
      <c r="AB3183" s="1" t="s">
        <v>46</v>
      </c>
      <c r="AC3183" s="5">
        <v>1150</v>
      </c>
      <c r="AD3183" s="1" t="s">
        <v>7115</v>
      </c>
      <c r="AE3183" s="1" t="str">
        <f t="shared" si="222"/>
        <v>55672 CT1</v>
      </c>
      <c r="AF3183" s="5" t="str">
        <f t="shared" ref="AF3183:AF3190" si="225">MID(AD3183,FIND("(",AD3183)+1,FIND(")",AD3183)-FIND("(",AD3183)-1)</f>
        <v>86.53</v>
      </c>
      <c r="AG3183" s="1" t="str">
        <f t="shared" si="221"/>
        <v/>
      </c>
    </row>
    <row r="3184" spans="1:33" x14ac:dyDescent="0.2">
      <c r="A3184" s="1" t="s">
        <v>921</v>
      </c>
      <c r="B3184" s="1" t="s">
        <v>7113</v>
      </c>
      <c r="C3184" s="1">
        <v>55672</v>
      </c>
      <c r="D3184" s="1" t="s">
        <v>98</v>
      </c>
      <c r="F3184" s="1">
        <v>2023</v>
      </c>
      <c r="G3184" s="1" t="s">
        <v>952</v>
      </c>
      <c r="H3184" s="1">
        <v>606323</v>
      </c>
      <c r="I3184" s="1">
        <v>4</v>
      </c>
      <c r="K3184" s="1" t="s">
        <v>196</v>
      </c>
      <c r="L3184" s="1" t="s">
        <v>6530</v>
      </c>
      <c r="M3184" s="1">
        <v>303</v>
      </c>
      <c r="N3184" s="1" t="s">
        <v>39</v>
      </c>
      <c r="O3184" s="1">
        <v>33.118899999999996</v>
      </c>
      <c r="P3184" s="1">
        <v>-82.860799999999998</v>
      </c>
      <c r="Q3184" s="1" t="s">
        <v>7114</v>
      </c>
      <c r="R3184" s="1" t="s">
        <v>41</v>
      </c>
      <c r="T3184" s="1" t="s">
        <v>93</v>
      </c>
      <c r="U3184" s="1" t="s">
        <v>44</v>
      </c>
      <c r="X3184" s="1" t="s">
        <v>140</v>
      </c>
      <c r="AA3184" s="3">
        <v>37400</v>
      </c>
      <c r="AB3184" s="1" t="s">
        <v>46</v>
      </c>
      <c r="AC3184" s="5">
        <v>1150</v>
      </c>
      <c r="AD3184" s="1" t="s">
        <v>7116</v>
      </c>
      <c r="AE3184" s="1" t="str">
        <f t="shared" si="222"/>
        <v>55672 CT2</v>
      </c>
      <c r="AF3184" s="5" t="str">
        <f t="shared" si="225"/>
        <v>86.53</v>
      </c>
      <c r="AG3184" s="1" t="str">
        <f t="shared" si="221"/>
        <v/>
      </c>
    </row>
    <row r="3185" spans="1:33" x14ac:dyDescent="0.2">
      <c r="A3185" s="1" t="s">
        <v>921</v>
      </c>
      <c r="B3185" s="1" t="s">
        <v>7113</v>
      </c>
      <c r="C3185" s="1">
        <v>55672</v>
      </c>
      <c r="D3185" s="1" t="s">
        <v>101</v>
      </c>
      <c r="F3185" s="1">
        <v>2023</v>
      </c>
      <c r="G3185" s="1" t="s">
        <v>952</v>
      </c>
      <c r="H3185" s="1">
        <v>606323</v>
      </c>
      <c r="I3185" s="1">
        <v>4</v>
      </c>
      <c r="K3185" s="1" t="s">
        <v>196</v>
      </c>
      <c r="L3185" s="1" t="s">
        <v>6530</v>
      </c>
      <c r="M3185" s="1">
        <v>303</v>
      </c>
      <c r="N3185" s="1" t="s">
        <v>39</v>
      </c>
      <c r="O3185" s="1">
        <v>33.118899999999996</v>
      </c>
      <c r="P3185" s="1">
        <v>-82.860799999999998</v>
      </c>
      <c r="Q3185" s="1" t="s">
        <v>7114</v>
      </c>
      <c r="R3185" s="1" t="s">
        <v>41</v>
      </c>
      <c r="T3185" s="1" t="s">
        <v>93</v>
      </c>
      <c r="U3185" s="1" t="s">
        <v>44</v>
      </c>
      <c r="X3185" s="1" t="s">
        <v>140</v>
      </c>
      <c r="AA3185" s="3">
        <v>37401</v>
      </c>
      <c r="AB3185" s="1" t="s">
        <v>46</v>
      </c>
      <c r="AC3185" s="5">
        <v>1150</v>
      </c>
      <c r="AD3185" s="1" t="s">
        <v>7117</v>
      </c>
      <c r="AE3185" s="1" t="str">
        <f t="shared" si="222"/>
        <v>55672 CT3</v>
      </c>
      <c r="AF3185" s="5" t="str">
        <f t="shared" si="225"/>
        <v>86.53</v>
      </c>
      <c r="AG3185" s="1" t="str">
        <f t="shared" si="221"/>
        <v/>
      </c>
    </row>
    <row r="3186" spans="1:33" x14ac:dyDescent="0.2">
      <c r="A3186" s="1" t="s">
        <v>921</v>
      </c>
      <c r="B3186" s="1" t="s">
        <v>7113</v>
      </c>
      <c r="C3186" s="1">
        <v>55672</v>
      </c>
      <c r="D3186" s="1" t="s">
        <v>103</v>
      </c>
      <c r="F3186" s="1">
        <v>2023</v>
      </c>
      <c r="G3186" s="1" t="s">
        <v>952</v>
      </c>
      <c r="H3186" s="1">
        <v>606323</v>
      </c>
      <c r="I3186" s="1">
        <v>4</v>
      </c>
      <c r="K3186" s="1" t="s">
        <v>196</v>
      </c>
      <c r="L3186" s="1" t="s">
        <v>6530</v>
      </c>
      <c r="M3186" s="1">
        <v>303</v>
      </c>
      <c r="N3186" s="1" t="s">
        <v>39</v>
      </c>
      <c r="O3186" s="1">
        <v>33.118899999999996</v>
      </c>
      <c r="P3186" s="1">
        <v>-82.860799999999998</v>
      </c>
      <c r="Q3186" s="1" t="s">
        <v>7114</v>
      </c>
      <c r="R3186" s="1" t="s">
        <v>41</v>
      </c>
      <c r="T3186" s="1" t="s">
        <v>93</v>
      </c>
      <c r="U3186" s="1" t="s">
        <v>44</v>
      </c>
      <c r="X3186" s="1" t="s">
        <v>140</v>
      </c>
      <c r="AA3186" s="3">
        <v>37401</v>
      </c>
      <c r="AB3186" s="1" t="s">
        <v>46</v>
      </c>
      <c r="AC3186" s="5">
        <v>1150</v>
      </c>
      <c r="AD3186" s="1" t="s">
        <v>7118</v>
      </c>
      <c r="AE3186" s="1" t="str">
        <f t="shared" si="222"/>
        <v>55672 CT4</v>
      </c>
      <c r="AF3186" s="5" t="str">
        <f t="shared" si="225"/>
        <v>86.53</v>
      </c>
      <c r="AG3186" s="1" t="str">
        <f t="shared" si="221"/>
        <v/>
      </c>
    </row>
    <row r="3187" spans="1:33" x14ac:dyDescent="0.2">
      <c r="A3187" s="1" t="s">
        <v>921</v>
      </c>
      <c r="B3187" s="1" t="s">
        <v>7113</v>
      </c>
      <c r="C3187" s="1">
        <v>55672</v>
      </c>
      <c r="D3187" s="1" t="s">
        <v>105</v>
      </c>
      <c r="F3187" s="1">
        <v>2023</v>
      </c>
      <c r="G3187" s="1" t="s">
        <v>952</v>
      </c>
      <c r="H3187" s="1">
        <v>606323</v>
      </c>
      <c r="I3187" s="1">
        <v>4</v>
      </c>
      <c r="K3187" s="1" t="s">
        <v>196</v>
      </c>
      <c r="L3187" s="1" t="s">
        <v>6530</v>
      </c>
      <c r="M3187" s="1">
        <v>303</v>
      </c>
      <c r="N3187" s="1" t="s">
        <v>39</v>
      </c>
      <c r="O3187" s="1">
        <v>33.118899999999996</v>
      </c>
      <c r="P3187" s="1">
        <v>-82.860799999999998</v>
      </c>
      <c r="Q3187" s="1" t="s">
        <v>7114</v>
      </c>
      <c r="R3187" s="1" t="s">
        <v>41</v>
      </c>
      <c r="T3187" s="1" t="s">
        <v>93</v>
      </c>
      <c r="U3187" s="1" t="s">
        <v>44</v>
      </c>
      <c r="X3187" s="1" t="s">
        <v>140</v>
      </c>
      <c r="AA3187" s="3">
        <v>37413</v>
      </c>
      <c r="AB3187" s="1" t="s">
        <v>46</v>
      </c>
      <c r="AC3187" s="5">
        <v>1150</v>
      </c>
      <c r="AD3187" s="1" t="s">
        <v>7119</v>
      </c>
      <c r="AE3187" s="1" t="str">
        <f t="shared" si="222"/>
        <v>55672 CT5</v>
      </c>
      <c r="AF3187" s="5" t="str">
        <f t="shared" si="225"/>
        <v>86.53</v>
      </c>
      <c r="AG3187" s="1" t="str">
        <f t="shared" si="221"/>
        <v/>
      </c>
    </row>
    <row r="3188" spans="1:33" x14ac:dyDescent="0.2">
      <c r="A3188" s="1" t="s">
        <v>921</v>
      </c>
      <c r="B3188" s="1" t="s">
        <v>7113</v>
      </c>
      <c r="C3188" s="1">
        <v>55672</v>
      </c>
      <c r="D3188" s="1" t="s">
        <v>107</v>
      </c>
      <c r="F3188" s="1">
        <v>2023</v>
      </c>
      <c r="G3188" s="1" t="s">
        <v>952</v>
      </c>
      <c r="H3188" s="1">
        <v>606323</v>
      </c>
      <c r="I3188" s="1">
        <v>4</v>
      </c>
      <c r="K3188" s="1" t="s">
        <v>196</v>
      </c>
      <c r="L3188" s="1" t="s">
        <v>6530</v>
      </c>
      <c r="M3188" s="1">
        <v>303</v>
      </c>
      <c r="N3188" s="1" t="s">
        <v>39</v>
      </c>
      <c r="O3188" s="1">
        <v>33.118899999999996</v>
      </c>
      <c r="P3188" s="1">
        <v>-82.860799999999998</v>
      </c>
      <c r="Q3188" s="1" t="s">
        <v>7114</v>
      </c>
      <c r="R3188" s="1" t="s">
        <v>41</v>
      </c>
      <c r="T3188" s="1" t="s">
        <v>93</v>
      </c>
      <c r="U3188" s="1" t="s">
        <v>44</v>
      </c>
      <c r="X3188" s="1" t="s">
        <v>140</v>
      </c>
      <c r="AA3188" s="3">
        <v>37413</v>
      </c>
      <c r="AB3188" s="1" t="s">
        <v>46</v>
      </c>
      <c r="AC3188" s="5">
        <v>1150</v>
      </c>
      <c r="AD3188" s="1" t="s">
        <v>7120</v>
      </c>
      <c r="AE3188" s="1" t="str">
        <f t="shared" si="222"/>
        <v>55672 CT6</v>
      </c>
      <c r="AF3188" s="5" t="str">
        <f t="shared" si="225"/>
        <v>86.53</v>
      </c>
      <c r="AG3188" s="1" t="str">
        <f t="shared" si="221"/>
        <v/>
      </c>
    </row>
    <row r="3189" spans="1:33" x14ac:dyDescent="0.2">
      <c r="A3189" s="1" t="s">
        <v>921</v>
      </c>
      <c r="B3189" s="1" t="s">
        <v>7113</v>
      </c>
      <c r="C3189" s="1">
        <v>55672</v>
      </c>
      <c r="D3189" s="1" t="s">
        <v>109</v>
      </c>
      <c r="F3189" s="1">
        <v>2023</v>
      </c>
      <c r="G3189" s="1" t="s">
        <v>952</v>
      </c>
      <c r="H3189" s="1">
        <v>606323</v>
      </c>
      <c r="I3189" s="1">
        <v>4</v>
      </c>
      <c r="K3189" s="1" t="s">
        <v>196</v>
      </c>
      <c r="L3189" s="1" t="s">
        <v>6530</v>
      </c>
      <c r="M3189" s="1">
        <v>303</v>
      </c>
      <c r="N3189" s="1" t="s">
        <v>39</v>
      </c>
      <c r="O3189" s="1">
        <v>33.118899999999996</v>
      </c>
      <c r="P3189" s="1">
        <v>-82.860799999999998</v>
      </c>
      <c r="Q3189" s="1" t="s">
        <v>7114</v>
      </c>
      <c r="R3189" s="1" t="s">
        <v>41</v>
      </c>
      <c r="T3189" s="1" t="s">
        <v>93</v>
      </c>
      <c r="U3189" s="1" t="s">
        <v>44</v>
      </c>
      <c r="X3189" s="1" t="s">
        <v>140</v>
      </c>
      <c r="AA3189" s="3">
        <v>37420</v>
      </c>
      <c r="AB3189" s="1" t="s">
        <v>46</v>
      </c>
      <c r="AC3189" s="5">
        <v>1150</v>
      </c>
      <c r="AD3189" s="1" t="s">
        <v>7121</v>
      </c>
      <c r="AE3189" s="1" t="str">
        <f t="shared" si="222"/>
        <v>55672 CT7</v>
      </c>
      <c r="AF3189" s="5" t="str">
        <f t="shared" si="225"/>
        <v>86.53</v>
      </c>
      <c r="AG3189" s="1" t="str">
        <f t="shared" si="221"/>
        <v/>
      </c>
    </row>
    <row r="3190" spans="1:33" x14ac:dyDescent="0.2">
      <c r="A3190" s="1" t="s">
        <v>921</v>
      </c>
      <c r="B3190" s="1" t="s">
        <v>7113</v>
      </c>
      <c r="C3190" s="1">
        <v>55672</v>
      </c>
      <c r="D3190" s="1" t="s">
        <v>111</v>
      </c>
      <c r="F3190" s="1">
        <v>2023</v>
      </c>
      <c r="G3190" s="1" t="s">
        <v>952</v>
      </c>
      <c r="H3190" s="1">
        <v>606323</v>
      </c>
      <c r="I3190" s="1">
        <v>4</v>
      </c>
      <c r="K3190" s="1" t="s">
        <v>196</v>
      </c>
      <c r="L3190" s="1" t="s">
        <v>6530</v>
      </c>
      <c r="M3190" s="1">
        <v>303</v>
      </c>
      <c r="N3190" s="1" t="s">
        <v>39</v>
      </c>
      <c r="O3190" s="1">
        <v>33.118899999999996</v>
      </c>
      <c r="P3190" s="1">
        <v>-82.860799999999998</v>
      </c>
      <c r="Q3190" s="1" t="s">
        <v>7114</v>
      </c>
      <c r="R3190" s="1" t="s">
        <v>41</v>
      </c>
      <c r="T3190" s="1" t="s">
        <v>93</v>
      </c>
      <c r="U3190" s="1" t="s">
        <v>44</v>
      </c>
      <c r="X3190" s="1" t="s">
        <v>140</v>
      </c>
      <c r="AA3190" s="3">
        <v>37426</v>
      </c>
      <c r="AB3190" s="1" t="s">
        <v>46</v>
      </c>
      <c r="AC3190" s="5">
        <v>1150</v>
      </c>
      <c r="AD3190" s="1" t="s">
        <v>7122</v>
      </c>
      <c r="AE3190" s="1" t="str">
        <f t="shared" si="222"/>
        <v>55672 CT8</v>
      </c>
      <c r="AF3190" s="5" t="str">
        <f t="shared" si="225"/>
        <v>86.53</v>
      </c>
      <c r="AG3190" s="1" t="str">
        <f t="shared" si="221"/>
        <v/>
      </c>
    </row>
    <row r="3191" spans="1:33" x14ac:dyDescent="0.2">
      <c r="A3191" s="1" t="s">
        <v>1903</v>
      </c>
      <c r="B3191" s="1" t="s">
        <v>7123</v>
      </c>
      <c r="C3191" s="1">
        <v>55687</v>
      </c>
      <c r="D3191" s="1" t="s">
        <v>7124</v>
      </c>
      <c r="F3191" s="1">
        <v>2023</v>
      </c>
      <c r="G3191" s="1" t="s">
        <v>247</v>
      </c>
      <c r="H3191" s="1">
        <v>610268</v>
      </c>
      <c r="I3191" s="1">
        <v>9</v>
      </c>
      <c r="K3191" s="1" t="s">
        <v>170</v>
      </c>
      <c r="L3191" s="1" t="s">
        <v>1906</v>
      </c>
      <c r="M3191" s="1">
        <v>3</v>
      </c>
      <c r="N3191" s="1" t="s">
        <v>39</v>
      </c>
      <c r="O3191" s="1">
        <v>35.613900000000001</v>
      </c>
      <c r="P3191" s="1">
        <v>-115.3561</v>
      </c>
      <c r="Q3191" s="1" t="s">
        <v>1907</v>
      </c>
      <c r="R3191" s="1" t="s">
        <v>41</v>
      </c>
      <c r="T3191" s="1" t="s">
        <v>71</v>
      </c>
      <c r="U3191" s="1" t="s">
        <v>44</v>
      </c>
      <c r="X3191" s="1" t="s">
        <v>140</v>
      </c>
      <c r="AA3191" s="3">
        <v>37865</v>
      </c>
      <c r="AB3191" s="1" t="s">
        <v>46</v>
      </c>
      <c r="AC3191" s="5">
        <v>2500</v>
      </c>
      <c r="AD3191" s="1" t="s">
        <v>7125</v>
      </c>
      <c r="AE3191" s="1" t="str">
        <f t="shared" si="222"/>
        <v>55687 BHG1</v>
      </c>
      <c r="AF3191" s="14">
        <f>MID(AD3191,FIND("(",AD3191)+1,FIND(")",AD3191)-FIND("(",AD3191)-1)+332.4/2</f>
        <v>344.2</v>
      </c>
      <c r="AG3191" s="1" t="str">
        <f t="shared" si="221"/>
        <v/>
      </c>
    </row>
    <row r="3192" spans="1:33" x14ac:dyDescent="0.2">
      <c r="A3192" s="1" t="s">
        <v>1903</v>
      </c>
      <c r="B3192" s="1" t="s">
        <v>7123</v>
      </c>
      <c r="C3192" s="1">
        <v>55687</v>
      </c>
      <c r="D3192" s="1" t="s">
        <v>7126</v>
      </c>
      <c r="F3192" s="1">
        <v>2023</v>
      </c>
      <c r="G3192" s="1" t="s">
        <v>247</v>
      </c>
      <c r="H3192" s="1">
        <v>610268</v>
      </c>
      <c r="I3192" s="1">
        <v>9</v>
      </c>
      <c r="K3192" s="1" t="s">
        <v>170</v>
      </c>
      <c r="L3192" s="1" t="s">
        <v>1906</v>
      </c>
      <c r="M3192" s="1">
        <v>3</v>
      </c>
      <c r="N3192" s="1" t="s">
        <v>39</v>
      </c>
      <c r="O3192" s="1">
        <v>35.613900000000001</v>
      </c>
      <c r="P3192" s="1">
        <v>-115.3561</v>
      </c>
      <c r="Q3192" s="1" t="s">
        <v>1907</v>
      </c>
      <c r="R3192" s="1" t="s">
        <v>41</v>
      </c>
      <c r="T3192" s="1" t="s">
        <v>71</v>
      </c>
      <c r="U3192" s="1" t="s">
        <v>44</v>
      </c>
      <c r="X3192" s="1" t="s">
        <v>140</v>
      </c>
      <c r="AA3192" s="3">
        <v>37865</v>
      </c>
      <c r="AB3192" s="1" t="s">
        <v>46</v>
      </c>
      <c r="AC3192" s="5">
        <v>2500</v>
      </c>
      <c r="AD3192" s="1" t="s">
        <v>7127</v>
      </c>
      <c r="AE3192" s="1" t="str">
        <f t="shared" si="222"/>
        <v>55687 BHG2</v>
      </c>
      <c r="AF3192" s="14">
        <f>AF3191</f>
        <v>344.2</v>
      </c>
      <c r="AG3192" s="1" t="str">
        <f t="shared" si="221"/>
        <v/>
      </c>
    </row>
    <row r="3193" spans="1:33" x14ac:dyDescent="0.2">
      <c r="A3193" s="1" t="s">
        <v>2584</v>
      </c>
      <c r="B3193" s="1" t="s">
        <v>7128</v>
      </c>
      <c r="C3193" s="1">
        <v>55690</v>
      </c>
      <c r="D3193" s="1">
        <v>1</v>
      </c>
      <c r="F3193" s="1">
        <v>2023</v>
      </c>
      <c r="G3193" s="1" t="s">
        <v>1515</v>
      </c>
      <c r="H3193" s="1">
        <v>609728</v>
      </c>
      <c r="I3193" s="1">
        <v>3</v>
      </c>
      <c r="K3193" s="1" t="s">
        <v>2599</v>
      </c>
      <c r="L3193" s="1" t="s">
        <v>2600</v>
      </c>
      <c r="M3193" s="1">
        <v>95</v>
      </c>
      <c r="N3193" s="1" t="s">
        <v>39</v>
      </c>
      <c r="O3193" s="1">
        <v>40.6175</v>
      </c>
      <c r="P3193" s="1">
        <v>-75.314700000000002</v>
      </c>
      <c r="Q3193" s="1" t="s">
        <v>7129</v>
      </c>
      <c r="R3193" s="1" t="s">
        <v>41</v>
      </c>
      <c r="T3193" s="1" t="s">
        <v>71</v>
      </c>
      <c r="U3193" s="1" t="s">
        <v>44</v>
      </c>
      <c r="V3193" s="1" t="s">
        <v>94</v>
      </c>
      <c r="X3193" s="1" t="s">
        <v>3913</v>
      </c>
      <c r="AA3193" s="3">
        <v>37469</v>
      </c>
      <c r="AB3193" s="1" t="s">
        <v>46</v>
      </c>
      <c r="AC3193" s="5">
        <v>1690</v>
      </c>
      <c r="AD3193" s="1" t="s">
        <v>7130</v>
      </c>
      <c r="AE3193" s="1" t="str">
        <f t="shared" si="222"/>
        <v>55690 1</v>
      </c>
      <c r="AF3193" s="14">
        <f>MID(AD3193,FIND("(",AD3193)+1,FIND(")",AD3193)-FIND("(",AD3193)-1)+230/3</f>
        <v>216.66666666666669</v>
      </c>
      <c r="AG3193" s="1" t="str">
        <f t="shared" si="221"/>
        <v>Y</v>
      </c>
    </row>
    <row r="3194" spans="1:33" x14ac:dyDescent="0.2">
      <c r="A3194" s="1" t="s">
        <v>2584</v>
      </c>
      <c r="B3194" s="1" t="s">
        <v>7128</v>
      </c>
      <c r="C3194" s="1">
        <v>55690</v>
      </c>
      <c r="D3194" s="1">
        <v>2</v>
      </c>
      <c r="F3194" s="1">
        <v>2023</v>
      </c>
      <c r="G3194" s="1" t="s">
        <v>1515</v>
      </c>
      <c r="H3194" s="1">
        <v>609728</v>
      </c>
      <c r="I3194" s="1">
        <v>3</v>
      </c>
      <c r="K3194" s="1" t="s">
        <v>2599</v>
      </c>
      <c r="L3194" s="1" t="s">
        <v>2600</v>
      </c>
      <c r="M3194" s="1">
        <v>95</v>
      </c>
      <c r="N3194" s="1" t="s">
        <v>39</v>
      </c>
      <c r="O3194" s="1">
        <v>40.6175</v>
      </c>
      <c r="P3194" s="1">
        <v>-75.314700000000002</v>
      </c>
      <c r="Q3194" s="1" t="s">
        <v>7129</v>
      </c>
      <c r="R3194" s="1" t="s">
        <v>41</v>
      </c>
      <c r="T3194" s="1" t="s">
        <v>71</v>
      </c>
      <c r="U3194" s="1" t="s">
        <v>44</v>
      </c>
      <c r="V3194" s="1" t="s">
        <v>94</v>
      </c>
      <c r="X3194" s="1" t="s">
        <v>3913</v>
      </c>
      <c r="AA3194" s="3">
        <v>37500</v>
      </c>
      <c r="AB3194" s="1" t="s">
        <v>46</v>
      </c>
      <c r="AC3194" s="5">
        <v>1690</v>
      </c>
      <c r="AD3194" s="1" t="s">
        <v>7131</v>
      </c>
      <c r="AE3194" s="1" t="str">
        <f t="shared" si="222"/>
        <v>55690 2</v>
      </c>
      <c r="AF3194" s="14">
        <f>AF3193</f>
        <v>216.66666666666669</v>
      </c>
      <c r="AG3194" s="1" t="str">
        <f t="shared" si="221"/>
        <v>Y</v>
      </c>
    </row>
    <row r="3195" spans="1:33" x14ac:dyDescent="0.2">
      <c r="A3195" s="1" t="s">
        <v>2584</v>
      </c>
      <c r="B3195" s="1" t="s">
        <v>7128</v>
      </c>
      <c r="C3195" s="1">
        <v>55690</v>
      </c>
      <c r="D3195" s="1">
        <v>3</v>
      </c>
      <c r="F3195" s="1">
        <v>2023</v>
      </c>
      <c r="G3195" s="1" t="s">
        <v>1515</v>
      </c>
      <c r="H3195" s="1">
        <v>609728</v>
      </c>
      <c r="I3195" s="1">
        <v>3</v>
      </c>
      <c r="K3195" s="1" t="s">
        <v>2599</v>
      </c>
      <c r="L3195" s="1" t="s">
        <v>2600</v>
      </c>
      <c r="M3195" s="1">
        <v>95</v>
      </c>
      <c r="N3195" s="1" t="s">
        <v>39</v>
      </c>
      <c r="O3195" s="1">
        <v>40.6175</v>
      </c>
      <c r="P3195" s="1">
        <v>-75.314700000000002</v>
      </c>
      <c r="Q3195" s="1" t="s">
        <v>7129</v>
      </c>
      <c r="R3195" s="1" t="s">
        <v>41</v>
      </c>
      <c r="T3195" s="1" t="s">
        <v>71</v>
      </c>
      <c r="U3195" s="1" t="s">
        <v>44</v>
      </c>
      <c r="V3195" s="1" t="s">
        <v>94</v>
      </c>
      <c r="X3195" s="1" t="s">
        <v>3913</v>
      </c>
      <c r="AA3195" s="3">
        <v>37530</v>
      </c>
      <c r="AB3195" s="1" t="s">
        <v>46</v>
      </c>
      <c r="AC3195" s="5">
        <v>1690</v>
      </c>
      <c r="AD3195" s="1" t="s">
        <v>7132</v>
      </c>
      <c r="AE3195" s="1" t="str">
        <f t="shared" si="222"/>
        <v>55690 3</v>
      </c>
      <c r="AF3195" s="14">
        <f>AF3193</f>
        <v>216.66666666666669</v>
      </c>
      <c r="AG3195" s="1" t="str">
        <f t="shared" si="221"/>
        <v>Y</v>
      </c>
    </row>
    <row r="3196" spans="1:33" x14ac:dyDescent="0.2">
      <c r="A3196" s="1" t="s">
        <v>2584</v>
      </c>
      <c r="B3196" s="1" t="s">
        <v>7128</v>
      </c>
      <c r="C3196" s="1">
        <v>55690</v>
      </c>
      <c r="D3196" s="1">
        <v>5</v>
      </c>
      <c r="F3196" s="1">
        <v>2023</v>
      </c>
      <c r="G3196" s="1" t="s">
        <v>1515</v>
      </c>
      <c r="H3196" s="1">
        <v>609728</v>
      </c>
      <c r="I3196" s="1">
        <v>3</v>
      </c>
      <c r="K3196" s="1" t="s">
        <v>2599</v>
      </c>
      <c r="L3196" s="1" t="s">
        <v>2600</v>
      </c>
      <c r="M3196" s="1">
        <v>95</v>
      </c>
      <c r="N3196" s="1" t="s">
        <v>39</v>
      </c>
      <c r="O3196" s="1">
        <v>40.6175</v>
      </c>
      <c r="P3196" s="1">
        <v>-75.314700000000002</v>
      </c>
      <c r="Q3196" s="1" t="s">
        <v>7129</v>
      </c>
      <c r="R3196" s="1" t="s">
        <v>41</v>
      </c>
      <c r="T3196" s="1" t="s">
        <v>71</v>
      </c>
      <c r="U3196" s="1" t="s">
        <v>44</v>
      </c>
      <c r="V3196" s="1" t="s">
        <v>94</v>
      </c>
      <c r="X3196" s="1" t="s">
        <v>3913</v>
      </c>
      <c r="AA3196" s="3">
        <v>37561</v>
      </c>
      <c r="AB3196" s="1" t="s">
        <v>46</v>
      </c>
      <c r="AC3196" s="5">
        <v>2047</v>
      </c>
      <c r="AD3196" s="1" t="s">
        <v>7133</v>
      </c>
      <c r="AE3196" s="1" t="str">
        <f t="shared" si="222"/>
        <v>55690 5</v>
      </c>
      <c r="AF3196" s="14">
        <f>AF3197</f>
        <v>216.66666666666669</v>
      </c>
      <c r="AG3196" s="1" t="str">
        <f t="shared" si="221"/>
        <v>Y</v>
      </c>
    </row>
    <row r="3197" spans="1:33" x14ac:dyDescent="0.2">
      <c r="A3197" s="1" t="s">
        <v>2584</v>
      </c>
      <c r="B3197" s="1" t="s">
        <v>7128</v>
      </c>
      <c r="C3197" s="1">
        <v>55690</v>
      </c>
      <c r="D3197" s="1">
        <v>6</v>
      </c>
      <c r="F3197" s="1">
        <v>2023</v>
      </c>
      <c r="G3197" s="1" t="s">
        <v>1515</v>
      </c>
      <c r="H3197" s="1">
        <v>609728</v>
      </c>
      <c r="I3197" s="1">
        <v>3</v>
      </c>
      <c r="K3197" s="1" t="s">
        <v>2599</v>
      </c>
      <c r="L3197" s="1" t="s">
        <v>2600</v>
      </c>
      <c r="M3197" s="1">
        <v>95</v>
      </c>
      <c r="N3197" s="1" t="s">
        <v>39</v>
      </c>
      <c r="O3197" s="1">
        <v>40.6175</v>
      </c>
      <c r="P3197" s="1">
        <v>-75.314700000000002</v>
      </c>
      <c r="Q3197" s="1" t="s">
        <v>7129</v>
      </c>
      <c r="R3197" s="1" t="s">
        <v>41</v>
      </c>
      <c r="T3197" s="1" t="s">
        <v>71</v>
      </c>
      <c r="U3197" s="1" t="s">
        <v>44</v>
      </c>
      <c r="V3197" s="1" t="s">
        <v>94</v>
      </c>
      <c r="X3197" s="1" t="s">
        <v>3913</v>
      </c>
      <c r="AA3197" s="3">
        <v>37591</v>
      </c>
      <c r="AB3197" s="1" t="s">
        <v>46</v>
      </c>
      <c r="AC3197" s="5">
        <v>1690</v>
      </c>
      <c r="AD3197" s="1" t="s">
        <v>7134</v>
      </c>
      <c r="AE3197" s="1" t="str">
        <f t="shared" si="222"/>
        <v>55690 6</v>
      </c>
      <c r="AF3197" s="14">
        <f>MID(AD3197,FIND("(",AD3197)+1,FIND(")",AD3197)-FIND("(",AD3197)-1)+230/3</f>
        <v>216.66666666666669</v>
      </c>
      <c r="AG3197" s="1" t="str">
        <f t="shared" si="221"/>
        <v>Y</v>
      </c>
    </row>
    <row r="3198" spans="1:33" x14ac:dyDescent="0.2">
      <c r="A3198" s="1" t="s">
        <v>2584</v>
      </c>
      <c r="B3198" s="1" t="s">
        <v>7128</v>
      </c>
      <c r="C3198" s="1">
        <v>55690</v>
      </c>
      <c r="D3198" s="1">
        <v>7</v>
      </c>
      <c r="F3198" s="1">
        <v>2023</v>
      </c>
      <c r="G3198" s="1" t="s">
        <v>1515</v>
      </c>
      <c r="H3198" s="1">
        <v>609728</v>
      </c>
      <c r="I3198" s="1">
        <v>3</v>
      </c>
      <c r="K3198" s="1" t="s">
        <v>2599</v>
      </c>
      <c r="L3198" s="1" t="s">
        <v>2600</v>
      </c>
      <c r="M3198" s="1">
        <v>95</v>
      </c>
      <c r="N3198" s="1" t="s">
        <v>39</v>
      </c>
      <c r="O3198" s="1">
        <v>40.6175</v>
      </c>
      <c r="P3198" s="1">
        <v>-75.314700000000002</v>
      </c>
      <c r="Q3198" s="1" t="s">
        <v>7129</v>
      </c>
      <c r="R3198" s="1" t="s">
        <v>41</v>
      </c>
      <c r="T3198" s="1" t="s">
        <v>71</v>
      </c>
      <c r="U3198" s="1" t="s">
        <v>44</v>
      </c>
      <c r="V3198" s="1" t="s">
        <v>94</v>
      </c>
      <c r="X3198" s="1" t="s">
        <v>3913</v>
      </c>
      <c r="AA3198" s="3">
        <v>37622</v>
      </c>
      <c r="AB3198" s="1" t="s">
        <v>46</v>
      </c>
      <c r="AC3198" s="5">
        <v>1690</v>
      </c>
      <c r="AD3198" s="1" t="s">
        <v>7135</v>
      </c>
      <c r="AE3198" s="1" t="str">
        <f t="shared" si="222"/>
        <v>55690 7</v>
      </c>
      <c r="AF3198" s="14">
        <f>AF3197</f>
        <v>216.66666666666669</v>
      </c>
      <c r="AG3198" s="1" t="str">
        <f t="shared" si="221"/>
        <v>Y</v>
      </c>
    </row>
    <row r="3199" spans="1:33" x14ac:dyDescent="0.2">
      <c r="A3199" s="1" t="s">
        <v>1732</v>
      </c>
      <c r="B3199" s="1" t="s">
        <v>7136</v>
      </c>
      <c r="C3199" s="1">
        <v>55694</v>
      </c>
      <c r="D3199" s="1" t="s">
        <v>5546</v>
      </c>
      <c r="F3199" s="1">
        <v>2023</v>
      </c>
      <c r="G3199" s="1" t="s">
        <v>346</v>
      </c>
      <c r="H3199" s="1">
        <v>609315</v>
      </c>
      <c r="I3199" s="1">
        <v>4</v>
      </c>
      <c r="K3199" s="1" t="s">
        <v>3840</v>
      </c>
      <c r="L3199" s="1" t="s">
        <v>5532</v>
      </c>
      <c r="M3199" s="1">
        <v>19</v>
      </c>
      <c r="N3199" s="1" t="s">
        <v>39</v>
      </c>
      <c r="O3199" s="1">
        <v>33.380000000000003</v>
      </c>
      <c r="P3199" s="1">
        <v>-89.209100000000007</v>
      </c>
      <c r="Q3199" s="1" t="s">
        <v>136</v>
      </c>
      <c r="R3199" s="1" t="s">
        <v>41</v>
      </c>
      <c r="T3199" s="1" t="s">
        <v>71</v>
      </c>
      <c r="U3199" s="1" t="s">
        <v>44</v>
      </c>
      <c r="X3199" s="1" t="s">
        <v>64</v>
      </c>
      <c r="AA3199" s="3">
        <v>38877</v>
      </c>
      <c r="AB3199" s="1" t="s">
        <v>46</v>
      </c>
      <c r="AC3199" s="5">
        <v>2957</v>
      </c>
      <c r="AD3199" s="1" t="s">
        <v>7137</v>
      </c>
      <c r="AE3199" s="1" t="str">
        <f t="shared" si="222"/>
        <v>55694 AA-001</v>
      </c>
      <c r="AF3199" s="14">
        <f>MID(AD3199,FIND("(",AD3199)+1,FIND(")",AD3199)-FIND("(",AD3199)-1)+310.5/2</f>
        <v>425.25</v>
      </c>
      <c r="AG3199" s="1" t="str">
        <f t="shared" si="221"/>
        <v>Y</v>
      </c>
    </row>
    <row r="3200" spans="1:33" x14ac:dyDescent="0.2">
      <c r="A3200" s="1" t="s">
        <v>1732</v>
      </c>
      <c r="B3200" s="1" t="s">
        <v>7136</v>
      </c>
      <c r="C3200" s="1">
        <v>55694</v>
      </c>
      <c r="D3200" s="1" t="s">
        <v>5548</v>
      </c>
      <c r="F3200" s="1">
        <v>2023</v>
      </c>
      <c r="G3200" s="1" t="s">
        <v>346</v>
      </c>
      <c r="H3200" s="1">
        <v>609315</v>
      </c>
      <c r="I3200" s="1">
        <v>4</v>
      </c>
      <c r="K3200" s="1" t="s">
        <v>3840</v>
      </c>
      <c r="L3200" s="1" t="s">
        <v>5532</v>
      </c>
      <c r="M3200" s="1">
        <v>19</v>
      </c>
      <c r="N3200" s="1" t="s">
        <v>39</v>
      </c>
      <c r="O3200" s="1">
        <v>33.380000000000003</v>
      </c>
      <c r="P3200" s="1">
        <v>-89.209100000000007</v>
      </c>
      <c r="Q3200" s="1" t="s">
        <v>136</v>
      </c>
      <c r="R3200" s="1" t="s">
        <v>41</v>
      </c>
      <c r="T3200" s="1" t="s">
        <v>71</v>
      </c>
      <c r="U3200" s="1" t="s">
        <v>44</v>
      </c>
      <c r="X3200" s="1" t="s">
        <v>64</v>
      </c>
      <c r="AA3200" s="3">
        <v>39023</v>
      </c>
      <c r="AB3200" s="1" t="s">
        <v>46</v>
      </c>
      <c r="AC3200" s="5">
        <v>2957</v>
      </c>
      <c r="AD3200" s="1" t="s">
        <v>7138</v>
      </c>
      <c r="AE3200" s="1" t="str">
        <f t="shared" si="222"/>
        <v>55694 AA-002</v>
      </c>
      <c r="AF3200" s="14">
        <f>AF3199</f>
        <v>425.25</v>
      </c>
      <c r="AG3200" s="1" t="str">
        <f t="shared" si="221"/>
        <v>Y</v>
      </c>
    </row>
    <row r="3201" spans="1:33" x14ac:dyDescent="0.2">
      <c r="A3201" s="1" t="s">
        <v>370</v>
      </c>
      <c r="B3201" s="1" t="s">
        <v>7139</v>
      </c>
      <c r="C3201" s="1">
        <v>55698</v>
      </c>
      <c r="D3201" s="1" t="s">
        <v>7140</v>
      </c>
      <c r="F3201" s="1">
        <v>2023</v>
      </c>
      <c r="G3201" s="1" t="s">
        <v>247</v>
      </c>
      <c r="H3201" s="1">
        <v>609325</v>
      </c>
      <c r="I3201" s="1">
        <v>9</v>
      </c>
      <c r="K3201" s="1" t="s">
        <v>2118</v>
      </c>
      <c r="L3201" s="1" t="s">
        <v>7141</v>
      </c>
      <c r="M3201" s="1">
        <v>31</v>
      </c>
      <c r="N3201" s="1" t="s">
        <v>39</v>
      </c>
      <c r="O3201" s="1">
        <v>36.268900000000002</v>
      </c>
      <c r="P3201" s="1">
        <v>-119.6469</v>
      </c>
      <c r="Q3201" s="1" t="s">
        <v>7142</v>
      </c>
      <c r="R3201" s="1" t="s">
        <v>41</v>
      </c>
      <c r="T3201" s="1" t="s">
        <v>93</v>
      </c>
      <c r="U3201" s="1" t="s">
        <v>44</v>
      </c>
      <c r="X3201" s="1" t="s">
        <v>176</v>
      </c>
      <c r="AA3201" s="3">
        <v>37135</v>
      </c>
      <c r="AB3201" s="1" t="s">
        <v>46</v>
      </c>
      <c r="AC3201" s="5">
        <v>540</v>
      </c>
      <c r="AD3201" s="1" t="s">
        <v>7143</v>
      </c>
      <c r="AE3201" s="1" t="str">
        <f t="shared" si="222"/>
        <v>55698 HEP1</v>
      </c>
      <c r="AF3201" s="5" t="str">
        <f>MID(AD3201,FIND("(",AD3201)+1,FIND(")",AD3201)-FIND("(",AD3201)-1)</f>
        <v>46.1</v>
      </c>
      <c r="AG3201" s="1" t="str">
        <f t="shared" si="221"/>
        <v>Y</v>
      </c>
    </row>
    <row r="3202" spans="1:33" x14ac:dyDescent="0.2">
      <c r="A3202" s="1" t="s">
        <v>370</v>
      </c>
      <c r="B3202" s="1" t="s">
        <v>7139</v>
      </c>
      <c r="C3202" s="1">
        <v>55698</v>
      </c>
      <c r="D3202" s="1" t="s">
        <v>7144</v>
      </c>
      <c r="F3202" s="1">
        <v>2023</v>
      </c>
      <c r="G3202" s="1" t="s">
        <v>247</v>
      </c>
      <c r="H3202" s="1">
        <v>609325</v>
      </c>
      <c r="I3202" s="1">
        <v>9</v>
      </c>
      <c r="K3202" s="1" t="s">
        <v>2118</v>
      </c>
      <c r="L3202" s="1" t="s">
        <v>7141</v>
      </c>
      <c r="M3202" s="1">
        <v>31</v>
      </c>
      <c r="N3202" s="1" t="s">
        <v>39</v>
      </c>
      <c r="O3202" s="1">
        <v>36.268900000000002</v>
      </c>
      <c r="P3202" s="1">
        <v>-119.6469</v>
      </c>
      <c r="Q3202" s="1" t="s">
        <v>7142</v>
      </c>
      <c r="R3202" s="1" t="s">
        <v>41</v>
      </c>
      <c r="T3202" s="1" t="s">
        <v>93</v>
      </c>
      <c r="U3202" s="1" t="s">
        <v>44</v>
      </c>
      <c r="X3202" s="1" t="s">
        <v>176</v>
      </c>
      <c r="AA3202" s="3">
        <v>37135</v>
      </c>
      <c r="AB3202" s="1" t="s">
        <v>46</v>
      </c>
      <c r="AC3202" s="5">
        <v>540</v>
      </c>
      <c r="AD3202" s="1" t="s">
        <v>7145</v>
      </c>
      <c r="AE3202" s="1" t="str">
        <f t="shared" si="222"/>
        <v>55698 HEP2</v>
      </c>
      <c r="AF3202" s="5" t="str">
        <f>MID(AD3202,FIND("(",AD3202)+1,FIND(")",AD3202)-FIND("(",AD3202)-1)</f>
        <v>46.1</v>
      </c>
      <c r="AG3202" s="1" t="str">
        <f t="shared" ref="AG3202:AG3265" si="226">IF(ISNUMBER(SEARCH("selective", X3202)), "Y", "")</f>
        <v>Y</v>
      </c>
    </row>
    <row r="3203" spans="1:33" x14ac:dyDescent="0.2">
      <c r="A3203" s="1" t="s">
        <v>2089</v>
      </c>
      <c r="B3203" s="1" t="s">
        <v>7146</v>
      </c>
      <c r="C3203" s="1">
        <v>55699</v>
      </c>
      <c r="D3203" s="1">
        <v>1</v>
      </c>
      <c r="F3203" s="1">
        <v>2023</v>
      </c>
      <c r="G3203" s="1" t="s">
        <v>1515</v>
      </c>
      <c r="H3203" s="1" t="s">
        <v>3792</v>
      </c>
      <c r="I3203" s="1">
        <v>2</v>
      </c>
      <c r="K3203" s="1" t="s">
        <v>2202</v>
      </c>
      <c r="L3203" s="1" t="s">
        <v>2203</v>
      </c>
      <c r="M3203" s="1">
        <v>81</v>
      </c>
      <c r="N3203" s="1" t="s">
        <v>39</v>
      </c>
      <c r="O3203" s="1">
        <v>40.610599999999998</v>
      </c>
      <c r="P3203" s="1">
        <v>-73.761399999999995</v>
      </c>
      <c r="Q3203" s="1" t="s">
        <v>7147</v>
      </c>
      <c r="R3203" s="1" t="s">
        <v>41</v>
      </c>
      <c r="T3203" s="1" t="s">
        <v>93</v>
      </c>
      <c r="U3203" s="1" t="s">
        <v>44</v>
      </c>
      <c r="X3203" s="1" t="s">
        <v>611</v>
      </c>
      <c r="AA3203" s="3">
        <v>37438</v>
      </c>
      <c r="AB3203" s="1" t="s">
        <v>46</v>
      </c>
      <c r="AC3203" s="5">
        <v>680</v>
      </c>
      <c r="AD3203" s="1" t="s">
        <v>7148</v>
      </c>
      <c r="AE3203" s="1" t="str">
        <f t="shared" ref="AE3203:AE3266" si="227">C3203&amp;" "&amp;D3203</f>
        <v>55699 1</v>
      </c>
      <c r="AF3203" s="5" t="str">
        <f>MID(AD3203,FIND("(",AD3203)+1,FIND(")",AD3203)-FIND("(",AD3203)-1)</f>
        <v>60.5</v>
      </c>
      <c r="AG3203" s="1" t="str">
        <f t="shared" si="226"/>
        <v>Y</v>
      </c>
    </row>
    <row r="3204" spans="1:33" x14ac:dyDescent="0.2">
      <c r="A3204" s="1" t="s">
        <v>2089</v>
      </c>
      <c r="B3204" s="1" t="s">
        <v>7146</v>
      </c>
      <c r="C3204" s="1">
        <v>55699</v>
      </c>
      <c r="D3204" s="1">
        <v>2</v>
      </c>
      <c r="F3204" s="1">
        <v>2023</v>
      </c>
      <c r="G3204" s="1" t="s">
        <v>1515</v>
      </c>
      <c r="H3204" s="1" t="s">
        <v>3792</v>
      </c>
      <c r="I3204" s="1">
        <v>2</v>
      </c>
      <c r="K3204" s="1" t="s">
        <v>2202</v>
      </c>
      <c r="L3204" s="1" t="s">
        <v>2203</v>
      </c>
      <c r="M3204" s="1">
        <v>81</v>
      </c>
      <c r="N3204" s="1" t="s">
        <v>39</v>
      </c>
      <c r="O3204" s="1">
        <v>40.610599999999998</v>
      </c>
      <c r="P3204" s="1">
        <v>-73.761399999999995</v>
      </c>
      <c r="Q3204" s="1" t="s">
        <v>7149</v>
      </c>
      <c r="R3204" s="1" t="s">
        <v>41</v>
      </c>
      <c r="T3204" s="1" t="s">
        <v>93</v>
      </c>
      <c r="U3204" s="1" t="s">
        <v>94</v>
      </c>
      <c r="V3204" s="1" t="s">
        <v>44</v>
      </c>
      <c r="X3204" s="1" t="s">
        <v>176</v>
      </c>
      <c r="AA3204" s="3">
        <v>37804</v>
      </c>
      <c r="AB3204" s="1" t="s">
        <v>46</v>
      </c>
      <c r="AC3204" s="5">
        <v>680</v>
      </c>
      <c r="AD3204" s="1" t="s">
        <v>3602</v>
      </c>
      <c r="AE3204" s="1" t="str">
        <f t="shared" si="227"/>
        <v>55699 2</v>
      </c>
      <c r="AF3204" s="5" t="str">
        <f>MID(AD3204,FIND("(",AD3204)+1,FIND(")",AD3204)-FIND("(",AD3204)-1)</f>
        <v>60.5</v>
      </c>
      <c r="AG3204" s="1" t="str">
        <f t="shared" si="226"/>
        <v>Y</v>
      </c>
    </row>
    <row r="3205" spans="1:33" x14ac:dyDescent="0.2">
      <c r="A3205" s="1" t="s">
        <v>690</v>
      </c>
      <c r="B3205" s="1" t="s">
        <v>7150</v>
      </c>
      <c r="C3205" s="1">
        <v>55700</v>
      </c>
      <c r="D3205" s="1" t="s">
        <v>1129</v>
      </c>
      <c r="F3205" s="1">
        <v>2023</v>
      </c>
      <c r="G3205" s="1" t="s">
        <v>247</v>
      </c>
      <c r="H3205" s="1">
        <v>610011</v>
      </c>
      <c r="I3205" s="1">
        <v>10</v>
      </c>
      <c r="K3205" s="1" t="s">
        <v>7151</v>
      </c>
      <c r="L3205" s="1" t="s">
        <v>7152</v>
      </c>
      <c r="M3205" s="1">
        <v>15</v>
      </c>
      <c r="N3205" s="1" t="s">
        <v>39</v>
      </c>
      <c r="O3205" s="1">
        <v>46.140300000000003</v>
      </c>
      <c r="P3205" s="1">
        <v>-122.9842</v>
      </c>
      <c r="Q3205" s="1" t="s">
        <v>695</v>
      </c>
      <c r="R3205" s="1" t="s">
        <v>41</v>
      </c>
      <c r="T3205" s="1" t="s">
        <v>71</v>
      </c>
      <c r="U3205" s="1" t="s">
        <v>284</v>
      </c>
      <c r="X3205" s="1" t="s">
        <v>64</v>
      </c>
      <c r="AA3205" s="3">
        <v>39453</v>
      </c>
      <c r="AB3205" s="1" t="s">
        <v>46</v>
      </c>
      <c r="AC3205" s="5">
        <v>2735</v>
      </c>
      <c r="AD3205" s="1" t="s">
        <v>7153</v>
      </c>
      <c r="AE3205" s="1" t="str">
        <f t="shared" si="227"/>
        <v>55700 CTG1</v>
      </c>
      <c r="AF3205" s="14">
        <f>MID(AD3205,FIND("(",AD3205)+1,FIND(")",AD3205)-FIND("(",AD3205)-1)+133</f>
        <v>319</v>
      </c>
      <c r="AG3205" s="1" t="str">
        <f t="shared" si="226"/>
        <v>Y</v>
      </c>
    </row>
    <row r="3206" spans="1:33" x14ac:dyDescent="0.2">
      <c r="A3206" s="1" t="s">
        <v>2430</v>
      </c>
      <c r="B3206" s="1" t="s">
        <v>7154</v>
      </c>
      <c r="C3206" s="1">
        <v>55701</v>
      </c>
      <c r="D3206" s="1" t="s">
        <v>993</v>
      </c>
      <c r="F3206" s="1">
        <v>2023</v>
      </c>
      <c r="G3206" s="1" t="s">
        <v>461</v>
      </c>
      <c r="H3206" s="1">
        <v>610414</v>
      </c>
      <c r="I3206" s="1">
        <v>5</v>
      </c>
      <c r="J3206" s="1" t="s">
        <v>169</v>
      </c>
      <c r="K3206" s="1" t="s">
        <v>7155</v>
      </c>
      <c r="L3206" s="1" t="s">
        <v>7156</v>
      </c>
      <c r="M3206" s="1">
        <v>143</v>
      </c>
      <c r="N3206" s="1" t="s">
        <v>39</v>
      </c>
      <c r="O3206" s="1">
        <v>41.378100000000003</v>
      </c>
      <c r="P3206" s="1">
        <v>-83.164699999999996</v>
      </c>
      <c r="Q3206" s="1" t="s">
        <v>6286</v>
      </c>
      <c r="R3206" s="1" t="s">
        <v>41</v>
      </c>
      <c r="T3206" s="1" t="s">
        <v>71</v>
      </c>
      <c r="U3206" s="1" t="s">
        <v>44</v>
      </c>
      <c r="X3206" s="1" t="s">
        <v>7157</v>
      </c>
      <c r="AA3206" s="3">
        <v>40446</v>
      </c>
      <c r="AB3206" s="1" t="s">
        <v>46</v>
      </c>
      <c r="AC3206" s="5">
        <v>2990</v>
      </c>
      <c r="AD3206" s="1" t="s">
        <v>7158</v>
      </c>
      <c r="AE3206" s="1" t="str">
        <f t="shared" si="227"/>
        <v>55701 CT01</v>
      </c>
      <c r="AF3206" s="14">
        <f>MID(AD3206,FIND("(",AD3206)+1,FIND(")",AD3206)-FIND("(",AD3206)-1)+358.7/2</f>
        <v>369.75</v>
      </c>
      <c r="AG3206" s="1" t="str">
        <f t="shared" si="226"/>
        <v>Y</v>
      </c>
    </row>
    <row r="3207" spans="1:33" x14ac:dyDescent="0.2">
      <c r="A3207" s="1" t="s">
        <v>2430</v>
      </c>
      <c r="B3207" s="1" t="s">
        <v>7154</v>
      </c>
      <c r="C3207" s="1">
        <v>55701</v>
      </c>
      <c r="D3207" s="1" t="s">
        <v>998</v>
      </c>
      <c r="F3207" s="1">
        <v>2023</v>
      </c>
      <c r="G3207" s="1" t="s">
        <v>461</v>
      </c>
      <c r="H3207" s="1">
        <v>610414</v>
      </c>
      <c r="I3207" s="1">
        <v>5</v>
      </c>
      <c r="J3207" s="1" t="s">
        <v>169</v>
      </c>
      <c r="K3207" s="1" t="s">
        <v>7155</v>
      </c>
      <c r="L3207" s="1" t="s">
        <v>7156</v>
      </c>
      <c r="M3207" s="1">
        <v>143</v>
      </c>
      <c r="N3207" s="1" t="s">
        <v>39</v>
      </c>
      <c r="O3207" s="1">
        <v>41.378100000000003</v>
      </c>
      <c r="P3207" s="1">
        <v>-83.164699999999996</v>
      </c>
      <c r="Q3207" s="1" t="s">
        <v>6286</v>
      </c>
      <c r="R3207" s="1" t="s">
        <v>41</v>
      </c>
      <c r="T3207" s="1" t="s">
        <v>71</v>
      </c>
      <c r="U3207" s="1" t="s">
        <v>44</v>
      </c>
      <c r="X3207" s="1" t="s">
        <v>7157</v>
      </c>
      <c r="AA3207" s="3">
        <v>40455</v>
      </c>
      <c r="AB3207" s="1" t="s">
        <v>46</v>
      </c>
      <c r="AC3207" s="5">
        <v>2990</v>
      </c>
      <c r="AD3207" s="1" t="s">
        <v>7159</v>
      </c>
      <c r="AE3207" s="1" t="str">
        <f t="shared" si="227"/>
        <v>55701 CT02</v>
      </c>
      <c r="AF3207" s="14">
        <f>AF3206</f>
        <v>369.75</v>
      </c>
      <c r="AG3207" s="1" t="str">
        <f t="shared" si="226"/>
        <v>Y</v>
      </c>
    </row>
    <row r="3208" spans="1:33" x14ac:dyDescent="0.2">
      <c r="A3208" s="1" t="s">
        <v>1732</v>
      </c>
      <c r="B3208" s="1" t="s">
        <v>3840</v>
      </c>
      <c r="C3208" s="1">
        <v>55706</v>
      </c>
      <c r="D3208" s="1" t="s">
        <v>1129</v>
      </c>
      <c r="F3208" s="1">
        <v>2023</v>
      </c>
      <c r="G3208" s="1" t="s">
        <v>346</v>
      </c>
      <c r="H3208" s="1" t="s">
        <v>350</v>
      </c>
      <c r="I3208" s="1">
        <v>4</v>
      </c>
      <c r="K3208" s="1" t="s">
        <v>3840</v>
      </c>
      <c r="L3208" s="1" t="s">
        <v>5532</v>
      </c>
      <c r="M3208" s="1">
        <v>19</v>
      </c>
      <c r="N3208" s="1" t="s">
        <v>39</v>
      </c>
      <c r="O3208" s="1">
        <v>33.2881</v>
      </c>
      <c r="P3208" s="1">
        <v>-89.420100000000005</v>
      </c>
      <c r="Q3208" s="1" t="s">
        <v>353</v>
      </c>
      <c r="R3208" s="1" t="s">
        <v>41</v>
      </c>
      <c r="T3208" s="1" t="s">
        <v>71</v>
      </c>
      <c r="U3208" s="1" t="s">
        <v>44</v>
      </c>
      <c r="X3208" s="1" t="s">
        <v>64</v>
      </c>
      <c r="AA3208" s="3">
        <v>37777</v>
      </c>
      <c r="AB3208" s="1" t="s">
        <v>46</v>
      </c>
      <c r="AC3208" s="5">
        <v>2800</v>
      </c>
      <c r="AD3208" s="1" t="s">
        <v>7160</v>
      </c>
      <c r="AE3208" s="1" t="str">
        <f t="shared" si="227"/>
        <v>55706 CTG1</v>
      </c>
      <c r="AF3208" s="14">
        <f>MID(AD3208,FIND("(",AD3208)+1,FIND(")",AD3208)-FIND("(",AD3208)-1)+362/3</f>
        <v>299.66666666666669</v>
      </c>
      <c r="AG3208" s="1" t="str">
        <f t="shared" si="226"/>
        <v>Y</v>
      </c>
    </row>
    <row r="3209" spans="1:33" x14ac:dyDescent="0.2">
      <c r="A3209" s="1" t="s">
        <v>1732</v>
      </c>
      <c r="B3209" s="1" t="s">
        <v>3840</v>
      </c>
      <c r="C3209" s="1">
        <v>55706</v>
      </c>
      <c r="D3209" s="1" t="s">
        <v>1135</v>
      </c>
      <c r="F3209" s="1">
        <v>2023</v>
      </c>
      <c r="G3209" s="1" t="s">
        <v>346</v>
      </c>
      <c r="H3209" s="1" t="s">
        <v>350</v>
      </c>
      <c r="I3209" s="1">
        <v>4</v>
      </c>
      <c r="K3209" s="1" t="s">
        <v>3840</v>
      </c>
      <c r="L3209" s="1" t="s">
        <v>5532</v>
      </c>
      <c r="M3209" s="1">
        <v>19</v>
      </c>
      <c r="N3209" s="1" t="s">
        <v>39</v>
      </c>
      <c r="O3209" s="1">
        <v>33.2881</v>
      </c>
      <c r="P3209" s="1">
        <v>-89.420100000000005</v>
      </c>
      <c r="Q3209" s="1" t="s">
        <v>353</v>
      </c>
      <c r="R3209" s="1" t="s">
        <v>41</v>
      </c>
      <c r="T3209" s="1" t="s">
        <v>71</v>
      </c>
      <c r="U3209" s="1" t="s">
        <v>44</v>
      </c>
      <c r="X3209" s="1" t="s">
        <v>64</v>
      </c>
      <c r="AA3209" s="3">
        <v>37777</v>
      </c>
      <c r="AB3209" s="1" t="s">
        <v>46</v>
      </c>
      <c r="AC3209" s="5">
        <v>2400</v>
      </c>
      <c r="AD3209" s="1" t="s">
        <v>7161</v>
      </c>
      <c r="AE3209" s="1" t="str">
        <f t="shared" si="227"/>
        <v>55706 CTG2</v>
      </c>
      <c r="AF3209" s="14">
        <f>AF3208</f>
        <v>299.66666666666669</v>
      </c>
      <c r="AG3209" s="1" t="str">
        <f t="shared" si="226"/>
        <v>Y</v>
      </c>
    </row>
    <row r="3210" spans="1:33" x14ac:dyDescent="0.2">
      <c r="A3210" s="1" t="s">
        <v>1732</v>
      </c>
      <c r="B3210" s="1" t="s">
        <v>3840</v>
      </c>
      <c r="C3210" s="1">
        <v>55706</v>
      </c>
      <c r="D3210" s="1" t="s">
        <v>6002</v>
      </c>
      <c r="F3210" s="1">
        <v>2023</v>
      </c>
      <c r="G3210" s="1" t="s">
        <v>346</v>
      </c>
      <c r="H3210" s="1" t="s">
        <v>350</v>
      </c>
      <c r="I3210" s="1">
        <v>4</v>
      </c>
      <c r="K3210" s="1" t="s">
        <v>3840</v>
      </c>
      <c r="L3210" s="1" t="s">
        <v>5532</v>
      </c>
      <c r="M3210" s="1">
        <v>19</v>
      </c>
      <c r="N3210" s="1" t="s">
        <v>39</v>
      </c>
      <c r="O3210" s="1">
        <v>33.2881</v>
      </c>
      <c r="P3210" s="1">
        <v>-89.420100000000005</v>
      </c>
      <c r="Q3210" s="1" t="s">
        <v>353</v>
      </c>
      <c r="R3210" s="1" t="s">
        <v>41</v>
      </c>
      <c r="T3210" s="1" t="s">
        <v>71</v>
      </c>
      <c r="U3210" s="1" t="s">
        <v>44</v>
      </c>
      <c r="X3210" s="1" t="s">
        <v>64</v>
      </c>
      <c r="AA3210" s="3">
        <v>37777</v>
      </c>
      <c r="AB3210" s="1" t="s">
        <v>46</v>
      </c>
      <c r="AC3210" s="5">
        <v>2400</v>
      </c>
      <c r="AD3210" s="1" t="s">
        <v>7162</v>
      </c>
      <c r="AE3210" s="1" t="str">
        <f t="shared" si="227"/>
        <v>55706 CTG3</v>
      </c>
      <c r="AF3210" s="14">
        <f>AF3208</f>
        <v>299.66666666666669</v>
      </c>
      <c r="AG3210" s="1" t="str">
        <f t="shared" si="226"/>
        <v>Y</v>
      </c>
    </row>
    <row r="3211" spans="1:33" x14ac:dyDescent="0.2">
      <c r="A3211" s="1" t="s">
        <v>383</v>
      </c>
      <c r="B3211" s="1" t="s">
        <v>7163</v>
      </c>
      <c r="C3211" s="1">
        <v>55708</v>
      </c>
      <c r="D3211" s="1" t="s">
        <v>7164</v>
      </c>
      <c r="F3211" s="1">
        <v>2023</v>
      </c>
      <c r="G3211" s="1" t="s">
        <v>346</v>
      </c>
      <c r="H3211" s="1">
        <v>605338</v>
      </c>
      <c r="I3211" s="1">
        <v>6</v>
      </c>
      <c r="K3211" s="1" t="s">
        <v>7165</v>
      </c>
      <c r="L3211" s="1" t="s">
        <v>7166</v>
      </c>
      <c r="M3211" s="1">
        <v>347</v>
      </c>
      <c r="N3211" s="1" t="s">
        <v>39</v>
      </c>
      <c r="O3211" s="1">
        <v>31.832599999999999</v>
      </c>
      <c r="P3211" s="1">
        <v>-94.900599999999997</v>
      </c>
      <c r="Q3211" s="1" t="s">
        <v>4450</v>
      </c>
      <c r="R3211" s="1" t="s">
        <v>41</v>
      </c>
      <c r="T3211" s="1" t="s">
        <v>7167</v>
      </c>
      <c r="U3211" s="1" t="s">
        <v>657</v>
      </c>
      <c r="X3211" s="1" t="s">
        <v>669</v>
      </c>
      <c r="Y3211" s="1" t="s">
        <v>232</v>
      </c>
      <c r="AA3211" s="3">
        <v>41035</v>
      </c>
      <c r="AB3211" s="1" t="s">
        <v>46</v>
      </c>
      <c r="AC3211" s="5">
        <v>1500</v>
      </c>
      <c r="AD3211" s="1" t="s">
        <v>7168</v>
      </c>
      <c r="AE3211" s="1" t="str">
        <f t="shared" si="227"/>
        <v>55708 BFB-1</v>
      </c>
      <c r="AF3211" s="5" t="str">
        <f>MID(AD3211,FIND("(",AD3211)+1,FIND(")",AD3211)-FIND("(",AD3211)-1)</f>
        <v>115</v>
      </c>
      <c r="AG3211" s="1" t="str">
        <f t="shared" si="226"/>
        <v>Y</v>
      </c>
    </row>
    <row r="3212" spans="1:33" x14ac:dyDescent="0.2">
      <c r="A3212" s="1" t="s">
        <v>2584</v>
      </c>
      <c r="B3212" s="1" t="s">
        <v>7169</v>
      </c>
      <c r="C3212" s="1">
        <v>55710</v>
      </c>
      <c r="D3212" s="1">
        <v>3</v>
      </c>
      <c r="F3212" s="1">
        <v>2023</v>
      </c>
      <c r="G3212" s="1" t="s">
        <v>1515</v>
      </c>
      <c r="H3212" s="1">
        <v>605624</v>
      </c>
      <c r="I3212" s="1">
        <v>3</v>
      </c>
      <c r="K3212" s="1" t="s">
        <v>2586</v>
      </c>
      <c r="L3212" s="1" t="s">
        <v>2587</v>
      </c>
      <c r="M3212" s="1">
        <v>3</v>
      </c>
      <c r="N3212" s="1" t="s">
        <v>39</v>
      </c>
      <c r="O3212" s="1">
        <v>40.5456</v>
      </c>
      <c r="P3212" s="1">
        <v>-79.766900000000007</v>
      </c>
      <c r="Q3212" s="1" t="s">
        <v>7170</v>
      </c>
      <c r="R3212" s="1" t="s">
        <v>41</v>
      </c>
      <c r="T3212" s="1" t="s">
        <v>71</v>
      </c>
      <c r="U3212" s="1" t="s">
        <v>44</v>
      </c>
      <c r="X3212" s="1" t="s">
        <v>64</v>
      </c>
      <c r="AA3212" s="3">
        <v>37823</v>
      </c>
      <c r="AB3212" s="1" t="s">
        <v>46</v>
      </c>
      <c r="AC3212" s="5">
        <v>2107</v>
      </c>
      <c r="AD3212" s="1" t="s">
        <v>7171</v>
      </c>
      <c r="AE3212" s="1" t="str">
        <f t="shared" si="227"/>
        <v>55710 3</v>
      </c>
      <c r="AF3212" s="14">
        <f>MID(AD3212,FIND("(",AD3212)+1,FIND(")",AD3212)-FIND("(",AD3212)-1)+186/2</f>
        <v>268</v>
      </c>
      <c r="AG3212" s="1" t="str">
        <f t="shared" si="226"/>
        <v>Y</v>
      </c>
    </row>
    <row r="3213" spans="1:33" x14ac:dyDescent="0.2">
      <c r="A3213" s="1" t="s">
        <v>2584</v>
      </c>
      <c r="B3213" s="1" t="s">
        <v>7169</v>
      </c>
      <c r="C3213" s="1">
        <v>55710</v>
      </c>
      <c r="D3213" s="1">
        <v>4</v>
      </c>
      <c r="F3213" s="1">
        <v>2023</v>
      </c>
      <c r="G3213" s="1" t="s">
        <v>1515</v>
      </c>
      <c r="H3213" s="1">
        <v>605624</v>
      </c>
      <c r="I3213" s="1">
        <v>3</v>
      </c>
      <c r="K3213" s="1" t="s">
        <v>2586</v>
      </c>
      <c r="L3213" s="1" t="s">
        <v>2587</v>
      </c>
      <c r="M3213" s="1">
        <v>3</v>
      </c>
      <c r="N3213" s="1" t="s">
        <v>39</v>
      </c>
      <c r="O3213" s="1">
        <v>40.5456</v>
      </c>
      <c r="P3213" s="1">
        <v>-79.766900000000007</v>
      </c>
      <c r="Q3213" s="1" t="s">
        <v>7170</v>
      </c>
      <c r="R3213" s="1" t="s">
        <v>41</v>
      </c>
      <c r="T3213" s="1" t="s">
        <v>71</v>
      </c>
      <c r="U3213" s="1" t="s">
        <v>44</v>
      </c>
      <c r="X3213" s="1" t="s">
        <v>64</v>
      </c>
      <c r="AA3213" s="3">
        <v>37823</v>
      </c>
      <c r="AB3213" s="1" t="s">
        <v>46</v>
      </c>
      <c r="AC3213" s="5">
        <v>2108</v>
      </c>
      <c r="AD3213" s="1" t="s">
        <v>7172</v>
      </c>
      <c r="AE3213" s="1" t="str">
        <f t="shared" si="227"/>
        <v>55710 4</v>
      </c>
      <c r="AF3213" s="14">
        <f>AF3212</f>
        <v>268</v>
      </c>
      <c r="AG3213" s="1" t="str">
        <f t="shared" si="226"/>
        <v>Y</v>
      </c>
    </row>
    <row r="3214" spans="1:33" x14ac:dyDescent="0.2">
      <c r="A3214" s="1" t="s">
        <v>348</v>
      </c>
      <c r="B3214" s="1" t="s">
        <v>7173</v>
      </c>
      <c r="C3214" s="1">
        <v>55714</v>
      </c>
      <c r="D3214" s="1" t="s">
        <v>7174</v>
      </c>
      <c r="F3214" s="1">
        <v>2023</v>
      </c>
      <c r="G3214" s="1" t="s">
        <v>346</v>
      </c>
      <c r="H3214" s="1" t="s">
        <v>356</v>
      </c>
      <c r="I3214" s="1">
        <v>6</v>
      </c>
      <c r="J3214" s="1" t="s">
        <v>36</v>
      </c>
      <c r="K3214" s="1" t="s">
        <v>351</v>
      </c>
      <c r="L3214" s="1" t="s">
        <v>352</v>
      </c>
      <c r="M3214" s="1">
        <v>59</v>
      </c>
      <c r="N3214" s="1" t="s">
        <v>39</v>
      </c>
      <c r="O3214" s="1">
        <v>34.430399999999999</v>
      </c>
      <c r="P3214" s="1">
        <v>-92.833299999999994</v>
      </c>
      <c r="Q3214" s="1" t="s">
        <v>359</v>
      </c>
      <c r="R3214" s="1" t="s">
        <v>41</v>
      </c>
      <c r="T3214" s="1" t="s">
        <v>71</v>
      </c>
      <c r="U3214" s="1" t="s">
        <v>44</v>
      </c>
      <c r="X3214" s="1" t="s">
        <v>64</v>
      </c>
      <c r="AA3214" s="3">
        <v>38477</v>
      </c>
      <c r="AB3214" s="1" t="s">
        <v>46</v>
      </c>
      <c r="AC3214" s="5">
        <v>2800</v>
      </c>
      <c r="AD3214" s="1" t="s">
        <v>7175</v>
      </c>
      <c r="AE3214" s="1" t="str">
        <f t="shared" si="227"/>
        <v>55714 SN-01</v>
      </c>
      <c r="AF3214" s="14">
        <f>MID(AD3214,FIND("(",AD3214)+1,FIND(")",AD3214)-FIND("(",AD3214)-1)+262/2</f>
        <v>373</v>
      </c>
      <c r="AG3214" s="1" t="str">
        <f t="shared" si="226"/>
        <v>Y</v>
      </c>
    </row>
    <row r="3215" spans="1:33" x14ac:dyDescent="0.2">
      <c r="A3215" s="1" t="s">
        <v>348</v>
      </c>
      <c r="B3215" s="1" t="s">
        <v>7173</v>
      </c>
      <c r="C3215" s="1">
        <v>55714</v>
      </c>
      <c r="D3215" s="1" t="s">
        <v>7176</v>
      </c>
      <c r="F3215" s="1">
        <v>2023</v>
      </c>
      <c r="G3215" s="1" t="s">
        <v>346</v>
      </c>
      <c r="H3215" s="1" t="s">
        <v>356</v>
      </c>
      <c r="I3215" s="1">
        <v>6</v>
      </c>
      <c r="J3215" s="1" t="s">
        <v>36</v>
      </c>
      <c r="K3215" s="1" t="s">
        <v>351</v>
      </c>
      <c r="L3215" s="1" t="s">
        <v>352</v>
      </c>
      <c r="M3215" s="1">
        <v>59</v>
      </c>
      <c r="N3215" s="1" t="s">
        <v>39</v>
      </c>
      <c r="O3215" s="1">
        <v>34.430399999999999</v>
      </c>
      <c r="P3215" s="1">
        <v>-92.833299999999994</v>
      </c>
      <c r="Q3215" s="1" t="s">
        <v>359</v>
      </c>
      <c r="R3215" s="1" t="s">
        <v>41</v>
      </c>
      <c r="T3215" s="1" t="s">
        <v>71</v>
      </c>
      <c r="U3215" s="1" t="s">
        <v>44</v>
      </c>
      <c r="X3215" s="1" t="s">
        <v>64</v>
      </c>
      <c r="AA3215" s="3">
        <v>38642</v>
      </c>
      <c r="AB3215" s="1" t="s">
        <v>46</v>
      </c>
      <c r="AC3215" s="5">
        <v>2800</v>
      </c>
      <c r="AD3215" s="1" t="s">
        <v>7177</v>
      </c>
      <c r="AE3215" s="1" t="str">
        <f t="shared" si="227"/>
        <v>55714 SN-02</v>
      </c>
      <c r="AF3215" s="14">
        <f>AF3214</f>
        <v>373</v>
      </c>
      <c r="AG3215" s="1" t="str">
        <f t="shared" si="226"/>
        <v>Y</v>
      </c>
    </row>
    <row r="3216" spans="1:33" x14ac:dyDescent="0.2">
      <c r="A3216" s="1" t="s">
        <v>1621</v>
      </c>
      <c r="B3216" s="1" t="s">
        <v>7178</v>
      </c>
      <c r="C3216" s="1">
        <v>55718</v>
      </c>
      <c r="D3216" s="1">
        <v>1</v>
      </c>
      <c r="F3216" s="1">
        <v>2023</v>
      </c>
      <c r="G3216" s="1" t="s">
        <v>461</v>
      </c>
      <c r="H3216" s="1" t="s">
        <v>1639</v>
      </c>
      <c r="I3216" s="1">
        <v>5</v>
      </c>
      <c r="K3216" s="1" t="s">
        <v>3352</v>
      </c>
      <c r="L3216" s="1" t="s">
        <v>3353</v>
      </c>
      <c r="M3216" s="1">
        <v>147</v>
      </c>
      <c r="N3216" s="1" t="s">
        <v>39</v>
      </c>
      <c r="O3216" s="1">
        <v>42.774000000000001</v>
      </c>
      <c r="P3216" s="1">
        <v>-82.481800000000007</v>
      </c>
      <c r="Q3216" s="1" t="s">
        <v>7179</v>
      </c>
      <c r="R3216" s="1" t="s">
        <v>41</v>
      </c>
      <c r="T3216" s="1" t="s">
        <v>93</v>
      </c>
      <c r="U3216" s="1" t="s">
        <v>44</v>
      </c>
      <c r="X3216" s="1" t="s">
        <v>140</v>
      </c>
      <c r="AA3216" s="3">
        <v>37367</v>
      </c>
      <c r="AB3216" s="1" t="s">
        <v>46</v>
      </c>
      <c r="AC3216" s="5">
        <v>1100</v>
      </c>
      <c r="AD3216" s="1" t="s">
        <v>7180</v>
      </c>
      <c r="AE3216" s="1" t="str">
        <f t="shared" si="227"/>
        <v>55718 1</v>
      </c>
      <c r="AF3216" s="5" t="str">
        <f>MID(AD3216,FIND("(",AD3216)+1,FIND(")",AD3216)-FIND("(",AD3216)-1)</f>
        <v>89.4</v>
      </c>
      <c r="AG3216" s="1" t="str">
        <f t="shared" si="226"/>
        <v/>
      </c>
    </row>
    <row r="3217" spans="1:33" x14ac:dyDescent="0.2">
      <c r="A3217" s="1" t="s">
        <v>1621</v>
      </c>
      <c r="B3217" s="1" t="s">
        <v>7178</v>
      </c>
      <c r="C3217" s="1">
        <v>55718</v>
      </c>
      <c r="D3217" s="1">
        <v>2</v>
      </c>
      <c r="F3217" s="1">
        <v>2023</v>
      </c>
      <c r="G3217" s="1" t="s">
        <v>461</v>
      </c>
      <c r="H3217" s="1" t="s">
        <v>1639</v>
      </c>
      <c r="I3217" s="1">
        <v>5</v>
      </c>
      <c r="K3217" s="1" t="s">
        <v>3352</v>
      </c>
      <c r="L3217" s="1" t="s">
        <v>3353</v>
      </c>
      <c r="M3217" s="1">
        <v>147</v>
      </c>
      <c r="N3217" s="1" t="s">
        <v>39</v>
      </c>
      <c r="O3217" s="1">
        <v>42.774000000000001</v>
      </c>
      <c r="P3217" s="1">
        <v>-82.481800000000007</v>
      </c>
      <c r="Q3217" s="1" t="s">
        <v>7179</v>
      </c>
      <c r="R3217" s="1" t="s">
        <v>41</v>
      </c>
      <c r="T3217" s="1" t="s">
        <v>93</v>
      </c>
      <c r="U3217" s="1" t="s">
        <v>44</v>
      </c>
      <c r="X3217" s="1" t="s">
        <v>140</v>
      </c>
      <c r="AA3217" s="3">
        <v>37380</v>
      </c>
      <c r="AB3217" s="1" t="s">
        <v>46</v>
      </c>
      <c r="AC3217" s="5">
        <v>1100</v>
      </c>
      <c r="AD3217" s="1" t="s">
        <v>7181</v>
      </c>
      <c r="AE3217" s="1" t="str">
        <f t="shared" si="227"/>
        <v>55718 2</v>
      </c>
      <c r="AF3217" s="5" t="str">
        <f>MID(AD3217,FIND("(",AD3217)+1,FIND(")",AD3217)-FIND("(",AD3217)-1)</f>
        <v>89.4</v>
      </c>
      <c r="AG3217" s="1" t="str">
        <f t="shared" si="226"/>
        <v/>
      </c>
    </row>
    <row r="3218" spans="1:33" x14ac:dyDescent="0.2">
      <c r="A3218" s="1" t="s">
        <v>1621</v>
      </c>
      <c r="B3218" s="1" t="s">
        <v>7178</v>
      </c>
      <c r="C3218" s="1">
        <v>55718</v>
      </c>
      <c r="D3218" s="1">
        <v>3</v>
      </c>
      <c r="F3218" s="1">
        <v>2023</v>
      </c>
      <c r="G3218" s="1" t="s">
        <v>461</v>
      </c>
      <c r="H3218" s="1" t="s">
        <v>1639</v>
      </c>
      <c r="I3218" s="1">
        <v>5</v>
      </c>
      <c r="K3218" s="1" t="s">
        <v>3352</v>
      </c>
      <c r="L3218" s="1" t="s">
        <v>3353</v>
      </c>
      <c r="M3218" s="1">
        <v>147</v>
      </c>
      <c r="N3218" s="1" t="s">
        <v>39</v>
      </c>
      <c r="O3218" s="1">
        <v>42.774000000000001</v>
      </c>
      <c r="P3218" s="1">
        <v>-82.481800000000007</v>
      </c>
      <c r="Q3218" s="1" t="s">
        <v>7179</v>
      </c>
      <c r="R3218" s="1" t="s">
        <v>41</v>
      </c>
      <c r="T3218" s="1" t="s">
        <v>93</v>
      </c>
      <c r="U3218" s="1" t="s">
        <v>44</v>
      </c>
      <c r="X3218" s="1" t="s">
        <v>140</v>
      </c>
      <c r="AA3218" s="3">
        <v>37386</v>
      </c>
      <c r="AB3218" s="1" t="s">
        <v>46</v>
      </c>
      <c r="AC3218" s="5">
        <v>1100</v>
      </c>
      <c r="AD3218" s="1" t="s">
        <v>7182</v>
      </c>
      <c r="AE3218" s="1" t="str">
        <f t="shared" si="227"/>
        <v>55718 3</v>
      </c>
      <c r="AF3218" s="5" t="str">
        <f>MID(AD3218,FIND("(",AD3218)+1,FIND(")",AD3218)-FIND("(",AD3218)-1)</f>
        <v>89.4</v>
      </c>
      <c r="AG3218" s="1" t="str">
        <f t="shared" si="226"/>
        <v/>
      </c>
    </row>
    <row r="3219" spans="1:33" x14ac:dyDescent="0.2">
      <c r="A3219" s="1" t="s">
        <v>1621</v>
      </c>
      <c r="B3219" s="1" t="s">
        <v>7178</v>
      </c>
      <c r="C3219" s="1">
        <v>55718</v>
      </c>
      <c r="D3219" s="1">
        <v>4</v>
      </c>
      <c r="F3219" s="1">
        <v>2023</v>
      </c>
      <c r="G3219" s="1" t="s">
        <v>461</v>
      </c>
      <c r="H3219" s="1" t="s">
        <v>1639</v>
      </c>
      <c r="I3219" s="1">
        <v>5</v>
      </c>
      <c r="K3219" s="1" t="s">
        <v>3352</v>
      </c>
      <c r="L3219" s="1" t="s">
        <v>3353</v>
      </c>
      <c r="M3219" s="1">
        <v>147</v>
      </c>
      <c r="N3219" s="1" t="s">
        <v>39</v>
      </c>
      <c r="O3219" s="1">
        <v>42.774000000000001</v>
      </c>
      <c r="P3219" s="1">
        <v>-82.481800000000007</v>
      </c>
      <c r="Q3219" s="1" t="s">
        <v>7179</v>
      </c>
      <c r="R3219" s="1" t="s">
        <v>41</v>
      </c>
      <c r="T3219" s="1" t="s">
        <v>93</v>
      </c>
      <c r="U3219" s="1" t="s">
        <v>44</v>
      </c>
      <c r="X3219" s="1" t="s">
        <v>140</v>
      </c>
      <c r="AA3219" s="3">
        <v>37389</v>
      </c>
      <c r="AB3219" s="1" t="s">
        <v>46</v>
      </c>
      <c r="AC3219" s="5">
        <v>1100</v>
      </c>
      <c r="AD3219" s="1" t="s">
        <v>7183</v>
      </c>
      <c r="AE3219" s="1" t="str">
        <f t="shared" si="227"/>
        <v>55718 4</v>
      </c>
      <c r="AF3219" s="5" t="str">
        <f>MID(AD3219,FIND("(",AD3219)+1,FIND(")",AD3219)-FIND("(",AD3219)-1)</f>
        <v>89.4</v>
      </c>
      <c r="AG3219" s="1" t="str">
        <f t="shared" si="226"/>
        <v/>
      </c>
    </row>
    <row r="3220" spans="1:33" x14ac:dyDescent="0.2">
      <c r="A3220" s="1" t="s">
        <v>4118</v>
      </c>
      <c r="B3220" s="1" t="s">
        <v>7184</v>
      </c>
      <c r="C3220" s="1">
        <v>55733</v>
      </c>
      <c r="D3220" s="1" t="s">
        <v>993</v>
      </c>
      <c r="F3220" s="1">
        <v>2023</v>
      </c>
      <c r="G3220" s="1" t="s">
        <v>247</v>
      </c>
      <c r="H3220" s="1" t="s">
        <v>4539</v>
      </c>
      <c r="I3220" s="1">
        <v>10</v>
      </c>
      <c r="J3220" s="1" t="s">
        <v>237</v>
      </c>
      <c r="K3220" s="1" t="s">
        <v>4540</v>
      </c>
      <c r="L3220" s="1" t="s">
        <v>4541</v>
      </c>
      <c r="M3220" s="1">
        <v>39</v>
      </c>
      <c r="N3220" s="1" t="s">
        <v>39</v>
      </c>
      <c r="O3220" s="1">
        <v>43.146999999999998</v>
      </c>
      <c r="P3220" s="1">
        <v>-115.6671</v>
      </c>
      <c r="Q3220" s="1" t="s">
        <v>4542</v>
      </c>
      <c r="R3220" s="1" t="s">
        <v>41</v>
      </c>
      <c r="T3220" s="1" t="s">
        <v>93</v>
      </c>
      <c r="U3220" s="1" t="s">
        <v>44</v>
      </c>
      <c r="X3220" s="1" t="s">
        <v>140</v>
      </c>
      <c r="AA3220" s="3">
        <v>38404</v>
      </c>
      <c r="AB3220" s="1" t="s">
        <v>46</v>
      </c>
      <c r="AC3220" s="5">
        <v>2020</v>
      </c>
      <c r="AD3220" s="1" t="s">
        <v>7185</v>
      </c>
      <c r="AE3220" s="1" t="str">
        <f t="shared" si="227"/>
        <v>55733 CT01</v>
      </c>
      <c r="AF3220" s="5" t="str">
        <f>MID(AD3220,FIND("(",AD3220)+1,FIND(")",AD3220)-FIND("(",AD3220)-1)</f>
        <v>173</v>
      </c>
      <c r="AG3220" s="1" t="str">
        <f t="shared" si="226"/>
        <v/>
      </c>
    </row>
    <row r="3221" spans="1:33" x14ac:dyDescent="0.2">
      <c r="A3221" s="1" t="s">
        <v>2430</v>
      </c>
      <c r="B3221" s="1" t="s">
        <v>7186</v>
      </c>
      <c r="C3221" s="1">
        <v>55736</v>
      </c>
      <c r="D3221" s="1" t="s">
        <v>1129</v>
      </c>
      <c r="F3221" s="1">
        <v>2023</v>
      </c>
      <c r="G3221" s="1" t="s">
        <v>461</v>
      </c>
      <c r="H3221" s="1">
        <v>603383</v>
      </c>
      <c r="I3221" s="1">
        <v>5</v>
      </c>
      <c r="K3221" s="1" t="s">
        <v>1347</v>
      </c>
      <c r="L3221" s="1" t="s">
        <v>7187</v>
      </c>
      <c r="M3221" s="1">
        <v>87</v>
      </c>
      <c r="N3221" s="1" t="s">
        <v>39</v>
      </c>
      <c r="O3221" s="1">
        <v>38.573099999999997</v>
      </c>
      <c r="P3221" s="1">
        <v>-82.783299999999997</v>
      </c>
      <c r="Q3221" s="1" t="s">
        <v>7188</v>
      </c>
      <c r="R3221" s="1" t="s">
        <v>41</v>
      </c>
      <c r="T3221" s="1" t="s">
        <v>71</v>
      </c>
      <c r="U3221" s="1" t="s">
        <v>44</v>
      </c>
      <c r="X3221" s="1" t="s">
        <v>64</v>
      </c>
      <c r="AA3221" s="3">
        <v>37714</v>
      </c>
      <c r="AB3221" s="1" t="s">
        <v>46</v>
      </c>
      <c r="AC3221" s="5">
        <v>2750</v>
      </c>
      <c r="AD3221" s="1" t="s">
        <v>7189</v>
      </c>
      <c r="AE3221" s="1" t="str">
        <f t="shared" si="227"/>
        <v>55736 CTG1</v>
      </c>
      <c r="AF3221" s="14">
        <f>MID(AD3221,FIND("(",AD3221)+1,FIND(")",AD3221)-FIND("(",AD3221)-1)+317.1/2</f>
        <v>322.05</v>
      </c>
      <c r="AG3221" s="1" t="str">
        <f t="shared" si="226"/>
        <v>Y</v>
      </c>
    </row>
    <row r="3222" spans="1:33" x14ac:dyDescent="0.2">
      <c r="A3222" s="1" t="s">
        <v>2430</v>
      </c>
      <c r="B3222" s="1" t="s">
        <v>7186</v>
      </c>
      <c r="C3222" s="1">
        <v>55736</v>
      </c>
      <c r="D3222" s="1" t="s">
        <v>1135</v>
      </c>
      <c r="F3222" s="1">
        <v>2023</v>
      </c>
      <c r="G3222" s="1" t="s">
        <v>461</v>
      </c>
      <c r="H3222" s="1">
        <v>603383</v>
      </c>
      <c r="I3222" s="1">
        <v>5</v>
      </c>
      <c r="K3222" s="1" t="s">
        <v>1347</v>
      </c>
      <c r="L3222" s="1" t="s">
        <v>7187</v>
      </c>
      <c r="M3222" s="1">
        <v>87</v>
      </c>
      <c r="N3222" s="1" t="s">
        <v>39</v>
      </c>
      <c r="O3222" s="1">
        <v>38.573099999999997</v>
      </c>
      <c r="P3222" s="1">
        <v>-82.783299999999997</v>
      </c>
      <c r="Q3222" s="1" t="s">
        <v>7188</v>
      </c>
      <c r="R3222" s="1" t="s">
        <v>41</v>
      </c>
      <c r="T3222" s="1" t="s">
        <v>71</v>
      </c>
      <c r="U3222" s="1" t="s">
        <v>44</v>
      </c>
      <c r="X3222" s="1" t="s">
        <v>64</v>
      </c>
      <c r="AA3222" s="3">
        <v>37717</v>
      </c>
      <c r="AB3222" s="1" t="s">
        <v>46</v>
      </c>
      <c r="AC3222" s="5">
        <v>2750</v>
      </c>
      <c r="AD3222" s="1" t="s">
        <v>7190</v>
      </c>
      <c r="AE3222" s="1" t="str">
        <f t="shared" si="227"/>
        <v>55736 CTG2</v>
      </c>
      <c r="AF3222" s="14">
        <f>AF3221</f>
        <v>322.05</v>
      </c>
      <c r="AG3222" s="1" t="str">
        <f t="shared" si="226"/>
        <v>Y</v>
      </c>
    </row>
    <row r="3223" spans="1:33" x14ac:dyDescent="0.2">
      <c r="A3223" s="1" t="s">
        <v>2430</v>
      </c>
      <c r="B3223" s="1" t="s">
        <v>7186</v>
      </c>
      <c r="C3223" s="1">
        <v>55736</v>
      </c>
      <c r="D3223" s="1" t="s">
        <v>6002</v>
      </c>
      <c r="F3223" s="1">
        <v>2023</v>
      </c>
      <c r="G3223" s="1" t="s">
        <v>461</v>
      </c>
      <c r="H3223" s="1">
        <v>603383</v>
      </c>
      <c r="I3223" s="1">
        <v>5</v>
      </c>
      <c r="K3223" s="1" t="s">
        <v>1347</v>
      </c>
      <c r="L3223" s="1" t="s">
        <v>7187</v>
      </c>
      <c r="M3223" s="1">
        <v>87</v>
      </c>
      <c r="N3223" s="1" t="s">
        <v>39</v>
      </c>
      <c r="O3223" s="1">
        <v>38.573099999999997</v>
      </c>
      <c r="P3223" s="1">
        <v>-82.783299999999997</v>
      </c>
      <c r="Q3223" s="1" t="s">
        <v>7188</v>
      </c>
      <c r="R3223" s="1" t="s">
        <v>41</v>
      </c>
      <c r="T3223" s="1" t="s">
        <v>71</v>
      </c>
      <c r="U3223" s="1" t="s">
        <v>44</v>
      </c>
      <c r="X3223" s="1" t="s">
        <v>64</v>
      </c>
      <c r="AA3223" s="3">
        <v>37776</v>
      </c>
      <c r="AB3223" s="1" t="s">
        <v>46</v>
      </c>
      <c r="AC3223" s="5">
        <v>2750</v>
      </c>
      <c r="AD3223" s="1" t="s">
        <v>7191</v>
      </c>
      <c r="AE3223" s="1" t="str">
        <f t="shared" si="227"/>
        <v>55736 CTG3</v>
      </c>
      <c r="AF3223" s="14">
        <f>AF3221</f>
        <v>322.05</v>
      </c>
      <c r="AG3223" s="1" t="str">
        <f t="shared" si="226"/>
        <v>Y</v>
      </c>
    </row>
    <row r="3224" spans="1:33" x14ac:dyDescent="0.2">
      <c r="A3224" s="1" t="s">
        <v>2430</v>
      </c>
      <c r="B3224" s="1" t="s">
        <v>7186</v>
      </c>
      <c r="C3224" s="1">
        <v>55736</v>
      </c>
      <c r="D3224" s="1" t="s">
        <v>2495</v>
      </c>
      <c r="F3224" s="1">
        <v>2023</v>
      </c>
      <c r="G3224" s="1" t="s">
        <v>461</v>
      </c>
      <c r="H3224" s="1">
        <v>603383</v>
      </c>
      <c r="I3224" s="1">
        <v>5</v>
      </c>
      <c r="K3224" s="1" t="s">
        <v>1347</v>
      </c>
      <c r="L3224" s="1" t="s">
        <v>7187</v>
      </c>
      <c r="M3224" s="1">
        <v>87</v>
      </c>
      <c r="N3224" s="1" t="s">
        <v>39</v>
      </c>
      <c r="O3224" s="1">
        <v>38.573099999999997</v>
      </c>
      <c r="P3224" s="1">
        <v>-82.783299999999997</v>
      </c>
      <c r="Q3224" s="1" t="s">
        <v>7188</v>
      </c>
      <c r="R3224" s="1" t="s">
        <v>41</v>
      </c>
      <c r="T3224" s="1" t="s">
        <v>71</v>
      </c>
      <c r="U3224" s="1" t="s">
        <v>44</v>
      </c>
      <c r="X3224" s="1" t="s">
        <v>64</v>
      </c>
      <c r="AA3224" s="3">
        <v>37787</v>
      </c>
      <c r="AB3224" s="1" t="s">
        <v>46</v>
      </c>
      <c r="AC3224" s="5">
        <v>2750</v>
      </c>
      <c r="AD3224" s="1" t="s">
        <v>7192</v>
      </c>
      <c r="AE3224" s="1" t="str">
        <f t="shared" si="227"/>
        <v>55736 CTG4</v>
      </c>
      <c r="AF3224" s="14">
        <f>AF3221</f>
        <v>322.05</v>
      </c>
      <c r="AG3224" s="1" t="str">
        <f t="shared" si="226"/>
        <v>Y</v>
      </c>
    </row>
    <row r="3225" spans="1:33" x14ac:dyDescent="0.2">
      <c r="A3225" s="1" t="s">
        <v>3095</v>
      </c>
      <c r="B3225" s="1" t="s">
        <v>7193</v>
      </c>
      <c r="C3225" s="1">
        <v>55738</v>
      </c>
      <c r="D3225" s="1">
        <v>1</v>
      </c>
      <c r="F3225" s="1">
        <v>2023</v>
      </c>
      <c r="G3225" s="1" t="s">
        <v>1515</v>
      </c>
      <c r="H3225" s="1">
        <v>605624</v>
      </c>
      <c r="I3225" s="1">
        <v>3</v>
      </c>
      <c r="K3225" s="1" t="s">
        <v>1781</v>
      </c>
      <c r="L3225" s="1" t="s">
        <v>7194</v>
      </c>
      <c r="M3225" s="1">
        <v>27</v>
      </c>
      <c r="N3225" s="1" t="s">
        <v>39</v>
      </c>
      <c r="O3225" s="1">
        <v>37.1753</v>
      </c>
      <c r="P3225" s="1">
        <v>-81.961699999999993</v>
      </c>
      <c r="Q3225" s="1" t="s">
        <v>7195</v>
      </c>
      <c r="R3225" s="1" t="s">
        <v>41</v>
      </c>
      <c r="T3225" s="1" t="s">
        <v>93</v>
      </c>
      <c r="U3225" s="1" t="s">
        <v>44</v>
      </c>
      <c r="X3225" s="1" t="s">
        <v>95</v>
      </c>
      <c r="AA3225" s="3">
        <v>37438</v>
      </c>
      <c r="AB3225" s="1" t="s">
        <v>46</v>
      </c>
      <c r="AC3225" s="5">
        <v>465</v>
      </c>
      <c r="AD3225" s="1" t="s">
        <v>2580</v>
      </c>
      <c r="AE3225" s="1" t="str">
        <f t="shared" si="227"/>
        <v>55738 1</v>
      </c>
      <c r="AF3225" s="5" t="str">
        <f>MID(AD3225,FIND("(",AD3225)+1,FIND(")",AD3225)-FIND("(",AD3225)-1)</f>
        <v>44</v>
      </c>
      <c r="AG3225" s="1" t="str">
        <f t="shared" si="226"/>
        <v/>
      </c>
    </row>
    <row r="3226" spans="1:33" x14ac:dyDescent="0.2">
      <c r="A3226" s="1" t="s">
        <v>3095</v>
      </c>
      <c r="B3226" s="1" t="s">
        <v>7193</v>
      </c>
      <c r="C3226" s="1">
        <v>55738</v>
      </c>
      <c r="D3226" s="1">
        <v>2</v>
      </c>
      <c r="F3226" s="1">
        <v>2023</v>
      </c>
      <c r="G3226" s="1" t="s">
        <v>1515</v>
      </c>
      <c r="H3226" s="1">
        <v>605624</v>
      </c>
      <c r="I3226" s="1">
        <v>3</v>
      </c>
      <c r="K3226" s="1" t="s">
        <v>1781</v>
      </c>
      <c r="L3226" s="1" t="s">
        <v>7194</v>
      </c>
      <c r="M3226" s="1">
        <v>27</v>
      </c>
      <c r="N3226" s="1" t="s">
        <v>39</v>
      </c>
      <c r="O3226" s="1">
        <v>37.1753</v>
      </c>
      <c r="P3226" s="1">
        <v>-81.961699999999993</v>
      </c>
      <c r="Q3226" s="1" t="s">
        <v>7195</v>
      </c>
      <c r="R3226" s="1" t="s">
        <v>41</v>
      </c>
      <c r="T3226" s="1" t="s">
        <v>93</v>
      </c>
      <c r="U3226" s="1" t="s">
        <v>44</v>
      </c>
      <c r="X3226" s="1" t="s">
        <v>95</v>
      </c>
      <c r="AA3226" s="3">
        <v>37438</v>
      </c>
      <c r="AB3226" s="1" t="s">
        <v>46</v>
      </c>
      <c r="AC3226" s="5">
        <v>449</v>
      </c>
      <c r="AD3226" s="1" t="s">
        <v>4567</v>
      </c>
      <c r="AE3226" s="1" t="str">
        <f t="shared" si="227"/>
        <v>55738 2</v>
      </c>
      <c r="AF3226" s="5" t="str">
        <f>MID(AD3226,FIND("(",AD3226)+1,FIND(")",AD3226)-FIND("(",AD3226)-1)</f>
        <v>44</v>
      </c>
      <c r="AG3226" s="1" t="str">
        <f t="shared" si="226"/>
        <v/>
      </c>
    </row>
    <row r="3227" spans="1:33" x14ac:dyDescent="0.2">
      <c r="A3227" s="1" t="s">
        <v>370</v>
      </c>
      <c r="B3227" s="1" t="s">
        <v>7196</v>
      </c>
      <c r="C3227" s="1">
        <v>55748</v>
      </c>
      <c r="D3227" s="1" t="s">
        <v>1129</v>
      </c>
      <c r="F3227" s="1">
        <v>2023</v>
      </c>
      <c r="G3227" s="1" t="s">
        <v>247</v>
      </c>
      <c r="H3227" s="1">
        <v>603807</v>
      </c>
      <c r="I3227" s="1">
        <v>9</v>
      </c>
      <c r="K3227" s="1" t="s">
        <v>4766</v>
      </c>
      <c r="L3227" s="1" t="s">
        <v>4767</v>
      </c>
      <c r="M3227" s="1">
        <v>85</v>
      </c>
      <c r="N3227" s="1" t="s">
        <v>39</v>
      </c>
      <c r="O3227" s="1">
        <v>37.424999999999997</v>
      </c>
      <c r="P3227" s="1">
        <v>-121.9319</v>
      </c>
      <c r="Q3227" s="1" t="s">
        <v>7197</v>
      </c>
      <c r="R3227" s="1" t="s">
        <v>41</v>
      </c>
      <c r="T3227" s="1" t="s">
        <v>71</v>
      </c>
      <c r="U3227" s="1" t="s">
        <v>44</v>
      </c>
      <c r="X3227" s="1" t="s">
        <v>176</v>
      </c>
      <c r="AA3227" s="3">
        <v>37639</v>
      </c>
      <c r="AB3227" s="1" t="s">
        <v>46</v>
      </c>
      <c r="AC3227" s="5">
        <v>639</v>
      </c>
      <c r="AD3227" s="1" t="s">
        <v>7198</v>
      </c>
      <c r="AE3227" s="1" t="str">
        <f t="shared" si="227"/>
        <v>55748 CTG1</v>
      </c>
      <c r="AF3227" s="14">
        <f>MID(AD3227,FIND("(",AD3227)+1,FIND(")",AD3227)-FIND("(",AD3227)-1)+55</f>
        <v>181.1</v>
      </c>
      <c r="AG3227" s="1" t="str">
        <f t="shared" si="226"/>
        <v>Y</v>
      </c>
    </row>
    <row r="3228" spans="1:33" x14ac:dyDescent="0.2">
      <c r="A3228" s="1" t="s">
        <v>370</v>
      </c>
      <c r="B3228" s="1" t="s">
        <v>7196</v>
      </c>
      <c r="C3228" s="1">
        <v>55748</v>
      </c>
      <c r="D3228" s="1" t="s">
        <v>1135</v>
      </c>
      <c r="F3228" s="1">
        <v>2023</v>
      </c>
      <c r="G3228" s="1" t="s">
        <v>247</v>
      </c>
      <c r="H3228" s="1">
        <v>603807</v>
      </c>
      <c r="I3228" s="1">
        <v>9</v>
      </c>
      <c r="K3228" s="1" t="s">
        <v>4766</v>
      </c>
      <c r="L3228" s="1" t="s">
        <v>4767</v>
      </c>
      <c r="M3228" s="1">
        <v>85</v>
      </c>
      <c r="N3228" s="1" t="s">
        <v>39</v>
      </c>
      <c r="O3228" s="1">
        <v>37.424999999999997</v>
      </c>
      <c r="P3228" s="1">
        <v>-121.9319</v>
      </c>
      <c r="Q3228" s="1" t="s">
        <v>7197</v>
      </c>
      <c r="R3228" s="1" t="s">
        <v>41</v>
      </c>
      <c r="T3228" s="1" t="s">
        <v>71</v>
      </c>
      <c r="U3228" s="1" t="s">
        <v>44</v>
      </c>
      <c r="X3228" s="1" t="s">
        <v>176</v>
      </c>
      <c r="AA3228" s="3">
        <v>37619</v>
      </c>
      <c r="AB3228" s="1" t="s">
        <v>46</v>
      </c>
      <c r="AC3228" s="5">
        <v>639</v>
      </c>
      <c r="AD3228" s="1" t="s">
        <v>7199</v>
      </c>
      <c r="AE3228" s="1" t="str">
        <f t="shared" si="227"/>
        <v>55748 CTG2</v>
      </c>
      <c r="AF3228" s="14">
        <f>MID(AD3228,FIND("(",AD3228)+1,FIND(")",AD3228)-FIND("(",AD3228)-1)+126.1</f>
        <v>181.1</v>
      </c>
      <c r="AG3228" s="1" t="str">
        <f t="shared" si="226"/>
        <v>Y</v>
      </c>
    </row>
    <row r="3229" spans="1:33" x14ac:dyDescent="0.2">
      <c r="A3229" s="1" t="s">
        <v>370</v>
      </c>
      <c r="B3229" s="1" t="s">
        <v>7196</v>
      </c>
      <c r="C3229" s="1">
        <v>55748</v>
      </c>
      <c r="D3229" s="1" t="s">
        <v>6002</v>
      </c>
      <c r="F3229" s="1">
        <v>2023</v>
      </c>
      <c r="G3229" s="1" t="s">
        <v>247</v>
      </c>
      <c r="H3229" s="1">
        <v>603807</v>
      </c>
      <c r="I3229" s="1">
        <v>9</v>
      </c>
      <c r="K3229" s="1" t="s">
        <v>4766</v>
      </c>
      <c r="L3229" s="1" t="s">
        <v>4767</v>
      </c>
      <c r="M3229" s="1">
        <v>85</v>
      </c>
      <c r="N3229" s="1" t="s">
        <v>39</v>
      </c>
      <c r="O3229" s="1">
        <v>37.424999999999997</v>
      </c>
      <c r="P3229" s="1">
        <v>-121.9319</v>
      </c>
      <c r="Q3229" s="1" t="s">
        <v>7197</v>
      </c>
      <c r="R3229" s="1" t="s">
        <v>41</v>
      </c>
      <c r="T3229" s="1" t="s">
        <v>71</v>
      </c>
      <c r="U3229" s="1" t="s">
        <v>44</v>
      </c>
      <c r="X3229" s="1" t="s">
        <v>176</v>
      </c>
      <c r="AA3229" s="3">
        <v>37611</v>
      </c>
      <c r="AB3229" s="1" t="s">
        <v>46</v>
      </c>
      <c r="AC3229" s="5">
        <v>639</v>
      </c>
      <c r="AD3229" s="1" t="s">
        <v>7200</v>
      </c>
      <c r="AE3229" s="1" t="str">
        <f t="shared" si="227"/>
        <v>55748 CTG3</v>
      </c>
      <c r="AF3229" s="14">
        <f>MID(AD3229,FIND("(",AD3229)+1,FIND(")",AD3229)-FIND("(",AD3229)-1)+55</f>
        <v>181.1</v>
      </c>
      <c r="AG3229" s="1" t="str">
        <f t="shared" si="226"/>
        <v>Y</v>
      </c>
    </row>
    <row r="3230" spans="1:33" x14ac:dyDescent="0.2">
      <c r="A3230" s="1" t="s">
        <v>370</v>
      </c>
      <c r="B3230" s="1" t="s">
        <v>7196</v>
      </c>
      <c r="C3230" s="1">
        <v>55748</v>
      </c>
      <c r="D3230" s="1" t="s">
        <v>2495</v>
      </c>
      <c r="F3230" s="1">
        <v>2023</v>
      </c>
      <c r="G3230" s="1" t="s">
        <v>247</v>
      </c>
      <c r="H3230" s="1">
        <v>603807</v>
      </c>
      <c r="I3230" s="1">
        <v>9</v>
      </c>
      <c r="K3230" s="1" t="s">
        <v>4766</v>
      </c>
      <c r="L3230" s="1" t="s">
        <v>4767</v>
      </c>
      <c r="M3230" s="1">
        <v>85</v>
      </c>
      <c r="N3230" s="1" t="s">
        <v>39</v>
      </c>
      <c r="O3230" s="1">
        <v>37.424999999999997</v>
      </c>
      <c r="P3230" s="1">
        <v>-121.9319</v>
      </c>
      <c r="Q3230" s="1" t="s">
        <v>7197</v>
      </c>
      <c r="R3230" s="1" t="s">
        <v>41</v>
      </c>
      <c r="T3230" s="1" t="s">
        <v>71</v>
      </c>
      <c r="U3230" s="1" t="s">
        <v>44</v>
      </c>
      <c r="X3230" s="1" t="s">
        <v>176</v>
      </c>
      <c r="AA3230" s="3">
        <v>37632</v>
      </c>
      <c r="AB3230" s="1" t="s">
        <v>46</v>
      </c>
      <c r="AC3230" s="5">
        <v>639</v>
      </c>
      <c r="AD3230" s="1" t="s">
        <v>7201</v>
      </c>
      <c r="AE3230" s="1" t="str">
        <f t="shared" si="227"/>
        <v>55748 CTG4</v>
      </c>
      <c r="AF3230" s="14">
        <f>MID(AD3230,FIND("(",AD3230)+1,FIND(")",AD3230)-FIND("(",AD3230)-1)+126.1</f>
        <v>181.1</v>
      </c>
      <c r="AG3230" s="1" t="str">
        <f t="shared" si="226"/>
        <v>Y</v>
      </c>
    </row>
    <row r="3231" spans="1:33" x14ac:dyDescent="0.2">
      <c r="A3231" s="1" t="s">
        <v>1843</v>
      </c>
      <c r="B3231" s="1" t="s">
        <v>7202</v>
      </c>
      <c r="C3231" s="1">
        <v>55749</v>
      </c>
      <c r="D3231" s="1" t="s">
        <v>3858</v>
      </c>
      <c r="F3231" s="1">
        <v>2023</v>
      </c>
      <c r="G3231" s="1" t="s">
        <v>236</v>
      </c>
      <c r="H3231" s="1">
        <v>605754</v>
      </c>
      <c r="I3231" s="1">
        <v>8</v>
      </c>
      <c r="J3231" s="1" t="s">
        <v>237</v>
      </c>
      <c r="K3231" s="1" t="s">
        <v>7203</v>
      </c>
      <c r="L3231" s="1" t="s">
        <v>7204</v>
      </c>
      <c r="M3231" s="1">
        <v>3</v>
      </c>
      <c r="N3231" s="1" t="s">
        <v>39</v>
      </c>
      <c r="O3231" s="1">
        <v>45.757800000000003</v>
      </c>
      <c r="P3231" s="1">
        <v>-107.6</v>
      </c>
      <c r="Q3231" s="1" t="s">
        <v>7205</v>
      </c>
      <c r="R3231" s="1" t="s">
        <v>41</v>
      </c>
      <c r="T3231" s="1" t="s">
        <v>89</v>
      </c>
      <c r="U3231" s="1" t="s">
        <v>55</v>
      </c>
      <c r="W3231" s="1" t="s">
        <v>212</v>
      </c>
      <c r="X3231" s="1" t="s">
        <v>639</v>
      </c>
      <c r="Y3231" s="1" t="s">
        <v>232</v>
      </c>
      <c r="AA3231" s="3">
        <v>38821</v>
      </c>
      <c r="AB3231" s="1" t="s">
        <v>46</v>
      </c>
      <c r="AC3231" s="5">
        <v>1670</v>
      </c>
      <c r="AD3231" s="1" t="s">
        <v>7206</v>
      </c>
      <c r="AE3231" s="1" t="str">
        <f t="shared" si="227"/>
        <v>55749 U1</v>
      </c>
      <c r="AF3231" s="5" t="str">
        <f>MID(AD3231,FIND("(",AD3231)+1,FIND(")",AD3231)-FIND("(",AD3231)-1)</f>
        <v>121</v>
      </c>
      <c r="AG3231" s="1" t="str">
        <f t="shared" si="226"/>
        <v>Y</v>
      </c>
    </row>
    <row r="3232" spans="1:33" x14ac:dyDescent="0.2">
      <c r="A3232" s="1" t="s">
        <v>2089</v>
      </c>
      <c r="B3232" s="1" t="s">
        <v>7207</v>
      </c>
      <c r="C3232" s="1">
        <v>55786</v>
      </c>
      <c r="D3232" s="1" t="s">
        <v>993</v>
      </c>
      <c r="F3232" s="1">
        <v>2023</v>
      </c>
      <c r="G3232" s="1" t="s">
        <v>1515</v>
      </c>
      <c r="H3232" s="1" t="s">
        <v>7208</v>
      </c>
      <c r="I3232" s="1">
        <v>2</v>
      </c>
      <c r="K3232" s="1" t="s">
        <v>2257</v>
      </c>
      <c r="L3232" s="1" t="s">
        <v>2258</v>
      </c>
      <c r="M3232" s="1">
        <v>103</v>
      </c>
      <c r="N3232" s="1" t="s">
        <v>39</v>
      </c>
      <c r="O3232" s="1">
        <v>40.786099999999998</v>
      </c>
      <c r="P3232" s="1">
        <v>-73.293099999999995</v>
      </c>
      <c r="Q3232" s="1" t="s">
        <v>7209</v>
      </c>
      <c r="R3232" s="1" t="s">
        <v>41</v>
      </c>
      <c r="T3232" s="1" t="s">
        <v>93</v>
      </c>
      <c r="U3232" s="1" t="s">
        <v>44</v>
      </c>
      <c r="X3232" s="1" t="s">
        <v>176</v>
      </c>
      <c r="AA3232" s="3">
        <v>37452</v>
      </c>
      <c r="AB3232" s="1" t="s">
        <v>46</v>
      </c>
      <c r="AC3232" s="5">
        <v>480</v>
      </c>
      <c r="AD3232" s="1" t="s">
        <v>7210</v>
      </c>
      <c r="AE3232" s="1" t="str">
        <f t="shared" si="227"/>
        <v>55786 CT01</v>
      </c>
      <c r="AF3232" s="5" t="str">
        <f>MID(AD3232,FIND("(",AD3232)+1,FIND(")",AD3232)-FIND("(",AD3232)-1)</f>
        <v>50</v>
      </c>
      <c r="AG3232" s="1" t="str">
        <f t="shared" si="226"/>
        <v>Y</v>
      </c>
    </row>
    <row r="3233" spans="1:33" x14ac:dyDescent="0.2">
      <c r="A3233" s="1" t="s">
        <v>2089</v>
      </c>
      <c r="B3233" s="1" t="s">
        <v>7207</v>
      </c>
      <c r="C3233" s="1">
        <v>55786</v>
      </c>
      <c r="D3233" s="1" t="s">
        <v>998</v>
      </c>
      <c r="F3233" s="1">
        <v>2023</v>
      </c>
      <c r="G3233" s="1" t="s">
        <v>1515</v>
      </c>
      <c r="H3233" s="1" t="s">
        <v>7208</v>
      </c>
      <c r="I3233" s="1">
        <v>2</v>
      </c>
      <c r="K3233" s="1" t="s">
        <v>2257</v>
      </c>
      <c r="L3233" s="1" t="s">
        <v>2258</v>
      </c>
      <c r="M3233" s="1">
        <v>103</v>
      </c>
      <c r="N3233" s="1" t="s">
        <v>39</v>
      </c>
      <c r="O3233" s="1">
        <v>40.786099999999998</v>
      </c>
      <c r="P3233" s="1">
        <v>-73.293099999999995</v>
      </c>
      <c r="Q3233" s="1" t="s">
        <v>7209</v>
      </c>
      <c r="R3233" s="1" t="s">
        <v>41</v>
      </c>
      <c r="T3233" s="1" t="s">
        <v>93</v>
      </c>
      <c r="U3233" s="1" t="s">
        <v>44</v>
      </c>
      <c r="X3233" s="1" t="s">
        <v>176</v>
      </c>
      <c r="AA3233" s="3">
        <v>37452</v>
      </c>
      <c r="AB3233" s="1" t="s">
        <v>46</v>
      </c>
      <c r="AC3233" s="5">
        <v>480</v>
      </c>
      <c r="AD3233" s="1" t="s">
        <v>7211</v>
      </c>
      <c r="AE3233" s="1" t="str">
        <f t="shared" si="227"/>
        <v>55786 CT02</v>
      </c>
      <c r="AF3233" s="5" t="str">
        <f>MID(AD3233,FIND("(",AD3233)+1,FIND(")",AD3233)-FIND("(",AD3233)-1)</f>
        <v>50</v>
      </c>
      <c r="AG3233" s="1" t="str">
        <f t="shared" si="226"/>
        <v>Y</v>
      </c>
    </row>
    <row r="3234" spans="1:33" x14ac:dyDescent="0.2">
      <c r="A3234" s="1" t="s">
        <v>2089</v>
      </c>
      <c r="B3234" s="1" t="s">
        <v>7212</v>
      </c>
      <c r="C3234" s="1">
        <v>55787</v>
      </c>
      <c r="D3234" s="1" t="s">
        <v>993</v>
      </c>
      <c r="F3234" s="1">
        <v>2023</v>
      </c>
      <c r="G3234" s="1" t="s">
        <v>1515</v>
      </c>
      <c r="H3234" s="1" t="s">
        <v>7208</v>
      </c>
      <c r="I3234" s="1">
        <v>2</v>
      </c>
      <c r="K3234" s="1" t="s">
        <v>2257</v>
      </c>
      <c r="L3234" s="1" t="s">
        <v>2258</v>
      </c>
      <c r="M3234" s="1">
        <v>103</v>
      </c>
      <c r="N3234" s="1" t="s">
        <v>39</v>
      </c>
      <c r="O3234" s="1">
        <v>40.9572</v>
      </c>
      <c r="P3234" s="1">
        <v>-72.866399999999999</v>
      </c>
      <c r="Q3234" s="1" t="s">
        <v>7209</v>
      </c>
      <c r="R3234" s="1" t="s">
        <v>41</v>
      </c>
      <c r="T3234" s="1" t="s">
        <v>93</v>
      </c>
      <c r="U3234" s="1" t="s">
        <v>94</v>
      </c>
      <c r="X3234" s="1" t="s">
        <v>176</v>
      </c>
      <c r="AA3234" s="3">
        <v>37457</v>
      </c>
      <c r="AB3234" s="1" t="s">
        <v>46</v>
      </c>
      <c r="AC3234" s="5">
        <v>461</v>
      </c>
      <c r="AD3234" s="1" t="s">
        <v>7210</v>
      </c>
      <c r="AE3234" s="1" t="str">
        <f t="shared" si="227"/>
        <v>55787 CT01</v>
      </c>
      <c r="AF3234" s="5" t="str">
        <f>MID(AD3234,FIND("(",AD3234)+1,FIND(")",AD3234)-FIND("(",AD3234)-1)</f>
        <v>50</v>
      </c>
      <c r="AG3234" s="1" t="str">
        <f t="shared" si="226"/>
        <v>Y</v>
      </c>
    </row>
    <row r="3235" spans="1:33" x14ac:dyDescent="0.2">
      <c r="A3235" s="1" t="s">
        <v>2089</v>
      </c>
      <c r="B3235" s="1" t="s">
        <v>7212</v>
      </c>
      <c r="C3235" s="1">
        <v>55787</v>
      </c>
      <c r="D3235" s="1" t="s">
        <v>998</v>
      </c>
      <c r="F3235" s="1">
        <v>2023</v>
      </c>
      <c r="G3235" s="1" t="s">
        <v>1515</v>
      </c>
      <c r="H3235" s="1" t="s">
        <v>7208</v>
      </c>
      <c r="I3235" s="1">
        <v>2</v>
      </c>
      <c r="K3235" s="1" t="s">
        <v>2257</v>
      </c>
      <c r="L3235" s="1" t="s">
        <v>2258</v>
      </c>
      <c r="M3235" s="1">
        <v>103</v>
      </c>
      <c r="N3235" s="1" t="s">
        <v>39</v>
      </c>
      <c r="O3235" s="1">
        <v>40.9572</v>
      </c>
      <c r="P3235" s="1">
        <v>-72.866399999999999</v>
      </c>
      <c r="Q3235" s="1" t="s">
        <v>7209</v>
      </c>
      <c r="R3235" s="1" t="s">
        <v>41</v>
      </c>
      <c r="T3235" s="1" t="s">
        <v>93</v>
      </c>
      <c r="U3235" s="1" t="s">
        <v>94</v>
      </c>
      <c r="X3235" s="1" t="s">
        <v>176</v>
      </c>
      <c r="AA3235" s="3">
        <v>37459</v>
      </c>
      <c r="AB3235" s="1" t="s">
        <v>46</v>
      </c>
      <c r="AC3235" s="5">
        <v>461</v>
      </c>
      <c r="AD3235" s="1" t="s">
        <v>7211</v>
      </c>
      <c r="AE3235" s="1" t="str">
        <f t="shared" si="227"/>
        <v>55787 CT02</v>
      </c>
      <c r="AF3235" s="5" t="str">
        <f>MID(AD3235,FIND("(",AD3235)+1,FIND(")",AD3235)-FIND("(",AD3235)-1)</f>
        <v>50</v>
      </c>
      <c r="AG3235" s="1" t="str">
        <f t="shared" si="226"/>
        <v>Y</v>
      </c>
    </row>
    <row r="3236" spans="1:33" x14ac:dyDescent="0.2">
      <c r="A3236" s="1" t="s">
        <v>2584</v>
      </c>
      <c r="B3236" s="1" t="s">
        <v>7213</v>
      </c>
      <c r="C3236" s="1">
        <v>55801</v>
      </c>
      <c r="D3236" s="1">
        <v>1</v>
      </c>
      <c r="F3236" s="1">
        <v>2023</v>
      </c>
      <c r="G3236" s="1" t="s">
        <v>1515</v>
      </c>
      <c r="H3236" s="1">
        <v>3095</v>
      </c>
      <c r="I3236" s="1">
        <v>3</v>
      </c>
      <c r="K3236" s="1" t="s">
        <v>2665</v>
      </c>
      <c r="L3236" s="1" t="s">
        <v>2666</v>
      </c>
      <c r="M3236" s="1">
        <v>45</v>
      </c>
      <c r="N3236" s="1" t="s">
        <v>1680</v>
      </c>
      <c r="O3236" s="1">
        <v>39.808300000000003</v>
      </c>
      <c r="P3236" s="1">
        <v>-75.422499999999999</v>
      </c>
      <c r="Q3236" s="1" t="s">
        <v>7214</v>
      </c>
      <c r="R3236" s="1" t="s">
        <v>41</v>
      </c>
      <c r="T3236" s="1" t="s">
        <v>71</v>
      </c>
      <c r="U3236" s="1" t="s">
        <v>44</v>
      </c>
      <c r="V3236" s="1" t="s">
        <v>288</v>
      </c>
      <c r="X3236" s="1" t="s">
        <v>64</v>
      </c>
      <c r="AA3236" s="3">
        <v>38142</v>
      </c>
      <c r="AB3236" s="1" t="s">
        <v>46</v>
      </c>
      <c r="AC3236" s="5">
        <v>2282</v>
      </c>
      <c r="AD3236" s="1" t="s">
        <v>7215</v>
      </c>
      <c r="AE3236" s="1" t="str">
        <f t="shared" si="227"/>
        <v>55801 1</v>
      </c>
      <c r="AF3236" s="14">
        <f>AF3238</f>
        <v>278.7</v>
      </c>
      <c r="AG3236" s="1" t="str">
        <f t="shared" si="226"/>
        <v>Y</v>
      </c>
    </row>
    <row r="3237" spans="1:33" x14ac:dyDescent="0.2">
      <c r="A3237" s="1" t="s">
        <v>2584</v>
      </c>
      <c r="B3237" s="1" t="s">
        <v>7213</v>
      </c>
      <c r="C3237" s="1">
        <v>55801</v>
      </c>
      <c r="D3237" s="1">
        <v>2</v>
      </c>
      <c r="F3237" s="1">
        <v>2023</v>
      </c>
      <c r="G3237" s="1" t="s">
        <v>1515</v>
      </c>
      <c r="H3237" s="1">
        <v>3095</v>
      </c>
      <c r="I3237" s="1">
        <v>3</v>
      </c>
      <c r="K3237" s="1" t="s">
        <v>2665</v>
      </c>
      <c r="L3237" s="1" t="s">
        <v>2666</v>
      </c>
      <c r="M3237" s="1">
        <v>45</v>
      </c>
      <c r="N3237" s="1" t="s">
        <v>1680</v>
      </c>
      <c r="O3237" s="1">
        <v>39.808300000000003</v>
      </c>
      <c r="P3237" s="1">
        <v>-75.422499999999999</v>
      </c>
      <c r="Q3237" s="1" t="s">
        <v>7214</v>
      </c>
      <c r="R3237" s="1" t="s">
        <v>41</v>
      </c>
      <c r="T3237" s="1" t="s">
        <v>71</v>
      </c>
      <c r="U3237" s="1" t="s">
        <v>44</v>
      </c>
      <c r="V3237" s="1" t="s">
        <v>288</v>
      </c>
      <c r="X3237" s="1" t="s">
        <v>64</v>
      </c>
      <c r="AA3237" s="3">
        <v>38156</v>
      </c>
      <c r="AB3237" s="1" t="s">
        <v>46</v>
      </c>
      <c r="AC3237" s="5">
        <v>2282</v>
      </c>
      <c r="AD3237" s="1" t="s">
        <v>7216</v>
      </c>
      <c r="AE3237" s="1" t="str">
        <f t="shared" si="227"/>
        <v>55801 2</v>
      </c>
      <c r="AF3237" s="14">
        <f>AF3238</f>
        <v>278.7</v>
      </c>
      <c r="AG3237" s="1" t="str">
        <f t="shared" si="226"/>
        <v>Y</v>
      </c>
    </row>
    <row r="3238" spans="1:33" x14ac:dyDescent="0.2">
      <c r="A3238" s="1" t="s">
        <v>2584</v>
      </c>
      <c r="B3238" s="1" t="s">
        <v>7213</v>
      </c>
      <c r="C3238" s="1">
        <v>55801</v>
      </c>
      <c r="D3238" s="1">
        <v>3</v>
      </c>
      <c r="F3238" s="1">
        <v>2023</v>
      </c>
      <c r="G3238" s="1" t="s">
        <v>1515</v>
      </c>
      <c r="H3238" s="1">
        <v>3095</v>
      </c>
      <c r="I3238" s="1">
        <v>3</v>
      </c>
      <c r="K3238" s="1" t="s">
        <v>2665</v>
      </c>
      <c r="L3238" s="1" t="s">
        <v>2666</v>
      </c>
      <c r="M3238" s="1">
        <v>45</v>
      </c>
      <c r="N3238" s="1" t="s">
        <v>1680</v>
      </c>
      <c r="O3238" s="1">
        <v>39.808300000000003</v>
      </c>
      <c r="P3238" s="1">
        <v>-75.422499999999999</v>
      </c>
      <c r="Q3238" s="1" t="s">
        <v>7214</v>
      </c>
      <c r="R3238" s="1" t="s">
        <v>41</v>
      </c>
      <c r="T3238" s="1" t="s">
        <v>71</v>
      </c>
      <c r="U3238" s="1" t="s">
        <v>44</v>
      </c>
      <c r="V3238" s="1" t="s">
        <v>288</v>
      </c>
      <c r="X3238" s="1" t="s">
        <v>64</v>
      </c>
      <c r="AA3238" s="3">
        <v>38188</v>
      </c>
      <c r="AB3238" s="1" t="s">
        <v>46</v>
      </c>
      <c r="AC3238" s="5">
        <v>2282</v>
      </c>
      <c r="AD3238" s="1" t="s">
        <v>7217</v>
      </c>
      <c r="AE3238" s="1" t="str">
        <f t="shared" si="227"/>
        <v>55801 3</v>
      </c>
      <c r="AF3238" s="14">
        <f>MID(AD3238,FIND("(",AD3238)+1,FIND(")",AD3238)-FIND("(",AD3238)-1)+271.5/3</f>
        <v>278.7</v>
      </c>
      <c r="AG3238" s="1" t="str">
        <f t="shared" si="226"/>
        <v>Y</v>
      </c>
    </row>
    <row r="3239" spans="1:33" x14ac:dyDescent="0.2">
      <c r="A3239" s="1" t="s">
        <v>2054</v>
      </c>
      <c r="B3239" s="1" t="s">
        <v>7218</v>
      </c>
      <c r="C3239" s="1">
        <v>55802</v>
      </c>
      <c r="D3239" s="1" t="s">
        <v>1129</v>
      </c>
      <c r="F3239" s="1">
        <v>2023</v>
      </c>
      <c r="G3239" s="1" t="s">
        <v>247</v>
      </c>
      <c r="H3239" s="1">
        <v>604605</v>
      </c>
      <c r="I3239" s="1">
        <v>6</v>
      </c>
      <c r="J3239" s="1" t="s">
        <v>237</v>
      </c>
      <c r="K3239" s="1" t="s">
        <v>7219</v>
      </c>
      <c r="L3239" s="1" t="s">
        <v>7220</v>
      </c>
      <c r="M3239" s="1">
        <v>61</v>
      </c>
      <c r="N3239" s="1" t="s">
        <v>39</v>
      </c>
      <c r="O3239" s="1">
        <v>34.606299999999997</v>
      </c>
      <c r="P3239" s="1">
        <v>-106.732</v>
      </c>
      <c r="Q3239" s="1" t="s">
        <v>7221</v>
      </c>
      <c r="R3239" s="1" t="s">
        <v>41</v>
      </c>
      <c r="T3239" s="1" t="s">
        <v>93</v>
      </c>
      <c r="U3239" s="1" t="s">
        <v>44</v>
      </c>
      <c r="X3239" s="1" t="s">
        <v>140</v>
      </c>
      <c r="AA3239" s="3">
        <v>39588</v>
      </c>
      <c r="AB3239" s="1" t="s">
        <v>46</v>
      </c>
      <c r="AC3239" s="5">
        <v>1682</v>
      </c>
      <c r="AD3239" s="1" t="s">
        <v>3269</v>
      </c>
      <c r="AE3239" s="1" t="str">
        <f t="shared" si="227"/>
        <v>55802 CTG1</v>
      </c>
      <c r="AF3239" s="5" t="str">
        <f t="shared" ref="AF3239:AF3244" si="228">MID(AD3239,FIND("(",AD3239)+1,FIND(")",AD3239)-FIND("(",AD3239)-1)</f>
        <v>160</v>
      </c>
      <c r="AG3239" s="1" t="str">
        <f t="shared" si="226"/>
        <v/>
      </c>
    </row>
    <row r="3240" spans="1:33" x14ac:dyDescent="0.2">
      <c r="A3240" s="1" t="s">
        <v>370</v>
      </c>
      <c r="B3240" s="1" t="s">
        <v>7222</v>
      </c>
      <c r="C3240" s="1">
        <v>55807</v>
      </c>
      <c r="D3240" s="1" t="s">
        <v>7223</v>
      </c>
      <c r="F3240" s="1">
        <v>2023</v>
      </c>
      <c r="G3240" s="1" t="s">
        <v>247</v>
      </c>
      <c r="H3240" s="1">
        <v>609325</v>
      </c>
      <c r="I3240" s="1">
        <v>9</v>
      </c>
      <c r="K3240" s="1" t="s">
        <v>2118</v>
      </c>
      <c r="L3240" s="1" t="s">
        <v>7141</v>
      </c>
      <c r="M3240" s="1">
        <v>31</v>
      </c>
      <c r="N3240" s="1" t="s">
        <v>39</v>
      </c>
      <c r="O3240" s="1">
        <v>36.239699999999999</v>
      </c>
      <c r="P3240" s="1">
        <v>-119.9044</v>
      </c>
      <c r="Q3240" s="1" t="s">
        <v>7142</v>
      </c>
      <c r="R3240" s="1" t="s">
        <v>41</v>
      </c>
      <c r="T3240" s="1" t="s">
        <v>93</v>
      </c>
      <c r="U3240" s="1" t="s">
        <v>44</v>
      </c>
      <c r="X3240" s="1" t="s">
        <v>176</v>
      </c>
      <c r="AA3240" s="3">
        <v>37438</v>
      </c>
      <c r="AB3240" s="1" t="s">
        <v>46</v>
      </c>
      <c r="AC3240" s="5">
        <v>540</v>
      </c>
      <c r="AD3240" s="1" t="s">
        <v>7224</v>
      </c>
      <c r="AE3240" s="1" t="str">
        <f t="shared" si="227"/>
        <v>55807 HPP1</v>
      </c>
      <c r="AF3240" s="5" t="str">
        <f t="shared" si="228"/>
        <v>49</v>
      </c>
      <c r="AG3240" s="1" t="str">
        <f t="shared" si="226"/>
        <v>Y</v>
      </c>
    </row>
    <row r="3241" spans="1:33" x14ac:dyDescent="0.2">
      <c r="A3241" s="1" t="s">
        <v>370</v>
      </c>
      <c r="B3241" s="1" t="s">
        <v>7222</v>
      </c>
      <c r="C3241" s="1">
        <v>55807</v>
      </c>
      <c r="D3241" s="1" t="s">
        <v>7225</v>
      </c>
      <c r="F3241" s="1">
        <v>2023</v>
      </c>
      <c r="G3241" s="1" t="s">
        <v>247</v>
      </c>
      <c r="H3241" s="1">
        <v>609325</v>
      </c>
      <c r="I3241" s="1">
        <v>9</v>
      </c>
      <c r="K3241" s="1" t="s">
        <v>2118</v>
      </c>
      <c r="L3241" s="1" t="s">
        <v>7141</v>
      </c>
      <c r="M3241" s="1">
        <v>31</v>
      </c>
      <c r="N3241" s="1" t="s">
        <v>39</v>
      </c>
      <c r="O3241" s="1">
        <v>36.239699999999999</v>
      </c>
      <c r="P3241" s="1">
        <v>-119.9044</v>
      </c>
      <c r="Q3241" s="1" t="s">
        <v>7142</v>
      </c>
      <c r="R3241" s="1" t="s">
        <v>41</v>
      </c>
      <c r="T3241" s="1" t="s">
        <v>93</v>
      </c>
      <c r="U3241" s="1" t="s">
        <v>44</v>
      </c>
      <c r="X3241" s="1" t="s">
        <v>176</v>
      </c>
      <c r="AA3241" s="3">
        <v>37438</v>
      </c>
      <c r="AB3241" s="1" t="s">
        <v>46</v>
      </c>
      <c r="AC3241" s="5">
        <v>540</v>
      </c>
      <c r="AD3241" s="1" t="s">
        <v>7226</v>
      </c>
      <c r="AE3241" s="1" t="str">
        <f t="shared" si="227"/>
        <v>55807 HPP2</v>
      </c>
      <c r="AF3241" s="5" t="str">
        <f t="shared" si="228"/>
        <v>49</v>
      </c>
      <c r="AG3241" s="1" t="str">
        <f t="shared" si="226"/>
        <v>Y</v>
      </c>
    </row>
    <row r="3242" spans="1:33" x14ac:dyDescent="0.2">
      <c r="A3242" s="1" t="s">
        <v>370</v>
      </c>
      <c r="B3242" s="1" t="s">
        <v>7227</v>
      </c>
      <c r="C3242" s="1">
        <v>55810</v>
      </c>
      <c r="D3242" s="1" t="s">
        <v>890</v>
      </c>
      <c r="F3242" s="1">
        <v>2023</v>
      </c>
      <c r="G3242" s="1" t="s">
        <v>247</v>
      </c>
      <c r="H3242" s="1">
        <v>602696</v>
      </c>
      <c r="I3242" s="1">
        <v>9</v>
      </c>
      <c r="K3242" s="1" t="s">
        <v>4766</v>
      </c>
      <c r="L3242" s="1" t="s">
        <v>4767</v>
      </c>
      <c r="M3242" s="1">
        <v>85</v>
      </c>
      <c r="N3242" s="1" t="s">
        <v>39</v>
      </c>
      <c r="O3242" s="1">
        <v>36.999000000000002</v>
      </c>
      <c r="P3242" s="1">
        <v>-121.5363</v>
      </c>
      <c r="Q3242" s="1" t="s">
        <v>7050</v>
      </c>
      <c r="R3242" s="1" t="s">
        <v>41</v>
      </c>
      <c r="T3242" s="1" t="s">
        <v>93</v>
      </c>
      <c r="U3242" s="1" t="s">
        <v>44</v>
      </c>
      <c r="X3242" s="1" t="s">
        <v>1608</v>
      </c>
      <c r="AA3242" s="3">
        <v>37224</v>
      </c>
      <c r="AB3242" s="1" t="s">
        <v>46</v>
      </c>
      <c r="AC3242" s="5">
        <v>500</v>
      </c>
      <c r="AD3242" s="1" t="s">
        <v>7228</v>
      </c>
      <c r="AE3242" s="1" t="str">
        <f t="shared" si="227"/>
        <v>55810 S-3</v>
      </c>
      <c r="AF3242" s="5" t="str">
        <f t="shared" si="228"/>
        <v>45</v>
      </c>
      <c r="AG3242" s="1" t="str">
        <f t="shared" si="226"/>
        <v>Y</v>
      </c>
    </row>
    <row r="3243" spans="1:33" x14ac:dyDescent="0.2">
      <c r="A3243" s="1" t="s">
        <v>370</v>
      </c>
      <c r="B3243" s="1" t="s">
        <v>7227</v>
      </c>
      <c r="C3243" s="1">
        <v>55810</v>
      </c>
      <c r="D3243" s="1" t="s">
        <v>1340</v>
      </c>
      <c r="F3243" s="1">
        <v>2023</v>
      </c>
      <c r="G3243" s="1" t="s">
        <v>247</v>
      </c>
      <c r="H3243" s="1">
        <v>602696</v>
      </c>
      <c r="I3243" s="1">
        <v>9</v>
      </c>
      <c r="K3243" s="1" t="s">
        <v>4766</v>
      </c>
      <c r="L3243" s="1" t="s">
        <v>4767</v>
      </c>
      <c r="M3243" s="1">
        <v>85</v>
      </c>
      <c r="N3243" s="1" t="s">
        <v>39</v>
      </c>
      <c r="O3243" s="1">
        <v>36.999000000000002</v>
      </c>
      <c r="P3243" s="1">
        <v>-121.5363</v>
      </c>
      <c r="Q3243" s="1" t="s">
        <v>7050</v>
      </c>
      <c r="R3243" s="1" t="s">
        <v>41</v>
      </c>
      <c r="T3243" s="1" t="s">
        <v>93</v>
      </c>
      <c r="U3243" s="1" t="s">
        <v>44</v>
      </c>
      <c r="X3243" s="1" t="s">
        <v>1608</v>
      </c>
      <c r="AA3243" s="3">
        <v>37224</v>
      </c>
      <c r="AB3243" s="1" t="s">
        <v>46</v>
      </c>
      <c r="AC3243" s="5">
        <v>500</v>
      </c>
      <c r="AD3243" s="1" t="s">
        <v>7229</v>
      </c>
      <c r="AE3243" s="1" t="str">
        <f t="shared" si="227"/>
        <v>55810 S-4</v>
      </c>
      <c r="AF3243" s="5" t="str">
        <f t="shared" si="228"/>
        <v>45</v>
      </c>
      <c r="AG3243" s="1" t="str">
        <f t="shared" si="226"/>
        <v>Y</v>
      </c>
    </row>
    <row r="3244" spans="1:33" x14ac:dyDescent="0.2">
      <c r="A3244" s="1" t="s">
        <v>370</v>
      </c>
      <c r="B3244" s="1" t="s">
        <v>7227</v>
      </c>
      <c r="C3244" s="1">
        <v>55810</v>
      </c>
      <c r="D3244" s="1" t="s">
        <v>1342</v>
      </c>
      <c r="F3244" s="1">
        <v>2023</v>
      </c>
      <c r="G3244" s="1" t="s">
        <v>247</v>
      </c>
      <c r="H3244" s="1">
        <v>602696</v>
      </c>
      <c r="I3244" s="1">
        <v>9</v>
      </c>
      <c r="K3244" s="1" t="s">
        <v>4766</v>
      </c>
      <c r="L3244" s="1" t="s">
        <v>4767</v>
      </c>
      <c r="M3244" s="1">
        <v>85</v>
      </c>
      <c r="N3244" s="1" t="s">
        <v>39</v>
      </c>
      <c r="O3244" s="1">
        <v>36.999000000000002</v>
      </c>
      <c r="P3244" s="1">
        <v>-121.5363</v>
      </c>
      <c r="Q3244" s="1" t="s">
        <v>7050</v>
      </c>
      <c r="R3244" s="1" t="s">
        <v>41</v>
      </c>
      <c r="T3244" s="1" t="s">
        <v>93</v>
      </c>
      <c r="U3244" s="1" t="s">
        <v>44</v>
      </c>
      <c r="X3244" s="1" t="s">
        <v>1608</v>
      </c>
      <c r="AA3244" s="3">
        <v>37301</v>
      </c>
      <c r="AB3244" s="1" t="s">
        <v>46</v>
      </c>
      <c r="AC3244" s="5">
        <v>500</v>
      </c>
      <c r="AD3244" s="1" t="s">
        <v>7230</v>
      </c>
      <c r="AE3244" s="1" t="str">
        <f t="shared" si="227"/>
        <v>55810 S-5</v>
      </c>
      <c r="AF3244" s="5" t="str">
        <f t="shared" si="228"/>
        <v>45</v>
      </c>
      <c r="AG3244" s="1" t="str">
        <f t="shared" si="226"/>
        <v>Y</v>
      </c>
    </row>
    <row r="3245" spans="1:33" x14ac:dyDescent="0.2">
      <c r="A3245" s="1" t="s">
        <v>690</v>
      </c>
      <c r="B3245" s="1" t="s">
        <v>7231</v>
      </c>
      <c r="C3245" s="1">
        <v>55818</v>
      </c>
      <c r="D3245" s="1" t="s">
        <v>7232</v>
      </c>
      <c r="F3245" s="1">
        <v>2023</v>
      </c>
      <c r="G3245" s="1" t="s">
        <v>247</v>
      </c>
      <c r="H3245" s="1">
        <v>608524</v>
      </c>
      <c r="I3245" s="1">
        <v>10</v>
      </c>
      <c r="J3245" s="1" t="s">
        <v>237</v>
      </c>
      <c r="K3245" s="1" t="s">
        <v>7233</v>
      </c>
      <c r="L3245" s="1" t="s">
        <v>7234</v>
      </c>
      <c r="M3245" s="1">
        <v>53</v>
      </c>
      <c r="N3245" s="1" t="s">
        <v>39</v>
      </c>
      <c r="O3245" s="1">
        <v>47.086399999999998</v>
      </c>
      <c r="P3245" s="1">
        <v>-122.3644</v>
      </c>
      <c r="Q3245" s="1" t="s">
        <v>7235</v>
      </c>
      <c r="R3245" s="1" t="s">
        <v>41</v>
      </c>
      <c r="T3245" s="1" t="s">
        <v>71</v>
      </c>
      <c r="U3245" s="1" t="s">
        <v>44</v>
      </c>
      <c r="X3245" s="1" t="s">
        <v>442</v>
      </c>
      <c r="AA3245" s="3">
        <v>37487</v>
      </c>
      <c r="AB3245" s="1" t="s">
        <v>46</v>
      </c>
      <c r="AC3245" s="5">
        <v>2137</v>
      </c>
      <c r="AD3245" s="1" t="s">
        <v>7236</v>
      </c>
      <c r="AE3245" s="1" t="str">
        <f t="shared" si="227"/>
        <v>55818 F1CT</v>
      </c>
      <c r="AF3245" s="14">
        <f>MID(AD3245,FIND("(",AD3245)+1,FIND(")",AD3245)-FIND("(",AD3245)-1)+167</f>
        <v>269</v>
      </c>
      <c r="AG3245" s="1" t="str">
        <f t="shared" si="226"/>
        <v>Y</v>
      </c>
    </row>
    <row r="3246" spans="1:33" x14ac:dyDescent="0.2">
      <c r="A3246" s="1" t="s">
        <v>304</v>
      </c>
      <c r="B3246" s="1" t="s">
        <v>7237</v>
      </c>
      <c r="C3246" s="1">
        <v>55821</v>
      </c>
      <c r="D3246" s="1">
        <v>25</v>
      </c>
      <c r="F3246" s="1">
        <v>2023</v>
      </c>
      <c r="G3246" s="1" t="s">
        <v>247</v>
      </c>
      <c r="H3246" s="1">
        <v>609351</v>
      </c>
      <c r="I3246" s="1">
        <v>4</v>
      </c>
      <c r="K3246" s="1" t="s">
        <v>418</v>
      </c>
      <c r="L3246" s="1" t="s">
        <v>634</v>
      </c>
      <c r="M3246" s="1">
        <v>95</v>
      </c>
      <c r="N3246" s="1" t="s">
        <v>39</v>
      </c>
      <c r="O3246" s="1">
        <v>28.488099999999999</v>
      </c>
      <c r="P3246" s="1">
        <v>-81.167500000000004</v>
      </c>
      <c r="Q3246" s="1" t="s">
        <v>7238</v>
      </c>
      <c r="R3246" s="1" t="s">
        <v>41</v>
      </c>
      <c r="T3246" s="1" t="s">
        <v>71</v>
      </c>
      <c r="U3246" s="1" t="s">
        <v>44</v>
      </c>
      <c r="V3246" s="1" t="s">
        <v>94</v>
      </c>
      <c r="X3246" s="1" t="s">
        <v>643</v>
      </c>
      <c r="AA3246" s="3">
        <v>37825</v>
      </c>
      <c r="AB3246" s="1" t="s">
        <v>46</v>
      </c>
      <c r="AC3246" s="5">
        <v>2402</v>
      </c>
      <c r="AD3246" s="1" t="s">
        <v>7239</v>
      </c>
      <c r="AE3246" s="1" t="str">
        <f t="shared" si="227"/>
        <v>55821 25</v>
      </c>
      <c r="AF3246" s="14">
        <f>MID(AD3246,FIND("(",AD3246)+1,FIND(")",AD3246)-FIND("(",AD3246)-1)+281.9/2</f>
        <v>364.95</v>
      </c>
      <c r="AG3246" s="1" t="str">
        <f t="shared" si="226"/>
        <v>Y</v>
      </c>
    </row>
    <row r="3247" spans="1:33" x14ac:dyDescent="0.2">
      <c r="A3247" s="1" t="s">
        <v>304</v>
      </c>
      <c r="B3247" s="1" t="s">
        <v>7237</v>
      </c>
      <c r="C3247" s="1">
        <v>55821</v>
      </c>
      <c r="D3247" s="1">
        <v>26</v>
      </c>
      <c r="F3247" s="1">
        <v>2023</v>
      </c>
      <c r="G3247" s="1" t="s">
        <v>247</v>
      </c>
      <c r="H3247" s="1">
        <v>609351</v>
      </c>
      <c r="I3247" s="1">
        <v>4</v>
      </c>
      <c r="K3247" s="1" t="s">
        <v>418</v>
      </c>
      <c r="L3247" s="1" t="s">
        <v>634</v>
      </c>
      <c r="M3247" s="1">
        <v>95</v>
      </c>
      <c r="N3247" s="1" t="s">
        <v>39</v>
      </c>
      <c r="O3247" s="1">
        <v>28.488099999999999</v>
      </c>
      <c r="P3247" s="1">
        <v>-81.167500000000004</v>
      </c>
      <c r="Q3247" s="1" t="s">
        <v>7238</v>
      </c>
      <c r="R3247" s="1" t="s">
        <v>41</v>
      </c>
      <c r="T3247" s="1" t="s">
        <v>71</v>
      </c>
      <c r="U3247" s="1" t="s">
        <v>44</v>
      </c>
      <c r="V3247" s="1" t="s">
        <v>94</v>
      </c>
      <c r="X3247" s="1" t="s">
        <v>643</v>
      </c>
      <c r="AA3247" s="3">
        <v>37853</v>
      </c>
      <c r="AB3247" s="1" t="s">
        <v>46</v>
      </c>
      <c r="AC3247" s="5">
        <v>2402</v>
      </c>
      <c r="AD3247" s="1" t="s">
        <v>7240</v>
      </c>
      <c r="AE3247" s="1" t="str">
        <f t="shared" si="227"/>
        <v>55821 26</v>
      </c>
      <c r="AF3247" s="14">
        <f>AF3246</f>
        <v>364.95</v>
      </c>
      <c r="AG3247" s="1" t="str">
        <f t="shared" si="226"/>
        <v>Y</v>
      </c>
    </row>
    <row r="3248" spans="1:33" x14ac:dyDescent="0.2">
      <c r="A3248" s="1" t="s">
        <v>516</v>
      </c>
      <c r="B3248" s="1" t="s">
        <v>7241</v>
      </c>
      <c r="C3248" s="1">
        <v>55835</v>
      </c>
      <c r="D3248" s="1">
        <v>1</v>
      </c>
      <c r="F3248" s="1">
        <v>2023</v>
      </c>
      <c r="G3248" s="1" t="s">
        <v>247</v>
      </c>
      <c r="H3248" s="1">
        <v>608791</v>
      </c>
      <c r="I3248" s="1">
        <v>8</v>
      </c>
      <c r="K3248" s="1" t="s">
        <v>3544</v>
      </c>
      <c r="L3248" s="1" t="s">
        <v>3545</v>
      </c>
      <c r="M3248" s="1">
        <v>123</v>
      </c>
      <c r="N3248" s="1" t="s">
        <v>39</v>
      </c>
      <c r="O3248" s="1">
        <v>40.091099999999997</v>
      </c>
      <c r="P3248" s="1">
        <v>-104.5947</v>
      </c>
      <c r="Q3248" s="1" t="s">
        <v>519</v>
      </c>
      <c r="R3248" s="1" t="s">
        <v>41</v>
      </c>
      <c r="T3248" s="1" t="s">
        <v>71</v>
      </c>
      <c r="U3248" s="1" t="s">
        <v>44</v>
      </c>
      <c r="X3248" s="1" t="s">
        <v>64</v>
      </c>
      <c r="AA3248" s="3">
        <v>38055</v>
      </c>
      <c r="AB3248" s="1" t="s">
        <v>46</v>
      </c>
      <c r="AC3248" s="5">
        <v>2460</v>
      </c>
      <c r="AD3248" s="1" t="s">
        <v>7242</v>
      </c>
      <c r="AE3248" s="1" t="str">
        <f t="shared" si="227"/>
        <v>55835 1</v>
      </c>
      <c r="AF3248" s="14">
        <f>MID(AD3248,FIND("(",AD3248)+1,FIND(")",AD3248)-FIND("(",AD3248)-1)+334.9/2</f>
        <v>352.45</v>
      </c>
      <c r="AG3248" s="1" t="str">
        <f t="shared" si="226"/>
        <v>Y</v>
      </c>
    </row>
    <row r="3249" spans="1:33" x14ac:dyDescent="0.2">
      <c r="A3249" s="1" t="s">
        <v>516</v>
      </c>
      <c r="B3249" s="1" t="s">
        <v>7241</v>
      </c>
      <c r="C3249" s="1">
        <v>55835</v>
      </c>
      <c r="D3249" s="1">
        <v>2</v>
      </c>
      <c r="F3249" s="1">
        <v>2023</v>
      </c>
      <c r="G3249" s="1" t="s">
        <v>247</v>
      </c>
      <c r="H3249" s="1">
        <v>608791</v>
      </c>
      <c r="I3249" s="1">
        <v>8</v>
      </c>
      <c r="K3249" s="1" t="s">
        <v>3544</v>
      </c>
      <c r="L3249" s="1" t="s">
        <v>3545</v>
      </c>
      <c r="M3249" s="1">
        <v>123</v>
      </c>
      <c r="N3249" s="1" t="s">
        <v>39</v>
      </c>
      <c r="O3249" s="1">
        <v>40.091099999999997</v>
      </c>
      <c r="P3249" s="1">
        <v>-104.5947</v>
      </c>
      <c r="Q3249" s="1" t="s">
        <v>519</v>
      </c>
      <c r="R3249" s="1" t="s">
        <v>41</v>
      </c>
      <c r="T3249" s="1" t="s">
        <v>71</v>
      </c>
      <c r="U3249" s="1" t="s">
        <v>44</v>
      </c>
      <c r="X3249" s="1" t="s">
        <v>64</v>
      </c>
      <c r="AA3249" s="3">
        <v>38047</v>
      </c>
      <c r="AB3249" s="1" t="s">
        <v>46</v>
      </c>
      <c r="AC3249" s="5">
        <v>2500</v>
      </c>
      <c r="AD3249" s="1" t="s">
        <v>7243</v>
      </c>
      <c r="AE3249" s="1" t="str">
        <f t="shared" si="227"/>
        <v>55835 2</v>
      </c>
      <c r="AF3249" s="14">
        <f>AF3248</f>
        <v>352.45</v>
      </c>
      <c r="AG3249" s="1" t="str">
        <f t="shared" si="226"/>
        <v>Y</v>
      </c>
    </row>
    <row r="3250" spans="1:33" x14ac:dyDescent="0.2">
      <c r="A3250" s="1" t="s">
        <v>3167</v>
      </c>
      <c r="B3250" s="1" t="s">
        <v>7244</v>
      </c>
      <c r="C3250" s="1">
        <v>55836</v>
      </c>
      <c r="D3250" s="1" t="s">
        <v>372</v>
      </c>
      <c r="F3250" s="1">
        <v>2023</v>
      </c>
      <c r="G3250" s="1" t="s">
        <v>461</v>
      </c>
      <c r="H3250" s="1">
        <v>604163</v>
      </c>
      <c r="I3250" s="1">
        <v>5</v>
      </c>
      <c r="K3250" s="1" t="s">
        <v>7031</v>
      </c>
      <c r="L3250" s="1" t="s">
        <v>7032</v>
      </c>
      <c r="M3250" s="1">
        <v>87</v>
      </c>
      <c r="N3250" s="1" t="s">
        <v>39</v>
      </c>
      <c r="O3250" s="1">
        <v>44.2761</v>
      </c>
      <c r="P3250" s="1">
        <v>-88.265600000000006</v>
      </c>
      <c r="Q3250" s="1" t="s">
        <v>7245</v>
      </c>
      <c r="R3250" s="1" t="s">
        <v>41</v>
      </c>
      <c r="T3250" s="1" t="s">
        <v>93</v>
      </c>
      <c r="U3250" s="1" t="s">
        <v>44</v>
      </c>
      <c r="X3250" s="1" t="s">
        <v>95</v>
      </c>
      <c r="AA3250" s="3">
        <v>38080</v>
      </c>
      <c r="AB3250" s="1" t="s">
        <v>46</v>
      </c>
      <c r="AC3250" s="5">
        <v>325</v>
      </c>
      <c r="AD3250" s="1" t="s">
        <v>7246</v>
      </c>
      <c r="AE3250" s="1" t="str">
        <f t="shared" si="227"/>
        <v>55836 1A</v>
      </c>
      <c r="AF3250" s="5" t="str">
        <f>MID(AD3250,FIND("(",AD3250)+1,FIND(")",AD3250)-FIND("(",AD3250)-1)</f>
        <v>60.5</v>
      </c>
      <c r="AG3250" s="1" t="str">
        <f t="shared" si="226"/>
        <v/>
      </c>
    </row>
    <row r="3251" spans="1:33" x14ac:dyDescent="0.2">
      <c r="A3251" s="1" t="s">
        <v>3167</v>
      </c>
      <c r="B3251" s="1" t="s">
        <v>7244</v>
      </c>
      <c r="C3251" s="1">
        <v>55836</v>
      </c>
      <c r="D3251" s="1" t="s">
        <v>1199</v>
      </c>
      <c r="F3251" s="1">
        <v>2023</v>
      </c>
      <c r="G3251" s="1" t="s">
        <v>461</v>
      </c>
      <c r="H3251" s="1">
        <v>604163</v>
      </c>
      <c r="I3251" s="1">
        <v>5</v>
      </c>
      <c r="K3251" s="1" t="s">
        <v>7031</v>
      </c>
      <c r="L3251" s="1" t="s">
        <v>7032</v>
      </c>
      <c r="M3251" s="1">
        <v>87</v>
      </c>
      <c r="N3251" s="1" t="s">
        <v>39</v>
      </c>
      <c r="O3251" s="1">
        <v>44.2761</v>
      </c>
      <c r="P3251" s="1">
        <v>-88.265600000000006</v>
      </c>
      <c r="Q3251" s="1" t="s">
        <v>7245</v>
      </c>
      <c r="R3251" s="1" t="s">
        <v>41</v>
      </c>
      <c r="T3251" s="1" t="s">
        <v>93</v>
      </c>
      <c r="U3251" s="1" t="s">
        <v>44</v>
      </c>
      <c r="X3251" s="1" t="s">
        <v>95</v>
      </c>
      <c r="AA3251" s="3">
        <v>38080</v>
      </c>
      <c r="AB3251" s="1" t="s">
        <v>46</v>
      </c>
      <c r="AC3251" s="5">
        <v>325</v>
      </c>
      <c r="AD3251" s="1" t="s">
        <v>7246</v>
      </c>
      <c r="AE3251" s="1" t="str">
        <f t="shared" si="227"/>
        <v>55836 1B</v>
      </c>
      <c r="AF3251" s="5" t="str">
        <f>MID(AD3251,FIND("(",AD3251)+1,FIND(")",AD3251)-FIND("(",AD3251)-1)</f>
        <v>60.5</v>
      </c>
      <c r="AG3251" s="1" t="str">
        <f t="shared" si="226"/>
        <v/>
      </c>
    </row>
    <row r="3252" spans="1:33" x14ac:dyDescent="0.2">
      <c r="A3252" s="1" t="s">
        <v>1903</v>
      </c>
      <c r="B3252" s="1" t="s">
        <v>7247</v>
      </c>
      <c r="C3252" s="1">
        <v>55841</v>
      </c>
      <c r="D3252" s="1" t="s">
        <v>5299</v>
      </c>
      <c r="F3252" s="1">
        <v>2023</v>
      </c>
      <c r="G3252" s="1" t="s">
        <v>247</v>
      </c>
      <c r="H3252" s="1">
        <v>610268</v>
      </c>
      <c r="I3252" s="1">
        <v>9</v>
      </c>
      <c r="K3252" s="1" t="s">
        <v>170</v>
      </c>
      <c r="L3252" s="1" t="s">
        <v>1906</v>
      </c>
      <c r="M3252" s="1">
        <v>3</v>
      </c>
      <c r="N3252" s="1" t="s">
        <v>39</v>
      </c>
      <c r="O3252" s="1">
        <v>36.407800000000002</v>
      </c>
      <c r="P3252" s="1">
        <v>-114.9603</v>
      </c>
      <c r="Q3252" s="1" t="s">
        <v>7248</v>
      </c>
      <c r="R3252" s="1" t="s">
        <v>41</v>
      </c>
      <c r="T3252" s="1" t="s">
        <v>71</v>
      </c>
      <c r="U3252" s="1" t="s">
        <v>44</v>
      </c>
      <c r="X3252" s="1" t="s">
        <v>64</v>
      </c>
      <c r="AA3252" s="3">
        <v>37987</v>
      </c>
      <c r="AB3252" s="1" t="s">
        <v>46</v>
      </c>
      <c r="AC3252" s="5">
        <v>2463</v>
      </c>
      <c r="AD3252" s="1" t="s">
        <v>7249</v>
      </c>
      <c r="AE3252" s="1" t="str">
        <f t="shared" si="227"/>
        <v>55841 A01</v>
      </c>
      <c r="AF3252" s="14">
        <f>MID(AD3252,FIND("(",AD3252)+1,FIND(")",AD3252)-FIND("(",AD3252)-1)+270.3/2</f>
        <v>332.35</v>
      </c>
      <c r="AG3252" s="1" t="str">
        <f t="shared" si="226"/>
        <v>Y</v>
      </c>
    </row>
    <row r="3253" spans="1:33" x14ac:dyDescent="0.2">
      <c r="A3253" s="1" t="s">
        <v>1903</v>
      </c>
      <c r="B3253" s="1" t="s">
        <v>7247</v>
      </c>
      <c r="C3253" s="1">
        <v>55841</v>
      </c>
      <c r="D3253" s="1" t="s">
        <v>7250</v>
      </c>
      <c r="F3253" s="1">
        <v>2023</v>
      </c>
      <c r="G3253" s="1" t="s">
        <v>247</v>
      </c>
      <c r="H3253" s="1">
        <v>610268</v>
      </c>
      <c r="I3253" s="1">
        <v>9</v>
      </c>
      <c r="K3253" s="1" t="s">
        <v>170</v>
      </c>
      <c r="L3253" s="1" t="s">
        <v>1906</v>
      </c>
      <c r="M3253" s="1">
        <v>3</v>
      </c>
      <c r="N3253" s="1" t="s">
        <v>39</v>
      </c>
      <c r="O3253" s="1">
        <v>36.407800000000002</v>
      </c>
      <c r="P3253" s="1">
        <v>-114.9603</v>
      </c>
      <c r="Q3253" s="1" t="s">
        <v>7248</v>
      </c>
      <c r="R3253" s="1" t="s">
        <v>41</v>
      </c>
      <c r="T3253" s="1" t="s">
        <v>71</v>
      </c>
      <c r="U3253" s="1" t="s">
        <v>44</v>
      </c>
      <c r="X3253" s="1" t="s">
        <v>64</v>
      </c>
      <c r="AA3253" s="3">
        <v>37987</v>
      </c>
      <c r="AB3253" s="1" t="s">
        <v>46</v>
      </c>
      <c r="AC3253" s="5">
        <v>2463</v>
      </c>
      <c r="AD3253" s="1" t="s">
        <v>7251</v>
      </c>
      <c r="AE3253" s="1" t="str">
        <f t="shared" si="227"/>
        <v>55841 A03</v>
      </c>
      <c r="AF3253" s="14">
        <f>AF3252</f>
        <v>332.35</v>
      </c>
      <c r="AG3253" s="1" t="str">
        <f t="shared" si="226"/>
        <v>Y</v>
      </c>
    </row>
    <row r="3254" spans="1:33" x14ac:dyDescent="0.2">
      <c r="A3254" s="1" t="s">
        <v>370</v>
      </c>
      <c r="B3254" s="1" t="s">
        <v>7252</v>
      </c>
      <c r="C3254" s="1">
        <v>55847</v>
      </c>
      <c r="D3254" s="1" t="s">
        <v>7047</v>
      </c>
      <c r="F3254" s="1">
        <v>2023</v>
      </c>
      <c r="G3254" s="1" t="s">
        <v>247</v>
      </c>
      <c r="H3254" s="1">
        <v>606775</v>
      </c>
      <c r="I3254" s="1">
        <v>9</v>
      </c>
      <c r="K3254" s="1" t="s">
        <v>4843</v>
      </c>
      <c r="L3254" s="1" t="s">
        <v>4844</v>
      </c>
      <c r="M3254" s="1">
        <v>101</v>
      </c>
      <c r="N3254" s="1" t="s">
        <v>39</v>
      </c>
      <c r="O3254" s="1">
        <v>39.108800000000002</v>
      </c>
      <c r="P3254" s="1">
        <v>-121.6133</v>
      </c>
      <c r="Q3254" s="1" t="s">
        <v>4768</v>
      </c>
      <c r="R3254" s="1" t="s">
        <v>41</v>
      </c>
      <c r="T3254" s="1" t="s">
        <v>93</v>
      </c>
      <c r="U3254" s="1" t="s">
        <v>44</v>
      </c>
      <c r="X3254" s="1" t="s">
        <v>176</v>
      </c>
      <c r="AA3254" s="3">
        <v>37605</v>
      </c>
      <c r="AB3254" s="1" t="s">
        <v>46</v>
      </c>
      <c r="AC3254" s="5">
        <v>500</v>
      </c>
      <c r="AD3254" s="1" t="s">
        <v>7253</v>
      </c>
      <c r="AE3254" s="1" t="str">
        <f t="shared" si="227"/>
        <v>55847 UNIT1</v>
      </c>
      <c r="AF3254" s="5" t="str">
        <f>MID(AD3254,FIND("(",AD3254)+1,FIND(")",AD3254)-FIND("(",AD3254)-1)</f>
        <v>47</v>
      </c>
      <c r="AG3254" s="1" t="str">
        <f t="shared" si="226"/>
        <v>Y</v>
      </c>
    </row>
    <row r="3255" spans="1:33" x14ac:dyDescent="0.2">
      <c r="A3255" s="1" t="s">
        <v>370</v>
      </c>
      <c r="B3255" s="1" t="s">
        <v>7254</v>
      </c>
      <c r="C3255" s="1">
        <v>55855</v>
      </c>
      <c r="D3255" s="1" t="s">
        <v>7047</v>
      </c>
      <c r="F3255" s="1">
        <v>2023</v>
      </c>
      <c r="G3255" s="1" t="s">
        <v>247</v>
      </c>
      <c r="H3255" s="1">
        <v>606775</v>
      </c>
      <c r="I3255" s="1">
        <v>9</v>
      </c>
      <c r="K3255" s="1" t="s">
        <v>6921</v>
      </c>
      <c r="L3255" s="1" t="s">
        <v>6922</v>
      </c>
      <c r="M3255" s="1">
        <v>95</v>
      </c>
      <c r="N3255" s="1" t="s">
        <v>39</v>
      </c>
      <c r="O3255" s="1">
        <v>38.228200000000001</v>
      </c>
      <c r="P3255" s="1">
        <v>-122.07599999999999</v>
      </c>
      <c r="Q3255" s="1" t="s">
        <v>7050</v>
      </c>
      <c r="R3255" s="1" t="s">
        <v>41</v>
      </c>
      <c r="T3255" s="1" t="s">
        <v>93</v>
      </c>
      <c r="U3255" s="1" t="s">
        <v>44</v>
      </c>
      <c r="X3255" s="1" t="s">
        <v>1608</v>
      </c>
      <c r="AA3255" s="3">
        <v>37629</v>
      </c>
      <c r="AB3255" s="1" t="s">
        <v>46</v>
      </c>
      <c r="AC3255" s="5">
        <v>500</v>
      </c>
      <c r="AD3255" s="1" t="s">
        <v>7253</v>
      </c>
      <c r="AE3255" s="1" t="str">
        <f t="shared" si="227"/>
        <v>55855 UNIT1</v>
      </c>
      <c r="AF3255" s="5" t="str">
        <f>MID(AD3255,FIND("(",AD3255)+1,FIND(")",AD3255)-FIND("(",AD3255)-1)</f>
        <v>47</v>
      </c>
      <c r="AG3255" s="1" t="str">
        <f t="shared" si="226"/>
        <v>Y</v>
      </c>
    </row>
    <row r="3256" spans="1:33" x14ac:dyDescent="0.2">
      <c r="A3256" s="1" t="s">
        <v>458</v>
      </c>
      <c r="B3256" s="1" t="s">
        <v>7255</v>
      </c>
      <c r="C3256" s="1">
        <v>55856</v>
      </c>
      <c r="D3256" s="1">
        <v>1</v>
      </c>
      <c r="F3256" s="1">
        <v>2023</v>
      </c>
      <c r="G3256" s="1" t="s">
        <v>1005</v>
      </c>
      <c r="H3256" s="1">
        <v>732</v>
      </c>
      <c r="I3256" s="1">
        <v>5</v>
      </c>
      <c r="K3256" s="1" t="s">
        <v>196</v>
      </c>
      <c r="L3256" s="1" t="s">
        <v>7256</v>
      </c>
      <c r="M3256" s="1">
        <v>189</v>
      </c>
      <c r="N3256" s="1" t="s">
        <v>39</v>
      </c>
      <c r="O3256" s="1">
        <v>38.279200000000003</v>
      </c>
      <c r="P3256" s="1">
        <v>-89.667000000000002</v>
      </c>
      <c r="Q3256" s="1" t="s">
        <v>7257</v>
      </c>
      <c r="R3256" s="1" t="s">
        <v>41</v>
      </c>
      <c r="T3256" s="1" t="s">
        <v>89</v>
      </c>
      <c r="U3256" s="1" t="s">
        <v>55</v>
      </c>
      <c r="W3256" s="1" t="s">
        <v>241</v>
      </c>
      <c r="X3256" s="1" t="s">
        <v>223</v>
      </c>
      <c r="Y3256" s="1" t="s">
        <v>7258</v>
      </c>
      <c r="Z3256" s="1" t="s">
        <v>344</v>
      </c>
      <c r="AA3256" s="3">
        <v>40824</v>
      </c>
      <c r="AB3256" s="1" t="s">
        <v>46</v>
      </c>
      <c r="AC3256" s="5">
        <v>10000</v>
      </c>
      <c r="AD3256" s="1" t="s">
        <v>7259</v>
      </c>
      <c r="AE3256" s="1" t="str">
        <f t="shared" si="227"/>
        <v>55856 1</v>
      </c>
      <c r="AF3256" s="5" t="str">
        <f>MID(AD3256,FIND("(",AD3256)+1,FIND(")",AD3256)-FIND("(",AD3256)-1)</f>
        <v>877.2</v>
      </c>
      <c r="AG3256" s="1" t="str">
        <f t="shared" si="226"/>
        <v>Y</v>
      </c>
    </row>
    <row r="3257" spans="1:33" x14ac:dyDescent="0.2">
      <c r="A3257" s="1" t="s">
        <v>458</v>
      </c>
      <c r="B3257" s="1" t="s">
        <v>7255</v>
      </c>
      <c r="C3257" s="1">
        <v>55856</v>
      </c>
      <c r="D3257" s="1">
        <v>2</v>
      </c>
      <c r="F3257" s="1">
        <v>2023</v>
      </c>
      <c r="G3257" s="1" t="s">
        <v>1005</v>
      </c>
      <c r="H3257" s="1">
        <v>732</v>
      </c>
      <c r="I3257" s="1">
        <v>5</v>
      </c>
      <c r="K3257" s="1" t="s">
        <v>196</v>
      </c>
      <c r="L3257" s="1" t="s">
        <v>7256</v>
      </c>
      <c r="M3257" s="1">
        <v>189</v>
      </c>
      <c r="N3257" s="1" t="s">
        <v>39</v>
      </c>
      <c r="O3257" s="1">
        <v>38.279200000000003</v>
      </c>
      <c r="P3257" s="1">
        <v>-89.667000000000002</v>
      </c>
      <c r="Q3257" s="1" t="s">
        <v>7257</v>
      </c>
      <c r="R3257" s="1" t="s">
        <v>41</v>
      </c>
      <c r="T3257" s="1" t="s">
        <v>89</v>
      </c>
      <c r="U3257" s="1" t="s">
        <v>55</v>
      </c>
      <c r="W3257" s="1" t="s">
        <v>241</v>
      </c>
      <c r="X3257" s="1" t="s">
        <v>223</v>
      </c>
      <c r="Y3257" s="1" t="s">
        <v>7258</v>
      </c>
      <c r="Z3257" s="1" t="s">
        <v>344</v>
      </c>
      <c r="AA3257" s="3">
        <v>40934</v>
      </c>
      <c r="AB3257" s="1" t="s">
        <v>46</v>
      </c>
      <c r="AC3257" s="5">
        <v>10000</v>
      </c>
      <c r="AD3257" s="1" t="s">
        <v>7260</v>
      </c>
      <c r="AE3257" s="1" t="str">
        <f t="shared" si="227"/>
        <v>55856 2</v>
      </c>
      <c r="AF3257" s="5" t="str">
        <f>MID(AD3257,FIND("(",AD3257)+1,FIND(")",AD3257)-FIND("(",AD3257)-1)</f>
        <v>877.2</v>
      </c>
      <c r="AG3257" s="1" t="str">
        <f t="shared" si="226"/>
        <v>Y</v>
      </c>
    </row>
    <row r="3258" spans="1:33" x14ac:dyDescent="0.2">
      <c r="A3258" s="1" t="s">
        <v>291</v>
      </c>
      <c r="B3258" s="1" t="s">
        <v>7261</v>
      </c>
      <c r="C3258" s="1">
        <v>55927</v>
      </c>
      <c r="D3258" s="1" t="s">
        <v>993</v>
      </c>
      <c r="F3258" s="1">
        <v>2023</v>
      </c>
      <c r="G3258" s="1" t="s">
        <v>2690</v>
      </c>
      <c r="H3258" s="1">
        <v>609991</v>
      </c>
      <c r="I3258" s="1">
        <v>4</v>
      </c>
      <c r="K3258" s="1" t="s">
        <v>3326</v>
      </c>
      <c r="L3258" s="1" t="s">
        <v>7262</v>
      </c>
      <c r="M3258" s="1">
        <v>53</v>
      </c>
      <c r="N3258" s="1" t="s">
        <v>39</v>
      </c>
      <c r="O3258" s="1">
        <v>32.359200000000001</v>
      </c>
      <c r="P3258" s="1">
        <v>-81.123599999999996</v>
      </c>
      <c r="Q3258" s="1" t="s">
        <v>2707</v>
      </c>
      <c r="R3258" s="1" t="s">
        <v>41</v>
      </c>
      <c r="T3258" s="1" t="s">
        <v>71</v>
      </c>
      <c r="U3258" s="1" t="s">
        <v>44</v>
      </c>
      <c r="V3258" s="1" t="s">
        <v>94</v>
      </c>
      <c r="X3258" s="1" t="s">
        <v>7263</v>
      </c>
      <c r="AA3258" s="3">
        <v>37943</v>
      </c>
      <c r="AB3258" s="1" t="s">
        <v>46</v>
      </c>
      <c r="AC3258" s="5">
        <v>2448.5</v>
      </c>
      <c r="AD3258" s="1" t="s">
        <v>7264</v>
      </c>
      <c r="AE3258" s="1" t="str">
        <f t="shared" si="227"/>
        <v>55927 CT01</v>
      </c>
      <c r="AF3258" s="14">
        <f>MID(AD3258,FIND("(",AD3258)+1,FIND(")",AD3258)-FIND("(",AD3258)-1)+405/3</f>
        <v>333.9</v>
      </c>
      <c r="AG3258" s="1" t="str">
        <f t="shared" si="226"/>
        <v/>
      </c>
    </row>
    <row r="3259" spans="1:33" x14ac:dyDescent="0.2">
      <c r="A3259" s="1" t="s">
        <v>291</v>
      </c>
      <c r="B3259" s="1" t="s">
        <v>7261</v>
      </c>
      <c r="C3259" s="1">
        <v>55927</v>
      </c>
      <c r="D3259" s="1" t="s">
        <v>998</v>
      </c>
      <c r="F3259" s="1">
        <v>2023</v>
      </c>
      <c r="G3259" s="1" t="s">
        <v>2690</v>
      </c>
      <c r="H3259" s="1">
        <v>609991</v>
      </c>
      <c r="I3259" s="1">
        <v>4</v>
      </c>
      <c r="K3259" s="1" t="s">
        <v>3326</v>
      </c>
      <c r="L3259" s="1" t="s">
        <v>7262</v>
      </c>
      <c r="M3259" s="1">
        <v>53</v>
      </c>
      <c r="N3259" s="1" t="s">
        <v>39</v>
      </c>
      <c r="O3259" s="1">
        <v>32.359200000000001</v>
      </c>
      <c r="P3259" s="1">
        <v>-81.123599999999996</v>
      </c>
      <c r="Q3259" s="1" t="s">
        <v>2707</v>
      </c>
      <c r="R3259" s="1" t="s">
        <v>41</v>
      </c>
      <c r="T3259" s="1" t="s">
        <v>71</v>
      </c>
      <c r="U3259" s="1" t="s">
        <v>44</v>
      </c>
      <c r="V3259" s="1" t="s">
        <v>94</v>
      </c>
      <c r="X3259" s="1" t="s">
        <v>7263</v>
      </c>
      <c r="AA3259" s="3">
        <v>37950</v>
      </c>
      <c r="AB3259" s="1" t="s">
        <v>46</v>
      </c>
      <c r="AC3259" s="5">
        <v>2448.5</v>
      </c>
      <c r="AD3259" s="1" t="s">
        <v>7265</v>
      </c>
      <c r="AE3259" s="1" t="str">
        <f t="shared" si="227"/>
        <v>55927 CT02</v>
      </c>
      <c r="AF3259" s="14">
        <f>AF3258</f>
        <v>333.9</v>
      </c>
      <c r="AG3259" s="1" t="str">
        <f t="shared" si="226"/>
        <v/>
      </c>
    </row>
    <row r="3260" spans="1:33" x14ac:dyDescent="0.2">
      <c r="A3260" s="1" t="s">
        <v>291</v>
      </c>
      <c r="B3260" s="1" t="s">
        <v>7261</v>
      </c>
      <c r="C3260" s="1">
        <v>55927</v>
      </c>
      <c r="D3260" s="1" t="s">
        <v>1043</v>
      </c>
      <c r="F3260" s="1">
        <v>2023</v>
      </c>
      <c r="G3260" s="1" t="s">
        <v>2690</v>
      </c>
      <c r="H3260" s="1">
        <v>609991</v>
      </c>
      <c r="I3260" s="1">
        <v>4</v>
      </c>
      <c r="K3260" s="1" t="s">
        <v>3326</v>
      </c>
      <c r="L3260" s="1" t="s">
        <v>7262</v>
      </c>
      <c r="M3260" s="1">
        <v>53</v>
      </c>
      <c r="N3260" s="1" t="s">
        <v>39</v>
      </c>
      <c r="O3260" s="1">
        <v>32.359200000000001</v>
      </c>
      <c r="P3260" s="1">
        <v>-81.123599999999996</v>
      </c>
      <c r="Q3260" s="1" t="s">
        <v>2707</v>
      </c>
      <c r="R3260" s="1" t="s">
        <v>41</v>
      </c>
      <c r="T3260" s="1" t="s">
        <v>71</v>
      </c>
      <c r="U3260" s="1" t="s">
        <v>44</v>
      </c>
      <c r="V3260" s="1" t="s">
        <v>94</v>
      </c>
      <c r="X3260" s="1" t="s">
        <v>7263</v>
      </c>
      <c r="AA3260" s="3">
        <v>37960</v>
      </c>
      <c r="AB3260" s="1" t="s">
        <v>46</v>
      </c>
      <c r="AC3260" s="5">
        <v>2448.5</v>
      </c>
      <c r="AD3260" s="1" t="s">
        <v>7266</v>
      </c>
      <c r="AE3260" s="1" t="str">
        <f t="shared" si="227"/>
        <v>55927 CT03</v>
      </c>
      <c r="AF3260" s="14">
        <f>AF3258</f>
        <v>333.9</v>
      </c>
      <c r="AG3260" s="1" t="str">
        <f t="shared" si="226"/>
        <v/>
      </c>
    </row>
    <row r="3261" spans="1:33" x14ac:dyDescent="0.2">
      <c r="A3261" s="1" t="s">
        <v>370</v>
      </c>
      <c r="B3261" s="1" t="s">
        <v>7267</v>
      </c>
      <c r="C3261" s="1">
        <v>55933</v>
      </c>
      <c r="D3261" s="1" t="s">
        <v>7268</v>
      </c>
      <c r="F3261" s="1">
        <v>2023</v>
      </c>
      <c r="G3261" s="1" t="s">
        <v>247</v>
      </c>
      <c r="H3261" s="1">
        <v>609325</v>
      </c>
      <c r="I3261" s="1">
        <v>9</v>
      </c>
      <c r="K3261" s="1" t="s">
        <v>4114</v>
      </c>
      <c r="L3261" s="1" t="s">
        <v>4115</v>
      </c>
      <c r="M3261" s="1">
        <v>77</v>
      </c>
      <c r="N3261" s="1" t="s">
        <v>39</v>
      </c>
      <c r="O3261" s="1">
        <v>37.710700000000003</v>
      </c>
      <c r="P3261" s="1">
        <v>-121.4906</v>
      </c>
      <c r="Q3261" s="1" t="s">
        <v>7142</v>
      </c>
      <c r="R3261" s="1" t="s">
        <v>41</v>
      </c>
      <c r="T3261" s="1" t="s">
        <v>71</v>
      </c>
      <c r="U3261" s="1" t="s">
        <v>44</v>
      </c>
      <c r="X3261" s="1" t="s">
        <v>858</v>
      </c>
      <c r="AA3261" s="3">
        <v>37713</v>
      </c>
      <c r="AB3261" s="1" t="s">
        <v>46</v>
      </c>
      <c r="AC3261" s="5">
        <v>1415</v>
      </c>
      <c r="AD3261" s="1" t="s">
        <v>7269</v>
      </c>
      <c r="AE3261" s="1" t="str">
        <f t="shared" si="227"/>
        <v>55933 TPP1</v>
      </c>
      <c r="AF3261" s="14">
        <f>MID(AD3261,FIND("(",AD3261)+1,FIND(")",AD3261)-FIND("(",AD3261)-1)+167.3/2</f>
        <v>168.05</v>
      </c>
      <c r="AG3261" s="1" t="str">
        <f t="shared" si="226"/>
        <v>Y</v>
      </c>
    </row>
    <row r="3262" spans="1:33" x14ac:dyDescent="0.2">
      <c r="A3262" s="1" t="s">
        <v>370</v>
      </c>
      <c r="B3262" s="1" t="s">
        <v>7267</v>
      </c>
      <c r="C3262" s="1">
        <v>55933</v>
      </c>
      <c r="D3262" s="1" t="s">
        <v>7270</v>
      </c>
      <c r="F3262" s="1">
        <v>2023</v>
      </c>
      <c r="G3262" s="1" t="s">
        <v>247</v>
      </c>
      <c r="H3262" s="1">
        <v>609325</v>
      </c>
      <c r="I3262" s="1">
        <v>9</v>
      </c>
      <c r="K3262" s="1" t="s">
        <v>4114</v>
      </c>
      <c r="L3262" s="1" t="s">
        <v>4115</v>
      </c>
      <c r="M3262" s="1">
        <v>77</v>
      </c>
      <c r="N3262" s="1" t="s">
        <v>39</v>
      </c>
      <c r="O3262" s="1">
        <v>37.710700000000003</v>
      </c>
      <c r="P3262" s="1">
        <v>-121.4906</v>
      </c>
      <c r="Q3262" s="1" t="s">
        <v>7142</v>
      </c>
      <c r="R3262" s="1" t="s">
        <v>41</v>
      </c>
      <c r="T3262" s="1" t="s">
        <v>71</v>
      </c>
      <c r="U3262" s="1" t="s">
        <v>44</v>
      </c>
      <c r="X3262" s="1" t="s">
        <v>858</v>
      </c>
      <c r="AA3262" s="3">
        <v>37713</v>
      </c>
      <c r="AB3262" s="1" t="s">
        <v>46</v>
      </c>
      <c r="AC3262" s="5">
        <v>1415</v>
      </c>
      <c r="AD3262" s="1" t="s">
        <v>7271</v>
      </c>
      <c r="AE3262" s="1" t="str">
        <f t="shared" si="227"/>
        <v>55933 TPP2</v>
      </c>
      <c r="AF3262" s="14">
        <f>AF3261</f>
        <v>168.05</v>
      </c>
      <c r="AG3262" s="1" t="str">
        <f t="shared" si="226"/>
        <v>Y</v>
      </c>
    </row>
    <row r="3263" spans="1:33" x14ac:dyDescent="0.2">
      <c r="A3263" s="1" t="s">
        <v>458</v>
      </c>
      <c r="B3263" s="1" t="s">
        <v>7272</v>
      </c>
      <c r="C3263" s="1">
        <v>55936</v>
      </c>
      <c r="D3263" s="1" t="s">
        <v>3858</v>
      </c>
      <c r="F3263" s="1">
        <v>2023</v>
      </c>
      <c r="G3263" s="1" t="s">
        <v>461</v>
      </c>
      <c r="H3263" s="1">
        <v>605624</v>
      </c>
      <c r="I3263" s="1">
        <v>5</v>
      </c>
      <c r="K3263" s="1" t="s">
        <v>5740</v>
      </c>
      <c r="L3263" s="1" t="s">
        <v>6169</v>
      </c>
      <c r="M3263" s="1">
        <v>201</v>
      </c>
      <c r="N3263" s="1" t="s">
        <v>39</v>
      </c>
      <c r="O3263" s="1">
        <v>42.238300000000002</v>
      </c>
      <c r="P3263" s="1">
        <v>-89.101399999999998</v>
      </c>
      <c r="Q3263" s="1" t="s">
        <v>6170</v>
      </c>
      <c r="R3263" s="1" t="s">
        <v>41</v>
      </c>
      <c r="T3263" s="1" t="s">
        <v>93</v>
      </c>
      <c r="U3263" s="1" t="s">
        <v>44</v>
      </c>
      <c r="X3263" s="1" t="s">
        <v>140</v>
      </c>
      <c r="AA3263" s="3">
        <v>37389</v>
      </c>
      <c r="AB3263" s="1" t="s">
        <v>46</v>
      </c>
      <c r="AC3263" s="5">
        <v>1721.9</v>
      </c>
      <c r="AD3263" s="1" t="s">
        <v>7273</v>
      </c>
      <c r="AE3263" s="1" t="str">
        <f t="shared" si="227"/>
        <v>55936 U1</v>
      </c>
      <c r="AF3263" s="5" t="str">
        <f>MID(AD3263,FIND("(",AD3263)+1,FIND(")",AD3263)-FIND("(",AD3263)-1)</f>
        <v>166.5</v>
      </c>
      <c r="AG3263" s="1" t="str">
        <f t="shared" si="226"/>
        <v/>
      </c>
    </row>
    <row r="3264" spans="1:33" x14ac:dyDescent="0.2">
      <c r="A3264" s="1" t="s">
        <v>1980</v>
      </c>
      <c r="B3264" s="1" t="s">
        <v>7274</v>
      </c>
      <c r="C3264" s="1">
        <v>55938</v>
      </c>
      <c r="D3264" s="1" t="s">
        <v>7275</v>
      </c>
      <c r="F3264" s="1">
        <v>2023</v>
      </c>
      <c r="G3264" s="1" t="s">
        <v>1515</v>
      </c>
      <c r="H3264" s="1" t="s">
        <v>5368</v>
      </c>
      <c r="I3264" s="1">
        <v>2</v>
      </c>
      <c r="K3264" s="1" t="s">
        <v>3888</v>
      </c>
      <c r="L3264" s="1" t="s">
        <v>3889</v>
      </c>
      <c r="M3264" s="1">
        <v>29</v>
      </c>
      <c r="N3264" s="1" t="s">
        <v>39</v>
      </c>
      <c r="O3264" s="1">
        <v>40.060600000000001</v>
      </c>
      <c r="P3264" s="1">
        <v>-74.167199999999994</v>
      </c>
      <c r="Q3264" s="1" t="s">
        <v>7276</v>
      </c>
      <c r="R3264" s="1" t="s">
        <v>41</v>
      </c>
      <c r="T3264" s="1" t="s">
        <v>93</v>
      </c>
      <c r="U3264" s="1" t="s">
        <v>44</v>
      </c>
      <c r="X3264" s="1" t="s">
        <v>140</v>
      </c>
      <c r="AA3264" s="3">
        <v>37629</v>
      </c>
      <c r="AB3264" s="1" t="s">
        <v>46</v>
      </c>
      <c r="AC3264" s="5">
        <v>1959</v>
      </c>
      <c r="AD3264" s="1" t="s">
        <v>7277</v>
      </c>
      <c r="AE3264" s="1" t="str">
        <f t="shared" si="227"/>
        <v>55938 OPP3</v>
      </c>
      <c r="AF3264" s="5" t="str">
        <f>MID(AD3264,FIND("(",AD3264)+1,FIND(")",AD3264)-FIND("(",AD3264)-1)</f>
        <v>194</v>
      </c>
      <c r="AG3264" s="1" t="str">
        <f t="shared" si="226"/>
        <v/>
      </c>
    </row>
    <row r="3265" spans="1:33" x14ac:dyDescent="0.2">
      <c r="A3265" s="1" t="s">
        <v>1980</v>
      </c>
      <c r="B3265" s="1" t="s">
        <v>7274</v>
      </c>
      <c r="C3265" s="1">
        <v>55938</v>
      </c>
      <c r="D3265" s="1" t="s">
        <v>7278</v>
      </c>
      <c r="F3265" s="1">
        <v>2023</v>
      </c>
      <c r="G3265" s="1" t="s">
        <v>1515</v>
      </c>
      <c r="H3265" s="1" t="s">
        <v>5368</v>
      </c>
      <c r="I3265" s="1">
        <v>2</v>
      </c>
      <c r="K3265" s="1" t="s">
        <v>3888</v>
      </c>
      <c r="L3265" s="1" t="s">
        <v>3889</v>
      </c>
      <c r="M3265" s="1">
        <v>29</v>
      </c>
      <c r="N3265" s="1" t="s">
        <v>39</v>
      </c>
      <c r="O3265" s="1">
        <v>40.060600000000001</v>
      </c>
      <c r="P3265" s="1">
        <v>-74.167199999999994</v>
      </c>
      <c r="Q3265" s="1" t="s">
        <v>7276</v>
      </c>
      <c r="R3265" s="1" t="s">
        <v>41</v>
      </c>
      <c r="T3265" s="1" t="s">
        <v>93</v>
      </c>
      <c r="U3265" s="1" t="s">
        <v>44</v>
      </c>
      <c r="X3265" s="1" t="s">
        <v>140</v>
      </c>
      <c r="AA3265" s="3">
        <v>37707</v>
      </c>
      <c r="AB3265" s="1" t="s">
        <v>46</v>
      </c>
      <c r="AC3265" s="5">
        <v>1959</v>
      </c>
      <c r="AD3265" s="1" t="s">
        <v>7279</v>
      </c>
      <c r="AE3265" s="1" t="str">
        <f t="shared" si="227"/>
        <v>55938 OPP4</v>
      </c>
      <c r="AF3265" s="5" t="str">
        <f>MID(AD3265,FIND("(",AD3265)+1,FIND(")",AD3265)-FIND("(",AD3265)-1)</f>
        <v>194</v>
      </c>
      <c r="AG3265" s="1" t="str">
        <f t="shared" si="226"/>
        <v/>
      </c>
    </row>
    <row r="3266" spans="1:33" x14ac:dyDescent="0.2">
      <c r="A3266" s="1" t="s">
        <v>3095</v>
      </c>
      <c r="B3266" s="1" t="s">
        <v>7280</v>
      </c>
      <c r="C3266" s="1">
        <v>55939</v>
      </c>
      <c r="D3266" s="1" t="s">
        <v>372</v>
      </c>
      <c r="F3266" s="1">
        <v>2023</v>
      </c>
      <c r="G3266" s="1" t="s">
        <v>1515</v>
      </c>
      <c r="H3266" s="1">
        <v>1525</v>
      </c>
      <c r="I3266" s="1">
        <v>3</v>
      </c>
      <c r="K3266" s="1" t="s">
        <v>1743</v>
      </c>
      <c r="L3266" s="1" t="s">
        <v>7281</v>
      </c>
      <c r="M3266" s="1">
        <v>187</v>
      </c>
      <c r="N3266" s="1" t="s">
        <v>39</v>
      </c>
      <c r="O3266" s="1">
        <v>38.970500000000001</v>
      </c>
      <c r="P3266" s="1">
        <v>-78.177700000000002</v>
      </c>
      <c r="Q3266" s="1" t="s">
        <v>3112</v>
      </c>
      <c r="R3266" s="1" t="s">
        <v>41</v>
      </c>
      <c r="T3266" s="1" t="s">
        <v>71</v>
      </c>
      <c r="U3266" s="1" t="s">
        <v>44</v>
      </c>
      <c r="X3266" s="1" t="s">
        <v>64</v>
      </c>
      <c r="AA3266" s="3">
        <v>41896</v>
      </c>
      <c r="AB3266" s="1" t="s">
        <v>46</v>
      </c>
      <c r="AC3266" s="5">
        <v>3496</v>
      </c>
      <c r="AD3266" s="1" t="s">
        <v>7282</v>
      </c>
      <c r="AE3266" s="1" t="str">
        <f t="shared" si="227"/>
        <v>55939 1A</v>
      </c>
      <c r="AF3266" s="14">
        <f>AF3268</f>
        <v>443</v>
      </c>
      <c r="AG3266" s="1" t="str">
        <f t="shared" ref="AG3266:AG3329" si="229">IF(ISNUMBER(SEARCH("selective", X3266)), "Y", "")</f>
        <v>Y</v>
      </c>
    </row>
    <row r="3267" spans="1:33" x14ac:dyDescent="0.2">
      <c r="A3267" s="1" t="s">
        <v>3095</v>
      </c>
      <c r="B3267" s="1" t="s">
        <v>7280</v>
      </c>
      <c r="C3267" s="1">
        <v>55939</v>
      </c>
      <c r="D3267" s="1" t="s">
        <v>1199</v>
      </c>
      <c r="F3267" s="1">
        <v>2023</v>
      </c>
      <c r="G3267" s="1" t="s">
        <v>1515</v>
      </c>
      <c r="H3267" s="1">
        <v>1525</v>
      </c>
      <c r="I3267" s="1">
        <v>3</v>
      </c>
      <c r="K3267" s="1" t="s">
        <v>1743</v>
      </c>
      <c r="L3267" s="1" t="s">
        <v>7281</v>
      </c>
      <c r="M3267" s="1">
        <v>187</v>
      </c>
      <c r="N3267" s="1" t="s">
        <v>39</v>
      </c>
      <c r="O3267" s="1">
        <v>38.970500000000001</v>
      </c>
      <c r="P3267" s="1">
        <v>-78.177700000000002</v>
      </c>
      <c r="Q3267" s="1" t="s">
        <v>3112</v>
      </c>
      <c r="R3267" s="1" t="s">
        <v>41</v>
      </c>
      <c r="T3267" s="1" t="s">
        <v>71</v>
      </c>
      <c r="U3267" s="1" t="s">
        <v>44</v>
      </c>
      <c r="X3267" s="1" t="s">
        <v>64</v>
      </c>
      <c r="AA3267" s="3">
        <v>41879</v>
      </c>
      <c r="AB3267" s="1" t="s">
        <v>46</v>
      </c>
      <c r="AC3267" s="5">
        <v>3496</v>
      </c>
      <c r="AD3267" s="1" t="s">
        <v>7283</v>
      </c>
      <c r="AE3267" s="1" t="str">
        <f t="shared" ref="AE3267:AE3330" si="230">C3267&amp;" "&amp;D3267</f>
        <v>55939 1B</v>
      </c>
      <c r="AF3267" s="14">
        <f>AF3268</f>
        <v>443</v>
      </c>
      <c r="AG3267" s="1" t="str">
        <f t="shared" si="229"/>
        <v>Y</v>
      </c>
    </row>
    <row r="3268" spans="1:33" x14ac:dyDescent="0.2">
      <c r="A3268" s="1" t="s">
        <v>3095</v>
      </c>
      <c r="B3268" s="1" t="s">
        <v>7280</v>
      </c>
      <c r="C3268" s="1">
        <v>55939</v>
      </c>
      <c r="D3268" s="1" t="s">
        <v>3753</v>
      </c>
      <c r="F3268" s="1">
        <v>2023</v>
      </c>
      <c r="G3268" s="1" t="s">
        <v>1515</v>
      </c>
      <c r="H3268" s="1">
        <v>1525</v>
      </c>
      <c r="I3268" s="1">
        <v>3</v>
      </c>
      <c r="K3268" s="1" t="s">
        <v>1743</v>
      </c>
      <c r="L3268" s="1" t="s">
        <v>7281</v>
      </c>
      <c r="M3268" s="1">
        <v>187</v>
      </c>
      <c r="N3268" s="1" t="s">
        <v>39</v>
      </c>
      <c r="O3268" s="1">
        <v>38.970500000000001</v>
      </c>
      <c r="P3268" s="1">
        <v>-78.177700000000002</v>
      </c>
      <c r="Q3268" s="1" t="s">
        <v>3112</v>
      </c>
      <c r="R3268" s="1" t="s">
        <v>41</v>
      </c>
      <c r="T3268" s="1" t="s">
        <v>71</v>
      </c>
      <c r="U3268" s="1" t="s">
        <v>44</v>
      </c>
      <c r="X3268" s="1" t="s">
        <v>64</v>
      </c>
      <c r="AA3268" s="3">
        <v>41859</v>
      </c>
      <c r="AB3268" s="1" t="s">
        <v>46</v>
      </c>
      <c r="AC3268" s="5">
        <v>3496</v>
      </c>
      <c r="AD3268" s="1" t="s">
        <v>7284</v>
      </c>
      <c r="AE3268" s="1" t="str">
        <f t="shared" si="230"/>
        <v>55939 1C</v>
      </c>
      <c r="AF3268" s="14">
        <f>MID(AD3268,FIND("(",AD3268)+1,FIND(")",AD3268)-FIND("(",AD3268)-1)+561/3</f>
        <v>443</v>
      </c>
      <c r="AG3268" s="1" t="str">
        <f t="shared" si="229"/>
        <v>Y</v>
      </c>
    </row>
    <row r="3269" spans="1:33" x14ac:dyDescent="0.2">
      <c r="A3269" s="1" t="s">
        <v>370</v>
      </c>
      <c r="B3269" s="1" t="s">
        <v>7285</v>
      </c>
      <c r="C3269" s="1">
        <v>55951</v>
      </c>
      <c r="D3269" s="1" t="s">
        <v>7286</v>
      </c>
      <c r="F3269" s="1">
        <v>2023</v>
      </c>
      <c r="G3269" s="1" t="s">
        <v>247</v>
      </c>
      <c r="H3269" s="1">
        <v>602206</v>
      </c>
      <c r="I3269" s="1">
        <v>9</v>
      </c>
      <c r="K3269" s="1" t="s">
        <v>439</v>
      </c>
      <c r="L3269" s="1" t="s">
        <v>440</v>
      </c>
      <c r="M3269" s="1">
        <v>71</v>
      </c>
      <c r="N3269" s="1" t="s">
        <v>39</v>
      </c>
      <c r="O3269" s="1">
        <v>34.041400000000003</v>
      </c>
      <c r="P3269" s="1">
        <v>-117.3603</v>
      </c>
      <c r="Q3269" s="1" t="s">
        <v>7287</v>
      </c>
      <c r="R3269" s="1" t="s">
        <v>41</v>
      </c>
      <c r="T3269" s="1" t="s">
        <v>93</v>
      </c>
      <c r="U3269" s="1" t="s">
        <v>44</v>
      </c>
      <c r="X3269" s="1" t="s">
        <v>176</v>
      </c>
      <c r="AA3269" s="3">
        <v>37780</v>
      </c>
      <c r="AB3269" s="1" t="s">
        <v>46</v>
      </c>
      <c r="AC3269" s="5">
        <v>470</v>
      </c>
      <c r="AD3269" s="1" t="s">
        <v>7288</v>
      </c>
      <c r="AE3269" s="1" t="str">
        <f t="shared" si="230"/>
        <v>55951 AMP-1</v>
      </c>
      <c r="AF3269" s="5" t="str">
        <f>MID(AD3269,FIND("(",AD3269)+1,FIND(")",AD3269)-FIND("(",AD3269)-1)</f>
        <v>60.5</v>
      </c>
      <c r="AG3269" s="1" t="str">
        <f t="shared" si="229"/>
        <v>Y</v>
      </c>
    </row>
    <row r="3270" spans="1:33" x14ac:dyDescent="0.2">
      <c r="A3270" s="1" t="s">
        <v>370</v>
      </c>
      <c r="B3270" s="1" t="s">
        <v>7289</v>
      </c>
      <c r="C3270" s="1">
        <v>55963</v>
      </c>
      <c r="D3270" s="1">
        <v>1</v>
      </c>
      <c r="F3270" s="1">
        <v>2023</v>
      </c>
      <c r="G3270" s="1" t="s">
        <v>247</v>
      </c>
      <c r="H3270" s="1">
        <v>606775</v>
      </c>
      <c r="I3270" s="1">
        <v>9</v>
      </c>
      <c r="K3270" s="1" t="s">
        <v>6007</v>
      </c>
      <c r="L3270" s="1" t="s">
        <v>6008</v>
      </c>
      <c r="M3270" s="1">
        <v>13</v>
      </c>
      <c r="N3270" s="1" t="s">
        <v>39</v>
      </c>
      <c r="O3270" s="1">
        <v>38.014499999999998</v>
      </c>
      <c r="P3270" s="1">
        <v>-121.7901</v>
      </c>
      <c r="Q3270" s="1" t="s">
        <v>4821</v>
      </c>
      <c r="R3270" s="1" t="s">
        <v>41</v>
      </c>
      <c r="T3270" s="1" t="s">
        <v>93</v>
      </c>
      <c r="U3270" s="1" t="s">
        <v>44</v>
      </c>
      <c r="X3270" s="1" t="s">
        <v>2111</v>
      </c>
      <c r="AA3270" s="3">
        <v>37730</v>
      </c>
      <c r="AB3270" s="1" t="s">
        <v>46</v>
      </c>
      <c r="AC3270" s="5">
        <v>500</v>
      </c>
      <c r="AD3270" s="1" t="s">
        <v>7253</v>
      </c>
      <c r="AE3270" s="1" t="str">
        <f t="shared" si="230"/>
        <v>55963 1</v>
      </c>
      <c r="AF3270" s="5" t="str">
        <f>MID(AD3270,FIND("(",AD3270)+1,FIND(")",AD3270)-FIND("(",AD3270)-1)</f>
        <v>47</v>
      </c>
      <c r="AG3270" s="1" t="str">
        <f t="shared" si="229"/>
        <v>Y</v>
      </c>
    </row>
    <row r="3271" spans="1:33" x14ac:dyDescent="0.2">
      <c r="A3271" s="1" t="s">
        <v>921</v>
      </c>
      <c r="B3271" s="1" t="s">
        <v>7290</v>
      </c>
      <c r="C3271" s="1">
        <v>55965</v>
      </c>
      <c r="D3271" s="1" t="s">
        <v>70</v>
      </c>
      <c r="F3271" s="1">
        <v>2023</v>
      </c>
      <c r="G3271" s="1" t="s">
        <v>952</v>
      </c>
      <c r="H3271" s="1" t="s">
        <v>4161</v>
      </c>
      <c r="I3271" s="1">
        <v>4</v>
      </c>
      <c r="K3271" s="1" t="s">
        <v>4509</v>
      </c>
      <c r="L3271" s="1" t="s">
        <v>4510</v>
      </c>
      <c r="M3271" s="1">
        <v>149</v>
      </c>
      <c r="N3271" s="1" t="s">
        <v>39</v>
      </c>
      <c r="O3271" s="1">
        <v>33.406300000000002</v>
      </c>
      <c r="P3271" s="1">
        <v>-85.037300000000002</v>
      </c>
      <c r="Q3271" s="1" t="s">
        <v>6295</v>
      </c>
      <c r="R3271" s="1" t="s">
        <v>41</v>
      </c>
      <c r="T3271" s="1" t="s">
        <v>71</v>
      </c>
      <c r="U3271" s="1" t="s">
        <v>44</v>
      </c>
      <c r="X3271" s="1" t="s">
        <v>64</v>
      </c>
      <c r="AA3271" s="3">
        <v>37238</v>
      </c>
      <c r="AB3271" s="1" t="s">
        <v>46</v>
      </c>
      <c r="AC3271" s="5">
        <v>2350</v>
      </c>
      <c r="AD3271" s="1" t="s">
        <v>7291</v>
      </c>
      <c r="AE3271" s="1" t="str">
        <f t="shared" si="230"/>
        <v>55965 6A</v>
      </c>
      <c r="AF3271" s="14">
        <f>AF3274</f>
        <v>309.75</v>
      </c>
      <c r="AG3271" s="1" t="str">
        <f t="shared" si="229"/>
        <v>Y</v>
      </c>
    </row>
    <row r="3272" spans="1:33" x14ac:dyDescent="0.2">
      <c r="A3272" s="1" t="s">
        <v>921</v>
      </c>
      <c r="B3272" s="1" t="s">
        <v>7290</v>
      </c>
      <c r="C3272" s="1">
        <v>55965</v>
      </c>
      <c r="D3272" s="1" t="s">
        <v>73</v>
      </c>
      <c r="F3272" s="1">
        <v>2023</v>
      </c>
      <c r="G3272" s="1" t="s">
        <v>952</v>
      </c>
      <c r="H3272" s="1" t="s">
        <v>4161</v>
      </c>
      <c r="I3272" s="1">
        <v>4</v>
      </c>
      <c r="K3272" s="1" t="s">
        <v>4509</v>
      </c>
      <c r="L3272" s="1" t="s">
        <v>4510</v>
      </c>
      <c r="M3272" s="1">
        <v>149</v>
      </c>
      <c r="N3272" s="1" t="s">
        <v>39</v>
      </c>
      <c r="O3272" s="1">
        <v>33.406300000000002</v>
      </c>
      <c r="P3272" s="1">
        <v>-85.037300000000002</v>
      </c>
      <c r="Q3272" s="1" t="s">
        <v>6295</v>
      </c>
      <c r="R3272" s="1" t="s">
        <v>41</v>
      </c>
      <c r="T3272" s="1" t="s">
        <v>71</v>
      </c>
      <c r="U3272" s="1" t="s">
        <v>44</v>
      </c>
      <c r="X3272" s="1" t="s">
        <v>64</v>
      </c>
      <c r="AA3272" s="3">
        <v>37238</v>
      </c>
      <c r="AB3272" s="1" t="s">
        <v>46</v>
      </c>
      <c r="AC3272" s="5">
        <v>2350</v>
      </c>
      <c r="AD3272" s="1" t="s">
        <v>7292</v>
      </c>
      <c r="AE3272" s="1" t="str">
        <f t="shared" si="230"/>
        <v>55965 6B</v>
      </c>
      <c r="AF3272" s="14">
        <f>AF3274</f>
        <v>309.75</v>
      </c>
      <c r="AG3272" s="1" t="str">
        <f t="shared" si="229"/>
        <v>Y</v>
      </c>
    </row>
    <row r="3273" spans="1:33" x14ac:dyDescent="0.2">
      <c r="A3273" s="1" t="s">
        <v>921</v>
      </c>
      <c r="B3273" s="1" t="s">
        <v>7290</v>
      </c>
      <c r="C3273" s="1">
        <v>55965</v>
      </c>
      <c r="D3273" s="1" t="s">
        <v>75</v>
      </c>
      <c r="F3273" s="1">
        <v>2023</v>
      </c>
      <c r="G3273" s="1" t="s">
        <v>952</v>
      </c>
      <c r="H3273" s="1" t="s">
        <v>4161</v>
      </c>
      <c r="I3273" s="1">
        <v>4</v>
      </c>
      <c r="K3273" s="1" t="s">
        <v>4509</v>
      </c>
      <c r="L3273" s="1" t="s">
        <v>4510</v>
      </c>
      <c r="M3273" s="1">
        <v>149</v>
      </c>
      <c r="N3273" s="1" t="s">
        <v>39</v>
      </c>
      <c r="O3273" s="1">
        <v>33.406300000000002</v>
      </c>
      <c r="P3273" s="1">
        <v>-85.037300000000002</v>
      </c>
      <c r="Q3273" s="1" t="s">
        <v>6295</v>
      </c>
      <c r="R3273" s="1" t="s">
        <v>41</v>
      </c>
      <c r="T3273" s="1" t="s">
        <v>71</v>
      </c>
      <c r="U3273" s="1" t="s">
        <v>44</v>
      </c>
      <c r="X3273" s="1" t="s">
        <v>64</v>
      </c>
      <c r="AA3273" s="3">
        <v>37238</v>
      </c>
      <c r="AB3273" s="1" t="s">
        <v>46</v>
      </c>
      <c r="AC3273" s="5">
        <v>2350</v>
      </c>
      <c r="AD3273" s="1" t="s">
        <v>7293</v>
      </c>
      <c r="AE3273" s="1" t="str">
        <f t="shared" si="230"/>
        <v>55965 7A</v>
      </c>
      <c r="AF3273" s="14">
        <f>AF3274</f>
        <v>309.75</v>
      </c>
      <c r="AG3273" s="1" t="str">
        <f t="shared" si="229"/>
        <v>Y</v>
      </c>
    </row>
    <row r="3274" spans="1:33" x14ac:dyDescent="0.2">
      <c r="A3274" s="1" t="s">
        <v>921</v>
      </c>
      <c r="B3274" s="1" t="s">
        <v>7290</v>
      </c>
      <c r="C3274" s="1">
        <v>55965</v>
      </c>
      <c r="D3274" s="1" t="s">
        <v>78</v>
      </c>
      <c r="F3274" s="1">
        <v>2023</v>
      </c>
      <c r="G3274" s="1" t="s">
        <v>952</v>
      </c>
      <c r="H3274" s="1" t="s">
        <v>4161</v>
      </c>
      <c r="I3274" s="1">
        <v>4</v>
      </c>
      <c r="K3274" s="1" t="s">
        <v>4509</v>
      </c>
      <c r="L3274" s="1" t="s">
        <v>4510</v>
      </c>
      <c r="M3274" s="1">
        <v>149</v>
      </c>
      <c r="N3274" s="1" t="s">
        <v>39</v>
      </c>
      <c r="O3274" s="1">
        <v>33.406300000000002</v>
      </c>
      <c r="P3274" s="1">
        <v>-85.037300000000002</v>
      </c>
      <c r="Q3274" s="1" t="s">
        <v>6295</v>
      </c>
      <c r="R3274" s="1" t="s">
        <v>41</v>
      </c>
      <c r="T3274" s="1" t="s">
        <v>71</v>
      </c>
      <c r="U3274" s="1" t="s">
        <v>44</v>
      </c>
      <c r="X3274" s="1" t="s">
        <v>64</v>
      </c>
      <c r="AA3274" s="3">
        <v>37238</v>
      </c>
      <c r="AB3274" s="1" t="s">
        <v>46</v>
      </c>
      <c r="AC3274" s="5">
        <v>2350</v>
      </c>
      <c r="AD3274" s="1" t="s">
        <v>7294</v>
      </c>
      <c r="AE3274" s="1" t="str">
        <f t="shared" si="230"/>
        <v>55965 7B</v>
      </c>
      <c r="AF3274" s="14">
        <f>MID(AD3274,FIND("(",AD3274)+1,FIND(")",AD3274)-FIND("(",AD3274)-1)+213.3/2</f>
        <v>309.75</v>
      </c>
      <c r="AG3274" s="1" t="str">
        <f t="shared" si="229"/>
        <v>Y</v>
      </c>
    </row>
    <row r="3275" spans="1:33" x14ac:dyDescent="0.2">
      <c r="A3275" s="1" t="s">
        <v>2089</v>
      </c>
      <c r="B3275" s="1" t="s">
        <v>7295</v>
      </c>
      <c r="C3275" s="1">
        <v>55969</v>
      </c>
      <c r="D3275" s="1" t="s">
        <v>7296</v>
      </c>
      <c r="F3275" s="1">
        <v>2023</v>
      </c>
      <c r="G3275" s="1" t="s">
        <v>1515</v>
      </c>
      <c r="H3275" s="1">
        <v>609564</v>
      </c>
      <c r="I3275" s="1">
        <v>2</v>
      </c>
      <c r="K3275" s="1" t="s">
        <v>2257</v>
      </c>
      <c r="L3275" s="1" t="s">
        <v>2258</v>
      </c>
      <c r="M3275" s="1">
        <v>103</v>
      </c>
      <c r="N3275" s="1" t="s">
        <v>39</v>
      </c>
      <c r="O3275" s="1">
        <v>41.105600000000003</v>
      </c>
      <c r="P3275" s="1">
        <v>-72.3767</v>
      </c>
      <c r="Q3275" s="1" t="s">
        <v>7297</v>
      </c>
      <c r="R3275" s="1" t="s">
        <v>41</v>
      </c>
      <c r="T3275" s="1" t="s">
        <v>93</v>
      </c>
      <c r="U3275" s="1" t="s">
        <v>94</v>
      </c>
      <c r="X3275" s="1" t="s">
        <v>176</v>
      </c>
      <c r="AA3275" s="3">
        <v>37795</v>
      </c>
      <c r="AB3275" s="1" t="s">
        <v>46</v>
      </c>
      <c r="AC3275" s="5">
        <v>560</v>
      </c>
      <c r="AD3275" s="1" t="s">
        <v>7298</v>
      </c>
      <c r="AE3275" s="1" t="str">
        <f t="shared" si="230"/>
        <v>55969 U-01</v>
      </c>
      <c r="AF3275" s="5" t="str">
        <f>MID(AD3275,FIND("(",AD3275)+1,FIND(")",AD3275)-FIND("(",AD3275)-1)</f>
        <v>54</v>
      </c>
      <c r="AG3275" s="1" t="str">
        <f t="shared" si="229"/>
        <v>Y</v>
      </c>
    </row>
    <row r="3276" spans="1:33" x14ac:dyDescent="0.2">
      <c r="A3276" s="1" t="s">
        <v>370</v>
      </c>
      <c r="B3276" s="1" t="s">
        <v>7299</v>
      </c>
      <c r="C3276" s="1">
        <v>55970</v>
      </c>
      <c r="D3276" s="1">
        <v>2</v>
      </c>
      <c r="F3276" s="1">
        <v>2023</v>
      </c>
      <c r="G3276" s="1" t="s">
        <v>247</v>
      </c>
      <c r="H3276" s="1">
        <v>610159</v>
      </c>
      <c r="I3276" s="1">
        <v>9</v>
      </c>
      <c r="J3276" s="1" t="s">
        <v>237</v>
      </c>
      <c r="K3276" s="1" t="s">
        <v>4131</v>
      </c>
      <c r="L3276" s="1" t="s">
        <v>4132</v>
      </c>
      <c r="M3276" s="1">
        <v>67</v>
      </c>
      <c r="N3276" s="1" t="s">
        <v>39</v>
      </c>
      <c r="O3276" s="1">
        <v>38.338299999999997</v>
      </c>
      <c r="P3276" s="1">
        <v>-121.12390000000001</v>
      </c>
      <c r="Q3276" s="1" t="s">
        <v>4133</v>
      </c>
      <c r="R3276" s="1" t="s">
        <v>41</v>
      </c>
      <c r="T3276" s="1" t="s">
        <v>71</v>
      </c>
      <c r="U3276" s="1" t="s">
        <v>288</v>
      </c>
      <c r="X3276" s="1" t="s">
        <v>64</v>
      </c>
      <c r="AA3276" s="3">
        <v>38726</v>
      </c>
      <c r="AB3276" s="1" t="s">
        <v>46</v>
      </c>
      <c r="AC3276" s="5">
        <v>2200</v>
      </c>
      <c r="AD3276" s="1" t="s">
        <v>7300</v>
      </c>
      <c r="AE3276" s="1" t="str">
        <f t="shared" si="230"/>
        <v>55970 2</v>
      </c>
      <c r="AF3276" s="14">
        <f>AF3277</f>
        <v>265</v>
      </c>
      <c r="AG3276" s="1" t="str">
        <f t="shared" si="229"/>
        <v>Y</v>
      </c>
    </row>
    <row r="3277" spans="1:33" x14ac:dyDescent="0.2">
      <c r="A3277" s="1" t="s">
        <v>370</v>
      </c>
      <c r="B3277" s="1" t="s">
        <v>7299</v>
      </c>
      <c r="C3277" s="1">
        <v>55970</v>
      </c>
      <c r="D3277" s="1">
        <v>3</v>
      </c>
      <c r="F3277" s="1">
        <v>2023</v>
      </c>
      <c r="G3277" s="1" t="s">
        <v>247</v>
      </c>
      <c r="H3277" s="1">
        <v>610159</v>
      </c>
      <c r="I3277" s="1">
        <v>9</v>
      </c>
      <c r="J3277" s="1" t="s">
        <v>237</v>
      </c>
      <c r="K3277" s="1" t="s">
        <v>4131</v>
      </c>
      <c r="L3277" s="1" t="s">
        <v>4132</v>
      </c>
      <c r="M3277" s="1">
        <v>67</v>
      </c>
      <c r="N3277" s="1" t="s">
        <v>39</v>
      </c>
      <c r="O3277" s="1">
        <v>38.338299999999997</v>
      </c>
      <c r="P3277" s="1">
        <v>-121.12390000000001</v>
      </c>
      <c r="Q3277" s="1" t="s">
        <v>4133</v>
      </c>
      <c r="R3277" s="1" t="s">
        <v>41</v>
      </c>
      <c r="T3277" s="1" t="s">
        <v>71</v>
      </c>
      <c r="U3277" s="1" t="s">
        <v>288</v>
      </c>
      <c r="X3277" s="1" t="s">
        <v>64</v>
      </c>
      <c r="AA3277" s="3">
        <v>38726</v>
      </c>
      <c r="AB3277" s="1" t="s">
        <v>46</v>
      </c>
      <c r="AC3277" s="5">
        <v>2200</v>
      </c>
      <c r="AD3277" s="1" t="s">
        <v>7301</v>
      </c>
      <c r="AE3277" s="1" t="str">
        <f t="shared" si="230"/>
        <v>55970 3</v>
      </c>
      <c r="AF3277" s="14">
        <f>MID(AD3277,FIND("(",AD3277)+1,FIND(")",AD3277)-FIND("(",AD3277)-1)+190/2</f>
        <v>265</v>
      </c>
      <c r="AG3277" s="1" t="str">
        <f t="shared" si="229"/>
        <v>Y</v>
      </c>
    </row>
    <row r="3278" spans="1:33" x14ac:dyDescent="0.2">
      <c r="A3278" s="1" t="s">
        <v>203</v>
      </c>
      <c r="B3278" s="1" t="s">
        <v>7302</v>
      </c>
      <c r="C3278" s="1">
        <v>55972</v>
      </c>
      <c r="D3278" s="1" t="s">
        <v>311</v>
      </c>
      <c r="F3278" s="1">
        <v>2023</v>
      </c>
      <c r="G3278" s="1" t="s">
        <v>1666</v>
      </c>
      <c r="H3278" s="1" t="s">
        <v>1882</v>
      </c>
      <c r="I3278" s="1">
        <v>7</v>
      </c>
      <c r="K3278" s="1" t="s">
        <v>1777</v>
      </c>
      <c r="L3278" s="1" t="s">
        <v>7303</v>
      </c>
      <c r="M3278" s="1">
        <v>25</v>
      </c>
      <c r="N3278" s="1" t="s">
        <v>39</v>
      </c>
      <c r="O3278" s="1">
        <v>40.947200000000002</v>
      </c>
      <c r="P3278" s="1">
        <v>-95.966700000000003</v>
      </c>
      <c r="Q3278" s="1" t="s">
        <v>1884</v>
      </c>
      <c r="R3278" s="1" t="s">
        <v>41</v>
      </c>
      <c r="T3278" s="1" t="s">
        <v>93</v>
      </c>
      <c r="U3278" s="1" t="s">
        <v>44</v>
      </c>
      <c r="X3278" s="1" t="s">
        <v>140</v>
      </c>
      <c r="AA3278" s="3">
        <v>37681</v>
      </c>
      <c r="AB3278" s="1" t="s">
        <v>46</v>
      </c>
      <c r="AC3278" s="5">
        <v>2065</v>
      </c>
      <c r="AD3278" s="1" t="s">
        <v>7304</v>
      </c>
      <c r="AE3278" s="1" t="str">
        <f t="shared" si="230"/>
        <v>55972 CT1</v>
      </c>
      <c r="AF3278" s="5" t="str">
        <f>MID(AD3278,FIND("(",AD3278)+1,FIND(")",AD3278)-FIND("(",AD3278)-1)</f>
        <v>173</v>
      </c>
      <c r="AG3278" s="1" t="str">
        <f t="shared" si="229"/>
        <v/>
      </c>
    </row>
    <row r="3279" spans="1:33" x14ac:dyDescent="0.2">
      <c r="A3279" s="1" t="s">
        <v>203</v>
      </c>
      <c r="B3279" s="1" t="s">
        <v>7302</v>
      </c>
      <c r="C3279" s="1">
        <v>55972</v>
      </c>
      <c r="D3279" s="1" t="s">
        <v>98</v>
      </c>
      <c r="F3279" s="1">
        <v>2023</v>
      </c>
      <c r="G3279" s="1" t="s">
        <v>1666</v>
      </c>
      <c r="H3279" s="1" t="s">
        <v>1882</v>
      </c>
      <c r="I3279" s="1">
        <v>7</v>
      </c>
      <c r="K3279" s="1" t="s">
        <v>1777</v>
      </c>
      <c r="L3279" s="1" t="s">
        <v>7303</v>
      </c>
      <c r="M3279" s="1">
        <v>25</v>
      </c>
      <c r="N3279" s="1" t="s">
        <v>39</v>
      </c>
      <c r="O3279" s="1">
        <v>40.947200000000002</v>
      </c>
      <c r="P3279" s="1">
        <v>-95.966700000000003</v>
      </c>
      <c r="Q3279" s="1" t="s">
        <v>1884</v>
      </c>
      <c r="R3279" s="1" t="s">
        <v>41</v>
      </c>
      <c r="T3279" s="1" t="s">
        <v>93</v>
      </c>
      <c r="U3279" s="1" t="s">
        <v>44</v>
      </c>
      <c r="X3279" s="1" t="s">
        <v>140</v>
      </c>
      <c r="AA3279" s="3">
        <v>37681</v>
      </c>
      <c r="AB3279" s="1" t="s">
        <v>46</v>
      </c>
      <c r="AC3279" s="5">
        <v>2065</v>
      </c>
      <c r="AD3279" s="1" t="s">
        <v>7305</v>
      </c>
      <c r="AE3279" s="1" t="str">
        <f t="shared" si="230"/>
        <v>55972 CT2</v>
      </c>
      <c r="AF3279" s="5" t="str">
        <f>MID(AD3279,FIND("(",AD3279)+1,FIND(")",AD3279)-FIND("(",AD3279)-1)</f>
        <v>173</v>
      </c>
      <c r="AG3279" s="1" t="str">
        <f t="shared" si="229"/>
        <v/>
      </c>
    </row>
    <row r="3280" spans="1:33" x14ac:dyDescent="0.2">
      <c r="A3280" s="1" t="s">
        <v>2584</v>
      </c>
      <c r="B3280" s="1" t="s">
        <v>7306</v>
      </c>
      <c r="C3280" s="1">
        <v>55976</v>
      </c>
      <c r="D3280" s="1" t="s">
        <v>7307</v>
      </c>
      <c r="F3280" s="1">
        <v>2023</v>
      </c>
      <c r="G3280" s="1" t="s">
        <v>1515</v>
      </c>
      <c r="H3280" s="1">
        <v>607174</v>
      </c>
      <c r="I3280" s="1">
        <v>3</v>
      </c>
      <c r="K3280" s="1" t="s">
        <v>217</v>
      </c>
      <c r="L3280" s="1" t="s">
        <v>7308</v>
      </c>
      <c r="M3280" s="1">
        <v>1</v>
      </c>
      <c r="N3280" s="1" t="s">
        <v>39</v>
      </c>
      <c r="O3280" s="1">
        <v>39.872500000000002</v>
      </c>
      <c r="P3280" s="1">
        <v>-77.167199999999994</v>
      </c>
      <c r="Q3280" s="1" t="s">
        <v>7309</v>
      </c>
      <c r="R3280" s="1" t="s">
        <v>41</v>
      </c>
      <c r="T3280" s="1" t="s">
        <v>71</v>
      </c>
      <c r="U3280" s="1" t="s">
        <v>44</v>
      </c>
      <c r="X3280" s="1" t="s">
        <v>64</v>
      </c>
      <c r="AA3280" s="3">
        <v>37347</v>
      </c>
      <c r="AB3280" s="1" t="s">
        <v>46</v>
      </c>
      <c r="AC3280" s="5">
        <v>2455</v>
      </c>
      <c r="AD3280" s="1" t="s">
        <v>7310</v>
      </c>
      <c r="AE3280" s="1" t="str">
        <f t="shared" si="230"/>
        <v>55976 CT101</v>
      </c>
      <c r="AF3280" s="14">
        <f>MID(AD3280,FIND("(",AD3280)+1,FIND(")",AD3280)-FIND("(",AD3280)-1)+361/3</f>
        <v>299.33333333333331</v>
      </c>
      <c r="AG3280" s="1" t="str">
        <f t="shared" si="229"/>
        <v>Y</v>
      </c>
    </row>
    <row r="3281" spans="1:33" x14ac:dyDescent="0.2">
      <c r="A3281" s="1" t="s">
        <v>2584</v>
      </c>
      <c r="B3281" s="1" t="s">
        <v>7306</v>
      </c>
      <c r="C3281" s="1">
        <v>55976</v>
      </c>
      <c r="D3281" s="1" t="s">
        <v>7311</v>
      </c>
      <c r="F3281" s="1">
        <v>2023</v>
      </c>
      <c r="G3281" s="1" t="s">
        <v>1515</v>
      </c>
      <c r="H3281" s="1">
        <v>607174</v>
      </c>
      <c r="I3281" s="1">
        <v>3</v>
      </c>
      <c r="K3281" s="1" t="s">
        <v>217</v>
      </c>
      <c r="L3281" s="1" t="s">
        <v>7308</v>
      </c>
      <c r="M3281" s="1">
        <v>1</v>
      </c>
      <c r="N3281" s="1" t="s">
        <v>39</v>
      </c>
      <c r="O3281" s="1">
        <v>39.872500000000002</v>
      </c>
      <c r="P3281" s="1">
        <v>-77.167199999999994</v>
      </c>
      <c r="Q3281" s="1" t="s">
        <v>7309</v>
      </c>
      <c r="R3281" s="1" t="s">
        <v>41</v>
      </c>
      <c r="T3281" s="1" t="s">
        <v>71</v>
      </c>
      <c r="U3281" s="1" t="s">
        <v>44</v>
      </c>
      <c r="X3281" s="1" t="s">
        <v>64</v>
      </c>
      <c r="AA3281" s="3">
        <v>37740</v>
      </c>
      <c r="AB3281" s="1" t="s">
        <v>46</v>
      </c>
      <c r="AC3281" s="5">
        <v>2455</v>
      </c>
      <c r="AD3281" s="1" t="s">
        <v>7312</v>
      </c>
      <c r="AE3281" s="1" t="str">
        <f t="shared" si="230"/>
        <v>55976 CT201</v>
      </c>
      <c r="AF3281" s="14">
        <f>AF3280</f>
        <v>299.33333333333331</v>
      </c>
      <c r="AG3281" s="1" t="str">
        <f t="shared" si="229"/>
        <v>Y</v>
      </c>
    </row>
    <row r="3282" spans="1:33" x14ac:dyDescent="0.2">
      <c r="A3282" s="1" t="s">
        <v>2584</v>
      </c>
      <c r="B3282" s="1" t="s">
        <v>7306</v>
      </c>
      <c r="C3282" s="1">
        <v>55976</v>
      </c>
      <c r="D3282" s="1" t="s">
        <v>7313</v>
      </c>
      <c r="F3282" s="1">
        <v>2023</v>
      </c>
      <c r="G3282" s="1" t="s">
        <v>1515</v>
      </c>
      <c r="H3282" s="1">
        <v>607174</v>
      </c>
      <c r="I3282" s="1">
        <v>3</v>
      </c>
      <c r="K3282" s="1" t="s">
        <v>217</v>
      </c>
      <c r="L3282" s="1" t="s">
        <v>7308</v>
      </c>
      <c r="M3282" s="1">
        <v>1</v>
      </c>
      <c r="N3282" s="1" t="s">
        <v>39</v>
      </c>
      <c r="O3282" s="1">
        <v>39.872500000000002</v>
      </c>
      <c r="P3282" s="1">
        <v>-77.167199999999994</v>
      </c>
      <c r="Q3282" s="1" t="s">
        <v>7309</v>
      </c>
      <c r="R3282" s="1" t="s">
        <v>41</v>
      </c>
      <c r="T3282" s="1" t="s">
        <v>71</v>
      </c>
      <c r="U3282" s="1" t="s">
        <v>44</v>
      </c>
      <c r="X3282" s="1" t="s">
        <v>64</v>
      </c>
      <c r="AA3282" s="3">
        <v>37740</v>
      </c>
      <c r="AB3282" s="1" t="s">
        <v>46</v>
      </c>
      <c r="AC3282" s="5">
        <v>2455</v>
      </c>
      <c r="AD3282" s="1" t="s">
        <v>7314</v>
      </c>
      <c r="AE3282" s="1" t="str">
        <f t="shared" si="230"/>
        <v>55976 CT301</v>
      </c>
      <c r="AF3282" s="14">
        <f>AF3281</f>
        <v>299.33333333333331</v>
      </c>
      <c r="AG3282" s="1" t="str">
        <f t="shared" si="229"/>
        <v>Y</v>
      </c>
    </row>
    <row r="3283" spans="1:33" x14ac:dyDescent="0.2">
      <c r="A3283" s="1" t="s">
        <v>2054</v>
      </c>
      <c r="B3283" s="1" t="s">
        <v>7315</v>
      </c>
      <c r="C3283" s="1">
        <v>55977</v>
      </c>
      <c r="D3283" s="1" t="s">
        <v>5681</v>
      </c>
      <c r="F3283" s="1">
        <v>2023</v>
      </c>
      <c r="G3283" s="1" t="s">
        <v>247</v>
      </c>
      <c r="H3283" s="1">
        <v>603018</v>
      </c>
      <c r="I3283" s="1">
        <v>6</v>
      </c>
      <c r="J3283" s="1" t="s">
        <v>237</v>
      </c>
      <c r="K3283" s="1" t="s">
        <v>2057</v>
      </c>
      <c r="L3283" s="1" t="s">
        <v>2058</v>
      </c>
      <c r="M3283" s="1">
        <v>45</v>
      </c>
      <c r="N3283" s="1" t="s">
        <v>39</v>
      </c>
      <c r="O3283" s="1">
        <v>36.7164</v>
      </c>
      <c r="P3283" s="1">
        <v>-108.2153</v>
      </c>
      <c r="Q3283" s="1" t="s">
        <v>7316</v>
      </c>
      <c r="R3283" s="1" t="s">
        <v>41</v>
      </c>
      <c r="T3283" s="1" t="s">
        <v>71</v>
      </c>
      <c r="U3283" s="1" t="s">
        <v>44</v>
      </c>
      <c r="X3283" s="1" t="s">
        <v>64</v>
      </c>
      <c r="AA3283" s="3">
        <v>38462</v>
      </c>
      <c r="AB3283" s="1" t="s">
        <v>46</v>
      </c>
      <c r="AC3283" s="5">
        <v>532</v>
      </c>
      <c r="AD3283" s="1" t="s">
        <v>7317</v>
      </c>
      <c r="AE3283" s="1" t="str">
        <f t="shared" si="230"/>
        <v>55977 CTG-1</v>
      </c>
      <c r="AF3283" s="14">
        <f>MID(AD3283,FIND("(",AD3283)+1,FIND(")",AD3283)-FIND("(",AD3283)-1)+27</f>
        <v>67</v>
      </c>
      <c r="AG3283" s="1" t="str">
        <f t="shared" si="229"/>
        <v>Y</v>
      </c>
    </row>
    <row r="3284" spans="1:33" x14ac:dyDescent="0.2">
      <c r="A3284" s="1" t="s">
        <v>370</v>
      </c>
      <c r="B3284" s="1" t="s">
        <v>7318</v>
      </c>
      <c r="C3284" s="1">
        <v>55985</v>
      </c>
      <c r="D3284" s="1" t="s">
        <v>1129</v>
      </c>
      <c r="F3284" s="1">
        <v>2023</v>
      </c>
      <c r="G3284" s="1" t="s">
        <v>247</v>
      </c>
      <c r="H3284" s="1" t="s">
        <v>6966</v>
      </c>
      <c r="I3284" s="1">
        <v>9</v>
      </c>
      <c r="J3284" s="1" t="s">
        <v>237</v>
      </c>
      <c r="K3284" s="1" t="s">
        <v>395</v>
      </c>
      <c r="L3284" s="1" t="s">
        <v>396</v>
      </c>
      <c r="M3284" s="1">
        <v>73</v>
      </c>
      <c r="N3284" s="1" t="s">
        <v>39</v>
      </c>
      <c r="O3284" s="1">
        <v>33.119199999999999</v>
      </c>
      <c r="P3284" s="1">
        <v>-117.11799999999999</v>
      </c>
      <c r="Q3284" s="1" t="s">
        <v>5538</v>
      </c>
      <c r="R3284" s="1" t="s">
        <v>41</v>
      </c>
      <c r="T3284" s="1" t="s">
        <v>71</v>
      </c>
      <c r="U3284" s="1" t="s">
        <v>44</v>
      </c>
      <c r="X3284" s="1" t="s">
        <v>64</v>
      </c>
      <c r="AA3284" s="3">
        <v>38655</v>
      </c>
      <c r="AB3284" s="1" t="s">
        <v>46</v>
      </c>
      <c r="AC3284" s="5">
        <v>3926.7</v>
      </c>
      <c r="AD3284" s="1" t="s">
        <v>7319</v>
      </c>
      <c r="AE3284" s="1" t="str">
        <f t="shared" si="230"/>
        <v>55985 CTG1</v>
      </c>
      <c r="AF3284" s="14">
        <f>MID(AD3284,FIND("(",AD3284)+1,FIND(")",AD3284)-FIND("(",AD3284)-1)+229/2</f>
        <v>279.5</v>
      </c>
      <c r="AG3284" s="1" t="str">
        <f t="shared" si="229"/>
        <v>Y</v>
      </c>
    </row>
    <row r="3285" spans="1:33" x14ac:dyDescent="0.2">
      <c r="A3285" s="1" t="s">
        <v>370</v>
      </c>
      <c r="B3285" s="1" t="s">
        <v>7318</v>
      </c>
      <c r="C3285" s="1">
        <v>55985</v>
      </c>
      <c r="D3285" s="1" t="s">
        <v>1135</v>
      </c>
      <c r="F3285" s="1">
        <v>2023</v>
      </c>
      <c r="G3285" s="1" t="s">
        <v>247</v>
      </c>
      <c r="H3285" s="1" t="s">
        <v>6966</v>
      </c>
      <c r="I3285" s="1">
        <v>9</v>
      </c>
      <c r="J3285" s="1" t="s">
        <v>237</v>
      </c>
      <c r="K3285" s="1" t="s">
        <v>395</v>
      </c>
      <c r="L3285" s="1" t="s">
        <v>396</v>
      </c>
      <c r="M3285" s="1">
        <v>73</v>
      </c>
      <c r="N3285" s="1" t="s">
        <v>39</v>
      </c>
      <c r="O3285" s="1">
        <v>33.119199999999999</v>
      </c>
      <c r="P3285" s="1">
        <v>-117.11799999999999</v>
      </c>
      <c r="Q3285" s="1" t="s">
        <v>5538</v>
      </c>
      <c r="R3285" s="1" t="s">
        <v>41</v>
      </c>
      <c r="T3285" s="1" t="s">
        <v>71</v>
      </c>
      <c r="U3285" s="1" t="s">
        <v>44</v>
      </c>
      <c r="X3285" s="1" t="s">
        <v>64</v>
      </c>
      <c r="AA3285" s="3">
        <v>38658</v>
      </c>
      <c r="AB3285" s="1" t="s">
        <v>46</v>
      </c>
      <c r="AC3285" s="5">
        <v>3926.7</v>
      </c>
      <c r="AD3285" s="1" t="s">
        <v>7320</v>
      </c>
      <c r="AE3285" s="1" t="str">
        <f t="shared" si="230"/>
        <v>55985 CTG2</v>
      </c>
      <c r="AF3285" s="14">
        <f>AF3284</f>
        <v>279.5</v>
      </c>
      <c r="AG3285" s="1" t="str">
        <f t="shared" si="229"/>
        <v>Y</v>
      </c>
    </row>
    <row r="3286" spans="1:33" x14ac:dyDescent="0.2">
      <c r="A3286" s="1" t="s">
        <v>1186</v>
      </c>
      <c r="B3286" s="1" t="s">
        <v>7321</v>
      </c>
      <c r="C3286" s="1">
        <v>56013</v>
      </c>
      <c r="D3286" s="1" t="s">
        <v>7322</v>
      </c>
      <c r="F3286" s="1">
        <v>2023</v>
      </c>
      <c r="G3286" s="1" t="s">
        <v>1207</v>
      </c>
      <c r="H3286" s="1">
        <v>610052</v>
      </c>
      <c r="I3286" s="1">
        <v>7</v>
      </c>
      <c r="J3286" s="1" t="s">
        <v>207</v>
      </c>
      <c r="K3286" s="1" t="s">
        <v>7323</v>
      </c>
      <c r="L3286" s="1" t="s">
        <v>7324</v>
      </c>
      <c r="M3286" s="1">
        <v>9</v>
      </c>
      <c r="N3286" s="1" t="s">
        <v>39</v>
      </c>
      <c r="O3286" s="1">
        <v>41.513100000000001</v>
      </c>
      <c r="P3286" s="1">
        <v>-94.918899999999994</v>
      </c>
      <c r="Q3286" s="1" t="s">
        <v>7325</v>
      </c>
      <c r="R3286" s="1" t="s">
        <v>41</v>
      </c>
      <c r="T3286" s="1" t="s">
        <v>93</v>
      </c>
      <c r="U3286" s="1" t="s">
        <v>44</v>
      </c>
      <c r="V3286" s="1" t="s">
        <v>94</v>
      </c>
      <c r="X3286" s="1" t="s">
        <v>95</v>
      </c>
      <c r="AA3286" s="3">
        <v>38128</v>
      </c>
      <c r="AB3286" s="1" t="s">
        <v>46</v>
      </c>
      <c r="AC3286" s="5">
        <v>495</v>
      </c>
      <c r="AD3286" s="1" t="s">
        <v>7326</v>
      </c>
      <c r="AE3286" s="1" t="str">
        <f t="shared" si="230"/>
        <v>56013 U-1</v>
      </c>
      <c r="AF3286" s="5" t="str">
        <f t="shared" ref="AF3286:AF3294" si="231">MID(AD3286,FIND("(",AD3286)+1,FIND(")",AD3286)-FIND("(",AD3286)-1)</f>
        <v>60.5</v>
      </c>
      <c r="AG3286" s="1" t="str">
        <f t="shared" si="229"/>
        <v/>
      </c>
    </row>
    <row r="3287" spans="1:33" x14ac:dyDescent="0.2">
      <c r="A3287" s="1" t="s">
        <v>1186</v>
      </c>
      <c r="B3287" s="1" t="s">
        <v>7321</v>
      </c>
      <c r="C3287" s="1">
        <v>56013</v>
      </c>
      <c r="D3287" s="1" t="s">
        <v>7327</v>
      </c>
      <c r="F3287" s="1">
        <v>2023</v>
      </c>
      <c r="G3287" s="1" t="s">
        <v>1207</v>
      </c>
      <c r="H3287" s="1">
        <v>610052</v>
      </c>
      <c r="I3287" s="1">
        <v>7</v>
      </c>
      <c r="J3287" s="1" t="s">
        <v>207</v>
      </c>
      <c r="K3287" s="1" t="s">
        <v>7323</v>
      </c>
      <c r="L3287" s="1" t="s">
        <v>7324</v>
      </c>
      <c r="M3287" s="1">
        <v>9</v>
      </c>
      <c r="N3287" s="1" t="s">
        <v>39</v>
      </c>
      <c r="O3287" s="1">
        <v>41.513100000000001</v>
      </c>
      <c r="P3287" s="1">
        <v>-94.918899999999994</v>
      </c>
      <c r="Q3287" s="1" t="s">
        <v>7325</v>
      </c>
      <c r="R3287" s="1" t="s">
        <v>41</v>
      </c>
      <c r="T3287" s="1" t="s">
        <v>93</v>
      </c>
      <c r="U3287" s="1" t="s">
        <v>44</v>
      </c>
      <c r="V3287" s="1" t="s">
        <v>94</v>
      </c>
      <c r="X3287" s="1" t="s">
        <v>95</v>
      </c>
      <c r="AA3287" s="3">
        <v>38128</v>
      </c>
      <c r="AB3287" s="1" t="s">
        <v>46</v>
      </c>
      <c r="AC3287" s="5">
        <v>495</v>
      </c>
      <c r="AD3287" s="1" t="s">
        <v>7328</v>
      </c>
      <c r="AE3287" s="1" t="str">
        <f t="shared" si="230"/>
        <v>56013 U-2</v>
      </c>
      <c r="AF3287" s="5" t="str">
        <f t="shared" si="231"/>
        <v>60.5</v>
      </c>
      <c r="AG3287" s="1" t="str">
        <f t="shared" si="229"/>
        <v/>
      </c>
    </row>
    <row r="3288" spans="1:33" x14ac:dyDescent="0.2">
      <c r="A3288" s="1" t="s">
        <v>1186</v>
      </c>
      <c r="B3288" s="1" t="s">
        <v>7321</v>
      </c>
      <c r="C3288" s="1">
        <v>56013</v>
      </c>
      <c r="D3288" s="1" t="s">
        <v>7329</v>
      </c>
      <c r="F3288" s="1">
        <v>2023</v>
      </c>
      <c r="G3288" s="1" t="s">
        <v>1207</v>
      </c>
      <c r="H3288" s="1">
        <v>610052</v>
      </c>
      <c r="I3288" s="1">
        <v>7</v>
      </c>
      <c r="J3288" s="1" t="s">
        <v>207</v>
      </c>
      <c r="K3288" s="1" t="s">
        <v>7323</v>
      </c>
      <c r="L3288" s="1" t="s">
        <v>7324</v>
      </c>
      <c r="M3288" s="1">
        <v>9</v>
      </c>
      <c r="N3288" s="1" t="s">
        <v>39</v>
      </c>
      <c r="O3288" s="1">
        <v>41.513100000000001</v>
      </c>
      <c r="P3288" s="1">
        <v>-94.918899999999994</v>
      </c>
      <c r="Q3288" s="1" t="s">
        <v>7325</v>
      </c>
      <c r="R3288" s="1" t="s">
        <v>41</v>
      </c>
      <c r="T3288" s="1" t="s">
        <v>93</v>
      </c>
      <c r="U3288" s="1" t="s">
        <v>44</v>
      </c>
      <c r="V3288" s="1" t="s">
        <v>94</v>
      </c>
      <c r="X3288" s="1" t="s">
        <v>95</v>
      </c>
      <c r="AA3288" s="3">
        <v>39161</v>
      </c>
      <c r="AB3288" s="1" t="s">
        <v>46</v>
      </c>
      <c r="AC3288" s="5">
        <v>495</v>
      </c>
      <c r="AD3288" s="1" t="s">
        <v>7330</v>
      </c>
      <c r="AE3288" s="1" t="str">
        <f t="shared" si="230"/>
        <v>56013 U-3</v>
      </c>
      <c r="AF3288" s="5" t="str">
        <f t="shared" si="231"/>
        <v>60.5</v>
      </c>
      <c r="AG3288" s="1" t="str">
        <f t="shared" si="229"/>
        <v/>
      </c>
    </row>
    <row r="3289" spans="1:33" x14ac:dyDescent="0.2">
      <c r="A3289" s="1" t="s">
        <v>921</v>
      </c>
      <c r="B3289" s="1" t="s">
        <v>7331</v>
      </c>
      <c r="C3289" s="1">
        <v>56015</v>
      </c>
      <c r="D3289" s="1" t="s">
        <v>7332</v>
      </c>
      <c r="F3289" s="1">
        <v>2023</v>
      </c>
      <c r="G3289" s="1" t="s">
        <v>944</v>
      </c>
      <c r="H3289" s="1">
        <v>2650</v>
      </c>
      <c r="I3289" s="1">
        <v>4</v>
      </c>
      <c r="J3289" s="1" t="s">
        <v>36</v>
      </c>
      <c r="K3289" s="1" t="s">
        <v>7333</v>
      </c>
      <c r="L3289" s="1" t="s">
        <v>7334</v>
      </c>
      <c r="M3289" s="1">
        <v>87</v>
      </c>
      <c r="N3289" s="1" t="s">
        <v>39</v>
      </c>
      <c r="O3289" s="1">
        <v>30.911100000000001</v>
      </c>
      <c r="P3289" s="1">
        <v>-84.547200000000004</v>
      </c>
      <c r="Q3289" s="1" t="s">
        <v>7335</v>
      </c>
      <c r="T3289" s="1" t="s">
        <v>93</v>
      </c>
      <c r="U3289" s="1" t="s">
        <v>94</v>
      </c>
      <c r="X3289" s="1" t="s">
        <v>95</v>
      </c>
      <c r="AA3289" s="3">
        <v>28398</v>
      </c>
      <c r="AB3289" s="1" t="s">
        <v>46</v>
      </c>
      <c r="AC3289" s="5">
        <v>299</v>
      </c>
      <c r="AD3289" s="1" t="s">
        <v>7336</v>
      </c>
      <c r="AE3289" s="1" t="str">
        <f t="shared" si="230"/>
        <v>56015 P1A</v>
      </c>
      <c r="AF3289" s="5" t="str">
        <f t="shared" si="231"/>
        <v>40</v>
      </c>
      <c r="AG3289" s="1" t="str">
        <f t="shared" si="229"/>
        <v/>
      </c>
    </row>
    <row r="3290" spans="1:33" x14ac:dyDescent="0.2">
      <c r="A3290" s="1" t="s">
        <v>921</v>
      </c>
      <c r="B3290" s="1" t="s">
        <v>7331</v>
      </c>
      <c r="C3290" s="1">
        <v>56015</v>
      </c>
      <c r="D3290" s="1" t="s">
        <v>7337</v>
      </c>
      <c r="F3290" s="1">
        <v>2023</v>
      </c>
      <c r="G3290" s="1" t="s">
        <v>944</v>
      </c>
      <c r="H3290" s="1">
        <v>2650</v>
      </c>
      <c r="I3290" s="1">
        <v>4</v>
      </c>
      <c r="J3290" s="1" t="s">
        <v>36</v>
      </c>
      <c r="K3290" s="1" t="s">
        <v>7333</v>
      </c>
      <c r="L3290" s="1" t="s">
        <v>7334</v>
      </c>
      <c r="M3290" s="1">
        <v>87</v>
      </c>
      <c r="N3290" s="1" t="s">
        <v>39</v>
      </c>
      <c r="O3290" s="1">
        <v>30.911100000000001</v>
      </c>
      <c r="P3290" s="1">
        <v>-84.547200000000004</v>
      </c>
      <c r="Q3290" s="1" t="s">
        <v>7335</v>
      </c>
      <c r="T3290" s="1" t="s">
        <v>93</v>
      </c>
      <c r="U3290" s="1" t="s">
        <v>94</v>
      </c>
      <c r="X3290" s="1" t="s">
        <v>95</v>
      </c>
      <c r="AA3290" s="3">
        <v>28398</v>
      </c>
      <c r="AB3290" s="1" t="s">
        <v>46</v>
      </c>
      <c r="AC3290" s="5">
        <v>299.5</v>
      </c>
      <c r="AD3290" s="1" t="s">
        <v>7336</v>
      </c>
      <c r="AE3290" s="1" t="str">
        <f t="shared" si="230"/>
        <v>56015 P1B</v>
      </c>
      <c r="AF3290" s="5" t="str">
        <f t="shared" si="231"/>
        <v>40</v>
      </c>
      <c r="AG3290" s="1" t="str">
        <f t="shared" si="229"/>
        <v/>
      </c>
    </row>
    <row r="3291" spans="1:33" x14ac:dyDescent="0.2">
      <c r="A3291" s="1" t="s">
        <v>921</v>
      </c>
      <c r="B3291" s="1" t="s">
        <v>7331</v>
      </c>
      <c r="C3291" s="1">
        <v>56015</v>
      </c>
      <c r="D3291" s="1" t="s">
        <v>7338</v>
      </c>
      <c r="F3291" s="1">
        <v>2023</v>
      </c>
      <c r="G3291" s="1" t="s">
        <v>944</v>
      </c>
      <c r="H3291" s="1">
        <v>2650</v>
      </c>
      <c r="I3291" s="1">
        <v>4</v>
      </c>
      <c r="J3291" s="1" t="s">
        <v>36</v>
      </c>
      <c r="K3291" s="1" t="s">
        <v>7333</v>
      </c>
      <c r="L3291" s="1" t="s">
        <v>7334</v>
      </c>
      <c r="M3291" s="1">
        <v>87</v>
      </c>
      <c r="N3291" s="1" t="s">
        <v>39</v>
      </c>
      <c r="O3291" s="1">
        <v>30.911100000000001</v>
      </c>
      <c r="P3291" s="1">
        <v>-84.547200000000004</v>
      </c>
      <c r="Q3291" s="1" t="s">
        <v>7335</v>
      </c>
      <c r="T3291" s="1" t="s">
        <v>93</v>
      </c>
      <c r="U3291" s="1" t="s">
        <v>94</v>
      </c>
      <c r="X3291" s="1" t="s">
        <v>95</v>
      </c>
      <c r="AA3291" s="3">
        <v>28398</v>
      </c>
      <c r="AB3291" s="1" t="s">
        <v>46</v>
      </c>
      <c r="AC3291" s="5">
        <v>314.60000000000002</v>
      </c>
      <c r="AD3291" s="1" t="s">
        <v>7339</v>
      </c>
      <c r="AE3291" s="1" t="str">
        <f t="shared" si="230"/>
        <v>56015 P2A</v>
      </c>
      <c r="AF3291" s="5" t="str">
        <f t="shared" si="231"/>
        <v>40</v>
      </c>
      <c r="AG3291" s="1" t="str">
        <f t="shared" si="229"/>
        <v/>
      </c>
    </row>
    <row r="3292" spans="1:33" x14ac:dyDescent="0.2">
      <c r="A3292" s="1" t="s">
        <v>921</v>
      </c>
      <c r="B3292" s="1" t="s">
        <v>7331</v>
      </c>
      <c r="C3292" s="1">
        <v>56015</v>
      </c>
      <c r="D3292" s="1" t="s">
        <v>7340</v>
      </c>
      <c r="F3292" s="1">
        <v>2023</v>
      </c>
      <c r="G3292" s="1" t="s">
        <v>944</v>
      </c>
      <c r="H3292" s="1">
        <v>2650</v>
      </c>
      <c r="I3292" s="1">
        <v>4</v>
      </c>
      <c r="J3292" s="1" t="s">
        <v>36</v>
      </c>
      <c r="K3292" s="1" t="s">
        <v>7333</v>
      </c>
      <c r="L3292" s="1" t="s">
        <v>7334</v>
      </c>
      <c r="M3292" s="1">
        <v>87</v>
      </c>
      <c r="N3292" s="1" t="s">
        <v>39</v>
      </c>
      <c r="O3292" s="1">
        <v>30.911100000000001</v>
      </c>
      <c r="P3292" s="1">
        <v>-84.547200000000004</v>
      </c>
      <c r="Q3292" s="1" t="s">
        <v>7335</v>
      </c>
      <c r="T3292" s="1" t="s">
        <v>93</v>
      </c>
      <c r="U3292" s="1" t="s">
        <v>94</v>
      </c>
      <c r="X3292" s="1" t="s">
        <v>95</v>
      </c>
      <c r="AA3292" s="3">
        <v>28398</v>
      </c>
      <c r="AB3292" s="1" t="s">
        <v>46</v>
      </c>
      <c r="AC3292" s="5">
        <v>294.8</v>
      </c>
      <c r="AD3292" s="1" t="s">
        <v>7339</v>
      </c>
      <c r="AE3292" s="1" t="str">
        <f t="shared" si="230"/>
        <v>56015 P2B</v>
      </c>
      <c r="AF3292" s="5" t="str">
        <f t="shared" si="231"/>
        <v>40</v>
      </c>
      <c r="AG3292" s="1" t="str">
        <f t="shared" si="229"/>
        <v/>
      </c>
    </row>
    <row r="3293" spans="1:33" x14ac:dyDescent="0.2">
      <c r="A3293" s="1" t="s">
        <v>32</v>
      </c>
      <c r="B3293" s="1" t="s">
        <v>7341</v>
      </c>
      <c r="C3293" s="1">
        <v>56018</v>
      </c>
      <c r="D3293" s="1">
        <v>1</v>
      </c>
      <c r="F3293" s="1">
        <v>2023</v>
      </c>
      <c r="G3293" s="1" t="s">
        <v>35</v>
      </c>
      <c r="H3293" s="1">
        <v>601983</v>
      </c>
      <c r="I3293" s="1">
        <v>4</v>
      </c>
      <c r="J3293" s="1" t="s">
        <v>36</v>
      </c>
      <c r="K3293" s="1" t="s">
        <v>7342</v>
      </c>
      <c r="L3293" s="1" t="s">
        <v>7343</v>
      </c>
      <c r="M3293" s="1">
        <v>121</v>
      </c>
      <c r="N3293" s="1" t="s">
        <v>39</v>
      </c>
      <c r="O3293" s="1">
        <v>33.1661</v>
      </c>
      <c r="P3293" s="1">
        <v>-86.282499999999999</v>
      </c>
      <c r="Q3293" s="1" t="s">
        <v>7344</v>
      </c>
      <c r="R3293" s="1" t="s">
        <v>41</v>
      </c>
      <c r="T3293" s="1" t="s">
        <v>93</v>
      </c>
      <c r="U3293" s="1" t="s">
        <v>44</v>
      </c>
      <c r="X3293" s="1" t="s">
        <v>95</v>
      </c>
      <c r="AA3293" s="3">
        <v>38111</v>
      </c>
      <c r="AB3293" s="1" t="s">
        <v>46</v>
      </c>
      <c r="AC3293" s="5">
        <v>500</v>
      </c>
      <c r="AD3293" s="1" t="s">
        <v>7345</v>
      </c>
      <c r="AE3293" s="1" t="str">
        <f t="shared" si="230"/>
        <v>56018 1</v>
      </c>
      <c r="AF3293" s="5" t="str">
        <f t="shared" si="231"/>
        <v>49.3</v>
      </c>
      <c r="AG3293" s="1" t="str">
        <f t="shared" si="229"/>
        <v/>
      </c>
    </row>
    <row r="3294" spans="1:33" x14ac:dyDescent="0.2">
      <c r="A3294" s="1" t="s">
        <v>32</v>
      </c>
      <c r="B3294" s="1" t="s">
        <v>7341</v>
      </c>
      <c r="C3294" s="1">
        <v>56018</v>
      </c>
      <c r="D3294" s="1">
        <v>2</v>
      </c>
      <c r="F3294" s="1">
        <v>2023</v>
      </c>
      <c r="G3294" s="1" t="s">
        <v>35</v>
      </c>
      <c r="H3294" s="1">
        <v>601983</v>
      </c>
      <c r="I3294" s="1">
        <v>4</v>
      </c>
      <c r="J3294" s="1" t="s">
        <v>36</v>
      </c>
      <c r="K3294" s="1" t="s">
        <v>7342</v>
      </c>
      <c r="L3294" s="1" t="s">
        <v>7343</v>
      </c>
      <c r="M3294" s="1">
        <v>121</v>
      </c>
      <c r="N3294" s="1" t="s">
        <v>39</v>
      </c>
      <c r="O3294" s="1">
        <v>33.1661</v>
      </c>
      <c r="P3294" s="1">
        <v>-86.282499999999999</v>
      </c>
      <c r="Q3294" s="1" t="s">
        <v>7344</v>
      </c>
      <c r="R3294" s="1" t="s">
        <v>41</v>
      </c>
      <c r="T3294" s="1" t="s">
        <v>93</v>
      </c>
      <c r="U3294" s="1" t="s">
        <v>44</v>
      </c>
      <c r="X3294" s="1" t="s">
        <v>95</v>
      </c>
      <c r="AA3294" s="3">
        <v>38111</v>
      </c>
      <c r="AB3294" s="1" t="s">
        <v>46</v>
      </c>
      <c r="AC3294" s="5">
        <v>500</v>
      </c>
      <c r="AD3294" s="1" t="s">
        <v>7346</v>
      </c>
      <c r="AE3294" s="1" t="str">
        <f t="shared" si="230"/>
        <v>56018 2</v>
      </c>
      <c r="AF3294" s="5" t="str">
        <f t="shared" si="231"/>
        <v>49.3</v>
      </c>
      <c r="AG3294" s="1" t="str">
        <f t="shared" si="229"/>
        <v/>
      </c>
    </row>
    <row r="3295" spans="1:33" x14ac:dyDescent="0.2">
      <c r="A3295" s="1" t="s">
        <v>370</v>
      </c>
      <c r="B3295" s="1" t="s">
        <v>7347</v>
      </c>
      <c r="C3295" s="1">
        <v>56026</v>
      </c>
      <c r="D3295" s="1" t="s">
        <v>7348</v>
      </c>
      <c r="F3295" s="1">
        <v>2023</v>
      </c>
      <c r="G3295" s="1" t="s">
        <v>247</v>
      </c>
      <c r="H3295" s="1">
        <v>609510</v>
      </c>
      <c r="I3295" s="1">
        <v>9</v>
      </c>
      <c r="K3295" s="1" t="s">
        <v>4766</v>
      </c>
      <c r="L3295" s="1" t="s">
        <v>4767</v>
      </c>
      <c r="M3295" s="1">
        <v>85</v>
      </c>
      <c r="N3295" s="1" t="s">
        <v>39</v>
      </c>
      <c r="O3295" s="1">
        <v>37.3767</v>
      </c>
      <c r="P3295" s="1">
        <v>-121.9508</v>
      </c>
      <c r="Q3295" s="1" t="s">
        <v>7349</v>
      </c>
      <c r="R3295" s="1" t="s">
        <v>41</v>
      </c>
      <c r="T3295" s="1" t="s">
        <v>71</v>
      </c>
      <c r="U3295" s="1" t="s">
        <v>44</v>
      </c>
      <c r="X3295" s="1" t="s">
        <v>643</v>
      </c>
      <c r="AA3295" s="3">
        <v>38426</v>
      </c>
      <c r="AB3295" s="1" t="s">
        <v>46</v>
      </c>
      <c r="AC3295" s="5">
        <v>610.6</v>
      </c>
      <c r="AD3295" s="1" t="s">
        <v>7350</v>
      </c>
      <c r="AE3295" s="1" t="str">
        <f t="shared" si="230"/>
        <v>56026 PCT1</v>
      </c>
      <c r="AF3295" s="14">
        <f>MID(AD3295,FIND("(",AD3295)+1,FIND(")",AD3295)-FIND("(",AD3295)-1)+54/2</f>
        <v>77</v>
      </c>
      <c r="AG3295" s="1" t="str">
        <f t="shared" si="229"/>
        <v>Y</v>
      </c>
    </row>
    <row r="3296" spans="1:33" x14ac:dyDescent="0.2">
      <c r="A3296" s="1" t="s">
        <v>370</v>
      </c>
      <c r="B3296" s="1" t="s">
        <v>7347</v>
      </c>
      <c r="C3296" s="1">
        <v>56026</v>
      </c>
      <c r="D3296" s="1" t="s">
        <v>7351</v>
      </c>
      <c r="F3296" s="1">
        <v>2023</v>
      </c>
      <c r="G3296" s="1" t="s">
        <v>247</v>
      </c>
      <c r="H3296" s="1">
        <v>609510</v>
      </c>
      <c r="I3296" s="1">
        <v>9</v>
      </c>
      <c r="K3296" s="1" t="s">
        <v>4766</v>
      </c>
      <c r="L3296" s="1" t="s">
        <v>4767</v>
      </c>
      <c r="M3296" s="1">
        <v>85</v>
      </c>
      <c r="N3296" s="1" t="s">
        <v>39</v>
      </c>
      <c r="O3296" s="1">
        <v>37.3767</v>
      </c>
      <c r="P3296" s="1">
        <v>-121.9508</v>
      </c>
      <c r="Q3296" s="1" t="s">
        <v>7349</v>
      </c>
      <c r="R3296" s="1" t="s">
        <v>41</v>
      </c>
      <c r="T3296" s="1" t="s">
        <v>71</v>
      </c>
      <c r="U3296" s="1" t="s">
        <v>44</v>
      </c>
      <c r="X3296" s="1" t="s">
        <v>643</v>
      </c>
      <c r="AA3296" s="3">
        <v>38426</v>
      </c>
      <c r="AB3296" s="1" t="s">
        <v>46</v>
      </c>
      <c r="AC3296" s="5">
        <v>610.6</v>
      </c>
      <c r="AD3296" s="1" t="s">
        <v>7352</v>
      </c>
      <c r="AE3296" s="1" t="str">
        <f t="shared" si="230"/>
        <v>56026 PCT2</v>
      </c>
      <c r="AF3296" s="14">
        <f>AF3295</f>
        <v>77</v>
      </c>
      <c r="AG3296" s="1" t="str">
        <f t="shared" si="229"/>
        <v>Y</v>
      </c>
    </row>
    <row r="3297" spans="1:33" x14ac:dyDescent="0.2">
      <c r="A3297" s="1" t="s">
        <v>3167</v>
      </c>
      <c r="B3297" s="1" t="s">
        <v>7353</v>
      </c>
      <c r="C3297" s="1">
        <v>56031</v>
      </c>
      <c r="D3297" s="1" t="s">
        <v>5681</v>
      </c>
      <c r="F3297" s="1">
        <v>2023</v>
      </c>
      <c r="G3297" s="1" t="s">
        <v>461</v>
      </c>
      <c r="H3297" s="1" t="s">
        <v>3193</v>
      </c>
      <c r="I3297" s="1">
        <v>5</v>
      </c>
      <c r="K3297" s="1" t="s">
        <v>7031</v>
      </c>
      <c r="L3297" s="1" t="s">
        <v>7032</v>
      </c>
      <c r="M3297" s="1">
        <v>87</v>
      </c>
      <c r="N3297" s="1" t="s">
        <v>39</v>
      </c>
      <c r="O3297" s="1">
        <v>44.320399999999999</v>
      </c>
      <c r="P3297" s="1">
        <v>-88.2089</v>
      </c>
      <c r="Q3297" s="1" t="s">
        <v>3218</v>
      </c>
      <c r="R3297" s="1" t="s">
        <v>41</v>
      </c>
      <c r="T3297" s="1" t="s">
        <v>71</v>
      </c>
      <c r="U3297" s="1" t="s">
        <v>44</v>
      </c>
      <c r="X3297" s="1" t="s">
        <v>64</v>
      </c>
      <c r="AA3297" s="3">
        <v>38640</v>
      </c>
      <c r="AB3297" s="1" t="s">
        <v>46</v>
      </c>
      <c r="AC3297" s="5">
        <v>2873.3</v>
      </c>
      <c r="AD3297" s="1" t="s">
        <v>7354</v>
      </c>
      <c r="AE3297" s="1" t="str">
        <f t="shared" si="230"/>
        <v>56031 CTG-1</v>
      </c>
      <c r="AF3297" s="14">
        <f>MID(AD3297,FIND("(",AD3297)+1,FIND(")",AD3297)-FIND("(",AD3297)-1)+250/2</f>
        <v>323.89999999999998</v>
      </c>
      <c r="AG3297" s="1" t="str">
        <f t="shared" si="229"/>
        <v>Y</v>
      </c>
    </row>
    <row r="3298" spans="1:33" x14ac:dyDescent="0.2">
      <c r="A3298" s="1" t="s">
        <v>3167</v>
      </c>
      <c r="B3298" s="1" t="s">
        <v>7353</v>
      </c>
      <c r="C3298" s="1">
        <v>56031</v>
      </c>
      <c r="D3298" s="1" t="s">
        <v>5684</v>
      </c>
      <c r="F3298" s="1">
        <v>2023</v>
      </c>
      <c r="G3298" s="1" t="s">
        <v>461</v>
      </c>
      <c r="H3298" s="1" t="s">
        <v>3193</v>
      </c>
      <c r="I3298" s="1">
        <v>5</v>
      </c>
      <c r="K3298" s="1" t="s">
        <v>7031</v>
      </c>
      <c r="L3298" s="1" t="s">
        <v>7032</v>
      </c>
      <c r="M3298" s="1">
        <v>87</v>
      </c>
      <c r="N3298" s="1" t="s">
        <v>39</v>
      </c>
      <c r="O3298" s="1">
        <v>44.320399999999999</v>
      </c>
      <c r="P3298" s="1">
        <v>-88.2089</v>
      </c>
      <c r="Q3298" s="1" t="s">
        <v>3218</v>
      </c>
      <c r="R3298" s="1" t="s">
        <v>41</v>
      </c>
      <c r="T3298" s="1" t="s">
        <v>71</v>
      </c>
      <c r="U3298" s="1" t="s">
        <v>44</v>
      </c>
      <c r="X3298" s="1" t="s">
        <v>64</v>
      </c>
      <c r="AA3298" s="3">
        <v>38470</v>
      </c>
      <c r="AB3298" s="1" t="s">
        <v>46</v>
      </c>
      <c r="AC3298" s="5">
        <v>2587</v>
      </c>
      <c r="AD3298" s="1" t="s">
        <v>7355</v>
      </c>
      <c r="AE3298" s="1" t="str">
        <f t="shared" si="230"/>
        <v>56031 CTG-2</v>
      </c>
      <c r="AF3298" s="14">
        <f>AF3297</f>
        <v>323.89999999999998</v>
      </c>
      <c r="AG3298" s="1" t="str">
        <f t="shared" si="229"/>
        <v>Y</v>
      </c>
    </row>
    <row r="3299" spans="1:33" x14ac:dyDescent="0.2">
      <c r="A3299" s="1" t="s">
        <v>2089</v>
      </c>
      <c r="B3299" s="1" t="s">
        <v>7356</v>
      </c>
      <c r="C3299" s="1">
        <v>56032</v>
      </c>
      <c r="D3299" s="1">
        <v>1</v>
      </c>
      <c r="F3299" s="1">
        <v>2023</v>
      </c>
      <c r="G3299" s="1" t="s">
        <v>1515</v>
      </c>
      <c r="H3299" s="1" t="s">
        <v>7208</v>
      </c>
      <c r="I3299" s="1">
        <v>2</v>
      </c>
      <c r="K3299" s="1" t="s">
        <v>2222</v>
      </c>
      <c r="L3299" s="1" t="s">
        <v>2223</v>
      </c>
      <c r="M3299" s="1">
        <v>59</v>
      </c>
      <c r="N3299" s="1" t="s">
        <v>39</v>
      </c>
      <c r="O3299" s="1">
        <v>40.6447</v>
      </c>
      <c r="P3299" s="1">
        <v>-73.568299999999994</v>
      </c>
      <c r="Q3299" s="1" t="s">
        <v>7209</v>
      </c>
      <c r="R3299" s="1" t="s">
        <v>41</v>
      </c>
      <c r="T3299" s="1" t="s">
        <v>93</v>
      </c>
      <c r="U3299" s="1" t="s">
        <v>44</v>
      </c>
      <c r="V3299" s="1" t="s">
        <v>94</v>
      </c>
      <c r="X3299" s="1" t="s">
        <v>176</v>
      </c>
      <c r="AA3299" s="3">
        <v>38169</v>
      </c>
      <c r="AB3299" s="1" t="s">
        <v>46</v>
      </c>
      <c r="AC3299" s="5">
        <v>520.70000000000005</v>
      </c>
      <c r="AD3299" s="1" t="s">
        <v>7357</v>
      </c>
      <c r="AE3299" s="1" t="str">
        <f t="shared" si="230"/>
        <v>56032 1</v>
      </c>
      <c r="AF3299" s="5" t="str">
        <f>MID(AD3299,FIND("(",AD3299)+1,FIND(")",AD3299)-FIND("(",AD3299)-1)</f>
        <v>60</v>
      </c>
      <c r="AG3299" s="1" t="str">
        <f t="shared" si="229"/>
        <v>Y</v>
      </c>
    </row>
    <row r="3300" spans="1:33" x14ac:dyDescent="0.2">
      <c r="A3300" s="1" t="s">
        <v>370</v>
      </c>
      <c r="B3300" s="1" t="s">
        <v>7358</v>
      </c>
      <c r="C3300" s="1">
        <v>56041</v>
      </c>
      <c r="D3300" s="1" t="s">
        <v>7359</v>
      </c>
      <c r="F3300" s="1">
        <v>2023</v>
      </c>
      <c r="G3300" s="1" t="s">
        <v>247</v>
      </c>
      <c r="H3300" s="1">
        <v>610505</v>
      </c>
      <c r="I3300" s="1">
        <v>9</v>
      </c>
      <c r="J3300" s="1" t="s">
        <v>237</v>
      </c>
      <c r="K3300" s="1" t="s">
        <v>404</v>
      </c>
      <c r="L3300" s="1" t="s">
        <v>405</v>
      </c>
      <c r="M3300" s="1">
        <v>37</v>
      </c>
      <c r="N3300" s="1" t="s">
        <v>39</v>
      </c>
      <c r="O3300" s="1">
        <v>33.9983</v>
      </c>
      <c r="P3300" s="1">
        <v>-118.22190000000001</v>
      </c>
      <c r="Q3300" s="1" t="s">
        <v>7360</v>
      </c>
      <c r="R3300" s="1" t="s">
        <v>41</v>
      </c>
      <c r="T3300" s="1" t="s">
        <v>71</v>
      </c>
      <c r="U3300" s="1" t="s">
        <v>44</v>
      </c>
      <c r="X3300" s="1" t="s">
        <v>64</v>
      </c>
      <c r="AA3300" s="3">
        <v>38556</v>
      </c>
      <c r="AB3300" s="1" t="s">
        <v>46</v>
      </c>
      <c r="AC3300" s="5">
        <v>594</v>
      </c>
      <c r="AD3300" s="1" t="s">
        <v>7361</v>
      </c>
      <c r="AE3300" s="1" t="str">
        <f t="shared" si="230"/>
        <v>56041 M1</v>
      </c>
      <c r="AF3300" s="14">
        <f>MID(AD3300,FIND("(",AD3300)+1,FIND(")",AD3300)-FIND("(",AD3300)-1)+55/2</f>
        <v>69.7</v>
      </c>
      <c r="AG3300" s="1" t="str">
        <f t="shared" si="229"/>
        <v>Y</v>
      </c>
    </row>
    <row r="3301" spans="1:33" x14ac:dyDescent="0.2">
      <c r="A3301" s="1" t="s">
        <v>370</v>
      </c>
      <c r="B3301" s="1" t="s">
        <v>7358</v>
      </c>
      <c r="C3301" s="1">
        <v>56041</v>
      </c>
      <c r="D3301" s="1" t="s">
        <v>7362</v>
      </c>
      <c r="F3301" s="1">
        <v>2023</v>
      </c>
      <c r="G3301" s="1" t="s">
        <v>247</v>
      </c>
      <c r="H3301" s="1">
        <v>610505</v>
      </c>
      <c r="I3301" s="1">
        <v>9</v>
      </c>
      <c r="J3301" s="1" t="s">
        <v>237</v>
      </c>
      <c r="K3301" s="1" t="s">
        <v>404</v>
      </c>
      <c r="L3301" s="1" t="s">
        <v>405</v>
      </c>
      <c r="M3301" s="1">
        <v>37</v>
      </c>
      <c r="N3301" s="1" t="s">
        <v>39</v>
      </c>
      <c r="O3301" s="1">
        <v>33.9983</v>
      </c>
      <c r="P3301" s="1">
        <v>-118.22190000000001</v>
      </c>
      <c r="Q3301" s="1" t="s">
        <v>7360</v>
      </c>
      <c r="R3301" s="1" t="s">
        <v>41</v>
      </c>
      <c r="T3301" s="1" t="s">
        <v>71</v>
      </c>
      <c r="U3301" s="1" t="s">
        <v>44</v>
      </c>
      <c r="X3301" s="1" t="s">
        <v>64</v>
      </c>
      <c r="AA3301" s="3">
        <v>38558</v>
      </c>
      <c r="AB3301" s="1" t="s">
        <v>46</v>
      </c>
      <c r="AC3301" s="5">
        <v>594</v>
      </c>
      <c r="AD3301" s="1" t="s">
        <v>7363</v>
      </c>
      <c r="AE3301" s="1" t="str">
        <f t="shared" si="230"/>
        <v>56041 M2</v>
      </c>
      <c r="AF3301" s="14">
        <f>AF3300</f>
        <v>69.7</v>
      </c>
      <c r="AG3301" s="1" t="str">
        <f t="shared" si="229"/>
        <v>Y</v>
      </c>
    </row>
    <row r="3302" spans="1:33" x14ac:dyDescent="0.2">
      <c r="A3302" s="1" t="s">
        <v>370</v>
      </c>
      <c r="B3302" s="1" t="s">
        <v>7364</v>
      </c>
      <c r="C3302" s="1">
        <v>56046</v>
      </c>
      <c r="D3302" s="1">
        <v>1</v>
      </c>
      <c r="F3302" s="1">
        <v>2023</v>
      </c>
      <c r="G3302" s="1" t="s">
        <v>247</v>
      </c>
      <c r="H3302" s="1">
        <v>610038</v>
      </c>
      <c r="I3302" s="1">
        <v>9</v>
      </c>
      <c r="J3302" s="1" t="s">
        <v>237</v>
      </c>
      <c r="K3302" s="1" t="s">
        <v>404</v>
      </c>
      <c r="L3302" s="1" t="s">
        <v>405</v>
      </c>
      <c r="M3302" s="1">
        <v>37</v>
      </c>
      <c r="N3302" s="1" t="s">
        <v>39</v>
      </c>
      <c r="O3302" s="1">
        <v>34.178800000000003</v>
      </c>
      <c r="P3302" s="1">
        <v>-118.31529999999999</v>
      </c>
      <c r="Q3302" s="1" t="s">
        <v>7365</v>
      </c>
      <c r="R3302" s="1" t="s">
        <v>41</v>
      </c>
      <c r="T3302" s="1" t="s">
        <v>71</v>
      </c>
      <c r="U3302" s="1" t="s">
        <v>44</v>
      </c>
      <c r="X3302" s="1" t="s">
        <v>64</v>
      </c>
      <c r="AA3302" s="3">
        <v>38604</v>
      </c>
      <c r="AB3302" s="1" t="s">
        <v>46</v>
      </c>
      <c r="AC3302" s="5">
        <v>2370</v>
      </c>
      <c r="AD3302" s="1" t="s">
        <v>7366</v>
      </c>
      <c r="AE3302" s="1" t="str">
        <f t="shared" si="230"/>
        <v>56046 1</v>
      </c>
      <c r="AF3302" s="14">
        <f>MID(AD3302,FIND("(",AD3302)+1,FIND(")",AD3302)-FIND("(",AD3302)-1)+188.7</f>
        <v>387.6</v>
      </c>
      <c r="AG3302" s="1" t="str">
        <f t="shared" si="229"/>
        <v>Y</v>
      </c>
    </row>
    <row r="3303" spans="1:33" x14ac:dyDescent="0.2">
      <c r="A3303" s="1" t="s">
        <v>577</v>
      </c>
      <c r="B3303" s="1" t="s">
        <v>7367</v>
      </c>
      <c r="C3303" s="1">
        <v>56047</v>
      </c>
      <c r="D3303" s="1">
        <v>1</v>
      </c>
      <c r="F3303" s="1">
        <v>2023</v>
      </c>
      <c r="G3303" s="1" t="s">
        <v>7368</v>
      </c>
      <c r="H3303" s="1">
        <v>602660</v>
      </c>
      <c r="I3303" s="1">
        <v>1</v>
      </c>
      <c r="K3303" s="1" t="s">
        <v>581</v>
      </c>
      <c r="L3303" s="1" t="s">
        <v>582</v>
      </c>
      <c r="M3303" s="1">
        <v>9</v>
      </c>
      <c r="N3303" s="1" t="s">
        <v>39</v>
      </c>
      <c r="O3303" s="1">
        <v>41.484099999999998</v>
      </c>
      <c r="P3303" s="1">
        <v>-73.122900000000001</v>
      </c>
      <c r="Q3303" s="1" t="s">
        <v>7369</v>
      </c>
      <c r="R3303" s="1" t="s">
        <v>41</v>
      </c>
      <c r="T3303" s="1" t="s">
        <v>71</v>
      </c>
      <c r="U3303" s="1" t="s">
        <v>44</v>
      </c>
      <c r="V3303" s="1" t="s">
        <v>94</v>
      </c>
      <c r="X3303" s="1" t="s">
        <v>643</v>
      </c>
      <c r="AA3303" s="3">
        <v>43127</v>
      </c>
      <c r="AB3303" s="1" t="s">
        <v>46</v>
      </c>
      <c r="AC3303" s="5">
        <v>2899</v>
      </c>
      <c r="AD3303" s="1" t="s">
        <v>7370</v>
      </c>
      <c r="AE3303" s="1" t="str">
        <f t="shared" si="230"/>
        <v>56047 1</v>
      </c>
      <c r="AF3303" s="14">
        <f>MID(AD3303,FIND("(",AD3303)+1,FIND(")",AD3303)-FIND("(",AD3303)-1)+280.5/2</f>
        <v>425.25</v>
      </c>
      <c r="AG3303" s="1" t="str">
        <f t="shared" si="229"/>
        <v>Y</v>
      </c>
    </row>
    <row r="3304" spans="1:33" x14ac:dyDescent="0.2">
      <c r="A3304" s="1" t="s">
        <v>577</v>
      </c>
      <c r="B3304" s="1" t="s">
        <v>7367</v>
      </c>
      <c r="C3304" s="1">
        <v>56047</v>
      </c>
      <c r="D3304" s="1">
        <v>2</v>
      </c>
      <c r="F3304" s="1">
        <v>2023</v>
      </c>
      <c r="G3304" s="1" t="s">
        <v>7368</v>
      </c>
      <c r="H3304" s="1">
        <v>602660</v>
      </c>
      <c r="I3304" s="1">
        <v>1</v>
      </c>
      <c r="K3304" s="1" t="s">
        <v>581</v>
      </c>
      <c r="L3304" s="1" t="s">
        <v>582</v>
      </c>
      <c r="M3304" s="1">
        <v>9</v>
      </c>
      <c r="N3304" s="1" t="s">
        <v>39</v>
      </c>
      <c r="O3304" s="1">
        <v>41.484099999999998</v>
      </c>
      <c r="P3304" s="1">
        <v>-73.122900000000001</v>
      </c>
      <c r="Q3304" s="1" t="s">
        <v>7369</v>
      </c>
      <c r="R3304" s="1" t="s">
        <v>41</v>
      </c>
      <c r="T3304" s="1" t="s">
        <v>71</v>
      </c>
      <c r="U3304" s="1" t="s">
        <v>44</v>
      </c>
      <c r="V3304" s="1" t="s">
        <v>94</v>
      </c>
      <c r="X3304" s="1" t="s">
        <v>643</v>
      </c>
      <c r="AA3304" s="3">
        <v>43157</v>
      </c>
      <c r="AB3304" s="1" t="s">
        <v>46</v>
      </c>
      <c r="AC3304" s="5">
        <v>2899</v>
      </c>
      <c r="AD3304" s="1" t="s">
        <v>7371</v>
      </c>
      <c r="AE3304" s="1" t="str">
        <f t="shared" si="230"/>
        <v>56047 2</v>
      </c>
      <c r="AF3304" s="14">
        <f>AF3303</f>
        <v>425.25</v>
      </c>
      <c r="AG3304" s="1" t="str">
        <f t="shared" si="229"/>
        <v>Y</v>
      </c>
    </row>
    <row r="3305" spans="1:33" x14ac:dyDescent="0.2">
      <c r="A3305" s="1" t="s">
        <v>3167</v>
      </c>
      <c r="B3305" s="1" t="s">
        <v>7372</v>
      </c>
      <c r="C3305" s="1">
        <v>56068</v>
      </c>
      <c r="D3305" s="1">
        <v>1</v>
      </c>
      <c r="F3305" s="1">
        <v>2023</v>
      </c>
      <c r="G3305" s="1" t="s">
        <v>1005</v>
      </c>
      <c r="H3305" s="1" t="s">
        <v>3193</v>
      </c>
      <c r="I3305" s="1">
        <v>5</v>
      </c>
      <c r="J3305" s="1" t="s">
        <v>462</v>
      </c>
      <c r="K3305" s="1" t="s">
        <v>3202</v>
      </c>
      <c r="L3305" s="1" t="s">
        <v>3203</v>
      </c>
      <c r="M3305" s="1">
        <v>79</v>
      </c>
      <c r="N3305" s="1" t="s">
        <v>39</v>
      </c>
      <c r="O3305" s="1">
        <v>42.844499999999996</v>
      </c>
      <c r="P3305" s="1">
        <v>-87.828999999999994</v>
      </c>
      <c r="Q3305" s="1" t="s">
        <v>7373</v>
      </c>
      <c r="R3305" s="1" t="s">
        <v>41</v>
      </c>
      <c r="T3305" s="1" t="s">
        <v>89</v>
      </c>
      <c r="U3305" s="1" t="s">
        <v>55</v>
      </c>
      <c r="V3305" s="1" t="s">
        <v>44</v>
      </c>
      <c r="W3305" s="1" t="s">
        <v>56</v>
      </c>
      <c r="X3305" s="1" t="s">
        <v>223</v>
      </c>
      <c r="Y3305" s="1" t="s">
        <v>7374</v>
      </c>
      <c r="AA3305" s="3">
        <v>40093</v>
      </c>
      <c r="AB3305" s="1" t="s">
        <v>46</v>
      </c>
      <c r="AC3305" s="5">
        <v>6750</v>
      </c>
      <c r="AD3305" s="1" t="s">
        <v>7375</v>
      </c>
      <c r="AE3305" s="1" t="str">
        <f t="shared" si="230"/>
        <v>56068 1</v>
      </c>
      <c r="AF3305" s="5" t="str">
        <f>MID(AD3305,FIND("(",AD3305)+1,FIND(")",AD3305)-FIND("(",AD3305)-1)</f>
        <v>701</v>
      </c>
      <c r="AG3305" s="1" t="str">
        <f t="shared" si="229"/>
        <v>Y</v>
      </c>
    </row>
    <row r="3306" spans="1:33" x14ac:dyDescent="0.2">
      <c r="A3306" s="1" t="s">
        <v>3167</v>
      </c>
      <c r="B3306" s="1" t="s">
        <v>7372</v>
      </c>
      <c r="C3306" s="1">
        <v>56068</v>
      </c>
      <c r="D3306" s="1">
        <v>2</v>
      </c>
      <c r="F3306" s="1">
        <v>2023</v>
      </c>
      <c r="G3306" s="1" t="s">
        <v>1005</v>
      </c>
      <c r="H3306" s="1" t="s">
        <v>3193</v>
      </c>
      <c r="I3306" s="1">
        <v>5</v>
      </c>
      <c r="J3306" s="1" t="s">
        <v>462</v>
      </c>
      <c r="K3306" s="1" t="s">
        <v>3202</v>
      </c>
      <c r="L3306" s="1" t="s">
        <v>3203</v>
      </c>
      <c r="M3306" s="1">
        <v>79</v>
      </c>
      <c r="N3306" s="1" t="s">
        <v>39</v>
      </c>
      <c r="O3306" s="1">
        <v>42.844499999999996</v>
      </c>
      <c r="P3306" s="1">
        <v>-87.828999999999994</v>
      </c>
      <c r="Q3306" s="1" t="s">
        <v>7373</v>
      </c>
      <c r="R3306" s="1" t="s">
        <v>41</v>
      </c>
      <c r="T3306" s="1" t="s">
        <v>89</v>
      </c>
      <c r="U3306" s="1" t="s">
        <v>55</v>
      </c>
      <c r="V3306" s="1" t="s">
        <v>44</v>
      </c>
      <c r="W3306" s="1" t="s">
        <v>56</v>
      </c>
      <c r="X3306" s="1" t="s">
        <v>223</v>
      </c>
      <c r="Y3306" s="1" t="s">
        <v>7374</v>
      </c>
      <c r="AA3306" s="3">
        <v>40375</v>
      </c>
      <c r="AB3306" s="1" t="s">
        <v>46</v>
      </c>
      <c r="AC3306" s="5">
        <v>6750</v>
      </c>
      <c r="AD3306" s="1" t="s">
        <v>7376</v>
      </c>
      <c r="AE3306" s="1" t="str">
        <f t="shared" si="230"/>
        <v>56068 2</v>
      </c>
      <c r="AF3306" s="5" t="str">
        <f>MID(AD3306,FIND("(",AD3306)+1,FIND(")",AD3306)-FIND("(",AD3306)-1)</f>
        <v>701</v>
      </c>
      <c r="AG3306" s="1" t="str">
        <f t="shared" si="229"/>
        <v>Y</v>
      </c>
    </row>
    <row r="3307" spans="1:33" x14ac:dyDescent="0.2">
      <c r="A3307" s="1" t="s">
        <v>370</v>
      </c>
      <c r="B3307" s="1" t="s">
        <v>7377</v>
      </c>
      <c r="C3307" s="1">
        <v>56078</v>
      </c>
      <c r="D3307" s="1">
        <v>1</v>
      </c>
      <c r="F3307" s="1">
        <v>2023</v>
      </c>
      <c r="G3307" s="1" t="s">
        <v>247</v>
      </c>
      <c r="H3307" s="1">
        <v>609358</v>
      </c>
      <c r="I3307" s="1">
        <v>9</v>
      </c>
      <c r="J3307" s="1" t="s">
        <v>237</v>
      </c>
      <c r="K3307" s="1" t="s">
        <v>3996</v>
      </c>
      <c r="L3307" s="1" t="s">
        <v>3997</v>
      </c>
      <c r="M3307" s="1">
        <v>99</v>
      </c>
      <c r="N3307" s="1" t="s">
        <v>39</v>
      </c>
      <c r="O3307" s="1">
        <v>37.4878</v>
      </c>
      <c r="P3307" s="1">
        <v>-120.8956</v>
      </c>
      <c r="Q3307" s="1" t="s">
        <v>7378</v>
      </c>
      <c r="R3307" s="1" t="s">
        <v>41</v>
      </c>
      <c r="T3307" s="1" t="s">
        <v>71</v>
      </c>
      <c r="U3307" s="1" t="s">
        <v>44</v>
      </c>
      <c r="X3307" s="1" t="s">
        <v>442</v>
      </c>
      <c r="AA3307" s="3">
        <v>38677</v>
      </c>
      <c r="AB3307" s="1" t="s">
        <v>46</v>
      </c>
      <c r="AC3307" s="5">
        <v>1047</v>
      </c>
      <c r="AD3307" s="1" t="s">
        <v>7379</v>
      </c>
      <c r="AE3307" s="1" t="str">
        <f t="shared" si="230"/>
        <v>56078 1</v>
      </c>
      <c r="AF3307" s="14">
        <f>MID(AD3307,FIND("(",AD3307)+1,FIND(")",AD3307)-FIND("(",AD3307)-1)+110.8/2</f>
        <v>150.30000000000001</v>
      </c>
      <c r="AG3307" s="1" t="str">
        <f t="shared" si="229"/>
        <v>Y</v>
      </c>
    </row>
    <row r="3308" spans="1:33" x14ac:dyDescent="0.2">
      <c r="A3308" s="1" t="s">
        <v>370</v>
      </c>
      <c r="B3308" s="1" t="s">
        <v>7377</v>
      </c>
      <c r="C3308" s="1">
        <v>56078</v>
      </c>
      <c r="D3308" s="1">
        <v>2</v>
      </c>
      <c r="F3308" s="1">
        <v>2023</v>
      </c>
      <c r="G3308" s="1" t="s">
        <v>247</v>
      </c>
      <c r="H3308" s="1">
        <v>609358</v>
      </c>
      <c r="I3308" s="1">
        <v>9</v>
      </c>
      <c r="J3308" s="1" t="s">
        <v>237</v>
      </c>
      <c r="K3308" s="1" t="s">
        <v>3996</v>
      </c>
      <c r="L3308" s="1" t="s">
        <v>3997</v>
      </c>
      <c r="M3308" s="1">
        <v>99</v>
      </c>
      <c r="N3308" s="1" t="s">
        <v>39</v>
      </c>
      <c r="O3308" s="1">
        <v>37.4878</v>
      </c>
      <c r="P3308" s="1">
        <v>-120.8956</v>
      </c>
      <c r="Q3308" s="1" t="s">
        <v>7378</v>
      </c>
      <c r="R3308" s="1" t="s">
        <v>41</v>
      </c>
      <c r="T3308" s="1" t="s">
        <v>71</v>
      </c>
      <c r="U3308" s="1" t="s">
        <v>44</v>
      </c>
      <c r="X3308" s="1" t="s">
        <v>442</v>
      </c>
      <c r="AA3308" s="3">
        <v>38650</v>
      </c>
      <c r="AB3308" s="1" t="s">
        <v>46</v>
      </c>
      <c r="AC3308" s="5">
        <v>1047</v>
      </c>
      <c r="AD3308" s="1" t="s">
        <v>7380</v>
      </c>
      <c r="AE3308" s="1" t="str">
        <f t="shared" si="230"/>
        <v>56078 2</v>
      </c>
      <c r="AF3308" s="14">
        <f>AF3307</f>
        <v>150.30000000000001</v>
      </c>
      <c r="AG3308" s="1" t="str">
        <f t="shared" si="229"/>
        <v>Y</v>
      </c>
    </row>
    <row r="3309" spans="1:33" x14ac:dyDescent="0.2">
      <c r="A3309" s="1" t="s">
        <v>3076</v>
      </c>
      <c r="B3309" s="1" t="s">
        <v>7381</v>
      </c>
      <c r="C3309" s="1">
        <v>56102</v>
      </c>
      <c r="D3309" s="1" t="s">
        <v>7382</v>
      </c>
      <c r="F3309" s="1">
        <v>2023</v>
      </c>
      <c r="G3309" s="1" t="s">
        <v>247</v>
      </c>
      <c r="H3309" s="1">
        <v>609068</v>
      </c>
      <c r="I3309" s="1">
        <v>8</v>
      </c>
      <c r="K3309" s="1" t="s">
        <v>7383</v>
      </c>
      <c r="L3309" s="1" t="s">
        <v>7384</v>
      </c>
      <c r="M3309" s="1">
        <v>23</v>
      </c>
      <c r="N3309" s="1" t="s">
        <v>39</v>
      </c>
      <c r="O3309" s="1">
        <v>39.822299999999998</v>
      </c>
      <c r="P3309" s="1">
        <v>-111.89400000000001</v>
      </c>
      <c r="Q3309" s="1" t="s">
        <v>3080</v>
      </c>
      <c r="R3309" s="1" t="s">
        <v>41</v>
      </c>
      <c r="T3309" s="1" t="s">
        <v>71</v>
      </c>
      <c r="U3309" s="1" t="s">
        <v>44</v>
      </c>
      <c r="X3309" s="1" t="s">
        <v>223</v>
      </c>
      <c r="AA3309" s="3">
        <v>38412</v>
      </c>
      <c r="AB3309" s="1" t="s">
        <v>46</v>
      </c>
      <c r="AC3309" s="5">
        <v>2165</v>
      </c>
      <c r="AD3309" s="1" t="s">
        <v>7385</v>
      </c>
      <c r="AE3309" s="1" t="str">
        <f t="shared" si="230"/>
        <v>56102 CTG1A</v>
      </c>
      <c r="AF3309" s="14">
        <f>MID(AD3309,FIND("(",AD3309)+1,FIND(")",AD3309)-FIND("(",AD3309)-1)+274.5/2</f>
        <v>283.45</v>
      </c>
      <c r="AG3309" s="1" t="str">
        <f t="shared" si="229"/>
        <v>Y</v>
      </c>
    </row>
    <row r="3310" spans="1:33" x14ac:dyDescent="0.2">
      <c r="A3310" s="1" t="s">
        <v>3076</v>
      </c>
      <c r="B3310" s="1" t="s">
        <v>7381</v>
      </c>
      <c r="C3310" s="1">
        <v>56102</v>
      </c>
      <c r="D3310" s="1" t="s">
        <v>7386</v>
      </c>
      <c r="F3310" s="1">
        <v>2023</v>
      </c>
      <c r="G3310" s="1" t="s">
        <v>247</v>
      </c>
      <c r="H3310" s="1">
        <v>609068</v>
      </c>
      <c r="I3310" s="1">
        <v>8</v>
      </c>
      <c r="K3310" s="1" t="s">
        <v>7383</v>
      </c>
      <c r="L3310" s="1" t="s">
        <v>7384</v>
      </c>
      <c r="M3310" s="1">
        <v>23</v>
      </c>
      <c r="N3310" s="1" t="s">
        <v>39</v>
      </c>
      <c r="O3310" s="1">
        <v>39.822299999999998</v>
      </c>
      <c r="P3310" s="1">
        <v>-111.89400000000001</v>
      </c>
      <c r="Q3310" s="1" t="s">
        <v>3080</v>
      </c>
      <c r="R3310" s="1" t="s">
        <v>41</v>
      </c>
      <c r="T3310" s="1" t="s">
        <v>71</v>
      </c>
      <c r="U3310" s="1" t="s">
        <v>44</v>
      </c>
      <c r="X3310" s="1" t="s">
        <v>223</v>
      </c>
      <c r="AA3310" s="3">
        <v>38422</v>
      </c>
      <c r="AB3310" s="1" t="s">
        <v>46</v>
      </c>
      <c r="AC3310" s="5">
        <v>2156</v>
      </c>
      <c r="AD3310" s="1" t="s">
        <v>7387</v>
      </c>
      <c r="AE3310" s="1" t="str">
        <f t="shared" si="230"/>
        <v>56102 CTG1B</v>
      </c>
      <c r="AF3310" s="14">
        <f>AF3309</f>
        <v>283.45</v>
      </c>
      <c r="AG3310" s="1" t="str">
        <f t="shared" si="229"/>
        <v>Y</v>
      </c>
    </row>
    <row r="3311" spans="1:33" x14ac:dyDescent="0.2">
      <c r="A3311" s="1" t="s">
        <v>1663</v>
      </c>
      <c r="B3311" s="1" t="s">
        <v>7388</v>
      </c>
      <c r="C3311" s="1">
        <v>56104</v>
      </c>
      <c r="D3311" s="1" t="s">
        <v>1296</v>
      </c>
      <c r="F3311" s="1">
        <v>2023</v>
      </c>
      <c r="G3311" s="1" t="s">
        <v>7389</v>
      </c>
      <c r="H3311" s="1">
        <v>609847</v>
      </c>
      <c r="I3311" s="1">
        <v>5</v>
      </c>
      <c r="J3311" s="1" t="s">
        <v>207</v>
      </c>
      <c r="K3311" s="1" t="s">
        <v>7390</v>
      </c>
      <c r="L3311" s="1" t="s">
        <v>7391</v>
      </c>
      <c r="M3311" s="1">
        <v>13</v>
      </c>
      <c r="N3311" s="1" t="s">
        <v>39</v>
      </c>
      <c r="O3311" s="1">
        <v>44.1965</v>
      </c>
      <c r="P3311" s="1">
        <v>-94.009900000000002</v>
      </c>
      <c r="Q3311" s="1" t="s">
        <v>7392</v>
      </c>
      <c r="R3311" s="1" t="s">
        <v>41</v>
      </c>
      <c r="T3311" s="1" t="s">
        <v>71</v>
      </c>
      <c r="U3311" s="1" t="s">
        <v>44</v>
      </c>
      <c r="X3311" s="1" t="s">
        <v>442</v>
      </c>
      <c r="AA3311" s="3">
        <v>43506</v>
      </c>
      <c r="AB3311" s="1" t="s">
        <v>46</v>
      </c>
      <c r="AC3311" s="5">
        <v>3000</v>
      </c>
      <c r="AD3311" s="1" t="s">
        <v>7393</v>
      </c>
      <c r="AE3311" s="1" t="str">
        <f t="shared" si="230"/>
        <v>56104 CT-1</v>
      </c>
      <c r="AF3311" s="14">
        <f>AF3312</f>
        <v>370</v>
      </c>
      <c r="AG3311" s="1" t="str">
        <f t="shared" si="229"/>
        <v>Y</v>
      </c>
    </row>
    <row r="3312" spans="1:33" x14ac:dyDescent="0.2">
      <c r="A3312" s="1" t="s">
        <v>1663</v>
      </c>
      <c r="B3312" s="1" t="s">
        <v>7388</v>
      </c>
      <c r="C3312" s="1">
        <v>56104</v>
      </c>
      <c r="D3312" s="1" t="s">
        <v>1300</v>
      </c>
      <c r="F3312" s="1">
        <v>2023</v>
      </c>
      <c r="G3312" s="1" t="s">
        <v>1666</v>
      </c>
      <c r="H3312" s="1">
        <v>609847</v>
      </c>
      <c r="I3312" s="1">
        <v>5</v>
      </c>
      <c r="J3312" s="1" t="s">
        <v>207</v>
      </c>
      <c r="K3312" s="1" t="s">
        <v>7390</v>
      </c>
      <c r="L3312" s="1" t="s">
        <v>7391</v>
      </c>
      <c r="M3312" s="1">
        <v>13</v>
      </c>
      <c r="N3312" s="1" t="s">
        <v>39</v>
      </c>
      <c r="O3312" s="1">
        <v>44.1965</v>
      </c>
      <c r="P3312" s="1">
        <v>-94.009900000000002</v>
      </c>
      <c r="Q3312" s="1" t="s">
        <v>7392</v>
      </c>
      <c r="R3312" s="1" t="s">
        <v>41</v>
      </c>
      <c r="T3312" s="1" t="s">
        <v>71</v>
      </c>
      <c r="U3312" s="1" t="s">
        <v>44</v>
      </c>
      <c r="V3312" s="1" t="s">
        <v>94</v>
      </c>
      <c r="X3312" s="1" t="s">
        <v>787</v>
      </c>
      <c r="AA3312" s="3">
        <v>38865</v>
      </c>
      <c r="AB3312" s="1" t="s">
        <v>46</v>
      </c>
      <c r="AC3312" s="5">
        <v>2844</v>
      </c>
      <c r="AD3312" s="1" t="s">
        <v>7394</v>
      </c>
      <c r="AE3312" s="1" t="str">
        <f t="shared" si="230"/>
        <v>56104 CT-2</v>
      </c>
      <c r="AF3312" s="14">
        <f>MID(AD3312,FIND("(",AD3312)+1,FIND(")",AD3312)-FIND("(",AD3312)-1)+320/2</f>
        <v>370</v>
      </c>
      <c r="AG3312" s="1" t="str">
        <f t="shared" si="229"/>
        <v>Y</v>
      </c>
    </row>
    <row r="3313" spans="1:33" x14ac:dyDescent="0.2">
      <c r="A3313" s="1" t="s">
        <v>1426</v>
      </c>
      <c r="B3313" s="1" t="s">
        <v>7395</v>
      </c>
      <c r="C3313" s="1">
        <v>56108</v>
      </c>
      <c r="D3313" s="1" t="s">
        <v>7322</v>
      </c>
      <c r="F3313" s="1">
        <v>2023</v>
      </c>
      <c r="G3313" s="1" t="s">
        <v>1428</v>
      </c>
      <c r="H3313" s="1">
        <v>607490</v>
      </c>
      <c r="I3313" s="1">
        <v>6</v>
      </c>
      <c r="K3313" s="1" t="s">
        <v>7396</v>
      </c>
      <c r="L3313" s="1" t="s">
        <v>7397</v>
      </c>
      <c r="M3313" s="1">
        <v>55</v>
      </c>
      <c r="N3313" s="1" t="s">
        <v>39</v>
      </c>
      <c r="O3313" s="1">
        <v>30.255400000000002</v>
      </c>
      <c r="P3313" s="1">
        <v>-92.043300000000002</v>
      </c>
      <c r="Q3313" s="1" t="s">
        <v>7398</v>
      </c>
      <c r="R3313" s="1" t="s">
        <v>41</v>
      </c>
      <c r="T3313" s="1" t="s">
        <v>93</v>
      </c>
      <c r="U3313" s="1" t="s">
        <v>44</v>
      </c>
      <c r="X3313" s="1" t="s">
        <v>95</v>
      </c>
      <c r="AA3313" s="3">
        <v>38527</v>
      </c>
      <c r="AB3313" s="1" t="s">
        <v>46</v>
      </c>
      <c r="AC3313" s="5">
        <v>510</v>
      </c>
      <c r="AD3313" s="1" t="s">
        <v>7399</v>
      </c>
      <c r="AE3313" s="1" t="str">
        <f t="shared" si="230"/>
        <v>56108 U-1</v>
      </c>
      <c r="AF3313" s="5" t="str">
        <f t="shared" ref="AF3313:AF3320" si="232">MID(AD3313,FIND("(",AD3313)+1,FIND(")",AD3313)-FIND("(",AD3313)-1)</f>
        <v>61.2</v>
      </c>
      <c r="AG3313" s="1" t="str">
        <f t="shared" si="229"/>
        <v/>
      </c>
    </row>
    <row r="3314" spans="1:33" x14ac:dyDescent="0.2">
      <c r="A3314" s="1" t="s">
        <v>1426</v>
      </c>
      <c r="B3314" s="1" t="s">
        <v>7395</v>
      </c>
      <c r="C3314" s="1">
        <v>56108</v>
      </c>
      <c r="D3314" s="1" t="s">
        <v>7327</v>
      </c>
      <c r="F3314" s="1">
        <v>2023</v>
      </c>
      <c r="G3314" s="1" t="s">
        <v>1428</v>
      </c>
      <c r="H3314" s="1">
        <v>607490</v>
      </c>
      <c r="I3314" s="1">
        <v>6</v>
      </c>
      <c r="K3314" s="1" t="s">
        <v>7396</v>
      </c>
      <c r="L3314" s="1" t="s">
        <v>7397</v>
      </c>
      <c r="M3314" s="1">
        <v>55</v>
      </c>
      <c r="N3314" s="1" t="s">
        <v>39</v>
      </c>
      <c r="O3314" s="1">
        <v>30.255400000000002</v>
      </c>
      <c r="P3314" s="1">
        <v>-92.043300000000002</v>
      </c>
      <c r="Q3314" s="1" t="s">
        <v>7398</v>
      </c>
      <c r="R3314" s="1" t="s">
        <v>41</v>
      </c>
      <c r="T3314" s="1" t="s">
        <v>93</v>
      </c>
      <c r="U3314" s="1" t="s">
        <v>44</v>
      </c>
      <c r="X3314" s="1" t="s">
        <v>95</v>
      </c>
      <c r="AA3314" s="3">
        <v>38534</v>
      </c>
      <c r="AB3314" s="1" t="s">
        <v>46</v>
      </c>
      <c r="AC3314" s="5">
        <v>510</v>
      </c>
      <c r="AD3314" s="1" t="s">
        <v>7400</v>
      </c>
      <c r="AE3314" s="1" t="str">
        <f t="shared" si="230"/>
        <v>56108 U-2</v>
      </c>
      <c r="AF3314" s="5" t="str">
        <f t="shared" si="232"/>
        <v>61.2</v>
      </c>
      <c r="AG3314" s="1" t="str">
        <f t="shared" si="229"/>
        <v/>
      </c>
    </row>
    <row r="3315" spans="1:33" x14ac:dyDescent="0.2">
      <c r="A3315" s="1" t="s">
        <v>370</v>
      </c>
      <c r="B3315" s="1" t="s">
        <v>7401</v>
      </c>
      <c r="C3315" s="1">
        <v>56135</v>
      </c>
      <c r="D3315" s="1">
        <v>1</v>
      </c>
      <c r="F3315" s="1">
        <v>2023</v>
      </c>
      <c r="G3315" s="1" t="s">
        <v>247</v>
      </c>
      <c r="H3315" s="1">
        <v>609951</v>
      </c>
      <c r="I3315" s="1">
        <v>9</v>
      </c>
      <c r="K3315" s="1" t="s">
        <v>3996</v>
      </c>
      <c r="L3315" s="1" t="s">
        <v>3997</v>
      </c>
      <c r="M3315" s="1">
        <v>99</v>
      </c>
      <c r="N3315" s="1" t="s">
        <v>39</v>
      </c>
      <c r="O3315" s="1">
        <v>37.731499999999997</v>
      </c>
      <c r="P3315" s="1">
        <v>-121.116</v>
      </c>
      <c r="Q3315" s="1" t="s">
        <v>3998</v>
      </c>
      <c r="R3315" s="1" t="s">
        <v>41</v>
      </c>
      <c r="T3315" s="1" t="s">
        <v>93</v>
      </c>
      <c r="U3315" s="1" t="s">
        <v>44</v>
      </c>
      <c r="X3315" s="1" t="s">
        <v>176</v>
      </c>
      <c r="AA3315" s="3">
        <v>38889</v>
      </c>
      <c r="AB3315" s="1" t="s">
        <v>46</v>
      </c>
      <c r="AC3315" s="5">
        <v>525</v>
      </c>
      <c r="AD3315" s="1" t="s">
        <v>7402</v>
      </c>
      <c r="AE3315" s="1" t="str">
        <f t="shared" si="230"/>
        <v>56135 1</v>
      </c>
      <c r="AF3315" s="5" t="str">
        <f t="shared" si="232"/>
        <v>60.35</v>
      </c>
      <c r="AG3315" s="1" t="str">
        <f t="shared" si="229"/>
        <v>Y</v>
      </c>
    </row>
    <row r="3316" spans="1:33" x14ac:dyDescent="0.2">
      <c r="A3316" s="1" t="s">
        <v>370</v>
      </c>
      <c r="B3316" s="1" t="s">
        <v>7401</v>
      </c>
      <c r="C3316" s="1">
        <v>56135</v>
      </c>
      <c r="D3316" s="1">
        <v>2</v>
      </c>
      <c r="F3316" s="1">
        <v>2023</v>
      </c>
      <c r="G3316" s="1" t="s">
        <v>247</v>
      </c>
      <c r="H3316" s="1">
        <v>609951</v>
      </c>
      <c r="I3316" s="1">
        <v>9</v>
      </c>
      <c r="K3316" s="1" t="s">
        <v>3996</v>
      </c>
      <c r="L3316" s="1" t="s">
        <v>3997</v>
      </c>
      <c r="M3316" s="1">
        <v>99</v>
      </c>
      <c r="N3316" s="1" t="s">
        <v>39</v>
      </c>
      <c r="O3316" s="1">
        <v>37.731499999999997</v>
      </c>
      <c r="P3316" s="1">
        <v>-121.116</v>
      </c>
      <c r="Q3316" s="1" t="s">
        <v>3998</v>
      </c>
      <c r="R3316" s="1" t="s">
        <v>41</v>
      </c>
      <c r="T3316" s="1" t="s">
        <v>93</v>
      </c>
      <c r="U3316" s="1" t="s">
        <v>44</v>
      </c>
      <c r="X3316" s="1" t="s">
        <v>176</v>
      </c>
      <c r="AA3316" s="3">
        <v>38889</v>
      </c>
      <c r="AB3316" s="1" t="s">
        <v>46</v>
      </c>
      <c r="AC3316" s="5">
        <v>525</v>
      </c>
      <c r="AD3316" s="1" t="s">
        <v>7403</v>
      </c>
      <c r="AE3316" s="1" t="str">
        <f t="shared" si="230"/>
        <v>56135 2</v>
      </c>
      <c r="AF3316" s="5" t="str">
        <f t="shared" si="232"/>
        <v>60.35</v>
      </c>
      <c r="AG3316" s="1" t="str">
        <f t="shared" si="229"/>
        <v>Y</v>
      </c>
    </row>
    <row r="3317" spans="1:33" x14ac:dyDescent="0.2">
      <c r="A3317" s="1" t="s">
        <v>370</v>
      </c>
      <c r="B3317" s="1" t="s">
        <v>7404</v>
      </c>
      <c r="C3317" s="1">
        <v>56143</v>
      </c>
      <c r="D3317" s="1">
        <v>1</v>
      </c>
      <c r="F3317" s="1">
        <v>2023</v>
      </c>
      <c r="G3317" s="1" t="s">
        <v>247</v>
      </c>
      <c r="H3317" s="1">
        <v>602913</v>
      </c>
      <c r="I3317" s="1">
        <v>9</v>
      </c>
      <c r="J3317" s="1" t="s">
        <v>237</v>
      </c>
      <c r="K3317" s="1" t="s">
        <v>6451</v>
      </c>
      <c r="L3317" s="1" t="s">
        <v>6452</v>
      </c>
      <c r="M3317" s="1">
        <v>65</v>
      </c>
      <c r="N3317" s="1" t="s">
        <v>39</v>
      </c>
      <c r="O3317" s="1">
        <v>33.9636</v>
      </c>
      <c r="P3317" s="1">
        <v>-117.4528</v>
      </c>
      <c r="Q3317" s="1" t="s">
        <v>7405</v>
      </c>
      <c r="R3317" s="1" t="s">
        <v>41</v>
      </c>
      <c r="T3317" s="1" t="s">
        <v>93</v>
      </c>
      <c r="U3317" s="1" t="s">
        <v>44</v>
      </c>
      <c r="X3317" s="1" t="s">
        <v>176</v>
      </c>
      <c r="AA3317" s="3">
        <v>38798</v>
      </c>
      <c r="AB3317" s="1" t="s">
        <v>46</v>
      </c>
      <c r="AC3317" s="5">
        <v>525</v>
      </c>
      <c r="AD3317" s="1" t="s">
        <v>659</v>
      </c>
      <c r="AE3317" s="1" t="str">
        <f t="shared" si="230"/>
        <v>56143 1</v>
      </c>
      <c r="AF3317" s="5" t="str">
        <f t="shared" si="232"/>
        <v>50</v>
      </c>
      <c r="AG3317" s="1" t="str">
        <f t="shared" si="229"/>
        <v>Y</v>
      </c>
    </row>
    <row r="3318" spans="1:33" x14ac:dyDescent="0.2">
      <c r="A3318" s="1" t="s">
        <v>370</v>
      </c>
      <c r="B3318" s="1" t="s">
        <v>7404</v>
      </c>
      <c r="C3318" s="1">
        <v>56143</v>
      </c>
      <c r="D3318" s="1">
        <v>2</v>
      </c>
      <c r="F3318" s="1">
        <v>2023</v>
      </c>
      <c r="G3318" s="1" t="s">
        <v>247</v>
      </c>
      <c r="H3318" s="1">
        <v>602913</v>
      </c>
      <c r="I3318" s="1">
        <v>9</v>
      </c>
      <c r="J3318" s="1" t="s">
        <v>237</v>
      </c>
      <c r="K3318" s="1" t="s">
        <v>6451</v>
      </c>
      <c r="L3318" s="1" t="s">
        <v>6452</v>
      </c>
      <c r="M3318" s="1">
        <v>65</v>
      </c>
      <c r="N3318" s="1" t="s">
        <v>39</v>
      </c>
      <c r="O3318" s="1">
        <v>33.9636</v>
      </c>
      <c r="P3318" s="1">
        <v>-117.4528</v>
      </c>
      <c r="Q3318" s="1" t="s">
        <v>7405</v>
      </c>
      <c r="R3318" s="1" t="s">
        <v>41</v>
      </c>
      <c r="T3318" s="1" t="s">
        <v>93</v>
      </c>
      <c r="U3318" s="1" t="s">
        <v>44</v>
      </c>
      <c r="X3318" s="1" t="s">
        <v>176</v>
      </c>
      <c r="AA3318" s="3">
        <v>38806</v>
      </c>
      <c r="AB3318" s="1" t="s">
        <v>46</v>
      </c>
      <c r="AC3318" s="5">
        <v>525</v>
      </c>
      <c r="AD3318" s="1" t="s">
        <v>3705</v>
      </c>
      <c r="AE3318" s="1" t="str">
        <f t="shared" si="230"/>
        <v>56143 2</v>
      </c>
      <c r="AF3318" s="5" t="str">
        <f t="shared" si="232"/>
        <v>50</v>
      </c>
      <c r="AG3318" s="1" t="str">
        <f t="shared" si="229"/>
        <v>Y</v>
      </c>
    </row>
    <row r="3319" spans="1:33" x14ac:dyDescent="0.2">
      <c r="A3319" s="1" t="s">
        <v>370</v>
      </c>
      <c r="B3319" s="1" t="s">
        <v>7404</v>
      </c>
      <c r="C3319" s="1">
        <v>56143</v>
      </c>
      <c r="D3319" s="1">
        <v>3</v>
      </c>
      <c r="F3319" s="1">
        <v>2023</v>
      </c>
      <c r="G3319" s="1" t="s">
        <v>247</v>
      </c>
      <c r="H3319" s="1">
        <v>602913</v>
      </c>
      <c r="I3319" s="1">
        <v>9</v>
      </c>
      <c r="J3319" s="1" t="s">
        <v>237</v>
      </c>
      <c r="K3319" s="1" t="s">
        <v>6451</v>
      </c>
      <c r="L3319" s="1" t="s">
        <v>6452</v>
      </c>
      <c r="M3319" s="1">
        <v>65</v>
      </c>
      <c r="N3319" s="1" t="s">
        <v>39</v>
      </c>
      <c r="O3319" s="1">
        <v>33.9636</v>
      </c>
      <c r="P3319" s="1">
        <v>-117.4528</v>
      </c>
      <c r="Q3319" s="1" t="s">
        <v>7405</v>
      </c>
      <c r="R3319" s="1" t="s">
        <v>41</v>
      </c>
      <c r="T3319" s="1" t="s">
        <v>93</v>
      </c>
      <c r="U3319" s="1" t="s">
        <v>44</v>
      </c>
      <c r="X3319" s="1" t="s">
        <v>176</v>
      </c>
      <c r="AA3319" s="3">
        <v>40572</v>
      </c>
      <c r="AB3319" s="1" t="s">
        <v>46</v>
      </c>
      <c r="AC3319" s="5">
        <v>525</v>
      </c>
      <c r="AD3319" s="1" t="s">
        <v>1206</v>
      </c>
      <c r="AE3319" s="1" t="str">
        <f t="shared" si="230"/>
        <v>56143 3</v>
      </c>
      <c r="AF3319" s="5" t="str">
        <f t="shared" si="232"/>
        <v>50</v>
      </c>
      <c r="AG3319" s="1" t="str">
        <f t="shared" si="229"/>
        <v>Y</v>
      </c>
    </row>
    <row r="3320" spans="1:33" x14ac:dyDescent="0.2">
      <c r="A3320" s="1" t="s">
        <v>370</v>
      </c>
      <c r="B3320" s="1" t="s">
        <v>7404</v>
      </c>
      <c r="C3320" s="1">
        <v>56143</v>
      </c>
      <c r="D3320" s="1">
        <v>4</v>
      </c>
      <c r="F3320" s="1">
        <v>2023</v>
      </c>
      <c r="G3320" s="1" t="s">
        <v>247</v>
      </c>
      <c r="H3320" s="1">
        <v>602913</v>
      </c>
      <c r="I3320" s="1">
        <v>9</v>
      </c>
      <c r="J3320" s="1" t="s">
        <v>237</v>
      </c>
      <c r="K3320" s="1" t="s">
        <v>6451</v>
      </c>
      <c r="L3320" s="1" t="s">
        <v>6452</v>
      </c>
      <c r="M3320" s="1">
        <v>65</v>
      </c>
      <c r="N3320" s="1" t="s">
        <v>39</v>
      </c>
      <c r="O3320" s="1">
        <v>33.9636</v>
      </c>
      <c r="P3320" s="1">
        <v>-117.4528</v>
      </c>
      <c r="Q3320" s="1" t="s">
        <v>7405</v>
      </c>
      <c r="R3320" s="1" t="s">
        <v>41</v>
      </c>
      <c r="T3320" s="1" t="s">
        <v>93</v>
      </c>
      <c r="U3320" s="1" t="s">
        <v>44</v>
      </c>
      <c r="X3320" s="1" t="s">
        <v>176</v>
      </c>
      <c r="AA3320" s="3">
        <v>40480</v>
      </c>
      <c r="AB3320" s="1" t="s">
        <v>46</v>
      </c>
      <c r="AC3320" s="5">
        <v>525</v>
      </c>
      <c r="AD3320" s="1" t="s">
        <v>1975</v>
      </c>
      <c r="AE3320" s="1" t="str">
        <f t="shared" si="230"/>
        <v>56143 4</v>
      </c>
      <c r="AF3320" s="5" t="str">
        <f t="shared" si="232"/>
        <v>50</v>
      </c>
      <c r="AG3320" s="1" t="str">
        <f t="shared" si="229"/>
        <v>Y</v>
      </c>
    </row>
    <row r="3321" spans="1:33" x14ac:dyDescent="0.2">
      <c r="A3321" s="1" t="s">
        <v>921</v>
      </c>
      <c r="B3321" s="1" t="s">
        <v>7406</v>
      </c>
      <c r="C3321" s="1">
        <v>56150</v>
      </c>
      <c r="D3321" s="1" t="s">
        <v>7407</v>
      </c>
      <c r="F3321" s="1">
        <v>2023</v>
      </c>
      <c r="G3321" s="1" t="s">
        <v>952</v>
      </c>
      <c r="H3321" s="1" t="s">
        <v>926</v>
      </c>
      <c r="I3321" s="1">
        <v>4</v>
      </c>
      <c r="K3321" s="1" t="s">
        <v>3561</v>
      </c>
      <c r="L3321" s="1" t="s">
        <v>3562</v>
      </c>
      <c r="M3321" s="1">
        <v>103</v>
      </c>
      <c r="N3321" s="1" t="s">
        <v>39</v>
      </c>
      <c r="O3321" s="1">
        <v>32.347799999999999</v>
      </c>
      <c r="P3321" s="1">
        <v>-81.1828</v>
      </c>
      <c r="Q3321" s="1" t="s">
        <v>929</v>
      </c>
      <c r="R3321" s="1" t="s">
        <v>41</v>
      </c>
      <c r="T3321" s="1" t="s">
        <v>71</v>
      </c>
      <c r="U3321" s="1" t="s">
        <v>44</v>
      </c>
      <c r="V3321" s="1" t="s">
        <v>94</v>
      </c>
      <c r="X3321" s="1" t="s">
        <v>643</v>
      </c>
      <c r="AA3321" s="3">
        <v>38447</v>
      </c>
      <c r="AB3321" s="1" t="s">
        <v>46</v>
      </c>
      <c r="AC3321" s="5">
        <v>3500</v>
      </c>
      <c r="AD3321" s="1" t="s">
        <v>7408</v>
      </c>
      <c r="AE3321" s="1" t="str">
        <f t="shared" si="230"/>
        <v>56150 10A</v>
      </c>
      <c r="AF3321" s="14">
        <f>MID(AD3321,FIND("(",AD3321)+1,FIND(")",AD3321)-FIND("(",AD3321)-1)+281.9/2</f>
        <v>344.15</v>
      </c>
      <c r="AG3321" s="1" t="str">
        <f t="shared" si="229"/>
        <v>Y</v>
      </c>
    </row>
    <row r="3322" spans="1:33" x14ac:dyDescent="0.2">
      <c r="A3322" s="1" t="s">
        <v>921</v>
      </c>
      <c r="B3322" s="1" t="s">
        <v>7406</v>
      </c>
      <c r="C3322" s="1">
        <v>56150</v>
      </c>
      <c r="D3322" s="1" t="s">
        <v>7409</v>
      </c>
      <c r="F3322" s="1">
        <v>2023</v>
      </c>
      <c r="G3322" s="1" t="s">
        <v>952</v>
      </c>
      <c r="H3322" s="1" t="s">
        <v>926</v>
      </c>
      <c r="I3322" s="1">
        <v>4</v>
      </c>
      <c r="K3322" s="1" t="s">
        <v>3561</v>
      </c>
      <c r="L3322" s="1" t="s">
        <v>3562</v>
      </c>
      <c r="M3322" s="1">
        <v>103</v>
      </c>
      <c r="N3322" s="1" t="s">
        <v>39</v>
      </c>
      <c r="O3322" s="1">
        <v>32.347799999999999</v>
      </c>
      <c r="P3322" s="1">
        <v>-81.1828</v>
      </c>
      <c r="Q3322" s="1" t="s">
        <v>929</v>
      </c>
      <c r="R3322" s="1" t="s">
        <v>41</v>
      </c>
      <c r="T3322" s="1" t="s">
        <v>71</v>
      </c>
      <c r="U3322" s="1" t="s">
        <v>44</v>
      </c>
      <c r="V3322" s="1" t="s">
        <v>94</v>
      </c>
      <c r="X3322" s="1" t="s">
        <v>643</v>
      </c>
      <c r="AA3322" s="3">
        <v>38448</v>
      </c>
      <c r="AB3322" s="1" t="s">
        <v>46</v>
      </c>
      <c r="AC3322" s="5">
        <v>3500</v>
      </c>
      <c r="AD3322" s="1" t="s">
        <v>7410</v>
      </c>
      <c r="AE3322" s="1" t="str">
        <f t="shared" si="230"/>
        <v>56150 10B</v>
      </c>
      <c r="AF3322" s="14">
        <f>AF3321</f>
        <v>344.15</v>
      </c>
      <c r="AG3322" s="1" t="str">
        <f t="shared" si="229"/>
        <v>Y</v>
      </c>
    </row>
    <row r="3323" spans="1:33" x14ac:dyDescent="0.2">
      <c r="A3323" s="1" t="s">
        <v>921</v>
      </c>
      <c r="B3323" s="1" t="s">
        <v>7406</v>
      </c>
      <c r="C3323" s="1">
        <v>56150</v>
      </c>
      <c r="D3323" s="1" t="s">
        <v>616</v>
      </c>
      <c r="F3323" s="1">
        <v>2023</v>
      </c>
      <c r="G3323" s="1" t="s">
        <v>952</v>
      </c>
      <c r="H3323" s="1" t="s">
        <v>926</v>
      </c>
      <c r="I3323" s="1">
        <v>4</v>
      </c>
      <c r="K3323" s="1" t="s">
        <v>3561</v>
      </c>
      <c r="L3323" s="1" t="s">
        <v>3562</v>
      </c>
      <c r="M3323" s="1">
        <v>103</v>
      </c>
      <c r="N3323" s="1" t="s">
        <v>39</v>
      </c>
      <c r="O3323" s="1">
        <v>32.347799999999999</v>
      </c>
      <c r="P3323" s="1">
        <v>-81.1828</v>
      </c>
      <c r="Q3323" s="1" t="s">
        <v>929</v>
      </c>
      <c r="R3323" s="1" t="s">
        <v>41</v>
      </c>
      <c r="T3323" s="1" t="s">
        <v>71</v>
      </c>
      <c r="U3323" s="1" t="s">
        <v>44</v>
      </c>
      <c r="V3323" s="1" t="s">
        <v>94</v>
      </c>
      <c r="X3323" s="1" t="s">
        <v>643</v>
      </c>
      <c r="AA3323" s="3">
        <v>38448</v>
      </c>
      <c r="AB3323" s="1" t="s">
        <v>46</v>
      </c>
      <c r="AC3323" s="5">
        <v>3500</v>
      </c>
      <c r="AD3323" s="1" t="s">
        <v>7411</v>
      </c>
      <c r="AE3323" s="1" t="str">
        <f t="shared" si="230"/>
        <v>56150 11A</v>
      </c>
      <c r="AF3323" s="14">
        <f>MID(AD3323,FIND("(",AD3323)+1,FIND(")",AD3323)-FIND("(",AD3323)-1)+281.9/2</f>
        <v>344.15</v>
      </c>
      <c r="AG3323" s="1" t="str">
        <f t="shared" si="229"/>
        <v>Y</v>
      </c>
    </row>
    <row r="3324" spans="1:33" x14ac:dyDescent="0.2">
      <c r="A3324" s="1" t="s">
        <v>921</v>
      </c>
      <c r="B3324" s="1" t="s">
        <v>7406</v>
      </c>
      <c r="C3324" s="1">
        <v>56150</v>
      </c>
      <c r="D3324" s="1" t="s">
        <v>623</v>
      </c>
      <c r="F3324" s="1">
        <v>2023</v>
      </c>
      <c r="G3324" s="1" t="s">
        <v>952</v>
      </c>
      <c r="H3324" s="1" t="s">
        <v>926</v>
      </c>
      <c r="I3324" s="1">
        <v>4</v>
      </c>
      <c r="K3324" s="1" t="s">
        <v>3561</v>
      </c>
      <c r="L3324" s="1" t="s">
        <v>3562</v>
      </c>
      <c r="M3324" s="1">
        <v>103</v>
      </c>
      <c r="N3324" s="1" t="s">
        <v>39</v>
      </c>
      <c r="O3324" s="1">
        <v>32.347799999999999</v>
      </c>
      <c r="P3324" s="1">
        <v>-81.1828</v>
      </c>
      <c r="Q3324" s="1" t="s">
        <v>929</v>
      </c>
      <c r="R3324" s="1" t="s">
        <v>41</v>
      </c>
      <c r="T3324" s="1" t="s">
        <v>71</v>
      </c>
      <c r="U3324" s="1" t="s">
        <v>44</v>
      </c>
      <c r="V3324" s="1" t="s">
        <v>94</v>
      </c>
      <c r="X3324" s="1" t="s">
        <v>643</v>
      </c>
      <c r="AA3324" s="3">
        <v>38447</v>
      </c>
      <c r="AB3324" s="1" t="s">
        <v>46</v>
      </c>
      <c r="AC3324" s="5">
        <v>3500</v>
      </c>
      <c r="AD3324" s="1" t="s">
        <v>7412</v>
      </c>
      <c r="AE3324" s="1" t="str">
        <f t="shared" si="230"/>
        <v>56150 11B</v>
      </c>
      <c r="AF3324" s="14">
        <f>AF3323</f>
        <v>344.15</v>
      </c>
      <c r="AG3324" s="1" t="str">
        <f t="shared" si="229"/>
        <v>Y</v>
      </c>
    </row>
    <row r="3325" spans="1:33" x14ac:dyDescent="0.2">
      <c r="A3325" s="1" t="s">
        <v>1755</v>
      </c>
      <c r="B3325" s="1" t="s">
        <v>7413</v>
      </c>
      <c r="C3325" s="1">
        <v>56151</v>
      </c>
      <c r="D3325" s="1">
        <v>1</v>
      </c>
      <c r="F3325" s="1">
        <v>2023</v>
      </c>
      <c r="G3325" s="1" t="s">
        <v>1207</v>
      </c>
      <c r="H3325" s="1">
        <v>605879</v>
      </c>
      <c r="I3325" s="1">
        <v>7</v>
      </c>
      <c r="J3325" s="1" t="s">
        <v>228</v>
      </c>
      <c r="K3325" s="1" t="s">
        <v>1777</v>
      </c>
      <c r="L3325" s="1" t="s">
        <v>1778</v>
      </c>
      <c r="M3325" s="1">
        <v>37</v>
      </c>
      <c r="N3325" s="1" t="s">
        <v>39</v>
      </c>
      <c r="O3325" s="1">
        <v>38.680300000000003</v>
      </c>
      <c r="P3325" s="1">
        <v>-94.482399999999998</v>
      </c>
      <c r="Q3325" s="1" t="s">
        <v>1283</v>
      </c>
      <c r="R3325" s="1" t="s">
        <v>41</v>
      </c>
      <c r="T3325" s="1" t="s">
        <v>93</v>
      </c>
      <c r="U3325" s="1" t="s">
        <v>44</v>
      </c>
      <c r="AA3325" s="3">
        <v>38544</v>
      </c>
      <c r="AB3325" s="1" t="s">
        <v>46</v>
      </c>
      <c r="AC3325" s="5">
        <v>1581</v>
      </c>
      <c r="AD3325" s="1" t="s">
        <v>7414</v>
      </c>
      <c r="AE3325" s="1" t="str">
        <f t="shared" si="230"/>
        <v>56151 1</v>
      </c>
      <c r="AF3325" s="5" t="str">
        <f>MID(AD3325,FIND("(",AD3325)+1,FIND(")",AD3325)-FIND("(",AD3325)-1)</f>
        <v>113.8</v>
      </c>
      <c r="AG3325" s="1" t="str">
        <f t="shared" si="229"/>
        <v/>
      </c>
    </row>
    <row r="3326" spans="1:33" x14ac:dyDescent="0.2">
      <c r="A3326" s="1" t="s">
        <v>1755</v>
      </c>
      <c r="B3326" s="1" t="s">
        <v>7413</v>
      </c>
      <c r="C3326" s="1">
        <v>56151</v>
      </c>
      <c r="D3326" s="1">
        <v>2</v>
      </c>
      <c r="F3326" s="1">
        <v>2023</v>
      </c>
      <c r="G3326" s="1" t="s">
        <v>1207</v>
      </c>
      <c r="H3326" s="1">
        <v>605879</v>
      </c>
      <c r="I3326" s="1">
        <v>7</v>
      </c>
      <c r="J3326" s="1" t="s">
        <v>228</v>
      </c>
      <c r="K3326" s="1" t="s">
        <v>1777</v>
      </c>
      <c r="L3326" s="1" t="s">
        <v>1778</v>
      </c>
      <c r="M3326" s="1">
        <v>37</v>
      </c>
      <c r="N3326" s="1" t="s">
        <v>39</v>
      </c>
      <c r="O3326" s="1">
        <v>38.680300000000003</v>
      </c>
      <c r="P3326" s="1">
        <v>-94.482399999999998</v>
      </c>
      <c r="Q3326" s="1" t="s">
        <v>1283</v>
      </c>
      <c r="R3326" s="1" t="s">
        <v>41</v>
      </c>
      <c r="T3326" s="1" t="s">
        <v>93</v>
      </c>
      <c r="U3326" s="1" t="s">
        <v>44</v>
      </c>
      <c r="AA3326" s="3">
        <v>38527</v>
      </c>
      <c r="AB3326" s="1" t="s">
        <v>46</v>
      </c>
      <c r="AC3326" s="5">
        <v>1581</v>
      </c>
      <c r="AD3326" s="1" t="s">
        <v>7415</v>
      </c>
      <c r="AE3326" s="1" t="str">
        <f t="shared" si="230"/>
        <v>56151 2</v>
      </c>
      <c r="AF3326" s="5" t="str">
        <f>MID(AD3326,FIND("(",AD3326)+1,FIND(")",AD3326)-FIND("(",AD3326)-1)</f>
        <v>113.8</v>
      </c>
      <c r="AG3326" s="1" t="str">
        <f t="shared" si="229"/>
        <v/>
      </c>
    </row>
    <row r="3327" spans="1:33" x14ac:dyDescent="0.2">
      <c r="A3327" s="1" t="s">
        <v>1755</v>
      </c>
      <c r="B3327" s="1" t="s">
        <v>7413</v>
      </c>
      <c r="C3327" s="1">
        <v>56151</v>
      </c>
      <c r="D3327" s="1">
        <v>3</v>
      </c>
      <c r="F3327" s="1">
        <v>2023</v>
      </c>
      <c r="G3327" s="1" t="s">
        <v>1207</v>
      </c>
      <c r="H3327" s="1">
        <v>605879</v>
      </c>
      <c r="I3327" s="1">
        <v>7</v>
      </c>
      <c r="J3327" s="1" t="s">
        <v>228</v>
      </c>
      <c r="K3327" s="1" t="s">
        <v>1777</v>
      </c>
      <c r="L3327" s="1" t="s">
        <v>1778</v>
      </c>
      <c r="M3327" s="1">
        <v>37</v>
      </c>
      <c r="N3327" s="1" t="s">
        <v>39</v>
      </c>
      <c r="O3327" s="1">
        <v>38.680300000000003</v>
      </c>
      <c r="P3327" s="1">
        <v>-94.482399999999998</v>
      </c>
      <c r="Q3327" s="1" t="s">
        <v>1283</v>
      </c>
      <c r="R3327" s="1" t="s">
        <v>41</v>
      </c>
      <c r="T3327" s="1" t="s">
        <v>93</v>
      </c>
      <c r="U3327" s="1" t="s">
        <v>44</v>
      </c>
      <c r="AA3327" s="3">
        <v>38523</v>
      </c>
      <c r="AB3327" s="1" t="s">
        <v>46</v>
      </c>
      <c r="AC3327" s="5">
        <v>1581</v>
      </c>
      <c r="AD3327" s="1" t="s">
        <v>7416</v>
      </c>
      <c r="AE3327" s="1" t="str">
        <f t="shared" si="230"/>
        <v>56151 3</v>
      </c>
      <c r="AF3327" s="5" t="str">
        <f>MID(AD3327,FIND("(",AD3327)+1,FIND(")",AD3327)-FIND("(",AD3327)-1)</f>
        <v>113.8</v>
      </c>
      <c r="AG3327" s="1" t="str">
        <f t="shared" si="229"/>
        <v/>
      </c>
    </row>
    <row r="3328" spans="1:33" x14ac:dyDescent="0.2">
      <c r="A3328" s="1" t="s">
        <v>1663</v>
      </c>
      <c r="B3328" s="1" t="s">
        <v>7417</v>
      </c>
      <c r="C3328" s="1">
        <v>56164</v>
      </c>
      <c r="D3328" s="1" t="s">
        <v>7418</v>
      </c>
      <c r="F3328" s="1">
        <v>2023</v>
      </c>
      <c r="G3328" s="1" t="s">
        <v>1666</v>
      </c>
      <c r="H3328" s="1">
        <v>610251</v>
      </c>
      <c r="I3328" s="1">
        <v>5</v>
      </c>
      <c r="J3328" s="1" t="s">
        <v>207</v>
      </c>
      <c r="K3328" s="1" t="s">
        <v>7419</v>
      </c>
      <c r="L3328" s="1" t="s">
        <v>7420</v>
      </c>
      <c r="M3328" s="1">
        <v>131</v>
      </c>
      <c r="N3328" s="1" t="s">
        <v>39</v>
      </c>
      <c r="O3328" s="1">
        <v>44.335299999999997</v>
      </c>
      <c r="P3328" s="1">
        <v>-93.289400000000001</v>
      </c>
      <c r="Q3328" s="1" t="s">
        <v>7421</v>
      </c>
      <c r="R3328" s="1" t="s">
        <v>41</v>
      </c>
      <c r="T3328" s="1" t="s">
        <v>71</v>
      </c>
      <c r="U3328" s="1" t="s">
        <v>44</v>
      </c>
      <c r="V3328" s="1" t="s">
        <v>94</v>
      </c>
      <c r="X3328" s="1" t="s">
        <v>643</v>
      </c>
      <c r="AA3328" s="3">
        <v>38482</v>
      </c>
      <c r="AB3328" s="1" t="s">
        <v>46</v>
      </c>
      <c r="AC3328" s="5">
        <v>2260</v>
      </c>
      <c r="AD3328" s="1" t="s">
        <v>7422</v>
      </c>
      <c r="AE3328" s="1" t="str">
        <f t="shared" si="230"/>
        <v>56164 EU006</v>
      </c>
      <c r="AF3328" s="14">
        <f>MID(AD3328,FIND("(",AD3328)+1,FIND(")",AD3328)-FIND("(",AD3328)-1)+212.5</f>
        <v>334.5</v>
      </c>
      <c r="AG3328" s="1" t="str">
        <f t="shared" si="229"/>
        <v>Y</v>
      </c>
    </row>
    <row r="3329" spans="1:33" x14ac:dyDescent="0.2">
      <c r="A3329" s="1" t="s">
        <v>3167</v>
      </c>
      <c r="B3329" s="1" t="s">
        <v>7423</v>
      </c>
      <c r="C3329" s="1">
        <v>56166</v>
      </c>
      <c r="D3329" s="1">
        <v>1</v>
      </c>
      <c r="F3329" s="1">
        <v>2023</v>
      </c>
      <c r="G3329" s="1" t="s">
        <v>461</v>
      </c>
      <c r="H3329" s="1">
        <v>608055</v>
      </c>
      <c r="I3329" s="1">
        <v>5</v>
      </c>
      <c r="K3329" s="1" t="s">
        <v>3212</v>
      </c>
      <c r="L3329" s="1" t="s">
        <v>3213</v>
      </c>
      <c r="M3329" s="1">
        <v>117</v>
      </c>
      <c r="N3329" s="1" t="s">
        <v>39</v>
      </c>
      <c r="O3329" s="1">
        <v>43.751899999999999</v>
      </c>
      <c r="P3329" s="1">
        <v>-87.878299999999996</v>
      </c>
      <c r="Q3329" s="1" t="s">
        <v>7424</v>
      </c>
      <c r="R3329" s="1" t="s">
        <v>41</v>
      </c>
      <c r="T3329" s="1" t="s">
        <v>93</v>
      </c>
      <c r="U3329" s="1" t="s">
        <v>44</v>
      </c>
      <c r="X3329" s="1" t="s">
        <v>140</v>
      </c>
      <c r="AA3329" s="3">
        <v>38477</v>
      </c>
      <c r="AB3329" s="1" t="s">
        <v>46</v>
      </c>
      <c r="AC3329" s="5">
        <v>1949</v>
      </c>
      <c r="AD3329" s="1" t="s">
        <v>7425</v>
      </c>
      <c r="AE3329" s="1" t="str">
        <f t="shared" si="230"/>
        <v>56166 1</v>
      </c>
      <c r="AF3329" s="5" t="str">
        <f>MID(AD3329,FIND("(",AD3329)+1,FIND(")",AD3329)-FIND("(",AD3329)-1)</f>
        <v>170</v>
      </c>
      <c r="AG3329" s="1" t="str">
        <f t="shared" si="229"/>
        <v/>
      </c>
    </row>
    <row r="3330" spans="1:33" x14ac:dyDescent="0.2">
      <c r="A3330" s="1" t="s">
        <v>3167</v>
      </c>
      <c r="B3330" s="1" t="s">
        <v>7423</v>
      </c>
      <c r="C3330" s="1">
        <v>56166</v>
      </c>
      <c r="D3330" s="1">
        <v>2</v>
      </c>
      <c r="F3330" s="1">
        <v>2023</v>
      </c>
      <c r="G3330" s="1" t="s">
        <v>461</v>
      </c>
      <c r="H3330" s="1">
        <v>608055</v>
      </c>
      <c r="I3330" s="1">
        <v>5</v>
      </c>
      <c r="K3330" s="1" t="s">
        <v>3212</v>
      </c>
      <c r="L3330" s="1" t="s">
        <v>3213</v>
      </c>
      <c r="M3330" s="1">
        <v>117</v>
      </c>
      <c r="N3330" s="1" t="s">
        <v>39</v>
      </c>
      <c r="O3330" s="1">
        <v>43.751899999999999</v>
      </c>
      <c r="P3330" s="1">
        <v>-87.878299999999996</v>
      </c>
      <c r="Q3330" s="1" t="s">
        <v>7424</v>
      </c>
      <c r="R3330" s="1" t="s">
        <v>41</v>
      </c>
      <c r="T3330" s="1" t="s">
        <v>93</v>
      </c>
      <c r="U3330" s="1" t="s">
        <v>44</v>
      </c>
      <c r="X3330" s="1" t="s">
        <v>140</v>
      </c>
      <c r="AA3330" s="3">
        <v>38487</v>
      </c>
      <c r="AB3330" s="1" t="s">
        <v>46</v>
      </c>
      <c r="AC3330" s="5">
        <v>1953</v>
      </c>
      <c r="AD3330" s="1" t="s">
        <v>2567</v>
      </c>
      <c r="AE3330" s="1" t="str">
        <f t="shared" si="230"/>
        <v>56166 2</v>
      </c>
      <c r="AF3330" s="5" t="str">
        <f>MID(AD3330,FIND("(",AD3330)+1,FIND(")",AD3330)-FIND("(",AD3330)-1)</f>
        <v>170</v>
      </c>
      <c r="AG3330" s="1" t="str">
        <f t="shared" ref="AG3330:AG3393" si="233">IF(ISNUMBER(SEARCH("selective", X3330)), "Y", "")</f>
        <v/>
      </c>
    </row>
    <row r="3331" spans="1:33" x14ac:dyDescent="0.2">
      <c r="A3331" s="1" t="s">
        <v>3076</v>
      </c>
      <c r="B3331" s="1" t="s">
        <v>7426</v>
      </c>
      <c r="C3331" s="1">
        <v>56177</v>
      </c>
      <c r="D3331" s="1" t="s">
        <v>3858</v>
      </c>
      <c r="F3331" s="1">
        <v>2023</v>
      </c>
      <c r="G3331" s="1" t="s">
        <v>247</v>
      </c>
      <c r="H3331" s="1" t="s">
        <v>7427</v>
      </c>
      <c r="I3331" s="1">
        <v>8</v>
      </c>
      <c r="J3331" s="1" t="s">
        <v>237</v>
      </c>
      <c r="K3331" s="1" t="s">
        <v>7428</v>
      </c>
      <c r="L3331" s="1" t="s">
        <v>7429</v>
      </c>
      <c r="M3331" s="1">
        <v>49</v>
      </c>
      <c r="N3331" s="1" t="s">
        <v>39</v>
      </c>
      <c r="O3331" s="1">
        <v>40.061399999999999</v>
      </c>
      <c r="P3331" s="1">
        <v>-111.7294</v>
      </c>
      <c r="Q3331" s="1" t="s">
        <v>7430</v>
      </c>
      <c r="R3331" s="1" t="s">
        <v>41</v>
      </c>
      <c r="T3331" s="1" t="s">
        <v>71</v>
      </c>
      <c r="U3331" s="1" t="s">
        <v>44</v>
      </c>
      <c r="X3331" s="1" t="s">
        <v>64</v>
      </c>
      <c r="AA3331" s="3">
        <v>38155</v>
      </c>
      <c r="AB3331" s="1" t="s">
        <v>46</v>
      </c>
      <c r="AC3331" s="5">
        <v>1300</v>
      </c>
      <c r="AD3331" s="1" t="s">
        <v>7431</v>
      </c>
      <c r="AE3331" s="1" t="str">
        <f t="shared" ref="AE3331:AE3394" si="234">C3331&amp;" "&amp;D3331</f>
        <v>56177 U1</v>
      </c>
      <c r="AF3331" s="14">
        <f>MID(AD3331,FIND("(",AD3331)+1,FIND(")",AD3331)-FIND("(",AD3331)-1)+75</f>
        <v>140</v>
      </c>
      <c r="AG3331" s="1" t="str">
        <f t="shared" si="233"/>
        <v>Y</v>
      </c>
    </row>
    <row r="3332" spans="1:33" x14ac:dyDescent="0.2">
      <c r="A3332" s="1" t="s">
        <v>2089</v>
      </c>
      <c r="B3332" s="1" t="s">
        <v>7432</v>
      </c>
      <c r="C3332" s="1">
        <v>56188</v>
      </c>
      <c r="D3332" s="1">
        <v>1</v>
      </c>
      <c r="F3332" s="1">
        <v>2023</v>
      </c>
      <c r="G3332" s="1" t="s">
        <v>1515</v>
      </c>
      <c r="H3332" s="1" t="s">
        <v>7208</v>
      </c>
      <c r="I3332" s="1">
        <v>2</v>
      </c>
      <c r="K3332" s="1" t="s">
        <v>2257</v>
      </c>
      <c r="L3332" s="1" t="s">
        <v>2258</v>
      </c>
      <c r="M3332" s="1">
        <v>103</v>
      </c>
      <c r="N3332" s="1" t="s">
        <v>39</v>
      </c>
      <c r="O3332" s="1">
        <v>40.735799999999998</v>
      </c>
      <c r="P3332" s="1">
        <v>-73.388099999999994</v>
      </c>
      <c r="Q3332" s="1" t="s">
        <v>7209</v>
      </c>
      <c r="R3332" s="1" t="s">
        <v>41</v>
      </c>
      <c r="T3332" s="1" t="s">
        <v>71</v>
      </c>
      <c r="U3332" s="1" t="s">
        <v>44</v>
      </c>
      <c r="V3332" s="1" t="s">
        <v>1292</v>
      </c>
      <c r="X3332" s="1" t="s">
        <v>176</v>
      </c>
      <c r="AA3332" s="3">
        <v>38517</v>
      </c>
      <c r="AB3332" s="1" t="s">
        <v>46</v>
      </c>
      <c r="AC3332" s="5">
        <v>850</v>
      </c>
      <c r="AD3332" s="1" t="s">
        <v>7433</v>
      </c>
      <c r="AE3332" s="1" t="str">
        <f t="shared" si="234"/>
        <v>56188 1</v>
      </c>
      <c r="AF3332" s="14">
        <f>MID(AD3332,FIND("(",AD3332)+1,FIND(")",AD3332)-FIND("(",AD3332)-1)+32</f>
        <v>82</v>
      </c>
      <c r="AG3332" s="1" t="str">
        <f t="shared" si="233"/>
        <v>Y</v>
      </c>
    </row>
    <row r="3333" spans="1:33" x14ac:dyDescent="0.2">
      <c r="A3333" s="1" t="s">
        <v>2089</v>
      </c>
      <c r="B3333" s="1" t="s">
        <v>7434</v>
      </c>
      <c r="C3333" s="1">
        <v>56196</v>
      </c>
      <c r="D3333" s="1" t="s">
        <v>7435</v>
      </c>
      <c r="F3333" s="1">
        <v>2023</v>
      </c>
      <c r="G3333" s="1" t="s">
        <v>1515</v>
      </c>
      <c r="H3333" s="1">
        <v>605253</v>
      </c>
      <c r="I3333" s="1">
        <v>2</v>
      </c>
      <c r="K3333" s="1" t="s">
        <v>2202</v>
      </c>
      <c r="L3333" s="1" t="s">
        <v>2203</v>
      </c>
      <c r="M3333" s="1">
        <v>81</v>
      </c>
      <c r="N3333" s="1" t="s">
        <v>39</v>
      </c>
      <c r="O3333" s="1">
        <v>40.7881</v>
      </c>
      <c r="P3333" s="1">
        <v>-73.905600000000007</v>
      </c>
      <c r="Q3333" s="1" t="s">
        <v>4046</v>
      </c>
      <c r="R3333" s="1" t="s">
        <v>41</v>
      </c>
      <c r="T3333" s="1" t="s">
        <v>71</v>
      </c>
      <c r="U3333" s="1" t="s">
        <v>44</v>
      </c>
      <c r="V3333" s="1" t="s">
        <v>94</v>
      </c>
      <c r="X3333" s="1" t="s">
        <v>643</v>
      </c>
      <c r="AA3333" s="3">
        <v>38717</v>
      </c>
      <c r="AB3333" s="1" t="s">
        <v>46</v>
      </c>
      <c r="AC3333" s="5">
        <v>2080</v>
      </c>
      <c r="AD3333" s="1" t="s">
        <v>7436</v>
      </c>
      <c r="AE3333" s="1" t="str">
        <f t="shared" si="234"/>
        <v>56196 CTG7A</v>
      </c>
      <c r="AF3333" s="14">
        <f>AF3334</f>
        <v>264</v>
      </c>
      <c r="AG3333" s="1" t="str">
        <f t="shared" si="233"/>
        <v>Y</v>
      </c>
    </row>
    <row r="3334" spans="1:33" x14ac:dyDescent="0.2">
      <c r="A3334" s="1" t="s">
        <v>2089</v>
      </c>
      <c r="B3334" s="1" t="s">
        <v>7434</v>
      </c>
      <c r="C3334" s="1">
        <v>56196</v>
      </c>
      <c r="D3334" s="1" t="s">
        <v>7437</v>
      </c>
      <c r="F3334" s="1">
        <v>2023</v>
      </c>
      <c r="G3334" s="1" t="s">
        <v>1515</v>
      </c>
      <c r="H3334" s="1">
        <v>605253</v>
      </c>
      <c r="I3334" s="1">
        <v>2</v>
      </c>
      <c r="K3334" s="1" t="s">
        <v>2202</v>
      </c>
      <c r="L3334" s="1" t="s">
        <v>2203</v>
      </c>
      <c r="M3334" s="1">
        <v>81</v>
      </c>
      <c r="N3334" s="1" t="s">
        <v>39</v>
      </c>
      <c r="O3334" s="1">
        <v>40.7881</v>
      </c>
      <c r="P3334" s="1">
        <v>-73.905600000000007</v>
      </c>
      <c r="Q3334" s="1" t="s">
        <v>4046</v>
      </c>
      <c r="R3334" s="1" t="s">
        <v>41</v>
      </c>
      <c r="T3334" s="1" t="s">
        <v>71</v>
      </c>
      <c r="U3334" s="1" t="s">
        <v>44</v>
      </c>
      <c r="V3334" s="1" t="s">
        <v>94</v>
      </c>
      <c r="X3334" s="1" t="s">
        <v>643</v>
      </c>
      <c r="AA3334" s="3">
        <v>38717</v>
      </c>
      <c r="AB3334" s="1" t="s">
        <v>46</v>
      </c>
      <c r="AC3334" s="5">
        <v>2041</v>
      </c>
      <c r="AD3334" s="1" t="s">
        <v>7438</v>
      </c>
      <c r="AE3334" s="1" t="str">
        <f t="shared" si="234"/>
        <v>56196 CTG7B</v>
      </c>
      <c r="AF3334" s="14">
        <f>MID(AD3334,FIND("(",AD3334)+1,FIND(")",AD3334)-FIND("(",AD3334)-1)+188/2</f>
        <v>264</v>
      </c>
      <c r="AG3334" s="1" t="str">
        <f t="shared" si="233"/>
        <v>Y</v>
      </c>
    </row>
    <row r="3335" spans="1:33" x14ac:dyDescent="0.2">
      <c r="A3335" s="1" t="s">
        <v>1903</v>
      </c>
      <c r="B3335" s="1" t="s">
        <v>7439</v>
      </c>
      <c r="C3335" s="1">
        <v>56224</v>
      </c>
      <c r="D3335" s="1">
        <v>1</v>
      </c>
      <c r="F3335" s="1">
        <v>2023</v>
      </c>
      <c r="G3335" s="1" t="s">
        <v>236</v>
      </c>
      <c r="H3335" s="1">
        <v>603656</v>
      </c>
      <c r="I3335" s="1">
        <v>9</v>
      </c>
      <c r="K3335" s="1" t="s">
        <v>7440</v>
      </c>
      <c r="L3335" s="1" t="s">
        <v>7441</v>
      </c>
      <c r="M3335" s="1">
        <v>11</v>
      </c>
      <c r="N3335" s="1" t="s">
        <v>39</v>
      </c>
      <c r="O3335" s="1">
        <v>40.745800000000003</v>
      </c>
      <c r="P3335" s="1">
        <v>-116.52970000000001</v>
      </c>
      <c r="Q3335" s="1" t="s">
        <v>7442</v>
      </c>
      <c r="R3335" s="1" t="s">
        <v>41</v>
      </c>
      <c r="T3335" s="1" t="s">
        <v>89</v>
      </c>
      <c r="U3335" s="1" t="s">
        <v>55</v>
      </c>
      <c r="V3335" s="1" t="s">
        <v>94</v>
      </c>
      <c r="W3335" s="1" t="s">
        <v>212</v>
      </c>
      <c r="X3335" s="1" t="s">
        <v>563</v>
      </c>
      <c r="Y3335" s="1" t="s">
        <v>232</v>
      </c>
      <c r="Z3335" s="1" t="s">
        <v>214</v>
      </c>
      <c r="AA3335" s="3">
        <v>39465</v>
      </c>
      <c r="AB3335" s="1" t="s">
        <v>46</v>
      </c>
      <c r="AC3335" s="5">
        <v>2462</v>
      </c>
      <c r="AD3335" s="1" t="s">
        <v>7443</v>
      </c>
      <c r="AE3335" s="1" t="str">
        <f t="shared" si="234"/>
        <v>56224 1</v>
      </c>
      <c r="AF3335" s="5" t="str">
        <f>MID(AD3335,FIND("(",AD3335)+1,FIND(")",AD3335)-FIND("(",AD3335)-1)</f>
        <v>242</v>
      </c>
      <c r="AG3335" s="1" t="str">
        <f t="shared" si="233"/>
        <v>Y</v>
      </c>
    </row>
    <row r="3336" spans="1:33" x14ac:dyDescent="0.2">
      <c r="A3336" s="1" t="s">
        <v>4093</v>
      </c>
      <c r="B3336" s="1" t="s">
        <v>7444</v>
      </c>
      <c r="C3336" s="1">
        <v>56227</v>
      </c>
      <c r="D3336" s="1" t="s">
        <v>7445</v>
      </c>
      <c r="F3336" s="1">
        <v>2023</v>
      </c>
      <c r="G3336" s="1" t="s">
        <v>247</v>
      </c>
      <c r="H3336" s="1" t="s">
        <v>4095</v>
      </c>
      <c r="I3336" s="1">
        <v>10</v>
      </c>
      <c r="J3336" s="1" t="s">
        <v>237</v>
      </c>
      <c r="K3336" s="1" t="s">
        <v>4649</v>
      </c>
      <c r="L3336" s="1" t="s">
        <v>7446</v>
      </c>
      <c r="M3336" s="1">
        <v>9</v>
      </c>
      <c r="N3336" s="1" t="s">
        <v>39</v>
      </c>
      <c r="O3336" s="1">
        <v>46.179200000000002</v>
      </c>
      <c r="P3336" s="1">
        <v>-123.1717</v>
      </c>
      <c r="Q3336" s="1" t="s">
        <v>4098</v>
      </c>
      <c r="R3336" s="1" t="s">
        <v>41</v>
      </c>
      <c r="T3336" s="1" t="s">
        <v>71</v>
      </c>
      <c r="U3336" s="1" t="s">
        <v>284</v>
      </c>
      <c r="X3336" s="1" t="s">
        <v>64</v>
      </c>
      <c r="AA3336" s="3">
        <v>39245</v>
      </c>
      <c r="AB3336" s="1" t="s">
        <v>46</v>
      </c>
      <c r="AC3336" s="5">
        <v>4000</v>
      </c>
      <c r="AD3336" s="1" t="s">
        <v>7447</v>
      </c>
      <c r="AE3336" s="1" t="str">
        <f t="shared" si="234"/>
        <v>56227 PWEU1</v>
      </c>
      <c r="AF3336" s="14">
        <f>MID(AD3336,FIND("(",AD3336)+1,FIND(")",AD3336)-FIND("(",AD3336)-1)+171</f>
        <v>483</v>
      </c>
      <c r="AG3336" s="1" t="str">
        <f t="shared" si="233"/>
        <v>Y</v>
      </c>
    </row>
    <row r="3337" spans="1:33" x14ac:dyDescent="0.2">
      <c r="A3337" s="1" t="s">
        <v>370</v>
      </c>
      <c r="B3337" s="1" t="s">
        <v>7448</v>
      </c>
      <c r="C3337" s="1">
        <v>56232</v>
      </c>
      <c r="D3337" s="1">
        <v>1</v>
      </c>
      <c r="F3337" s="1">
        <v>2023</v>
      </c>
      <c r="G3337" s="1" t="s">
        <v>247</v>
      </c>
      <c r="H3337" s="1" t="s">
        <v>6966</v>
      </c>
      <c r="I3337" s="1">
        <v>9</v>
      </c>
      <c r="J3337" s="1" t="s">
        <v>237</v>
      </c>
      <c r="K3337" s="1" t="s">
        <v>395</v>
      </c>
      <c r="L3337" s="1" t="s">
        <v>396</v>
      </c>
      <c r="M3337" s="1">
        <v>73</v>
      </c>
      <c r="N3337" s="1" t="s">
        <v>39</v>
      </c>
      <c r="O3337" s="1">
        <v>32.876899999999999</v>
      </c>
      <c r="P3337" s="1">
        <v>-117.1664</v>
      </c>
      <c r="Q3337" s="1" t="s">
        <v>5538</v>
      </c>
      <c r="R3337" s="1" t="s">
        <v>41</v>
      </c>
      <c r="T3337" s="1" t="s">
        <v>93</v>
      </c>
      <c r="U3337" s="1" t="s">
        <v>44</v>
      </c>
      <c r="X3337" s="1" t="s">
        <v>176</v>
      </c>
      <c r="AA3337" s="3">
        <v>38488</v>
      </c>
      <c r="AB3337" s="1" t="s">
        <v>46</v>
      </c>
      <c r="AC3337" s="5">
        <v>500</v>
      </c>
      <c r="AD3337" s="1" t="s">
        <v>7449</v>
      </c>
      <c r="AE3337" s="1" t="str">
        <f t="shared" si="234"/>
        <v>56232 1</v>
      </c>
      <c r="AF3337" s="5" t="str">
        <f>MID(AD3337,FIND("(",AD3337)+1,FIND(")",AD3337)-FIND("(",AD3337)-1)</f>
        <v>53</v>
      </c>
      <c r="AG3337" s="1" t="str">
        <f t="shared" si="233"/>
        <v>Y</v>
      </c>
    </row>
    <row r="3338" spans="1:33" x14ac:dyDescent="0.2">
      <c r="A3338" s="1" t="s">
        <v>370</v>
      </c>
      <c r="B3338" s="1" t="s">
        <v>7448</v>
      </c>
      <c r="C3338" s="1">
        <v>56232</v>
      </c>
      <c r="D3338" s="1">
        <v>2</v>
      </c>
      <c r="F3338" s="1">
        <v>2023</v>
      </c>
      <c r="G3338" s="1" t="s">
        <v>247</v>
      </c>
      <c r="H3338" s="1" t="s">
        <v>6966</v>
      </c>
      <c r="I3338" s="1">
        <v>9</v>
      </c>
      <c r="J3338" s="1" t="s">
        <v>237</v>
      </c>
      <c r="K3338" s="1" t="s">
        <v>395</v>
      </c>
      <c r="L3338" s="1" t="s">
        <v>396</v>
      </c>
      <c r="M3338" s="1">
        <v>73</v>
      </c>
      <c r="N3338" s="1" t="s">
        <v>39</v>
      </c>
      <c r="O3338" s="1">
        <v>32.876899999999999</v>
      </c>
      <c r="P3338" s="1">
        <v>-117.1664</v>
      </c>
      <c r="Q3338" s="1" t="s">
        <v>5538</v>
      </c>
      <c r="R3338" s="1" t="s">
        <v>41</v>
      </c>
      <c r="T3338" s="1" t="s">
        <v>93</v>
      </c>
      <c r="U3338" s="1" t="s">
        <v>44</v>
      </c>
      <c r="X3338" s="1" t="s">
        <v>176</v>
      </c>
      <c r="AA3338" s="3">
        <v>39949</v>
      </c>
      <c r="AB3338" s="1" t="s">
        <v>46</v>
      </c>
      <c r="AC3338" s="5">
        <v>490</v>
      </c>
      <c r="AD3338" s="1" t="s">
        <v>7450</v>
      </c>
      <c r="AE3338" s="1" t="str">
        <f t="shared" si="234"/>
        <v>56232 2</v>
      </c>
      <c r="AF3338" s="5" t="str">
        <f>MID(AD3338,FIND("(",AD3338)+1,FIND(")",AD3338)-FIND("(",AD3338)-1)</f>
        <v>53</v>
      </c>
      <c r="AG3338" s="1" t="str">
        <f t="shared" si="233"/>
        <v>Y</v>
      </c>
    </row>
    <row r="3339" spans="1:33" x14ac:dyDescent="0.2">
      <c r="A3339" s="1" t="s">
        <v>2089</v>
      </c>
      <c r="B3339" s="1" t="s">
        <v>7451</v>
      </c>
      <c r="C3339" s="1">
        <v>56234</v>
      </c>
      <c r="D3339" s="1">
        <v>1</v>
      </c>
      <c r="F3339" s="1">
        <v>2023</v>
      </c>
      <c r="G3339" s="1" t="s">
        <v>1515</v>
      </c>
      <c r="H3339" s="1">
        <v>1245</v>
      </c>
      <c r="I3339" s="1">
        <v>2</v>
      </c>
      <c r="J3339" s="1" t="s">
        <v>580</v>
      </c>
      <c r="K3339" s="1" t="s">
        <v>2257</v>
      </c>
      <c r="L3339" s="1" t="s">
        <v>2258</v>
      </c>
      <c r="M3339" s="1">
        <v>103</v>
      </c>
      <c r="N3339" s="1" t="s">
        <v>39</v>
      </c>
      <c r="O3339" s="1">
        <v>40.8142</v>
      </c>
      <c r="P3339" s="1">
        <v>-72.940299999999993</v>
      </c>
      <c r="Q3339" s="1" t="s">
        <v>7452</v>
      </c>
      <c r="R3339" s="1" t="s">
        <v>41</v>
      </c>
      <c r="T3339" s="1" t="s">
        <v>71</v>
      </c>
      <c r="U3339" s="1" t="s">
        <v>44</v>
      </c>
      <c r="V3339" s="1" t="s">
        <v>94</v>
      </c>
      <c r="X3339" s="1" t="s">
        <v>787</v>
      </c>
      <c r="AA3339" s="3">
        <v>39920</v>
      </c>
      <c r="AB3339" s="1" t="s">
        <v>46</v>
      </c>
      <c r="AC3339" s="5">
        <v>2650</v>
      </c>
      <c r="AD3339" s="1" t="s">
        <v>7453</v>
      </c>
      <c r="AE3339" s="1" t="str">
        <f t="shared" si="234"/>
        <v>56234 1</v>
      </c>
      <c r="AF3339" s="14">
        <f>MID(AD3339,FIND("(",AD3339)+1,FIND(")",AD3339)-FIND("(",AD3339)-1)+152.7</f>
        <v>348.9</v>
      </c>
      <c r="AG3339" s="1" t="str">
        <f t="shared" si="233"/>
        <v>Y</v>
      </c>
    </row>
    <row r="3340" spans="1:33" x14ac:dyDescent="0.2">
      <c r="A3340" s="1" t="s">
        <v>3076</v>
      </c>
      <c r="B3340" s="1" t="s">
        <v>7454</v>
      </c>
      <c r="C3340" s="1">
        <v>56237</v>
      </c>
      <c r="D3340" s="1" t="s">
        <v>993</v>
      </c>
      <c r="F3340" s="1">
        <v>2023</v>
      </c>
      <c r="G3340" s="1" t="s">
        <v>247</v>
      </c>
      <c r="H3340" s="1">
        <v>609068</v>
      </c>
      <c r="I3340" s="1">
        <v>8</v>
      </c>
      <c r="K3340" s="1" t="s">
        <v>7428</v>
      </c>
      <c r="L3340" s="1" t="s">
        <v>7429</v>
      </c>
      <c r="M3340" s="1">
        <v>49</v>
      </c>
      <c r="N3340" s="1" t="s">
        <v>39</v>
      </c>
      <c r="O3340" s="1">
        <v>40.331099999999999</v>
      </c>
      <c r="P3340" s="1">
        <v>-111.7547</v>
      </c>
      <c r="Q3340" s="1" t="s">
        <v>3080</v>
      </c>
      <c r="R3340" s="1" t="s">
        <v>41</v>
      </c>
      <c r="T3340" s="1" t="s">
        <v>71</v>
      </c>
      <c r="U3340" s="1" t="s">
        <v>44</v>
      </c>
      <c r="X3340" s="1" t="s">
        <v>223</v>
      </c>
      <c r="AA3340" s="3">
        <v>39227</v>
      </c>
      <c r="AB3340" s="1" t="s">
        <v>46</v>
      </c>
      <c r="AC3340" s="5">
        <v>2200</v>
      </c>
      <c r="AD3340" s="1" t="s">
        <v>7455</v>
      </c>
      <c r="AE3340" s="1" t="str">
        <f t="shared" si="234"/>
        <v>56237 CT01</v>
      </c>
      <c r="AF3340" s="14">
        <f>MID(AD3340,FIND("(",AD3340)+1,FIND(")",AD3340)-FIND("(",AD3340)-1)+225.9/2</f>
        <v>295.64999999999998</v>
      </c>
      <c r="AG3340" s="1" t="str">
        <f t="shared" si="233"/>
        <v>Y</v>
      </c>
    </row>
    <row r="3341" spans="1:33" x14ac:dyDescent="0.2">
      <c r="A3341" s="1" t="s">
        <v>3076</v>
      </c>
      <c r="B3341" s="1" t="s">
        <v>7454</v>
      </c>
      <c r="C3341" s="1">
        <v>56237</v>
      </c>
      <c r="D3341" s="1" t="s">
        <v>998</v>
      </c>
      <c r="F3341" s="1">
        <v>2023</v>
      </c>
      <c r="G3341" s="1" t="s">
        <v>247</v>
      </c>
      <c r="H3341" s="1">
        <v>609068</v>
      </c>
      <c r="I3341" s="1">
        <v>8</v>
      </c>
      <c r="K3341" s="1" t="s">
        <v>7428</v>
      </c>
      <c r="L3341" s="1" t="s">
        <v>7429</v>
      </c>
      <c r="M3341" s="1">
        <v>49</v>
      </c>
      <c r="N3341" s="1" t="s">
        <v>39</v>
      </c>
      <c r="O3341" s="1">
        <v>40.331099999999999</v>
      </c>
      <c r="P3341" s="1">
        <v>-111.7547</v>
      </c>
      <c r="Q3341" s="1" t="s">
        <v>3080</v>
      </c>
      <c r="R3341" s="1" t="s">
        <v>41</v>
      </c>
      <c r="T3341" s="1" t="s">
        <v>71</v>
      </c>
      <c r="U3341" s="1" t="s">
        <v>44</v>
      </c>
      <c r="X3341" s="1" t="s">
        <v>223</v>
      </c>
      <c r="AA3341" s="3">
        <v>39235</v>
      </c>
      <c r="AB3341" s="1" t="s">
        <v>46</v>
      </c>
      <c r="AC3341" s="5">
        <v>2200</v>
      </c>
      <c r="AD3341" s="1" t="s">
        <v>7456</v>
      </c>
      <c r="AE3341" s="1" t="str">
        <f t="shared" si="234"/>
        <v>56237 CT02</v>
      </c>
      <c r="AF3341" s="14">
        <f>AF3340</f>
        <v>295.64999999999998</v>
      </c>
      <c r="AG3341" s="1" t="str">
        <f t="shared" si="233"/>
        <v>Y</v>
      </c>
    </row>
    <row r="3342" spans="1:33" x14ac:dyDescent="0.2">
      <c r="A3342" s="1" t="s">
        <v>3076</v>
      </c>
      <c r="B3342" s="1" t="s">
        <v>7454</v>
      </c>
      <c r="C3342" s="1">
        <v>56237</v>
      </c>
      <c r="D3342" s="1" t="s">
        <v>1043</v>
      </c>
      <c r="F3342" s="1">
        <v>2023</v>
      </c>
      <c r="G3342" s="1" t="s">
        <v>247</v>
      </c>
      <c r="H3342" s="1">
        <v>609068</v>
      </c>
      <c r="I3342" s="1">
        <v>8</v>
      </c>
      <c r="K3342" s="1" t="s">
        <v>7428</v>
      </c>
      <c r="L3342" s="1" t="s">
        <v>7429</v>
      </c>
      <c r="M3342" s="1">
        <v>49</v>
      </c>
      <c r="N3342" s="1" t="s">
        <v>39</v>
      </c>
      <c r="O3342" s="1">
        <v>40.331099999999999</v>
      </c>
      <c r="P3342" s="1">
        <v>-111.7547</v>
      </c>
      <c r="Q3342" s="1" t="s">
        <v>3080</v>
      </c>
      <c r="R3342" s="1" t="s">
        <v>41</v>
      </c>
      <c r="T3342" s="1" t="s">
        <v>71</v>
      </c>
      <c r="U3342" s="1" t="s">
        <v>44</v>
      </c>
      <c r="X3342" s="1" t="s">
        <v>223</v>
      </c>
      <c r="AA3342" s="3">
        <v>41662</v>
      </c>
      <c r="AB3342" s="1" t="s">
        <v>46</v>
      </c>
      <c r="AC3342" s="5">
        <v>2310</v>
      </c>
      <c r="AD3342" s="1" t="s">
        <v>7457</v>
      </c>
      <c r="AE3342" s="1" t="str">
        <f t="shared" si="234"/>
        <v>56237 CT03</v>
      </c>
      <c r="AF3342" s="14">
        <f>MID(AD3342,FIND("(",AD3342)+1,FIND(")",AD3342)-FIND("(",AD3342)-1)+284.4/2</f>
        <v>327.60000000000002</v>
      </c>
      <c r="AG3342" s="1" t="str">
        <f t="shared" si="233"/>
        <v>Y</v>
      </c>
    </row>
    <row r="3343" spans="1:33" x14ac:dyDescent="0.2">
      <c r="A3343" s="1" t="s">
        <v>3076</v>
      </c>
      <c r="B3343" s="1" t="s">
        <v>7454</v>
      </c>
      <c r="C3343" s="1">
        <v>56237</v>
      </c>
      <c r="D3343" s="1" t="s">
        <v>1048</v>
      </c>
      <c r="F3343" s="1">
        <v>2023</v>
      </c>
      <c r="G3343" s="1" t="s">
        <v>247</v>
      </c>
      <c r="H3343" s="1">
        <v>609068</v>
      </c>
      <c r="I3343" s="1">
        <v>8</v>
      </c>
      <c r="K3343" s="1" t="s">
        <v>7428</v>
      </c>
      <c r="L3343" s="1" t="s">
        <v>7429</v>
      </c>
      <c r="M3343" s="1">
        <v>49</v>
      </c>
      <c r="N3343" s="1" t="s">
        <v>39</v>
      </c>
      <c r="O3343" s="1">
        <v>40.331099999999999</v>
      </c>
      <c r="P3343" s="1">
        <v>-111.7547</v>
      </c>
      <c r="Q3343" s="1" t="s">
        <v>3080</v>
      </c>
      <c r="R3343" s="1" t="s">
        <v>41</v>
      </c>
      <c r="T3343" s="1" t="s">
        <v>71</v>
      </c>
      <c r="U3343" s="1" t="s">
        <v>44</v>
      </c>
      <c r="X3343" s="1" t="s">
        <v>223</v>
      </c>
      <c r="AA3343" s="3">
        <v>41671</v>
      </c>
      <c r="AB3343" s="1" t="s">
        <v>46</v>
      </c>
      <c r="AC3343" s="5">
        <v>2310</v>
      </c>
      <c r="AD3343" s="1" t="s">
        <v>7458</v>
      </c>
      <c r="AE3343" s="1" t="str">
        <f t="shared" si="234"/>
        <v>56237 CT04</v>
      </c>
      <c r="AF3343" s="14">
        <f>AF3342</f>
        <v>327.60000000000002</v>
      </c>
      <c r="AG3343" s="1" t="str">
        <f t="shared" si="233"/>
        <v>Y</v>
      </c>
    </row>
    <row r="3344" spans="1:33" x14ac:dyDescent="0.2">
      <c r="A3344" s="1" t="s">
        <v>2750</v>
      </c>
      <c r="B3344" s="1" t="s">
        <v>7459</v>
      </c>
      <c r="C3344" s="1">
        <v>56238</v>
      </c>
      <c r="D3344" s="1" t="s">
        <v>648</v>
      </c>
      <c r="F3344" s="1">
        <v>2023</v>
      </c>
      <c r="G3344" s="1" t="s">
        <v>247</v>
      </c>
      <c r="H3344" s="1">
        <v>609771</v>
      </c>
      <c r="I3344" s="1">
        <v>8</v>
      </c>
      <c r="K3344" s="1" t="s">
        <v>1713</v>
      </c>
      <c r="L3344" s="1" t="s">
        <v>2752</v>
      </c>
      <c r="M3344" s="1">
        <v>13</v>
      </c>
      <c r="N3344" s="1" t="s">
        <v>39</v>
      </c>
      <c r="O3344" s="1">
        <v>45.3718</v>
      </c>
      <c r="P3344" s="1">
        <v>-98.103200000000001</v>
      </c>
      <c r="Q3344" s="1" t="s">
        <v>2418</v>
      </c>
      <c r="R3344" s="1" t="s">
        <v>41</v>
      </c>
      <c r="T3344" s="1" t="s">
        <v>93</v>
      </c>
      <c r="U3344" s="1" t="s">
        <v>44</v>
      </c>
      <c r="X3344" s="1" t="s">
        <v>95</v>
      </c>
      <c r="AA3344" s="3">
        <v>38890</v>
      </c>
      <c r="AB3344" s="1" t="s">
        <v>46</v>
      </c>
      <c r="AC3344" s="5">
        <v>840</v>
      </c>
      <c r="AD3344" s="1" t="s">
        <v>7460</v>
      </c>
      <c r="AE3344" s="1" t="str">
        <f t="shared" si="234"/>
        <v>56238 CT001</v>
      </c>
      <c r="AF3344" s="5" t="str">
        <f t="shared" ref="AF3344:AF3363" si="235">MID(AD3344,FIND("(",AD3344)+1,FIND(")",AD3344)-FIND("(",AD3344)-1)</f>
        <v>93.5</v>
      </c>
      <c r="AG3344" s="1" t="str">
        <f t="shared" si="233"/>
        <v/>
      </c>
    </row>
    <row r="3345" spans="1:33" x14ac:dyDescent="0.2">
      <c r="A3345" s="1" t="s">
        <v>2750</v>
      </c>
      <c r="B3345" s="1" t="s">
        <v>7459</v>
      </c>
      <c r="C3345" s="1">
        <v>56238</v>
      </c>
      <c r="D3345" s="1" t="s">
        <v>7093</v>
      </c>
      <c r="F3345" s="1">
        <v>2023</v>
      </c>
      <c r="G3345" s="1" t="s">
        <v>247</v>
      </c>
      <c r="H3345" s="1">
        <v>609771</v>
      </c>
      <c r="I3345" s="1">
        <v>8</v>
      </c>
      <c r="K3345" s="1" t="s">
        <v>1713</v>
      </c>
      <c r="L3345" s="1" t="s">
        <v>2752</v>
      </c>
      <c r="M3345" s="1">
        <v>13</v>
      </c>
      <c r="N3345" s="1" t="s">
        <v>39</v>
      </c>
      <c r="O3345" s="1">
        <v>45.3718</v>
      </c>
      <c r="P3345" s="1">
        <v>-98.103200000000001</v>
      </c>
      <c r="Q3345" s="1" t="s">
        <v>2418</v>
      </c>
      <c r="R3345" s="1" t="s">
        <v>41</v>
      </c>
      <c r="T3345" s="1" t="s">
        <v>93</v>
      </c>
      <c r="U3345" s="1" t="s">
        <v>44</v>
      </c>
      <c r="X3345" s="1" t="s">
        <v>95</v>
      </c>
      <c r="AA3345" s="3">
        <v>39630</v>
      </c>
      <c r="AB3345" s="1" t="s">
        <v>46</v>
      </c>
      <c r="AC3345" s="5">
        <v>786.5</v>
      </c>
      <c r="AD3345" s="1" t="s">
        <v>7461</v>
      </c>
      <c r="AE3345" s="1" t="str">
        <f t="shared" si="234"/>
        <v>56238 CT002</v>
      </c>
      <c r="AF3345" s="5" t="str">
        <f t="shared" si="235"/>
        <v>95</v>
      </c>
      <c r="AG3345" s="1" t="str">
        <f t="shared" si="233"/>
        <v/>
      </c>
    </row>
    <row r="3346" spans="1:33" x14ac:dyDescent="0.2">
      <c r="A3346" s="1" t="s">
        <v>370</v>
      </c>
      <c r="B3346" s="1" t="s">
        <v>7462</v>
      </c>
      <c r="C3346" s="1">
        <v>56239</v>
      </c>
      <c r="D3346" s="1" t="s">
        <v>1155</v>
      </c>
      <c r="F3346" s="1">
        <v>2023</v>
      </c>
      <c r="G3346" s="1" t="s">
        <v>247</v>
      </c>
      <c r="H3346" s="1">
        <v>609325</v>
      </c>
      <c r="I3346" s="1">
        <v>9</v>
      </c>
      <c r="J3346" s="1" t="s">
        <v>237</v>
      </c>
      <c r="K3346" s="1" t="s">
        <v>4802</v>
      </c>
      <c r="L3346" s="1" t="s">
        <v>4803</v>
      </c>
      <c r="M3346" s="1">
        <v>19</v>
      </c>
      <c r="N3346" s="1" t="s">
        <v>39</v>
      </c>
      <c r="O3346" s="1">
        <v>36.689399999999999</v>
      </c>
      <c r="P3346" s="1">
        <v>-119.73990000000001</v>
      </c>
      <c r="Q3346" s="1" t="s">
        <v>7463</v>
      </c>
      <c r="R3346" s="1" t="s">
        <v>41</v>
      </c>
      <c r="T3346" s="1" t="s">
        <v>93</v>
      </c>
      <c r="U3346" s="1" t="s">
        <v>44</v>
      </c>
      <c r="X3346" s="1" t="s">
        <v>223</v>
      </c>
      <c r="AA3346" s="3">
        <v>38504</v>
      </c>
      <c r="AB3346" s="1" t="s">
        <v>46</v>
      </c>
      <c r="AC3346" s="5">
        <v>490</v>
      </c>
      <c r="AD3346" s="1" t="s">
        <v>7464</v>
      </c>
      <c r="AE3346" s="1" t="str">
        <f t="shared" si="234"/>
        <v>56239 GT-1</v>
      </c>
      <c r="AF3346" s="5" t="str">
        <f t="shared" si="235"/>
        <v>60.5</v>
      </c>
      <c r="AG3346" s="1" t="str">
        <f t="shared" si="233"/>
        <v>Y</v>
      </c>
    </row>
    <row r="3347" spans="1:33" x14ac:dyDescent="0.2">
      <c r="A3347" s="1" t="s">
        <v>370</v>
      </c>
      <c r="B3347" s="1" t="s">
        <v>7462</v>
      </c>
      <c r="C3347" s="1">
        <v>56239</v>
      </c>
      <c r="D3347" s="1" t="s">
        <v>1162</v>
      </c>
      <c r="F3347" s="1">
        <v>2023</v>
      </c>
      <c r="G3347" s="1" t="s">
        <v>247</v>
      </c>
      <c r="H3347" s="1">
        <v>609325</v>
      </c>
      <c r="I3347" s="1">
        <v>9</v>
      </c>
      <c r="J3347" s="1" t="s">
        <v>237</v>
      </c>
      <c r="K3347" s="1" t="s">
        <v>4802</v>
      </c>
      <c r="L3347" s="1" t="s">
        <v>4803</v>
      </c>
      <c r="M3347" s="1">
        <v>19</v>
      </c>
      <c r="N3347" s="1" t="s">
        <v>39</v>
      </c>
      <c r="O3347" s="1">
        <v>36.689399999999999</v>
      </c>
      <c r="P3347" s="1">
        <v>-119.73990000000001</v>
      </c>
      <c r="Q3347" s="1" t="s">
        <v>7463</v>
      </c>
      <c r="R3347" s="1" t="s">
        <v>41</v>
      </c>
      <c r="T3347" s="1" t="s">
        <v>93</v>
      </c>
      <c r="U3347" s="1" t="s">
        <v>44</v>
      </c>
      <c r="X3347" s="1" t="s">
        <v>223</v>
      </c>
      <c r="AA3347" s="3">
        <v>38504</v>
      </c>
      <c r="AB3347" s="1" t="s">
        <v>46</v>
      </c>
      <c r="AC3347" s="5">
        <v>480</v>
      </c>
      <c r="AD3347" s="1" t="s">
        <v>7465</v>
      </c>
      <c r="AE3347" s="1" t="str">
        <f t="shared" si="234"/>
        <v>56239 GT-2</v>
      </c>
      <c r="AF3347" s="5" t="str">
        <f t="shared" si="235"/>
        <v>60.5</v>
      </c>
      <c r="AG3347" s="1" t="str">
        <f t="shared" si="233"/>
        <v>Y</v>
      </c>
    </row>
    <row r="3348" spans="1:33" x14ac:dyDescent="0.2">
      <c r="A3348" s="1" t="s">
        <v>1663</v>
      </c>
      <c r="B3348" s="1" t="s">
        <v>7466</v>
      </c>
      <c r="C3348" s="1">
        <v>56241</v>
      </c>
      <c r="D3348" s="1" t="s">
        <v>6763</v>
      </c>
      <c r="F3348" s="1">
        <v>2023</v>
      </c>
      <c r="G3348" s="1" t="s">
        <v>1666</v>
      </c>
      <c r="H3348" s="1">
        <v>609059</v>
      </c>
      <c r="I3348" s="1">
        <v>5</v>
      </c>
      <c r="K3348" s="1" t="s">
        <v>7467</v>
      </c>
      <c r="L3348" s="1" t="s">
        <v>7468</v>
      </c>
      <c r="M3348" s="1">
        <v>49</v>
      </c>
      <c r="N3348" s="1" t="s">
        <v>39</v>
      </c>
      <c r="O3348" s="1">
        <v>44.5364</v>
      </c>
      <c r="P3348" s="1">
        <v>-92.914699999999996</v>
      </c>
      <c r="Q3348" s="1" t="s">
        <v>5880</v>
      </c>
      <c r="R3348" s="1" t="s">
        <v>41</v>
      </c>
      <c r="T3348" s="1" t="s">
        <v>93</v>
      </c>
      <c r="U3348" s="1" t="s">
        <v>44</v>
      </c>
      <c r="V3348" s="1" t="s">
        <v>94</v>
      </c>
      <c r="X3348" s="1" t="s">
        <v>183</v>
      </c>
      <c r="AA3348" s="3">
        <v>39513</v>
      </c>
      <c r="AB3348" s="1" t="s">
        <v>46</v>
      </c>
      <c r="AC3348" s="5">
        <v>2300</v>
      </c>
      <c r="AD3348" s="1" t="s">
        <v>7469</v>
      </c>
      <c r="AE3348" s="1" t="str">
        <f t="shared" si="234"/>
        <v>56241 CT-01</v>
      </c>
      <c r="AF3348" s="5" t="str">
        <f t="shared" si="235"/>
        <v>173.4</v>
      </c>
      <c r="AG3348" s="1" t="str">
        <f t="shared" si="233"/>
        <v/>
      </c>
    </row>
    <row r="3349" spans="1:33" x14ac:dyDescent="0.2">
      <c r="A3349" s="1" t="s">
        <v>1663</v>
      </c>
      <c r="B3349" s="1" t="s">
        <v>7466</v>
      </c>
      <c r="C3349" s="1">
        <v>56241</v>
      </c>
      <c r="D3349" s="1" t="s">
        <v>6766</v>
      </c>
      <c r="F3349" s="1">
        <v>2023</v>
      </c>
      <c r="G3349" s="1" t="s">
        <v>1666</v>
      </c>
      <c r="H3349" s="1">
        <v>609059</v>
      </c>
      <c r="I3349" s="1">
        <v>5</v>
      </c>
      <c r="K3349" s="1" t="s">
        <v>7467</v>
      </c>
      <c r="L3349" s="1" t="s">
        <v>7468</v>
      </c>
      <c r="M3349" s="1">
        <v>49</v>
      </c>
      <c r="N3349" s="1" t="s">
        <v>39</v>
      </c>
      <c r="O3349" s="1">
        <v>44.5364</v>
      </c>
      <c r="P3349" s="1">
        <v>-92.914699999999996</v>
      </c>
      <c r="Q3349" s="1" t="s">
        <v>5880</v>
      </c>
      <c r="R3349" s="1" t="s">
        <v>41</v>
      </c>
      <c r="T3349" s="1" t="s">
        <v>93</v>
      </c>
      <c r="U3349" s="1" t="s">
        <v>44</v>
      </c>
      <c r="V3349" s="1" t="s">
        <v>94</v>
      </c>
      <c r="X3349" s="1" t="s">
        <v>183</v>
      </c>
      <c r="AA3349" s="3">
        <v>39525</v>
      </c>
      <c r="AB3349" s="1" t="s">
        <v>46</v>
      </c>
      <c r="AC3349" s="5">
        <v>2300</v>
      </c>
      <c r="AD3349" s="1" t="s">
        <v>7470</v>
      </c>
      <c r="AE3349" s="1" t="str">
        <f t="shared" si="234"/>
        <v>56241 CT-02</v>
      </c>
      <c r="AF3349" s="5" t="str">
        <f t="shared" si="235"/>
        <v>173.4</v>
      </c>
      <c r="AG3349" s="1" t="str">
        <f t="shared" si="233"/>
        <v/>
      </c>
    </row>
    <row r="3350" spans="1:33" x14ac:dyDescent="0.2">
      <c r="A3350" s="1" t="s">
        <v>1153</v>
      </c>
      <c r="B3350" s="1" t="s">
        <v>7471</v>
      </c>
      <c r="C3350" s="1">
        <v>56249</v>
      </c>
      <c r="D3350" s="1" t="s">
        <v>7472</v>
      </c>
      <c r="F3350" s="1">
        <v>2023</v>
      </c>
      <c r="G3350" s="1" t="s">
        <v>2319</v>
      </c>
      <c r="H3350" s="1">
        <v>609062</v>
      </c>
      <c r="I3350" s="1">
        <v>4</v>
      </c>
      <c r="K3350" s="1" t="s">
        <v>2330</v>
      </c>
      <c r="L3350" s="1" t="s">
        <v>2331</v>
      </c>
      <c r="M3350" s="1">
        <v>7</v>
      </c>
      <c r="N3350" s="1" t="s">
        <v>39</v>
      </c>
      <c r="O3350" s="1">
        <v>34.970799999999997</v>
      </c>
      <c r="P3350" s="1">
        <v>-79.9208</v>
      </c>
      <c r="Q3350" s="1" t="s">
        <v>7473</v>
      </c>
      <c r="R3350" s="1" t="s">
        <v>41</v>
      </c>
      <c r="T3350" s="1" t="s">
        <v>93</v>
      </c>
      <c r="U3350" s="1" t="s">
        <v>44</v>
      </c>
      <c r="V3350" s="1" t="s">
        <v>94</v>
      </c>
      <c r="X3350" s="1" t="s">
        <v>95</v>
      </c>
      <c r="AA3350" s="3">
        <v>39105</v>
      </c>
      <c r="AB3350" s="1" t="s">
        <v>46</v>
      </c>
      <c r="AC3350" s="5">
        <v>330</v>
      </c>
      <c r="AD3350" s="1" t="s">
        <v>7474</v>
      </c>
      <c r="AE3350" s="1" t="str">
        <f t="shared" si="234"/>
        <v>56249 ES1-A</v>
      </c>
      <c r="AF3350" s="5" t="str">
        <f t="shared" si="235"/>
        <v>61.9</v>
      </c>
      <c r="AG3350" s="1" t="str">
        <f t="shared" si="233"/>
        <v/>
      </c>
    </row>
    <row r="3351" spans="1:33" x14ac:dyDescent="0.2">
      <c r="A3351" s="1" t="s">
        <v>1153</v>
      </c>
      <c r="B3351" s="1" t="s">
        <v>7471</v>
      </c>
      <c r="C3351" s="1">
        <v>56249</v>
      </c>
      <c r="D3351" s="1" t="s">
        <v>7475</v>
      </c>
      <c r="F3351" s="1">
        <v>2023</v>
      </c>
      <c r="G3351" s="1" t="s">
        <v>2319</v>
      </c>
      <c r="H3351" s="1">
        <v>609062</v>
      </c>
      <c r="I3351" s="1">
        <v>4</v>
      </c>
      <c r="K3351" s="1" t="s">
        <v>2330</v>
      </c>
      <c r="L3351" s="1" t="s">
        <v>2331</v>
      </c>
      <c r="M3351" s="1">
        <v>7</v>
      </c>
      <c r="N3351" s="1" t="s">
        <v>39</v>
      </c>
      <c r="O3351" s="1">
        <v>34.970799999999997</v>
      </c>
      <c r="P3351" s="1">
        <v>-79.9208</v>
      </c>
      <c r="Q3351" s="1" t="s">
        <v>7473</v>
      </c>
      <c r="R3351" s="1" t="s">
        <v>41</v>
      </c>
      <c r="T3351" s="1" t="s">
        <v>93</v>
      </c>
      <c r="U3351" s="1" t="s">
        <v>44</v>
      </c>
      <c r="V3351" s="1" t="s">
        <v>94</v>
      </c>
      <c r="X3351" s="1" t="s">
        <v>95</v>
      </c>
      <c r="AA3351" s="3">
        <v>39105</v>
      </c>
      <c r="AB3351" s="1" t="s">
        <v>46</v>
      </c>
      <c r="AC3351" s="5">
        <v>330</v>
      </c>
      <c r="AD3351" s="1" t="s">
        <v>7474</v>
      </c>
      <c r="AE3351" s="1" t="str">
        <f t="shared" si="234"/>
        <v>56249 ES1-B</v>
      </c>
      <c r="AF3351" s="5" t="str">
        <f t="shared" si="235"/>
        <v>61.9</v>
      </c>
      <c r="AG3351" s="1" t="str">
        <f t="shared" si="233"/>
        <v/>
      </c>
    </row>
    <row r="3352" spans="1:33" x14ac:dyDescent="0.2">
      <c r="A3352" s="1" t="s">
        <v>1153</v>
      </c>
      <c r="B3352" s="1" t="s">
        <v>7471</v>
      </c>
      <c r="C3352" s="1">
        <v>56249</v>
      </c>
      <c r="D3352" s="1" t="s">
        <v>7476</v>
      </c>
      <c r="F3352" s="1">
        <v>2023</v>
      </c>
      <c r="G3352" s="1" t="s">
        <v>2319</v>
      </c>
      <c r="H3352" s="1">
        <v>609062</v>
      </c>
      <c r="I3352" s="1">
        <v>4</v>
      </c>
      <c r="K3352" s="1" t="s">
        <v>2330</v>
      </c>
      <c r="L3352" s="1" t="s">
        <v>2331</v>
      </c>
      <c r="M3352" s="1">
        <v>7</v>
      </c>
      <c r="N3352" s="1" t="s">
        <v>39</v>
      </c>
      <c r="O3352" s="1">
        <v>34.970799999999997</v>
      </c>
      <c r="P3352" s="1">
        <v>-79.9208</v>
      </c>
      <c r="Q3352" s="1" t="s">
        <v>7473</v>
      </c>
      <c r="R3352" s="1" t="s">
        <v>41</v>
      </c>
      <c r="T3352" s="1" t="s">
        <v>93</v>
      </c>
      <c r="U3352" s="1" t="s">
        <v>44</v>
      </c>
      <c r="V3352" s="1" t="s">
        <v>94</v>
      </c>
      <c r="X3352" s="1" t="s">
        <v>95</v>
      </c>
      <c r="AA3352" s="3">
        <v>39106</v>
      </c>
      <c r="AB3352" s="1" t="s">
        <v>46</v>
      </c>
      <c r="AC3352" s="5">
        <v>330</v>
      </c>
      <c r="AD3352" s="1" t="s">
        <v>7477</v>
      </c>
      <c r="AE3352" s="1" t="str">
        <f t="shared" si="234"/>
        <v>56249 ES2-A</v>
      </c>
      <c r="AF3352" s="5" t="str">
        <f t="shared" si="235"/>
        <v>61.9</v>
      </c>
      <c r="AG3352" s="1" t="str">
        <f t="shared" si="233"/>
        <v/>
      </c>
    </row>
    <row r="3353" spans="1:33" x14ac:dyDescent="0.2">
      <c r="A3353" s="1" t="s">
        <v>1153</v>
      </c>
      <c r="B3353" s="1" t="s">
        <v>7471</v>
      </c>
      <c r="C3353" s="1">
        <v>56249</v>
      </c>
      <c r="D3353" s="1" t="s">
        <v>7478</v>
      </c>
      <c r="F3353" s="1">
        <v>2023</v>
      </c>
      <c r="G3353" s="1" t="s">
        <v>2319</v>
      </c>
      <c r="H3353" s="1">
        <v>609062</v>
      </c>
      <c r="I3353" s="1">
        <v>4</v>
      </c>
      <c r="K3353" s="1" t="s">
        <v>2330</v>
      </c>
      <c r="L3353" s="1" t="s">
        <v>2331</v>
      </c>
      <c r="M3353" s="1">
        <v>7</v>
      </c>
      <c r="N3353" s="1" t="s">
        <v>39</v>
      </c>
      <c r="O3353" s="1">
        <v>34.970799999999997</v>
      </c>
      <c r="P3353" s="1">
        <v>-79.9208</v>
      </c>
      <c r="Q3353" s="1" t="s">
        <v>7473</v>
      </c>
      <c r="R3353" s="1" t="s">
        <v>41</v>
      </c>
      <c r="T3353" s="1" t="s">
        <v>93</v>
      </c>
      <c r="U3353" s="1" t="s">
        <v>44</v>
      </c>
      <c r="V3353" s="1" t="s">
        <v>94</v>
      </c>
      <c r="X3353" s="1" t="s">
        <v>95</v>
      </c>
      <c r="AA3353" s="3">
        <v>39106</v>
      </c>
      <c r="AB3353" s="1" t="s">
        <v>46</v>
      </c>
      <c r="AC3353" s="5">
        <v>330</v>
      </c>
      <c r="AD3353" s="1" t="s">
        <v>7477</v>
      </c>
      <c r="AE3353" s="1" t="str">
        <f t="shared" si="234"/>
        <v>56249 ES2-B</v>
      </c>
      <c r="AF3353" s="5" t="str">
        <f t="shared" si="235"/>
        <v>61.9</v>
      </c>
      <c r="AG3353" s="1" t="str">
        <f t="shared" si="233"/>
        <v/>
      </c>
    </row>
    <row r="3354" spans="1:33" x14ac:dyDescent="0.2">
      <c r="A3354" s="1" t="s">
        <v>1153</v>
      </c>
      <c r="B3354" s="1" t="s">
        <v>7471</v>
      </c>
      <c r="C3354" s="1">
        <v>56249</v>
      </c>
      <c r="D3354" s="1" t="s">
        <v>7479</v>
      </c>
      <c r="F3354" s="1">
        <v>2023</v>
      </c>
      <c r="G3354" s="1" t="s">
        <v>2319</v>
      </c>
      <c r="H3354" s="1">
        <v>609062</v>
      </c>
      <c r="I3354" s="1">
        <v>4</v>
      </c>
      <c r="K3354" s="1" t="s">
        <v>2330</v>
      </c>
      <c r="L3354" s="1" t="s">
        <v>2331</v>
      </c>
      <c r="M3354" s="1">
        <v>7</v>
      </c>
      <c r="N3354" s="1" t="s">
        <v>39</v>
      </c>
      <c r="O3354" s="1">
        <v>34.970799999999997</v>
      </c>
      <c r="P3354" s="1">
        <v>-79.9208</v>
      </c>
      <c r="Q3354" s="1" t="s">
        <v>7473</v>
      </c>
      <c r="R3354" s="1" t="s">
        <v>41</v>
      </c>
      <c r="T3354" s="1" t="s">
        <v>93</v>
      </c>
      <c r="U3354" s="1" t="s">
        <v>44</v>
      </c>
      <c r="V3354" s="1" t="s">
        <v>94</v>
      </c>
      <c r="X3354" s="1" t="s">
        <v>95</v>
      </c>
      <c r="AA3354" s="3">
        <v>39125</v>
      </c>
      <c r="AB3354" s="1" t="s">
        <v>46</v>
      </c>
      <c r="AC3354" s="5">
        <v>330</v>
      </c>
      <c r="AD3354" s="1" t="s">
        <v>7480</v>
      </c>
      <c r="AE3354" s="1" t="str">
        <f t="shared" si="234"/>
        <v>56249 ES3-A</v>
      </c>
      <c r="AF3354" s="5" t="str">
        <f t="shared" si="235"/>
        <v>61.9</v>
      </c>
      <c r="AG3354" s="1" t="str">
        <f t="shared" si="233"/>
        <v/>
      </c>
    </row>
    <row r="3355" spans="1:33" x14ac:dyDescent="0.2">
      <c r="A3355" s="1" t="s">
        <v>1153</v>
      </c>
      <c r="B3355" s="1" t="s">
        <v>7471</v>
      </c>
      <c r="C3355" s="1">
        <v>56249</v>
      </c>
      <c r="D3355" s="1" t="s">
        <v>7481</v>
      </c>
      <c r="F3355" s="1">
        <v>2023</v>
      </c>
      <c r="G3355" s="1" t="s">
        <v>2319</v>
      </c>
      <c r="H3355" s="1">
        <v>609062</v>
      </c>
      <c r="I3355" s="1">
        <v>4</v>
      </c>
      <c r="K3355" s="1" t="s">
        <v>2330</v>
      </c>
      <c r="L3355" s="1" t="s">
        <v>2331</v>
      </c>
      <c r="M3355" s="1">
        <v>7</v>
      </c>
      <c r="N3355" s="1" t="s">
        <v>39</v>
      </c>
      <c r="O3355" s="1">
        <v>34.970799999999997</v>
      </c>
      <c r="P3355" s="1">
        <v>-79.9208</v>
      </c>
      <c r="Q3355" s="1" t="s">
        <v>7473</v>
      </c>
      <c r="R3355" s="1" t="s">
        <v>41</v>
      </c>
      <c r="T3355" s="1" t="s">
        <v>93</v>
      </c>
      <c r="U3355" s="1" t="s">
        <v>44</v>
      </c>
      <c r="V3355" s="1" t="s">
        <v>94</v>
      </c>
      <c r="X3355" s="1" t="s">
        <v>95</v>
      </c>
      <c r="AA3355" s="3">
        <v>39125</v>
      </c>
      <c r="AB3355" s="1" t="s">
        <v>46</v>
      </c>
      <c r="AC3355" s="5">
        <v>330</v>
      </c>
      <c r="AD3355" s="1" t="s">
        <v>7480</v>
      </c>
      <c r="AE3355" s="1" t="str">
        <f t="shared" si="234"/>
        <v>56249 ES3-B</v>
      </c>
      <c r="AF3355" s="5" t="str">
        <f t="shared" si="235"/>
        <v>61.9</v>
      </c>
      <c r="AG3355" s="1" t="str">
        <f t="shared" si="233"/>
        <v/>
      </c>
    </row>
    <row r="3356" spans="1:33" x14ac:dyDescent="0.2">
      <c r="A3356" s="1" t="s">
        <v>1153</v>
      </c>
      <c r="B3356" s="1" t="s">
        <v>7471</v>
      </c>
      <c r="C3356" s="1">
        <v>56249</v>
      </c>
      <c r="D3356" s="1" t="s">
        <v>7482</v>
      </c>
      <c r="F3356" s="1">
        <v>2023</v>
      </c>
      <c r="G3356" s="1" t="s">
        <v>2319</v>
      </c>
      <c r="H3356" s="1">
        <v>609062</v>
      </c>
      <c r="I3356" s="1">
        <v>4</v>
      </c>
      <c r="K3356" s="1" t="s">
        <v>2330</v>
      </c>
      <c r="L3356" s="1" t="s">
        <v>2331</v>
      </c>
      <c r="M3356" s="1">
        <v>7</v>
      </c>
      <c r="N3356" s="1" t="s">
        <v>39</v>
      </c>
      <c r="O3356" s="1">
        <v>34.970799999999997</v>
      </c>
      <c r="P3356" s="1">
        <v>-79.9208</v>
      </c>
      <c r="Q3356" s="1" t="s">
        <v>7473</v>
      </c>
      <c r="R3356" s="1" t="s">
        <v>41</v>
      </c>
      <c r="T3356" s="1" t="s">
        <v>93</v>
      </c>
      <c r="U3356" s="1" t="s">
        <v>44</v>
      </c>
      <c r="V3356" s="1" t="s">
        <v>94</v>
      </c>
      <c r="X3356" s="1" t="s">
        <v>95</v>
      </c>
      <c r="AA3356" s="3">
        <v>39126</v>
      </c>
      <c r="AB3356" s="1" t="s">
        <v>46</v>
      </c>
      <c r="AC3356" s="5">
        <v>330</v>
      </c>
      <c r="AD3356" s="1" t="s">
        <v>7483</v>
      </c>
      <c r="AE3356" s="1" t="str">
        <f t="shared" si="234"/>
        <v>56249 ES4-A</v>
      </c>
      <c r="AF3356" s="5" t="str">
        <f t="shared" si="235"/>
        <v>61.9</v>
      </c>
      <c r="AG3356" s="1" t="str">
        <f t="shared" si="233"/>
        <v/>
      </c>
    </row>
    <row r="3357" spans="1:33" x14ac:dyDescent="0.2">
      <c r="A3357" s="1" t="s">
        <v>1153</v>
      </c>
      <c r="B3357" s="1" t="s">
        <v>7471</v>
      </c>
      <c r="C3357" s="1">
        <v>56249</v>
      </c>
      <c r="D3357" s="1" t="s">
        <v>7484</v>
      </c>
      <c r="F3357" s="1">
        <v>2023</v>
      </c>
      <c r="G3357" s="1" t="s">
        <v>2319</v>
      </c>
      <c r="H3357" s="1">
        <v>609062</v>
      </c>
      <c r="I3357" s="1">
        <v>4</v>
      </c>
      <c r="K3357" s="1" t="s">
        <v>2330</v>
      </c>
      <c r="L3357" s="1" t="s">
        <v>2331</v>
      </c>
      <c r="M3357" s="1">
        <v>7</v>
      </c>
      <c r="N3357" s="1" t="s">
        <v>39</v>
      </c>
      <c r="O3357" s="1">
        <v>34.970799999999997</v>
      </c>
      <c r="P3357" s="1">
        <v>-79.9208</v>
      </c>
      <c r="Q3357" s="1" t="s">
        <v>7473</v>
      </c>
      <c r="R3357" s="1" t="s">
        <v>41</v>
      </c>
      <c r="T3357" s="1" t="s">
        <v>93</v>
      </c>
      <c r="U3357" s="1" t="s">
        <v>44</v>
      </c>
      <c r="V3357" s="1" t="s">
        <v>94</v>
      </c>
      <c r="X3357" s="1" t="s">
        <v>95</v>
      </c>
      <c r="AA3357" s="3">
        <v>39126</v>
      </c>
      <c r="AB3357" s="1" t="s">
        <v>46</v>
      </c>
      <c r="AC3357" s="5">
        <v>330</v>
      </c>
      <c r="AD3357" s="1" t="s">
        <v>7483</v>
      </c>
      <c r="AE3357" s="1" t="str">
        <f t="shared" si="234"/>
        <v>56249 ES4-B</v>
      </c>
      <c r="AF3357" s="5" t="str">
        <f t="shared" si="235"/>
        <v>61.9</v>
      </c>
      <c r="AG3357" s="1" t="str">
        <f t="shared" si="233"/>
        <v/>
      </c>
    </row>
    <row r="3358" spans="1:33" x14ac:dyDescent="0.2">
      <c r="A3358" s="1" t="s">
        <v>1153</v>
      </c>
      <c r="B3358" s="1" t="s">
        <v>7471</v>
      </c>
      <c r="C3358" s="1">
        <v>56249</v>
      </c>
      <c r="D3358" s="1" t="s">
        <v>7485</v>
      </c>
      <c r="F3358" s="1">
        <v>2023</v>
      </c>
      <c r="G3358" s="1" t="s">
        <v>2319</v>
      </c>
      <c r="H3358" s="1">
        <v>609062</v>
      </c>
      <c r="I3358" s="1">
        <v>4</v>
      </c>
      <c r="K3358" s="1" t="s">
        <v>2330</v>
      </c>
      <c r="L3358" s="1" t="s">
        <v>2331</v>
      </c>
      <c r="M3358" s="1">
        <v>7</v>
      </c>
      <c r="N3358" s="1" t="s">
        <v>39</v>
      </c>
      <c r="O3358" s="1">
        <v>34.970799999999997</v>
      </c>
      <c r="P3358" s="1">
        <v>-79.9208</v>
      </c>
      <c r="Q3358" s="1" t="s">
        <v>7473</v>
      </c>
      <c r="R3358" s="1" t="s">
        <v>41</v>
      </c>
      <c r="T3358" s="1" t="s">
        <v>93</v>
      </c>
      <c r="U3358" s="1" t="s">
        <v>44</v>
      </c>
      <c r="V3358" s="1" t="s">
        <v>94</v>
      </c>
      <c r="X3358" s="1" t="s">
        <v>95</v>
      </c>
      <c r="AA3358" s="3">
        <v>39195</v>
      </c>
      <c r="AB3358" s="1" t="s">
        <v>46</v>
      </c>
      <c r="AC3358" s="5">
        <v>330</v>
      </c>
      <c r="AD3358" s="1" t="s">
        <v>7486</v>
      </c>
      <c r="AE3358" s="1" t="str">
        <f t="shared" si="234"/>
        <v>56249 ES5-A</v>
      </c>
      <c r="AF3358" s="5" t="str">
        <f t="shared" si="235"/>
        <v>61.9</v>
      </c>
      <c r="AG3358" s="1" t="str">
        <f t="shared" si="233"/>
        <v/>
      </c>
    </row>
    <row r="3359" spans="1:33" x14ac:dyDescent="0.2">
      <c r="A3359" s="1" t="s">
        <v>1153</v>
      </c>
      <c r="B3359" s="1" t="s">
        <v>7471</v>
      </c>
      <c r="C3359" s="1">
        <v>56249</v>
      </c>
      <c r="D3359" s="1" t="s">
        <v>7487</v>
      </c>
      <c r="F3359" s="1">
        <v>2023</v>
      </c>
      <c r="G3359" s="1" t="s">
        <v>2319</v>
      </c>
      <c r="H3359" s="1">
        <v>609062</v>
      </c>
      <c r="I3359" s="1">
        <v>4</v>
      </c>
      <c r="K3359" s="1" t="s">
        <v>2330</v>
      </c>
      <c r="L3359" s="1" t="s">
        <v>2331</v>
      </c>
      <c r="M3359" s="1">
        <v>7</v>
      </c>
      <c r="N3359" s="1" t="s">
        <v>39</v>
      </c>
      <c r="O3359" s="1">
        <v>34.970799999999997</v>
      </c>
      <c r="P3359" s="1">
        <v>-79.9208</v>
      </c>
      <c r="Q3359" s="1" t="s">
        <v>7473</v>
      </c>
      <c r="R3359" s="1" t="s">
        <v>41</v>
      </c>
      <c r="T3359" s="1" t="s">
        <v>93</v>
      </c>
      <c r="U3359" s="1" t="s">
        <v>44</v>
      </c>
      <c r="V3359" s="1" t="s">
        <v>94</v>
      </c>
      <c r="X3359" s="1" t="s">
        <v>95</v>
      </c>
      <c r="AA3359" s="3">
        <v>39195</v>
      </c>
      <c r="AB3359" s="1" t="s">
        <v>46</v>
      </c>
      <c r="AC3359" s="5">
        <v>330</v>
      </c>
      <c r="AD3359" s="1" t="s">
        <v>7486</v>
      </c>
      <c r="AE3359" s="1" t="str">
        <f t="shared" si="234"/>
        <v>56249 ES5-B</v>
      </c>
      <c r="AF3359" s="5" t="str">
        <f t="shared" si="235"/>
        <v>61.9</v>
      </c>
      <c r="AG3359" s="1" t="str">
        <f t="shared" si="233"/>
        <v/>
      </c>
    </row>
    <row r="3360" spans="1:33" x14ac:dyDescent="0.2">
      <c r="A3360" s="1" t="s">
        <v>1153</v>
      </c>
      <c r="B3360" s="1" t="s">
        <v>7471</v>
      </c>
      <c r="C3360" s="1">
        <v>56249</v>
      </c>
      <c r="D3360" s="1" t="s">
        <v>7488</v>
      </c>
      <c r="F3360" s="1">
        <v>2023</v>
      </c>
      <c r="G3360" s="1" t="s">
        <v>2319</v>
      </c>
      <c r="H3360" s="1">
        <v>609062</v>
      </c>
      <c r="I3360" s="1">
        <v>4</v>
      </c>
      <c r="K3360" s="1" t="s">
        <v>2330</v>
      </c>
      <c r="L3360" s="1" t="s">
        <v>2331</v>
      </c>
      <c r="M3360" s="1">
        <v>7</v>
      </c>
      <c r="N3360" s="1" t="s">
        <v>39</v>
      </c>
      <c r="O3360" s="1">
        <v>34.970799999999997</v>
      </c>
      <c r="P3360" s="1">
        <v>-79.9208</v>
      </c>
      <c r="Q3360" s="1" t="s">
        <v>7473</v>
      </c>
      <c r="R3360" s="1" t="s">
        <v>41</v>
      </c>
      <c r="T3360" s="1" t="s">
        <v>93</v>
      </c>
      <c r="U3360" s="1" t="s">
        <v>44</v>
      </c>
      <c r="V3360" s="1" t="s">
        <v>94</v>
      </c>
      <c r="X3360" s="1" t="s">
        <v>95</v>
      </c>
      <c r="AA3360" s="3">
        <v>39196</v>
      </c>
      <c r="AB3360" s="1" t="s">
        <v>46</v>
      </c>
      <c r="AC3360" s="5">
        <v>330</v>
      </c>
      <c r="AD3360" s="1" t="s">
        <v>7489</v>
      </c>
      <c r="AE3360" s="1" t="str">
        <f t="shared" si="234"/>
        <v>56249 ES6-A</v>
      </c>
      <c r="AF3360" s="5" t="str">
        <f t="shared" si="235"/>
        <v>61.9</v>
      </c>
      <c r="AG3360" s="1" t="str">
        <f t="shared" si="233"/>
        <v/>
      </c>
    </row>
    <row r="3361" spans="1:33" x14ac:dyDescent="0.2">
      <c r="A3361" s="1" t="s">
        <v>1153</v>
      </c>
      <c r="B3361" s="1" t="s">
        <v>7471</v>
      </c>
      <c r="C3361" s="1">
        <v>56249</v>
      </c>
      <c r="D3361" s="1" t="s">
        <v>7490</v>
      </c>
      <c r="F3361" s="1">
        <v>2023</v>
      </c>
      <c r="G3361" s="1" t="s">
        <v>2319</v>
      </c>
      <c r="H3361" s="1">
        <v>609062</v>
      </c>
      <c r="I3361" s="1">
        <v>4</v>
      </c>
      <c r="K3361" s="1" t="s">
        <v>2330</v>
      </c>
      <c r="L3361" s="1" t="s">
        <v>2331</v>
      </c>
      <c r="M3361" s="1">
        <v>7</v>
      </c>
      <c r="N3361" s="1" t="s">
        <v>39</v>
      </c>
      <c r="O3361" s="1">
        <v>34.970799999999997</v>
      </c>
      <c r="P3361" s="1">
        <v>-79.9208</v>
      </c>
      <c r="Q3361" s="1" t="s">
        <v>7473</v>
      </c>
      <c r="R3361" s="1" t="s">
        <v>41</v>
      </c>
      <c r="T3361" s="1" t="s">
        <v>93</v>
      </c>
      <c r="U3361" s="1" t="s">
        <v>44</v>
      </c>
      <c r="V3361" s="1" t="s">
        <v>94</v>
      </c>
      <c r="X3361" s="1" t="s">
        <v>95</v>
      </c>
      <c r="AA3361" s="3">
        <v>39196</v>
      </c>
      <c r="AB3361" s="1" t="s">
        <v>46</v>
      </c>
      <c r="AC3361" s="5">
        <v>330</v>
      </c>
      <c r="AD3361" s="1" t="s">
        <v>7489</v>
      </c>
      <c r="AE3361" s="1" t="str">
        <f t="shared" si="234"/>
        <v>56249 ES6-B</v>
      </c>
      <c r="AF3361" s="5" t="str">
        <f t="shared" si="235"/>
        <v>61.9</v>
      </c>
      <c r="AG3361" s="1" t="str">
        <f t="shared" si="233"/>
        <v/>
      </c>
    </row>
    <row r="3362" spans="1:33" x14ac:dyDescent="0.2">
      <c r="A3362" s="1" t="s">
        <v>3076</v>
      </c>
      <c r="B3362" s="1" t="s">
        <v>7491</v>
      </c>
      <c r="C3362" s="1">
        <v>56253</v>
      </c>
      <c r="D3362" s="1" t="s">
        <v>7492</v>
      </c>
      <c r="F3362" s="1">
        <v>2023</v>
      </c>
      <c r="G3362" s="1" t="s">
        <v>247</v>
      </c>
      <c r="H3362" s="1">
        <v>607725</v>
      </c>
      <c r="I3362" s="1">
        <v>8</v>
      </c>
      <c r="K3362" s="1" t="s">
        <v>196</v>
      </c>
      <c r="L3362" s="1" t="s">
        <v>7493</v>
      </c>
      <c r="M3362" s="1">
        <v>53</v>
      </c>
      <c r="N3362" s="1" t="s">
        <v>39</v>
      </c>
      <c r="O3362" s="1">
        <v>37.112400000000001</v>
      </c>
      <c r="P3362" s="1">
        <v>-113.5155</v>
      </c>
      <c r="Q3362" s="1" t="s">
        <v>7494</v>
      </c>
      <c r="R3362" s="1" t="s">
        <v>41</v>
      </c>
      <c r="T3362" s="1" t="s">
        <v>93</v>
      </c>
      <c r="U3362" s="1" t="s">
        <v>44</v>
      </c>
      <c r="X3362" s="1" t="s">
        <v>140</v>
      </c>
      <c r="AA3362" s="3">
        <v>38810</v>
      </c>
      <c r="AB3362" s="1" t="s">
        <v>46</v>
      </c>
      <c r="AC3362" s="5">
        <v>360</v>
      </c>
      <c r="AD3362" s="1" t="s">
        <v>7495</v>
      </c>
      <c r="AE3362" s="1" t="str">
        <f t="shared" si="234"/>
        <v>56253 MC-1</v>
      </c>
      <c r="AF3362" s="5" t="str">
        <f t="shared" si="235"/>
        <v>40</v>
      </c>
      <c r="AG3362" s="1" t="str">
        <f t="shared" si="233"/>
        <v/>
      </c>
    </row>
    <row r="3363" spans="1:33" x14ac:dyDescent="0.2">
      <c r="A3363" s="1" t="s">
        <v>3076</v>
      </c>
      <c r="B3363" s="1" t="s">
        <v>7491</v>
      </c>
      <c r="C3363" s="1">
        <v>56253</v>
      </c>
      <c r="D3363" s="1" t="s">
        <v>7496</v>
      </c>
      <c r="F3363" s="1">
        <v>2023</v>
      </c>
      <c r="G3363" s="1" t="s">
        <v>247</v>
      </c>
      <c r="H3363" s="1">
        <v>607725</v>
      </c>
      <c r="I3363" s="1">
        <v>8</v>
      </c>
      <c r="K3363" s="1" t="s">
        <v>196</v>
      </c>
      <c r="L3363" s="1" t="s">
        <v>7493</v>
      </c>
      <c r="M3363" s="1">
        <v>53</v>
      </c>
      <c r="N3363" s="1" t="s">
        <v>39</v>
      </c>
      <c r="O3363" s="1">
        <v>37.112400000000001</v>
      </c>
      <c r="P3363" s="1">
        <v>-113.5155</v>
      </c>
      <c r="Q3363" s="1" t="s">
        <v>7494</v>
      </c>
      <c r="R3363" s="1" t="s">
        <v>41</v>
      </c>
      <c r="T3363" s="1" t="s">
        <v>93</v>
      </c>
      <c r="U3363" s="1" t="s">
        <v>44</v>
      </c>
      <c r="X3363" s="1" t="s">
        <v>64</v>
      </c>
      <c r="AA3363" s="3">
        <v>40293</v>
      </c>
      <c r="AB3363" s="1" t="s">
        <v>46</v>
      </c>
      <c r="AC3363" s="5">
        <v>420</v>
      </c>
      <c r="AD3363" s="1" t="s">
        <v>7497</v>
      </c>
      <c r="AE3363" s="1" t="str">
        <f t="shared" si="234"/>
        <v>56253 MC-2</v>
      </c>
      <c r="AF3363" s="5" t="str">
        <f t="shared" si="235"/>
        <v>40</v>
      </c>
      <c r="AG3363" s="1" t="str">
        <f t="shared" si="233"/>
        <v>Y</v>
      </c>
    </row>
    <row r="3364" spans="1:33" x14ac:dyDescent="0.2">
      <c r="A3364" s="1" t="s">
        <v>2089</v>
      </c>
      <c r="B3364" s="1" t="s">
        <v>7498</v>
      </c>
      <c r="C3364" s="1">
        <v>56259</v>
      </c>
      <c r="D3364" s="1" t="s">
        <v>1296</v>
      </c>
      <c r="F3364" s="1">
        <v>2023</v>
      </c>
      <c r="G3364" s="1" t="s">
        <v>1515</v>
      </c>
      <c r="H3364" s="1">
        <v>605110</v>
      </c>
      <c r="I3364" s="1">
        <v>2</v>
      </c>
      <c r="J3364" s="1" t="s">
        <v>580</v>
      </c>
      <c r="K3364" s="1" t="s">
        <v>4816</v>
      </c>
      <c r="L3364" s="1" t="s">
        <v>4817</v>
      </c>
      <c r="M3364" s="1">
        <v>83</v>
      </c>
      <c r="N3364" s="1" t="s">
        <v>39</v>
      </c>
      <c r="O3364" s="1">
        <v>42.629600000000003</v>
      </c>
      <c r="P3364" s="1">
        <v>-73.748999999999995</v>
      </c>
      <c r="Q3364" s="1" t="s">
        <v>7499</v>
      </c>
      <c r="R3364" s="1" t="s">
        <v>41</v>
      </c>
      <c r="T3364" s="1" t="s">
        <v>71</v>
      </c>
      <c r="U3364" s="1" t="s">
        <v>44</v>
      </c>
      <c r="V3364" s="1" t="s">
        <v>94</v>
      </c>
      <c r="X3364" s="1" t="s">
        <v>643</v>
      </c>
      <c r="AA3364" s="3">
        <v>40324</v>
      </c>
      <c r="AB3364" s="1" t="s">
        <v>46</v>
      </c>
      <c r="AC3364" s="5">
        <v>2750</v>
      </c>
      <c r="AD3364" s="1" t="s">
        <v>7500</v>
      </c>
      <c r="AE3364" s="1" t="str">
        <f t="shared" si="234"/>
        <v>56259 CT-1</v>
      </c>
      <c r="AF3364" s="14">
        <f>MID(AD3364,FIND("(",AD3364)+1,FIND(")",AD3364)-FIND("(",AD3364)-1)+295.7/2</f>
        <v>326.85000000000002</v>
      </c>
      <c r="AG3364" s="1" t="str">
        <f t="shared" si="233"/>
        <v>Y</v>
      </c>
    </row>
    <row r="3365" spans="1:33" x14ac:dyDescent="0.2">
      <c r="A3365" s="1" t="s">
        <v>2089</v>
      </c>
      <c r="B3365" s="1" t="s">
        <v>7498</v>
      </c>
      <c r="C3365" s="1">
        <v>56259</v>
      </c>
      <c r="D3365" s="1" t="s">
        <v>1300</v>
      </c>
      <c r="F3365" s="1">
        <v>2023</v>
      </c>
      <c r="G3365" s="1" t="s">
        <v>1515</v>
      </c>
      <c r="H3365" s="1">
        <v>605110</v>
      </c>
      <c r="I3365" s="1">
        <v>2</v>
      </c>
      <c r="J3365" s="1" t="s">
        <v>580</v>
      </c>
      <c r="K3365" s="1" t="s">
        <v>4816</v>
      </c>
      <c r="L3365" s="1" t="s">
        <v>4817</v>
      </c>
      <c r="M3365" s="1">
        <v>83</v>
      </c>
      <c r="N3365" s="1" t="s">
        <v>39</v>
      </c>
      <c r="O3365" s="1">
        <v>42.629600000000003</v>
      </c>
      <c r="P3365" s="1">
        <v>-73.748999999999995</v>
      </c>
      <c r="Q3365" s="1" t="s">
        <v>7499</v>
      </c>
      <c r="R3365" s="1" t="s">
        <v>41</v>
      </c>
      <c r="T3365" s="1" t="s">
        <v>71</v>
      </c>
      <c r="U3365" s="1" t="s">
        <v>44</v>
      </c>
      <c r="V3365" s="1" t="s">
        <v>94</v>
      </c>
      <c r="X3365" s="1" t="s">
        <v>643</v>
      </c>
      <c r="AA3365" s="3">
        <v>40332</v>
      </c>
      <c r="AB3365" s="1" t="s">
        <v>46</v>
      </c>
      <c r="AC3365" s="5">
        <v>2750</v>
      </c>
      <c r="AD3365" s="1" t="s">
        <v>7501</v>
      </c>
      <c r="AE3365" s="1" t="str">
        <f t="shared" si="234"/>
        <v>56259 CT-2</v>
      </c>
      <c r="AF3365" s="14">
        <f>AF3364</f>
        <v>326.85000000000002</v>
      </c>
      <c r="AG3365" s="1" t="str">
        <f t="shared" si="233"/>
        <v>Y</v>
      </c>
    </row>
    <row r="3366" spans="1:33" x14ac:dyDescent="0.2">
      <c r="A3366" s="1" t="s">
        <v>1426</v>
      </c>
      <c r="B3366" s="1" t="s">
        <v>7502</v>
      </c>
      <c r="C3366" s="1">
        <v>56283</v>
      </c>
      <c r="D3366" s="1" t="s">
        <v>7322</v>
      </c>
      <c r="F3366" s="1">
        <v>2023</v>
      </c>
      <c r="G3366" s="1" t="s">
        <v>1428</v>
      </c>
      <c r="H3366" s="1">
        <v>607490</v>
      </c>
      <c r="I3366" s="1">
        <v>6</v>
      </c>
      <c r="K3366" s="1" t="s">
        <v>7396</v>
      </c>
      <c r="L3366" s="1" t="s">
        <v>7397</v>
      </c>
      <c r="M3366" s="1">
        <v>55</v>
      </c>
      <c r="N3366" s="1" t="s">
        <v>39</v>
      </c>
      <c r="O3366" s="1">
        <v>30.1694</v>
      </c>
      <c r="P3366" s="1">
        <v>-91.9923</v>
      </c>
      <c r="Q3366" s="1" t="s">
        <v>7398</v>
      </c>
      <c r="R3366" s="1" t="s">
        <v>41</v>
      </c>
      <c r="T3366" s="1" t="s">
        <v>93</v>
      </c>
      <c r="U3366" s="1" t="s">
        <v>44</v>
      </c>
      <c r="X3366" s="1" t="s">
        <v>95</v>
      </c>
      <c r="AA3366" s="3">
        <v>38834</v>
      </c>
      <c r="AB3366" s="1" t="s">
        <v>46</v>
      </c>
      <c r="AC3366" s="5">
        <v>510</v>
      </c>
      <c r="AD3366" s="1" t="s">
        <v>7326</v>
      </c>
      <c r="AE3366" s="1" t="str">
        <f t="shared" si="234"/>
        <v>56283 U-1</v>
      </c>
      <c r="AF3366" s="5" t="str">
        <f t="shared" ref="AF3366:AF3379" si="236">MID(AD3366,FIND("(",AD3366)+1,FIND(")",AD3366)-FIND("(",AD3366)-1)</f>
        <v>60.5</v>
      </c>
      <c r="AG3366" s="1" t="str">
        <f t="shared" si="233"/>
        <v/>
      </c>
    </row>
    <row r="3367" spans="1:33" x14ac:dyDescent="0.2">
      <c r="A3367" s="1" t="s">
        <v>1426</v>
      </c>
      <c r="B3367" s="1" t="s">
        <v>7502</v>
      </c>
      <c r="C3367" s="1">
        <v>56283</v>
      </c>
      <c r="D3367" s="1" t="s">
        <v>7327</v>
      </c>
      <c r="F3367" s="1">
        <v>2023</v>
      </c>
      <c r="G3367" s="1" t="s">
        <v>1428</v>
      </c>
      <c r="H3367" s="1">
        <v>607490</v>
      </c>
      <c r="I3367" s="1">
        <v>6</v>
      </c>
      <c r="K3367" s="1" t="s">
        <v>7396</v>
      </c>
      <c r="L3367" s="1" t="s">
        <v>7397</v>
      </c>
      <c r="M3367" s="1">
        <v>55</v>
      </c>
      <c r="N3367" s="1" t="s">
        <v>39</v>
      </c>
      <c r="O3367" s="1">
        <v>30.1694</v>
      </c>
      <c r="P3367" s="1">
        <v>-91.9923</v>
      </c>
      <c r="Q3367" s="1" t="s">
        <v>7398</v>
      </c>
      <c r="R3367" s="1" t="s">
        <v>41</v>
      </c>
      <c r="T3367" s="1" t="s">
        <v>93</v>
      </c>
      <c r="U3367" s="1" t="s">
        <v>44</v>
      </c>
      <c r="X3367" s="1" t="s">
        <v>95</v>
      </c>
      <c r="AA3367" s="3">
        <v>38825</v>
      </c>
      <c r="AB3367" s="1" t="s">
        <v>46</v>
      </c>
      <c r="AC3367" s="5">
        <v>510</v>
      </c>
      <c r="AD3367" s="1" t="s">
        <v>7328</v>
      </c>
      <c r="AE3367" s="1" t="str">
        <f t="shared" si="234"/>
        <v>56283 U-2</v>
      </c>
      <c r="AF3367" s="5" t="str">
        <f t="shared" si="236"/>
        <v>60.5</v>
      </c>
      <c r="AG3367" s="1" t="str">
        <f t="shared" si="233"/>
        <v/>
      </c>
    </row>
    <row r="3368" spans="1:33" x14ac:dyDescent="0.2">
      <c r="A3368" s="1" t="s">
        <v>1153</v>
      </c>
      <c r="B3368" s="1" t="s">
        <v>7503</v>
      </c>
      <c r="C3368" s="1">
        <v>56292</v>
      </c>
      <c r="D3368" s="1" t="s">
        <v>7472</v>
      </c>
      <c r="F3368" s="1">
        <v>2023</v>
      </c>
      <c r="G3368" s="1" t="s">
        <v>2319</v>
      </c>
      <c r="H3368" s="1">
        <v>609062</v>
      </c>
      <c r="I3368" s="1">
        <v>4</v>
      </c>
      <c r="K3368" s="1" t="s">
        <v>2099</v>
      </c>
      <c r="L3368" s="1" t="s">
        <v>4250</v>
      </c>
      <c r="M3368" s="1">
        <v>153</v>
      </c>
      <c r="N3368" s="1" t="s">
        <v>39</v>
      </c>
      <c r="O3368" s="1">
        <v>34.842199999999998</v>
      </c>
      <c r="P3368" s="1">
        <v>-79.736699999999999</v>
      </c>
      <c r="Q3368" s="1" t="s">
        <v>7473</v>
      </c>
      <c r="R3368" s="1" t="s">
        <v>41</v>
      </c>
      <c r="T3368" s="1" t="s">
        <v>93</v>
      </c>
      <c r="U3368" s="1" t="s">
        <v>44</v>
      </c>
      <c r="V3368" s="1" t="s">
        <v>94</v>
      </c>
      <c r="X3368" s="1" t="s">
        <v>95</v>
      </c>
      <c r="AA3368" s="3">
        <v>39360</v>
      </c>
      <c r="AB3368" s="1" t="s">
        <v>46</v>
      </c>
      <c r="AC3368" s="5">
        <v>330</v>
      </c>
      <c r="AD3368" s="1" t="s">
        <v>7474</v>
      </c>
      <c r="AE3368" s="1" t="str">
        <f t="shared" si="234"/>
        <v>56292 ES1-A</v>
      </c>
      <c r="AF3368" s="5" t="str">
        <f t="shared" si="236"/>
        <v>61.9</v>
      </c>
      <c r="AG3368" s="1" t="str">
        <f t="shared" si="233"/>
        <v/>
      </c>
    </row>
    <row r="3369" spans="1:33" x14ac:dyDescent="0.2">
      <c r="A3369" s="1" t="s">
        <v>1153</v>
      </c>
      <c r="B3369" s="1" t="s">
        <v>7503</v>
      </c>
      <c r="C3369" s="1">
        <v>56292</v>
      </c>
      <c r="D3369" s="1" t="s">
        <v>7475</v>
      </c>
      <c r="F3369" s="1">
        <v>2023</v>
      </c>
      <c r="G3369" s="1" t="s">
        <v>2319</v>
      </c>
      <c r="H3369" s="1">
        <v>609062</v>
      </c>
      <c r="I3369" s="1">
        <v>4</v>
      </c>
      <c r="K3369" s="1" t="s">
        <v>2099</v>
      </c>
      <c r="L3369" s="1" t="s">
        <v>4250</v>
      </c>
      <c r="M3369" s="1">
        <v>153</v>
      </c>
      <c r="N3369" s="1" t="s">
        <v>39</v>
      </c>
      <c r="O3369" s="1">
        <v>34.842199999999998</v>
      </c>
      <c r="P3369" s="1">
        <v>-79.736699999999999</v>
      </c>
      <c r="Q3369" s="1" t="s">
        <v>7473</v>
      </c>
      <c r="R3369" s="1" t="s">
        <v>41</v>
      </c>
      <c r="T3369" s="1" t="s">
        <v>93</v>
      </c>
      <c r="U3369" s="1" t="s">
        <v>44</v>
      </c>
      <c r="V3369" s="1" t="s">
        <v>94</v>
      </c>
      <c r="X3369" s="1" t="s">
        <v>95</v>
      </c>
      <c r="AA3369" s="3">
        <v>39360</v>
      </c>
      <c r="AB3369" s="1" t="s">
        <v>46</v>
      </c>
      <c r="AC3369" s="5">
        <v>330</v>
      </c>
      <c r="AD3369" s="1" t="s">
        <v>7474</v>
      </c>
      <c r="AE3369" s="1" t="str">
        <f t="shared" si="234"/>
        <v>56292 ES1-B</v>
      </c>
      <c r="AF3369" s="5" t="str">
        <f t="shared" si="236"/>
        <v>61.9</v>
      </c>
      <c r="AG3369" s="1" t="str">
        <f t="shared" si="233"/>
        <v/>
      </c>
    </row>
    <row r="3370" spans="1:33" x14ac:dyDescent="0.2">
      <c r="A3370" s="1" t="s">
        <v>1153</v>
      </c>
      <c r="B3370" s="1" t="s">
        <v>7503</v>
      </c>
      <c r="C3370" s="1">
        <v>56292</v>
      </c>
      <c r="D3370" s="1" t="s">
        <v>7476</v>
      </c>
      <c r="F3370" s="1">
        <v>2023</v>
      </c>
      <c r="G3370" s="1" t="s">
        <v>2319</v>
      </c>
      <c r="H3370" s="1">
        <v>609062</v>
      </c>
      <c r="I3370" s="1">
        <v>4</v>
      </c>
      <c r="K3370" s="1" t="s">
        <v>2099</v>
      </c>
      <c r="L3370" s="1" t="s">
        <v>4250</v>
      </c>
      <c r="M3370" s="1">
        <v>153</v>
      </c>
      <c r="N3370" s="1" t="s">
        <v>39</v>
      </c>
      <c r="O3370" s="1">
        <v>34.842199999999998</v>
      </c>
      <c r="P3370" s="1">
        <v>-79.736699999999999</v>
      </c>
      <c r="Q3370" s="1" t="s">
        <v>7473</v>
      </c>
      <c r="R3370" s="1" t="s">
        <v>41</v>
      </c>
      <c r="T3370" s="1" t="s">
        <v>93</v>
      </c>
      <c r="U3370" s="1" t="s">
        <v>44</v>
      </c>
      <c r="V3370" s="1" t="s">
        <v>94</v>
      </c>
      <c r="X3370" s="1" t="s">
        <v>95</v>
      </c>
      <c r="AA3370" s="3">
        <v>39363</v>
      </c>
      <c r="AB3370" s="1" t="s">
        <v>46</v>
      </c>
      <c r="AC3370" s="5">
        <v>330</v>
      </c>
      <c r="AD3370" s="1" t="s">
        <v>7477</v>
      </c>
      <c r="AE3370" s="1" t="str">
        <f t="shared" si="234"/>
        <v>56292 ES2-A</v>
      </c>
      <c r="AF3370" s="5" t="str">
        <f t="shared" si="236"/>
        <v>61.9</v>
      </c>
      <c r="AG3370" s="1" t="str">
        <f t="shared" si="233"/>
        <v/>
      </c>
    </row>
    <row r="3371" spans="1:33" x14ac:dyDescent="0.2">
      <c r="A3371" s="1" t="s">
        <v>1153</v>
      </c>
      <c r="B3371" s="1" t="s">
        <v>7503</v>
      </c>
      <c r="C3371" s="1">
        <v>56292</v>
      </c>
      <c r="D3371" s="1" t="s">
        <v>7478</v>
      </c>
      <c r="F3371" s="1">
        <v>2023</v>
      </c>
      <c r="G3371" s="1" t="s">
        <v>2319</v>
      </c>
      <c r="H3371" s="1">
        <v>609062</v>
      </c>
      <c r="I3371" s="1">
        <v>4</v>
      </c>
      <c r="K3371" s="1" t="s">
        <v>2099</v>
      </c>
      <c r="L3371" s="1" t="s">
        <v>4250</v>
      </c>
      <c r="M3371" s="1">
        <v>153</v>
      </c>
      <c r="N3371" s="1" t="s">
        <v>39</v>
      </c>
      <c r="O3371" s="1">
        <v>34.842199999999998</v>
      </c>
      <c r="P3371" s="1">
        <v>-79.736699999999999</v>
      </c>
      <c r="Q3371" s="1" t="s">
        <v>7473</v>
      </c>
      <c r="R3371" s="1" t="s">
        <v>41</v>
      </c>
      <c r="T3371" s="1" t="s">
        <v>93</v>
      </c>
      <c r="U3371" s="1" t="s">
        <v>44</v>
      </c>
      <c r="V3371" s="1" t="s">
        <v>94</v>
      </c>
      <c r="X3371" s="1" t="s">
        <v>95</v>
      </c>
      <c r="AA3371" s="3">
        <v>39363</v>
      </c>
      <c r="AB3371" s="1" t="s">
        <v>46</v>
      </c>
      <c r="AC3371" s="5">
        <v>330</v>
      </c>
      <c r="AD3371" s="1" t="s">
        <v>7477</v>
      </c>
      <c r="AE3371" s="1" t="str">
        <f t="shared" si="234"/>
        <v>56292 ES2-B</v>
      </c>
      <c r="AF3371" s="5" t="str">
        <f t="shared" si="236"/>
        <v>61.9</v>
      </c>
      <c r="AG3371" s="1" t="str">
        <f t="shared" si="233"/>
        <v/>
      </c>
    </row>
    <row r="3372" spans="1:33" x14ac:dyDescent="0.2">
      <c r="A3372" s="1" t="s">
        <v>1153</v>
      </c>
      <c r="B3372" s="1" t="s">
        <v>7503</v>
      </c>
      <c r="C3372" s="1">
        <v>56292</v>
      </c>
      <c r="D3372" s="1" t="s">
        <v>7479</v>
      </c>
      <c r="F3372" s="1">
        <v>2023</v>
      </c>
      <c r="G3372" s="1" t="s">
        <v>2319</v>
      </c>
      <c r="H3372" s="1">
        <v>609062</v>
      </c>
      <c r="I3372" s="1">
        <v>4</v>
      </c>
      <c r="K3372" s="1" t="s">
        <v>2099</v>
      </c>
      <c r="L3372" s="1" t="s">
        <v>4250</v>
      </c>
      <c r="M3372" s="1">
        <v>153</v>
      </c>
      <c r="N3372" s="1" t="s">
        <v>39</v>
      </c>
      <c r="O3372" s="1">
        <v>34.842199999999998</v>
      </c>
      <c r="P3372" s="1">
        <v>-79.736699999999999</v>
      </c>
      <c r="Q3372" s="1" t="s">
        <v>7473</v>
      </c>
      <c r="R3372" s="1" t="s">
        <v>41</v>
      </c>
      <c r="T3372" s="1" t="s">
        <v>93</v>
      </c>
      <c r="U3372" s="1" t="s">
        <v>44</v>
      </c>
      <c r="V3372" s="1" t="s">
        <v>94</v>
      </c>
      <c r="X3372" s="1" t="s">
        <v>95</v>
      </c>
      <c r="AA3372" s="3">
        <v>39366</v>
      </c>
      <c r="AB3372" s="1" t="s">
        <v>46</v>
      </c>
      <c r="AC3372" s="5">
        <v>330</v>
      </c>
      <c r="AD3372" s="1" t="s">
        <v>7480</v>
      </c>
      <c r="AE3372" s="1" t="str">
        <f t="shared" si="234"/>
        <v>56292 ES3-A</v>
      </c>
      <c r="AF3372" s="5" t="str">
        <f t="shared" si="236"/>
        <v>61.9</v>
      </c>
      <c r="AG3372" s="1" t="str">
        <f t="shared" si="233"/>
        <v/>
      </c>
    </row>
    <row r="3373" spans="1:33" x14ac:dyDescent="0.2">
      <c r="A3373" s="1" t="s">
        <v>1153</v>
      </c>
      <c r="B3373" s="1" t="s">
        <v>7503</v>
      </c>
      <c r="C3373" s="1">
        <v>56292</v>
      </c>
      <c r="D3373" s="1" t="s">
        <v>7481</v>
      </c>
      <c r="F3373" s="1">
        <v>2023</v>
      </c>
      <c r="G3373" s="1" t="s">
        <v>2319</v>
      </c>
      <c r="H3373" s="1">
        <v>609062</v>
      </c>
      <c r="I3373" s="1">
        <v>4</v>
      </c>
      <c r="K3373" s="1" t="s">
        <v>2099</v>
      </c>
      <c r="L3373" s="1" t="s">
        <v>4250</v>
      </c>
      <c r="M3373" s="1">
        <v>153</v>
      </c>
      <c r="N3373" s="1" t="s">
        <v>39</v>
      </c>
      <c r="O3373" s="1">
        <v>34.842199999999998</v>
      </c>
      <c r="P3373" s="1">
        <v>-79.736699999999999</v>
      </c>
      <c r="Q3373" s="1" t="s">
        <v>7473</v>
      </c>
      <c r="R3373" s="1" t="s">
        <v>41</v>
      </c>
      <c r="T3373" s="1" t="s">
        <v>93</v>
      </c>
      <c r="U3373" s="1" t="s">
        <v>44</v>
      </c>
      <c r="V3373" s="1" t="s">
        <v>94</v>
      </c>
      <c r="X3373" s="1" t="s">
        <v>95</v>
      </c>
      <c r="AA3373" s="3">
        <v>39366</v>
      </c>
      <c r="AB3373" s="1" t="s">
        <v>46</v>
      </c>
      <c r="AC3373" s="5">
        <v>330</v>
      </c>
      <c r="AD3373" s="1" t="s">
        <v>7480</v>
      </c>
      <c r="AE3373" s="1" t="str">
        <f t="shared" si="234"/>
        <v>56292 ES3-B</v>
      </c>
      <c r="AF3373" s="5" t="str">
        <f t="shared" si="236"/>
        <v>61.9</v>
      </c>
      <c r="AG3373" s="1" t="str">
        <f t="shared" si="233"/>
        <v/>
      </c>
    </row>
    <row r="3374" spans="1:33" x14ac:dyDescent="0.2">
      <c r="A3374" s="1" t="s">
        <v>1153</v>
      </c>
      <c r="B3374" s="1" t="s">
        <v>7503</v>
      </c>
      <c r="C3374" s="1">
        <v>56292</v>
      </c>
      <c r="D3374" s="1" t="s">
        <v>7482</v>
      </c>
      <c r="F3374" s="1">
        <v>2023</v>
      </c>
      <c r="G3374" s="1" t="s">
        <v>2319</v>
      </c>
      <c r="H3374" s="1">
        <v>609062</v>
      </c>
      <c r="I3374" s="1">
        <v>4</v>
      </c>
      <c r="K3374" s="1" t="s">
        <v>2099</v>
      </c>
      <c r="L3374" s="1" t="s">
        <v>4250</v>
      </c>
      <c r="M3374" s="1">
        <v>153</v>
      </c>
      <c r="N3374" s="1" t="s">
        <v>39</v>
      </c>
      <c r="O3374" s="1">
        <v>34.842199999999998</v>
      </c>
      <c r="P3374" s="1">
        <v>-79.736699999999999</v>
      </c>
      <c r="Q3374" s="1" t="s">
        <v>7473</v>
      </c>
      <c r="R3374" s="1" t="s">
        <v>41</v>
      </c>
      <c r="T3374" s="1" t="s">
        <v>93</v>
      </c>
      <c r="U3374" s="1" t="s">
        <v>44</v>
      </c>
      <c r="V3374" s="1" t="s">
        <v>94</v>
      </c>
      <c r="X3374" s="1" t="s">
        <v>95</v>
      </c>
      <c r="AA3374" s="3">
        <v>39366</v>
      </c>
      <c r="AB3374" s="1" t="s">
        <v>46</v>
      </c>
      <c r="AC3374" s="5">
        <v>330</v>
      </c>
      <c r="AD3374" s="1" t="s">
        <v>7483</v>
      </c>
      <c r="AE3374" s="1" t="str">
        <f t="shared" si="234"/>
        <v>56292 ES4-A</v>
      </c>
      <c r="AF3374" s="5" t="str">
        <f t="shared" si="236"/>
        <v>61.9</v>
      </c>
      <c r="AG3374" s="1" t="str">
        <f t="shared" si="233"/>
        <v/>
      </c>
    </row>
    <row r="3375" spans="1:33" x14ac:dyDescent="0.2">
      <c r="A3375" s="1" t="s">
        <v>1153</v>
      </c>
      <c r="B3375" s="1" t="s">
        <v>7503</v>
      </c>
      <c r="C3375" s="1">
        <v>56292</v>
      </c>
      <c r="D3375" s="1" t="s">
        <v>7484</v>
      </c>
      <c r="F3375" s="1">
        <v>2023</v>
      </c>
      <c r="G3375" s="1" t="s">
        <v>2319</v>
      </c>
      <c r="H3375" s="1">
        <v>609062</v>
      </c>
      <c r="I3375" s="1">
        <v>4</v>
      </c>
      <c r="K3375" s="1" t="s">
        <v>2099</v>
      </c>
      <c r="L3375" s="1" t="s">
        <v>4250</v>
      </c>
      <c r="M3375" s="1">
        <v>153</v>
      </c>
      <c r="N3375" s="1" t="s">
        <v>39</v>
      </c>
      <c r="O3375" s="1">
        <v>34.842199999999998</v>
      </c>
      <c r="P3375" s="1">
        <v>-79.736699999999999</v>
      </c>
      <c r="Q3375" s="1" t="s">
        <v>7473</v>
      </c>
      <c r="R3375" s="1" t="s">
        <v>41</v>
      </c>
      <c r="T3375" s="1" t="s">
        <v>93</v>
      </c>
      <c r="U3375" s="1" t="s">
        <v>44</v>
      </c>
      <c r="V3375" s="1" t="s">
        <v>94</v>
      </c>
      <c r="X3375" s="1" t="s">
        <v>95</v>
      </c>
      <c r="AA3375" s="3">
        <v>39366</v>
      </c>
      <c r="AB3375" s="1" t="s">
        <v>46</v>
      </c>
      <c r="AC3375" s="5">
        <v>330</v>
      </c>
      <c r="AD3375" s="1" t="s">
        <v>7483</v>
      </c>
      <c r="AE3375" s="1" t="str">
        <f t="shared" si="234"/>
        <v>56292 ES4-B</v>
      </c>
      <c r="AF3375" s="5" t="str">
        <f t="shared" si="236"/>
        <v>61.9</v>
      </c>
      <c r="AG3375" s="1" t="str">
        <f t="shared" si="233"/>
        <v/>
      </c>
    </row>
    <row r="3376" spans="1:33" x14ac:dyDescent="0.2">
      <c r="A3376" s="1" t="s">
        <v>1153</v>
      </c>
      <c r="B3376" s="1" t="s">
        <v>7503</v>
      </c>
      <c r="C3376" s="1">
        <v>56292</v>
      </c>
      <c r="D3376" s="1" t="s">
        <v>7485</v>
      </c>
      <c r="F3376" s="1">
        <v>2023</v>
      </c>
      <c r="G3376" s="1" t="s">
        <v>2319</v>
      </c>
      <c r="H3376" s="1">
        <v>609062</v>
      </c>
      <c r="I3376" s="1">
        <v>4</v>
      </c>
      <c r="K3376" s="1" t="s">
        <v>2099</v>
      </c>
      <c r="L3376" s="1" t="s">
        <v>4250</v>
      </c>
      <c r="M3376" s="1">
        <v>153</v>
      </c>
      <c r="N3376" s="1" t="s">
        <v>39</v>
      </c>
      <c r="O3376" s="1">
        <v>34.842199999999998</v>
      </c>
      <c r="P3376" s="1">
        <v>-79.736699999999999</v>
      </c>
      <c r="Q3376" s="1" t="s">
        <v>7473</v>
      </c>
      <c r="R3376" s="1" t="s">
        <v>41</v>
      </c>
      <c r="T3376" s="1" t="s">
        <v>93</v>
      </c>
      <c r="U3376" s="1" t="s">
        <v>44</v>
      </c>
      <c r="V3376" s="1" t="s">
        <v>94</v>
      </c>
      <c r="X3376" s="1" t="s">
        <v>95</v>
      </c>
      <c r="AA3376" s="3">
        <v>39381</v>
      </c>
      <c r="AB3376" s="1" t="s">
        <v>46</v>
      </c>
      <c r="AC3376" s="5">
        <v>330</v>
      </c>
      <c r="AD3376" s="1" t="s">
        <v>7486</v>
      </c>
      <c r="AE3376" s="1" t="str">
        <f t="shared" si="234"/>
        <v>56292 ES5-A</v>
      </c>
      <c r="AF3376" s="5" t="str">
        <f t="shared" si="236"/>
        <v>61.9</v>
      </c>
      <c r="AG3376" s="1" t="str">
        <f t="shared" si="233"/>
        <v/>
      </c>
    </row>
    <row r="3377" spans="1:33" x14ac:dyDescent="0.2">
      <c r="A3377" s="1" t="s">
        <v>1153</v>
      </c>
      <c r="B3377" s="1" t="s">
        <v>7503</v>
      </c>
      <c r="C3377" s="1">
        <v>56292</v>
      </c>
      <c r="D3377" s="1" t="s">
        <v>7487</v>
      </c>
      <c r="F3377" s="1">
        <v>2023</v>
      </c>
      <c r="G3377" s="1" t="s">
        <v>2319</v>
      </c>
      <c r="H3377" s="1">
        <v>609062</v>
      </c>
      <c r="I3377" s="1">
        <v>4</v>
      </c>
      <c r="K3377" s="1" t="s">
        <v>2099</v>
      </c>
      <c r="L3377" s="1" t="s">
        <v>4250</v>
      </c>
      <c r="M3377" s="1">
        <v>153</v>
      </c>
      <c r="N3377" s="1" t="s">
        <v>39</v>
      </c>
      <c r="O3377" s="1">
        <v>34.842199999999998</v>
      </c>
      <c r="P3377" s="1">
        <v>-79.736699999999999</v>
      </c>
      <c r="Q3377" s="1" t="s">
        <v>7473</v>
      </c>
      <c r="R3377" s="1" t="s">
        <v>41</v>
      </c>
      <c r="T3377" s="1" t="s">
        <v>93</v>
      </c>
      <c r="U3377" s="1" t="s">
        <v>44</v>
      </c>
      <c r="V3377" s="1" t="s">
        <v>94</v>
      </c>
      <c r="X3377" s="1" t="s">
        <v>95</v>
      </c>
      <c r="AA3377" s="3">
        <v>39381</v>
      </c>
      <c r="AB3377" s="1" t="s">
        <v>46</v>
      </c>
      <c r="AC3377" s="5">
        <v>330</v>
      </c>
      <c r="AD3377" s="1" t="s">
        <v>7486</v>
      </c>
      <c r="AE3377" s="1" t="str">
        <f t="shared" si="234"/>
        <v>56292 ES5-B</v>
      </c>
      <c r="AF3377" s="5" t="str">
        <f t="shared" si="236"/>
        <v>61.9</v>
      </c>
      <c r="AG3377" s="1" t="str">
        <f t="shared" si="233"/>
        <v/>
      </c>
    </row>
    <row r="3378" spans="1:33" x14ac:dyDescent="0.2">
      <c r="A3378" s="1" t="s">
        <v>1153</v>
      </c>
      <c r="B3378" s="1" t="s">
        <v>7503</v>
      </c>
      <c r="C3378" s="1">
        <v>56292</v>
      </c>
      <c r="D3378" s="1" t="s">
        <v>7488</v>
      </c>
      <c r="F3378" s="1">
        <v>2023</v>
      </c>
      <c r="G3378" s="1" t="s">
        <v>2319</v>
      </c>
      <c r="H3378" s="1">
        <v>609062</v>
      </c>
      <c r="I3378" s="1">
        <v>4</v>
      </c>
      <c r="K3378" s="1" t="s">
        <v>2099</v>
      </c>
      <c r="L3378" s="1" t="s">
        <v>4250</v>
      </c>
      <c r="M3378" s="1">
        <v>153</v>
      </c>
      <c r="N3378" s="1" t="s">
        <v>39</v>
      </c>
      <c r="O3378" s="1">
        <v>34.842199999999998</v>
      </c>
      <c r="P3378" s="1">
        <v>-79.736699999999999</v>
      </c>
      <c r="Q3378" s="1" t="s">
        <v>7473</v>
      </c>
      <c r="R3378" s="1" t="s">
        <v>41</v>
      </c>
      <c r="T3378" s="1" t="s">
        <v>93</v>
      </c>
      <c r="U3378" s="1" t="s">
        <v>44</v>
      </c>
      <c r="V3378" s="1" t="s">
        <v>94</v>
      </c>
      <c r="X3378" s="1" t="s">
        <v>95</v>
      </c>
      <c r="AA3378" s="3">
        <v>41381</v>
      </c>
      <c r="AB3378" s="1" t="s">
        <v>46</v>
      </c>
      <c r="AC3378" s="5">
        <v>330</v>
      </c>
      <c r="AD3378" s="1" t="s">
        <v>7489</v>
      </c>
      <c r="AE3378" s="1" t="str">
        <f t="shared" si="234"/>
        <v>56292 ES6-A</v>
      </c>
      <c r="AF3378" s="5" t="str">
        <f t="shared" si="236"/>
        <v>61.9</v>
      </c>
      <c r="AG3378" s="1" t="str">
        <f t="shared" si="233"/>
        <v/>
      </c>
    </row>
    <row r="3379" spans="1:33" x14ac:dyDescent="0.2">
      <c r="A3379" s="1" t="s">
        <v>1153</v>
      </c>
      <c r="B3379" s="1" t="s">
        <v>7503</v>
      </c>
      <c r="C3379" s="1">
        <v>56292</v>
      </c>
      <c r="D3379" s="1" t="s">
        <v>7490</v>
      </c>
      <c r="F3379" s="1">
        <v>2023</v>
      </c>
      <c r="G3379" s="1" t="s">
        <v>2319</v>
      </c>
      <c r="H3379" s="1">
        <v>609062</v>
      </c>
      <c r="I3379" s="1">
        <v>4</v>
      </c>
      <c r="K3379" s="1" t="s">
        <v>2099</v>
      </c>
      <c r="L3379" s="1" t="s">
        <v>4250</v>
      </c>
      <c r="M3379" s="1">
        <v>153</v>
      </c>
      <c r="N3379" s="1" t="s">
        <v>39</v>
      </c>
      <c r="O3379" s="1">
        <v>34.842199999999998</v>
      </c>
      <c r="P3379" s="1">
        <v>-79.736699999999999</v>
      </c>
      <c r="Q3379" s="1" t="s">
        <v>7473</v>
      </c>
      <c r="R3379" s="1" t="s">
        <v>41</v>
      </c>
      <c r="T3379" s="1" t="s">
        <v>93</v>
      </c>
      <c r="U3379" s="1" t="s">
        <v>44</v>
      </c>
      <c r="V3379" s="1" t="s">
        <v>94</v>
      </c>
      <c r="X3379" s="1" t="s">
        <v>95</v>
      </c>
      <c r="AA3379" s="3">
        <v>41381</v>
      </c>
      <c r="AB3379" s="1" t="s">
        <v>46</v>
      </c>
      <c r="AC3379" s="5">
        <v>330</v>
      </c>
      <c r="AD3379" s="1" t="s">
        <v>7489</v>
      </c>
      <c r="AE3379" s="1" t="str">
        <f t="shared" si="234"/>
        <v>56292 ES6-B</v>
      </c>
      <c r="AF3379" s="5" t="str">
        <f t="shared" si="236"/>
        <v>61.9</v>
      </c>
      <c r="AG3379" s="1" t="str">
        <f t="shared" si="233"/>
        <v/>
      </c>
    </row>
    <row r="3380" spans="1:33" x14ac:dyDescent="0.2">
      <c r="A3380" s="1" t="s">
        <v>370</v>
      </c>
      <c r="B3380" s="1" t="s">
        <v>7504</v>
      </c>
      <c r="C3380" s="1">
        <v>56298</v>
      </c>
      <c r="D3380" s="1" t="s">
        <v>648</v>
      </c>
      <c r="F3380" s="1">
        <v>2023</v>
      </c>
      <c r="G3380" s="1" t="s">
        <v>247</v>
      </c>
      <c r="H3380" s="1">
        <v>604867</v>
      </c>
      <c r="I3380" s="1">
        <v>9</v>
      </c>
      <c r="J3380" s="1" t="s">
        <v>237</v>
      </c>
      <c r="K3380" s="1" t="s">
        <v>7505</v>
      </c>
      <c r="L3380" s="1" t="s">
        <v>7506</v>
      </c>
      <c r="M3380" s="1">
        <v>61</v>
      </c>
      <c r="N3380" s="1" t="s">
        <v>39</v>
      </c>
      <c r="O3380" s="1">
        <v>38.7926</v>
      </c>
      <c r="P3380" s="1">
        <v>-121.3823</v>
      </c>
      <c r="Q3380" s="1" t="s">
        <v>7507</v>
      </c>
      <c r="R3380" s="1" t="s">
        <v>41</v>
      </c>
      <c r="T3380" s="1" t="s">
        <v>71</v>
      </c>
      <c r="U3380" s="1" t="s">
        <v>44</v>
      </c>
      <c r="X3380" s="1" t="s">
        <v>64</v>
      </c>
      <c r="AA3380" s="3">
        <v>39246</v>
      </c>
      <c r="AB3380" s="1" t="s">
        <v>46</v>
      </c>
      <c r="AC3380" s="5">
        <v>705.3</v>
      </c>
      <c r="AD3380" s="1" t="s">
        <v>7508</v>
      </c>
      <c r="AE3380" s="1" t="str">
        <f t="shared" si="234"/>
        <v>56298 CT001</v>
      </c>
      <c r="AF3380" s="14">
        <f>AF3381</f>
        <v>82</v>
      </c>
      <c r="AG3380" s="1" t="str">
        <f t="shared" si="233"/>
        <v>Y</v>
      </c>
    </row>
    <row r="3381" spans="1:33" x14ac:dyDescent="0.2">
      <c r="A3381" s="1" t="s">
        <v>370</v>
      </c>
      <c r="B3381" s="1" t="s">
        <v>7504</v>
      </c>
      <c r="C3381" s="1">
        <v>56298</v>
      </c>
      <c r="D3381" s="1" t="s">
        <v>7093</v>
      </c>
      <c r="F3381" s="1">
        <v>2023</v>
      </c>
      <c r="G3381" s="1" t="s">
        <v>247</v>
      </c>
      <c r="H3381" s="1">
        <v>604867</v>
      </c>
      <c r="I3381" s="1">
        <v>9</v>
      </c>
      <c r="J3381" s="1" t="s">
        <v>237</v>
      </c>
      <c r="K3381" s="1" t="s">
        <v>7505</v>
      </c>
      <c r="L3381" s="1" t="s">
        <v>7506</v>
      </c>
      <c r="M3381" s="1">
        <v>61</v>
      </c>
      <c r="N3381" s="1" t="s">
        <v>39</v>
      </c>
      <c r="O3381" s="1">
        <v>38.7926</v>
      </c>
      <c r="P3381" s="1">
        <v>-121.3823</v>
      </c>
      <c r="Q3381" s="1" t="s">
        <v>7507</v>
      </c>
      <c r="R3381" s="1" t="s">
        <v>41</v>
      </c>
      <c r="T3381" s="1" t="s">
        <v>71</v>
      </c>
      <c r="U3381" s="1" t="s">
        <v>44</v>
      </c>
      <c r="X3381" s="1" t="s">
        <v>64</v>
      </c>
      <c r="AA3381" s="3">
        <v>39253</v>
      </c>
      <c r="AB3381" s="1" t="s">
        <v>46</v>
      </c>
      <c r="AC3381" s="5">
        <v>705.3</v>
      </c>
      <c r="AD3381" s="1" t="s">
        <v>7509</v>
      </c>
      <c r="AE3381" s="1" t="str">
        <f t="shared" si="234"/>
        <v>56298 CT002</v>
      </c>
      <c r="AF3381" s="14">
        <f>MID(AD3381,FIND("(",AD3381)+1,FIND(")",AD3381)-FIND("(",AD3381)-1)+80/2</f>
        <v>82</v>
      </c>
      <c r="AG3381" s="1" t="str">
        <f t="shared" si="233"/>
        <v>Y</v>
      </c>
    </row>
    <row r="3382" spans="1:33" x14ac:dyDescent="0.2">
      <c r="A3382" s="1" t="s">
        <v>370</v>
      </c>
      <c r="B3382" s="1" t="s">
        <v>7504</v>
      </c>
      <c r="C3382" s="1">
        <v>56298</v>
      </c>
      <c r="D3382" s="1" t="s">
        <v>7510</v>
      </c>
      <c r="F3382" s="1">
        <v>2023</v>
      </c>
      <c r="G3382" s="1" t="s">
        <v>247</v>
      </c>
      <c r="H3382" s="1">
        <v>604867</v>
      </c>
      <c r="I3382" s="1">
        <v>9</v>
      </c>
      <c r="J3382" s="1" t="s">
        <v>237</v>
      </c>
      <c r="K3382" s="1" t="s">
        <v>7505</v>
      </c>
      <c r="L3382" s="1" t="s">
        <v>7506</v>
      </c>
      <c r="M3382" s="1">
        <v>61</v>
      </c>
      <c r="N3382" s="1" t="s">
        <v>39</v>
      </c>
      <c r="O3382" s="1">
        <v>38.7926</v>
      </c>
      <c r="P3382" s="1">
        <v>-121.3823</v>
      </c>
      <c r="Q3382" s="1" t="s">
        <v>7511</v>
      </c>
      <c r="R3382" s="1" t="s">
        <v>41</v>
      </c>
      <c r="T3382" s="1" t="s">
        <v>93</v>
      </c>
      <c r="U3382" s="1" t="s">
        <v>44</v>
      </c>
      <c r="X3382" s="1" t="s">
        <v>176</v>
      </c>
      <c r="AA3382" s="3">
        <v>44743</v>
      </c>
      <c r="AB3382" s="1" t="s">
        <v>46</v>
      </c>
      <c r="AC3382" s="5">
        <v>366.1</v>
      </c>
      <c r="AD3382" s="1" t="s">
        <v>7512</v>
      </c>
      <c r="AE3382" s="1" t="str">
        <f t="shared" si="234"/>
        <v>56298 CT005</v>
      </c>
      <c r="AF3382" s="5" t="str">
        <f t="shared" ref="AF3382:AF3391" si="237">MID(AD3382,FIND("(",AD3382)+1,FIND(")",AD3382)-FIND("(",AD3382)-1)</f>
        <v>30</v>
      </c>
      <c r="AG3382" s="1" t="str">
        <f t="shared" si="233"/>
        <v>Y</v>
      </c>
    </row>
    <row r="3383" spans="1:33" x14ac:dyDescent="0.2">
      <c r="A3383" s="1" t="s">
        <v>370</v>
      </c>
      <c r="B3383" s="1" t="s">
        <v>7504</v>
      </c>
      <c r="C3383" s="1">
        <v>56298</v>
      </c>
      <c r="D3383" s="1" t="s">
        <v>7513</v>
      </c>
      <c r="F3383" s="1">
        <v>2023</v>
      </c>
      <c r="G3383" s="1" t="s">
        <v>247</v>
      </c>
      <c r="H3383" s="1">
        <v>604867</v>
      </c>
      <c r="I3383" s="1">
        <v>9</v>
      </c>
      <c r="J3383" s="1" t="s">
        <v>237</v>
      </c>
      <c r="K3383" s="1" t="s">
        <v>7505</v>
      </c>
      <c r="L3383" s="1" t="s">
        <v>7506</v>
      </c>
      <c r="M3383" s="1">
        <v>61</v>
      </c>
      <c r="N3383" s="1" t="s">
        <v>39</v>
      </c>
      <c r="O3383" s="1">
        <v>38.7926</v>
      </c>
      <c r="P3383" s="1">
        <v>-121.3823</v>
      </c>
      <c r="Q3383" s="1" t="s">
        <v>7511</v>
      </c>
      <c r="R3383" s="1" t="s">
        <v>41</v>
      </c>
      <c r="T3383" s="1" t="s">
        <v>93</v>
      </c>
      <c r="U3383" s="1" t="s">
        <v>44</v>
      </c>
      <c r="X3383" s="1" t="s">
        <v>176</v>
      </c>
      <c r="AA3383" s="3">
        <v>44744</v>
      </c>
      <c r="AB3383" s="1" t="s">
        <v>46</v>
      </c>
      <c r="AC3383" s="5">
        <v>366.1</v>
      </c>
      <c r="AD3383" s="1" t="s">
        <v>7514</v>
      </c>
      <c r="AE3383" s="1" t="str">
        <f t="shared" si="234"/>
        <v>56298 CT006</v>
      </c>
      <c r="AF3383" s="5" t="str">
        <f t="shared" si="237"/>
        <v>30</v>
      </c>
      <c r="AG3383" s="1" t="str">
        <f t="shared" si="233"/>
        <v>Y</v>
      </c>
    </row>
    <row r="3384" spans="1:33" x14ac:dyDescent="0.2">
      <c r="A3384" s="1" t="s">
        <v>3253</v>
      </c>
      <c r="B3384" s="1" t="s">
        <v>7515</v>
      </c>
      <c r="C3384" s="1">
        <v>56319</v>
      </c>
      <c r="D3384" s="1">
        <v>1</v>
      </c>
      <c r="F3384" s="1">
        <v>2023</v>
      </c>
      <c r="G3384" s="1" t="s">
        <v>236</v>
      </c>
      <c r="H3384" s="1" t="s">
        <v>4126</v>
      </c>
      <c r="I3384" s="1">
        <v>8</v>
      </c>
      <c r="J3384" s="1" t="s">
        <v>237</v>
      </c>
      <c r="K3384" s="1" t="s">
        <v>3539</v>
      </c>
      <c r="L3384" s="1" t="s">
        <v>3540</v>
      </c>
      <c r="M3384" s="1">
        <v>5</v>
      </c>
      <c r="N3384" s="1" t="s">
        <v>39</v>
      </c>
      <c r="O3384" s="1">
        <v>44.2911</v>
      </c>
      <c r="P3384" s="1">
        <v>-105.3815</v>
      </c>
      <c r="Q3384" s="1" t="s">
        <v>7516</v>
      </c>
      <c r="R3384" s="1" t="s">
        <v>41</v>
      </c>
      <c r="T3384" s="1" t="s">
        <v>89</v>
      </c>
      <c r="U3384" s="1" t="s">
        <v>55</v>
      </c>
      <c r="W3384" s="1" t="s">
        <v>212</v>
      </c>
      <c r="X3384" s="1" t="s">
        <v>563</v>
      </c>
      <c r="Y3384" s="1" t="s">
        <v>232</v>
      </c>
      <c r="AA3384" s="3">
        <v>39374</v>
      </c>
      <c r="AB3384" s="1" t="s">
        <v>46</v>
      </c>
      <c r="AC3384" s="5">
        <v>1300</v>
      </c>
      <c r="AD3384" s="1" t="s">
        <v>6882</v>
      </c>
      <c r="AE3384" s="1" t="str">
        <f t="shared" si="234"/>
        <v>56319 1</v>
      </c>
      <c r="AF3384" s="5" t="str">
        <f t="shared" si="237"/>
        <v>100</v>
      </c>
      <c r="AG3384" s="1" t="str">
        <f t="shared" si="233"/>
        <v>Y</v>
      </c>
    </row>
    <row r="3385" spans="1:33" x14ac:dyDescent="0.2">
      <c r="A3385" s="1" t="s">
        <v>383</v>
      </c>
      <c r="B3385" s="1" t="s">
        <v>7517</v>
      </c>
      <c r="C3385" s="1">
        <v>56326</v>
      </c>
      <c r="D3385" s="1" t="s">
        <v>4801</v>
      </c>
      <c r="F3385" s="1">
        <v>2023</v>
      </c>
      <c r="G3385" s="1" t="s">
        <v>346</v>
      </c>
      <c r="H3385" s="1" t="s">
        <v>5515</v>
      </c>
      <c r="I3385" s="1">
        <v>6</v>
      </c>
      <c r="K3385" s="1" t="s">
        <v>5516</v>
      </c>
      <c r="L3385" s="1" t="s">
        <v>5517</v>
      </c>
      <c r="M3385" s="1">
        <v>501</v>
      </c>
      <c r="N3385" s="1" t="s">
        <v>39</v>
      </c>
      <c r="O3385" s="1">
        <v>32.974800000000002</v>
      </c>
      <c r="P3385" s="1">
        <v>-102.7432</v>
      </c>
      <c r="Q3385" s="1" t="s">
        <v>5518</v>
      </c>
      <c r="R3385" s="1" t="s">
        <v>41</v>
      </c>
      <c r="T3385" s="1" t="s">
        <v>93</v>
      </c>
      <c r="U3385" s="1" t="s">
        <v>44</v>
      </c>
      <c r="X3385" s="1" t="s">
        <v>140</v>
      </c>
      <c r="AA3385" s="3">
        <v>38775</v>
      </c>
      <c r="AB3385" s="1" t="s">
        <v>46</v>
      </c>
      <c r="AC3385" s="5">
        <v>1728</v>
      </c>
      <c r="AD3385" s="1" t="s">
        <v>7518</v>
      </c>
      <c r="AE3385" s="1" t="str">
        <f t="shared" si="234"/>
        <v>56326 GEN1</v>
      </c>
      <c r="AF3385" s="5" t="str">
        <f t="shared" si="237"/>
        <v>170</v>
      </c>
      <c r="AG3385" s="1" t="str">
        <f t="shared" si="233"/>
        <v/>
      </c>
    </row>
    <row r="3386" spans="1:33" x14ac:dyDescent="0.2">
      <c r="A3386" s="1" t="s">
        <v>383</v>
      </c>
      <c r="B3386" s="1" t="s">
        <v>7517</v>
      </c>
      <c r="C3386" s="1">
        <v>56326</v>
      </c>
      <c r="D3386" s="1" t="s">
        <v>7519</v>
      </c>
      <c r="F3386" s="1">
        <v>2023</v>
      </c>
      <c r="G3386" s="1" t="s">
        <v>346</v>
      </c>
      <c r="H3386" s="1" t="s">
        <v>5515</v>
      </c>
      <c r="I3386" s="1">
        <v>6</v>
      </c>
      <c r="K3386" s="1" t="s">
        <v>5516</v>
      </c>
      <c r="L3386" s="1" t="s">
        <v>5517</v>
      </c>
      <c r="M3386" s="1">
        <v>501</v>
      </c>
      <c r="N3386" s="1" t="s">
        <v>39</v>
      </c>
      <c r="O3386" s="1">
        <v>32.974800000000002</v>
      </c>
      <c r="P3386" s="1">
        <v>-102.7432</v>
      </c>
      <c r="Q3386" s="1" t="s">
        <v>5518</v>
      </c>
      <c r="R3386" s="1" t="s">
        <v>41</v>
      </c>
      <c r="T3386" s="1" t="s">
        <v>93</v>
      </c>
      <c r="U3386" s="1" t="s">
        <v>44</v>
      </c>
      <c r="X3386" s="1" t="s">
        <v>140</v>
      </c>
      <c r="AA3386" s="3">
        <v>39173</v>
      </c>
      <c r="AB3386" s="1" t="s">
        <v>46</v>
      </c>
      <c r="AC3386" s="5">
        <v>1728</v>
      </c>
      <c r="AD3386" s="1" t="s">
        <v>7520</v>
      </c>
      <c r="AE3386" s="1" t="str">
        <f t="shared" si="234"/>
        <v>56326 GEN2</v>
      </c>
      <c r="AF3386" s="5" t="str">
        <f t="shared" si="237"/>
        <v>170</v>
      </c>
      <c r="AG3386" s="1" t="str">
        <f t="shared" si="233"/>
        <v/>
      </c>
    </row>
    <row r="3387" spans="1:33" x14ac:dyDescent="0.2">
      <c r="A3387" s="1" t="s">
        <v>383</v>
      </c>
      <c r="B3387" s="1" t="s">
        <v>7517</v>
      </c>
      <c r="C3387" s="1">
        <v>56326</v>
      </c>
      <c r="D3387" s="1" t="s">
        <v>7521</v>
      </c>
      <c r="F3387" s="1">
        <v>2023</v>
      </c>
      <c r="G3387" s="1" t="s">
        <v>346</v>
      </c>
      <c r="H3387" s="1" t="s">
        <v>5515</v>
      </c>
      <c r="I3387" s="1">
        <v>6</v>
      </c>
      <c r="K3387" s="1" t="s">
        <v>5516</v>
      </c>
      <c r="L3387" s="1" t="s">
        <v>5517</v>
      </c>
      <c r="M3387" s="1">
        <v>501</v>
      </c>
      <c r="N3387" s="1" t="s">
        <v>39</v>
      </c>
      <c r="O3387" s="1">
        <v>32.974800000000002</v>
      </c>
      <c r="P3387" s="1">
        <v>-102.7432</v>
      </c>
      <c r="Q3387" s="1" t="s">
        <v>5518</v>
      </c>
      <c r="R3387" s="1" t="s">
        <v>41</v>
      </c>
      <c r="T3387" s="1" t="s">
        <v>93</v>
      </c>
      <c r="U3387" s="1" t="s">
        <v>44</v>
      </c>
      <c r="X3387" s="1" t="s">
        <v>140</v>
      </c>
      <c r="AA3387" s="3">
        <v>41365</v>
      </c>
      <c r="AB3387" s="1" t="s">
        <v>46</v>
      </c>
      <c r="AC3387" s="5">
        <v>1728</v>
      </c>
      <c r="AD3387" s="1" t="s">
        <v>7522</v>
      </c>
      <c r="AE3387" s="1" t="str">
        <f t="shared" si="234"/>
        <v>56326 GEN3</v>
      </c>
      <c r="AF3387" s="5" t="str">
        <f t="shared" si="237"/>
        <v>170</v>
      </c>
      <c r="AG3387" s="1" t="str">
        <f t="shared" si="233"/>
        <v/>
      </c>
    </row>
    <row r="3388" spans="1:33" x14ac:dyDescent="0.2">
      <c r="A3388" s="1" t="s">
        <v>348</v>
      </c>
      <c r="B3388" s="1" t="s">
        <v>7523</v>
      </c>
      <c r="C3388" s="1">
        <v>56328</v>
      </c>
      <c r="D3388" s="1">
        <v>1</v>
      </c>
      <c r="F3388" s="1">
        <v>2023</v>
      </c>
      <c r="G3388" s="1" t="s">
        <v>346</v>
      </c>
      <c r="H3388" s="1" t="s">
        <v>1346</v>
      </c>
      <c r="I3388" s="1">
        <v>6</v>
      </c>
      <c r="K3388" s="1" t="s">
        <v>196</v>
      </c>
      <c r="L3388" s="1" t="s">
        <v>7524</v>
      </c>
      <c r="M3388" s="1">
        <v>143</v>
      </c>
      <c r="N3388" s="1" t="s">
        <v>39</v>
      </c>
      <c r="O3388" s="1">
        <v>36.185499999999998</v>
      </c>
      <c r="P3388" s="1">
        <v>-94.284099999999995</v>
      </c>
      <c r="Q3388" s="1" t="s">
        <v>1478</v>
      </c>
      <c r="R3388" s="1" t="s">
        <v>41</v>
      </c>
      <c r="T3388" s="1" t="s">
        <v>93</v>
      </c>
      <c r="U3388" s="1" t="s">
        <v>44</v>
      </c>
      <c r="X3388" s="1" t="s">
        <v>140</v>
      </c>
      <c r="AA3388" s="3">
        <v>39429</v>
      </c>
      <c r="AB3388" s="1" t="s">
        <v>46</v>
      </c>
      <c r="AC3388" s="5">
        <v>1078</v>
      </c>
      <c r="AD3388" s="1" t="s">
        <v>7525</v>
      </c>
      <c r="AE3388" s="1" t="str">
        <f t="shared" si="234"/>
        <v>56328 1</v>
      </c>
      <c r="AF3388" s="5" t="str">
        <f t="shared" si="237"/>
        <v>89</v>
      </c>
      <c r="AG3388" s="1" t="str">
        <f t="shared" si="233"/>
        <v/>
      </c>
    </row>
    <row r="3389" spans="1:33" x14ac:dyDescent="0.2">
      <c r="A3389" s="1" t="s">
        <v>348</v>
      </c>
      <c r="B3389" s="1" t="s">
        <v>7523</v>
      </c>
      <c r="C3389" s="1">
        <v>56328</v>
      </c>
      <c r="D3389" s="1">
        <v>2</v>
      </c>
      <c r="F3389" s="1">
        <v>2023</v>
      </c>
      <c r="G3389" s="1" t="s">
        <v>346</v>
      </c>
      <c r="H3389" s="1" t="s">
        <v>1346</v>
      </c>
      <c r="I3389" s="1">
        <v>6</v>
      </c>
      <c r="K3389" s="1" t="s">
        <v>196</v>
      </c>
      <c r="L3389" s="1" t="s">
        <v>7524</v>
      </c>
      <c r="M3389" s="1">
        <v>143</v>
      </c>
      <c r="N3389" s="1" t="s">
        <v>39</v>
      </c>
      <c r="O3389" s="1">
        <v>36.185499999999998</v>
      </c>
      <c r="P3389" s="1">
        <v>-94.284099999999995</v>
      </c>
      <c r="Q3389" s="1" t="s">
        <v>1478</v>
      </c>
      <c r="R3389" s="1" t="s">
        <v>41</v>
      </c>
      <c r="T3389" s="1" t="s">
        <v>93</v>
      </c>
      <c r="U3389" s="1" t="s">
        <v>44</v>
      </c>
      <c r="X3389" s="1" t="s">
        <v>140</v>
      </c>
      <c r="AA3389" s="3">
        <v>39429</v>
      </c>
      <c r="AB3389" s="1" t="s">
        <v>46</v>
      </c>
      <c r="AC3389" s="5">
        <v>1078</v>
      </c>
      <c r="AD3389" s="1" t="s">
        <v>3442</v>
      </c>
      <c r="AE3389" s="1" t="str">
        <f t="shared" si="234"/>
        <v>56328 2</v>
      </c>
      <c r="AF3389" s="5" t="str">
        <f t="shared" si="237"/>
        <v>89</v>
      </c>
      <c r="AG3389" s="1" t="str">
        <f t="shared" si="233"/>
        <v/>
      </c>
    </row>
    <row r="3390" spans="1:33" x14ac:dyDescent="0.2">
      <c r="A3390" s="1" t="s">
        <v>348</v>
      </c>
      <c r="B3390" s="1" t="s">
        <v>7523</v>
      </c>
      <c r="C3390" s="1">
        <v>56328</v>
      </c>
      <c r="D3390" s="1">
        <v>3</v>
      </c>
      <c r="F3390" s="1">
        <v>2023</v>
      </c>
      <c r="G3390" s="1" t="s">
        <v>346</v>
      </c>
      <c r="H3390" s="1" t="s">
        <v>1346</v>
      </c>
      <c r="I3390" s="1">
        <v>6</v>
      </c>
      <c r="K3390" s="1" t="s">
        <v>196</v>
      </c>
      <c r="L3390" s="1" t="s">
        <v>7524</v>
      </c>
      <c r="M3390" s="1">
        <v>143</v>
      </c>
      <c r="N3390" s="1" t="s">
        <v>39</v>
      </c>
      <c r="O3390" s="1">
        <v>36.185499999999998</v>
      </c>
      <c r="P3390" s="1">
        <v>-94.284099999999995</v>
      </c>
      <c r="Q3390" s="1" t="s">
        <v>1478</v>
      </c>
      <c r="R3390" s="1" t="s">
        <v>41</v>
      </c>
      <c r="T3390" s="1" t="s">
        <v>93</v>
      </c>
      <c r="U3390" s="1" t="s">
        <v>44</v>
      </c>
      <c r="X3390" s="1" t="s">
        <v>140</v>
      </c>
      <c r="AA3390" s="3">
        <v>39265</v>
      </c>
      <c r="AB3390" s="1" t="s">
        <v>46</v>
      </c>
      <c r="AC3390" s="5">
        <v>1078</v>
      </c>
      <c r="AD3390" s="1" t="s">
        <v>3298</v>
      </c>
      <c r="AE3390" s="1" t="str">
        <f t="shared" si="234"/>
        <v>56328 3</v>
      </c>
      <c r="AF3390" s="5" t="str">
        <f t="shared" si="237"/>
        <v>89</v>
      </c>
      <c r="AG3390" s="1" t="str">
        <f t="shared" si="233"/>
        <v/>
      </c>
    </row>
    <row r="3391" spans="1:33" x14ac:dyDescent="0.2">
      <c r="A3391" s="1" t="s">
        <v>348</v>
      </c>
      <c r="B3391" s="1" t="s">
        <v>7523</v>
      </c>
      <c r="C3391" s="1">
        <v>56328</v>
      </c>
      <c r="D3391" s="1">
        <v>4</v>
      </c>
      <c r="F3391" s="1">
        <v>2023</v>
      </c>
      <c r="G3391" s="1" t="s">
        <v>346</v>
      </c>
      <c r="H3391" s="1" t="s">
        <v>1346</v>
      </c>
      <c r="I3391" s="1">
        <v>6</v>
      </c>
      <c r="K3391" s="1" t="s">
        <v>196</v>
      </c>
      <c r="L3391" s="1" t="s">
        <v>7524</v>
      </c>
      <c r="M3391" s="1">
        <v>143</v>
      </c>
      <c r="N3391" s="1" t="s">
        <v>39</v>
      </c>
      <c r="O3391" s="1">
        <v>36.185499999999998</v>
      </c>
      <c r="P3391" s="1">
        <v>-94.284099999999995</v>
      </c>
      <c r="Q3391" s="1" t="s">
        <v>1478</v>
      </c>
      <c r="R3391" s="1" t="s">
        <v>41</v>
      </c>
      <c r="T3391" s="1" t="s">
        <v>93</v>
      </c>
      <c r="U3391" s="1" t="s">
        <v>44</v>
      </c>
      <c r="X3391" s="1" t="s">
        <v>140</v>
      </c>
      <c r="AA3391" s="3">
        <v>39264</v>
      </c>
      <c r="AB3391" s="1" t="s">
        <v>46</v>
      </c>
      <c r="AC3391" s="5">
        <v>1078</v>
      </c>
      <c r="AD3391" s="1" t="s">
        <v>2559</v>
      </c>
      <c r="AE3391" s="1" t="str">
        <f t="shared" si="234"/>
        <v>56328 4</v>
      </c>
      <c r="AF3391" s="5" t="str">
        <f t="shared" si="237"/>
        <v>89</v>
      </c>
      <c r="AG3391" s="1" t="str">
        <f t="shared" si="233"/>
        <v/>
      </c>
    </row>
    <row r="3392" spans="1:33" x14ac:dyDescent="0.2">
      <c r="A3392" s="1" t="s">
        <v>383</v>
      </c>
      <c r="B3392" s="1" t="s">
        <v>7526</v>
      </c>
      <c r="C3392" s="1">
        <v>56349</v>
      </c>
      <c r="D3392" s="1" t="s">
        <v>3676</v>
      </c>
      <c r="F3392" s="1">
        <v>2023</v>
      </c>
      <c r="G3392" s="1" t="s">
        <v>346</v>
      </c>
      <c r="H3392" s="1">
        <v>607049</v>
      </c>
      <c r="I3392" s="1">
        <v>6</v>
      </c>
      <c r="K3392" s="1" t="s">
        <v>5989</v>
      </c>
      <c r="L3392" s="1" t="s">
        <v>5990</v>
      </c>
      <c r="M3392" s="1">
        <v>135</v>
      </c>
      <c r="N3392" s="1" t="s">
        <v>39</v>
      </c>
      <c r="O3392" s="1">
        <v>31.8414</v>
      </c>
      <c r="P3392" s="1">
        <v>-102.315</v>
      </c>
      <c r="Q3392" s="1" t="s">
        <v>7527</v>
      </c>
      <c r="R3392" s="1" t="s">
        <v>41</v>
      </c>
      <c r="T3392" s="1" t="s">
        <v>71</v>
      </c>
      <c r="U3392" s="1" t="s">
        <v>44</v>
      </c>
      <c r="X3392" s="1" t="s">
        <v>64</v>
      </c>
      <c r="AA3392" s="3">
        <v>39197</v>
      </c>
      <c r="AB3392" s="1" t="s">
        <v>46</v>
      </c>
      <c r="AC3392" s="5">
        <v>1260</v>
      </c>
      <c r="AD3392" s="1" t="s">
        <v>7528</v>
      </c>
      <c r="AE3392" s="1" t="str">
        <f t="shared" si="234"/>
        <v>56349 CT1A</v>
      </c>
      <c r="AF3392" s="14">
        <f>AF3393</f>
        <v>142.5</v>
      </c>
      <c r="AG3392" s="1" t="str">
        <f t="shared" si="233"/>
        <v>Y</v>
      </c>
    </row>
    <row r="3393" spans="1:33" x14ac:dyDescent="0.2">
      <c r="A3393" s="1" t="s">
        <v>383</v>
      </c>
      <c r="B3393" s="1" t="s">
        <v>7526</v>
      </c>
      <c r="C3393" s="1">
        <v>56349</v>
      </c>
      <c r="D3393" s="1" t="s">
        <v>3678</v>
      </c>
      <c r="F3393" s="1">
        <v>2023</v>
      </c>
      <c r="G3393" s="1" t="s">
        <v>346</v>
      </c>
      <c r="H3393" s="1">
        <v>607049</v>
      </c>
      <c r="I3393" s="1">
        <v>6</v>
      </c>
      <c r="K3393" s="1" t="s">
        <v>5989</v>
      </c>
      <c r="L3393" s="1" t="s">
        <v>5990</v>
      </c>
      <c r="M3393" s="1">
        <v>135</v>
      </c>
      <c r="N3393" s="1" t="s">
        <v>39</v>
      </c>
      <c r="O3393" s="1">
        <v>31.8414</v>
      </c>
      <c r="P3393" s="1">
        <v>-102.315</v>
      </c>
      <c r="Q3393" s="1" t="s">
        <v>7527</v>
      </c>
      <c r="R3393" s="1" t="s">
        <v>41</v>
      </c>
      <c r="T3393" s="1" t="s">
        <v>71</v>
      </c>
      <c r="U3393" s="1" t="s">
        <v>44</v>
      </c>
      <c r="X3393" s="1" t="s">
        <v>64</v>
      </c>
      <c r="AA3393" s="3">
        <v>39198</v>
      </c>
      <c r="AB3393" s="1" t="s">
        <v>46</v>
      </c>
      <c r="AC3393" s="5">
        <v>1260</v>
      </c>
      <c r="AD3393" s="1" t="s">
        <v>7529</v>
      </c>
      <c r="AE3393" s="1" t="str">
        <f t="shared" si="234"/>
        <v>56349 CT1B</v>
      </c>
      <c r="AF3393" s="14">
        <f>MID(AD3393,FIND("(",AD3393)+1,FIND(")",AD3393)-FIND("(",AD3393)-1)+125/2</f>
        <v>142.5</v>
      </c>
      <c r="AG3393" s="1" t="str">
        <f t="shared" si="233"/>
        <v>Y</v>
      </c>
    </row>
    <row r="3394" spans="1:33" x14ac:dyDescent="0.2">
      <c r="A3394" s="1" t="s">
        <v>383</v>
      </c>
      <c r="B3394" s="1" t="s">
        <v>7526</v>
      </c>
      <c r="C3394" s="1">
        <v>56349</v>
      </c>
      <c r="D3394" s="1" t="s">
        <v>1052</v>
      </c>
      <c r="F3394" s="1">
        <v>2023</v>
      </c>
      <c r="G3394" s="1" t="s">
        <v>346</v>
      </c>
      <c r="H3394" s="1">
        <v>607049</v>
      </c>
      <c r="I3394" s="1">
        <v>6</v>
      </c>
      <c r="K3394" s="1" t="s">
        <v>5989</v>
      </c>
      <c r="L3394" s="1" t="s">
        <v>5990</v>
      </c>
      <c r="M3394" s="1">
        <v>135</v>
      </c>
      <c r="N3394" s="1" t="s">
        <v>39</v>
      </c>
      <c r="O3394" s="1">
        <v>31.8414</v>
      </c>
      <c r="P3394" s="1">
        <v>-102.315</v>
      </c>
      <c r="Q3394" s="1" t="s">
        <v>7527</v>
      </c>
      <c r="R3394" s="1" t="s">
        <v>41</v>
      </c>
      <c r="T3394" s="1" t="s">
        <v>71</v>
      </c>
      <c r="U3394" s="1" t="s">
        <v>44</v>
      </c>
      <c r="X3394" s="1" t="s">
        <v>64</v>
      </c>
      <c r="AA3394" s="3">
        <v>39553</v>
      </c>
      <c r="AB3394" s="1" t="s">
        <v>46</v>
      </c>
      <c r="AC3394" s="5">
        <v>1335</v>
      </c>
      <c r="AD3394" s="1" t="s">
        <v>7530</v>
      </c>
      <c r="AE3394" s="1" t="str">
        <f t="shared" si="234"/>
        <v>56349 CT2A</v>
      </c>
      <c r="AF3394" s="14">
        <f>MID(AD3394,FIND("(",AD3394)+1,FIND(")",AD3394)-FIND("(",AD3394)-1)+125/2</f>
        <v>142.5</v>
      </c>
      <c r="AG3394" s="1" t="str">
        <f t="shared" ref="AG3394:AG3457" si="238">IF(ISNUMBER(SEARCH("selective", X3394)), "Y", "")</f>
        <v>Y</v>
      </c>
    </row>
    <row r="3395" spans="1:33" x14ac:dyDescent="0.2">
      <c r="A3395" s="1" t="s">
        <v>383</v>
      </c>
      <c r="B3395" s="1" t="s">
        <v>7526</v>
      </c>
      <c r="C3395" s="1">
        <v>56349</v>
      </c>
      <c r="D3395" s="1" t="s">
        <v>1054</v>
      </c>
      <c r="F3395" s="1">
        <v>2023</v>
      </c>
      <c r="G3395" s="1" t="s">
        <v>346</v>
      </c>
      <c r="H3395" s="1">
        <v>607049</v>
      </c>
      <c r="I3395" s="1">
        <v>6</v>
      </c>
      <c r="K3395" s="1" t="s">
        <v>5989</v>
      </c>
      <c r="L3395" s="1" t="s">
        <v>5990</v>
      </c>
      <c r="M3395" s="1">
        <v>135</v>
      </c>
      <c r="N3395" s="1" t="s">
        <v>39</v>
      </c>
      <c r="O3395" s="1">
        <v>31.8414</v>
      </c>
      <c r="P3395" s="1">
        <v>-102.315</v>
      </c>
      <c r="Q3395" s="1" t="s">
        <v>7527</v>
      </c>
      <c r="R3395" s="1" t="s">
        <v>41</v>
      </c>
      <c r="T3395" s="1" t="s">
        <v>71</v>
      </c>
      <c r="U3395" s="1" t="s">
        <v>44</v>
      </c>
      <c r="X3395" s="1" t="s">
        <v>64</v>
      </c>
      <c r="AA3395" s="3">
        <v>39553</v>
      </c>
      <c r="AB3395" s="1" t="s">
        <v>46</v>
      </c>
      <c r="AC3395" s="5">
        <v>1260</v>
      </c>
      <c r="AD3395" s="1" t="s">
        <v>7531</v>
      </c>
      <c r="AE3395" s="1" t="str">
        <f t="shared" ref="AE3395:AE3458" si="239">C3395&amp;" "&amp;D3395</f>
        <v>56349 CT2B</v>
      </c>
      <c r="AF3395" s="14">
        <f>AF3394</f>
        <v>142.5</v>
      </c>
      <c r="AG3395" s="1" t="str">
        <f t="shared" si="238"/>
        <v>Y</v>
      </c>
    </row>
    <row r="3396" spans="1:33" x14ac:dyDescent="0.2">
      <c r="A3396" s="1" t="s">
        <v>383</v>
      </c>
      <c r="B3396" s="1" t="s">
        <v>7532</v>
      </c>
      <c r="C3396" s="1">
        <v>56350</v>
      </c>
      <c r="D3396" s="1" t="s">
        <v>3676</v>
      </c>
      <c r="F3396" s="1">
        <v>2023</v>
      </c>
      <c r="G3396" s="1" t="s">
        <v>346</v>
      </c>
      <c r="H3396" s="1">
        <v>609694</v>
      </c>
      <c r="I3396" s="1">
        <v>6</v>
      </c>
      <c r="J3396" s="1" t="s">
        <v>387</v>
      </c>
      <c r="K3396" s="1" t="s">
        <v>5043</v>
      </c>
      <c r="L3396" s="1" t="s">
        <v>5044</v>
      </c>
      <c r="M3396" s="1">
        <v>481</v>
      </c>
      <c r="N3396" s="1" t="s">
        <v>39</v>
      </c>
      <c r="O3396" s="1">
        <v>29.287800000000001</v>
      </c>
      <c r="P3396" s="1">
        <v>-96.068299999999994</v>
      </c>
      <c r="Q3396" s="1" t="s">
        <v>7533</v>
      </c>
      <c r="R3396" s="1" t="s">
        <v>41</v>
      </c>
      <c r="T3396" s="1" t="s">
        <v>71</v>
      </c>
      <c r="U3396" s="1" t="s">
        <v>44</v>
      </c>
      <c r="X3396" s="1" t="s">
        <v>64</v>
      </c>
      <c r="AA3396" s="3">
        <v>39188</v>
      </c>
      <c r="AB3396" s="1" t="s">
        <v>46</v>
      </c>
      <c r="AC3396" s="5">
        <v>1120</v>
      </c>
      <c r="AD3396" s="1" t="s">
        <v>7534</v>
      </c>
      <c r="AE3396" s="1" t="str">
        <f t="shared" si="239"/>
        <v>56350 CT1A</v>
      </c>
      <c r="AF3396" s="14">
        <f>MID(AD3396,FIND("(",AD3396)+1,FIND(")",AD3396)-FIND("(",AD3396)-1)+105.1/2</f>
        <v>132.55000000000001</v>
      </c>
      <c r="AG3396" s="1" t="str">
        <f t="shared" si="238"/>
        <v>Y</v>
      </c>
    </row>
    <row r="3397" spans="1:33" x14ac:dyDescent="0.2">
      <c r="A3397" s="1" t="s">
        <v>383</v>
      </c>
      <c r="B3397" s="1" t="s">
        <v>7532</v>
      </c>
      <c r="C3397" s="1">
        <v>56350</v>
      </c>
      <c r="D3397" s="1" t="s">
        <v>3678</v>
      </c>
      <c r="F3397" s="1">
        <v>2023</v>
      </c>
      <c r="G3397" s="1" t="s">
        <v>346</v>
      </c>
      <c r="H3397" s="1">
        <v>609694</v>
      </c>
      <c r="I3397" s="1">
        <v>6</v>
      </c>
      <c r="J3397" s="1" t="s">
        <v>387</v>
      </c>
      <c r="K3397" s="1" t="s">
        <v>5043</v>
      </c>
      <c r="L3397" s="1" t="s">
        <v>5044</v>
      </c>
      <c r="M3397" s="1">
        <v>481</v>
      </c>
      <c r="N3397" s="1" t="s">
        <v>39</v>
      </c>
      <c r="O3397" s="1">
        <v>29.287800000000001</v>
      </c>
      <c r="P3397" s="1">
        <v>-96.068299999999994</v>
      </c>
      <c r="Q3397" s="1" t="s">
        <v>7533</v>
      </c>
      <c r="R3397" s="1" t="s">
        <v>41</v>
      </c>
      <c r="T3397" s="1" t="s">
        <v>71</v>
      </c>
      <c r="U3397" s="1" t="s">
        <v>44</v>
      </c>
      <c r="X3397" s="1" t="s">
        <v>64</v>
      </c>
      <c r="AA3397" s="3">
        <v>39188</v>
      </c>
      <c r="AB3397" s="1" t="s">
        <v>46</v>
      </c>
      <c r="AC3397" s="5">
        <v>1120</v>
      </c>
      <c r="AD3397" s="1" t="s">
        <v>7535</v>
      </c>
      <c r="AE3397" s="1" t="str">
        <f t="shared" si="239"/>
        <v>56350 CT1B</v>
      </c>
      <c r="AF3397" s="14">
        <f>AF3396</f>
        <v>132.55000000000001</v>
      </c>
      <c r="AG3397" s="1" t="str">
        <f t="shared" si="238"/>
        <v>Y</v>
      </c>
    </row>
    <row r="3398" spans="1:33" x14ac:dyDescent="0.2">
      <c r="A3398" s="1" t="s">
        <v>383</v>
      </c>
      <c r="B3398" s="1" t="s">
        <v>7532</v>
      </c>
      <c r="C3398" s="1">
        <v>56350</v>
      </c>
      <c r="D3398" s="1" t="s">
        <v>1052</v>
      </c>
      <c r="F3398" s="1">
        <v>2023</v>
      </c>
      <c r="G3398" s="1" t="s">
        <v>346</v>
      </c>
      <c r="H3398" s="1">
        <v>609694</v>
      </c>
      <c r="I3398" s="1">
        <v>6</v>
      </c>
      <c r="J3398" s="1" t="s">
        <v>387</v>
      </c>
      <c r="K3398" s="1" t="s">
        <v>5043</v>
      </c>
      <c r="L3398" s="1" t="s">
        <v>5044</v>
      </c>
      <c r="M3398" s="1">
        <v>481</v>
      </c>
      <c r="N3398" s="1" t="s">
        <v>39</v>
      </c>
      <c r="O3398" s="1">
        <v>29.287800000000001</v>
      </c>
      <c r="P3398" s="1">
        <v>-96.068299999999994</v>
      </c>
      <c r="Q3398" s="1" t="s">
        <v>7533</v>
      </c>
      <c r="R3398" s="1" t="s">
        <v>41</v>
      </c>
      <c r="T3398" s="1" t="s">
        <v>71</v>
      </c>
      <c r="U3398" s="1" t="s">
        <v>44</v>
      </c>
      <c r="X3398" s="1" t="s">
        <v>64</v>
      </c>
      <c r="AA3398" s="3">
        <v>39569</v>
      </c>
      <c r="AB3398" s="1" t="s">
        <v>46</v>
      </c>
      <c r="AC3398" s="5">
        <v>1120</v>
      </c>
      <c r="AD3398" s="1" t="s">
        <v>7536</v>
      </c>
      <c r="AE3398" s="1" t="str">
        <f t="shared" si="239"/>
        <v>56350 CT2A</v>
      </c>
      <c r="AF3398" s="14">
        <f>AF3399</f>
        <v>137.5</v>
      </c>
      <c r="AG3398" s="1" t="str">
        <f t="shared" si="238"/>
        <v>Y</v>
      </c>
    </row>
    <row r="3399" spans="1:33" x14ac:dyDescent="0.2">
      <c r="A3399" s="1" t="s">
        <v>383</v>
      </c>
      <c r="B3399" s="1" t="s">
        <v>7532</v>
      </c>
      <c r="C3399" s="1">
        <v>56350</v>
      </c>
      <c r="D3399" s="1" t="s">
        <v>1054</v>
      </c>
      <c r="F3399" s="1">
        <v>2023</v>
      </c>
      <c r="G3399" s="1" t="s">
        <v>346</v>
      </c>
      <c r="H3399" s="1">
        <v>609694</v>
      </c>
      <c r="I3399" s="1">
        <v>6</v>
      </c>
      <c r="J3399" s="1" t="s">
        <v>387</v>
      </c>
      <c r="K3399" s="1" t="s">
        <v>5043</v>
      </c>
      <c r="L3399" s="1" t="s">
        <v>5044</v>
      </c>
      <c r="M3399" s="1">
        <v>481</v>
      </c>
      <c r="N3399" s="1" t="s">
        <v>39</v>
      </c>
      <c r="O3399" s="1">
        <v>29.287800000000001</v>
      </c>
      <c r="P3399" s="1">
        <v>-96.068299999999994</v>
      </c>
      <c r="Q3399" s="1" t="s">
        <v>7533</v>
      </c>
      <c r="R3399" s="1" t="s">
        <v>41</v>
      </c>
      <c r="T3399" s="1" t="s">
        <v>71</v>
      </c>
      <c r="U3399" s="1" t="s">
        <v>44</v>
      </c>
      <c r="X3399" s="1" t="s">
        <v>64</v>
      </c>
      <c r="AA3399" s="3">
        <v>39569</v>
      </c>
      <c r="AB3399" s="1" t="s">
        <v>46</v>
      </c>
      <c r="AC3399" s="5">
        <v>1120</v>
      </c>
      <c r="AD3399" s="1" t="s">
        <v>7537</v>
      </c>
      <c r="AE3399" s="1" t="str">
        <f t="shared" si="239"/>
        <v>56350 CT2B</v>
      </c>
      <c r="AF3399" s="14">
        <f>MID(AD3399,FIND("(",AD3399)+1,FIND(")",AD3399)-FIND("(",AD3399)-1)+115/2</f>
        <v>137.5</v>
      </c>
      <c r="AG3399" s="1" t="str">
        <f t="shared" si="238"/>
        <v>Y</v>
      </c>
    </row>
    <row r="3400" spans="1:33" x14ac:dyDescent="0.2">
      <c r="A3400" s="1" t="s">
        <v>383</v>
      </c>
      <c r="B3400" s="1" t="s">
        <v>7532</v>
      </c>
      <c r="C3400" s="1">
        <v>56350</v>
      </c>
      <c r="D3400" s="1" t="s">
        <v>7538</v>
      </c>
      <c r="F3400" s="1">
        <v>2023</v>
      </c>
      <c r="G3400" s="1" t="s">
        <v>346</v>
      </c>
      <c r="H3400" s="1">
        <v>609694</v>
      </c>
      <c r="I3400" s="1">
        <v>6</v>
      </c>
      <c r="J3400" s="1" t="s">
        <v>387</v>
      </c>
      <c r="K3400" s="1" t="s">
        <v>5043</v>
      </c>
      <c r="L3400" s="1" t="s">
        <v>5044</v>
      </c>
      <c r="M3400" s="1">
        <v>481</v>
      </c>
      <c r="N3400" s="1" t="s">
        <v>39</v>
      </c>
      <c r="O3400" s="1">
        <v>29.287800000000001</v>
      </c>
      <c r="P3400" s="1">
        <v>-96.068299999999994</v>
      </c>
      <c r="Q3400" s="1" t="s">
        <v>7533</v>
      </c>
      <c r="R3400" s="1" t="s">
        <v>41</v>
      </c>
      <c r="T3400" s="1" t="s">
        <v>93</v>
      </c>
      <c r="U3400" s="1" t="s">
        <v>44</v>
      </c>
      <c r="X3400" s="1" t="s">
        <v>223</v>
      </c>
      <c r="AA3400" s="3">
        <v>44924</v>
      </c>
      <c r="AB3400" s="1" t="s">
        <v>46</v>
      </c>
      <c r="AC3400" s="5">
        <v>10640</v>
      </c>
      <c r="AD3400" s="1" t="s">
        <v>7539</v>
      </c>
      <c r="AE3400" s="1" t="str">
        <f t="shared" si="239"/>
        <v>56350 CT-4A</v>
      </c>
      <c r="AF3400" s="5" t="str">
        <f>MID(AD3400,FIND("(",AD3400)+1,FIND(")",AD3400)-FIND("(",AD3400)-1)</f>
        <v>46</v>
      </c>
      <c r="AG3400" s="1" t="str">
        <f t="shared" si="238"/>
        <v>Y</v>
      </c>
    </row>
    <row r="3401" spans="1:33" x14ac:dyDescent="0.2">
      <c r="A3401" s="1" t="s">
        <v>383</v>
      </c>
      <c r="B3401" s="1" t="s">
        <v>7532</v>
      </c>
      <c r="C3401" s="1">
        <v>56350</v>
      </c>
      <c r="D3401" s="1" t="s">
        <v>7540</v>
      </c>
      <c r="F3401" s="1">
        <v>2023</v>
      </c>
      <c r="G3401" s="1" t="s">
        <v>346</v>
      </c>
      <c r="H3401" s="1">
        <v>609694</v>
      </c>
      <c r="I3401" s="1">
        <v>6</v>
      </c>
      <c r="J3401" s="1" t="s">
        <v>387</v>
      </c>
      <c r="K3401" s="1" t="s">
        <v>5043</v>
      </c>
      <c r="L3401" s="1" t="s">
        <v>5044</v>
      </c>
      <c r="M3401" s="1">
        <v>481</v>
      </c>
      <c r="N3401" s="1" t="s">
        <v>39</v>
      </c>
      <c r="O3401" s="1">
        <v>29.287800000000001</v>
      </c>
      <c r="P3401" s="1">
        <v>-96.068299999999994</v>
      </c>
      <c r="Q3401" s="1" t="s">
        <v>7533</v>
      </c>
      <c r="R3401" s="1" t="s">
        <v>41</v>
      </c>
      <c r="T3401" s="1" t="s">
        <v>7541</v>
      </c>
      <c r="U3401" s="1" t="s">
        <v>44</v>
      </c>
      <c r="X3401" s="1" t="s">
        <v>223</v>
      </c>
      <c r="AA3401" s="3">
        <v>44950</v>
      </c>
      <c r="AB3401" s="1" t="s">
        <v>7542</v>
      </c>
      <c r="AC3401" s="5">
        <v>10640</v>
      </c>
      <c r="AD3401" s="1" t="s">
        <v>7543</v>
      </c>
      <c r="AE3401" s="1" t="str">
        <f t="shared" si="239"/>
        <v>56350 CT-4B</v>
      </c>
      <c r="AF3401" s="5" t="str">
        <f>MID(AD3401,FIND("(",AD3401)+1,FIND(")",AD3401)-FIND("(",AD3401)-1)</f>
        <v>46</v>
      </c>
      <c r="AG3401" s="1" t="str">
        <f t="shared" si="238"/>
        <v>Y</v>
      </c>
    </row>
    <row r="3402" spans="1:33" x14ac:dyDescent="0.2">
      <c r="A3402" s="1" t="s">
        <v>2584</v>
      </c>
      <c r="B3402" s="1" t="s">
        <v>7544</v>
      </c>
      <c r="C3402" s="1">
        <v>56397</v>
      </c>
      <c r="D3402" s="1">
        <v>4</v>
      </c>
      <c r="F3402" s="1">
        <v>2023</v>
      </c>
      <c r="G3402" s="1" t="s">
        <v>1515</v>
      </c>
      <c r="H3402" s="1">
        <v>199</v>
      </c>
      <c r="I3402" s="1">
        <v>3</v>
      </c>
      <c r="K3402" s="1" t="s">
        <v>2675</v>
      </c>
      <c r="L3402" s="1" t="s">
        <v>2676</v>
      </c>
      <c r="M3402" s="1">
        <v>79</v>
      </c>
      <c r="N3402" s="1" t="s">
        <v>39</v>
      </c>
      <c r="O3402" s="1">
        <v>41.203299999999999</v>
      </c>
      <c r="P3402" s="1">
        <v>-76.068299999999994</v>
      </c>
      <c r="Q3402" s="1" t="s">
        <v>7545</v>
      </c>
      <c r="R3402" s="1" t="s">
        <v>41</v>
      </c>
      <c r="T3402" s="1" t="s">
        <v>93</v>
      </c>
      <c r="U3402" s="1" t="s">
        <v>44</v>
      </c>
      <c r="X3402" s="1" t="s">
        <v>95</v>
      </c>
      <c r="AA3402" s="3">
        <v>36861</v>
      </c>
      <c r="AB3402" s="1" t="s">
        <v>46</v>
      </c>
      <c r="AC3402" s="5">
        <v>500</v>
      </c>
      <c r="AD3402" s="1" t="s">
        <v>452</v>
      </c>
      <c r="AE3402" s="1" t="str">
        <f t="shared" si="239"/>
        <v>56397 4</v>
      </c>
      <c r="AF3402" s="5" t="str">
        <f>MID(AD3402,FIND("(",AD3402)+1,FIND(")",AD3402)-FIND("(",AD3402)-1)</f>
        <v>44</v>
      </c>
      <c r="AG3402" s="1" t="str">
        <f t="shared" si="238"/>
        <v/>
      </c>
    </row>
    <row r="3403" spans="1:33" x14ac:dyDescent="0.2">
      <c r="A3403" s="1" t="s">
        <v>304</v>
      </c>
      <c r="B3403" s="1" t="s">
        <v>7546</v>
      </c>
      <c r="C3403" s="1">
        <v>56400</v>
      </c>
      <c r="D3403" s="1">
        <v>1</v>
      </c>
      <c r="F3403" s="1">
        <v>2023</v>
      </c>
      <c r="G3403" s="1" t="s">
        <v>247</v>
      </c>
      <c r="H3403" s="1" t="s">
        <v>7547</v>
      </c>
      <c r="I3403" s="1">
        <v>4</v>
      </c>
      <c r="K3403" s="1" t="s">
        <v>7548</v>
      </c>
      <c r="L3403" s="1" t="s">
        <v>7549</v>
      </c>
      <c r="M3403" s="1">
        <v>111</v>
      </c>
      <c r="N3403" s="1" t="s">
        <v>39</v>
      </c>
      <c r="O3403" s="1">
        <v>27.383900000000001</v>
      </c>
      <c r="P3403" s="1">
        <v>-80.377499999999998</v>
      </c>
      <c r="Q3403" s="1" t="s">
        <v>7550</v>
      </c>
      <c r="R3403" s="1" t="s">
        <v>41</v>
      </c>
      <c r="T3403" s="1" t="s">
        <v>71</v>
      </c>
      <c r="U3403" s="1" t="s">
        <v>44</v>
      </c>
      <c r="V3403" s="1" t="s">
        <v>94</v>
      </c>
      <c r="X3403" s="1" t="s">
        <v>643</v>
      </c>
      <c r="AA3403" s="3">
        <v>39490</v>
      </c>
      <c r="AB3403" s="1" t="s">
        <v>46</v>
      </c>
      <c r="AC3403" s="5">
        <v>2661</v>
      </c>
      <c r="AD3403" s="1" t="s">
        <v>7551</v>
      </c>
      <c r="AE3403" s="1" t="str">
        <f t="shared" si="239"/>
        <v>56400 1</v>
      </c>
      <c r="AF3403" s="14">
        <f>MID(AD3403,FIND("(",AD3403)+1,FIND(")",AD3403)-FIND("(",AD3403)-1)+219.6</f>
        <v>411.4</v>
      </c>
      <c r="AG3403" s="1" t="str">
        <f t="shared" si="238"/>
        <v>Y</v>
      </c>
    </row>
    <row r="3404" spans="1:33" x14ac:dyDescent="0.2">
      <c r="A3404" s="1" t="s">
        <v>304</v>
      </c>
      <c r="B3404" s="1" t="s">
        <v>7552</v>
      </c>
      <c r="C3404" s="1">
        <v>56407</v>
      </c>
      <c r="D3404" s="1" t="s">
        <v>7553</v>
      </c>
      <c r="F3404" s="1">
        <v>2023</v>
      </c>
      <c r="G3404" s="1" t="s">
        <v>247</v>
      </c>
      <c r="H3404" s="1">
        <v>606322</v>
      </c>
      <c r="I3404" s="1">
        <v>4</v>
      </c>
      <c r="K3404" s="1" t="s">
        <v>757</v>
      </c>
      <c r="L3404" s="1" t="s">
        <v>758</v>
      </c>
      <c r="M3404" s="1">
        <v>99</v>
      </c>
      <c r="N3404" s="1" t="s">
        <v>39</v>
      </c>
      <c r="O3404" s="1">
        <v>26.698599999999999</v>
      </c>
      <c r="P3404" s="1">
        <v>-80.374700000000004</v>
      </c>
      <c r="Q3404" s="1" t="s">
        <v>702</v>
      </c>
      <c r="R3404" s="1" t="s">
        <v>41</v>
      </c>
      <c r="T3404" s="1" t="s">
        <v>71</v>
      </c>
      <c r="U3404" s="1" t="s">
        <v>44</v>
      </c>
      <c r="V3404" s="1" t="s">
        <v>94</v>
      </c>
      <c r="X3404" s="1" t="s">
        <v>7554</v>
      </c>
      <c r="AA3404" s="3">
        <v>39954</v>
      </c>
      <c r="AB3404" s="1" t="s">
        <v>46</v>
      </c>
      <c r="AC3404" s="5">
        <v>2958</v>
      </c>
      <c r="AD3404" s="1" t="s">
        <v>7555</v>
      </c>
      <c r="AE3404" s="1" t="str">
        <f t="shared" si="239"/>
        <v>56407 WCCT1A</v>
      </c>
      <c r="AF3404" s="14">
        <f>MID(AD3404,FIND("(",AD3404)+1,FIND(")",AD3404)-FIND("(",AD3404)-1)+527/3</f>
        <v>473.66666666666663</v>
      </c>
      <c r="AG3404" s="1" t="str">
        <f t="shared" si="238"/>
        <v>Y</v>
      </c>
    </row>
    <row r="3405" spans="1:33" x14ac:dyDescent="0.2">
      <c r="A3405" s="1" t="s">
        <v>304</v>
      </c>
      <c r="B3405" s="1" t="s">
        <v>7552</v>
      </c>
      <c r="C3405" s="1">
        <v>56407</v>
      </c>
      <c r="D3405" s="1" t="s">
        <v>7556</v>
      </c>
      <c r="F3405" s="1">
        <v>2023</v>
      </c>
      <c r="G3405" s="1" t="s">
        <v>247</v>
      </c>
      <c r="H3405" s="1">
        <v>606322</v>
      </c>
      <c r="I3405" s="1">
        <v>4</v>
      </c>
      <c r="K3405" s="1" t="s">
        <v>757</v>
      </c>
      <c r="L3405" s="1" t="s">
        <v>758</v>
      </c>
      <c r="M3405" s="1">
        <v>99</v>
      </c>
      <c r="N3405" s="1" t="s">
        <v>39</v>
      </c>
      <c r="O3405" s="1">
        <v>26.698599999999999</v>
      </c>
      <c r="P3405" s="1">
        <v>-80.374700000000004</v>
      </c>
      <c r="Q3405" s="1" t="s">
        <v>702</v>
      </c>
      <c r="R3405" s="1" t="s">
        <v>41</v>
      </c>
      <c r="T3405" s="1" t="s">
        <v>71</v>
      </c>
      <c r="U3405" s="1" t="s">
        <v>44</v>
      </c>
      <c r="V3405" s="1" t="s">
        <v>94</v>
      </c>
      <c r="X3405" s="1" t="s">
        <v>7554</v>
      </c>
      <c r="AA3405" s="3">
        <v>39935</v>
      </c>
      <c r="AB3405" s="1" t="s">
        <v>46</v>
      </c>
      <c r="AC3405" s="5">
        <v>2958</v>
      </c>
      <c r="AD3405" s="1" t="s">
        <v>7557</v>
      </c>
      <c r="AE3405" s="1" t="str">
        <f t="shared" si="239"/>
        <v>56407 WCCT1B</v>
      </c>
      <c r="AF3405" s="14">
        <f>AF3404</f>
        <v>473.66666666666663</v>
      </c>
      <c r="AG3405" s="1" t="str">
        <f t="shared" si="238"/>
        <v>Y</v>
      </c>
    </row>
    <row r="3406" spans="1:33" x14ac:dyDescent="0.2">
      <c r="A3406" s="1" t="s">
        <v>304</v>
      </c>
      <c r="B3406" s="1" t="s">
        <v>7552</v>
      </c>
      <c r="C3406" s="1">
        <v>56407</v>
      </c>
      <c r="D3406" s="1" t="s">
        <v>7558</v>
      </c>
      <c r="F3406" s="1">
        <v>2023</v>
      </c>
      <c r="G3406" s="1" t="s">
        <v>247</v>
      </c>
      <c r="H3406" s="1">
        <v>606322</v>
      </c>
      <c r="I3406" s="1">
        <v>4</v>
      </c>
      <c r="K3406" s="1" t="s">
        <v>757</v>
      </c>
      <c r="L3406" s="1" t="s">
        <v>758</v>
      </c>
      <c r="M3406" s="1">
        <v>99</v>
      </c>
      <c r="N3406" s="1" t="s">
        <v>39</v>
      </c>
      <c r="O3406" s="1">
        <v>26.698599999999999</v>
      </c>
      <c r="P3406" s="1">
        <v>-80.374700000000004</v>
      </c>
      <c r="Q3406" s="1" t="s">
        <v>702</v>
      </c>
      <c r="R3406" s="1" t="s">
        <v>41</v>
      </c>
      <c r="T3406" s="1" t="s">
        <v>71</v>
      </c>
      <c r="U3406" s="1" t="s">
        <v>44</v>
      </c>
      <c r="V3406" s="1" t="s">
        <v>94</v>
      </c>
      <c r="X3406" s="1" t="s">
        <v>7554</v>
      </c>
      <c r="AA3406" s="3">
        <v>39922</v>
      </c>
      <c r="AB3406" s="1" t="s">
        <v>46</v>
      </c>
      <c r="AC3406" s="5">
        <v>2958</v>
      </c>
      <c r="AD3406" s="1" t="s">
        <v>7559</v>
      </c>
      <c r="AE3406" s="1" t="str">
        <f t="shared" si="239"/>
        <v>56407 WCCT1C</v>
      </c>
      <c r="AF3406" s="14">
        <f>AF3404</f>
        <v>473.66666666666663</v>
      </c>
      <c r="AG3406" s="1" t="str">
        <f t="shared" si="238"/>
        <v>Y</v>
      </c>
    </row>
    <row r="3407" spans="1:33" x14ac:dyDescent="0.2">
      <c r="A3407" s="1" t="s">
        <v>304</v>
      </c>
      <c r="B3407" s="1" t="s">
        <v>7552</v>
      </c>
      <c r="C3407" s="1">
        <v>56407</v>
      </c>
      <c r="D3407" s="1" t="s">
        <v>7560</v>
      </c>
      <c r="F3407" s="1">
        <v>2023</v>
      </c>
      <c r="G3407" s="1" t="s">
        <v>247</v>
      </c>
      <c r="H3407" s="1">
        <v>606322</v>
      </c>
      <c r="I3407" s="1">
        <v>4</v>
      </c>
      <c r="K3407" s="1" t="s">
        <v>757</v>
      </c>
      <c r="L3407" s="1" t="s">
        <v>758</v>
      </c>
      <c r="M3407" s="1">
        <v>99</v>
      </c>
      <c r="N3407" s="1" t="s">
        <v>39</v>
      </c>
      <c r="O3407" s="1">
        <v>26.698599999999999</v>
      </c>
      <c r="P3407" s="1">
        <v>-80.374700000000004</v>
      </c>
      <c r="Q3407" s="1" t="s">
        <v>702</v>
      </c>
      <c r="R3407" s="1" t="s">
        <v>41</v>
      </c>
      <c r="T3407" s="1" t="s">
        <v>71</v>
      </c>
      <c r="U3407" s="1" t="s">
        <v>44</v>
      </c>
      <c r="V3407" s="1" t="s">
        <v>94</v>
      </c>
      <c r="X3407" s="1" t="s">
        <v>7554</v>
      </c>
      <c r="AA3407" s="3">
        <v>40080</v>
      </c>
      <c r="AB3407" s="1" t="s">
        <v>46</v>
      </c>
      <c r="AC3407" s="5">
        <v>2958</v>
      </c>
      <c r="AD3407" s="1" t="s">
        <v>7561</v>
      </c>
      <c r="AE3407" s="1" t="str">
        <f t="shared" si="239"/>
        <v>56407 WCCT2A</v>
      </c>
      <c r="AF3407" s="14">
        <f>MID(AD3407,FIND("(",AD3407)+1,FIND(")",AD3407)-FIND("(",AD3407)-1)+527/3</f>
        <v>473.66666666666663</v>
      </c>
      <c r="AG3407" s="1" t="str">
        <f t="shared" si="238"/>
        <v>Y</v>
      </c>
    </row>
    <row r="3408" spans="1:33" x14ac:dyDescent="0.2">
      <c r="A3408" s="1" t="s">
        <v>304</v>
      </c>
      <c r="B3408" s="1" t="s">
        <v>7552</v>
      </c>
      <c r="C3408" s="1">
        <v>56407</v>
      </c>
      <c r="D3408" s="1" t="s">
        <v>7562</v>
      </c>
      <c r="F3408" s="1">
        <v>2023</v>
      </c>
      <c r="G3408" s="1" t="s">
        <v>247</v>
      </c>
      <c r="H3408" s="1">
        <v>606322</v>
      </c>
      <c r="I3408" s="1">
        <v>4</v>
      </c>
      <c r="K3408" s="1" t="s">
        <v>757</v>
      </c>
      <c r="L3408" s="1" t="s">
        <v>758</v>
      </c>
      <c r="M3408" s="1">
        <v>99</v>
      </c>
      <c r="N3408" s="1" t="s">
        <v>39</v>
      </c>
      <c r="O3408" s="1">
        <v>26.698599999999999</v>
      </c>
      <c r="P3408" s="1">
        <v>-80.374700000000004</v>
      </c>
      <c r="Q3408" s="1" t="s">
        <v>702</v>
      </c>
      <c r="R3408" s="1" t="s">
        <v>41</v>
      </c>
      <c r="T3408" s="1" t="s">
        <v>71</v>
      </c>
      <c r="U3408" s="1" t="s">
        <v>44</v>
      </c>
      <c r="V3408" s="1" t="s">
        <v>94</v>
      </c>
      <c r="X3408" s="1" t="s">
        <v>7554</v>
      </c>
      <c r="AA3408" s="3">
        <v>40065</v>
      </c>
      <c r="AB3408" s="1" t="s">
        <v>46</v>
      </c>
      <c r="AC3408" s="5">
        <v>2958</v>
      </c>
      <c r="AD3408" s="1" t="s">
        <v>7563</v>
      </c>
      <c r="AE3408" s="1" t="str">
        <f t="shared" si="239"/>
        <v>56407 WCCT2B</v>
      </c>
      <c r="AF3408" s="14">
        <f>AF3407</f>
        <v>473.66666666666663</v>
      </c>
      <c r="AG3408" s="1" t="str">
        <f t="shared" si="238"/>
        <v>Y</v>
      </c>
    </row>
    <row r="3409" spans="1:33" x14ac:dyDescent="0.2">
      <c r="A3409" s="1" t="s">
        <v>304</v>
      </c>
      <c r="B3409" s="1" t="s">
        <v>7552</v>
      </c>
      <c r="C3409" s="1">
        <v>56407</v>
      </c>
      <c r="D3409" s="1" t="s">
        <v>7564</v>
      </c>
      <c r="F3409" s="1">
        <v>2023</v>
      </c>
      <c r="G3409" s="1" t="s">
        <v>247</v>
      </c>
      <c r="H3409" s="1">
        <v>606322</v>
      </c>
      <c r="I3409" s="1">
        <v>4</v>
      </c>
      <c r="K3409" s="1" t="s">
        <v>757</v>
      </c>
      <c r="L3409" s="1" t="s">
        <v>758</v>
      </c>
      <c r="M3409" s="1">
        <v>99</v>
      </c>
      <c r="N3409" s="1" t="s">
        <v>39</v>
      </c>
      <c r="O3409" s="1">
        <v>26.698599999999999</v>
      </c>
      <c r="P3409" s="1">
        <v>-80.374700000000004</v>
      </c>
      <c r="Q3409" s="1" t="s">
        <v>702</v>
      </c>
      <c r="R3409" s="1" t="s">
        <v>41</v>
      </c>
      <c r="T3409" s="1" t="s">
        <v>71</v>
      </c>
      <c r="U3409" s="1" t="s">
        <v>44</v>
      </c>
      <c r="V3409" s="1" t="s">
        <v>94</v>
      </c>
      <c r="X3409" s="1" t="s">
        <v>7554</v>
      </c>
      <c r="AA3409" s="3">
        <v>40058</v>
      </c>
      <c r="AB3409" s="1" t="s">
        <v>46</v>
      </c>
      <c r="AC3409" s="5">
        <v>2958</v>
      </c>
      <c r="AD3409" s="1" t="s">
        <v>7565</v>
      </c>
      <c r="AE3409" s="1" t="str">
        <f t="shared" si="239"/>
        <v>56407 WCCT2C</v>
      </c>
      <c r="AF3409" s="14">
        <f>AF3407</f>
        <v>473.66666666666663</v>
      </c>
      <c r="AG3409" s="1" t="str">
        <f t="shared" si="238"/>
        <v>Y</v>
      </c>
    </row>
    <row r="3410" spans="1:33" x14ac:dyDescent="0.2">
      <c r="A3410" s="1" t="s">
        <v>304</v>
      </c>
      <c r="B3410" s="1" t="s">
        <v>7552</v>
      </c>
      <c r="C3410" s="1">
        <v>56407</v>
      </c>
      <c r="D3410" s="1" t="s">
        <v>7566</v>
      </c>
      <c r="F3410" s="1">
        <v>2023</v>
      </c>
      <c r="G3410" s="1" t="s">
        <v>247</v>
      </c>
      <c r="H3410" s="1">
        <v>606322</v>
      </c>
      <c r="I3410" s="1">
        <v>4</v>
      </c>
      <c r="K3410" s="1" t="s">
        <v>757</v>
      </c>
      <c r="L3410" s="1" t="s">
        <v>758</v>
      </c>
      <c r="M3410" s="1">
        <v>99</v>
      </c>
      <c r="N3410" s="1" t="s">
        <v>39</v>
      </c>
      <c r="O3410" s="1">
        <v>26.698599999999999</v>
      </c>
      <c r="P3410" s="1">
        <v>-80.374700000000004</v>
      </c>
      <c r="Q3410" s="1" t="s">
        <v>702</v>
      </c>
      <c r="R3410" s="1" t="s">
        <v>41</v>
      </c>
      <c r="T3410" s="1" t="s">
        <v>71</v>
      </c>
      <c r="U3410" s="1" t="s">
        <v>44</v>
      </c>
      <c r="V3410" s="1" t="s">
        <v>94</v>
      </c>
      <c r="X3410" s="1" t="s">
        <v>7567</v>
      </c>
      <c r="AA3410" s="3">
        <v>40541</v>
      </c>
      <c r="AB3410" s="1" t="s">
        <v>46</v>
      </c>
      <c r="AC3410" s="5">
        <v>3098</v>
      </c>
      <c r="AD3410" s="1" t="s">
        <v>7568</v>
      </c>
      <c r="AE3410" s="1" t="str">
        <f t="shared" si="239"/>
        <v>56407 WCCT3A</v>
      </c>
      <c r="AF3410" s="14">
        <f>AF3412</f>
        <v>473.66666666666663</v>
      </c>
      <c r="AG3410" s="1" t="str">
        <f t="shared" si="238"/>
        <v>Y</v>
      </c>
    </row>
    <row r="3411" spans="1:33" x14ac:dyDescent="0.2">
      <c r="A3411" s="1" t="s">
        <v>304</v>
      </c>
      <c r="B3411" s="1" t="s">
        <v>7552</v>
      </c>
      <c r="C3411" s="1">
        <v>56407</v>
      </c>
      <c r="D3411" s="1" t="s">
        <v>7569</v>
      </c>
      <c r="F3411" s="1">
        <v>2023</v>
      </c>
      <c r="G3411" s="1" t="s">
        <v>247</v>
      </c>
      <c r="H3411" s="1">
        <v>606322</v>
      </c>
      <c r="I3411" s="1">
        <v>4</v>
      </c>
      <c r="K3411" s="1" t="s">
        <v>757</v>
      </c>
      <c r="L3411" s="1" t="s">
        <v>758</v>
      </c>
      <c r="M3411" s="1">
        <v>99</v>
      </c>
      <c r="N3411" s="1" t="s">
        <v>39</v>
      </c>
      <c r="O3411" s="1">
        <v>26.698599999999999</v>
      </c>
      <c r="P3411" s="1">
        <v>-80.374700000000004</v>
      </c>
      <c r="Q3411" s="1" t="s">
        <v>702</v>
      </c>
      <c r="R3411" s="1" t="s">
        <v>41</v>
      </c>
      <c r="T3411" s="1" t="s">
        <v>71</v>
      </c>
      <c r="U3411" s="1" t="s">
        <v>44</v>
      </c>
      <c r="V3411" s="1" t="s">
        <v>94</v>
      </c>
      <c r="X3411" s="1" t="s">
        <v>7567</v>
      </c>
      <c r="AA3411" s="3">
        <v>40515</v>
      </c>
      <c r="AB3411" s="1" t="s">
        <v>46</v>
      </c>
      <c r="AC3411" s="5">
        <v>3098</v>
      </c>
      <c r="AD3411" s="1" t="s">
        <v>7570</v>
      </c>
      <c r="AE3411" s="1" t="str">
        <f t="shared" si="239"/>
        <v>56407 WCCT3B</v>
      </c>
      <c r="AF3411" s="14">
        <f>AF3412</f>
        <v>473.66666666666663</v>
      </c>
      <c r="AG3411" s="1" t="str">
        <f t="shared" si="238"/>
        <v>Y</v>
      </c>
    </row>
    <row r="3412" spans="1:33" x14ac:dyDescent="0.2">
      <c r="A3412" s="1" t="s">
        <v>304</v>
      </c>
      <c r="B3412" s="1" t="s">
        <v>7552</v>
      </c>
      <c r="C3412" s="1">
        <v>56407</v>
      </c>
      <c r="D3412" s="1" t="s">
        <v>7571</v>
      </c>
      <c r="F3412" s="1">
        <v>2023</v>
      </c>
      <c r="G3412" s="1" t="s">
        <v>247</v>
      </c>
      <c r="H3412" s="1">
        <v>606322</v>
      </c>
      <c r="I3412" s="1">
        <v>4</v>
      </c>
      <c r="K3412" s="1" t="s">
        <v>757</v>
      </c>
      <c r="L3412" s="1" t="s">
        <v>758</v>
      </c>
      <c r="M3412" s="1">
        <v>99</v>
      </c>
      <c r="N3412" s="1" t="s">
        <v>39</v>
      </c>
      <c r="O3412" s="1">
        <v>26.698599999999999</v>
      </c>
      <c r="P3412" s="1">
        <v>-80.374700000000004</v>
      </c>
      <c r="Q3412" s="1" t="s">
        <v>702</v>
      </c>
      <c r="R3412" s="1" t="s">
        <v>41</v>
      </c>
      <c r="T3412" s="1" t="s">
        <v>71</v>
      </c>
      <c r="U3412" s="1" t="s">
        <v>44</v>
      </c>
      <c r="V3412" s="1" t="s">
        <v>94</v>
      </c>
      <c r="X3412" s="1" t="s">
        <v>7567</v>
      </c>
      <c r="AA3412" s="3">
        <v>40530</v>
      </c>
      <c r="AB3412" s="1" t="s">
        <v>46</v>
      </c>
      <c r="AC3412" s="5">
        <v>3098</v>
      </c>
      <c r="AD3412" s="1" t="s">
        <v>7572</v>
      </c>
      <c r="AE3412" s="1" t="str">
        <f t="shared" si="239"/>
        <v>56407 WCCT3C</v>
      </c>
      <c r="AF3412" s="14">
        <f>MID(AD3412,FIND("(",AD3412)+1,FIND(")",AD3412)-FIND("(",AD3412)-1)+527/3</f>
        <v>473.66666666666663</v>
      </c>
      <c r="AG3412" s="1" t="str">
        <f t="shared" si="238"/>
        <v>Y</v>
      </c>
    </row>
    <row r="3413" spans="1:33" x14ac:dyDescent="0.2">
      <c r="A3413" s="1" t="s">
        <v>516</v>
      </c>
      <c r="B3413" s="1" t="s">
        <v>7573</v>
      </c>
      <c r="C3413" s="1">
        <v>56445</v>
      </c>
      <c r="D3413" s="1" t="s">
        <v>6763</v>
      </c>
      <c r="F3413" s="1">
        <v>2023</v>
      </c>
      <c r="G3413" s="1" t="s">
        <v>247</v>
      </c>
      <c r="H3413" s="1" t="s">
        <v>7574</v>
      </c>
      <c r="I3413" s="1">
        <v>8</v>
      </c>
      <c r="J3413" s="1" t="s">
        <v>237</v>
      </c>
      <c r="K3413" s="1" t="s">
        <v>3544</v>
      </c>
      <c r="L3413" s="1" t="s">
        <v>3545</v>
      </c>
      <c r="M3413" s="1">
        <v>123</v>
      </c>
      <c r="N3413" s="1" t="s">
        <v>39</v>
      </c>
      <c r="O3413" s="1">
        <v>40.0914</v>
      </c>
      <c r="P3413" s="1">
        <v>-104.8819</v>
      </c>
      <c r="Q3413" s="1" t="s">
        <v>7575</v>
      </c>
      <c r="R3413" s="1" t="s">
        <v>41</v>
      </c>
      <c r="T3413" s="1" t="s">
        <v>93</v>
      </c>
      <c r="U3413" s="1" t="s">
        <v>44</v>
      </c>
      <c r="V3413" s="1" t="s">
        <v>94</v>
      </c>
      <c r="X3413" s="1" t="s">
        <v>183</v>
      </c>
      <c r="AA3413" s="3">
        <v>39180</v>
      </c>
      <c r="AB3413" s="1" t="s">
        <v>46</v>
      </c>
      <c r="AC3413" s="5">
        <v>2707</v>
      </c>
      <c r="AD3413" s="1" t="s">
        <v>7576</v>
      </c>
      <c r="AE3413" s="1" t="str">
        <f t="shared" si="239"/>
        <v>56445 CT-01</v>
      </c>
      <c r="AF3413" s="5" t="str">
        <f>MID(AD3413,FIND("(",AD3413)+1,FIND(")",AD3413)-FIND("(",AD3413)-1)</f>
        <v>197</v>
      </c>
      <c r="AG3413" s="1" t="str">
        <f t="shared" si="238"/>
        <v/>
      </c>
    </row>
    <row r="3414" spans="1:33" x14ac:dyDescent="0.2">
      <c r="A3414" s="1" t="s">
        <v>516</v>
      </c>
      <c r="B3414" s="1" t="s">
        <v>7573</v>
      </c>
      <c r="C3414" s="1">
        <v>56445</v>
      </c>
      <c r="D3414" s="1" t="s">
        <v>6766</v>
      </c>
      <c r="F3414" s="1">
        <v>2023</v>
      </c>
      <c r="G3414" s="1" t="s">
        <v>247</v>
      </c>
      <c r="H3414" s="1" t="s">
        <v>7574</v>
      </c>
      <c r="I3414" s="1">
        <v>8</v>
      </c>
      <c r="J3414" s="1" t="s">
        <v>237</v>
      </c>
      <c r="K3414" s="1" t="s">
        <v>3544</v>
      </c>
      <c r="L3414" s="1" t="s">
        <v>3545</v>
      </c>
      <c r="M3414" s="1">
        <v>123</v>
      </c>
      <c r="N3414" s="1" t="s">
        <v>39</v>
      </c>
      <c r="O3414" s="1">
        <v>40.0914</v>
      </c>
      <c r="P3414" s="1">
        <v>-104.8819</v>
      </c>
      <c r="Q3414" s="1" t="s">
        <v>7575</v>
      </c>
      <c r="R3414" s="1" t="s">
        <v>41</v>
      </c>
      <c r="T3414" s="1" t="s">
        <v>93</v>
      </c>
      <c r="U3414" s="1" t="s">
        <v>44</v>
      </c>
      <c r="V3414" s="1" t="s">
        <v>94</v>
      </c>
      <c r="X3414" s="1" t="s">
        <v>183</v>
      </c>
      <c r="AA3414" s="3">
        <v>39193</v>
      </c>
      <c r="AB3414" s="1" t="s">
        <v>46</v>
      </c>
      <c r="AC3414" s="5">
        <v>2707</v>
      </c>
      <c r="AD3414" s="1" t="s">
        <v>7577</v>
      </c>
      <c r="AE3414" s="1" t="str">
        <f t="shared" si="239"/>
        <v>56445 CT-02</v>
      </c>
      <c r="AF3414" s="5" t="str">
        <f>MID(AD3414,FIND("(",AD3414)+1,FIND(")",AD3414)-FIND("(",AD3414)-1)</f>
        <v>197</v>
      </c>
      <c r="AG3414" s="1" t="str">
        <f t="shared" si="238"/>
        <v/>
      </c>
    </row>
    <row r="3415" spans="1:33" x14ac:dyDescent="0.2">
      <c r="A3415" s="1" t="s">
        <v>348</v>
      </c>
      <c r="B3415" s="1" t="s">
        <v>7578</v>
      </c>
      <c r="C3415" s="1">
        <v>56456</v>
      </c>
      <c r="D3415" s="1">
        <v>1</v>
      </c>
      <c r="F3415" s="1">
        <v>2023</v>
      </c>
      <c r="G3415" s="1" t="s">
        <v>337</v>
      </c>
      <c r="H3415" s="1">
        <v>609024</v>
      </c>
      <c r="I3415" s="1">
        <v>6</v>
      </c>
      <c r="K3415" s="1" t="s">
        <v>6554</v>
      </c>
      <c r="L3415" s="1" t="s">
        <v>6555</v>
      </c>
      <c r="M3415" s="1">
        <v>93</v>
      </c>
      <c r="N3415" s="1" t="s">
        <v>39</v>
      </c>
      <c r="O3415" s="1">
        <v>35.662599999999998</v>
      </c>
      <c r="P3415" s="1">
        <v>-89.946899999999999</v>
      </c>
      <c r="Q3415" s="1" t="s">
        <v>7579</v>
      </c>
      <c r="R3415" s="1" t="s">
        <v>41</v>
      </c>
      <c r="T3415" s="1" t="s">
        <v>89</v>
      </c>
      <c r="U3415" s="1" t="s">
        <v>55</v>
      </c>
      <c r="W3415" s="1" t="s">
        <v>212</v>
      </c>
      <c r="X3415" s="1" t="s">
        <v>639</v>
      </c>
      <c r="Y3415" s="1" t="s">
        <v>232</v>
      </c>
      <c r="Z3415" s="1" t="s">
        <v>344</v>
      </c>
      <c r="AA3415" s="3">
        <v>40263</v>
      </c>
      <c r="AB3415" s="1" t="s">
        <v>46</v>
      </c>
      <c r="AC3415" s="5">
        <v>8000</v>
      </c>
      <c r="AD3415" s="1" t="s">
        <v>7580</v>
      </c>
      <c r="AE3415" s="1" t="str">
        <f t="shared" si="239"/>
        <v>56456 1</v>
      </c>
      <c r="AF3415" s="5" t="str">
        <f>MID(AD3415,FIND("(",AD3415)+1,FIND(")",AD3415)-FIND("(",AD3415)-1)</f>
        <v>665</v>
      </c>
      <c r="AG3415" s="1" t="str">
        <f t="shared" si="238"/>
        <v>Y</v>
      </c>
    </row>
    <row r="3416" spans="1:33" x14ac:dyDescent="0.2">
      <c r="A3416" s="1" t="s">
        <v>2054</v>
      </c>
      <c r="B3416" s="1" t="s">
        <v>7581</v>
      </c>
      <c r="C3416" s="1">
        <v>56458</v>
      </c>
      <c r="D3416" s="1" t="s">
        <v>7582</v>
      </c>
      <c r="F3416" s="1">
        <v>2023</v>
      </c>
      <c r="G3416" s="1" t="s">
        <v>247</v>
      </c>
      <c r="H3416" s="1" t="s">
        <v>7583</v>
      </c>
      <c r="I3416" s="1">
        <v>6</v>
      </c>
      <c r="J3416" s="1" t="s">
        <v>228</v>
      </c>
      <c r="K3416" s="1" t="s">
        <v>2071</v>
      </c>
      <c r="L3416" s="1" t="s">
        <v>2072</v>
      </c>
      <c r="M3416" s="1">
        <v>25</v>
      </c>
      <c r="N3416" s="1" t="s">
        <v>39</v>
      </c>
      <c r="O3416" s="1">
        <v>32.728200000000001</v>
      </c>
      <c r="P3416" s="1">
        <v>-103.3095</v>
      </c>
      <c r="Q3416" s="1" t="s">
        <v>7584</v>
      </c>
      <c r="R3416" s="1" t="s">
        <v>41</v>
      </c>
      <c r="T3416" s="1" t="s">
        <v>71</v>
      </c>
      <c r="U3416" s="1" t="s">
        <v>44</v>
      </c>
      <c r="X3416" s="1" t="s">
        <v>64</v>
      </c>
      <c r="AA3416" s="3">
        <v>39621</v>
      </c>
      <c r="AB3416" s="1" t="s">
        <v>46</v>
      </c>
      <c r="AC3416" s="5">
        <v>2620.1999999999998</v>
      </c>
      <c r="AD3416" s="1" t="s">
        <v>7585</v>
      </c>
      <c r="AE3416" s="1" t="str">
        <f t="shared" si="239"/>
        <v>56458 HOBB1</v>
      </c>
      <c r="AF3416" s="14">
        <f>MID(AD3416,FIND("(",AD3416)+1,FIND(")",AD3416)-FIND("(",AD3416)-1)+275/2</f>
        <v>304.5</v>
      </c>
      <c r="AG3416" s="1" t="str">
        <f t="shared" si="238"/>
        <v>Y</v>
      </c>
    </row>
    <row r="3417" spans="1:33" x14ac:dyDescent="0.2">
      <c r="A3417" s="1" t="s">
        <v>2054</v>
      </c>
      <c r="B3417" s="1" t="s">
        <v>7581</v>
      </c>
      <c r="C3417" s="1">
        <v>56458</v>
      </c>
      <c r="D3417" s="1" t="s">
        <v>7586</v>
      </c>
      <c r="F3417" s="1">
        <v>2023</v>
      </c>
      <c r="G3417" s="1" t="s">
        <v>247</v>
      </c>
      <c r="H3417" s="1" t="s">
        <v>7583</v>
      </c>
      <c r="I3417" s="1">
        <v>6</v>
      </c>
      <c r="J3417" s="1" t="s">
        <v>228</v>
      </c>
      <c r="K3417" s="1" t="s">
        <v>2071</v>
      </c>
      <c r="L3417" s="1" t="s">
        <v>2072</v>
      </c>
      <c r="M3417" s="1">
        <v>25</v>
      </c>
      <c r="N3417" s="1" t="s">
        <v>39</v>
      </c>
      <c r="O3417" s="1">
        <v>32.728200000000001</v>
      </c>
      <c r="P3417" s="1">
        <v>-103.3095</v>
      </c>
      <c r="Q3417" s="1" t="s">
        <v>7584</v>
      </c>
      <c r="R3417" s="1" t="s">
        <v>41</v>
      </c>
      <c r="T3417" s="1" t="s">
        <v>71</v>
      </c>
      <c r="U3417" s="1" t="s">
        <v>44</v>
      </c>
      <c r="X3417" s="1" t="s">
        <v>64</v>
      </c>
      <c r="AA3417" s="3">
        <v>39633</v>
      </c>
      <c r="AB3417" s="1" t="s">
        <v>46</v>
      </c>
      <c r="AC3417" s="5">
        <v>2597.1999999999998</v>
      </c>
      <c r="AD3417" s="1" t="s">
        <v>7587</v>
      </c>
      <c r="AE3417" s="1" t="str">
        <f t="shared" si="239"/>
        <v>56458 HOBB2</v>
      </c>
      <c r="AF3417" s="14">
        <f>AF3416</f>
        <v>304.5</v>
      </c>
      <c r="AG3417" s="1" t="str">
        <f t="shared" si="238"/>
        <v>Y</v>
      </c>
    </row>
    <row r="3418" spans="1:33" x14ac:dyDescent="0.2">
      <c r="A3418" s="1" t="s">
        <v>370</v>
      </c>
      <c r="B3418" s="1" t="s">
        <v>7588</v>
      </c>
      <c r="C3418" s="1">
        <v>56467</v>
      </c>
      <c r="D3418" s="1" t="s">
        <v>311</v>
      </c>
      <c r="F3418" s="1">
        <v>2023</v>
      </c>
      <c r="G3418" s="1" t="s">
        <v>247</v>
      </c>
      <c r="H3418" s="1">
        <v>607011</v>
      </c>
      <c r="I3418" s="1">
        <v>9</v>
      </c>
      <c r="K3418" s="1" t="s">
        <v>7589</v>
      </c>
      <c r="L3418" s="1" t="s">
        <v>7590</v>
      </c>
      <c r="M3418" s="1">
        <v>1</v>
      </c>
      <c r="N3418" s="1" t="s">
        <v>39</v>
      </c>
      <c r="O3418" s="1">
        <v>37.634099999999997</v>
      </c>
      <c r="P3418" s="1">
        <v>-122.1326</v>
      </c>
      <c r="Q3418" s="1" t="s">
        <v>7591</v>
      </c>
      <c r="R3418" s="1" t="s">
        <v>41</v>
      </c>
      <c r="T3418" s="1" t="s">
        <v>71</v>
      </c>
      <c r="U3418" s="1" t="s">
        <v>44</v>
      </c>
      <c r="X3418" s="1" t="s">
        <v>64</v>
      </c>
      <c r="AA3418" s="3">
        <v>41475</v>
      </c>
      <c r="AB3418" s="1" t="s">
        <v>46</v>
      </c>
      <c r="AC3418" s="5">
        <v>2238.6</v>
      </c>
      <c r="AD3418" s="1" t="s">
        <v>7592</v>
      </c>
      <c r="AE3418" s="1" t="str">
        <f t="shared" si="239"/>
        <v>56467 CT1</v>
      </c>
      <c r="AF3418" s="14">
        <f>MID(AD3418,FIND("(",AD3418)+1,FIND(")",AD3418)-FIND("(",AD3418)-1)+255/2</f>
        <v>327.5</v>
      </c>
      <c r="AG3418" s="1" t="str">
        <f t="shared" si="238"/>
        <v>Y</v>
      </c>
    </row>
    <row r="3419" spans="1:33" x14ac:dyDescent="0.2">
      <c r="A3419" s="1" t="s">
        <v>370</v>
      </c>
      <c r="B3419" s="1" t="s">
        <v>7588</v>
      </c>
      <c r="C3419" s="1">
        <v>56467</v>
      </c>
      <c r="D3419" s="1" t="s">
        <v>98</v>
      </c>
      <c r="F3419" s="1">
        <v>2023</v>
      </c>
      <c r="G3419" s="1" t="s">
        <v>247</v>
      </c>
      <c r="H3419" s="1">
        <v>607011</v>
      </c>
      <c r="I3419" s="1">
        <v>9</v>
      </c>
      <c r="K3419" s="1" t="s">
        <v>7589</v>
      </c>
      <c r="L3419" s="1" t="s">
        <v>7590</v>
      </c>
      <c r="M3419" s="1">
        <v>1</v>
      </c>
      <c r="N3419" s="1" t="s">
        <v>39</v>
      </c>
      <c r="O3419" s="1">
        <v>37.634099999999997</v>
      </c>
      <c r="P3419" s="1">
        <v>-122.1326</v>
      </c>
      <c r="Q3419" s="1" t="s">
        <v>7591</v>
      </c>
      <c r="R3419" s="1" t="s">
        <v>41</v>
      </c>
      <c r="T3419" s="1" t="s">
        <v>71</v>
      </c>
      <c r="U3419" s="1" t="s">
        <v>44</v>
      </c>
      <c r="X3419" s="1" t="s">
        <v>64</v>
      </c>
      <c r="AA3419" s="3">
        <v>41475</v>
      </c>
      <c r="AB3419" s="1" t="s">
        <v>46</v>
      </c>
      <c r="AC3419" s="5">
        <v>2238.6</v>
      </c>
      <c r="AD3419" s="1" t="s">
        <v>7593</v>
      </c>
      <c r="AE3419" s="1" t="str">
        <f t="shared" si="239"/>
        <v>56467 CT2</v>
      </c>
      <c r="AF3419" s="14">
        <f>AF3418</f>
        <v>327.5</v>
      </c>
      <c r="AG3419" s="1" t="str">
        <f t="shared" si="238"/>
        <v>Y</v>
      </c>
    </row>
    <row r="3420" spans="1:33" x14ac:dyDescent="0.2">
      <c r="A3420" s="1" t="s">
        <v>370</v>
      </c>
      <c r="B3420" s="1" t="s">
        <v>7594</v>
      </c>
      <c r="C3420" s="1">
        <v>56471</v>
      </c>
      <c r="D3420" s="1" t="s">
        <v>311</v>
      </c>
      <c r="F3420" s="1">
        <v>2023</v>
      </c>
      <c r="G3420" s="1" t="s">
        <v>247</v>
      </c>
      <c r="H3420" s="1">
        <v>608836</v>
      </c>
      <c r="I3420" s="1">
        <v>9</v>
      </c>
      <c r="K3420" s="1" t="s">
        <v>429</v>
      </c>
      <c r="L3420" s="1" t="s">
        <v>430</v>
      </c>
      <c r="M3420" s="1">
        <v>111</v>
      </c>
      <c r="N3420" s="1" t="s">
        <v>39</v>
      </c>
      <c r="O3420" s="1">
        <v>34.205399999999997</v>
      </c>
      <c r="P3420" s="1">
        <v>-119.2478</v>
      </c>
      <c r="Q3420" s="1" t="s">
        <v>441</v>
      </c>
      <c r="R3420" s="1" t="s">
        <v>41</v>
      </c>
      <c r="T3420" s="1" t="s">
        <v>93</v>
      </c>
      <c r="U3420" s="1" t="s">
        <v>44</v>
      </c>
      <c r="X3420" s="1" t="s">
        <v>64</v>
      </c>
      <c r="AA3420" s="3">
        <v>41214</v>
      </c>
      <c r="AB3420" s="1" t="s">
        <v>46</v>
      </c>
      <c r="AC3420" s="5">
        <v>640</v>
      </c>
      <c r="AD3420" s="1" t="s">
        <v>7595</v>
      </c>
      <c r="AE3420" s="1" t="str">
        <f t="shared" si="239"/>
        <v>56471 CT1</v>
      </c>
      <c r="AF3420" s="5" t="str">
        <f>MID(AD3420,FIND("(",AD3420)+1,FIND(")",AD3420)-FIND("(",AD3420)-1)</f>
        <v>49.9</v>
      </c>
      <c r="AG3420" s="1" t="str">
        <f t="shared" si="238"/>
        <v>Y</v>
      </c>
    </row>
    <row r="3421" spans="1:33" x14ac:dyDescent="0.2">
      <c r="A3421" s="1" t="s">
        <v>370</v>
      </c>
      <c r="B3421" s="1" t="s">
        <v>7596</v>
      </c>
      <c r="C3421" s="1">
        <v>56472</v>
      </c>
      <c r="D3421" s="1" t="s">
        <v>311</v>
      </c>
      <c r="F3421" s="1">
        <v>2023</v>
      </c>
      <c r="G3421" s="1" t="s">
        <v>247</v>
      </c>
      <c r="H3421" s="1">
        <v>607649</v>
      </c>
      <c r="I3421" s="1">
        <v>9</v>
      </c>
      <c r="K3421" s="1" t="s">
        <v>439</v>
      </c>
      <c r="L3421" s="1" t="s">
        <v>440</v>
      </c>
      <c r="M3421" s="1">
        <v>71</v>
      </c>
      <c r="N3421" s="1" t="s">
        <v>39</v>
      </c>
      <c r="O3421" s="1">
        <v>34.090000000000003</v>
      </c>
      <c r="P3421" s="1">
        <v>-117.53400000000001</v>
      </c>
      <c r="Q3421" s="1" t="s">
        <v>441</v>
      </c>
      <c r="R3421" s="1" t="s">
        <v>41</v>
      </c>
      <c r="T3421" s="1" t="s">
        <v>93</v>
      </c>
      <c r="U3421" s="1" t="s">
        <v>44</v>
      </c>
      <c r="X3421" s="1" t="s">
        <v>140</v>
      </c>
      <c r="AA3421" s="3">
        <v>39342</v>
      </c>
      <c r="AB3421" s="1" t="s">
        <v>46</v>
      </c>
      <c r="AC3421" s="5">
        <v>505.7</v>
      </c>
      <c r="AD3421" s="1" t="s">
        <v>7597</v>
      </c>
      <c r="AE3421" s="1" t="str">
        <f t="shared" si="239"/>
        <v>56472 CT1</v>
      </c>
      <c r="AF3421" s="5" t="str">
        <f>MID(AD3421,FIND("(",AD3421)+1,FIND(")",AD3421)-FIND("(",AD3421)-1)</f>
        <v>49.9</v>
      </c>
      <c r="AG3421" s="1" t="str">
        <f t="shared" si="238"/>
        <v/>
      </c>
    </row>
    <row r="3422" spans="1:33" x14ac:dyDescent="0.2">
      <c r="A3422" s="1" t="s">
        <v>370</v>
      </c>
      <c r="B3422" s="1" t="s">
        <v>7598</v>
      </c>
      <c r="C3422" s="1">
        <v>56473</v>
      </c>
      <c r="D3422" s="1" t="s">
        <v>311</v>
      </c>
      <c r="F3422" s="1">
        <v>2023</v>
      </c>
      <c r="G3422" s="1" t="s">
        <v>247</v>
      </c>
      <c r="H3422" s="1">
        <v>607649</v>
      </c>
      <c r="I3422" s="1">
        <v>9</v>
      </c>
      <c r="K3422" s="1" t="s">
        <v>439</v>
      </c>
      <c r="L3422" s="1" t="s">
        <v>440</v>
      </c>
      <c r="M3422" s="1">
        <v>71</v>
      </c>
      <c r="N3422" s="1" t="s">
        <v>39</v>
      </c>
      <c r="O3422" s="1">
        <v>34.005400000000002</v>
      </c>
      <c r="P3422" s="1">
        <v>-117.5604</v>
      </c>
      <c r="Q3422" s="1" t="s">
        <v>441</v>
      </c>
      <c r="R3422" s="1" t="s">
        <v>41</v>
      </c>
      <c r="T3422" s="1" t="s">
        <v>93</v>
      </c>
      <c r="U3422" s="1" t="s">
        <v>44</v>
      </c>
      <c r="X3422" s="1" t="s">
        <v>643</v>
      </c>
      <c r="AA3422" s="3">
        <v>39342</v>
      </c>
      <c r="AB3422" s="1" t="s">
        <v>46</v>
      </c>
      <c r="AC3422" s="5">
        <v>511.5</v>
      </c>
      <c r="AD3422" s="1" t="s">
        <v>7597</v>
      </c>
      <c r="AE3422" s="1" t="str">
        <f t="shared" si="239"/>
        <v>56473 CT1</v>
      </c>
      <c r="AF3422" s="5" t="str">
        <f>MID(AD3422,FIND("(",AD3422)+1,FIND(")",AD3422)-FIND("(",AD3422)-1)</f>
        <v>49.9</v>
      </c>
      <c r="AG3422" s="1" t="str">
        <f t="shared" si="238"/>
        <v>Y</v>
      </c>
    </row>
    <row r="3423" spans="1:33" x14ac:dyDescent="0.2">
      <c r="A3423" s="1" t="s">
        <v>370</v>
      </c>
      <c r="B3423" s="1" t="s">
        <v>7599</v>
      </c>
      <c r="C3423" s="1">
        <v>56474</v>
      </c>
      <c r="D3423" s="1" t="s">
        <v>311</v>
      </c>
      <c r="F3423" s="1">
        <v>2023</v>
      </c>
      <c r="G3423" s="1" t="s">
        <v>247</v>
      </c>
      <c r="H3423" s="1">
        <v>607649</v>
      </c>
      <c r="I3423" s="1">
        <v>9</v>
      </c>
      <c r="K3423" s="1" t="s">
        <v>418</v>
      </c>
      <c r="L3423" s="1" t="s">
        <v>419</v>
      </c>
      <c r="M3423" s="1">
        <v>59</v>
      </c>
      <c r="N3423" s="1" t="s">
        <v>39</v>
      </c>
      <c r="O3423" s="1">
        <v>33.807299999999998</v>
      </c>
      <c r="P3423" s="1">
        <v>-117.9833</v>
      </c>
      <c r="Q3423" s="1" t="s">
        <v>441</v>
      </c>
      <c r="R3423" s="1" t="s">
        <v>41</v>
      </c>
      <c r="T3423" s="1" t="s">
        <v>93</v>
      </c>
      <c r="U3423" s="1" t="s">
        <v>44</v>
      </c>
      <c r="X3423" s="1" t="s">
        <v>643</v>
      </c>
      <c r="AA3423" s="3">
        <v>39342</v>
      </c>
      <c r="AB3423" s="1" t="s">
        <v>46</v>
      </c>
      <c r="AC3423" s="5">
        <v>522</v>
      </c>
      <c r="AD3423" s="1" t="s">
        <v>7595</v>
      </c>
      <c r="AE3423" s="1" t="str">
        <f t="shared" si="239"/>
        <v>56474 CT1</v>
      </c>
      <c r="AF3423" s="5" t="str">
        <f>MID(AD3423,FIND("(",AD3423)+1,FIND(")",AD3423)-FIND("(",AD3423)-1)</f>
        <v>49.9</v>
      </c>
      <c r="AG3423" s="1" t="str">
        <f t="shared" si="238"/>
        <v>Y</v>
      </c>
    </row>
    <row r="3424" spans="1:33" x14ac:dyDescent="0.2">
      <c r="A3424" s="1" t="s">
        <v>370</v>
      </c>
      <c r="B3424" s="1" t="s">
        <v>7600</v>
      </c>
      <c r="C3424" s="1">
        <v>56475</v>
      </c>
      <c r="D3424" s="1" t="s">
        <v>311</v>
      </c>
      <c r="F3424" s="1">
        <v>2023</v>
      </c>
      <c r="G3424" s="1" t="s">
        <v>247</v>
      </c>
      <c r="H3424" s="1">
        <v>607649</v>
      </c>
      <c r="I3424" s="1">
        <v>9</v>
      </c>
      <c r="K3424" s="1" t="s">
        <v>404</v>
      </c>
      <c r="L3424" s="1" t="s">
        <v>405</v>
      </c>
      <c r="M3424" s="1">
        <v>37</v>
      </c>
      <c r="N3424" s="1" t="s">
        <v>39</v>
      </c>
      <c r="O3424" s="1">
        <v>33.929699999999997</v>
      </c>
      <c r="P3424" s="1">
        <v>-118.10469999999999</v>
      </c>
      <c r="Q3424" s="1" t="s">
        <v>441</v>
      </c>
      <c r="R3424" s="1" t="s">
        <v>41</v>
      </c>
      <c r="T3424" s="1" t="s">
        <v>93</v>
      </c>
      <c r="U3424" s="1" t="s">
        <v>44</v>
      </c>
      <c r="X3424" s="1" t="s">
        <v>140</v>
      </c>
      <c r="AA3424" s="3">
        <v>39342</v>
      </c>
      <c r="AB3424" s="1" t="s">
        <v>46</v>
      </c>
      <c r="AC3424" s="5">
        <v>505</v>
      </c>
      <c r="AD3424" s="1" t="s">
        <v>7597</v>
      </c>
      <c r="AE3424" s="1" t="str">
        <f t="shared" si="239"/>
        <v>56475 CT1</v>
      </c>
      <c r="AF3424" s="5" t="str">
        <f>MID(AD3424,FIND("(",AD3424)+1,FIND(")",AD3424)-FIND("(",AD3424)-1)</f>
        <v>49.9</v>
      </c>
      <c r="AG3424" s="1" t="str">
        <f t="shared" si="238"/>
        <v/>
      </c>
    </row>
    <row r="3425" spans="1:33" x14ac:dyDescent="0.2">
      <c r="A3425" s="1" t="s">
        <v>370</v>
      </c>
      <c r="B3425" s="1" t="s">
        <v>7601</v>
      </c>
      <c r="C3425" s="1">
        <v>56476</v>
      </c>
      <c r="D3425" s="1" t="s">
        <v>280</v>
      </c>
      <c r="F3425" s="1">
        <v>2023</v>
      </c>
      <c r="G3425" s="1" t="s">
        <v>247</v>
      </c>
      <c r="H3425" s="1">
        <v>2875</v>
      </c>
      <c r="I3425" s="1">
        <v>9</v>
      </c>
      <c r="K3425" s="1" t="s">
        <v>6007</v>
      </c>
      <c r="L3425" s="1" t="s">
        <v>6008</v>
      </c>
      <c r="M3425" s="1">
        <v>13</v>
      </c>
      <c r="N3425" s="1" t="s">
        <v>39</v>
      </c>
      <c r="O3425" s="1">
        <v>38.0167</v>
      </c>
      <c r="P3425" s="1">
        <v>-121.75920000000001</v>
      </c>
      <c r="Q3425" s="1" t="s">
        <v>7602</v>
      </c>
      <c r="R3425" s="1" t="s">
        <v>41</v>
      </c>
      <c r="T3425" s="1" t="s">
        <v>71</v>
      </c>
      <c r="U3425" s="1" t="s">
        <v>44</v>
      </c>
      <c r="X3425" s="1" t="s">
        <v>64</v>
      </c>
      <c r="AA3425" s="3">
        <v>39763</v>
      </c>
      <c r="AB3425" s="1" t="s">
        <v>46</v>
      </c>
      <c r="AC3425" s="5">
        <v>2227</v>
      </c>
      <c r="AD3425" s="1" t="s">
        <v>7603</v>
      </c>
      <c r="AE3425" s="1" t="str">
        <f t="shared" si="239"/>
        <v>56476 GT1</v>
      </c>
      <c r="AF3425" s="14">
        <f>MID(AD3425,FIND("(",AD3425)+1,FIND(")",AD3425)-FIND("(",AD3425)-1)+213.3/2</f>
        <v>309.85000000000002</v>
      </c>
      <c r="AG3425" s="1" t="str">
        <f t="shared" si="238"/>
        <v>Y</v>
      </c>
    </row>
    <row r="3426" spans="1:33" x14ac:dyDescent="0.2">
      <c r="A3426" s="1" t="s">
        <v>370</v>
      </c>
      <c r="B3426" s="1" t="s">
        <v>7601</v>
      </c>
      <c r="C3426" s="1">
        <v>56476</v>
      </c>
      <c r="D3426" s="1" t="s">
        <v>1102</v>
      </c>
      <c r="F3426" s="1">
        <v>2023</v>
      </c>
      <c r="G3426" s="1" t="s">
        <v>247</v>
      </c>
      <c r="H3426" s="1">
        <v>2875</v>
      </c>
      <c r="I3426" s="1">
        <v>9</v>
      </c>
      <c r="K3426" s="1" t="s">
        <v>6007</v>
      </c>
      <c r="L3426" s="1" t="s">
        <v>6008</v>
      </c>
      <c r="M3426" s="1">
        <v>13</v>
      </c>
      <c r="N3426" s="1" t="s">
        <v>39</v>
      </c>
      <c r="O3426" s="1">
        <v>38.0167</v>
      </c>
      <c r="P3426" s="1">
        <v>-121.75920000000001</v>
      </c>
      <c r="Q3426" s="1" t="s">
        <v>7602</v>
      </c>
      <c r="R3426" s="1" t="s">
        <v>41</v>
      </c>
      <c r="T3426" s="1" t="s">
        <v>71</v>
      </c>
      <c r="U3426" s="1" t="s">
        <v>44</v>
      </c>
      <c r="X3426" s="1" t="s">
        <v>64</v>
      </c>
      <c r="AA3426" s="3">
        <v>39762</v>
      </c>
      <c r="AB3426" s="1" t="s">
        <v>46</v>
      </c>
      <c r="AC3426" s="5">
        <v>2227</v>
      </c>
      <c r="AD3426" s="1" t="s">
        <v>7604</v>
      </c>
      <c r="AE3426" s="1" t="str">
        <f t="shared" si="239"/>
        <v>56476 GT2</v>
      </c>
      <c r="AF3426" s="14">
        <f>AF3425</f>
        <v>309.85000000000002</v>
      </c>
      <c r="AG3426" s="1" t="str">
        <f t="shared" si="238"/>
        <v>Y</v>
      </c>
    </row>
    <row r="3427" spans="1:33" x14ac:dyDescent="0.2">
      <c r="A3427" s="1" t="s">
        <v>3167</v>
      </c>
      <c r="B3427" s="1" t="s">
        <v>7605</v>
      </c>
      <c r="C3427" s="1">
        <v>56480</v>
      </c>
      <c r="D3427" s="1" t="s">
        <v>372</v>
      </c>
      <c r="F3427" s="1">
        <v>2023</v>
      </c>
      <c r="G3427" s="1" t="s">
        <v>461</v>
      </c>
      <c r="H3427" s="1">
        <v>606843</v>
      </c>
      <c r="I3427" s="1">
        <v>5</v>
      </c>
      <c r="K3427" s="1" t="s">
        <v>4243</v>
      </c>
      <c r="L3427" s="1" t="s">
        <v>7606</v>
      </c>
      <c r="M3427" s="1">
        <v>141</v>
      </c>
      <c r="N3427" s="1" t="s">
        <v>39</v>
      </c>
      <c r="O3427" s="1">
        <v>44.634999999999998</v>
      </c>
      <c r="P3427" s="1">
        <v>-90.135000000000005</v>
      </c>
      <c r="Q3427" s="1" t="s">
        <v>7607</v>
      </c>
      <c r="R3427" s="1" t="s">
        <v>41</v>
      </c>
      <c r="T3427" s="1" t="s">
        <v>93</v>
      </c>
      <c r="U3427" s="1" t="s">
        <v>44</v>
      </c>
      <c r="X3427" s="1" t="s">
        <v>95</v>
      </c>
      <c r="AA3427" s="3">
        <v>40578</v>
      </c>
      <c r="AB3427" s="1" t="s">
        <v>46</v>
      </c>
      <c r="AC3427" s="5">
        <v>325</v>
      </c>
      <c r="AD3427" s="1" t="s">
        <v>7608</v>
      </c>
      <c r="AE3427" s="1" t="str">
        <f t="shared" si="239"/>
        <v>56480 1A</v>
      </c>
      <c r="AF3427" s="5" t="str">
        <f t="shared" ref="AF3427:AF3440" si="240">MID(AD3427,FIND("(",AD3427)+1,FIND(")",AD3427)-FIND("(",AD3427)-1)</f>
        <v>27.5</v>
      </c>
      <c r="AG3427" s="1" t="str">
        <f t="shared" si="238"/>
        <v/>
      </c>
    </row>
    <row r="3428" spans="1:33" x14ac:dyDescent="0.2">
      <c r="A3428" s="1" t="s">
        <v>3167</v>
      </c>
      <c r="B3428" s="1" t="s">
        <v>7605</v>
      </c>
      <c r="C3428" s="1">
        <v>56480</v>
      </c>
      <c r="D3428" s="1" t="s">
        <v>1199</v>
      </c>
      <c r="F3428" s="1">
        <v>2023</v>
      </c>
      <c r="G3428" s="1" t="s">
        <v>461</v>
      </c>
      <c r="H3428" s="1">
        <v>606843</v>
      </c>
      <c r="I3428" s="1">
        <v>5</v>
      </c>
      <c r="K3428" s="1" t="s">
        <v>4243</v>
      </c>
      <c r="L3428" s="1" t="s">
        <v>7606</v>
      </c>
      <c r="M3428" s="1">
        <v>141</v>
      </c>
      <c r="N3428" s="1" t="s">
        <v>39</v>
      </c>
      <c r="O3428" s="1">
        <v>44.634999999999998</v>
      </c>
      <c r="P3428" s="1">
        <v>-90.135000000000005</v>
      </c>
      <c r="Q3428" s="1" t="s">
        <v>7607</v>
      </c>
      <c r="R3428" s="1" t="s">
        <v>41</v>
      </c>
      <c r="T3428" s="1" t="s">
        <v>93</v>
      </c>
      <c r="U3428" s="1" t="s">
        <v>44</v>
      </c>
      <c r="X3428" s="1" t="s">
        <v>95</v>
      </c>
      <c r="AA3428" s="3">
        <v>40578</v>
      </c>
      <c r="AB3428" s="1" t="s">
        <v>46</v>
      </c>
      <c r="AC3428" s="5">
        <v>325</v>
      </c>
      <c r="AD3428" s="1" t="s">
        <v>7609</v>
      </c>
      <c r="AE3428" s="1" t="str">
        <f t="shared" si="239"/>
        <v>56480 1B</v>
      </c>
      <c r="AF3428" s="5" t="str">
        <f t="shared" si="240"/>
        <v>27.5</v>
      </c>
      <c r="AG3428" s="1" t="str">
        <f t="shared" si="238"/>
        <v/>
      </c>
    </row>
    <row r="3429" spans="1:33" x14ac:dyDescent="0.2">
      <c r="A3429" s="1" t="s">
        <v>234</v>
      </c>
      <c r="B3429" s="1" t="s">
        <v>7610</v>
      </c>
      <c r="C3429" s="1">
        <v>56482</v>
      </c>
      <c r="D3429" s="1">
        <v>1</v>
      </c>
      <c r="F3429" s="1">
        <v>2023</v>
      </c>
      <c r="G3429" s="1" t="s">
        <v>247</v>
      </c>
      <c r="H3429" s="1">
        <v>607519</v>
      </c>
      <c r="I3429" s="1">
        <v>9</v>
      </c>
      <c r="J3429" s="1" t="s">
        <v>237</v>
      </c>
      <c r="K3429" s="1" t="s">
        <v>5692</v>
      </c>
      <c r="L3429" s="1" t="s">
        <v>5693</v>
      </c>
      <c r="M3429" s="1">
        <v>15</v>
      </c>
      <c r="N3429" s="1" t="s">
        <v>39</v>
      </c>
      <c r="O3429" s="1">
        <v>35.036099999999998</v>
      </c>
      <c r="P3429" s="1">
        <v>-114.15940000000001</v>
      </c>
      <c r="Q3429" s="1" t="s">
        <v>7611</v>
      </c>
      <c r="R3429" s="1" t="s">
        <v>41</v>
      </c>
      <c r="T3429" s="1" t="s">
        <v>93</v>
      </c>
      <c r="U3429" s="1" t="s">
        <v>284</v>
      </c>
      <c r="X3429" s="1" t="s">
        <v>95</v>
      </c>
      <c r="AA3429" s="3">
        <v>39567</v>
      </c>
      <c r="AB3429" s="1" t="s">
        <v>46</v>
      </c>
      <c r="AC3429" s="5">
        <v>490</v>
      </c>
      <c r="AD3429" s="1" t="s">
        <v>2981</v>
      </c>
      <c r="AE3429" s="1" t="str">
        <f t="shared" si="239"/>
        <v>56482 1</v>
      </c>
      <c r="AF3429" s="5" t="str">
        <f t="shared" si="240"/>
        <v>48</v>
      </c>
      <c r="AG3429" s="1" t="str">
        <f t="shared" si="238"/>
        <v/>
      </c>
    </row>
    <row r="3430" spans="1:33" x14ac:dyDescent="0.2">
      <c r="A3430" s="1" t="s">
        <v>234</v>
      </c>
      <c r="B3430" s="1" t="s">
        <v>7610</v>
      </c>
      <c r="C3430" s="1">
        <v>56482</v>
      </c>
      <c r="D3430" s="1">
        <v>2</v>
      </c>
      <c r="F3430" s="1">
        <v>2023</v>
      </c>
      <c r="G3430" s="1" t="s">
        <v>247</v>
      </c>
      <c r="H3430" s="1">
        <v>607519</v>
      </c>
      <c r="I3430" s="1">
        <v>9</v>
      </c>
      <c r="J3430" s="1" t="s">
        <v>237</v>
      </c>
      <c r="K3430" s="1" t="s">
        <v>5692</v>
      </c>
      <c r="L3430" s="1" t="s">
        <v>5693</v>
      </c>
      <c r="M3430" s="1">
        <v>15</v>
      </c>
      <c r="N3430" s="1" t="s">
        <v>39</v>
      </c>
      <c r="O3430" s="1">
        <v>35.036099999999998</v>
      </c>
      <c r="P3430" s="1">
        <v>-114.15940000000001</v>
      </c>
      <c r="Q3430" s="1" t="s">
        <v>7611</v>
      </c>
      <c r="R3430" s="1" t="s">
        <v>41</v>
      </c>
      <c r="T3430" s="1" t="s">
        <v>93</v>
      </c>
      <c r="U3430" s="1" t="s">
        <v>284</v>
      </c>
      <c r="X3430" s="1" t="s">
        <v>95</v>
      </c>
      <c r="AA3430" s="3">
        <v>39569</v>
      </c>
      <c r="AB3430" s="1" t="s">
        <v>46</v>
      </c>
      <c r="AC3430" s="5">
        <v>490</v>
      </c>
      <c r="AD3430" s="1" t="s">
        <v>989</v>
      </c>
      <c r="AE3430" s="1" t="str">
        <f t="shared" si="239"/>
        <v>56482 2</v>
      </c>
      <c r="AF3430" s="5" t="str">
        <f t="shared" si="240"/>
        <v>48</v>
      </c>
      <c r="AG3430" s="1" t="str">
        <f t="shared" si="238"/>
        <v/>
      </c>
    </row>
    <row r="3431" spans="1:33" x14ac:dyDescent="0.2">
      <c r="A3431" s="1" t="s">
        <v>225</v>
      </c>
      <c r="B3431" s="1" t="s">
        <v>7612</v>
      </c>
      <c r="C3431" s="1">
        <v>56502</v>
      </c>
      <c r="D3431" s="1" t="s">
        <v>7613</v>
      </c>
      <c r="F3431" s="1">
        <v>2023</v>
      </c>
      <c r="G3431" s="1" t="s">
        <v>35</v>
      </c>
      <c r="H3431" s="1">
        <v>605879</v>
      </c>
      <c r="I3431" s="1">
        <v>7</v>
      </c>
      <c r="K3431" s="1" t="s">
        <v>1947</v>
      </c>
      <c r="L3431" s="1" t="s">
        <v>7614</v>
      </c>
      <c r="M3431" s="1">
        <v>111</v>
      </c>
      <c r="N3431" s="1" t="s">
        <v>39</v>
      </c>
      <c r="O3431" s="1">
        <v>38.446399999999997</v>
      </c>
      <c r="P3431" s="1">
        <v>-96.065100000000001</v>
      </c>
      <c r="Q3431" s="1" t="s">
        <v>1283</v>
      </c>
      <c r="R3431" s="1" t="s">
        <v>41</v>
      </c>
      <c r="T3431" s="1" t="s">
        <v>93</v>
      </c>
      <c r="U3431" s="1" t="s">
        <v>44</v>
      </c>
      <c r="X3431" s="1" t="s">
        <v>95</v>
      </c>
      <c r="AA3431" s="3">
        <v>39606</v>
      </c>
      <c r="AB3431" s="1" t="s">
        <v>46</v>
      </c>
      <c r="AC3431" s="5">
        <v>500</v>
      </c>
      <c r="AD3431" s="1" t="s">
        <v>7615</v>
      </c>
      <c r="AE3431" s="1" t="str">
        <f t="shared" si="239"/>
        <v>56502 EEC1</v>
      </c>
      <c r="AF3431" s="5" t="str">
        <f t="shared" si="240"/>
        <v>40</v>
      </c>
      <c r="AG3431" s="1" t="str">
        <f t="shared" si="238"/>
        <v/>
      </c>
    </row>
    <row r="3432" spans="1:33" x14ac:dyDescent="0.2">
      <c r="A3432" s="1" t="s">
        <v>225</v>
      </c>
      <c r="B3432" s="1" t="s">
        <v>7612</v>
      </c>
      <c r="C3432" s="1">
        <v>56502</v>
      </c>
      <c r="D3432" s="1" t="s">
        <v>7616</v>
      </c>
      <c r="F3432" s="1">
        <v>2023</v>
      </c>
      <c r="G3432" s="1" t="s">
        <v>35</v>
      </c>
      <c r="H3432" s="1">
        <v>605879</v>
      </c>
      <c r="I3432" s="1">
        <v>7</v>
      </c>
      <c r="K3432" s="1" t="s">
        <v>1947</v>
      </c>
      <c r="L3432" s="1" t="s">
        <v>7614</v>
      </c>
      <c r="M3432" s="1">
        <v>111</v>
      </c>
      <c r="N3432" s="1" t="s">
        <v>39</v>
      </c>
      <c r="O3432" s="1">
        <v>38.446399999999997</v>
      </c>
      <c r="P3432" s="1">
        <v>-96.065100000000001</v>
      </c>
      <c r="Q3432" s="1" t="s">
        <v>1283</v>
      </c>
      <c r="R3432" s="1" t="s">
        <v>41</v>
      </c>
      <c r="T3432" s="1" t="s">
        <v>93</v>
      </c>
      <c r="U3432" s="1" t="s">
        <v>44</v>
      </c>
      <c r="X3432" s="1" t="s">
        <v>95</v>
      </c>
      <c r="AA3432" s="3">
        <v>39601</v>
      </c>
      <c r="AB3432" s="1" t="s">
        <v>46</v>
      </c>
      <c r="AC3432" s="5">
        <v>500</v>
      </c>
      <c r="AD3432" s="1" t="s">
        <v>7617</v>
      </c>
      <c r="AE3432" s="1" t="str">
        <f t="shared" si="239"/>
        <v>56502 EEC2</v>
      </c>
      <c r="AF3432" s="5" t="str">
        <f t="shared" si="240"/>
        <v>40</v>
      </c>
      <c r="AG3432" s="1" t="str">
        <f t="shared" si="238"/>
        <v/>
      </c>
    </row>
    <row r="3433" spans="1:33" x14ac:dyDescent="0.2">
      <c r="A3433" s="1" t="s">
        <v>225</v>
      </c>
      <c r="B3433" s="1" t="s">
        <v>7612</v>
      </c>
      <c r="C3433" s="1">
        <v>56502</v>
      </c>
      <c r="D3433" s="1" t="s">
        <v>7618</v>
      </c>
      <c r="F3433" s="1">
        <v>2023</v>
      </c>
      <c r="G3433" s="1" t="s">
        <v>35</v>
      </c>
      <c r="H3433" s="1">
        <v>605879</v>
      </c>
      <c r="I3433" s="1">
        <v>7</v>
      </c>
      <c r="K3433" s="1" t="s">
        <v>1947</v>
      </c>
      <c r="L3433" s="1" t="s">
        <v>7614</v>
      </c>
      <c r="M3433" s="1">
        <v>111</v>
      </c>
      <c r="N3433" s="1" t="s">
        <v>39</v>
      </c>
      <c r="O3433" s="1">
        <v>38.446399999999997</v>
      </c>
      <c r="P3433" s="1">
        <v>-96.065100000000001</v>
      </c>
      <c r="Q3433" s="1" t="s">
        <v>1283</v>
      </c>
      <c r="R3433" s="1" t="s">
        <v>41</v>
      </c>
      <c r="T3433" s="1" t="s">
        <v>93</v>
      </c>
      <c r="U3433" s="1" t="s">
        <v>44</v>
      </c>
      <c r="X3433" s="1" t="s">
        <v>95</v>
      </c>
      <c r="AA3433" s="3">
        <v>39577</v>
      </c>
      <c r="AB3433" s="1" t="s">
        <v>46</v>
      </c>
      <c r="AC3433" s="5">
        <v>500</v>
      </c>
      <c r="AD3433" s="1" t="s">
        <v>7619</v>
      </c>
      <c r="AE3433" s="1" t="str">
        <f t="shared" si="239"/>
        <v>56502 EEC3</v>
      </c>
      <c r="AF3433" s="5" t="str">
        <f t="shared" si="240"/>
        <v>40</v>
      </c>
      <c r="AG3433" s="1" t="str">
        <f t="shared" si="238"/>
        <v/>
      </c>
    </row>
    <row r="3434" spans="1:33" x14ac:dyDescent="0.2">
      <c r="A3434" s="1" t="s">
        <v>225</v>
      </c>
      <c r="B3434" s="1" t="s">
        <v>7612</v>
      </c>
      <c r="C3434" s="1">
        <v>56502</v>
      </c>
      <c r="D3434" s="1" t="s">
        <v>7620</v>
      </c>
      <c r="F3434" s="1">
        <v>2023</v>
      </c>
      <c r="G3434" s="1" t="s">
        <v>35</v>
      </c>
      <c r="H3434" s="1">
        <v>605879</v>
      </c>
      <c r="I3434" s="1">
        <v>7</v>
      </c>
      <c r="K3434" s="1" t="s">
        <v>1947</v>
      </c>
      <c r="L3434" s="1" t="s">
        <v>7614</v>
      </c>
      <c r="M3434" s="1">
        <v>111</v>
      </c>
      <c r="N3434" s="1" t="s">
        <v>39</v>
      </c>
      <c r="O3434" s="1">
        <v>38.446399999999997</v>
      </c>
      <c r="P3434" s="1">
        <v>-96.065100000000001</v>
      </c>
      <c r="Q3434" s="1" t="s">
        <v>1283</v>
      </c>
      <c r="R3434" s="1" t="s">
        <v>41</v>
      </c>
      <c r="T3434" s="1" t="s">
        <v>93</v>
      </c>
      <c r="U3434" s="1" t="s">
        <v>44</v>
      </c>
      <c r="X3434" s="1" t="s">
        <v>95</v>
      </c>
      <c r="AA3434" s="3">
        <v>39578</v>
      </c>
      <c r="AB3434" s="1" t="s">
        <v>46</v>
      </c>
      <c r="AC3434" s="5">
        <v>500</v>
      </c>
      <c r="AD3434" s="1" t="s">
        <v>3083</v>
      </c>
      <c r="AE3434" s="1" t="str">
        <f t="shared" si="239"/>
        <v>56502 EEC4</v>
      </c>
      <c r="AF3434" s="5" t="str">
        <f t="shared" si="240"/>
        <v>40</v>
      </c>
      <c r="AG3434" s="1" t="str">
        <f t="shared" si="238"/>
        <v/>
      </c>
    </row>
    <row r="3435" spans="1:33" x14ac:dyDescent="0.2">
      <c r="A3435" s="1" t="s">
        <v>225</v>
      </c>
      <c r="B3435" s="1" t="s">
        <v>7612</v>
      </c>
      <c r="C3435" s="1">
        <v>56502</v>
      </c>
      <c r="D3435" s="1" t="s">
        <v>7621</v>
      </c>
      <c r="F3435" s="1">
        <v>2023</v>
      </c>
      <c r="G3435" s="1" t="s">
        <v>35</v>
      </c>
      <c r="H3435" s="1">
        <v>605879</v>
      </c>
      <c r="I3435" s="1">
        <v>7</v>
      </c>
      <c r="K3435" s="1" t="s">
        <v>1947</v>
      </c>
      <c r="L3435" s="1" t="s">
        <v>7614</v>
      </c>
      <c r="M3435" s="1">
        <v>111</v>
      </c>
      <c r="N3435" s="1" t="s">
        <v>39</v>
      </c>
      <c r="O3435" s="1">
        <v>38.446399999999997</v>
      </c>
      <c r="P3435" s="1">
        <v>-96.065100000000001</v>
      </c>
      <c r="Q3435" s="1" t="s">
        <v>1283</v>
      </c>
      <c r="R3435" s="1" t="s">
        <v>41</v>
      </c>
      <c r="T3435" s="1" t="s">
        <v>93</v>
      </c>
      <c r="U3435" s="1" t="s">
        <v>44</v>
      </c>
      <c r="X3435" s="1" t="s">
        <v>95</v>
      </c>
      <c r="AA3435" s="3">
        <v>39605</v>
      </c>
      <c r="AB3435" s="1" t="s">
        <v>46</v>
      </c>
      <c r="AC3435" s="5">
        <v>2000</v>
      </c>
      <c r="AD3435" s="1" t="s">
        <v>7622</v>
      </c>
      <c r="AE3435" s="1" t="str">
        <f t="shared" si="239"/>
        <v>56502 EEC5</v>
      </c>
      <c r="AF3435" s="5" t="str">
        <f t="shared" si="240"/>
        <v>187</v>
      </c>
      <c r="AG3435" s="1" t="str">
        <f t="shared" si="238"/>
        <v/>
      </c>
    </row>
    <row r="3436" spans="1:33" x14ac:dyDescent="0.2">
      <c r="A3436" s="1" t="s">
        <v>225</v>
      </c>
      <c r="B3436" s="1" t="s">
        <v>7612</v>
      </c>
      <c r="C3436" s="1">
        <v>56502</v>
      </c>
      <c r="D3436" s="1" t="s">
        <v>7623</v>
      </c>
      <c r="F3436" s="1">
        <v>2023</v>
      </c>
      <c r="G3436" s="1" t="s">
        <v>35</v>
      </c>
      <c r="H3436" s="1">
        <v>605879</v>
      </c>
      <c r="I3436" s="1">
        <v>7</v>
      </c>
      <c r="K3436" s="1" t="s">
        <v>1947</v>
      </c>
      <c r="L3436" s="1" t="s">
        <v>7614</v>
      </c>
      <c r="M3436" s="1">
        <v>111</v>
      </c>
      <c r="N3436" s="1" t="s">
        <v>39</v>
      </c>
      <c r="O3436" s="1">
        <v>38.446399999999997</v>
      </c>
      <c r="P3436" s="1">
        <v>-96.065100000000001</v>
      </c>
      <c r="Q3436" s="1" t="s">
        <v>1283</v>
      </c>
      <c r="R3436" s="1" t="s">
        <v>41</v>
      </c>
      <c r="T3436" s="1" t="s">
        <v>93</v>
      </c>
      <c r="U3436" s="1" t="s">
        <v>44</v>
      </c>
      <c r="X3436" s="1" t="s">
        <v>140</v>
      </c>
      <c r="AA3436" s="3">
        <v>39837</v>
      </c>
      <c r="AB3436" s="1" t="s">
        <v>46</v>
      </c>
      <c r="AC3436" s="5">
        <v>2000</v>
      </c>
      <c r="AD3436" s="1" t="s">
        <v>7624</v>
      </c>
      <c r="AE3436" s="1" t="str">
        <f t="shared" si="239"/>
        <v>56502 EEC6</v>
      </c>
      <c r="AF3436" s="5" t="str">
        <f t="shared" si="240"/>
        <v>187</v>
      </c>
      <c r="AG3436" s="1" t="str">
        <f t="shared" si="238"/>
        <v/>
      </c>
    </row>
    <row r="3437" spans="1:33" x14ac:dyDescent="0.2">
      <c r="A3437" s="1" t="s">
        <v>225</v>
      </c>
      <c r="B3437" s="1" t="s">
        <v>7612</v>
      </c>
      <c r="C3437" s="1">
        <v>56502</v>
      </c>
      <c r="D3437" s="1" t="s">
        <v>7625</v>
      </c>
      <c r="F3437" s="1">
        <v>2023</v>
      </c>
      <c r="G3437" s="1" t="s">
        <v>35</v>
      </c>
      <c r="H3437" s="1">
        <v>605879</v>
      </c>
      <c r="I3437" s="1">
        <v>7</v>
      </c>
      <c r="K3437" s="1" t="s">
        <v>1947</v>
      </c>
      <c r="L3437" s="1" t="s">
        <v>7614</v>
      </c>
      <c r="M3437" s="1">
        <v>111</v>
      </c>
      <c r="N3437" s="1" t="s">
        <v>39</v>
      </c>
      <c r="O3437" s="1">
        <v>38.446399999999997</v>
      </c>
      <c r="P3437" s="1">
        <v>-96.065100000000001</v>
      </c>
      <c r="Q3437" s="1" t="s">
        <v>1283</v>
      </c>
      <c r="R3437" s="1" t="s">
        <v>41</v>
      </c>
      <c r="T3437" s="1" t="s">
        <v>93</v>
      </c>
      <c r="U3437" s="1" t="s">
        <v>44</v>
      </c>
      <c r="X3437" s="1" t="s">
        <v>140</v>
      </c>
      <c r="AA3437" s="3">
        <v>39862</v>
      </c>
      <c r="AB3437" s="1" t="s">
        <v>46</v>
      </c>
      <c r="AC3437" s="5">
        <v>2000</v>
      </c>
      <c r="AD3437" s="1" t="s">
        <v>7626</v>
      </c>
      <c r="AE3437" s="1" t="str">
        <f t="shared" si="239"/>
        <v>56502 EEC7</v>
      </c>
      <c r="AF3437" s="5" t="str">
        <f t="shared" si="240"/>
        <v>187</v>
      </c>
      <c r="AG3437" s="1" t="str">
        <f t="shared" si="238"/>
        <v/>
      </c>
    </row>
    <row r="3438" spans="1:33" x14ac:dyDescent="0.2">
      <c r="A3438" s="1" t="s">
        <v>348</v>
      </c>
      <c r="B3438" s="1" t="s">
        <v>7627</v>
      </c>
      <c r="C3438" s="1">
        <v>56505</v>
      </c>
      <c r="D3438" s="1" t="s">
        <v>7628</v>
      </c>
      <c r="F3438" s="1">
        <v>2023</v>
      </c>
      <c r="G3438" s="1" t="s">
        <v>346</v>
      </c>
      <c r="H3438" s="1">
        <v>603449</v>
      </c>
      <c r="I3438" s="1">
        <v>6</v>
      </c>
      <c r="J3438" s="1" t="s">
        <v>228</v>
      </c>
      <c r="K3438" s="1" t="s">
        <v>7629</v>
      </c>
      <c r="L3438" s="1" t="s">
        <v>7630</v>
      </c>
      <c r="M3438" s="1">
        <v>31</v>
      </c>
      <c r="N3438" s="1" t="s">
        <v>39</v>
      </c>
      <c r="O3438" s="1">
        <v>35.848100000000002</v>
      </c>
      <c r="P3438" s="1">
        <v>-90.725700000000003</v>
      </c>
      <c r="Q3438" s="1" t="s">
        <v>7631</v>
      </c>
      <c r="R3438" s="1" t="s">
        <v>41</v>
      </c>
      <c r="T3438" s="1" t="s">
        <v>93</v>
      </c>
      <c r="U3438" s="1" t="s">
        <v>44</v>
      </c>
      <c r="V3438" s="1" t="s">
        <v>94</v>
      </c>
      <c r="X3438" s="1" t="s">
        <v>95</v>
      </c>
      <c r="AA3438" s="3">
        <v>36662</v>
      </c>
      <c r="AB3438" s="1" t="s">
        <v>46</v>
      </c>
      <c r="AC3438" s="5">
        <v>469</v>
      </c>
      <c r="AD3438" s="1" t="s">
        <v>7632</v>
      </c>
      <c r="AE3438" s="1" t="str">
        <f t="shared" si="239"/>
        <v>56505 SN04</v>
      </c>
      <c r="AF3438" s="5" t="str">
        <f t="shared" si="240"/>
        <v>60.5</v>
      </c>
      <c r="AG3438" s="1" t="str">
        <f t="shared" si="238"/>
        <v/>
      </c>
    </row>
    <row r="3439" spans="1:33" x14ac:dyDescent="0.2">
      <c r="A3439" s="1" t="s">
        <v>348</v>
      </c>
      <c r="B3439" s="1" t="s">
        <v>7627</v>
      </c>
      <c r="C3439" s="1">
        <v>56505</v>
      </c>
      <c r="D3439" s="1" t="s">
        <v>7633</v>
      </c>
      <c r="F3439" s="1">
        <v>2023</v>
      </c>
      <c r="G3439" s="1" t="s">
        <v>346</v>
      </c>
      <c r="H3439" s="1">
        <v>603449</v>
      </c>
      <c r="I3439" s="1">
        <v>6</v>
      </c>
      <c r="J3439" s="1" t="s">
        <v>228</v>
      </c>
      <c r="K3439" s="1" t="s">
        <v>7629</v>
      </c>
      <c r="L3439" s="1" t="s">
        <v>7630</v>
      </c>
      <c r="M3439" s="1">
        <v>31</v>
      </c>
      <c r="N3439" s="1" t="s">
        <v>39</v>
      </c>
      <c r="O3439" s="1">
        <v>35.848100000000002</v>
      </c>
      <c r="P3439" s="1">
        <v>-90.725700000000003</v>
      </c>
      <c r="Q3439" s="1" t="s">
        <v>7631</v>
      </c>
      <c r="R3439" s="1" t="s">
        <v>41</v>
      </c>
      <c r="T3439" s="1" t="s">
        <v>93</v>
      </c>
      <c r="U3439" s="1" t="s">
        <v>44</v>
      </c>
      <c r="V3439" s="1" t="s">
        <v>94</v>
      </c>
      <c r="X3439" s="1" t="s">
        <v>95</v>
      </c>
      <c r="AA3439" s="3">
        <v>37756</v>
      </c>
      <c r="AB3439" s="1" t="s">
        <v>46</v>
      </c>
      <c r="AC3439" s="5">
        <v>469</v>
      </c>
      <c r="AD3439" s="1" t="s">
        <v>7634</v>
      </c>
      <c r="AE3439" s="1" t="str">
        <f t="shared" si="239"/>
        <v>56505 SN06</v>
      </c>
      <c r="AF3439" s="5" t="str">
        <f t="shared" si="240"/>
        <v>57.4</v>
      </c>
      <c r="AG3439" s="1" t="str">
        <f t="shared" si="238"/>
        <v/>
      </c>
    </row>
    <row r="3440" spans="1:33" x14ac:dyDescent="0.2">
      <c r="A3440" s="1" t="s">
        <v>348</v>
      </c>
      <c r="B3440" s="1" t="s">
        <v>7627</v>
      </c>
      <c r="C3440" s="1">
        <v>56505</v>
      </c>
      <c r="D3440" s="1" t="s">
        <v>7635</v>
      </c>
      <c r="F3440" s="1">
        <v>2023</v>
      </c>
      <c r="G3440" s="1" t="s">
        <v>346</v>
      </c>
      <c r="H3440" s="1">
        <v>603449</v>
      </c>
      <c r="I3440" s="1">
        <v>6</v>
      </c>
      <c r="J3440" s="1" t="s">
        <v>228</v>
      </c>
      <c r="K3440" s="1" t="s">
        <v>7629</v>
      </c>
      <c r="L3440" s="1" t="s">
        <v>7630</v>
      </c>
      <c r="M3440" s="1">
        <v>31</v>
      </c>
      <c r="N3440" s="1" t="s">
        <v>39</v>
      </c>
      <c r="O3440" s="1">
        <v>35.848100000000002</v>
      </c>
      <c r="P3440" s="1">
        <v>-90.725700000000003</v>
      </c>
      <c r="Q3440" s="1" t="s">
        <v>7631</v>
      </c>
      <c r="R3440" s="1" t="s">
        <v>41</v>
      </c>
      <c r="T3440" s="1" t="s">
        <v>93</v>
      </c>
      <c r="U3440" s="1" t="s">
        <v>44</v>
      </c>
      <c r="X3440" s="1" t="s">
        <v>95</v>
      </c>
      <c r="AA3440" s="3">
        <v>39220</v>
      </c>
      <c r="AB3440" s="1" t="s">
        <v>46</v>
      </c>
      <c r="AC3440" s="5">
        <v>468</v>
      </c>
      <c r="AD3440" s="1" t="s">
        <v>7636</v>
      </c>
      <c r="AE3440" s="1" t="str">
        <f t="shared" si="239"/>
        <v>56505 SN07</v>
      </c>
      <c r="AF3440" s="5" t="str">
        <f t="shared" si="240"/>
        <v>60.5</v>
      </c>
      <c r="AG3440" s="1" t="str">
        <f t="shared" si="238"/>
        <v/>
      </c>
    </row>
    <row r="3441" spans="1:33" x14ac:dyDescent="0.2">
      <c r="A3441" s="1" t="s">
        <v>370</v>
      </c>
      <c r="B3441" s="1" t="s">
        <v>7637</v>
      </c>
      <c r="C3441" s="1">
        <v>56532</v>
      </c>
      <c r="D3441" s="1" t="s">
        <v>311</v>
      </c>
      <c r="F3441" s="1">
        <v>2023</v>
      </c>
      <c r="G3441" s="1" t="s">
        <v>247</v>
      </c>
      <c r="H3441" s="1">
        <v>2875</v>
      </c>
      <c r="I3441" s="1">
        <v>9</v>
      </c>
      <c r="K3441" s="1" t="s">
        <v>7638</v>
      </c>
      <c r="L3441" s="1" t="s">
        <v>7639</v>
      </c>
      <c r="M3441" s="1">
        <v>11</v>
      </c>
      <c r="N3441" s="1" t="s">
        <v>39</v>
      </c>
      <c r="O3441" s="1">
        <v>39.364800000000002</v>
      </c>
      <c r="P3441" s="1">
        <v>-122.268</v>
      </c>
      <c r="Q3441" s="1" t="s">
        <v>7602</v>
      </c>
      <c r="R3441" s="1" t="s">
        <v>41</v>
      </c>
      <c r="T3441" s="1" t="s">
        <v>71</v>
      </c>
      <c r="U3441" s="1" t="s">
        <v>44</v>
      </c>
      <c r="X3441" s="1" t="s">
        <v>64</v>
      </c>
      <c r="AA3441" s="3">
        <v>40423</v>
      </c>
      <c r="AB3441" s="1" t="s">
        <v>46</v>
      </c>
      <c r="AC3441" s="5">
        <v>2430</v>
      </c>
      <c r="AD3441" s="1" t="s">
        <v>7640</v>
      </c>
      <c r="AE3441" s="1" t="str">
        <f t="shared" si="239"/>
        <v>56532 CT1</v>
      </c>
      <c r="AF3441" s="14">
        <f>MID(AD3441,FIND("(",AD3441)+1,FIND(")",AD3441)-FIND("(",AD3441)-1)+349.4/2</f>
        <v>356.2</v>
      </c>
      <c r="AG3441" s="1" t="str">
        <f t="shared" si="238"/>
        <v>Y</v>
      </c>
    </row>
    <row r="3442" spans="1:33" x14ac:dyDescent="0.2">
      <c r="A3442" s="1" t="s">
        <v>370</v>
      </c>
      <c r="B3442" s="1" t="s">
        <v>7637</v>
      </c>
      <c r="C3442" s="1">
        <v>56532</v>
      </c>
      <c r="D3442" s="1" t="s">
        <v>98</v>
      </c>
      <c r="F3442" s="1">
        <v>2023</v>
      </c>
      <c r="G3442" s="1" t="s">
        <v>247</v>
      </c>
      <c r="H3442" s="1">
        <v>2875</v>
      </c>
      <c r="I3442" s="1">
        <v>9</v>
      </c>
      <c r="K3442" s="1" t="s">
        <v>7638</v>
      </c>
      <c r="L3442" s="1" t="s">
        <v>7639</v>
      </c>
      <c r="M3442" s="1">
        <v>11</v>
      </c>
      <c r="N3442" s="1" t="s">
        <v>39</v>
      </c>
      <c r="O3442" s="1">
        <v>39.364800000000002</v>
      </c>
      <c r="P3442" s="1">
        <v>-122.268</v>
      </c>
      <c r="Q3442" s="1" t="s">
        <v>7602</v>
      </c>
      <c r="R3442" s="1" t="s">
        <v>41</v>
      </c>
      <c r="T3442" s="1" t="s">
        <v>71</v>
      </c>
      <c r="U3442" s="1" t="s">
        <v>44</v>
      </c>
      <c r="X3442" s="1" t="s">
        <v>64</v>
      </c>
      <c r="AA3442" s="3">
        <v>40435</v>
      </c>
      <c r="AB3442" s="1" t="s">
        <v>46</v>
      </c>
      <c r="AC3442" s="5">
        <v>2430</v>
      </c>
      <c r="AD3442" s="1" t="s">
        <v>7641</v>
      </c>
      <c r="AE3442" s="1" t="str">
        <f t="shared" si="239"/>
        <v>56532 CT2</v>
      </c>
      <c r="AF3442" s="14">
        <f>AF3441</f>
        <v>356.2</v>
      </c>
      <c r="AG3442" s="1" t="str">
        <f t="shared" si="238"/>
        <v>Y</v>
      </c>
    </row>
    <row r="3443" spans="1:33" x14ac:dyDescent="0.2">
      <c r="A3443" s="1" t="s">
        <v>165</v>
      </c>
      <c r="B3443" s="1" t="s">
        <v>7642</v>
      </c>
      <c r="C3443" s="1">
        <v>56556</v>
      </c>
      <c r="D3443" s="1" t="s">
        <v>7643</v>
      </c>
      <c r="F3443" s="1">
        <v>2023</v>
      </c>
      <c r="G3443" s="1" t="s">
        <v>168</v>
      </c>
      <c r="H3443" s="1">
        <v>603594</v>
      </c>
      <c r="I3443" s="1">
        <v>4</v>
      </c>
      <c r="K3443" s="1" t="s">
        <v>1404</v>
      </c>
      <c r="L3443" s="1" t="s">
        <v>1405</v>
      </c>
      <c r="M3443" s="1">
        <v>145</v>
      </c>
      <c r="N3443" s="1" t="s">
        <v>39</v>
      </c>
      <c r="O3443" s="1">
        <v>37.033900000000003</v>
      </c>
      <c r="P3443" s="1">
        <v>-88.616100000000003</v>
      </c>
      <c r="Q3443" s="1" t="s">
        <v>7644</v>
      </c>
      <c r="R3443" s="1" t="s">
        <v>41</v>
      </c>
      <c r="T3443" s="1" t="s">
        <v>93</v>
      </c>
      <c r="U3443" s="1" t="s">
        <v>44</v>
      </c>
      <c r="X3443" s="1" t="s">
        <v>95</v>
      </c>
      <c r="AA3443" s="3">
        <v>40281</v>
      </c>
      <c r="AB3443" s="1" t="s">
        <v>46</v>
      </c>
      <c r="AC3443" s="5">
        <v>332</v>
      </c>
      <c r="AD3443" s="1" t="s">
        <v>7645</v>
      </c>
      <c r="AE3443" s="1" t="str">
        <f t="shared" si="239"/>
        <v>56556 EU01A</v>
      </c>
      <c r="AF3443" s="5" t="str">
        <f t="shared" ref="AF3443:AF3456" si="241">MID(AD3443,FIND("(",AD3443)+1,FIND(")",AD3443)-FIND("(",AD3443)-1)</f>
        <v>60</v>
      </c>
      <c r="AG3443" s="1" t="str">
        <f t="shared" si="238"/>
        <v/>
      </c>
    </row>
    <row r="3444" spans="1:33" x14ac:dyDescent="0.2">
      <c r="A3444" s="1" t="s">
        <v>165</v>
      </c>
      <c r="B3444" s="1" t="s">
        <v>7642</v>
      </c>
      <c r="C3444" s="1">
        <v>56556</v>
      </c>
      <c r="D3444" s="1" t="s">
        <v>7646</v>
      </c>
      <c r="F3444" s="1">
        <v>2023</v>
      </c>
      <c r="G3444" s="1" t="s">
        <v>168</v>
      </c>
      <c r="H3444" s="1">
        <v>603594</v>
      </c>
      <c r="I3444" s="1">
        <v>4</v>
      </c>
      <c r="K3444" s="1" t="s">
        <v>1404</v>
      </c>
      <c r="L3444" s="1" t="s">
        <v>1405</v>
      </c>
      <c r="M3444" s="1">
        <v>145</v>
      </c>
      <c r="N3444" s="1" t="s">
        <v>39</v>
      </c>
      <c r="O3444" s="1">
        <v>37.033900000000003</v>
      </c>
      <c r="P3444" s="1">
        <v>-88.616100000000003</v>
      </c>
      <c r="Q3444" s="1" t="s">
        <v>7644</v>
      </c>
      <c r="R3444" s="1" t="s">
        <v>41</v>
      </c>
      <c r="T3444" s="1" t="s">
        <v>93</v>
      </c>
      <c r="U3444" s="1" t="s">
        <v>44</v>
      </c>
      <c r="X3444" s="1" t="s">
        <v>95</v>
      </c>
      <c r="AA3444" s="3">
        <v>40281</v>
      </c>
      <c r="AB3444" s="1" t="s">
        <v>46</v>
      </c>
      <c r="AC3444" s="5">
        <v>333</v>
      </c>
      <c r="AD3444" s="1" t="s">
        <v>7645</v>
      </c>
      <c r="AE3444" s="1" t="str">
        <f t="shared" si="239"/>
        <v>56556 EU01B</v>
      </c>
      <c r="AF3444" s="5" t="str">
        <f t="shared" si="241"/>
        <v>60</v>
      </c>
      <c r="AG3444" s="1" t="str">
        <f t="shared" si="238"/>
        <v/>
      </c>
    </row>
    <row r="3445" spans="1:33" x14ac:dyDescent="0.2">
      <c r="A3445" s="1" t="s">
        <v>165</v>
      </c>
      <c r="B3445" s="1" t="s">
        <v>7642</v>
      </c>
      <c r="C3445" s="1">
        <v>56556</v>
      </c>
      <c r="D3445" s="1" t="s">
        <v>7647</v>
      </c>
      <c r="F3445" s="1">
        <v>2023</v>
      </c>
      <c r="G3445" s="1" t="s">
        <v>168</v>
      </c>
      <c r="H3445" s="1">
        <v>603594</v>
      </c>
      <c r="I3445" s="1">
        <v>4</v>
      </c>
      <c r="K3445" s="1" t="s">
        <v>1404</v>
      </c>
      <c r="L3445" s="1" t="s">
        <v>1405</v>
      </c>
      <c r="M3445" s="1">
        <v>145</v>
      </c>
      <c r="N3445" s="1" t="s">
        <v>39</v>
      </c>
      <c r="O3445" s="1">
        <v>37.033900000000003</v>
      </c>
      <c r="P3445" s="1">
        <v>-88.616100000000003</v>
      </c>
      <c r="Q3445" s="1" t="s">
        <v>7644</v>
      </c>
      <c r="R3445" s="1" t="s">
        <v>41</v>
      </c>
      <c r="T3445" s="1" t="s">
        <v>93</v>
      </c>
      <c r="U3445" s="1" t="s">
        <v>44</v>
      </c>
      <c r="X3445" s="1" t="s">
        <v>95</v>
      </c>
      <c r="AA3445" s="3">
        <v>40287</v>
      </c>
      <c r="AB3445" s="1" t="s">
        <v>46</v>
      </c>
      <c r="AC3445" s="5">
        <v>332</v>
      </c>
      <c r="AD3445" s="1" t="s">
        <v>2754</v>
      </c>
      <c r="AE3445" s="1" t="str">
        <f t="shared" si="239"/>
        <v>56556 EU02A</v>
      </c>
      <c r="AF3445" s="5" t="str">
        <f t="shared" si="241"/>
        <v>60</v>
      </c>
      <c r="AG3445" s="1" t="str">
        <f t="shared" si="238"/>
        <v/>
      </c>
    </row>
    <row r="3446" spans="1:33" x14ac:dyDescent="0.2">
      <c r="A3446" s="1" t="s">
        <v>165</v>
      </c>
      <c r="B3446" s="1" t="s">
        <v>7642</v>
      </c>
      <c r="C3446" s="1">
        <v>56556</v>
      </c>
      <c r="D3446" s="1" t="s">
        <v>7648</v>
      </c>
      <c r="F3446" s="1">
        <v>2023</v>
      </c>
      <c r="G3446" s="1" t="s">
        <v>168</v>
      </c>
      <c r="H3446" s="1">
        <v>603594</v>
      </c>
      <c r="I3446" s="1">
        <v>4</v>
      </c>
      <c r="K3446" s="1" t="s">
        <v>1404</v>
      </c>
      <c r="L3446" s="1" t="s">
        <v>1405</v>
      </c>
      <c r="M3446" s="1">
        <v>145</v>
      </c>
      <c r="N3446" s="1" t="s">
        <v>39</v>
      </c>
      <c r="O3446" s="1">
        <v>37.033900000000003</v>
      </c>
      <c r="P3446" s="1">
        <v>-88.616100000000003</v>
      </c>
      <c r="Q3446" s="1" t="s">
        <v>7644</v>
      </c>
      <c r="R3446" s="1" t="s">
        <v>41</v>
      </c>
      <c r="T3446" s="1" t="s">
        <v>93</v>
      </c>
      <c r="U3446" s="1" t="s">
        <v>44</v>
      </c>
      <c r="X3446" s="1" t="s">
        <v>95</v>
      </c>
      <c r="AA3446" s="3">
        <v>40287</v>
      </c>
      <c r="AB3446" s="1" t="s">
        <v>46</v>
      </c>
      <c r="AC3446" s="5">
        <v>332</v>
      </c>
      <c r="AD3446" s="1" t="s">
        <v>2754</v>
      </c>
      <c r="AE3446" s="1" t="str">
        <f t="shared" si="239"/>
        <v>56556 EU02B</v>
      </c>
      <c r="AF3446" s="5" t="str">
        <f t="shared" si="241"/>
        <v>60</v>
      </c>
      <c r="AG3446" s="1" t="str">
        <f t="shared" si="238"/>
        <v/>
      </c>
    </row>
    <row r="3447" spans="1:33" x14ac:dyDescent="0.2">
      <c r="A3447" s="1" t="s">
        <v>348</v>
      </c>
      <c r="B3447" s="1" t="s">
        <v>7649</v>
      </c>
      <c r="C3447" s="1">
        <v>56564</v>
      </c>
      <c r="D3447" s="1" t="s">
        <v>7174</v>
      </c>
      <c r="F3447" s="1">
        <v>2023</v>
      </c>
      <c r="G3447" s="1" t="s">
        <v>337</v>
      </c>
      <c r="H3447" s="1" t="s">
        <v>1346</v>
      </c>
      <c r="I3447" s="1">
        <v>6</v>
      </c>
      <c r="K3447" s="1" t="s">
        <v>4279</v>
      </c>
      <c r="L3447" s="1" t="s">
        <v>4280</v>
      </c>
      <c r="M3447" s="1">
        <v>57</v>
      </c>
      <c r="N3447" s="1" t="s">
        <v>39</v>
      </c>
      <c r="O3447" s="1">
        <v>33.649700000000003</v>
      </c>
      <c r="P3447" s="1">
        <v>-93.811899999999994</v>
      </c>
      <c r="Q3447" s="1" t="s">
        <v>7650</v>
      </c>
      <c r="R3447" s="1" t="s">
        <v>41</v>
      </c>
      <c r="T3447" s="1" t="s">
        <v>89</v>
      </c>
      <c r="U3447" s="1" t="s">
        <v>55</v>
      </c>
      <c r="W3447" s="1" t="s">
        <v>212</v>
      </c>
      <c r="X3447" s="1" t="s">
        <v>563</v>
      </c>
      <c r="Y3447" s="1" t="s">
        <v>232</v>
      </c>
      <c r="Z3447" s="1" t="s">
        <v>214</v>
      </c>
      <c r="AA3447" s="3">
        <v>41221</v>
      </c>
      <c r="AB3447" s="1" t="s">
        <v>46</v>
      </c>
      <c r="AC3447" s="5">
        <v>6000</v>
      </c>
      <c r="AD3447" s="1" t="s">
        <v>1832</v>
      </c>
      <c r="AE3447" s="1" t="str">
        <f t="shared" si="239"/>
        <v>56564 SN-01</v>
      </c>
      <c r="AF3447" s="5" t="str">
        <f t="shared" si="241"/>
        <v>600</v>
      </c>
      <c r="AG3447" s="1" t="str">
        <f t="shared" si="238"/>
        <v>Y</v>
      </c>
    </row>
    <row r="3448" spans="1:33" x14ac:dyDescent="0.2">
      <c r="A3448" s="1" t="s">
        <v>370</v>
      </c>
      <c r="B3448" s="1" t="s">
        <v>7651</v>
      </c>
      <c r="C3448" s="1">
        <v>56569</v>
      </c>
      <c r="D3448" s="1">
        <v>1</v>
      </c>
      <c r="F3448" s="1">
        <v>2023</v>
      </c>
      <c r="G3448" s="1" t="s">
        <v>247</v>
      </c>
      <c r="H3448" s="1">
        <v>610320</v>
      </c>
      <c r="I3448" s="1">
        <v>9</v>
      </c>
      <c r="K3448" s="1" t="s">
        <v>471</v>
      </c>
      <c r="L3448" s="1" t="s">
        <v>472</v>
      </c>
      <c r="M3448" s="1">
        <v>25</v>
      </c>
      <c r="N3448" s="1" t="s">
        <v>39</v>
      </c>
      <c r="O3448" s="1">
        <v>33.243200000000002</v>
      </c>
      <c r="P3448" s="1">
        <v>-115.498</v>
      </c>
      <c r="Q3448" s="1" t="s">
        <v>473</v>
      </c>
      <c r="R3448" s="1" t="s">
        <v>41</v>
      </c>
      <c r="T3448" s="1" t="s">
        <v>93</v>
      </c>
      <c r="U3448" s="1" t="s">
        <v>44</v>
      </c>
      <c r="X3448" s="1" t="s">
        <v>64</v>
      </c>
      <c r="AA3448" s="3">
        <v>39561</v>
      </c>
      <c r="AB3448" s="1" t="s">
        <v>46</v>
      </c>
      <c r="AC3448" s="5">
        <v>439.6</v>
      </c>
      <c r="AD3448" s="1" t="s">
        <v>7148</v>
      </c>
      <c r="AE3448" s="1" t="str">
        <f t="shared" si="239"/>
        <v>56569 1</v>
      </c>
      <c r="AF3448" s="5" t="str">
        <f t="shared" si="241"/>
        <v>60.5</v>
      </c>
      <c r="AG3448" s="1" t="str">
        <f t="shared" si="238"/>
        <v>Y</v>
      </c>
    </row>
    <row r="3449" spans="1:33" x14ac:dyDescent="0.2">
      <c r="A3449" s="1" t="s">
        <v>370</v>
      </c>
      <c r="B3449" s="1" t="s">
        <v>7651</v>
      </c>
      <c r="C3449" s="1">
        <v>56569</v>
      </c>
      <c r="D3449" s="1">
        <v>2</v>
      </c>
      <c r="F3449" s="1">
        <v>2023</v>
      </c>
      <c r="G3449" s="1" t="s">
        <v>247</v>
      </c>
      <c r="H3449" s="1">
        <v>610320</v>
      </c>
      <c r="I3449" s="1">
        <v>9</v>
      </c>
      <c r="K3449" s="1" t="s">
        <v>471</v>
      </c>
      <c r="L3449" s="1" t="s">
        <v>472</v>
      </c>
      <c r="M3449" s="1">
        <v>25</v>
      </c>
      <c r="N3449" s="1" t="s">
        <v>39</v>
      </c>
      <c r="O3449" s="1">
        <v>33.243200000000002</v>
      </c>
      <c r="P3449" s="1">
        <v>-115.498</v>
      </c>
      <c r="Q3449" s="1" t="s">
        <v>473</v>
      </c>
      <c r="R3449" s="1" t="s">
        <v>41</v>
      </c>
      <c r="T3449" s="1" t="s">
        <v>93</v>
      </c>
      <c r="U3449" s="1" t="s">
        <v>44</v>
      </c>
      <c r="X3449" s="1" t="s">
        <v>64</v>
      </c>
      <c r="AA3449" s="3">
        <v>39551</v>
      </c>
      <c r="AB3449" s="1" t="s">
        <v>46</v>
      </c>
      <c r="AC3449" s="5">
        <v>439.6</v>
      </c>
      <c r="AD3449" s="1" t="s">
        <v>3602</v>
      </c>
      <c r="AE3449" s="1" t="str">
        <f t="shared" si="239"/>
        <v>56569 2</v>
      </c>
      <c r="AF3449" s="5" t="str">
        <f t="shared" si="241"/>
        <v>60.5</v>
      </c>
      <c r="AG3449" s="1" t="str">
        <f t="shared" si="238"/>
        <v>Y</v>
      </c>
    </row>
    <row r="3450" spans="1:33" x14ac:dyDescent="0.2">
      <c r="A3450" s="1" t="s">
        <v>3253</v>
      </c>
      <c r="B3450" s="1" t="s">
        <v>7652</v>
      </c>
      <c r="C3450" s="1">
        <v>56596</v>
      </c>
      <c r="D3450" s="1">
        <v>1</v>
      </c>
      <c r="F3450" s="1">
        <v>2023</v>
      </c>
      <c r="G3450" s="1" t="s">
        <v>236</v>
      </c>
      <c r="H3450" s="1" t="s">
        <v>4126</v>
      </c>
      <c r="I3450" s="1">
        <v>8</v>
      </c>
      <c r="J3450" s="1" t="s">
        <v>237</v>
      </c>
      <c r="K3450" s="1" t="s">
        <v>3539</v>
      </c>
      <c r="L3450" s="1" t="s">
        <v>3540</v>
      </c>
      <c r="M3450" s="1">
        <v>5</v>
      </c>
      <c r="N3450" s="1" t="s">
        <v>39</v>
      </c>
      <c r="O3450" s="1">
        <v>44.289200000000001</v>
      </c>
      <c r="P3450" s="1">
        <v>-105.37949999999999</v>
      </c>
      <c r="Q3450" s="1" t="s">
        <v>7653</v>
      </c>
      <c r="R3450" s="1" t="s">
        <v>41</v>
      </c>
      <c r="T3450" s="1" t="s">
        <v>89</v>
      </c>
      <c r="U3450" s="1" t="s">
        <v>55</v>
      </c>
      <c r="W3450" s="1" t="s">
        <v>212</v>
      </c>
      <c r="X3450" s="1" t="s">
        <v>639</v>
      </c>
      <c r="Y3450" s="1" t="s">
        <v>232</v>
      </c>
      <c r="AA3450" s="3">
        <v>40217</v>
      </c>
      <c r="AB3450" s="1" t="s">
        <v>46</v>
      </c>
      <c r="AC3450" s="5">
        <v>1300</v>
      </c>
      <c r="AD3450" s="1" t="s">
        <v>1479</v>
      </c>
      <c r="AE3450" s="1" t="str">
        <f t="shared" si="239"/>
        <v>56596 1</v>
      </c>
      <c r="AF3450" s="5" t="str">
        <f t="shared" si="241"/>
        <v>100</v>
      </c>
      <c r="AG3450" s="1" t="str">
        <f t="shared" si="238"/>
        <v>Y</v>
      </c>
    </row>
    <row r="3451" spans="1:33" x14ac:dyDescent="0.2">
      <c r="A3451" s="1" t="s">
        <v>383</v>
      </c>
      <c r="B3451" s="1" t="s">
        <v>7654</v>
      </c>
      <c r="C3451" s="1">
        <v>56603</v>
      </c>
      <c r="D3451" s="1" t="s">
        <v>7655</v>
      </c>
      <c r="F3451" s="1">
        <v>2023</v>
      </c>
      <c r="G3451" s="1" t="s">
        <v>346</v>
      </c>
      <c r="H3451" s="1">
        <v>603603</v>
      </c>
      <c r="I3451" s="1">
        <v>6</v>
      </c>
      <c r="K3451" s="1" t="s">
        <v>7656</v>
      </c>
      <c r="L3451" s="1" t="s">
        <v>7657</v>
      </c>
      <c r="M3451" s="1">
        <v>407</v>
      </c>
      <c r="N3451" s="1" t="s">
        <v>39</v>
      </c>
      <c r="O3451" s="1">
        <v>30.42</v>
      </c>
      <c r="P3451" s="1">
        <v>-95.011399999999995</v>
      </c>
      <c r="Q3451" s="1" t="s">
        <v>7658</v>
      </c>
      <c r="R3451" s="1" t="s">
        <v>41</v>
      </c>
      <c r="T3451" s="1" t="s">
        <v>93</v>
      </c>
      <c r="U3451" s="1" t="s">
        <v>44</v>
      </c>
      <c r="X3451" s="1" t="s">
        <v>140</v>
      </c>
      <c r="AA3451" s="3">
        <v>40008</v>
      </c>
      <c r="AB3451" s="1" t="s">
        <v>46</v>
      </c>
      <c r="AC3451" s="5">
        <v>1100</v>
      </c>
      <c r="AD3451" s="1" t="s">
        <v>7659</v>
      </c>
      <c r="AE3451" s="1" t="str">
        <f t="shared" si="239"/>
        <v>56603 SJCCT1</v>
      </c>
      <c r="AF3451" s="5" t="str">
        <f t="shared" si="241"/>
        <v>85</v>
      </c>
      <c r="AG3451" s="1" t="str">
        <f t="shared" si="238"/>
        <v/>
      </c>
    </row>
    <row r="3452" spans="1:33" x14ac:dyDescent="0.2">
      <c r="A3452" s="1" t="s">
        <v>383</v>
      </c>
      <c r="B3452" s="1" t="s">
        <v>7654</v>
      </c>
      <c r="C3452" s="1">
        <v>56603</v>
      </c>
      <c r="D3452" s="1" t="s">
        <v>7660</v>
      </c>
      <c r="F3452" s="1">
        <v>2023</v>
      </c>
      <c r="G3452" s="1" t="s">
        <v>346</v>
      </c>
      <c r="H3452" s="1">
        <v>603603</v>
      </c>
      <c r="I3452" s="1">
        <v>6</v>
      </c>
      <c r="K3452" s="1" t="s">
        <v>7656</v>
      </c>
      <c r="L3452" s="1" t="s">
        <v>7657</v>
      </c>
      <c r="M3452" s="1">
        <v>407</v>
      </c>
      <c r="N3452" s="1" t="s">
        <v>39</v>
      </c>
      <c r="O3452" s="1">
        <v>30.42</v>
      </c>
      <c r="P3452" s="1">
        <v>-95.011399999999995</v>
      </c>
      <c r="Q3452" s="1" t="s">
        <v>7658</v>
      </c>
      <c r="R3452" s="1" t="s">
        <v>41</v>
      </c>
      <c r="T3452" s="1" t="s">
        <v>93</v>
      </c>
      <c r="U3452" s="1" t="s">
        <v>44</v>
      </c>
      <c r="X3452" s="1" t="s">
        <v>140</v>
      </c>
      <c r="AA3452" s="3">
        <v>40007</v>
      </c>
      <c r="AB3452" s="1" t="s">
        <v>46</v>
      </c>
      <c r="AC3452" s="5">
        <v>1100</v>
      </c>
      <c r="AD3452" s="1" t="s">
        <v>7661</v>
      </c>
      <c r="AE3452" s="1" t="str">
        <f t="shared" si="239"/>
        <v>56603 SJCCT2</v>
      </c>
      <c r="AF3452" s="5" t="str">
        <f t="shared" si="241"/>
        <v>85</v>
      </c>
      <c r="AG3452" s="1" t="str">
        <f t="shared" si="238"/>
        <v/>
      </c>
    </row>
    <row r="3453" spans="1:33" x14ac:dyDescent="0.2">
      <c r="A3453" s="1" t="s">
        <v>383</v>
      </c>
      <c r="B3453" s="1" t="s">
        <v>7662</v>
      </c>
      <c r="C3453" s="1">
        <v>56604</v>
      </c>
      <c r="D3453" s="1" t="s">
        <v>7663</v>
      </c>
      <c r="F3453" s="1">
        <v>2023</v>
      </c>
      <c r="G3453" s="1" t="s">
        <v>346</v>
      </c>
      <c r="H3453" s="1" t="s">
        <v>7664</v>
      </c>
      <c r="I3453" s="1">
        <v>6</v>
      </c>
      <c r="K3453" s="1" t="s">
        <v>7665</v>
      </c>
      <c r="L3453" s="1" t="s">
        <v>7666</v>
      </c>
      <c r="M3453" s="1">
        <v>199</v>
      </c>
      <c r="N3453" s="1" t="s">
        <v>39</v>
      </c>
      <c r="O3453" s="1">
        <v>30.303899999999999</v>
      </c>
      <c r="P3453" s="1">
        <v>-94.252700000000004</v>
      </c>
      <c r="Q3453" s="1" t="s">
        <v>7667</v>
      </c>
      <c r="R3453" s="1" t="s">
        <v>41</v>
      </c>
      <c r="T3453" s="1" t="s">
        <v>93</v>
      </c>
      <c r="U3453" s="1" t="s">
        <v>44</v>
      </c>
      <c r="X3453" s="1" t="s">
        <v>140</v>
      </c>
      <c r="AA3453" s="3">
        <v>40101</v>
      </c>
      <c r="AB3453" s="1" t="s">
        <v>46</v>
      </c>
      <c r="AC3453" s="5">
        <v>1110.5</v>
      </c>
      <c r="AD3453" s="1" t="s">
        <v>7668</v>
      </c>
      <c r="AE3453" s="1" t="str">
        <f t="shared" si="239"/>
        <v>56604 HCCT1</v>
      </c>
      <c r="AF3453" s="5" t="str">
        <f t="shared" si="241"/>
        <v>85</v>
      </c>
      <c r="AG3453" s="1" t="str">
        <f t="shared" si="238"/>
        <v/>
      </c>
    </row>
    <row r="3454" spans="1:33" x14ac:dyDescent="0.2">
      <c r="A3454" s="1" t="s">
        <v>383</v>
      </c>
      <c r="B3454" s="1" t="s">
        <v>7662</v>
      </c>
      <c r="C3454" s="1">
        <v>56604</v>
      </c>
      <c r="D3454" s="1" t="s">
        <v>7669</v>
      </c>
      <c r="F3454" s="1">
        <v>2023</v>
      </c>
      <c r="G3454" s="1" t="s">
        <v>346</v>
      </c>
      <c r="H3454" s="1" t="s">
        <v>7664</v>
      </c>
      <c r="I3454" s="1">
        <v>6</v>
      </c>
      <c r="K3454" s="1" t="s">
        <v>7665</v>
      </c>
      <c r="L3454" s="1" t="s">
        <v>7666</v>
      </c>
      <c r="M3454" s="1">
        <v>199</v>
      </c>
      <c r="N3454" s="1" t="s">
        <v>39</v>
      </c>
      <c r="O3454" s="1">
        <v>30.303899999999999</v>
      </c>
      <c r="P3454" s="1">
        <v>-94.252700000000004</v>
      </c>
      <c r="Q3454" s="1" t="s">
        <v>7667</v>
      </c>
      <c r="R3454" s="1" t="s">
        <v>41</v>
      </c>
      <c r="T3454" s="1" t="s">
        <v>93</v>
      </c>
      <c r="U3454" s="1" t="s">
        <v>44</v>
      </c>
      <c r="X3454" s="1" t="s">
        <v>140</v>
      </c>
      <c r="AA3454" s="3">
        <v>40101</v>
      </c>
      <c r="AB3454" s="1" t="s">
        <v>46</v>
      </c>
      <c r="AC3454" s="5">
        <v>1110.5</v>
      </c>
      <c r="AD3454" s="1" t="s">
        <v>7670</v>
      </c>
      <c r="AE3454" s="1" t="str">
        <f t="shared" si="239"/>
        <v>56604 HCCT2</v>
      </c>
      <c r="AF3454" s="5" t="str">
        <f t="shared" si="241"/>
        <v>85</v>
      </c>
      <c r="AG3454" s="1" t="str">
        <f t="shared" si="238"/>
        <v/>
      </c>
    </row>
    <row r="3455" spans="1:33" x14ac:dyDescent="0.2">
      <c r="A3455" s="1" t="s">
        <v>1843</v>
      </c>
      <c r="B3455" s="1" t="s">
        <v>7671</v>
      </c>
      <c r="C3455" s="1">
        <v>56606</v>
      </c>
      <c r="D3455" s="1" t="s">
        <v>993</v>
      </c>
      <c r="F3455" s="1">
        <v>2023</v>
      </c>
      <c r="G3455" s="1" t="s">
        <v>247</v>
      </c>
      <c r="H3455" s="1">
        <v>609771</v>
      </c>
      <c r="I3455" s="1">
        <v>8</v>
      </c>
      <c r="K3455" s="1" t="s">
        <v>7672</v>
      </c>
      <c r="L3455" s="1" t="s">
        <v>7673</v>
      </c>
      <c r="M3455" s="1">
        <v>85</v>
      </c>
      <c r="N3455" s="1" t="s">
        <v>39</v>
      </c>
      <c r="O3455" s="1">
        <v>48.2104</v>
      </c>
      <c r="P3455" s="1">
        <v>-104.39190000000001</v>
      </c>
      <c r="Q3455" s="1" t="s">
        <v>2418</v>
      </c>
      <c r="R3455" s="1" t="s">
        <v>41</v>
      </c>
      <c r="T3455" s="1" t="s">
        <v>93</v>
      </c>
      <c r="U3455" s="1" t="s">
        <v>44</v>
      </c>
      <c r="X3455" s="1" t="s">
        <v>95</v>
      </c>
      <c r="AA3455" s="3">
        <v>40347</v>
      </c>
      <c r="AB3455" s="1" t="s">
        <v>46</v>
      </c>
      <c r="AC3455" s="5">
        <v>786.5</v>
      </c>
      <c r="AD3455" s="1" t="s">
        <v>7674</v>
      </c>
      <c r="AE3455" s="1" t="str">
        <f t="shared" si="239"/>
        <v>56606 CT01</v>
      </c>
      <c r="AF3455" s="5" t="str">
        <f t="shared" si="241"/>
        <v>100</v>
      </c>
      <c r="AG3455" s="1" t="str">
        <f t="shared" si="238"/>
        <v/>
      </c>
    </row>
    <row r="3456" spans="1:33" x14ac:dyDescent="0.2">
      <c r="A3456" s="1" t="s">
        <v>3253</v>
      </c>
      <c r="B3456" s="1" t="s">
        <v>7675</v>
      </c>
      <c r="C3456" s="1">
        <v>56609</v>
      </c>
      <c r="D3456" s="1">
        <v>1</v>
      </c>
      <c r="F3456" s="1">
        <v>2023</v>
      </c>
      <c r="G3456" s="1" t="s">
        <v>236</v>
      </c>
      <c r="H3456" s="1">
        <v>609771</v>
      </c>
      <c r="I3456" s="1">
        <v>8</v>
      </c>
      <c r="K3456" s="1" t="s">
        <v>3539</v>
      </c>
      <c r="L3456" s="1" t="s">
        <v>3540</v>
      </c>
      <c r="M3456" s="1">
        <v>5</v>
      </c>
      <c r="N3456" s="1" t="s">
        <v>39</v>
      </c>
      <c r="O3456" s="1">
        <v>44.390099999999997</v>
      </c>
      <c r="P3456" s="1">
        <v>-105.45910000000001</v>
      </c>
      <c r="Q3456" s="1" t="s">
        <v>2418</v>
      </c>
      <c r="R3456" s="1" t="s">
        <v>41</v>
      </c>
      <c r="T3456" s="1" t="s">
        <v>89</v>
      </c>
      <c r="U3456" s="1" t="s">
        <v>55</v>
      </c>
      <c r="W3456" s="1" t="s">
        <v>212</v>
      </c>
      <c r="X3456" s="1" t="s">
        <v>223</v>
      </c>
      <c r="Y3456" s="1" t="s">
        <v>232</v>
      </c>
      <c r="Z3456" s="1" t="s">
        <v>7676</v>
      </c>
      <c r="AA3456" s="3">
        <v>40673</v>
      </c>
      <c r="AB3456" s="1" t="s">
        <v>46</v>
      </c>
      <c r="AC3456" s="5">
        <v>6066</v>
      </c>
      <c r="AD3456" s="1" t="s">
        <v>7677</v>
      </c>
      <c r="AE3456" s="1" t="str">
        <f t="shared" si="239"/>
        <v>56609 1</v>
      </c>
      <c r="AF3456" s="5" t="str">
        <f t="shared" si="241"/>
        <v>422</v>
      </c>
      <c r="AG3456" s="1" t="str">
        <f t="shared" si="238"/>
        <v>Y</v>
      </c>
    </row>
    <row r="3457" spans="1:33" x14ac:dyDescent="0.2">
      <c r="A3457" s="1" t="s">
        <v>2750</v>
      </c>
      <c r="B3457" s="1" t="s">
        <v>7678</v>
      </c>
      <c r="C3457" s="1">
        <v>56610</v>
      </c>
      <c r="D3457" s="1">
        <v>1</v>
      </c>
      <c r="F3457" s="1">
        <v>2023</v>
      </c>
      <c r="G3457" s="1" t="s">
        <v>247</v>
      </c>
      <c r="H3457" s="1">
        <v>609771</v>
      </c>
      <c r="I3457" s="1">
        <v>8</v>
      </c>
      <c r="K3457" s="1" t="s">
        <v>1713</v>
      </c>
      <c r="L3457" s="1" t="s">
        <v>2752</v>
      </c>
      <c r="M3457" s="1">
        <v>13</v>
      </c>
      <c r="N3457" s="1" t="s">
        <v>39</v>
      </c>
      <c r="O3457" s="1">
        <v>44.396099999999997</v>
      </c>
      <c r="P3457" s="1">
        <v>-96.533299999999997</v>
      </c>
      <c r="Q3457" s="1" t="s">
        <v>2418</v>
      </c>
      <c r="R3457" s="1" t="s">
        <v>41</v>
      </c>
      <c r="T3457" s="1" t="s">
        <v>71</v>
      </c>
      <c r="U3457" s="1" t="s">
        <v>44</v>
      </c>
      <c r="X3457" s="1" t="s">
        <v>223</v>
      </c>
      <c r="AA3457" s="3">
        <v>41018</v>
      </c>
      <c r="AB3457" s="1" t="s">
        <v>46</v>
      </c>
      <c r="AC3457" s="5">
        <v>2344</v>
      </c>
      <c r="AD3457" s="1" t="s">
        <v>7679</v>
      </c>
      <c r="AE3457" s="1" t="str">
        <f t="shared" si="239"/>
        <v>56610 1</v>
      </c>
      <c r="AF3457" s="14">
        <f>MID(AD3457,FIND("(",AD3457)+1,FIND(")",AD3457)-FIND("(",AD3457)-1)+170</f>
        <v>324</v>
      </c>
      <c r="AG3457" s="1" t="str">
        <f t="shared" si="238"/>
        <v>Y</v>
      </c>
    </row>
    <row r="3458" spans="1:33" x14ac:dyDescent="0.2">
      <c r="A3458" s="1" t="s">
        <v>383</v>
      </c>
      <c r="B3458" s="1" t="s">
        <v>7680</v>
      </c>
      <c r="C3458" s="1">
        <v>56611</v>
      </c>
      <c r="D3458" s="1" t="s">
        <v>7681</v>
      </c>
      <c r="F3458" s="1">
        <v>2023</v>
      </c>
      <c r="G3458" s="1" t="s">
        <v>337</v>
      </c>
      <c r="H3458" s="1">
        <v>609066</v>
      </c>
      <c r="I3458" s="1">
        <v>6</v>
      </c>
      <c r="K3458" s="1" t="s">
        <v>7682</v>
      </c>
      <c r="L3458" s="1" t="s">
        <v>7683</v>
      </c>
      <c r="M3458" s="1">
        <v>309</v>
      </c>
      <c r="N3458" s="1" t="s">
        <v>39</v>
      </c>
      <c r="O3458" s="1">
        <v>31.475300000000001</v>
      </c>
      <c r="P3458" s="1">
        <v>-96.956400000000002</v>
      </c>
      <c r="Q3458" s="1" t="s">
        <v>7684</v>
      </c>
      <c r="R3458" s="1" t="s">
        <v>41</v>
      </c>
      <c r="T3458" s="1" t="s">
        <v>89</v>
      </c>
      <c r="U3458" s="1" t="s">
        <v>55</v>
      </c>
      <c r="W3458" s="1" t="s">
        <v>212</v>
      </c>
      <c r="X3458" s="1" t="s">
        <v>223</v>
      </c>
      <c r="Y3458" s="1" t="s">
        <v>232</v>
      </c>
      <c r="Z3458" s="1" t="s">
        <v>214</v>
      </c>
      <c r="AA3458" s="3">
        <v>40826</v>
      </c>
      <c r="AB3458" s="1" t="s">
        <v>46</v>
      </c>
      <c r="AC3458" s="5">
        <v>12000</v>
      </c>
      <c r="AD3458" s="1" t="s">
        <v>7685</v>
      </c>
      <c r="AE3458" s="1" t="str">
        <f t="shared" si="239"/>
        <v>56611 S01</v>
      </c>
      <c r="AF3458" s="5" t="str">
        <f t="shared" ref="AF3458:AF3467" si="242">MID(AD3458,FIND("(",AD3458)+1,FIND(")",AD3458)-FIND("(",AD3458)-1)</f>
        <v>1008</v>
      </c>
      <c r="AG3458" s="1" t="str">
        <f t="shared" ref="AG3458:AG3521" si="243">IF(ISNUMBER(SEARCH("selective", X3458)), "Y", "")</f>
        <v>Y</v>
      </c>
    </row>
    <row r="3459" spans="1:33" x14ac:dyDescent="0.2">
      <c r="A3459" s="1" t="s">
        <v>577</v>
      </c>
      <c r="B3459" s="1" t="s">
        <v>7686</v>
      </c>
      <c r="C3459" s="1">
        <v>56629</v>
      </c>
      <c r="D3459" s="1">
        <v>10</v>
      </c>
      <c r="F3459" s="1">
        <v>2023</v>
      </c>
      <c r="G3459" s="1" t="s">
        <v>579</v>
      </c>
      <c r="H3459" s="1" t="s">
        <v>3792</v>
      </c>
      <c r="I3459" s="1">
        <v>1</v>
      </c>
      <c r="K3459" s="1" t="s">
        <v>581</v>
      </c>
      <c r="L3459" s="1" t="s">
        <v>582</v>
      </c>
      <c r="M3459" s="1">
        <v>9</v>
      </c>
      <c r="N3459" s="1" t="s">
        <v>39</v>
      </c>
      <c r="O3459" s="1">
        <v>41.544400000000003</v>
      </c>
      <c r="P3459" s="1">
        <v>-73.041600000000003</v>
      </c>
      <c r="Q3459" s="1" t="s">
        <v>7687</v>
      </c>
      <c r="R3459" s="1" t="s">
        <v>41</v>
      </c>
      <c r="T3459" s="1" t="s">
        <v>93</v>
      </c>
      <c r="U3459" s="1" t="s">
        <v>44</v>
      </c>
      <c r="V3459" s="1" t="s">
        <v>94</v>
      </c>
      <c r="X3459" s="1" t="s">
        <v>176</v>
      </c>
      <c r="AA3459" s="3">
        <v>39948</v>
      </c>
      <c r="AB3459" s="1" t="s">
        <v>46</v>
      </c>
      <c r="AC3459" s="5">
        <v>1800</v>
      </c>
      <c r="AD3459" s="1" t="s">
        <v>7688</v>
      </c>
      <c r="AE3459" s="1" t="str">
        <f t="shared" ref="AE3459:AE3522" si="244">C3459&amp;" "&amp;D3459</f>
        <v>56629 10</v>
      </c>
      <c r="AF3459" s="5" t="str">
        <f t="shared" si="242"/>
        <v>96</v>
      </c>
      <c r="AG3459" s="1" t="str">
        <f t="shared" si="243"/>
        <v>Y</v>
      </c>
    </row>
    <row r="3460" spans="1:33" x14ac:dyDescent="0.2">
      <c r="A3460" s="1" t="s">
        <v>370</v>
      </c>
      <c r="B3460" s="1" t="s">
        <v>7689</v>
      </c>
      <c r="C3460" s="1">
        <v>56639</v>
      </c>
      <c r="D3460" s="1">
        <v>1</v>
      </c>
      <c r="F3460" s="1">
        <v>2023</v>
      </c>
      <c r="G3460" s="1" t="s">
        <v>247</v>
      </c>
      <c r="H3460" s="1">
        <v>609325</v>
      </c>
      <c r="I3460" s="1">
        <v>9</v>
      </c>
      <c r="J3460" s="1" t="s">
        <v>237</v>
      </c>
      <c r="K3460" s="1" t="s">
        <v>4802</v>
      </c>
      <c r="L3460" s="1" t="s">
        <v>4803</v>
      </c>
      <c r="M3460" s="1">
        <v>19</v>
      </c>
      <c r="N3460" s="1" t="s">
        <v>1031</v>
      </c>
      <c r="O3460" s="1">
        <v>36.654000000000003</v>
      </c>
      <c r="P3460" s="1">
        <v>-120.5797</v>
      </c>
      <c r="Q3460" s="1" t="s">
        <v>7690</v>
      </c>
      <c r="R3460" s="1" t="s">
        <v>41</v>
      </c>
      <c r="T3460" s="1" t="s">
        <v>93</v>
      </c>
      <c r="U3460" s="1" t="s">
        <v>44</v>
      </c>
      <c r="X3460" s="1" t="s">
        <v>1608</v>
      </c>
      <c r="AA3460" s="3">
        <v>39922</v>
      </c>
      <c r="AB3460" s="1" t="s">
        <v>46</v>
      </c>
      <c r="AC3460" s="5">
        <v>684.2</v>
      </c>
      <c r="AD3460" s="1" t="s">
        <v>7691</v>
      </c>
      <c r="AE3460" s="1" t="str">
        <f t="shared" si="244"/>
        <v>56639 1</v>
      </c>
      <c r="AF3460" s="5" t="str">
        <f t="shared" si="242"/>
        <v>60.9</v>
      </c>
      <c r="AG3460" s="1" t="str">
        <f t="shared" si="243"/>
        <v>Y</v>
      </c>
    </row>
    <row r="3461" spans="1:33" x14ac:dyDescent="0.2">
      <c r="A3461" s="1" t="s">
        <v>370</v>
      </c>
      <c r="B3461" s="1" t="s">
        <v>7689</v>
      </c>
      <c r="C3461" s="1">
        <v>56639</v>
      </c>
      <c r="D3461" s="1">
        <v>2</v>
      </c>
      <c r="F3461" s="1">
        <v>2023</v>
      </c>
      <c r="G3461" s="1" t="s">
        <v>247</v>
      </c>
      <c r="H3461" s="1">
        <v>609325</v>
      </c>
      <c r="I3461" s="1">
        <v>9</v>
      </c>
      <c r="J3461" s="1" t="s">
        <v>237</v>
      </c>
      <c r="K3461" s="1" t="s">
        <v>4802</v>
      </c>
      <c r="L3461" s="1" t="s">
        <v>4803</v>
      </c>
      <c r="M3461" s="1">
        <v>19</v>
      </c>
      <c r="N3461" s="1" t="s">
        <v>1031</v>
      </c>
      <c r="O3461" s="1">
        <v>36.654000000000003</v>
      </c>
      <c r="P3461" s="1">
        <v>-120.5797</v>
      </c>
      <c r="Q3461" s="1" t="s">
        <v>7690</v>
      </c>
      <c r="R3461" s="1" t="s">
        <v>41</v>
      </c>
      <c r="T3461" s="1" t="s">
        <v>93</v>
      </c>
      <c r="U3461" s="1" t="s">
        <v>44</v>
      </c>
      <c r="X3461" s="1" t="s">
        <v>1608</v>
      </c>
      <c r="AA3461" s="3">
        <v>39913</v>
      </c>
      <c r="AB3461" s="1" t="s">
        <v>46</v>
      </c>
      <c r="AC3461" s="5">
        <v>684.2</v>
      </c>
      <c r="AD3461" s="1" t="s">
        <v>1185</v>
      </c>
      <c r="AE3461" s="1" t="str">
        <f t="shared" si="244"/>
        <v>56639 2</v>
      </c>
      <c r="AF3461" s="5" t="str">
        <f t="shared" si="242"/>
        <v>60.9</v>
      </c>
      <c r="AG3461" s="1" t="str">
        <f t="shared" si="243"/>
        <v>Y</v>
      </c>
    </row>
    <row r="3462" spans="1:33" x14ac:dyDescent="0.2">
      <c r="A3462" s="1" t="s">
        <v>3140</v>
      </c>
      <c r="B3462" s="1" t="s">
        <v>7692</v>
      </c>
      <c r="C3462" s="1">
        <v>56671</v>
      </c>
      <c r="D3462" s="1">
        <v>1</v>
      </c>
      <c r="F3462" s="1">
        <v>2023</v>
      </c>
      <c r="G3462" s="1" t="s">
        <v>1353</v>
      </c>
      <c r="H3462" s="1">
        <v>608693</v>
      </c>
      <c r="I3462" s="1">
        <v>3</v>
      </c>
      <c r="K3462" s="1" t="s">
        <v>3147</v>
      </c>
      <c r="L3462" s="1" t="s">
        <v>3148</v>
      </c>
      <c r="M3462" s="1">
        <v>61</v>
      </c>
      <c r="N3462" s="1" t="s">
        <v>39</v>
      </c>
      <c r="O3462" s="1">
        <v>39.707799999999999</v>
      </c>
      <c r="P3462" s="1">
        <v>-79.958799999999997</v>
      </c>
      <c r="Q3462" s="1" t="s">
        <v>7693</v>
      </c>
      <c r="R3462" s="1" t="s">
        <v>41</v>
      </c>
      <c r="T3462" s="1" t="s">
        <v>89</v>
      </c>
      <c r="U3462" s="1" t="s">
        <v>55</v>
      </c>
      <c r="W3462" s="1" t="s">
        <v>7694</v>
      </c>
      <c r="X3462" s="1" t="s">
        <v>563</v>
      </c>
      <c r="Y3462" s="1" t="s">
        <v>232</v>
      </c>
      <c r="AA3462" s="3">
        <v>40669</v>
      </c>
      <c r="AB3462" s="1" t="s">
        <v>46</v>
      </c>
      <c r="AC3462" s="5">
        <v>7200</v>
      </c>
      <c r="AD3462" s="1" t="s">
        <v>7695</v>
      </c>
      <c r="AE3462" s="1" t="str">
        <f t="shared" si="244"/>
        <v>56671 1</v>
      </c>
      <c r="AF3462" s="5" t="str">
        <f t="shared" si="242"/>
        <v>769</v>
      </c>
      <c r="AG3462" s="1" t="str">
        <f t="shared" si="243"/>
        <v>Y</v>
      </c>
    </row>
    <row r="3463" spans="1:33" x14ac:dyDescent="0.2">
      <c r="A3463" s="1" t="s">
        <v>383</v>
      </c>
      <c r="B3463" s="1" t="s">
        <v>7696</v>
      </c>
      <c r="C3463" s="1">
        <v>56674</v>
      </c>
      <c r="D3463" s="1">
        <v>1</v>
      </c>
      <c r="F3463" s="1">
        <v>2023</v>
      </c>
      <c r="G3463" s="1" t="s">
        <v>346</v>
      </c>
      <c r="H3463" s="1">
        <v>605940</v>
      </c>
      <c r="I3463" s="1">
        <v>6</v>
      </c>
      <c r="J3463" s="1" t="s">
        <v>387</v>
      </c>
      <c r="K3463" s="1" t="s">
        <v>3632</v>
      </c>
      <c r="L3463" s="1" t="s">
        <v>3633</v>
      </c>
      <c r="M3463" s="1">
        <v>149</v>
      </c>
      <c r="N3463" s="1" t="s">
        <v>39</v>
      </c>
      <c r="O3463" s="1">
        <v>30.025300000000001</v>
      </c>
      <c r="P3463" s="1">
        <v>-96.994500000000002</v>
      </c>
      <c r="Q3463" s="1" t="s">
        <v>3028</v>
      </c>
      <c r="R3463" s="1" t="s">
        <v>41</v>
      </c>
      <c r="T3463" s="1" t="s">
        <v>93</v>
      </c>
      <c r="U3463" s="1" t="s">
        <v>44</v>
      </c>
      <c r="X3463" s="1" t="s">
        <v>223</v>
      </c>
      <c r="AA3463" s="3">
        <v>39939</v>
      </c>
      <c r="AB3463" s="1" t="s">
        <v>46</v>
      </c>
      <c r="AC3463" s="5">
        <v>437</v>
      </c>
      <c r="AD3463" s="1" t="s">
        <v>7697</v>
      </c>
      <c r="AE3463" s="1" t="str">
        <f t="shared" si="244"/>
        <v>56674 1</v>
      </c>
      <c r="AF3463" s="5" t="str">
        <f t="shared" si="242"/>
        <v>48</v>
      </c>
      <c r="AG3463" s="1" t="str">
        <f t="shared" si="243"/>
        <v>Y</v>
      </c>
    </row>
    <row r="3464" spans="1:33" x14ac:dyDescent="0.2">
      <c r="A3464" s="1" t="s">
        <v>383</v>
      </c>
      <c r="B3464" s="1" t="s">
        <v>7696</v>
      </c>
      <c r="C3464" s="1">
        <v>56674</v>
      </c>
      <c r="D3464" s="1">
        <v>2</v>
      </c>
      <c r="F3464" s="1">
        <v>2023</v>
      </c>
      <c r="G3464" s="1" t="s">
        <v>346</v>
      </c>
      <c r="H3464" s="1">
        <v>605940</v>
      </c>
      <c r="I3464" s="1">
        <v>6</v>
      </c>
      <c r="J3464" s="1" t="s">
        <v>387</v>
      </c>
      <c r="K3464" s="1" t="s">
        <v>3632</v>
      </c>
      <c r="L3464" s="1" t="s">
        <v>3633</v>
      </c>
      <c r="M3464" s="1">
        <v>149</v>
      </c>
      <c r="N3464" s="1" t="s">
        <v>39</v>
      </c>
      <c r="O3464" s="1">
        <v>30.025300000000001</v>
      </c>
      <c r="P3464" s="1">
        <v>-96.994500000000002</v>
      </c>
      <c r="Q3464" s="1" t="s">
        <v>3028</v>
      </c>
      <c r="R3464" s="1" t="s">
        <v>41</v>
      </c>
      <c r="T3464" s="1" t="s">
        <v>93</v>
      </c>
      <c r="U3464" s="1" t="s">
        <v>44</v>
      </c>
      <c r="X3464" s="1" t="s">
        <v>223</v>
      </c>
      <c r="AA3464" s="3">
        <v>39949</v>
      </c>
      <c r="AB3464" s="1" t="s">
        <v>46</v>
      </c>
      <c r="AC3464" s="5">
        <v>437</v>
      </c>
      <c r="AD3464" s="1" t="s">
        <v>7698</v>
      </c>
      <c r="AE3464" s="1" t="str">
        <f t="shared" si="244"/>
        <v>56674 2</v>
      </c>
      <c r="AF3464" s="5" t="str">
        <f t="shared" si="242"/>
        <v>48</v>
      </c>
      <c r="AG3464" s="1" t="str">
        <f t="shared" si="243"/>
        <v>Y</v>
      </c>
    </row>
    <row r="3465" spans="1:33" x14ac:dyDescent="0.2">
      <c r="A3465" s="1" t="s">
        <v>383</v>
      </c>
      <c r="B3465" s="1" t="s">
        <v>7696</v>
      </c>
      <c r="C3465" s="1">
        <v>56674</v>
      </c>
      <c r="D3465" s="1">
        <v>3</v>
      </c>
      <c r="F3465" s="1">
        <v>2023</v>
      </c>
      <c r="G3465" s="1" t="s">
        <v>346</v>
      </c>
      <c r="H3465" s="1">
        <v>605940</v>
      </c>
      <c r="I3465" s="1">
        <v>6</v>
      </c>
      <c r="J3465" s="1" t="s">
        <v>387</v>
      </c>
      <c r="K3465" s="1" t="s">
        <v>3632</v>
      </c>
      <c r="L3465" s="1" t="s">
        <v>3633</v>
      </c>
      <c r="M3465" s="1">
        <v>149</v>
      </c>
      <c r="N3465" s="1" t="s">
        <v>39</v>
      </c>
      <c r="O3465" s="1">
        <v>30.025300000000001</v>
      </c>
      <c r="P3465" s="1">
        <v>-96.994500000000002</v>
      </c>
      <c r="Q3465" s="1" t="s">
        <v>3028</v>
      </c>
      <c r="R3465" s="1" t="s">
        <v>41</v>
      </c>
      <c r="T3465" s="1" t="s">
        <v>93</v>
      </c>
      <c r="U3465" s="1" t="s">
        <v>44</v>
      </c>
      <c r="X3465" s="1" t="s">
        <v>223</v>
      </c>
      <c r="AA3465" s="3">
        <v>39953</v>
      </c>
      <c r="AB3465" s="1" t="s">
        <v>46</v>
      </c>
      <c r="AC3465" s="5">
        <v>437</v>
      </c>
      <c r="AD3465" s="1" t="s">
        <v>7699</v>
      </c>
      <c r="AE3465" s="1" t="str">
        <f t="shared" si="244"/>
        <v>56674 3</v>
      </c>
      <c r="AF3465" s="5" t="str">
        <f t="shared" si="242"/>
        <v>48</v>
      </c>
      <c r="AG3465" s="1" t="str">
        <f t="shared" si="243"/>
        <v>Y</v>
      </c>
    </row>
    <row r="3466" spans="1:33" x14ac:dyDescent="0.2">
      <c r="A3466" s="1" t="s">
        <v>383</v>
      </c>
      <c r="B3466" s="1" t="s">
        <v>7696</v>
      </c>
      <c r="C3466" s="1">
        <v>56674</v>
      </c>
      <c r="D3466" s="1">
        <v>4</v>
      </c>
      <c r="F3466" s="1">
        <v>2023</v>
      </c>
      <c r="G3466" s="1" t="s">
        <v>346</v>
      </c>
      <c r="H3466" s="1">
        <v>605940</v>
      </c>
      <c r="I3466" s="1">
        <v>6</v>
      </c>
      <c r="J3466" s="1" t="s">
        <v>387</v>
      </c>
      <c r="K3466" s="1" t="s">
        <v>3632</v>
      </c>
      <c r="L3466" s="1" t="s">
        <v>3633</v>
      </c>
      <c r="M3466" s="1">
        <v>149</v>
      </c>
      <c r="N3466" s="1" t="s">
        <v>39</v>
      </c>
      <c r="O3466" s="1">
        <v>30.025300000000001</v>
      </c>
      <c r="P3466" s="1">
        <v>-96.994500000000002</v>
      </c>
      <c r="Q3466" s="1" t="s">
        <v>3028</v>
      </c>
      <c r="R3466" s="1" t="s">
        <v>41</v>
      </c>
      <c r="T3466" s="1" t="s">
        <v>93</v>
      </c>
      <c r="U3466" s="1" t="s">
        <v>44</v>
      </c>
      <c r="X3466" s="1" t="s">
        <v>223</v>
      </c>
      <c r="AA3466" s="3">
        <v>39977</v>
      </c>
      <c r="AB3466" s="1" t="s">
        <v>46</v>
      </c>
      <c r="AC3466" s="5">
        <v>437</v>
      </c>
      <c r="AD3466" s="1" t="s">
        <v>7700</v>
      </c>
      <c r="AE3466" s="1" t="str">
        <f t="shared" si="244"/>
        <v>56674 4</v>
      </c>
      <c r="AF3466" s="5" t="str">
        <f t="shared" si="242"/>
        <v>48</v>
      </c>
      <c r="AG3466" s="1" t="str">
        <f t="shared" si="243"/>
        <v>Y</v>
      </c>
    </row>
    <row r="3467" spans="1:33" x14ac:dyDescent="0.2">
      <c r="A3467" s="1" t="s">
        <v>2411</v>
      </c>
      <c r="B3467" s="1" t="s">
        <v>7701</v>
      </c>
      <c r="C3467" s="1">
        <v>56786</v>
      </c>
      <c r="D3467" s="1">
        <v>1</v>
      </c>
      <c r="F3467" s="1">
        <v>2023</v>
      </c>
      <c r="G3467" s="1" t="s">
        <v>236</v>
      </c>
      <c r="H3467" s="1">
        <v>607684</v>
      </c>
      <c r="I3467" s="1">
        <v>8</v>
      </c>
      <c r="K3467" s="1" t="s">
        <v>7702</v>
      </c>
      <c r="L3467" s="1" t="s">
        <v>7703</v>
      </c>
      <c r="M3467" s="1">
        <v>93</v>
      </c>
      <c r="N3467" s="1" t="s">
        <v>1680</v>
      </c>
      <c r="O3467" s="1">
        <v>46.924999999999997</v>
      </c>
      <c r="P3467" s="1">
        <v>-98.5</v>
      </c>
      <c r="Q3467" s="1" t="s">
        <v>1720</v>
      </c>
      <c r="R3467" s="1" t="s">
        <v>41</v>
      </c>
      <c r="T3467" s="1" t="s">
        <v>885</v>
      </c>
      <c r="U3467" s="1" t="s">
        <v>55</v>
      </c>
      <c r="V3467" s="1" t="s">
        <v>7704</v>
      </c>
      <c r="W3467" s="1" t="s">
        <v>3374</v>
      </c>
      <c r="X3467" s="1" t="s">
        <v>604</v>
      </c>
      <c r="Y3467" s="1" t="s">
        <v>232</v>
      </c>
      <c r="Z3467" s="1" t="s">
        <v>344</v>
      </c>
      <c r="AA3467" s="3">
        <v>40793</v>
      </c>
      <c r="AB3467" s="1" t="s">
        <v>46</v>
      </c>
      <c r="AC3467" s="5">
        <v>1540</v>
      </c>
      <c r="AD3467" s="1" t="s">
        <v>7705</v>
      </c>
      <c r="AE3467" s="1" t="str">
        <f t="shared" si="244"/>
        <v>56786 1</v>
      </c>
      <c r="AF3467" s="5" t="str">
        <f t="shared" si="242"/>
        <v>99</v>
      </c>
      <c r="AG3467" s="1" t="str">
        <f t="shared" si="243"/>
        <v>Y</v>
      </c>
    </row>
    <row r="3468" spans="1:33" x14ac:dyDescent="0.2">
      <c r="A3468" s="1" t="s">
        <v>577</v>
      </c>
      <c r="B3468" s="1" t="s">
        <v>7706</v>
      </c>
      <c r="C3468" s="1">
        <v>56798</v>
      </c>
      <c r="D3468" s="1" t="s">
        <v>3858</v>
      </c>
      <c r="F3468" s="1">
        <v>2023</v>
      </c>
      <c r="G3468" s="1" t="s">
        <v>579</v>
      </c>
      <c r="H3468" s="1">
        <v>610436</v>
      </c>
      <c r="I3468" s="1">
        <v>1</v>
      </c>
      <c r="K3468" s="1" t="s">
        <v>601</v>
      </c>
      <c r="L3468" s="1" t="s">
        <v>602</v>
      </c>
      <c r="M3468" s="1">
        <v>7</v>
      </c>
      <c r="N3468" s="1" t="s">
        <v>39</v>
      </c>
      <c r="O3468" s="1">
        <v>41.552599999999998</v>
      </c>
      <c r="P3468" s="1">
        <v>-72.596999999999994</v>
      </c>
      <c r="Q3468" s="1" t="s">
        <v>7707</v>
      </c>
      <c r="R3468" s="1" t="s">
        <v>41</v>
      </c>
      <c r="T3468" s="1" t="s">
        <v>71</v>
      </c>
      <c r="U3468" s="1" t="s">
        <v>44</v>
      </c>
      <c r="V3468" s="1" t="s">
        <v>94</v>
      </c>
      <c r="X3468" s="1" t="s">
        <v>643</v>
      </c>
      <c r="AA3468" s="3">
        <v>40666</v>
      </c>
      <c r="AB3468" s="1" t="s">
        <v>46</v>
      </c>
      <c r="AC3468" s="5">
        <v>2581</v>
      </c>
      <c r="AD3468" s="1" t="s">
        <v>7708</v>
      </c>
      <c r="AE3468" s="1" t="str">
        <f t="shared" si="244"/>
        <v>56798 U1</v>
      </c>
      <c r="AF3468" s="14">
        <f>MID(AD3468,FIND("(",AD3468)+1,FIND(")",AD3468)-FIND("(",AD3468)-1)+295/2</f>
        <v>346.5</v>
      </c>
      <c r="AG3468" s="1" t="str">
        <f t="shared" si="243"/>
        <v>Y</v>
      </c>
    </row>
    <row r="3469" spans="1:33" x14ac:dyDescent="0.2">
      <c r="A3469" s="1" t="s">
        <v>577</v>
      </c>
      <c r="B3469" s="1" t="s">
        <v>7706</v>
      </c>
      <c r="C3469" s="1">
        <v>56798</v>
      </c>
      <c r="D3469" s="1" t="s">
        <v>3862</v>
      </c>
      <c r="F3469" s="1">
        <v>2023</v>
      </c>
      <c r="G3469" s="1" t="s">
        <v>579</v>
      </c>
      <c r="H3469" s="1">
        <v>610436</v>
      </c>
      <c r="I3469" s="1">
        <v>1</v>
      </c>
      <c r="K3469" s="1" t="s">
        <v>601</v>
      </c>
      <c r="L3469" s="1" t="s">
        <v>602</v>
      </c>
      <c r="M3469" s="1">
        <v>7</v>
      </c>
      <c r="N3469" s="1" t="s">
        <v>39</v>
      </c>
      <c r="O3469" s="1">
        <v>41.552599999999998</v>
      </c>
      <c r="P3469" s="1">
        <v>-72.596999999999994</v>
      </c>
      <c r="Q3469" s="1" t="s">
        <v>7707</v>
      </c>
      <c r="R3469" s="1" t="s">
        <v>41</v>
      </c>
      <c r="T3469" s="1" t="s">
        <v>71</v>
      </c>
      <c r="U3469" s="1" t="s">
        <v>44</v>
      </c>
      <c r="V3469" s="1" t="s">
        <v>94</v>
      </c>
      <c r="X3469" s="1" t="s">
        <v>643</v>
      </c>
      <c r="AA3469" s="3">
        <v>40670</v>
      </c>
      <c r="AB3469" s="1" t="s">
        <v>46</v>
      </c>
      <c r="AC3469" s="5">
        <v>2581</v>
      </c>
      <c r="AD3469" s="1" t="s">
        <v>7709</v>
      </c>
      <c r="AE3469" s="1" t="str">
        <f t="shared" si="244"/>
        <v>56798 U2</v>
      </c>
      <c r="AF3469" s="14">
        <f>AF3468</f>
        <v>346.5</v>
      </c>
      <c r="AG3469" s="1" t="str">
        <f t="shared" si="243"/>
        <v>Y</v>
      </c>
    </row>
    <row r="3470" spans="1:33" x14ac:dyDescent="0.2">
      <c r="A3470" s="1" t="s">
        <v>304</v>
      </c>
      <c r="B3470" s="1" t="s">
        <v>7710</v>
      </c>
      <c r="C3470" s="1">
        <v>56799</v>
      </c>
      <c r="D3470" s="1">
        <v>1</v>
      </c>
      <c r="F3470" s="1">
        <v>2023</v>
      </c>
      <c r="G3470" s="1" t="s">
        <v>247</v>
      </c>
      <c r="H3470" s="1">
        <v>605471</v>
      </c>
      <c r="I3470" s="1">
        <v>4</v>
      </c>
      <c r="K3470" s="1" t="s">
        <v>878</v>
      </c>
      <c r="L3470" s="1" t="s">
        <v>879</v>
      </c>
      <c r="M3470" s="1">
        <v>31</v>
      </c>
      <c r="N3470" s="1" t="s">
        <v>39</v>
      </c>
      <c r="O3470" s="1">
        <v>30.160299999999999</v>
      </c>
      <c r="P3470" s="1">
        <v>-81.516400000000004</v>
      </c>
      <c r="Q3470" s="1" t="s">
        <v>880</v>
      </c>
      <c r="R3470" s="1" t="s">
        <v>41</v>
      </c>
      <c r="T3470" s="1" t="s">
        <v>93</v>
      </c>
      <c r="U3470" s="1" t="s">
        <v>44</v>
      </c>
      <c r="V3470" s="1" t="s">
        <v>94</v>
      </c>
      <c r="X3470" s="1" t="s">
        <v>183</v>
      </c>
      <c r="AA3470" s="3">
        <v>40557</v>
      </c>
      <c r="AB3470" s="1" t="s">
        <v>46</v>
      </c>
      <c r="AC3470" s="5">
        <v>2010</v>
      </c>
      <c r="AD3470" s="1" t="s">
        <v>7711</v>
      </c>
      <c r="AE3470" s="1" t="str">
        <f t="shared" si="244"/>
        <v>56799 1</v>
      </c>
      <c r="AF3470" s="5" t="str">
        <f t="shared" ref="AF3470:AF3475" si="245">MID(AD3470,FIND("(",AD3470)+1,FIND(")",AD3470)-FIND("(",AD3470)-1)</f>
        <v>184.1</v>
      </c>
      <c r="AG3470" s="1" t="str">
        <f t="shared" si="243"/>
        <v/>
      </c>
    </row>
    <row r="3471" spans="1:33" x14ac:dyDescent="0.2">
      <c r="A3471" s="1" t="s">
        <v>304</v>
      </c>
      <c r="B3471" s="1" t="s">
        <v>7710</v>
      </c>
      <c r="C3471" s="1">
        <v>56799</v>
      </c>
      <c r="D3471" s="1">
        <v>2</v>
      </c>
      <c r="F3471" s="1">
        <v>2023</v>
      </c>
      <c r="G3471" s="1" t="s">
        <v>247</v>
      </c>
      <c r="H3471" s="1">
        <v>605471</v>
      </c>
      <c r="I3471" s="1">
        <v>4</v>
      </c>
      <c r="K3471" s="1" t="s">
        <v>878</v>
      </c>
      <c r="L3471" s="1" t="s">
        <v>879</v>
      </c>
      <c r="M3471" s="1">
        <v>31</v>
      </c>
      <c r="N3471" s="1" t="s">
        <v>39</v>
      </c>
      <c r="O3471" s="1">
        <v>30.160299999999999</v>
      </c>
      <c r="P3471" s="1">
        <v>-81.516400000000004</v>
      </c>
      <c r="Q3471" s="1" t="s">
        <v>880</v>
      </c>
      <c r="R3471" s="1" t="s">
        <v>41</v>
      </c>
      <c r="T3471" s="1" t="s">
        <v>93</v>
      </c>
      <c r="U3471" s="1" t="s">
        <v>44</v>
      </c>
      <c r="V3471" s="1" t="s">
        <v>94</v>
      </c>
      <c r="X3471" s="1" t="s">
        <v>183</v>
      </c>
      <c r="AA3471" s="3">
        <v>40607</v>
      </c>
      <c r="AB3471" s="1" t="s">
        <v>46</v>
      </c>
      <c r="AC3471" s="5">
        <v>2101</v>
      </c>
      <c r="AD3471" s="1" t="s">
        <v>7712</v>
      </c>
      <c r="AE3471" s="1" t="str">
        <f t="shared" si="244"/>
        <v>56799 2</v>
      </c>
      <c r="AF3471" s="5" t="str">
        <f t="shared" si="245"/>
        <v>184.1</v>
      </c>
      <c r="AG3471" s="1" t="str">
        <f t="shared" si="243"/>
        <v/>
      </c>
    </row>
    <row r="3472" spans="1:33" x14ac:dyDescent="0.2">
      <c r="A3472" s="1" t="s">
        <v>370</v>
      </c>
      <c r="B3472" s="1" t="s">
        <v>7713</v>
      </c>
      <c r="C3472" s="1">
        <v>56803</v>
      </c>
      <c r="D3472" s="1">
        <v>1</v>
      </c>
      <c r="F3472" s="1">
        <v>2023</v>
      </c>
      <c r="G3472" s="1" t="s">
        <v>247</v>
      </c>
      <c r="H3472" s="1">
        <v>1100</v>
      </c>
      <c r="I3472" s="1">
        <v>9</v>
      </c>
      <c r="K3472" s="1" t="s">
        <v>4802</v>
      </c>
      <c r="L3472" s="1" t="s">
        <v>4803</v>
      </c>
      <c r="M3472" s="1">
        <v>19</v>
      </c>
      <c r="N3472" s="1" t="s">
        <v>39</v>
      </c>
      <c r="O3472" s="1">
        <v>36.651299999999999</v>
      </c>
      <c r="P3472" s="1">
        <v>-120.58329999999999</v>
      </c>
      <c r="Q3472" s="1" t="s">
        <v>7714</v>
      </c>
      <c r="R3472" s="1" t="s">
        <v>41</v>
      </c>
      <c r="T3472" s="1" t="s">
        <v>93</v>
      </c>
      <c r="U3472" s="1" t="s">
        <v>44</v>
      </c>
      <c r="X3472" s="1" t="s">
        <v>176</v>
      </c>
      <c r="AA3472" s="3">
        <v>39912</v>
      </c>
      <c r="AB3472" s="1" t="s">
        <v>46</v>
      </c>
      <c r="AC3472" s="5">
        <v>975</v>
      </c>
      <c r="AD3472" s="1" t="s">
        <v>7715</v>
      </c>
      <c r="AE3472" s="1" t="str">
        <f t="shared" si="244"/>
        <v>56803 1</v>
      </c>
      <c r="AF3472" s="5" t="str">
        <f t="shared" si="245"/>
        <v>108</v>
      </c>
      <c r="AG3472" s="1" t="str">
        <f t="shared" si="243"/>
        <v>Y</v>
      </c>
    </row>
    <row r="3473" spans="1:33" x14ac:dyDescent="0.2">
      <c r="A3473" s="1" t="s">
        <v>370</v>
      </c>
      <c r="B3473" s="1" t="s">
        <v>7713</v>
      </c>
      <c r="C3473" s="1">
        <v>56803</v>
      </c>
      <c r="D3473" s="1">
        <v>2</v>
      </c>
      <c r="F3473" s="1">
        <v>2023</v>
      </c>
      <c r="G3473" s="1" t="s">
        <v>247</v>
      </c>
      <c r="H3473" s="1">
        <v>1100</v>
      </c>
      <c r="I3473" s="1">
        <v>9</v>
      </c>
      <c r="K3473" s="1" t="s">
        <v>4802</v>
      </c>
      <c r="L3473" s="1" t="s">
        <v>4803</v>
      </c>
      <c r="M3473" s="1">
        <v>19</v>
      </c>
      <c r="N3473" s="1" t="s">
        <v>39</v>
      </c>
      <c r="O3473" s="1">
        <v>36.651299999999999</v>
      </c>
      <c r="P3473" s="1">
        <v>-120.58329999999999</v>
      </c>
      <c r="Q3473" s="1" t="s">
        <v>7714</v>
      </c>
      <c r="R3473" s="1" t="s">
        <v>41</v>
      </c>
      <c r="T3473" s="1" t="s">
        <v>93</v>
      </c>
      <c r="U3473" s="1" t="s">
        <v>44</v>
      </c>
      <c r="X3473" s="1" t="s">
        <v>176</v>
      </c>
      <c r="AA3473" s="3">
        <v>39921</v>
      </c>
      <c r="AB3473" s="1" t="s">
        <v>46</v>
      </c>
      <c r="AC3473" s="5">
        <v>975</v>
      </c>
      <c r="AD3473" s="1" t="s">
        <v>7716</v>
      </c>
      <c r="AE3473" s="1" t="str">
        <f t="shared" si="244"/>
        <v>56803 2</v>
      </c>
      <c r="AF3473" s="5" t="str">
        <f t="shared" si="245"/>
        <v>108</v>
      </c>
      <c r="AG3473" s="1" t="str">
        <f t="shared" si="243"/>
        <v>Y</v>
      </c>
    </row>
    <row r="3474" spans="1:33" x14ac:dyDescent="0.2">
      <c r="A3474" s="1" t="s">
        <v>370</v>
      </c>
      <c r="B3474" s="1" t="s">
        <v>7713</v>
      </c>
      <c r="C3474" s="1">
        <v>56803</v>
      </c>
      <c r="D3474" s="1">
        <v>3</v>
      </c>
      <c r="F3474" s="1">
        <v>2023</v>
      </c>
      <c r="G3474" s="1" t="s">
        <v>247</v>
      </c>
      <c r="H3474" s="1">
        <v>1100</v>
      </c>
      <c r="I3474" s="1">
        <v>9</v>
      </c>
      <c r="K3474" s="1" t="s">
        <v>4802</v>
      </c>
      <c r="L3474" s="1" t="s">
        <v>4803</v>
      </c>
      <c r="M3474" s="1">
        <v>19</v>
      </c>
      <c r="N3474" s="1" t="s">
        <v>39</v>
      </c>
      <c r="O3474" s="1">
        <v>36.651299999999999</v>
      </c>
      <c r="P3474" s="1">
        <v>-120.58329999999999</v>
      </c>
      <c r="Q3474" s="1" t="s">
        <v>7714</v>
      </c>
      <c r="R3474" s="1" t="s">
        <v>41</v>
      </c>
      <c r="T3474" s="1" t="s">
        <v>93</v>
      </c>
      <c r="U3474" s="1" t="s">
        <v>44</v>
      </c>
      <c r="X3474" s="1" t="s">
        <v>176</v>
      </c>
      <c r="AA3474" s="3">
        <v>39916</v>
      </c>
      <c r="AB3474" s="1" t="s">
        <v>46</v>
      </c>
      <c r="AC3474" s="5">
        <v>970</v>
      </c>
      <c r="AD3474" s="1" t="s">
        <v>7717</v>
      </c>
      <c r="AE3474" s="1" t="str">
        <f t="shared" si="244"/>
        <v>56803 3</v>
      </c>
      <c r="AF3474" s="5" t="str">
        <f t="shared" si="245"/>
        <v>108</v>
      </c>
      <c r="AG3474" s="1" t="str">
        <f t="shared" si="243"/>
        <v>Y</v>
      </c>
    </row>
    <row r="3475" spans="1:33" x14ac:dyDescent="0.2">
      <c r="A3475" s="1" t="s">
        <v>370</v>
      </c>
      <c r="B3475" s="1" t="s">
        <v>7713</v>
      </c>
      <c r="C3475" s="1">
        <v>56803</v>
      </c>
      <c r="D3475" s="1">
        <v>4</v>
      </c>
      <c r="F3475" s="1">
        <v>2023</v>
      </c>
      <c r="G3475" s="1" t="s">
        <v>247</v>
      </c>
      <c r="H3475" s="1">
        <v>1100</v>
      </c>
      <c r="I3475" s="1">
        <v>9</v>
      </c>
      <c r="K3475" s="1" t="s">
        <v>4802</v>
      </c>
      <c r="L3475" s="1" t="s">
        <v>4803</v>
      </c>
      <c r="M3475" s="1">
        <v>19</v>
      </c>
      <c r="N3475" s="1" t="s">
        <v>39</v>
      </c>
      <c r="O3475" s="1">
        <v>36.651299999999999</v>
      </c>
      <c r="P3475" s="1">
        <v>-120.58329999999999</v>
      </c>
      <c r="Q3475" s="1" t="s">
        <v>7714</v>
      </c>
      <c r="R3475" s="1" t="s">
        <v>41</v>
      </c>
      <c r="T3475" s="1" t="s">
        <v>93</v>
      </c>
      <c r="U3475" s="1" t="s">
        <v>44</v>
      </c>
      <c r="X3475" s="1" t="s">
        <v>176</v>
      </c>
      <c r="AA3475" s="3">
        <v>39920</v>
      </c>
      <c r="AB3475" s="1" t="s">
        <v>46</v>
      </c>
      <c r="AC3475" s="5">
        <v>980</v>
      </c>
      <c r="AD3475" s="1" t="s">
        <v>7718</v>
      </c>
      <c r="AE3475" s="1" t="str">
        <f t="shared" si="244"/>
        <v>56803 4</v>
      </c>
      <c r="AF3475" s="5" t="str">
        <f t="shared" si="245"/>
        <v>108</v>
      </c>
      <c r="AG3475" s="1" t="str">
        <f t="shared" si="243"/>
        <v>Y</v>
      </c>
    </row>
    <row r="3476" spans="1:33" x14ac:dyDescent="0.2">
      <c r="A3476" s="1" t="s">
        <v>383</v>
      </c>
      <c r="B3476" s="1" t="s">
        <v>7719</v>
      </c>
      <c r="C3476" s="1">
        <v>56806</v>
      </c>
      <c r="D3476" s="1" t="s">
        <v>7720</v>
      </c>
      <c r="F3476" s="1">
        <v>2023</v>
      </c>
      <c r="G3476" s="1" t="s">
        <v>346</v>
      </c>
      <c r="H3476" s="1">
        <v>602998</v>
      </c>
      <c r="I3476" s="1">
        <v>6</v>
      </c>
      <c r="K3476" s="1" t="s">
        <v>2921</v>
      </c>
      <c r="L3476" s="1" t="s">
        <v>2922</v>
      </c>
      <c r="M3476" s="1">
        <v>71</v>
      </c>
      <c r="N3476" s="1" t="s">
        <v>39</v>
      </c>
      <c r="O3476" s="1">
        <v>29.751999999999999</v>
      </c>
      <c r="P3476" s="1">
        <v>-94.923000000000002</v>
      </c>
      <c r="Q3476" s="1" t="s">
        <v>7721</v>
      </c>
      <c r="R3476" s="1" t="s">
        <v>41</v>
      </c>
      <c r="T3476" s="1" t="s">
        <v>71</v>
      </c>
      <c r="U3476" s="1" t="s">
        <v>44</v>
      </c>
      <c r="X3476" s="1" t="s">
        <v>64</v>
      </c>
      <c r="AA3476" s="3">
        <v>39900</v>
      </c>
      <c r="AB3476" s="1" t="s">
        <v>46</v>
      </c>
      <c r="AC3476" s="5">
        <v>2125</v>
      </c>
      <c r="AD3476" s="1" t="s">
        <v>7722</v>
      </c>
      <c r="AE3476" s="1" t="str">
        <f t="shared" si="244"/>
        <v>56806 CBY41</v>
      </c>
      <c r="AF3476" s="14">
        <f>AF3477</f>
        <v>277.54999999999995</v>
      </c>
      <c r="AG3476" s="1" t="str">
        <f t="shared" si="243"/>
        <v>Y</v>
      </c>
    </row>
    <row r="3477" spans="1:33" x14ac:dyDescent="0.2">
      <c r="A3477" s="1" t="s">
        <v>383</v>
      </c>
      <c r="B3477" s="1" t="s">
        <v>7719</v>
      </c>
      <c r="C3477" s="1">
        <v>56806</v>
      </c>
      <c r="D3477" s="1" t="s">
        <v>7723</v>
      </c>
      <c r="F3477" s="1">
        <v>2023</v>
      </c>
      <c r="G3477" s="1" t="s">
        <v>346</v>
      </c>
      <c r="H3477" s="1">
        <v>602998</v>
      </c>
      <c r="I3477" s="1">
        <v>6</v>
      </c>
      <c r="K3477" s="1" t="s">
        <v>2921</v>
      </c>
      <c r="L3477" s="1" t="s">
        <v>2922</v>
      </c>
      <c r="M3477" s="1">
        <v>71</v>
      </c>
      <c r="N3477" s="1" t="s">
        <v>39</v>
      </c>
      <c r="O3477" s="1">
        <v>29.751999999999999</v>
      </c>
      <c r="P3477" s="1">
        <v>-94.923000000000002</v>
      </c>
      <c r="Q3477" s="1" t="s">
        <v>7721</v>
      </c>
      <c r="R3477" s="1" t="s">
        <v>41</v>
      </c>
      <c r="T3477" s="1" t="s">
        <v>71</v>
      </c>
      <c r="U3477" s="1" t="s">
        <v>44</v>
      </c>
      <c r="X3477" s="1" t="s">
        <v>64</v>
      </c>
      <c r="AA3477" s="3">
        <v>39901</v>
      </c>
      <c r="AB3477" s="1" t="s">
        <v>46</v>
      </c>
      <c r="AC3477" s="5">
        <v>2125</v>
      </c>
      <c r="AD3477" s="1" t="s">
        <v>7724</v>
      </c>
      <c r="AE3477" s="1" t="str">
        <f t="shared" si="244"/>
        <v>56806 CBY42</v>
      </c>
      <c r="AF3477" s="14">
        <f>MID(AD3477,FIND("(",AD3477)+1,FIND(")",AD3477)-FIND("(",AD3477)-1)+179.7/2</f>
        <v>277.54999999999995</v>
      </c>
      <c r="AG3477" s="1" t="str">
        <f t="shared" si="243"/>
        <v>Y</v>
      </c>
    </row>
    <row r="3478" spans="1:33" x14ac:dyDescent="0.2">
      <c r="A3478" s="1" t="s">
        <v>3095</v>
      </c>
      <c r="B3478" s="1" t="s">
        <v>7725</v>
      </c>
      <c r="C3478" s="1">
        <v>56807</v>
      </c>
      <c r="D3478" s="1" t="s">
        <v>372</v>
      </c>
      <c r="F3478" s="1">
        <v>2023</v>
      </c>
      <c r="G3478" s="1" t="s">
        <v>1515</v>
      </c>
      <c r="H3478" s="1">
        <v>1525</v>
      </c>
      <c r="I3478" s="1">
        <v>3</v>
      </c>
      <c r="K3478" s="1" t="s">
        <v>7726</v>
      </c>
      <c r="L3478" s="1" t="s">
        <v>7727</v>
      </c>
      <c r="M3478" s="1">
        <v>29</v>
      </c>
      <c r="N3478" s="1" t="s">
        <v>39</v>
      </c>
      <c r="O3478" s="1">
        <v>37.696100000000001</v>
      </c>
      <c r="P3478" s="1">
        <v>-78.284800000000004</v>
      </c>
      <c r="Q3478" s="1" t="s">
        <v>3112</v>
      </c>
      <c r="R3478" s="1" t="s">
        <v>41</v>
      </c>
      <c r="T3478" s="1" t="s">
        <v>71</v>
      </c>
      <c r="U3478" s="1" t="s">
        <v>44</v>
      </c>
      <c r="V3478" s="1" t="s">
        <v>94</v>
      </c>
      <c r="X3478" s="1" t="s">
        <v>643</v>
      </c>
      <c r="AA3478" s="3">
        <v>40572</v>
      </c>
      <c r="AB3478" s="1" t="s">
        <v>46</v>
      </c>
      <c r="AC3478" s="5">
        <v>2550</v>
      </c>
      <c r="AD3478" s="1" t="s">
        <v>7728</v>
      </c>
      <c r="AE3478" s="1" t="str">
        <f t="shared" si="244"/>
        <v>56807 1A</v>
      </c>
      <c r="AF3478" s="14">
        <f>MID(AD3478,FIND("(",AD3478)+1,FIND(")",AD3478)-FIND("(",AD3478)-1)+262/2</f>
        <v>301</v>
      </c>
      <c r="AG3478" s="1" t="str">
        <f t="shared" si="243"/>
        <v>Y</v>
      </c>
    </row>
    <row r="3479" spans="1:33" x14ac:dyDescent="0.2">
      <c r="A3479" s="1" t="s">
        <v>3095</v>
      </c>
      <c r="B3479" s="1" t="s">
        <v>7725</v>
      </c>
      <c r="C3479" s="1">
        <v>56807</v>
      </c>
      <c r="D3479" s="1" t="s">
        <v>1199</v>
      </c>
      <c r="F3479" s="1">
        <v>2023</v>
      </c>
      <c r="G3479" s="1" t="s">
        <v>1515</v>
      </c>
      <c r="H3479" s="1">
        <v>1525</v>
      </c>
      <c r="I3479" s="1">
        <v>3</v>
      </c>
      <c r="K3479" s="1" t="s">
        <v>7726</v>
      </c>
      <c r="L3479" s="1" t="s">
        <v>7727</v>
      </c>
      <c r="M3479" s="1">
        <v>29</v>
      </c>
      <c r="N3479" s="1" t="s">
        <v>39</v>
      </c>
      <c r="O3479" s="1">
        <v>37.696100000000001</v>
      </c>
      <c r="P3479" s="1">
        <v>-78.284800000000004</v>
      </c>
      <c r="Q3479" s="1" t="s">
        <v>3112</v>
      </c>
      <c r="R3479" s="1" t="s">
        <v>41</v>
      </c>
      <c r="T3479" s="1" t="s">
        <v>71</v>
      </c>
      <c r="U3479" s="1" t="s">
        <v>44</v>
      </c>
      <c r="V3479" s="1" t="s">
        <v>94</v>
      </c>
      <c r="X3479" s="1" t="s">
        <v>643</v>
      </c>
      <c r="AA3479" s="3">
        <v>40569</v>
      </c>
      <c r="AB3479" s="1" t="s">
        <v>46</v>
      </c>
      <c r="AC3479" s="5">
        <v>2550</v>
      </c>
      <c r="AD3479" s="1" t="s">
        <v>7729</v>
      </c>
      <c r="AE3479" s="1" t="str">
        <f t="shared" si="244"/>
        <v>56807 1B</v>
      </c>
      <c r="AF3479" s="14">
        <f>AF3478</f>
        <v>301</v>
      </c>
      <c r="AG3479" s="1" t="str">
        <f t="shared" si="243"/>
        <v>Y</v>
      </c>
    </row>
    <row r="3480" spans="1:33" x14ac:dyDescent="0.2">
      <c r="A3480" s="1" t="s">
        <v>3095</v>
      </c>
      <c r="B3480" s="1" t="s">
        <v>7730</v>
      </c>
      <c r="C3480" s="1">
        <v>56808</v>
      </c>
      <c r="D3480" s="1">
        <v>1</v>
      </c>
      <c r="F3480" s="1">
        <v>2023</v>
      </c>
      <c r="G3480" s="1" t="s">
        <v>682</v>
      </c>
      <c r="H3480" s="1">
        <v>1525</v>
      </c>
      <c r="I3480" s="1">
        <v>3</v>
      </c>
      <c r="K3480" s="1" t="s">
        <v>6509</v>
      </c>
      <c r="L3480" s="1" t="s">
        <v>7731</v>
      </c>
      <c r="M3480" s="1">
        <v>195</v>
      </c>
      <c r="N3480" s="1" t="s">
        <v>39</v>
      </c>
      <c r="O3480" s="1">
        <v>36.9161</v>
      </c>
      <c r="P3480" s="1">
        <v>-82.338099999999997</v>
      </c>
      <c r="Q3480" s="1" t="s">
        <v>3112</v>
      </c>
      <c r="R3480" s="1" t="s">
        <v>41</v>
      </c>
      <c r="T3480" s="1" t="s">
        <v>885</v>
      </c>
      <c r="U3480" s="1" t="s">
        <v>55</v>
      </c>
      <c r="V3480" s="1" t="s">
        <v>7732</v>
      </c>
      <c r="W3480" s="1" t="s">
        <v>3374</v>
      </c>
      <c r="X3480" s="1" t="s">
        <v>669</v>
      </c>
      <c r="Y3480" s="1" t="s">
        <v>232</v>
      </c>
      <c r="AA3480" s="3">
        <v>40975</v>
      </c>
      <c r="AB3480" s="1" t="s">
        <v>46</v>
      </c>
      <c r="AC3480" s="5">
        <v>3500</v>
      </c>
      <c r="AD3480" s="1" t="s">
        <v>3554</v>
      </c>
      <c r="AE3480" s="1" t="str">
        <f t="shared" si="244"/>
        <v>56808 1</v>
      </c>
      <c r="AF3480" s="5" t="str">
        <f>MID(AD3480,FIND("(",AD3480)+1,FIND(")",AD3480)-FIND("(",AD3480)-1)</f>
        <v>668</v>
      </c>
      <c r="AG3480" s="1" t="str">
        <f t="shared" si="243"/>
        <v>Y</v>
      </c>
    </row>
    <row r="3481" spans="1:33" x14ac:dyDescent="0.2">
      <c r="A3481" s="1" t="s">
        <v>3095</v>
      </c>
      <c r="B3481" s="1" t="s">
        <v>7730</v>
      </c>
      <c r="C3481" s="1">
        <v>56808</v>
      </c>
      <c r="D3481" s="1">
        <v>2</v>
      </c>
      <c r="F3481" s="1">
        <v>2023</v>
      </c>
      <c r="G3481" s="1" t="s">
        <v>682</v>
      </c>
      <c r="H3481" s="1">
        <v>1525</v>
      </c>
      <c r="I3481" s="1">
        <v>3</v>
      </c>
      <c r="K3481" s="1" t="s">
        <v>6509</v>
      </c>
      <c r="L3481" s="1" t="s">
        <v>7731</v>
      </c>
      <c r="M3481" s="1">
        <v>195</v>
      </c>
      <c r="N3481" s="1" t="s">
        <v>39</v>
      </c>
      <c r="O3481" s="1">
        <v>36.9161</v>
      </c>
      <c r="P3481" s="1">
        <v>-82.338099999999997</v>
      </c>
      <c r="Q3481" s="1" t="s">
        <v>3112</v>
      </c>
      <c r="R3481" s="1" t="s">
        <v>41</v>
      </c>
      <c r="T3481" s="1" t="s">
        <v>885</v>
      </c>
      <c r="U3481" s="1" t="s">
        <v>55</v>
      </c>
      <c r="V3481" s="1" t="s">
        <v>7732</v>
      </c>
      <c r="W3481" s="1" t="s">
        <v>3374</v>
      </c>
      <c r="X3481" s="1" t="s">
        <v>669</v>
      </c>
      <c r="Y3481" s="1" t="s">
        <v>232</v>
      </c>
      <c r="AA3481" s="3">
        <v>40975</v>
      </c>
      <c r="AB3481" s="1" t="s">
        <v>46</v>
      </c>
      <c r="AC3481" s="5">
        <v>3500</v>
      </c>
      <c r="AD3481" s="1" t="s">
        <v>3554</v>
      </c>
      <c r="AE3481" s="1" t="str">
        <f t="shared" si="244"/>
        <v>56808 2</v>
      </c>
      <c r="AF3481" s="5" t="str">
        <f>MID(AD3481,FIND("(",AD3481)+1,FIND(")",AD3481)-FIND("(",AD3481)-1)</f>
        <v>668</v>
      </c>
      <c r="AG3481" s="1" t="str">
        <f t="shared" si="243"/>
        <v>Y</v>
      </c>
    </row>
    <row r="3482" spans="1:33" x14ac:dyDescent="0.2">
      <c r="A3482" s="1" t="s">
        <v>680</v>
      </c>
      <c r="B3482" s="1" t="s">
        <v>7733</v>
      </c>
      <c r="C3482" s="1">
        <v>56846</v>
      </c>
      <c r="D3482" s="1" t="s">
        <v>280</v>
      </c>
      <c r="F3482" s="1">
        <v>2023</v>
      </c>
      <c r="G3482" s="1" t="s">
        <v>1515</v>
      </c>
      <c r="H3482" s="1">
        <v>610172</v>
      </c>
      <c r="I3482" s="1">
        <v>3</v>
      </c>
      <c r="K3482" s="1" t="s">
        <v>1562</v>
      </c>
      <c r="L3482" s="1" t="s">
        <v>1563</v>
      </c>
      <c r="M3482" s="1">
        <v>17</v>
      </c>
      <c r="N3482" s="1" t="s">
        <v>39</v>
      </c>
      <c r="O3482" s="1">
        <v>38.568600000000004</v>
      </c>
      <c r="P3482" s="1">
        <v>-76.891900000000007</v>
      </c>
      <c r="Q3482" s="1" t="s">
        <v>7734</v>
      </c>
      <c r="R3482" s="1" t="s">
        <v>41</v>
      </c>
      <c r="T3482" s="1" t="s">
        <v>71</v>
      </c>
      <c r="U3482" s="1" t="s">
        <v>44</v>
      </c>
      <c r="X3482" s="1" t="s">
        <v>64</v>
      </c>
      <c r="AA3482" s="3">
        <v>42704</v>
      </c>
      <c r="AB3482" s="1" t="s">
        <v>46</v>
      </c>
      <c r="AC3482" s="5">
        <v>2807</v>
      </c>
      <c r="AD3482" s="1" t="s">
        <v>7735</v>
      </c>
      <c r="AE3482" s="1" t="str">
        <f t="shared" si="244"/>
        <v>56846 GT1</v>
      </c>
      <c r="AF3482" s="14">
        <f>MID(AD3482,FIND("(",AD3482)+1,FIND(")",AD3482)-FIND("(",AD3482)-1)+315/2</f>
        <v>370.5</v>
      </c>
      <c r="AG3482" s="1" t="str">
        <f t="shared" si="243"/>
        <v>Y</v>
      </c>
    </row>
    <row r="3483" spans="1:33" x14ac:dyDescent="0.2">
      <c r="A3483" s="1" t="s">
        <v>680</v>
      </c>
      <c r="B3483" s="1" t="s">
        <v>7733</v>
      </c>
      <c r="C3483" s="1">
        <v>56846</v>
      </c>
      <c r="D3483" s="1" t="s">
        <v>1102</v>
      </c>
      <c r="F3483" s="1">
        <v>2023</v>
      </c>
      <c r="G3483" s="1" t="s">
        <v>1515</v>
      </c>
      <c r="H3483" s="1">
        <v>610172</v>
      </c>
      <c r="I3483" s="1">
        <v>3</v>
      </c>
      <c r="K3483" s="1" t="s">
        <v>1562</v>
      </c>
      <c r="L3483" s="1" t="s">
        <v>1563</v>
      </c>
      <c r="M3483" s="1">
        <v>17</v>
      </c>
      <c r="N3483" s="1" t="s">
        <v>39</v>
      </c>
      <c r="O3483" s="1">
        <v>38.568600000000004</v>
      </c>
      <c r="P3483" s="1">
        <v>-76.891900000000007</v>
      </c>
      <c r="Q3483" s="1" t="s">
        <v>7734</v>
      </c>
      <c r="R3483" s="1" t="s">
        <v>41</v>
      </c>
      <c r="T3483" s="1" t="s">
        <v>71</v>
      </c>
      <c r="U3483" s="1" t="s">
        <v>44</v>
      </c>
      <c r="X3483" s="1" t="s">
        <v>64</v>
      </c>
      <c r="AA3483" s="3">
        <v>42699</v>
      </c>
      <c r="AB3483" s="1" t="s">
        <v>46</v>
      </c>
      <c r="AC3483" s="5">
        <v>2807</v>
      </c>
      <c r="AD3483" s="1" t="s">
        <v>7736</v>
      </c>
      <c r="AE3483" s="1" t="str">
        <f t="shared" si="244"/>
        <v>56846 GT2</v>
      </c>
      <c r="AF3483" s="14">
        <f>AF3482</f>
        <v>370.5</v>
      </c>
      <c r="AG3483" s="1" t="str">
        <f t="shared" si="243"/>
        <v>Y</v>
      </c>
    </row>
    <row r="3484" spans="1:33" x14ac:dyDescent="0.2">
      <c r="A3484" s="1" t="s">
        <v>1843</v>
      </c>
      <c r="B3484" s="1" t="s">
        <v>7737</v>
      </c>
      <c r="C3484" s="1">
        <v>56908</v>
      </c>
      <c r="D3484" s="1" t="s">
        <v>372</v>
      </c>
      <c r="E3484" s="1" t="s">
        <v>1421</v>
      </c>
      <c r="F3484" s="1">
        <v>2023</v>
      </c>
      <c r="G3484" s="1" t="s">
        <v>247</v>
      </c>
      <c r="H3484" s="1">
        <v>605921</v>
      </c>
      <c r="I3484" s="1">
        <v>8</v>
      </c>
      <c r="K3484" s="1" t="s">
        <v>7738</v>
      </c>
      <c r="L3484" s="1" t="s">
        <v>7739</v>
      </c>
      <c r="M3484" s="1">
        <v>23</v>
      </c>
      <c r="N3484" s="1" t="s">
        <v>39</v>
      </c>
      <c r="O3484" s="1">
        <v>46.1066</v>
      </c>
      <c r="P3484" s="1">
        <v>-112.8755</v>
      </c>
      <c r="Q3484" s="1" t="s">
        <v>2753</v>
      </c>
      <c r="R3484" s="1" t="s">
        <v>41</v>
      </c>
      <c r="T3484" s="1" t="s">
        <v>93</v>
      </c>
      <c r="U3484" s="1" t="s">
        <v>44</v>
      </c>
      <c r="V3484" s="1" t="s">
        <v>94</v>
      </c>
      <c r="X3484" s="1" t="s">
        <v>176</v>
      </c>
      <c r="AA3484" s="3">
        <v>40421</v>
      </c>
      <c r="AB3484" s="1" t="s">
        <v>46</v>
      </c>
      <c r="AC3484" s="5">
        <v>296.39999999999998</v>
      </c>
      <c r="AD3484" s="1" t="s">
        <v>7740</v>
      </c>
      <c r="AE3484" s="1" t="str">
        <f t="shared" si="244"/>
        <v>56908 1A</v>
      </c>
      <c r="AF3484" s="5" t="str">
        <f t="shared" ref="AF3484:AF3491" si="246">MID(AD3484,FIND("(",AD3484)+1,FIND(")",AD3484)-FIND("(",AD3484)-1)</f>
        <v>67.7</v>
      </c>
      <c r="AG3484" s="1" t="str">
        <f t="shared" si="243"/>
        <v>Y</v>
      </c>
    </row>
    <row r="3485" spans="1:33" x14ac:dyDescent="0.2">
      <c r="A3485" s="1" t="s">
        <v>1843</v>
      </c>
      <c r="B3485" s="1" t="s">
        <v>7737</v>
      </c>
      <c r="C3485" s="1">
        <v>56908</v>
      </c>
      <c r="D3485" s="1" t="s">
        <v>1199</v>
      </c>
      <c r="E3485" s="1" t="s">
        <v>1421</v>
      </c>
      <c r="F3485" s="1">
        <v>2023</v>
      </c>
      <c r="G3485" s="1" t="s">
        <v>247</v>
      </c>
      <c r="H3485" s="1">
        <v>605921</v>
      </c>
      <c r="I3485" s="1">
        <v>8</v>
      </c>
      <c r="K3485" s="1" t="s">
        <v>7738</v>
      </c>
      <c r="L3485" s="1" t="s">
        <v>7739</v>
      </c>
      <c r="M3485" s="1">
        <v>23</v>
      </c>
      <c r="N3485" s="1" t="s">
        <v>39</v>
      </c>
      <c r="O3485" s="1">
        <v>46.1066</v>
      </c>
      <c r="P3485" s="1">
        <v>-112.8755</v>
      </c>
      <c r="Q3485" s="1" t="s">
        <v>2753</v>
      </c>
      <c r="R3485" s="1" t="s">
        <v>41</v>
      </c>
      <c r="T3485" s="1" t="s">
        <v>93</v>
      </c>
      <c r="U3485" s="1" t="s">
        <v>44</v>
      </c>
      <c r="V3485" s="1" t="s">
        <v>94</v>
      </c>
      <c r="X3485" s="1" t="s">
        <v>176</v>
      </c>
      <c r="AA3485" s="3">
        <v>40421</v>
      </c>
      <c r="AB3485" s="1" t="s">
        <v>46</v>
      </c>
      <c r="AC3485" s="5">
        <v>296.39999999999998</v>
      </c>
      <c r="AD3485" s="1" t="s">
        <v>7740</v>
      </c>
      <c r="AE3485" s="1" t="str">
        <f t="shared" si="244"/>
        <v>56908 1B</v>
      </c>
      <c r="AF3485" s="5" t="str">
        <f t="shared" si="246"/>
        <v>67.7</v>
      </c>
      <c r="AG3485" s="1" t="str">
        <f t="shared" si="243"/>
        <v>Y</v>
      </c>
    </row>
    <row r="3486" spans="1:33" x14ac:dyDescent="0.2">
      <c r="A3486" s="1" t="s">
        <v>1843</v>
      </c>
      <c r="B3486" s="1" t="s">
        <v>7737</v>
      </c>
      <c r="C3486" s="1">
        <v>56908</v>
      </c>
      <c r="D3486" s="1" t="s">
        <v>377</v>
      </c>
      <c r="E3486" s="1" t="s">
        <v>3206</v>
      </c>
      <c r="F3486" s="1">
        <v>2023</v>
      </c>
      <c r="G3486" s="1" t="s">
        <v>247</v>
      </c>
      <c r="H3486" s="1">
        <v>605921</v>
      </c>
      <c r="I3486" s="1">
        <v>8</v>
      </c>
      <c r="K3486" s="1" t="s">
        <v>7738</v>
      </c>
      <c r="L3486" s="1" t="s">
        <v>7739</v>
      </c>
      <c r="M3486" s="1">
        <v>23</v>
      </c>
      <c r="N3486" s="1" t="s">
        <v>39</v>
      </c>
      <c r="O3486" s="1">
        <v>46.1066</v>
      </c>
      <c r="P3486" s="1">
        <v>-112.8755</v>
      </c>
      <c r="Q3486" s="1" t="s">
        <v>2753</v>
      </c>
      <c r="R3486" s="1" t="s">
        <v>41</v>
      </c>
      <c r="T3486" s="1" t="s">
        <v>93</v>
      </c>
      <c r="U3486" s="1" t="s">
        <v>44</v>
      </c>
      <c r="V3486" s="1" t="s">
        <v>94</v>
      </c>
      <c r="X3486" s="1" t="s">
        <v>176</v>
      </c>
      <c r="AA3486" s="3">
        <v>40428</v>
      </c>
      <c r="AB3486" s="1" t="s">
        <v>46</v>
      </c>
      <c r="AC3486" s="5">
        <v>296.39999999999998</v>
      </c>
      <c r="AD3486" s="1" t="s">
        <v>7741</v>
      </c>
      <c r="AE3486" s="1" t="str">
        <f t="shared" si="244"/>
        <v>56908 2A</v>
      </c>
      <c r="AF3486" s="5" t="str">
        <f t="shared" si="246"/>
        <v>67.7</v>
      </c>
      <c r="AG3486" s="1" t="str">
        <f t="shared" si="243"/>
        <v>Y</v>
      </c>
    </row>
    <row r="3487" spans="1:33" x14ac:dyDescent="0.2">
      <c r="A3487" s="1" t="s">
        <v>1843</v>
      </c>
      <c r="B3487" s="1" t="s">
        <v>7737</v>
      </c>
      <c r="C3487" s="1">
        <v>56908</v>
      </c>
      <c r="D3487" s="1" t="s">
        <v>1201</v>
      </c>
      <c r="E3487" s="1" t="s">
        <v>3206</v>
      </c>
      <c r="F3487" s="1">
        <v>2023</v>
      </c>
      <c r="G3487" s="1" t="s">
        <v>247</v>
      </c>
      <c r="H3487" s="1">
        <v>605921</v>
      </c>
      <c r="I3487" s="1">
        <v>8</v>
      </c>
      <c r="K3487" s="1" t="s">
        <v>7738</v>
      </c>
      <c r="L3487" s="1" t="s">
        <v>7739</v>
      </c>
      <c r="M3487" s="1">
        <v>23</v>
      </c>
      <c r="N3487" s="1" t="s">
        <v>39</v>
      </c>
      <c r="O3487" s="1">
        <v>46.1066</v>
      </c>
      <c r="P3487" s="1">
        <v>-112.8755</v>
      </c>
      <c r="Q3487" s="1" t="s">
        <v>2753</v>
      </c>
      <c r="R3487" s="1" t="s">
        <v>41</v>
      </c>
      <c r="T3487" s="1" t="s">
        <v>93</v>
      </c>
      <c r="U3487" s="1" t="s">
        <v>44</v>
      </c>
      <c r="V3487" s="1" t="s">
        <v>94</v>
      </c>
      <c r="X3487" s="1" t="s">
        <v>176</v>
      </c>
      <c r="AA3487" s="3">
        <v>40428</v>
      </c>
      <c r="AB3487" s="1" t="s">
        <v>46</v>
      </c>
      <c r="AC3487" s="5">
        <v>296.39999999999998</v>
      </c>
      <c r="AD3487" s="1" t="s">
        <v>7741</v>
      </c>
      <c r="AE3487" s="1" t="str">
        <f t="shared" si="244"/>
        <v>56908 2B</v>
      </c>
      <c r="AF3487" s="5" t="str">
        <f t="shared" si="246"/>
        <v>67.7</v>
      </c>
      <c r="AG3487" s="1" t="str">
        <f t="shared" si="243"/>
        <v>Y</v>
      </c>
    </row>
    <row r="3488" spans="1:33" x14ac:dyDescent="0.2">
      <c r="A3488" s="1" t="s">
        <v>1843</v>
      </c>
      <c r="B3488" s="1" t="s">
        <v>7737</v>
      </c>
      <c r="C3488" s="1">
        <v>56908</v>
      </c>
      <c r="D3488" s="1" t="s">
        <v>379</v>
      </c>
      <c r="E3488" s="1" t="s">
        <v>7742</v>
      </c>
      <c r="F3488" s="1">
        <v>2023</v>
      </c>
      <c r="G3488" s="1" t="s">
        <v>247</v>
      </c>
      <c r="H3488" s="1">
        <v>605921</v>
      </c>
      <c r="I3488" s="1">
        <v>8</v>
      </c>
      <c r="K3488" s="1" t="s">
        <v>7738</v>
      </c>
      <c r="L3488" s="1" t="s">
        <v>7739</v>
      </c>
      <c r="M3488" s="1">
        <v>23</v>
      </c>
      <c r="N3488" s="1" t="s">
        <v>39</v>
      </c>
      <c r="O3488" s="1">
        <v>46.1066</v>
      </c>
      <c r="P3488" s="1">
        <v>-112.8755</v>
      </c>
      <c r="Q3488" s="1" t="s">
        <v>2753</v>
      </c>
      <c r="R3488" s="1" t="s">
        <v>41</v>
      </c>
      <c r="T3488" s="1" t="s">
        <v>93</v>
      </c>
      <c r="U3488" s="1" t="s">
        <v>44</v>
      </c>
      <c r="V3488" s="1" t="s">
        <v>94</v>
      </c>
      <c r="X3488" s="1" t="s">
        <v>176</v>
      </c>
      <c r="AA3488" s="3">
        <v>40455</v>
      </c>
      <c r="AB3488" s="1" t="s">
        <v>46</v>
      </c>
      <c r="AC3488" s="5">
        <v>296.39999999999998</v>
      </c>
      <c r="AD3488" s="1" t="s">
        <v>7743</v>
      </c>
      <c r="AE3488" s="1" t="str">
        <f t="shared" si="244"/>
        <v>56908 3A</v>
      </c>
      <c r="AF3488" s="5" t="str">
        <f t="shared" si="246"/>
        <v>67.7</v>
      </c>
      <c r="AG3488" s="1" t="str">
        <f t="shared" si="243"/>
        <v>Y</v>
      </c>
    </row>
    <row r="3489" spans="1:33" x14ac:dyDescent="0.2">
      <c r="A3489" s="1" t="s">
        <v>1843</v>
      </c>
      <c r="B3489" s="1" t="s">
        <v>7737</v>
      </c>
      <c r="C3489" s="1">
        <v>56908</v>
      </c>
      <c r="D3489" s="1" t="s">
        <v>965</v>
      </c>
      <c r="E3489" s="1" t="s">
        <v>7742</v>
      </c>
      <c r="F3489" s="1">
        <v>2023</v>
      </c>
      <c r="G3489" s="1" t="s">
        <v>247</v>
      </c>
      <c r="H3489" s="1">
        <v>605921</v>
      </c>
      <c r="I3489" s="1">
        <v>8</v>
      </c>
      <c r="K3489" s="1" t="s">
        <v>7738</v>
      </c>
      <c r="L3489" s="1" t="s">
        <v>7739</v>
      </c>
      <c r="M3489" s="1">
        <v>23</v>
      </c>
      <c r="N3489" s="1" t="s">
        <v>39</v>
      </c>
      <c r="O3489" s="1">
        <v>46.1066</v>
      </c>
      <c r="P3489" s="1">
        <v>-112.8755</v>
      </c>
      <c r="Q3489" s="1" t="s">
        <v>2753</v>
      </c>
      <c r="R3489" s="1" t="s">
        <v>41</v>
      </c>
      <c r="T3489" s="1" t="s">
        <v>93</v>
      </c>
      <c r="U3489" s="1" t="s">
        <v>44</v>
      </c>
      <c r="V3489" s="1" t="s">
        <v>94</v>
      </c>
      <c r="X3489" s="1" t="s">
        <v>176</v>
      </c>
      <c r="AA3489" s="3">
        <v>40455</v>
      </c>
      <c r="AB3489" s="1" t="s">
        <v>46</v>
      </c>
      <c r="AC3489" s="5">
        <v>296.39999999999998</v>
      </c>
      <c r="AD3489" s="1" t="s">
        <v>7743</v>
      </c>
      <c r="AE3489" s="1" t="str">
        <f t="shared" si="244"/>
        <v>56908 3B</v>
      </c>
      <c r="AF3489" s="5" t="str">
        <f t="shared" si="246"/>
        <v>67.7</v>
      </c>
      <c r="AG3489" s="1" t="str">
        <f t="shared" si="243"/>
        <v>Y</v>
      </c>
    </row>
    <row r="3490" spans="1:33" x14ac:dyDescent="0.2">
      <c r="A3490" s="1" t="s">
        <v>370</v>
      </c>
      <c r="B3490" s="1" t="s">
        <v>7744</v>
      </c>
      <c r="C3490" s="1">
        <v>56914</v>
      </c>
      <c r="D3490" s="1" t="s">
        <v>1129</v>
      </c>
      <c r="F3490" s="1">
        <v>2023</v>
      </c>
      <c r="G3490" s="1" t="s">
        <v>247</v>
      </c>
      <c r="H3490" s="1" t="s">
        <v>7208</v>
      </c>
      <c r="I3490" s="1">
        <v>9</v>
      </c>
      <c r="K3490" s="1" t="s">
        <v>395</v>
      </c>
      <c r="L3490" s="1" t="s">
        <v>396</v>
      </c>
      <c r="M3490" s="1">
        <v>73</v>
      </c>
      <c r="N3490" s="1" t="s">
        <v>39</v>
      </c>
      <c r="O3490" s="1">
        <v>33.359000000000002</v>
      </c>
      <c r="P3490" s="1">
        <v>-117.111</v>
      </c>
      <c r="Q3490" s="1" t="s">
        <v>7745</v>
      </c>
      <c r="R3490" s="1" t="s">
        <v>41</v>
      </c>
      <c r="T3490" s="1" t="s">
        <v>93</v>
      </c>
      <c r="U3490" s="1" t="s">
        <v>44</v>
      </c>
      <c r="X3490" s="1" t="s">
        <v>1608</v>
      </c>
      <c r="AA3490" s="3">
        <v>40208</v>
      </c>
      <c r="AB3490" s="1" t="s">
        <v>46</v>
      </c>
      <c r="AC3490" s="5">
        <v>530</v>
      </c>
      <c r="AD3490" s="1" t="s">
        <v>7746</v>
      </c>
      <c r="AE3490" s="1" t="str">
        <f t="shared" si="244"/>
        <v>56914 CTG1</v>
      </c>
      <c r="AF3490" s="5" t="str">
        <f t="shared" si="246"/>
        <v>48</v>
      </c>
      <c r="AG3490" s="1" t="str">
        <f t="shared" si="243"/>
        <v>Y</v>
      </c>
    </row>
    <row r="3491" spans="1:33" x14ac:dyDescent="0.2">
      <c r="A3491" s="1" t="s">
        <v>370</v>
      </c>
      <c r="B3491" s="1" t="s">
        <v>7744</v>
      </c>
      <c r="C3491" s="1">
        <v>56914</v>
      </c>
      <c r="D3491" s="1" t="s">
        <v>1135</v>
      </c>
      <c r="F3491" s="1">
        <v>2023</v>
      </c>
      <c r="G3491" s="1" t="s">
        <v>247</v>
      </c>
      <c r="H3491" s="1" t="s">
        <v>7208</v>
      </c>
      <c r="I3491" s="1">
        <v>9</v>
      </c>
      <c r="K3491" s="1" t="s">
        <v>395</v>
      </c>
      <c r="L3491" s="1" t="s">
        <v>396</v>
      </c>
      <c r="M3491" s="1">
        <v>73</v>
      </c>
      <c r="N3491" s="1" t="s">
        <v>39</v>
      </c>
      <c r="O3491" s="1">
        <v>33.359000000000002</v>
      </c>
      <c r="P3491" s="1">
        <v>-117.111</v>
      </c>
      <c r="Q3491" s="1" t="s">
        <v>7745</v>
      </c>
      <c r="R3491" s="1" t="s">
        <v>41</v>
      </c>
      <c r="T3491" s="1" t="s">
        <v>93</v>
      </c>
      <c r="U3491" s="1" t="s">
        <v>44</v>
      </c>
      <c r="X3491" s="1" t="s">
        <v>1608</v>
      </c>
      <c r="AA3491" s="3">
        <v>40214</v>
      </c>
      <c r="AB3491" s="1" t="s">
        <v>46</v>
      </c>
      <c r="AC3491" s="5">
        <v>530</v>
      </c>
      <c r="AD3491" s="1" t="s">
        <v>7747</v>
      </c>
      <c r="AE3491" s="1" t="str">
        <f t="shared" si="244"/>
        <v>56914 CTG2</v>
      </c>
      <c r="AF3491" s="5" t="str">
        <f t="shared" si="246"/>
        <v>48</v>
      </c>
      <c r="AG3491" s="1" t="str">
        <f t="shared" si="243"/>
        <v>Y</v>
      </c>
    </row>
    <row r="3492" spans="1:33" x14ac:dyDescent="0.2">
      <c r="A3492" s="1" t="s">
        <v>2089</v>
      </c>
      <c r="B3492" s="1" t="s">
        <v>7748</v>
      </c>
      <c r="C3492" s="1">
        <v>56940</v>
      </c>
      <c r="D3492" s="1">
        <v>1</v>
      </c>
      <c r="F3492" s="1">
        <v>2023</v>
      </c>
      <c r="G3492" s="1" t="s">
        <v>1515</v>
      </c>
      <c r="H3492" s="1">
        <v>602660</v>
      </c>
      <c r="I3492" s="1">
        <v>2</v>
      </c>
      <c r="K3492" s="1" t="s">
        <v>418</v>
      </c>
      <c r="L3492" s="1" t="s">
        <v>2091</v>
      </c>
      <c r="M3492" s="1">
        <v>71</v>
      </c>
      <c r="N3492" s="1" t="s">
        <v>39</v>
      </c>
      <c r="O3492" s="1">
        <v>41.412999999999997</v>
      </c>
      <c r="P3492" s="1">
        <v>-74.435000000000002</v>
      </c>
      <c r="Q3492" s="1" t="s">
        <v>7749</v>
      </c>
      <c r="R3492" s="1" t="s">
        <v>41</v>
      </c>
      <c r="T3492" s="1" t="s">
        <v>71</v>
      </c>
      <c r="U3492" s="1" t="s">
        <v>44</v>
      </c>
      <c r="V3492" s="1" t="s">
        <v>94</v>
      </c>
      <c r="X3492" s="1" t="s">
        <v>223</v>
      </c>
      <c r="AA3492" s="3">
        <v>43125</v>
      </c>
      <c r="AB3492" s="1" t="s">
        <v>46</v>
      </c>
      <c r="AC3492" s="5">
        <v>2734</v>
      </c>
      <c r="AD3492" s="1" t="s">
        <v>7750</v>
      </c>
      <c r="AE3492" s="1" t="str">
        <f t="shared" si="244"/>
        <v>56940 1</v>
      </c>
      <c r="AF3492" s="14">
        <f>AF3493</f>
        <v>384</v>
      </c>
      <c r="AG3492" s="1" t="str">
        <f t="shared" si="243"/>
        <v>Y</v>
      </c>
    </row>
    <row r="3493" spans="1:33" x14ac:dyDescent="0.2">
      <c r="A3493" s="1" t="s">
        <v>2089</v>
      </c>
      <c r="B3493" s="1" t="s">
        <v>7748</v>
      </c>
      <c r="C3493" s="1">
        <v>56940</v>
      </c>
      <c r="D3493" s="1">
        <v>2</v>
      </c>
      <c r="F3493" s="1">
        <v>2023</v>
      </c>
      <c r="G3493" s="1" t="s">
        <v>1515</v>
      </c>
      <c r="H3493" s="1">
        <v>602660</v>
      </c>
      <c r="I3493" s="1">
        <v>2</v>
      </c>
      <c r="K3493" s="1" t="s">
        <v>418</v>
      </c>
      <c r="L3493" s="1" t="s">
        <v>2091</v>
      </c>
      <c r="M3493" s="1">
        <v>71</v>
      </c>
      <c r="N3493" s="1" t="s">
        <v>39</v>
      </c>
      <c r="O3493" s="1">
        <v>41.412999999999997</v>
      </c>
      <c r="P3493" s="1">
        <v>-74.435000000000002</v>
      </c>
      <c r="Q3493" s="1" t="s">
        <v>7749</v>
      </c>
      <c r="R3493" s="1" t="s">
        <v>41</v>
      </c>
      <c r="T3493" s="1" t="s">
        <v>71</v>
      </c>
      <c r="U3493" s="1" t="s">
        <v>44</v>
      </c>
      <c r="V3493" s="1" t="s">
        <v>94</v>
      </c>
      <c r="X3493" s="1" t="s">
        <v>223</v>
      </c>
      <c r="AA3493" s="3">
        <v>43124</v>
      </c>
      <c r="AB3493" s="1" t="s">
        <v>46</v>
      </c>
      <c r="AC3493" s="5">
        <v>2734</v>
      </c>
      <c r="AD3493" s="1" t="s">
        <v>7751</v>
      </c>
      <c r="AE3493" s="1" t="str">
        <f t="shared" si="244"/>
        <v>56940 2</v>
      </c>
      <c r="AF3493" s="14">
        <f>MID(AD3493,FIND("(",AD3493)+1,FIND(")",AD3493)-FIND("(",AD3493)-1)+300/2</f>
        <v>384</v>
      </c>
      <c r="AG3493" s="1" t="str">
        <f t="shared" si="243"/>
        <v>Y</v>
      </c>
    </row>
    <row r="3494" spans="1:33" x14ac:dyDescent="0.2">
      <c r="A3494" s="1" t="s">
        <v>234</v>
      </c>
      <c r="B3494" s="1" t="s">
        <v>7752</v>
      </c>
      <c r="C3494" s="1">
        <v>56948</v>
      </c>
      <c r="D3494" s="1" t="s">
        <v>993</v>
      </c>
      <c r="F3494" s="1">
        <v>2023</v>
      </c>
      <c r="G3494" s="1" t="s">
        <v>247</v>
      </c>
      <c r="H3494" s="1">
        <v>608572</v>
      </c>
      <c r="I3494" s="1">
        <v>9</v>
      </c>
      <c r="K3494" s="1" t="s">
        <v>268</v>
      </c>
      <c r="L3494" s="1" t="s">
        <v>269</v>
      </c>
      <c r="M3494" s="1">
        <v>21</v>
      </c>
      <c r="N3494" s="1" t="s">
        <v>39</v>
      </c>
      <c r="O3494" s="1">
        <v>32.917499999999997</v>
      </c>
      <c r="P3494" s="1">
        <v>-111.50409999999999</v>
      </c>
      <c r="Q3494" s="1" t="s">
        <v>7753</v>
      </c>
      <c r="R3494" s="1" t="s">
        <v>41</v>
      </c>
      <c r="T3494" s="1" t="s">
        <v>93</v>
      </c>
      <c r="U3494" s="1" t="s">
        <v>44</v>
      </c>
      <c r="X3494" s="1" t="s">
        <v>176</v>
      </c>
      <c r="AA3494" s="3">
        <v>40561</v>
      </c>
      <c r="AB3494" s="1" t="s">
        <v>46</v>
      </c>
      <c r="AC3494" s="5">
        <v>491</v>
      </c>
      <c r="AD3494" s="1" t="s">
        <v>7754</v>
      </c>
      <c r="AE3494" s="1" t="str">
        <f t="shared" si="244"/>
        <v>56948 CT01</v>
      </c>
      <c r="AF3494" s="5" t="str">
        <f t="shared" ref="AF3494:AF3505" si="247">MID(AD3494,FIND("(",AD3494)+1,FIND(")",AD3494)-FIND("(",AD3494)-1)</f>
        <v>60.5</v>
      </c>
      <c r="AG3494" s="1" t="str">
        <f t="shared" si="243"/>
        <v>Y</v>
      </c>
    </row>
    <row r="3495" spans="1:33" x14ac:dyDescent="0.2">
      <c r="A3495" s="1" t="s">
        <v>234</v>
      </c>
      <c r="B3495" s="1" t="s">
        <v>7752</v>
      </c>
      <c r="C3495" s="1">
        <v>56948</v>
      </c>
      <c r="D3495" s="1" t="s">
        <v>998</v>
      </c>
      <c r="F3495" s="1">
        <v>2023</v>
      </c>
      <c r="G3495" s="1" t="s">
        <v>247</v>
      </c>
      <c r="H3495" s="1">
        <v>608572</v>
      </c>
      <c r="I3495" s="1">
        <v>9</v>
      </c>
      <c r="K3495" s="1" t="s">
        <v>268</v>
      </c>
      <c r="L3495" s="1" t="s">
        <v>269</v>
      </c>
      <c r="M3495" s="1">
        <v>21</v>
      </c>
      <c r="N3495" s="1" t="s">
        <v>39</v>
      </c>
      <c r="O3495" s="1">
        <v>32.917499999999997</v>
      </c>
      <c r="P3495" s="1">
        <v>-111.50409999999999</v>
      </c>
      <c r="Q3495" s="1" t="s">
        <v>7753</v>
      </c>
      <c r="R3495" s="1" t="s">
        <v>41</v>
      </c>
      <c r="T3495" s="1" t="s">
        <v>93</v>
      </c>
      <c r="U3495" s="1" t="s">
        <v>44</v>
      </c>
      <c r="X3495" s="1" t="s">
        <v>176</v>
      </c>
      <c r="AA3495" s="3">
        <v>40554</v>
      </c>
      <c r="AB3495" s="1" t="s">
        <v>46</v>
      </c>
      <c r="AC3495" s="5">
        <v>491</v>
      </c>
      <c r="AD3495" s="1" t="s">
        <v>7755</v>
      </c>
      <c r="AE3495" s="1" t="str">
        <f t="shared" si="244"/>
        <v>56948 CT02</v>
      </c>
      <c r="AF3495" s="5" t="str">
        <f t="shared" si="247"/>
        <v>60.5</v>
      </c>
      <c r="AG3495" s="1" t="str">
        <f t="shared" si="243"/>
        <v>Y</v>
      </c>
    </row>
    <row r="3496" spans="1:33" x14ac:dyDescent="0.2">
      <c r="A3496" s="1" t="s">
        <v>234</v>
      </c>
      <c r="B3496" s="1" t="s">
        <v>7752</v>
      </c>
      <c r="C3496" s="1">
        <v>56948</v>
      </c>
      <c r="D3496" s="1" t="s">
        <v>1043</v>
      </c>
      <c r="F3496" s="1">
        <v>2023</v>
      </c>
      <c r="G3496" s="1" t="s">
        <v>247</v>
      </c>
      <c r="H3496" s="1">
        <v>608572</v>
      </c>
      <c r="I3496" s="1">
        <v>9</v>
      </c>
      <c r="K3496" s="1" t="s">
        <v>268</v>
      </c>
      <c r="L3496" s="1" t="s">
        <v>269</v>
      </c>
      <c r="M3496" s="1">
        <v>21</v>
      </c>
      <c r="N3496" s="1" t="s">
        <v>39</v>
      </c>
      <c r="O3496" s="1">
        <v>32.917499999999997</v>
      </c>
      <c r="P3496" s="1">
        <v>-111.50409999999999</v>
      </c>
      <c r="Q3496" s="1" t="s">
        <v>7753</v>
      </c>
      <c r="R3496" s="1" t="s">
        <v>41</v>
      </c>
      <c r="T3496" s="1" t="s">
        <v>93</v>
      </c>
      <c r="U3496" s="1" t="s">
        <v>44</v>
      </c>
      <c r="X3496" s="1" t="s">
        <v>176</v>
      </c>
      <c r="AA3496" s="3">
        <v>40529</v>
      </c>
      <c r="AB3496" s="1" t="s">
        <v>46</v>
      </c>
      <c r="AC3496" s="5">
        <v>491</v>
      </c>
      <c r="AD3496" s="1" t="s">
        <v>7756</v>
      </c>
      <c r="AE3496" s="1" t="str">
        <f t="shared" si="244"/>
        <v>56948 CT03</v>
      </c>
      <c r="AF3496" s="5" t="str">
        <f t="shared" si="247"/>
        <v>60.5</v>
      </c>
      <c r="AG3496" s="1" t="str">
        <f t="shared" si="243"/>
        <v>Y</v>
      </c>
    </row>
    <row r="3497" spans="1:33" x14ac:dyDescent="0.2">
      <c r="A3497" s="1" t="s">
        <v>234</v>
      </c>
      <c r="B3497" s="1" t="s">
        <v>7752</v>
      </c>
      <c r="C3497" s="1">
        <v>56948</v>
      </c>
      <c r="D3497" s="1" t="s">
        <v>1048</v>
      </c>
      <c r="F3497" s="1">
        <v>2023</v>
      </c>
      <c r="G3497" s="1" t="s">
        <v>247</v>
      </c>
      <c r="H3497" s="1">
        <v>608572</v>
      </c>
      <c r="I3497" s="1">
        <v>9</v>
      </c>
      <c r="K3497" s="1" t="s">
        <v>268</v>
      </c>
      <c r="L3497" s="1" t="s">
        <v>269</v>
      </c>
      <c r="M3497" s="1">
        <v>21</v>
      </c>
      <c r="N3497" s="1" t="s">
        <v>39</v>
      </c>
      <c r="O3497" s="1">
        <v>32.917499999999997</v>
      </c>
      <c r="P3497" s="1">
        <v>-111.50409999999999</v>
      </c>
      <c r="Q3497" s="1" t="s">
        <v>7753</v>
      </c>
      <c r="R3497" s="1" t="s">
        <v>41</v>
      </c>
      <c r="T3497" s="1" t="s">
        <v>93</v>
      </c>
      <c r="U3497" s="1" t="s">
        <v>44</v>
      </c>
      <c r="X3497" s="1" t="s">
        <v>176</v>
      </c>
      <c r="AA3497" s="3">
        <v>40528</v>
      </c>
      <c r="AB3497" s="1" t="s">
        <v>46</v>
      </c>
      <c r="AC3497" s="5">
        <v>491</v>
      </c>
      <c r="AD3497" s="1" t="s">
        <v>7757</v>
      </c>
      <c r="AE3497" s="1" t="str">
        <f t="shared" si="244"/>
        <v>56948 CT04</v>
      </c>
      <c r="AF3497" s="5" t="str">
        <f t="shared" si="247"/>
        <v>60.5</v>
      </c>
      <c r="AG3497" s="1" t="str">
        <f t="shared" si="243"/>
        <v>Y</v>
      </c>
    </row>
    <row r="3498" spans="1:33" x14ac:dyDescent="0.2">
      <c r="A3498" s="1" t="s">
        <v>234</v>
      </c>
      <c r="B3498" s="1" t="s">
        <v>7752</v>
      </c>
      <c r="C3498" s="1">
        <v>56948</v>
      </c>
      <c r="D3498" s="1" t="s">
        <v>1050</v>
      </c>
      <c r="F3498" s="1">
        <v>2023</v>
      </c>
      <c r="G3498" s="1" t="s">
        <v>247</v>
      </c>
      <c r="H3498" s="1">
        <v>608572</v>
      </c>
      <c r="I3498" s="1">
        <v>9</v>
      </c>
      <c r="K3498" s="1" t="s">
        <v>268</v>
      </c>
      <c r="L3498" s="1" t="s">
        <v>269</v>
      </c>
      <c r="M3498" s="1">
        <v>21</v>
      </c>
      <c r="N3498" s="1" t="s">
        <v>39</v>
      </c>
      <c r="O3498" s="1">
        <v>32.917499999999997</v>
      </c>
      <c r="P3498" s="1">
        <v>-111.50409999999999</v>
      </c>
      <c r="Q3498" s="1" t="s">
        <v>7753</v>
      </c>
      <c r="R3498" s="1" t="s">
        <v>41</v>
      </c>
      <c r="T3498" s="1" t="s">
        <v>93</v>
      </c>
      <c r="U3498" s="1" t="s">
        <v>44</v>
      </c>
      <c r="X3498" s="1" t="s">
        <v>176</v>
      </c>
      <c r="AA3498" s="3">
        <v>40456</v>
      </c>
      <c r="AB3498" s="1" t="s">
        <v>46</v>
      </c>
      <c r="AC3498" s="5">
        <v>491</v>
      </c>
      <c r="AD3498" s="1" t="s">
        <v>7758</v>
      </c>
      <c r="AE3498" s="1" t="str">
        <f t="shared" si="244"/>
        <v>56948 CT05</v>
      </c>
      <c r="AF3498" s="5" t="str">
        <f t="shared" si="247"/>
        <v>60.5</v>
      </c>
      <c r="AG3498" s="1" t="str">
        <f t="shared" si="243"/>
        <v>Y</v>
      </c>
    </row>
    <row r="3499" spans="1:33" x14ac:dyDescent="0.2">
      <c r="A3499" s="1" t="s">
        <v>234</v>
      </c>
      <c r="B3499" s="1" t="s">
        <v>7752</v>
      </c>
      <c r="C3499" s="1">
        <v>56948</v>
      </c>
      <c r="D3499" s="1" t="s">
        <v>4517</v>
      </c>
      <c r="F3499" s="1">
        <v>2023</v>
      </c>
      <c r="G3499" s="1" t="s">
        <v>247</v>
      </c>
      <c r="H3499" s="1">
        <v>608572</v>
      </c>
      <c r="I3499" s="1">
        <v>9</v>
      </c>
      <c r="K3499" s="1" t="s">
        <v>268</v>
      </c>
      <c r="L3499" s="1" t="s">
        <v>269</v>
      </c>
      <c r="M3499" s="1">
        <v>21</v>
      </c>
      <c r="N3499" s="1" t="s">
        <v>39</v>
      </c>
      <c r="O3499" s="1">
        <v>32.917499999999997</v>
      </c>
      <c r="P3499" s="1">
        <v>-111.50409999999999</v>
      </c>
      <c r="Q3499" s="1" t="s">
        <v>7753</v>
      </c>
      <c r="R3499" s="1" t="s">
        <v>41</v>
      </c>
      <c r="T3499" s="1" t="s">
        <v>93</v>
      </c>
      <c r="U3499" s="1" t="s">
        <v>44</v>
      </c>
      <c r="X3499" s="1" t="s">
        <v>176</v>
      </c>
      <c r="AA3499" s="3">
        <v>40455</v>
      </c>
      <c r="AB3499" s="1" t="s">
        <v>46</v>
      </c>
      <c r="AC3499" s="5">
        <v>491</v>
      </c>
      <c r="AD3499" s="1" t="s">
        <v>7759</v>
      </c>
      <c r="AE3499" s="1" t="str">
        <f t="shared" si="244"/>
        <v>56948 CT06</v>
      </c>
      <c r="AF3499" s="5" t="str">
        <f t="shared" si="247"/>
        <v>60.5</v>
      </c>
      <c r="AG3499" s="1" t="str">
        <f t="shared" si="243"/>
        <v>Y</v>
      </c>
    </row>
    <row r="3500" spans="1:33" x14ac:dyDescent="0.2">
      <c r="A3500" s="1" t="s">
        <v>234</v>
      </c>
      <c r="B3500" s="1" t="s">
        <v>7752</v>
      </c>
      <c r="C3500" s="1">
        <v>56948</v>
      </c>
      <c r="D3500" s="1" t="s">
        <v>5961</v>
      </c>
      <c r="F3500" s="1">
        <v>2023</v>
      </c>
      <c r="G3500" s="1" t="s">
        <v>247</v>
      </c>
      <c r="H3500" s="1">
        <v>608572</v>
      </c>
      <c r="I3500" s="1">
        <v>9</v>
      </c>
      <c r="K3500" s="1" t="s">
        <v>268</v>
      </c>
      <c r="L3500" s="1" t="s">
        <v>269</v>
      </c>
      <c r="M3500" s="1">
        <v>21</v>
      </c>
      <c r="N3500" s="1" t="s">
        <v>39</v>
      </c>
      <c r="O3500" s="1">
        <v>32.917499999999997</v>
      </c>
      <c r="P3500" s="1">
        <v>-111.50409999999999</v>
      </c>
      <c r="Q3500" s="1" t="s">
        <v>7753</v>
      </c>
      <c r="R3500" s="1" t="s">
        <v>41</v>
      </c>
      <c r="T3500" s="1" t="s">
        <v>93</v>
      </c>
      <c r="U3500" s="1" t="s">
        <v>44</v>
      </c>
      <c r="X3500" s="1" t="s">
        <v>176</v>
      </c>
      <c r="AA3500" s="3">
        <v>40453</v>
      </c>
      <c r="AB3500" s="1" t="s">
        <v>46</v>
      </c>
      <c r="AC3500" s="5">
        <v>491</v>
      </c>
      <c r="AD3500" s="1" t="s">
        <v>7760</v>
      </c>
      <c r="AE3500" s="1" t="str">
        <f t="shared" si="244"/>
        <v>56948 CT07</v>
      </c>
      <c r="AF3500" s="5" t="str">
        <f t="shared" si="247"/>
        <v>60.5</v>
      </c>
      <c r="AG3500" s="1" t="str">
        <f t="shared" si="243"/>
        <v>Y</v>
      </c>
    </row>
    <row r="3501" spans="1:33" x14ac:dyDescent="0.2">
      <c r="A3501" s="1" t="s">
        <v>234</v>
      </c>
      <c r="B3501" s="1" t="s">
        <v>7752</v>
      </c>
      <c r="C3501" s="1">
        <v>56948</v>
      </c>
      <c r="D3501" s="1" t="s">
        <v>5962</v>
      </c>
      <c r="F3501" s="1">
        <v>2023</v>
      </c>
      <c r="G3501" s="1" t="s">
        <v>247</v>
      </c>
      <c r="H3501" s="1">
        <v>608572</v>
      </c>
      <c r="I3501" s="1">
        <v>9</v>
      </c>
      <c r="K3501" s="1" t="s">
        <v>268</v>
      </c>
      <c r="L3501" s="1" t="s">
        <v>269</v>
      </c>
      <c r="M3501" s="1">
        <v>21</v>
      </c>
      <c r="N3501" s="1" t="s">
        <v>39</v>
      </c>
      <c r="O3501" s="1">
        <v>32.917499999999997</v>
      </c>
      <c r="P3501" s="1">
        <v>-111.50409999999999</v>
      </c>
      <c r="Q3501" s="1" t="s">
        <v>7753</v>
      </c>
      <c r="R3501" s="1" t="s">
        <v>41</v>
      </c>
      <c r="T3501" s="1" t="s">
        <v>93</v>
      </c>
      <c r="U3501" s="1" t="s">
        <v>44</v>
      </c>
      <c r="X3501" s="1" t="s">
        <v>176</v>
      </c>
      <c r="AA3501" s="3">
        <v>40454</v>
      </c>
      <c r="AB3501" s="1" t="s">
        <v>46</v>
      </c>
      <c r="AC3501" s="5">
        <v>491</v>
      </c>
      <c r="AD3501" s="1" t="s">
        <v>7761</v>
      </c>
      <c r="AE3501" s="1" t="str">
        <f t="shared" si="244"/>
        <v>56948 CT08</v>
      </c>
      <c r="AF3501" s="5" t="str">
        <f t="shared" si="247"/>
        <v>60.5</v>
      </c>
      <c r="AG3501" s="1" t="str">
        <f t="shared" si="243"/>
        <v>Y</v>
      </c>
    </row>
    <row r="3502" spans="1:33" x14ac:dyDescent="0.2">
      <c r="A3502" s="1" t="s">
        <v>234</v>
      </c>
      <c r="B3502" s="1" t="s">
        <v>7752</v>
      </c>
      <c r="C3502" s="1">
        <v>56948</v>
      </c>
      <c r="D3502" s="1" t="s">
        <v>7002</v>
      </c>
      <c r="F3502" s="1">
        <v>2023</v>
      </c>
      <c r="G3502" s="1" t="s">
        <v>247</v>
      </c>
      <c r="H3502" s="1">
        <v>608572</v>
      </c>
      <c r="I3502" s="1">
        <v>9</v>
      </c>
      <c r="K3502" s="1" t="s">
        <v>268</v>
      </c>
      <c r="L3502" s="1" t="s">
        <v>269</v>
      </c>
      <c r="M3502" s="1">
        <v>21</v>
      </c>
      <c r="N3502" s="1" t="s">
        <v>39</v>
      </c>
      <c r="O3502" s="1">
        <v>32.917499999999997</v>
      </c>
      <c r="P3502" s="1">
        <v>-111.50409999999999</v>
      </c>
      <c r="Q3502" s="1" t="s">
        <v>7753</v>
      </c>
      <c r="R3502" s="1" t="s">
        <v>41</v>
      </c>
      <c r="T3502" s="1" t="s">
        <v>93</v>
      </c>
      <c r="U3502" s="1" t="s">
        <v>44</v>
      </c>
      <c r="X3502" s="1" t="s">
        <v>176</v>
      </c>
      <c r="AA3502" s="3">
        <v>40494</v>
      </c>
      <c r="AB3502" s="1" t="s">
        <v>46</v>
      </c>
      <c r="AC3502" s="5">
        <v>491</v>
      </c>
      <c r="AD3502" s="1" t="s">
        <v>7762</v>
      </c>
      <c r="AE3502" s="1" t="str">
        <f t="shared" si="244"/>
        <v>56948 CT09</v>
      </c>
      <c r="AF3502" s="5" t="str">
        <f t="shared" si="247"/>
        <v>60.5</v>
      </c>
      <c r="AG3502" s="1" t="str">
        <f t="shared" si="243"/>
        <v>Y</v>
      </c>
    </row>
    <row r="3503" spans="1:33" x14ac:dyDescent="0.2">
      <c r="A3503" s="1" t="s">
        <v>234</v>
      </c>
      <c r="B3503" s="1" t="s">
        <v>7752</v>
      </c>
      <c r="C3503" s="1">
        <v>56948</v>
      </c>
      <c r="D3503" s="1" t="s">
        <v>92</v>
      </c>
      <c r="F3503" s="1">
        <v>2023</v>
      </c>
      <c r="G3503" s="1" t="s">
        <v>247</v>
      </c>
      <c r="H3503" s="1">
        <v>608572</v>
      </c>
      <c r="I3503" s="1">
        <v>9</v>
      </c>
      <c r="K3503" s="1" t="s">
        <v>268</v>
      </c>
      <c r="L3503" s="1" t="s">
        <v>269</v>
      </c>
      <c r="M3503" s="1">
        <v>21</v>
      </c>
      <c r="N3503" s="1" t="s">
        <v>39</v>
      </c>
      <c r="O3503" s="1">
        <v>32.917499999999997</v>
      </c>
      <c r="P3503" s="1">
        <v>-111.50409999999999</v>
      </c>
      <c r="Q3503" s="1" t="s">
        <v>7753</v>
      </c>
      <c r="R3503" s="1" t="s">
        <v>41</v>
      </c>
      <c r="T3503" s="1" t="s">
        <v>93</v>
      </c>
      <c r="U3503" s="1" t="s">
        <v>44</v>
      </c>
      <c r="X3503" s="1" t="s">
        <v>176</v>
      </c>
      <c r="AA3503" s="3">
        <v>40497</v>
      </c>
      <c r="AB3503" s="1" t="s">
        <v>46</v>
      </c>
      <c r="AC3503" s="5">
        <v>491</v>
      </c>
      <c r="AD3503" s="1" t="s">
        <v>2512</v>
      </c>
      <c r="AE3503" s="1" t="str">
        <f t="shared" si="244"/>
        <v>56948 CT10</v>
      </c>
      <c r="AF3503" s="5" t="str">
        <f t="shared" si="247"/>
        <v>60.5</v>
      </c>
      <c r="AG3503" s="1" t="str">
        <f t="shared" si="243"/>
        <v>Y</v>
      </c>
    </row>
    <row r="3504" spans="1:33" x14ac:dyDescent="0.2">
      <c r="A3504" s="1" t="s">
        <v>234</v>
      </c>
      <c r="B3504" s="1" t="s">
        <v>7752</v>
      </c>
      <c r="C3504" s="1">
        <v>56948</v>
      </c>
      <c r="D3504" s="1" t="s">
        <v>6599</v>
      </c>
      <c r="F3504" s="1">
        <v>2023</v>
      </c>
      <c r="G3504" s="1" t="s">
        <v>247</v>
      </c>
      <c r="H3504" s="1">
        <v>608572</v>
      </c>
      <c r="I3504" s="1">
        <v>9</v>
      </c>
      <c r="K3504" s="1" t="s">
        <v>268</v>
      </c>
      <c r="L3504" s="1" t="s">
        <v>269</v>
      </c>
      <c r="M3504" s="1">
        <v>21</v>
      </c>
      <c r="N3504" s="1" t="s">
        <v>39</v>
      </c>
      <c r="O3504" s="1">
        <v>32.917499999999997</v>
      </c>
      <c r="P3504" s="1">
        <v>-111.50409999999999</v>
      </c>
      <c r="Q3504" s="1" t="s">
        <v>7753</v>
      </c>
      <c r="R3504" s="1" t="s">
        <v>41</v>
      </c>
      <c r="T3504" s="1" t="s">
        <v>93</v>
      </c>
      <c r="U3504" s="1" t="s">
        <v>44</v>
      </c>
      <c r="X3504" s="1" t="s">
        <v>176</v>
      </c>
      <c r="AA3504" s="3">
        <v>40496</v>
      </c>
      <c r="AB3504" s="1" t="s">
        <v>46</v>
      </c>
      <c r="AC3504" s="5">
        <v>491</v>
      </c>
      <c r="AD3504" s="1" t="s">
        <v>7763</v>
      </c>
      <c r="AE3504" s="1" t="str">
        <f t="shared" si="244"/>
        <v>56948 CT11</v>
      </c>
      <c r="AF3504" s="5" t="str">
        <f t="shared" si="247"/>
        <v>60.5</v>
      </c>
      <c r="AG3504" s="1" t="str">
        <f t="shared" si="243"/>
        <v>Y</v>
      </c>
    </row>
    <row r="3505" spans="1:33" x14ac:dyDescent="0.2">
      <c r="A3505" s="1" t="s">
        <v>234</v>
      </c>
      <c r="B3505" s="1" t="s">
        <v>7752</v>
      </c>
      <c r="C3505" s="1">
        <v>56948</v>
      </c>
      <c r="D3505" s="1" t="s">
        <v>6603</v>
      </c>
      <c r="F3505" s="1">
        <v>2023</v>
      </c>
      <c r="G3505" s="1" t="s">
        <v>247</v>
      </c>
      <c r="H3505" s="1">
        <v>608572</v>
      </c>
      <c r="I3505" s="1">
        <v>9</v>
      </c>
      <c r="K3505" s="1" t="s">
        <v>268</v>
      </c>
      <c r="L3505" s="1" t="s">
        <v>269</v>
      </c>
      <c r="M3505" s="1">
        <v>21</v>
      </c>
      <c r="N3505" s="1" t="s">
        <v>39</v>
      </c>
      <c r="O3505" s="1">
        <v>32.917499999999997</v>
      </c>
      <c r="P3505" s="1">
        <v>-111.50409999999999</v>
      </c>
      <c r="Q3505" s="1" t="s">
        <v>7753</v>
      </c>
      <c r="R3505" s="1" t="s">
        <v>41</v>
      </c>
      <c r="T3505" s="1" t="s">
        <v>93</v>
      </c>
      <c r="U3505" s="1" t="s">
        <v>44</v>
      </c>
      <c r="X3505" s="1" t="s">
        <v>176</v>
      </c>
      <c r="AA3505" s="3">
        <v>40499</v>
      </c>
      <c r="AB3505" s="1" t="s">
        <v>46</v>
      </c>
      <c r="AC3505" s="5">
        <v>491</v>
      </c>
      <c r="AD3505" s="1" t="s">
        <v>7764</v>
      </c>
      <c r="AE3505" s="1" t="str">
        <f t="shared" si="244"/>
        <v>56948 CT12</v>
      </c>
      <c r="AF3505" s="5" t="str">
        <f t="shared" si="247"/>
        <v>60.5</v>
      </c>
      <c r="AG3505" s="1" t="str">
        <f t="shared" si="243"/>
        <v>Y</v>
      </c>
    </row>
    <row r="3506" spans="1:33" x14ac:dyDescent="0.2">
      <c r="A3506" s="1" t="s">
        <v>1980</v>
      </c>
      <c r="B3506" s="1" t="s">
        <v>7765</v>
      </c>
      <c r="C3506" s="1">
        <v>56963</v>
      </c>
      <c r="D3506" s="1" t="s">
        <v>7766</v>
      </c>
      <c r="F3506" s="1">
        <v>2023</v>
      </c>
      <c r="G3506" s="1" t="s">
        <v>1515</v>
      </c>
      <c r="H3506" s="1">
        <v>605624</v>
      </c>
      <c r="I3506" s="1">
        <v>2</v>
      </c>
      <c r="K3506" s="1" t="s">
        <v>4635</v>
      </c>
      <c r="L3506" s="1" t="s">
        <v>4636</v>
      </c>
      <c r="M3506" s="1">
        <v>15</v>
      </c>
      <c r="N3506" s="1" t="s">
        <v>39</v>
      </c>
      <c r="O3506" s="1">
        <v>39.841799999999999</v>
      </c>
      <c r="P3506" s="1">
        <v>-75.221400000000003</v>
      </c>
      <c r="Q3506" s="1" t="s">
        <v>7767</v>
      </c>
      <c r="R3506" s="1" t="s">
        <v>41</v>
      </c>
      <c r="T3506" s="1" t="s">
        <v>71</v>
      </c>
      <c r="U3506" s="1" t="s">
        <v>44</v>
      </c>
      <c r="X3506" s="1" t="s">
        <v>64</v>
      </c>
      <c r="AA3506" s="3">
        <v>41775</v>
      </c>
      <c r="AB3506" s="1" t="s">
        <v>46</v>
      </c>
      <c r="AC3506" s="5">
        <v>3108</v>
      </c>
      <c r="AD3506" s="1" t="s">
        <v>7768</v>
      </c>
      <c r="AE3506" s="1" t="str">
        <f t="shared" si="244"/>
        <v>56963 E101</v>
      </c>
      <c r="AF3506" s="14">
        <f>MID(AD3506,FIND("(",AD3506)+1,FIND(")",AD3506)-FIND("(",AD3506)-1)+304/2</f>
        <v>377</v>
      </c>
      <c r="AG3506" s="1" t="str">
        <f t="shared" si="243"/>
        <v>Y</v>
      </c>
    </row>
    <row r="3507" spans="1:33" x14ac:dyDescent="0.2">
      <c r="A3507" s="1" t="s">
        <v>1980</v>
      </c>
      <c r="B3507" s="1" t="s">
        <v>7765</v>
      </c>
      <c r="C3507" s="1">
        <v>56963</v>
      </c>
      <c r="D3507" s="1" t="s">
        <v>7769</v>
      </c>
      <c r="F3507" s="1">
        <v>2023</v>
      </c>
      <c r="G3507" s="1" t="s">
        <v>1515</v>
      </c>
      <c r="H3507" s="1">
        <v>605624</v>
      </c>
      <c r="I3507" s="1">
        <v>2</v>
      </c>
      <c r="K3507" s="1" t="s">
        <v>4635</v>
      </c>
      <c r="L3507" s="1" t="s">
        <v>4636</v>
      </c>
      <c r="M3507" s="1">
        <v>15</v>
      </c>
      <c r="N3507" s="1" t="s">
        <v>39</v>
      </c>
      <c r="O3507" s="1">
        <v>39.841799999999999</v>
      </c>
      <c r="P3507" s="1">
        <v>-75.221400000000003</v>
      </c>
      <c r="Q3507" s="1" t="s">
        <v>7767</v>
      </c>
      <c r="R3507" s="1" t="s">
        <v>41</v>
      </c>
      <c r="T3507" s="1" t="s">
        <v>71</v>
      </c>
      <c r="U3507" s="1" t="s">
        <v>44</v>
      </c>
      <c r="X3507" s="1" t="s">
        <v>64</v>
      </c>
      <c r="AA3507" s="3">
        <v>41770</v>
      </c>
      <c r="AB3507" s="1" t="s">
        <v>46</v>
      </c>
      <c r="AC3507" s="5">
        <v>3108</v>
      </c>
      <c r="AD3507" s="1" t="s">
        <v>7770</v>
      </c>
      <c r="AE3507" s="1" t="str">
        <f t="shared" si="244"/>
        <v>56963 E102</v>
      </c>
      <c r="AF3507" s="14">
        <f>AF3506</f>
        <v>377</v>
      </c>
      <c r="AG3507" s="1" t="str">
        <f t="shared" si="243"/>
        <v>Y</v>
      </c>
    </row>
    <row r="3508" spans="1:33" x14ac:dyDescent="0.2">
      <c r="A3508" s="1" t="s">
        <v>1980</v>
      </c>
      <c r="B3508" s="1" t="s">
        <v>7771</v>
      </c>
      <c r="C3508" s="1">
        <v>56964</v>
      </c>
      <c r="D3508" s="1" t="s">
        <v>280</v>
      </c>
      <c r="F3508" s="1">
        <v>2023</v>
      </c>
      <c r="G3508" s="1" t="s">
        <v>1515</v>
      </c>
      <c r="H3508" s="1">
        <v>500625</v>
      </c>
      <c r="I3508" s="1">
        <v>2</v>
      </c>
      <c r="K3508" s="1" t="s">
        <v>2020</v>
      </c>
      <c r="L3508" s="1" t="s">
        <v>2021</v>
      </c>
      <c r="M3508" s="1">
        <v>17</v>
      </c>
      <c r="N3508" s="1" t="s">
        <v>39</v>
      </c>
      <c r="O3508" s="1">
        <v>40.652900000000002</v>
      </c>
      <c r="P3508" s="1">
        <v>-74.0916</v>
      </c>
      <c r="Q3508" s="1" t="s">
        <v>7772</v>
      </c>
      <c r="R3508" s="1" t="s">
        <v>41</v>
      </c>
      <c r="T3508" s="1" t="s">
        <v>93</v>
      </c>
      <c r="U3508" s="1" t="s">
        <v>44</v>
      </c>
      <c r="V3508" s="1" t="s">
        <v>94</v>
      </c>
      <c r="X3508" s="1" t="s">
        <v>1608</v>
      </c>
      <c r="AA3508" s="3">
        <v>40931</v>
      </c>
      <c r="AB3508" s="1" t="s">
        <v>46</v>
      </c>
      <c r="AC3508" s="5">
        <v>603</v>
      </c>
      <c r="AD3508" s="1" t="s">
        <v>7773</v>
      </c>
      <c r="AE3508" s="1" t="str">
        <f t="shared" si="244"/>
        <v>56964 GT1</v>
      </c>
      <c r="AF3508" s="5" t="str">
        <f t="shared" ref="AF3508:AF3519" si="248">MID(AD3508,FIND("(",AD3508)+1,FIND(")",AD3508)-FIND("(",AD3508)-1)</f>
        <v>64</v>
      </c>
      <c r="AG3508" s="1" t="str">
        <f t="shared" si="243"/>
        <v>Y</v>
      </c>
    </row>
    <row r="3509" spans="1:33" x14ac:dyDescent="0.2">
      <c r="A3509" s="1" t="s">
        <v>1980</v>
      </c>
      <c r="B3509" s="1" t="s">
        <v>7771</v>
      </c>
      <c r="C3509" s="1">
        <v>56964</v>
      </c>
      <c r="D3509" s="1" t="s">
        <v>7774</v>
      </c>
      <c r="F3509" s="1">
        <v>2023</v>
      </c>
      <c r="G3509" s="1" t="s">
        <v>1515</v>
      </c>
      <c r="H3509" s="1">
        <v>500625</v>
      </c>
      <c r="I3509" s="1">
        <v>2</v>
      </c>
      <c r="K3509" s="1" t="s">
        <v>2020</v>
      </c>
      <c r="L3509" s="1" t="s">
        <v>2021</v>
      </c>
      <c r="M3509" s="1">
        <v>17</v>
      </c>
      <c r="N3509" s="1" t="s">
        <v>39</v>
      </c>
      <c r="O3509" s="1">
        <v>40.652900000000002</v>
      </c>
      <c r="P3509" s="1">
        <v>-74.0916</v>
      </c>
      <c r="Q3509" s="1" t="s">
        <v>7772</v>
      </c>
      <c r="R3509" s="1" t="s">
        <v>41</v>
      </c>
      <c r="T3509" s="1" t="s">
        <v>93</v>
      </c>
      <c r="U3509" s="1" t="s">
        <v>44</v>
      </c>
      <c r="V3509" s="1" t="s">
        <v>94</v>
      </c>
      <c r="X3509" s="1" t="s">
        <v>1608</v>
      </c>
      <c r="AA3509" s="3">
        <v>43200</v>
      </c>
      <c r="AB3509" s="1" t="s">
        <v>46</v>
      </c>
      <c r="AC3509" s="5">
        <v>643</v>
      </c>
      <c r="AD3509" s="1" t="s">
        <v>7775</v>
      </c>
      <c r="AE3509" s="1" t="str">
        <f t="shared" si="244"/>
        <v>56964 GT10</v>
      </c>
      <c r="AF3509" s="5" t="str">
        <f t="shared" si="248"/>
        <v>64</v>
      </c>
      <c r="AG3509" s="1" t="str">
        <f t="shared" si="243"/>
        <v>Y</v>
      </c>
    </row>
    <row r="3510" spans="1:33" x14ac:dyDescent="0.2">
      <c r="A3510" s="1" t="s">
        <v>1980</v>
      </c>
      <c r="B3510" s="1" t="s">
        <v>7771</v>
      </c>
      <c r="C3510" s="1">
        <v>56964</v>
      </c>
      <c r="D3510" s="1" t="s">
        <v>1102</v>
      </c>
      <c r="F3510" s="1">
        <v>2023</v>
      </c>
      <c r="G3510" s="1" t="s">
        <v>1515</v>
      </c>
      <c r="H3510" s="1">
        <v>500625</v>
      </c>
      <c r="I3510" s="1">
        <v>2</v>
      </c>
      <c r="K3510" s="1" t="s">
        <v>2020</v>
      </c>
      <c r="L3510" s="1" t="s">
        <v>2021</v>
      </c>
      <c r="M3510" s="1">
        <v>17</v>
      </c>
      <c r="N3510" s="1" t="s">
        <v>39</v>
      </c>
      <c r="O3510" s="1">
        <v>40.652900000000002</v>
      </c>
      <c r="P3510" s="1">
        <v>-74.0916</v>
      </c>
      <c r="Q3510" s="1" t="s">
        <v>7772</v>
      </c>
      <c r="R3510" s="1" t="s">
        <v>41</v>
      </c>
      <c r="T3510" s="1" t="s">
        <v>93</v>
      </c>
      <c r="U3510" s="1" t="s">
        <v>44</v>
      </c>
      <c r="V3510" s="1" t="s">
        <v>94</v>
      </c>
      <c r="X3510" s="1" t="s">
        <v>1608</v>
      </c>
      <c r="AA3510" s="3">
        <v>40934</v>
      </c>
      <c r="AB3510" s="1" t="s">
        <v>46</v>
      </c>
      <c r="AC3510" s="5">
        <v>603</v>
      </c>
      <c r="AD3510" s="1" t="s">
        <v>7776</v>
      </c>
      <c r="AE3510" s="1" t="str">
        <f t="shared" si="244"/>
        <v>56964 GT2</v>
      </c>
      <c r="AF3510" s="5" t="str">
        <f t="shared" si="248"/>
        <v>64</v>
      </c>
      <c r="AG3510" s="1" t="str">
        <f t="shared" si="243"/>
        <v>Y</v>
      </c>
    </row>
    <row r="3511" spans="1:33" x14ac:dyDescent="0.2">
      <c r="A3511" s="1" t="s">
        <v>1980</v>
      </c>
      <c r="B3511" s="1" t="s">
        <v>7771</v>
      </c>
      <c r="C3511" s="1">
        <v>56964</v>
      </c>
      <c r="D3511" s="1" t="s">
        <v>246</v>
      </c>
      <c r="F3511" s="1">
        <v>2023</v>
      </c>
      <c r="G3511" s="1" t="s">
        <v>1515</v>
      </c>
      <c r="H3511" s="1">
        <v>500625</v>
      </c>
      <c r="I3511" s="1">
        <v>2</v>
      </c>
      <c r="K3511" s="1" t="s">
        <v>2020</v>
      </c>
      <c r="L3511" s="1" t="s">
        <v>2021</v>
      </c>
      <c r="M3511" s="1">
        <v>17</v>
      </c>
      <c r="N3511" s="1" t="s">
        <v>39</v>
      </c>
      <c r="O3511" s="1">
        <v>40.652900000000002</v>
      </c>
      <c r="P3511" s="1">
        <v>-74.0916</v>
      </c>
      <c r="Q3511" s="1" t="s">
        <v>7772</v>
      </c>
      <c r="R3511" s="1" t="s">
        <v>41</v>
      </c>
      <c r="T3511" s="1" t="s">
        <v>93</v>
      </c>
      <c r="U3511" s="1" t="s">
        <v>44</v>
      </c>
      <c r="V3511" s="1" t="s">
        <v>94</v>
      </c>
      <c r="X3511" s="1" t="s">
        <v>1608</v>
      </c>
      <c r="AA3511" s="3">
        <v>40961</v>
      </c>
      <c r="AB3511" s="1" t="s">
        <v>46</v>
      </c>
      <c r="AC3511" s="5">
        <v>603</v>
      </c>
      <c r="AD3511" s="1" t="s">
        <v>7777</v>
      </c>
      <c r="AE3511" s="1" t="str">
        <f t="shared" si="244"/>
        <v>56964 GT3</v>
      </c>
      <c r="AF3511" s="5" t="str">
        <f t="shared" si="248"/>
        <v>64</v>
      </c>
      <c r="AG3511" s="1" t="str">
        <f t="shared" si="243"/>
        <v>Y</v>
      </c>
    </row>
    <row r="3512" spans="1:33" x14ac:dyDescent="0.2">
      <c r="A3512" s="1" t="s">
        <v>1980</v>
      </c>
      <c r="B3512" s="1" t="s">
        <v>7771</v>
      </c>
      <c r="C3512" s="1">
        <v>56964</v>
      </c>
      <c r="D3512" s="1" t="s">
        <v>251</v>
      </c>
      <c r="F3512" s="1">
        <v>2023</v>
      </c>
      <c r="G3512" s="1" t="s">
        <v>1515</v>
      </c>
      <c r="H3512" s="1">
        <v>500625</v>
      </c>
      <c r="I3512" s="1">
        <v>2</v>
      </c>
      <c r="K3512" s="1" t="s">
        <v>2020</v>
      </c>
      <c r="L3512" s="1" t="s">
        <v>2021</v>
      </c>
      <c r="M3512" s="1">
        <v>17</v>
      </c>
      <c r="N3512" s="1" t="s">
        <v>39</v>
      </c>
      <c r="O3512" s="1">
        <v>40.652900000000002</v>
      </c>
      <c r="P3512" s="1">
        <v>-74.0916</v>
      </c>
      <c r="Q3512" s="1" t="s">
        <v>7772</v>
      </c>
      <c r="R3512" s="1" t="s">
        <v>41</v>
      </c>
      <c r="T3512" s="1" t="s">
        <v>93</v>
      </c>
      <c r="U3512" s="1" t="s">
        <v>44</v>
      </c>
      <c r="V3512" s="1" t="s">
        <v>94</v>
      </c>
      <c r="X3512" s="1" t="s">
        <v>1608</v>
      </c>
      <c r="AA3512" s="3">
        <v>40960</v>
      </c>
      <c r="AB3512" s="1" t="s">
        <v>46</v>
      </c>
      <c r="AC3512" s="5">
        <v>603</v>
      </c>
      <c r="AD3512" s="1" t="s">
        <v>7778</v>
      </c>
      <c r="AE3512" s="1" t="str">
        <f t="shared" si="244"/>
        <v>56964 GT4</v>
      </c>
      <c r="AF3512" s="5" t="str">
        <f t="shared" si="248"/>
        <v>64</v>
      </c>
      <c r="AG3512" s="1" t="str">
        <f t="shared" si="243"/>
        <v>Y</v>
      </c>
    </row>
    <row r="3513" spans="1:33" x14ac:dyDescent="0.2">
      <c r="A3513" s="1" t="s">
        <v>1980</v>
      </c>
      <c r="B3513" s="1" t="s">
        <v>7771</v>
      </c>
      <c r="C3513" s="1">
        <v>56964</v>
      </c>
      <c r="D3513" s="1" t="s">
        <v>253</v>
      </c>
      <c r="F3513" s="1">
        <v>2023</v>
      </c>
      <c r="G3513" s="1" t="s">
        <v>1515</v>
      </c>
      <c r="H3513" s="1">
        <v>500625</v>
      </c>
      <c r="I3513" s="1">
        <v>2</v>
      </c>
      <c r="K3513" s="1" t="s">
        <v>2020</v>
      </c>
      <c r="L3513" s="1" t="s">
        <v>2021</v>
      </c>
      <c r="M3513" s="1">
        <v>17</v>
      </c>
      <c r="N3513" s="1" t="s">
        <v>39</v>
      </c>
      <c r="O3513" s="1">
        <v>40.652900000000002</v>
      </c>
      <c r="P3513" s="1">
        <v>-74.0916</v>
      </c>
      <c r="Q3513" s="1" t="s">
        <v>7772</v>
      </c>
      <c r="R3513" s="1" t="s">
        <v>41</v>
      </c>
      <c r="T3513" s="1" t="s">
        <v>93</v>
      </c>
      <c r="U3513" s="1" t="s">
        <v>44</v>
      </c>
      <c r="V3513" s="1" t="s">
        <v>94</v>
      </c>
      <c r="X3513" s="1" t="s">
        <v>1608</v>
      </c>
      <c r="AA3513" s="3">
        <v>40981</v>
      </c>
      <c r="AB3513" s="1" t="s">
        <v>46</v>
      </c>
      <c r="AC3513" s="5">
        <v>603</v>
      </c>
      <c r="AD3513" s="1" t="s">
        <v>7779</v>
      </c>
      <c r="AE3513" s="1" t="str">
        <f t="shared" si="244"/>
        <v>56964 GT5</v>
      </c>
      <c r="AF3513" s="5" t="str">
        <f t="shared" si="248"/>
        <v>64</v>
      </c>
      <c r="AG3513" s="1" t="str">
        <f t="shared" si="243"/>
        <v>Y</v>
      </c>
    </row>
    <row r="3514" spans="1:33" x14ac:dyDescent="0.2">
      <c r="A3514" s="1" t="s">
        <v>1980</v>
      </c>
      <c r="B3514" s="1" t="s">
        <v>7771</v>
      </c>
      <c r="C3514" s="1">
        <v>56964</v>
      </c>
      <c r="D3514" s="1" t="s">
        <v>255</v>
      </c>
      <c r="F3514" s="1">
        <v>2023</v>
      </c>
      <c r="G3514" s="1" t="s">
        <v>1515</v>
      </c>
      <c r="H3514" s="1">
        <v>500625</v>
      </c>
      <c r="I3514" s="1">
        <v>2</v>
      </c>
      <c r="K3514" s="1" t="s">
        <v>2020</v>
      </c>
      <c r="L3514" s="1" t="s">
        <v>2021</v>
      </c>
      <c r="M3514" s="1">
        <v>17</v>
      </c>
      <c r="N3514" s="1" t="s">
        <v>39</v>
      </c>
      <c r="O3514" s="1">
        <v>40.652900000000002</v>
      </c>
      <c r="P3514" s="1">
        <v>-74.0916</v>
      </c>
      <c r="Q3514" s="1" t="s">
        <v>7772</v>
      </c>
      <c r="R3514" s="1" t="s">
        <v>41</v>
      </c>
      <c r="T3514" s="1" t="s">
        <v>93</v>
      </c>
      <c r="U3514" s="1" t="s">
        <v>44</v>
      </c>
      <c r="V3514" s="1" t="s">
        <v>94</v>
      </c>
      <c r="X3514" s="1" t="s">
        <v>1608</v>
      </c>
      <c r="AA3514" s="3">
        <v>40982</v>
      </c>
      <c r="AB3514" s="1" t="s">
        <v>46</v>
      </c>
      <c r="AC3514" s="5">
        <v>603</v>
      </c>
      <c r="AD3514" s="1" t="s">
        <v>7780</v>
      </c>
      <c r="AE3514" s="1" t="str">
        <f t="shared" si="244"/>
        <v>56964 GT6</v>
      </c>
      <c r="AF3514" s="5" t="str">
        <f t="shared" si="248"/>
        <v>64</v>
      </c>
      <c r="AG3514" s="1" t="str">
        <f t="shared" si="243"/>
        <v>Y</v>
      </c>
    </row>
    <row r="3515" spans="1:33" x14ac:dyDescent="0.2">
      <c r="A3515" s="1" t="s">
        <v>1980</v>
      </c>
      <c r="B3515" s="1" t="s">
        <v>7771</v>
      </c>
      <c r="C3515" s="1">
        <v>56964</v>
      </c>
      <c r="D3515" s="1" t="s">
        <v>257</v>
      </c>
      <c r="F3515" s="1">
        <v>2023</v>
      </c>
      <c r="G3515" s="1" t="s">
        <v>1515</v>
      </c>
      <c r="H3515" s="1">
        <v>500625</v>
      </c>
      <c r="I3515" s="1">
        <v>2</v>
      </c>
      <c r="K3515" s="1" t="s">
        <v>2020</v>
      </c>
      <c r="L3515" s="1" t="s">
        <v>2021</v>
      </c>
      <c r="M3515" s="1">
        <v>17</v>
      </c>
      <c r="N3515" s="1" t="s">
        <v>39</v>
      </c>
      <c r="O3515" s="1">
        <v>40.652900000000002</v>
      </c>
      <c r="P3515" s="1">
        <v>-74.0916</v>
      </c>
      <c r="Q3515" s="1" t="s">
        <v>7772</v>
      </c>
      <c r="R3515" s="1" t="s">
        <v>41</v>
      </c>
      <c r="T3515" s="1" t="s">
        <v>93</v>
      </c>
      <c r="U3515" s="1" t="s">
        <v>44</v>
      </c>
      <c r="V3515" s="1" t="s">
        <v>94</v>
      </c>
      <c r="X3515" s="1" t="s">
        <v>1608</v>
      </c>
      <c r="AA3515" s="3">
        <v>40993</v>
      </c>
      <c r="AB3515" s="1" t="s">
        <v>46</v>
      </c>
      <c r="AC3515" s="5">
        <v>603</v>
      </c>
      <c r="AD3515" s="1" t="s">
        <v>7781</v>
      </c>
      <c r="AE3515" s="1" t="str">
        <f t="shared" si="244"/>
        <v>56964 GT7</v>
      </c>
      <c r="AF3515" s="5" t="str">
        <f t="shared" si="248"/>
        <v>64</v>
      </c>
      <c r="AG3515" s="1" t="str">
        <f t="shared" si="243"/>
        <v>Y</v>
      </c>
    </row>
    <row r="3516" spans="1:33" x14ac:dyDescent="0.2">
      <c r="A3516" s="1" t="s">
        <v>1980</v>
      </c>
      <c r="B3516" s="1" t="s">
        <v>7771</v>
      </c>
      <c r="C3516" s="1">
        <v>56964</v>
      </c>
      <c r="D3516" s="1" t="s">
        <v>7782</v>
      </c>
      <c r="F3516" s="1">
        <v>2023</v>
      </c>
      <c r="G3516" s="1" t="s">
        <v>1515</v>
      </c>
      <c r="H3516" s="1">
        <v>500625</v>
      </c>
      <c r="I3516" s="1">
        <v>2</v>
      </c>
      <c r="K3516" s="1" t="s">
        <v>2020</v>
      </c>
      <c r="L3516" s="1" t="s">
        <v>2021</v>
      </c>
      <c r="M3516" s="1">
        <v>17</v>
      </c>
      <c r="N3516" s="1" t="s">
        <v>39</v>
      </c>
      <c r="O3516" s="1">
        <v>40.652900000000002</v>
      </c>
      <c r="P3516" s="1">
        <v>-74.0916</v>
      </c>
      <c r="Q3516" s="1" t="s">
        <v>7772</v>
      </c>
      <c r="R3516" s="1" t="s">
        <v>41</v>
      </c>
      <c r="T3516" s="1" t="s">
        <v>93</v>
      </c>
      <c r="U3516" s="1" t="s">
        <v>44</v>
      </c>
      <c r="V3516" s="1" t="s">
        <v>94</v>
      </c>
      <c r="X3516" s="1" t="s">
        <v>1608</v>
      </c>
      <c r="AA3516" s="3">
        <v>41010</v>
      </c>
      <c r="AB3516" s="1" t="s">
        <v>46</v>
      </c>
      <c r="AC3516" s="5">
        <v>603</v>
      </c>
      <c r="AD3516" s="1" t="s">
        <v>7783</v>
      </c>
      <c r="AE3516" s="1" t="str">
        <f t="shared" si="244"/>
        <v>56964 GT8</v>
      </c>
      <c r="AF3516" s="5" t="str">
        <f t="shared" si="248"/>
        <v>64</v>
      </c>
      <c r="AG3516" s="1" t="str">
        <f t="shared" si="243"/>
        <v>Y</v>
      </c>
    </row>
    <row r="3517" spans="1:33" x14ac:dyDescent="0.2">
      <c r="A3517" s="1" t="s">
        <v>1980</v>
      </c>
      <c r="B3517" s="1" t="s">
        <v>7771</v>
      </c>
      <c r="C3517" s="1">
        <v>56964</v>
      </c>
      <c r="D3517" s="1" t="s">
        <v>7784</v>
      </c>
      <c r="F3517" s="1">
        <v>2023</v>
      </c>
      <c r="G3517" s="1" t="s">
        <v>1515</v>
      </c>
      <c r="H3517" s="1">
        <v>500625</v>
      </c>
      <c r="I3517" s="1">
        <v>2</v>
      </c>
      <c r="K3517" s="1" t="s">
        <v>2020</v>
      </c>
      <c r="L3517" s="1" t="s">
        <v>2021</v>
      </c>
      <c r="M3517" s="1">
        <v>17</v>
      </c>
      <c r="N3517" s="1" t="s">
        <v>39</v>
      </c>
      <c r="O3517" s="1">
        <v>40.652900000000002</v>
      </c>
      <c r="P3517" s="1">
        <v>-74.0916</v>
      </c>
      <c r="Q3517" s="1" t="s">
        <v>7772</v>
      </c>
      <c r="R3517" s="1" t="s">
        <v>41</v>
      </c>
      <c r="T3517" s="1" t="s">
        <v>93</v>
      </c>
      <c r="U3517" s="1" t="s">
        <v>44</v>
      </c>
      <c r="V3517" s="1" t="s">
        <v>94</v>
      </c>
      <c r="X3517" s="1" t="s">
        <v>1608</v>
      </c>
      <c r="AA3517" s="3">
        <v>43201</v>
      </c>
      <c r="AB3517" s="1" t="s">
        <v>46</v>
      </c>
      <c r="AC3517" s="5">
        <v>643</v>
      </c>
      <c r="AD3517" s="1" t="s">
        <v>7785</v>
      </c>
      <c r="AE3517" s="1" t="str">
        <f t="shared" si="244"/>
        <v>56964 GT9</v>
      </c>
      <c r="AF3517" s="5" t="str">
        <f t="shared" si="248"/>
        <v>64</v>
      </c>
      <c r="AG3517" s="1" t="str">
        <f t="shared" si="243"/>
        <v>Y</v>
      </c>
    </row>
    <row r="3518" spans="1:33" x14ac:dyDescent="0.2">
      <c r="A3518" s="1" t="s">
        <v>516</v>
      </c>
      <c r="B3518" s="1" t="s">
        <v>7786</v>
      </c>
      <c r="C3518" s="1">
        <v>56998</v>
      </c>
      <c r="D3518" s="1" t="s">
        <v>993</v>
      </c>
      <c r="F3518" s="1">
        <v>2023</v>
      </c>
      <c r="G3518" s="1" t="s">
        <v>247</v>
      </c>
      <c r="H3518" s="1" t="s">
        <v>6876</v>
      </c>
      <c r="I3518" s="1">
        <v>8</v>
      </c>
      <c r="K3518" s="1" t="s">
        <v>524</v>
      </c>
      <c r="L3518" s="1" t="s">
        <v>525</v>
      </c>
      <c r="M3518" s="1">
        <v>101</v>
      </c>
      <c r="N3518" s="1" t="s">
        <v>39</v>
      </c>
      <c r="O3518" s="1">
        <v>38.322000000000003</v>
      </c>
      <c r="P3518" s="1">
        <v>-104.533</v>
      </c>
      <c r="Q3518" s="1" t="s">
        <v>7787</v>
      </c>
      <c r="R3518" s="1" t="s">
        <v>41</v>
      </c>
      <c r="T3518" s="1" t="s">
        <v>93</v>
      </c>
      <c r="U3518" s="1" t="s">
        <v>44</v>
      </c>
      <c r="X3518" s="1" t="s">
        <v>176</v>
      </c>
      <c r="AA3518" s="3">
        <v>40815</v>
      </c>
      <c r="AB3518" s="1" t="s">
        <v>46</v>
      </c>
      <c r="AC3518" s="5">
        <v>875</v>
      </c>
      <c r="AD3518" s="1" t="s">
        <v>7788</v>
      </c>
      <c r="AE3518" s="1" t="str">
        <f t="shared" si="244"/>
        <v>56998 CT01</v>
      </c>
      <c r="AF3518" s="5" t="str">
        <f t="shared" si="248"/>
        <v>100</v>
      </c>
      <c r="AG3518" s="1" t="str">
        <f t="shared" si="243"/>
        <v>Y</v>
      </c>
    </row>
    <row r="3519" spans="1:33" x14ac:dyDescent="0.2">
      <c r="A3519" s="1" t="s">
        <v>516</v>
      </c>
      <c r="B3519" s="1" t="s">
        <v>7786</v>
      </c>
      <c r="C3519" s="1">
        <v>56998</v>
      </c>
      <c r="D3519" s="1" t="s">
        <v>998</v>
      </c>
      <c r="F3519" s="1">
        <v>2023</v>
      </c>
      <c r="G3519" s="1" t="s">
        <v>247</v>
      </c>
      <c r="H3519" s="1" t="s">
        <v>6876</v>
      </c>
      <c r="I3519" s="1">
        <v>8</v>
      </c>
      <c r="K3519" s="1" t="s">
        <v>524</v>
      </c>
      <c r="L3519" s="1" t="s">
        <v>525</v>
      </c>
      <c r="M3519" s="1">
        <v>101</v>
      </c>
      <c r="N3519" s="1" t="s">
        <v>39</v>
      </c>
      <c r="O3519" s="1">
        <v>38.322000000000003</v>
      </c>
      <c r="P3519" s="1">
        <v>-104.533</v>
      </c>
      <c r="Q3519" s="1" t="s">
        <v>7787</v>
      </c>
      <c r="R3519" s="1" t="s">
        <v>41</v>
      </c>
      <c r="T3519" s="1" t="s">
        <v>93</v>
      </c>
      <c r="U3519" s="1" t="s">
        <v>44</v>
      </c>
      <c r="X3519" s="1" t="s">
        <v>176</v>
      </c>
      <c r="AA3519" s="3">
        <v>40820</v>
      </c>
      <c r="AB3519" s="1" t="s">
        <v>46</v>
      </c>
      <c r="AC3519" s="5">
        <v>875</v>
      </c>
      <c r="AD3519" s="1" t="s">
        <v>7789</v>
      </c>
      <c r="AE3519" s="1" t="str">
        <f t="shared" si="244"/>
        <v>56998 CT02</v>
      </c>
      <c r="AF3519" s="5" t="str">
        <f t="shared" si="248"/>
        <v>100</v>
      </c>
      <c r="AG3519" s="1" t="str">
        <f t="shared" si="243"/>
        <v>Y</v>
      </c>
    </row>
    <row r="3520" spans="1:33" x14ac:dyDescent="0.2">
      <c r="A3520" s="1" t="s">
        <v>516</v>
      </c>
      <c r="B3520" s="1" t="s">
        <v>7786</v>
      </c>
      <c r="C3520" s="1">
        <v>56998</v>
      </c>
      <c r="D3520" s="1" t="s">
        <v>1048</v>
      </c>
      <c r="F3520" s="1">
        <v>2023</v>
      </c>
      <c r="G3520" s="1" t="s">
        <v>247</v>
      </c>
      <c r="H3520" s="1" t="s">
        <v>6876</v>
      </c>
      <c r="I3520" s="1">
        <v>8</v>
      </c>
      <c r="K3520" s="1" t="s">
        <v>524</v>
      </c>
      <c r="L3520" s="1" t="s">
        <v>525</v>
      </c>
      <c r="M3520" s="1">
        <v>101</v>
      </c>
      <c r="N3520" s="1" t="s">
        <v>39</v>
      </c>
      <c r="O3520" s="1">
        <v>38.322000000000003</v>
      </c>
      <c r="P3520" s="1">
        <v>-104.533</v>
      </c>
      <c r="Q3520" s="1" t="s">
        <v>7787</v>
      </c>
      <c r="R3520" s="1" t="s">
        <v>41</v>
      </c>
      <c r="T3520" s="1" t="s">
        <v>71</v>
      </c>
      <c r="U3520" s="1" t="s">
        <v>44</v>
      </c>
      <c r="X3520" s="1" t="s">
        <v>176</v>
      </c>
      <c r="AA3520" s="3">
        <v>40813</v>
      </c>
      <c r="AB3520" s="1" t="s">
        <v>46</v>
      </c>
      <c r="AC3520" s="5">
        <v>418</v>
      </c>
      <c r="AD3520" s="1" t="s">
        <v>7790</v>
      </c>
      <c r="AE3520" s="1" t="str">
        <f t="shared" si="244"/>
        <v>56998 CT04</v>
      </c>
      <c r="AF3520" s="14">
        <f>MID(AD3520,FIND("(",AD3520)+1,FIND(")",AD3520)-FIND("(",AD3520)-1)+20/2</f>
        <v>50</v>
      </c>
      <c r="AG3520" s="1" t="str">
        <f t="shared" si="243"/>
        <v>Y</v>
      </c>
    </row>
    <row r="3521" spans="1:33" x14ac:dyDescent="0.2">
      <c r="A3521" s="1" t="s">
        <v>516</v>
      </c>
      <c r="B3521" s="1" t="s">
        <v>7786</v>
      </c>
      <c r="C3521" s="1">
        <v>56998</v>
      </c>
      <c r="D3521" s="1" t="s">
        <v>1050</v>
      </c>
      <c r="F3521" s="1">
        <v>2023</v>
      </c>
      <c r="G3521" s="1" t="s">
        <v>247</v>
      </c>
      <c r="H3521" s="1" t="s">
        <v>6876</v>
      </c>
      <c r="I3521" s="1">
        <v>8</v>
      </c>
      <c r="K3521" s="1" t="s">
        <v>524</v>
      </c>
      <c r="L3521" s="1" t="s">
        <v>525</v>
      </c>
      <c r="M3521" s="1">
        <v>101</v>
      </c>
      <c r="N3521" s="1" t="s">
        <v>39</v>
      </c>
      <c r="O3521" s="1">
        <v>38.322000000000003</v>
      </c>
      <c r="P3521" s="1">
        <v>-104.533</v>
      </c>
      <c r="Q3521" s="1" t="s">
        <v>7787</v>
      </c>
      <c r="R3521" s="1" t="s">
        <v>41</v>
      </c>
      <c r="T3521" s="1" t="s">
        <v>71</v>
      </c>
      <c r="U3521" s="1" t="s">
        <v>44</v>
      </c>
      <c r="X3521" s="1" t="s">
        <v>176</v>
      </c>
      <c r="AA3521" s="3">
        <v>40815</v>
      </c>
      <c r="AB3521" s="1" t="s">
        <v>46</v>
      </c>
      <c r="AC3521" s="5">
        <v>418</v>
      </c>
      <c r="AD3521" s="1" t="s">
        <v>7791</v>
      </c>
      <c r="AE3521" s="1" t="str">
        <f t="shared" si="244"/>
        <v>56998 CT05</v>
      </c>
      <c r="AF3521" s="14">
        <f>AF3520</f>
        <v>50</v>
      </c>
      <c r="AG3521" s="1" t="str">
        <f t="shared" si="243"/>
        <v>Y</v>
      </c>
    </row>
    <row r="3522" spans="1:33" x14ac:dyDescent="0.2">
      <c r="A3522" s="1" t="s">
        <v>516</v>
      </c>
      <c r="B3522" s="1" t="s">
        <v>7786</v>
      </c>
      <c r="C3522" s="1">
        <v>56998</v>
      </c>
      <c r="D3522" s="1" t="s">
        <v>4517</v>
      </c>
      <c r="F3522" s="1">
        <v>2023</v>
      </c>
      <c r="G3522" s="1" t="s">
        <v>247</v>
      </c>
      <c r="H3522" s="1" t="s">
        <v>6876</v>
      </c>
      <c r="I3522" s="1">
        <v>8</v>
      </c>
      <c r="K3522" s="1" t="s">
        <v>524</v>
      </c>
      <c r="L3522" s="1" t="s">
        <v>525</v>
      </c>
      <c r="M3522" s="1">
        <v>101</v>
      </c>
      <c r="N3522" s="1" t="s">
        <v>39</v>
      </c>
      <c r="O3522" s="1">
        <v>38.322000000000003</v>
      </c>
      <c r="P3522" s="1">
        <v>-104.533</v>
      </c>
      <c r="Q3522" s="1" t="s">
        <v>7787</v>
      </c>
      <c r="R3522" s="1" t="s">
        <v>41</v>
      </c>
      <c r="T3522" s="1" t="s">
        <v>71</v>
      </c>
      <c r="U3522" s="1" t="s">
        <v>44</v>
      </c>
      <c r="X3522" s="1" t="s">
        <v>176</v>
      </c>
      <c r="AA3522" s="3">
        <v>40840</v>
      </c>
      <c r="AB3522" s="1" t="s">
        <v>46</v>
      </c>
      <c r="AC3522" s="5">
        <v>418</v>
      </c>
      <c r="AD3522" s="1" t="s">
        <v>7792</v>
      </c>
      <c r="AE3522" s="1" t="str">
        <f t="shared" si="244"/>
        <v>56998 CT06</v>
      </c>
      <c r="AF3522" s="14">
        <f>MID(AD3522,FIND("(",AD3522)+1,FIND(")",AD3522)-FIND("(",AD3522)-1)+20/2</f>
        <v>50</v>
      </c>
      <c r="AG3522" s="1" t="str">
        <f t="shared" ref="AG3522:AG3585" si="249">IF(ISNUMBER(SEARCH("selective", X3522)), "Y", "")</f>
        <v>Y</v>
      </c>
    </row>
    <row r="3523" spans="1:33" x14ac:dyDescent="0.2">
      <c r="A3523" s="1" t="s">
        <v>516</v>
      </c>
      <c r="B3523" s="1" t="s">
        <v>7786</v>
      </c>
      <c r="C3523" s="1">
        <v>56998</v>
      </c>
      <c r="D3523" s="1" t="s">
        <v>5961</v>
      </c>
      <c r="F3523" s="1">
        <v>2023</v>
      </c>
      <c r="G3523" s="1" t="s">
        <v>247</v>
      </c>
      <c r="H3523" s="1" t="s">
        <v>6876</v>
      </c>
      <c r="I3523" s="1">
        <v>8</v>
      </c>
      <c r="K3523" s="1" t="s">
        <v>524</v>
      </c>
      <c r="L3523" s="1" t="s">
        <v>525</v>
      </c>
      <c r="M3523" s="1">
        <v>101</v>
      </c>
      <c r="N3523" s="1" t="s">
        <v>39</v>
      </c>
      <c r="O3523" s="1">
        <v>38.322000000000003</v>
      </c>
      <c r="P3523" s="1">
        <v>-104.533</v>
      </c>
      <c r="Q3523" s="1" t="s">
        <v>7787</v>
      </c>
      <c r="R3523" s="1" t="s">
        <v>41</v>
      </c>
      <c r="T3523" s="1" t="s">
        <v>71</v>
      </c>
      <c r="U3523" s="1" t="s">
        <v>44</v>
      </c>
      <c r="X3523" s="1" t="s">
        <v>176</v>
      </c>
      <c r="AA3523" s="3">
        <v>40840</v>
      </c>
      <c r="AB3523" s="1" t="s">
        <v>46</v>
      </c>
      <c r="AC3523" s="5">
        <v>418</v>
      </c>
      <c r="AD3523" s="1" t="s">
        <v>7793</v>
      </c>
      <c r="AE3523" s="1" t="str">
        <f t="shared" ref="AE3523:AE3586" si="250">C3523&amp;" "&amp;D3523</f>
        <v>56998 CT07</v>
      </c>
      <c r="AF3523" s="14">
        <f>AF3522</f>
        <v>50</v>
      </c>
      <c r="AG3523" s="1" t="str">
        <f t="shared" si="249"/>
        <v>Y</v>
      </c>
    </row>
    <row r="3524" spans="1:33" x14ac:dyDescent="0.2">
      <c r="A3524" s="1" t="s">
        <v>516</v>
      </c>
      <c r="B3524" s="1" t="s">
        <v>7786</v>
      </c>
      <c r="C3524" s="1">
        <v>56998</v>
      </c>
      <c r="D3524" s="1" t="s">
        <v>5962</v>
      </c>
      <c r="F3524" s="1">
        <v>2023</v>
      </c>
      <c r="G3524" s="1" t="s">
        <v>247</v>
      </c>
      <c r="H3524" s="1" t="s">
        <v>6876</v>
      </c>
      <c r="I3524" s="1">
        <v>8</v>
      </c>
      <c r="K3524" s="1" t="s">
        <v>524</v>
      </c>
      <c r="L3524" s="1" t="s">
        <v>525</v>
      </c>
      <c r="M3524" s="1">
        <v>101</v>
      </c>
      <c r="N3524" s="1" t="s">
        <v>39</v>
      </c>
      <c r="O3524" s="1">
        <v>38.322000000000003</v>
      </c>
      <c r="P3524" s="1">
        <v>-104.533</v>
      </c>
      <c r="Q3524" s="1" t="s">
        <v>7794</v>
      </c>
      <c r="R3524" s="1" t="s">
        <v>41</v>
      </c>
      <c r="T3524" s="1" t="s">
        <v>93</v>
      </c>
      <c r="U3524" s="1" t="s">
        <v>44</v>
      </c>
      <c r="X3524" s="1" t="s">
        <v>223</v>
      </c>
      <c r="AA3524" s="3">
        <v>42702</v>
      </c>
      <c r="AB3524" s="1" t="s">
        <v>46</v>
      </c>
      <c r="AC3524" s="5">
        <v>375</v>
      </c>
      <c r="AD3524" s="1" t="s">
        <v>7795</v>
      </c>
      <c r="AE3524" s="1" t="str">
        <f t="shared" si="250"/>
        <v>56998 CT08</v>
      </c>
      <c r="AF3524" s="5" t="str">
        <f t="shared" ref="AF3524:AF3529" si="251">MID(AD3524,FIND("(",AD3524)+1,FIND(")",AD3524)-FIND("(",AD3524)-1)</f>
        <v>40</v>
      </c>
      <c r="AG3524" s="1" t="str">
        <f t="shared" si="249"/>
        <v>Y</v>
      </c>
    </row>
    <row r="3525" spans="1:33" x14ac:dyDescent="0.2">
      <c r="A3525" s="1" t="s">
        <v>370</v>
      </c>
      <c r="B3525" s="1" t="s">
        <v>7796</v>
      </c>
      <c r="C3525" s="1">
        <v>57001</v>
      </c>
      <c r="D3525" s="1">
        <v>1</v>
      </c>
      <c r="F3525" s="1">
        <v>2023</v>
      </c>
      <c r="G3525" s="1" t="s">
        <v>247</v>
      </c>
      <c r="H3525" s="1">
        <v>601499</v>
      </c>
      <c r="I3525" s="1">
        <v>9</v>
      </c>
      <c r="K3525" s="1" t="s">
        <v>395</v>
      </c>
      <c r="L3525" s="1" t="s">
        <v>396</v>
      </c>
      <c r="M3525" s="1">
        <v>73</v>
      </c>
      <c r="N3525" s="1" t="s">
        <v>39</v>
      </c>
      <c r="O3525" s="1">
        <v>32.7971</v>
      </c>
      <c r="P3525" s="1">
        <v>-116.97199999999999</v>
      </c>
      <c r="Q3525" s="1" t="s">
        <v>7797</v>
      </c>
      <c r="R3525" s="1" t="s">
        <v>41</v>
      </c>
      <c r="T3525" s="1" t="s">
        <v>93</v>
      </c>
      <c r="U3525" s="1" t="s">
        <v>44</v>
      </c>
      <c r="X3525" s="1" t="s">
        <v>176</v>
      </c>
      <c r="AA3525" s="3">
        <v>40330</v>
      </c>
      <c r="AB3525" s="1" t="s">
        <v>46</v>
      </c>
      <c r="AC3525" s="5">
        <v>500</v>
      </c>
      <c r="AD3525" s="1" t="s">
        <v>7595</v>
      </c>
      <c r="AE3525" s="1" t="str">
        <f t="shared" si="250"/>
        <v>57001 1</v>
      </c>
      <c r="AF3525" s="5" t="str">
        <f t="shared" si="251"/>
        <v>49.9</v>
      </c>
      <c r="AG3525" s="1" t="str">
        <f t="shared" si="249"/>
        <v>Y</v>
      </c>
    </row>
    <row r="3526" spans="1:33" x14ac:dyDescent="0.2">
      <c r="A3526" s="1" t="s">
        <v>370</v>
      </c>
      <c r="B3526" s="1" t="s">
        <v>7798</v>
      </c>
      <c r="C3526" s="1">
        <v>57027</v>
      </c>
      <c r="D3526" s="1">
        <v>1</v>
      </c>
      <c r="F3526" s="1">
        <v>2023</v>
      </c>
      <c r="G3526" s="1" t="s">
        <v>247</v>
      </c>
      <c r="H3526" s="1">
        <v>610066</v>
      </c>
      <c r="I3526" s="1">
        <v>9</v>
      </c>
      <c r="K3526" s="1" t="s">
        <v>418</v>
      </c>
      <c r="L3526" s="1" t="s">
        <v>419</v>
      </c>
      <c r="M3526" s="1">
        <v>59</v>
      </c>
      <c r="N3526" s="1" t="s">
        <v>39</v>
      </c>
      <c r="O3526" s="1">
        <v>33.8581</v>
      </c>
      <c r="P3526" s="1">
        <v>-117.8616</v>
      </c>
      <c r="Q3526" s="1" t="s">
        <v>7799</v>
      </c>
      <c r="R3526" s="1" t="s">
        <v>41</v>
      </c>
      <c r="T3526" s="1" t="s">
        <v>93</v>
      </c>
      <c r="U3526" s="1" t="s">
        <v>44</v>
      </c>
      <c r="X3526" s="1" t="s">
        <v>5206</v>
      </c>
      <c r="AA3526" s="3">
        <v>40753</v>
      </c>
      <c r="AB3526" s="1" t="s">
        <v>46</v>
      </c>
      <c r="AC3526" s="5">
        <v>510</v>
      </c>
      <c r="AD3526" s="1" t="s">
        <v>659</v>
      </c>
      <c r="AE3526" s="1" t="str">
        <f t="shared" si="250"/>
        <v>57027 1</v>
      </c>
      <c r="AF3526" s="5" t="str">
        <f t="shared" si="251"/>
        <v>50</v>
      </c>
      <c r="AG3526" s="1" t="str">
        <f t="shared" si="249"/>
        <v/>
      </c>
    </row>
    <row r="3527" spans="1:33" x14ac:dyDescent="0.2">
      <c r="A3527" s="1" t="s">
        <v>370</v>
      </c>
      <c r="B3527" s="1" t="s">
        <v>7798</v>
      </c>
      <c r="C3527" s="1">
        <v>57027</v>
      </c>
      <c r="D3527" s="1">
        <v>2</v>
      </c>
      <c r="F3527" s="1">
        <v>2023</v>
      </c>
      <c r="G3527" s="1" t="s">
        <v>247</v>
      </c>
      <c r="H3527" s="1">
        <v>610066</v>
      </c>
      <c r="I3527" s="1">
        <v>9</v>
      </c>
      <c r="K3527" s="1" t="s">
        <v>418</v>
      </c>
      <c r="L3527" s="1" t="s">
        <v>419</v>
      </c>
      <c r="M3527" s="1">
        <v>59</v>
      </c>
      <c r="N3527" s="1" t="s">
        <v>39</v>
      </c>
      <c r="O3527" s="1">
        <v>33.8581</v>
      </c>
      <c r="P3527" s="1">
        <v>-117.8616</v>
      </c>
      <c r="Q3527" s="1" t="s">
        <v>7799</v>
      </c>
      <c r="R3527" s="1" t="s">
        <v>41</v>
      </c>
      <c r="T3527" s="1" t="s">
        <v>93</v>
      </c>
      <c r="U3527" s="1" t="s">
        <v>44</v>
      </c>
      <c r="X3527" s="1" t="s">
        <v>5206</v>
      </c>
      <c r="AA3527" s="3">
        <v>40740</v>
      </c>
      <c r="AB3527" s="1" t="s">
        <v>46</v>
      </c>
      <c r="AC3527" s="5">
        <v>510</v>
      </c>
      <c r="AD3527" s="1" t="s">
        <v>3705</v>
      </c>
      <c r="AE3527" s="1" t="str">
        <f t="shared" si="250"/>
        <v>57027 2</v>
      </c>
      <c r="AF3527" s="5" t="str">
        <f t="shared" si="251"/>
        <v>50</v>
      </c>
      <c r="AG3527" s="1" t="str">
        <f t="shared" si="249"/>
        <v/>
      </c>
    </row>
    <row r="3528" spans="1:33" x14ac:dyDescent="0.2">
      <c r="A3528" s="1" t="s">
        <v>370</v>
      </c>
      <c r="B3528" s="1" t="s">
        <v>7798</v>
      </c>
      <c r="C3528" s="1">
        <v>57027</v>
      </c>
      <c r="D3528" s="1">
        <v>3</v>
      </c>
      <c r="F3528" s="1">
        <v>2023</v>
      </c>
      <c r="G3528" s="1" t="s">
        <v>247</v>
      </c>
      <c r="H3528" s="1">
        <v>610066</v>
      </c>
      <c r="I3528" s="1">
        <v>9</v>
      </c>
      <c r="K3528" s="1" t="s">
        <v>418</v>
      </c>
      <c r="L3528" s="1" t="s">
        <v>419</v>
      </c>
      <c r="M3528" s="1">
        <v>59</v>
      </c>
      <c r="N3528" s="1" t="s">
        <v>39</v>
      </c>
      <c r="O3528" s="1">
        <v>33.8581</v>
      </c>
      <c r="P3528" s="1">
        <v>-117.8616</v>
      </c>
      <c r="Q3528" s="1" t="s">
        <v>7799</v>
      </c>
      <c r="R3528" s="1" t="s">
        <v>41</v>
      </c>
      <c r="T3528" s="1" t="s">
        <v>93</v>
      </c>
      <c r="U3528" s="1" t="s">
        <v>44</v>
      </c>
      <c r="X3528" s="1" t="s">
        <v>5206</v>
      </c>
      <c r="AA3528" s="3">
        <v>40688</v>
      </c>
      <c r="AB3528" s="1" t="s">
        <v>46</v>
      </c>
      <c r="AC3528" s="5">
        <v>520</v>
      </c>
      <c r="AD3528" s="1" t="s">
        <v>1206</v>
      </c>
      <c r="AE3528" s="1" t="str">
        <f t="shared" si="250"/>
        <v>57027 3</v>
      </c>
      <c r="AF3528" s="5" t="str">
        <f t="shared" si="251"/>
        <v>50</v>
      </c>
      <c r="AG3528" s="1" t="str">
        <f t="shared" si="249"/>
        <v/>
      </c>
    </row>
    <row r="3529" spans="1:33" x14ac:dyDescent="0.2">
      <c r="A3529" s="1" t="s">
        <v>370</v>
      </c>
      <c r="B3529" s="1" t="s">
        <v>7798</v>
      </c>
      <c r="C3529" s="1">
        <v>57027</v>
      </c>
      <c r="D3529" s="1">
        <v>4</v>
      </c>
      <c r="F3529" s="1">
        <v>2023</v>
      </c>
      <c r="G3529" s="1" t="s">
        <v>247</v>
      </c>
      <c r="H3529" s="1">
        <v>610066</v>
      </c>
      <c r="I3529" s="1">
        <v>9</v>
      </c>
      <c r="K3529" s="1" t="s">
        <v>418</v>
      </c>
      <c r="L3529" s="1" t="s">
        <v>419</v>
      </c>
      <c r="M3529" s="1">
        <v>59</v>
      </c>
      <c r="N3529" s="1" t="s">
        <v>39</v>
      </c>
      <c r="O3529" s="1">
        <v>33.8581</v>
      </c>
      <c r="P3529" s="1">
        <v>-117.8616</v>
      </c>
      <c r="Q3529" s="1" t="s">
        <v>7799</v>
      </c>
      <c r="R3529" s="1" t="s">
        <v>41</v>
      </c>
      <c r="T3529" s="1" t="s">
        <v>93</v>
      </c>
      <c r="U3529" s="1" t="s">
        <v>44</v>
      </c>
      <c r="X3529" s="1" t="s">
        <v>5206</v>
      </c>
      <c r="AA3529" s="3">
        <v>40686</v>
      </c>
      <c r="AB3529" s="1" t="s">
        <v>46</v>
      </c>
      <c r="AC3529" s="5">
        <v>510</v>
      </c>
      <c r="AD3529" s="1" t="s">
        <v>1975</v>
      </c>
      <c r="AE3529" s="1" t="str">
        <f t="shared" si="250"/>
        <v>57027 4</v>
      </c>
      <c r="AF3529" s="5" t="str">
        <f t="shared" si="251"/>
        <v>50</v>
      </c>
      <c r="AG3529" s="1" t="str">
        <f t="shared" si="249"/>
        <v/>
      </c>
    </row>
    <row r="3530" spans="1:33" x14ac:dyDescent="0.2">
      <c r="A3530" s="1" t="s">
        <v>4118</v>
      </c>
      <c r="B3530" s="1" t="s">
        <v>7800</v>
      </c>
      <c r="C3530" s="1">
        <v>57028</v>
      </c>
      <c r="D3530" s="1" t="s">
        <v>311</v>
      </c>
      <c r="F3530" s="1">
        <v>2023</v>
      </c>
      <c r="G3530" s="1" t="s">
        <v>247</v>
      </c>
      <c r="H3530" s="1" t="s">
        <v>4539</v>
      </c>
      <c r="I3530" s="1">
        <v>10</v>
      </c>
      <c r="K3530" s="1" t="s">
        <v>7801</v>
      </c>
      <c r="L3530" s="1" t="s">
        <v>7802</v>
      </c>
      <c r="M3530" s="1">
        <v>75</v>
      </c>
      <c r="N3530" s="1" t="s">
        <v>39</v>
      </c>
      <c r="O3530" s="1">
        <v>43.904600000000002</v>
      </c>
      <c r="P3530" s="1">
        <v>-116.8181</v>
      </c>
      <c r="Q3530" s="1" t="s">
        <v>4542</v>
      </c>
      <c r="R3530" s="1" t="s">
        <v>41</v>
      </c>
      <c r="T3530" s="1" t="s">
        <v>71</v>
      </c>
      <c r="U3530" s="1" t="s">
        <v>44</v>
      </c>
      <c r="X3530" s="1" t="s">
        <v>64</v>
      </c>
      <c r="AA3530" s="3">
        <v>41012</v>
      </c>
      <c r="AB3530" s="1" t="s">
        <v>46</v>
      </c>
      <c r="AC3530" s="5">
        <v>2377</v>
      </c>
      <c r="AD3530" s="1" t="s">
        <v>7803</v>
      </c>
      <c r="AE3530" s="1" t="str">
        <f t="shared" si="250"/>
        <v>57028 CT1</v>
      </c>
      <c r="AF3530" s="14">
        <f>MID(AD3530,FIND("(",AD3530)+1,FIND(")",AD3530)-FIND("(",AD3530)-1)+187</f>
        <v>318</v>
      </c>
      <c r="AG3530" s="1" t="str">
        <f t="shared" si="249"/>
        <v>Y</v>
      </c>
    </row>
    <row r="3531" spans="1:33" x14ac:dyDescent="0.2">
      <c r="A3531" s="1" t="s">
        <v>1153</v>
      </c>
      <c r="B3531" s="1" t="s">
        <v>7804</v>
      </c>
      <c r="C3531" s="1">
        <v>57029</v>
      </c>
      <c r="D3531" s="1" t="s">
        <v>7805</v>
      </c>
      <c r="F3531" s="1">
        <v>2023</v>
      </c>
      <c r="G3531" s="1" t="s">
        <v>2319</v>
      </c>
      <c r="H3531" s="1" t="s">
        <v>4161</v>
      </c>
      <c r="I3531" s="1">
        <v>4</v>
      </c>
      <c r="K3531" s="1" t="s">
        <v>2394</v>
      </c>
      <c r="L3531" s="1" t="s">
        <v>2395</v>
      </c>
      <c r="M3531" s="1">
        <v>45</v>
      </c>
      <c r="N3531" s="1" t="s">
        <v>39</v>
      </c>
      <c r="O3531" s="1">
        <v>35.1706</v>
      </c>
      <c r="P3531" s="1">
        <v>-81.4161</v>
      </c>
      <c r="Q3531" s="1" t="s">
        <v>6295</v>
      </c>
      <c r="R3531" s="1" t="s">
        <v>41</v>
      </c>
      <c r="T3531" s="1" t="s">
        <v>93</v>
      </c>
      <c r="U3531" s="1" t="s">
        <v>44</v>
      </c>
      <c r="V3531" s="1" t="s">
        <v>94</v>
      </c>
      <c r="X3531" s="1" t="s">
        <v>183</v>
      </c>
      <c r="AA3531" s="3">
        <v>41100</v>
      </c>
      <c r="AB3531" s="1" t="s">
        <v>46</v>
      </c>
      <c r="AC3531" s="5">
        <v>2210</v>
      </c>
      <c r="AD3531" s="1" t="s">
        <v>7806</v>
      </c>
      <c r="AE3531" s="1" t="str">
        <f t="shared" si="250"/>
        <v>57029 ES1</v>
      </c>
      <c r="AF3531" s="5" t="str">
        <f>MID(AD3531,FIND("(",AD3531)+1,FIND(")",AD3531)-FIND("(",AD3531)-1)</f>
        <v>190</v>
      </c>
      <c r="AG3531" s="1" t="str">
        <f t="shared" si="249"/>
        <v/>
      </c>
    </row>
    <row r="3532" spans="1:33" x14ac:dyDescent="0.2">
      <c r="A3532" s="1" t="s">
        <v>1153</v>
      </c>
      <c r="B3532" s="1" t="s">
        <v>7804</v>
      </c>
      <c r="C3532" s="1">
        <v>57029</v>
      </c>
      <c r="D3532" s="1" t="s">
        <v>7807</v>
      </c>
      <c r="F3532" s="1">
        <v>2023</v>
      </c>
      <c r="G3532" s="1" t="s">
        <v>2319</v>
      </c>
      <c r="H3532" s="1" t="s">
        <v>4161</v>
      </c>
      <c r="I3532" s="1">
        <v>4</v>
      </c>
      <c r="K3532" s="1" t="s">
        <v>2394</v>
      </c>
      <c r="L3532" s="1" t="s">
        <v>2395</v>
      </c>
      <c r="M3532" s="1">
        <v>45</v>
      </c>
      <c r="N3532" s="1" t="s">
        <v>39</v>
      </c>
      <c r="O3532" s="1">
        <v>35.1706</v>
      </c>
      <c r="P3532" s="1">
        <v>-81.4161</v>
      </c>
      <c r="Q3532" s="1" t="s">
        <v>6295</v>
      </c>
      <c r="R3532" s="1" t="s">
        <v>41</v>
      </c>
      <c r="T3532" s="1" t="s">
        <v>93</v>
      </c>
      <c r="U3532" s="1" t="s">
        <v>44</v>
      </c>
      <c r="V3532" s="1" t="s">
        <v>94</v>
      </c>
      <c r="X3532" s="1" t="s">
        <v>183</v>
      </c>
      <c r="AA3532" s="3">
        <v>41128</v>
      </c>
      <c r="AB3532" s="1" t="s">
        <v>46</v>
      </c>
      <c r="AC3532" s="5">
        <v>2210</v>
      </c>
      <c r="AD3532" s="1" t="s">
        <v>7808</v>
      </c>
      <c r="AE3532" s="1" t="str">
        <f t="shared" si="250"/>
        <v>57029 ES2</v>
      </c>
      <c r="AF3532" s="5" t="str">
        <f>MID(AD3532,FIND("(",AD3532)+1,FIND(")",AD3532)-FIND("(",AD3532)-1)</f>
        <v>190</v>
      </c>
      <c r="AG3532" s="1" t="str">
        <f t="shared" si="249"/>
        <v/>
      </c>
    </row>
    <row r="3533" spans="1:33" x14ac:dyDescent="0.2">
      <c r="A3533" s="1" t="s">
        <v>1153</v>
      </c>
      <c r="B3533" s="1" t="s">
        <v>7804</v>
      </c>
      <c r="C3533" s="1">
        <v>57029</v>
      </c>
      <c r="D3533" s="1" t="s">
        <v>7809</v>
      </c>
      <c r="F3533" s="1">
        <v>2023</v>
      </c>
      <c r="G3533" s="1" t="s">
        <v>2319</v>
      </c>
      <c r="H3533" s="1" t="s">
        <v>4161</v>
      </c>
      <c r="I3533" s="1">
        <v>4</v>
      </c>
      <c r="K3533" s="1" t="s">
        <v>2394</v>
      </c>
      <c r="L3533" s="1" t="s">
        <v>2395</v>
      </c>
      <c r="M3533" s="1">
        <v>45</v>
      </c>
      <c r="N3533" s="1" t="s">
        <v>39</v>
      </c>
      <c r="O3533" s="1">
        <v>35.1706</v>
      </c>
      <c r="P3533" s="1">
        <v>-81.4161</v>
      </c>
      <c r="Q3533" s="1" t="s">
        <v>6295</v>
      </c>
      <c r="R3533" s="1" t="s">
        <v>41</v>
      </c>
      <c r="T3533" s="1" t="s">
        <v>93</v>
      </c>
      <c r="U3533" s="1" t="s">
        <v>44</v>
      </c>
      <c r="V3533" s="1" t="s">
        <v>94</v>
      </c>
      <c r="X3533" s="1" t="s">
        <v>183</v>
      </c>
      <c r="AA3533" s="3">
        <v>41163</v>
      </c>
      <c r="AB3533" s="1" t="s">
        <v>46</v>
      </c>
      <c r="AC3533" s="5">
        <v>2210</v>
      </c>
      <c r="AD3533" s="1" t="s">
        <v>7810</v>
      </c>
      <c r="AE3533" s="1" t="str">
        <f t="shared" si="250"/>
        <v>57029 ES3</v>
      </c>
      <c r="AF3533" s="5" t="str">
        <f>MID(AD3533,FIND("(",AD3533)+1,FIND(")",AD3533)-FIND("(",AD3533)-1)</f>
        <v>190</v>
      </c>
      <c r="AG3533" s="1" t="str">
        <f t="shared" si="249"/>
        <v/>
      </c>
    </row>
    <row r="3534" spans="1:33" x14ac:dyDescent="0.2">
      <c r="A3534" s="1" t="s">
        <v>1153</v>
      </c>
      <c r="B3534" s="1" t="s">
        <v>7804</v>
      </c>
      <c r="C3534" s="1">
        <v>57029</v>
      </c>
      <c r="D3534" s="1" t="s">
        <v>7811</v>
      </c>
      <c r="F3534" s="1">
        <v>2023</v>
      </c>
      <c r="G3534" s="1" t="s">
        <v>2319</v>
      </c>
      <c r="H3534" s="1" t="s">
        <v>4161</v>
      </c>
      <c r="I3534" s="1">
        <v>4</v>
      </c>
      <c r="K3534" s="1" t="s">
        <v>2394</v>
      </c>
      <c r="L3534" s="1" t="s">
        <v>2395</v>
      </c>
      <c r="M3534" s="1">
        <v>45</v>
      </c>
      <c r="N3534" s="1" t="s">
        <v>39</v>
      </c>
      <c r="O3534" s="1">
        <v>35.1706</v>
      </c>
      <c r="P3534" s="1">
        <v>-81.4161</v>
      </c>
      <c r="Q3534" s="1" t="s">
        <v>6295</v>
      </c>
      <c r="R3534" s="1" t="s">
        <v>41</v>
      </c>
      <c r="T3534" s="1" t="s">
        <v>93</v>
      </c>
      <c r="U3534" s="1" t="s">
        <v>44</v>
      </c>
      <c r="V3534" s="1" t="s">
        <v>94</v>
      </c>
      <c r="X3534" s="1" t="s">
        <v>183</v>
      </c>
      <c r="AA3534" s="3">
        <v>41191</v>
      </c>
      <c r="AB3534" s="1" t="s">
        <v>46</v>
      </c>
      <c r="AC3534" s="5">
        <v>2210</v>
      </c>
      <c r="AD3534" s="1" t="s">
        <v>7812</v>
      </c>
      <c r="AE3534" s="1" t="str">
        <f t="shared" si="250"/>
        <v>57029 ES4</v>
      </c>
      <c r="AF3534" s="5" t="str">
        <f>MID(AD3534,FIND("(",AD3534)+1,FIND(")",AD3534)-FIND("(",AD3534)-1)</f>
        <v>190</v>
      </c>
      <c r="AG3534" s="1" t="str">
        <f t="shared" si="249"/>
        <v/>
      </c>
    </row>
    <row r="3535" spans="1:33" x14ac:dyDescent="0.2">
      <c r="A3535" s="1" t="s">
        <v>1732</v>
      </c>
      <c r="B3535" s="1" t="s">
        <v>7813</v>
      </c>
      <c r="C3535" s="1">
        <v>57037</v>
      </c>
      <c r="D3535" s="1" t="s">
        <v>7814</v>
      </c>
      <c r="F3535" s="1">
        <v>2023</v>
      </c>
      <c r="G3535" s="1" t="s">
        <v>346</v>
      </c>
      <c r="H3535" s="1">
        <v>610389</v>
      </c>
      <c r="I3535" s="1">
        <v>4</v>
      </c>
      <c r="K3535" s="1" t="s">
        <v>4546</v>
      </c>
      <c r="L3535" s="1" t="s">
        <v>4548</v>
      </c>
      <c r="M3535" s="1">
        <v>69</v>
      </c>
      <c r="N3535" s="1" t="s">
        <v>39</v>
      </c>
      <c r="O3535" s="1">
        <v>32.653799999999997</v>
      </c>
      <c r="P3535" s="1">
        <v>-88.757400000000004</v>
      </c>
      <c r="Q3535" s="1" t="s">
        <v>1735</v>
      </c>
      <c r="R3535" s="1" t="s">
        <v>41</v>
      </c>
      <c r="T3535" s="1" t="s">
        <v>71</v>
      </c>
      <c r="U3535" s="1" t="s">
        <v>44</v>
      </c>
      <c r="X3535" s="1" t="s">
        <v>223</v>
      </c>
      <c r="AA3535" s="3">
        <v>41524</v>
      </c>
      <c r="AB3535" s="1" t="s">
        <v>46</v>
      </c>
      <c r="AC3535" s="5">
        <v>3175</v>
      </c>
      <c r="AD3535" s="1" t="s">
        <v>7815</v>
      </c>
      <c r="AE3535" s="1" t="str">
        <f t="shared" si="250"/>
        <v>57037 AB-001</v>
      </c>
      <c r="AF3535" s="14">
        <f>MID(AD3535,FIND("(",AD3535)+1,FIND(")",AD3535)-FIND("(",AD3535)-1)+369/2</f>
        <v>420</v>
      </c>
      <c r="AG3535" s="1" t="str">
        <f t="shared" si="249"/>
        <v>Y</v>
      </c>
    </row>
    <row r="3536" spans="1:33" x14ac:dyDescent="0.2">
      <c r="A3536" s="1" t="s">
        <v>1732</v>
      </c>
      <c r="B3536" s="1" t="s">
        <v>7813</v>
      </c>
      <c r="C3536" s="1">
        <v>57037</v>
      </c>
      <c r="D3536" s="1" t="s">
        <v>7816</v>
      </c>
      <c r="F3536" s="1">
        <v>2023</v>
      </c>
      <c r="G3536" s="1" t="s">
        <v>346</v>
      </c>
      <c r="H3536" s="1">
        <v>610389</v>
      </c>
      <c r="I3536" s="1">
        <v>4</v>
      </c>
      <c r="K3536" s="1" t="s">
        <v>4546</v>
      </c>
      <c r="L3536" s="1" t="s">
        <v>4548</v>
      </c>
      <c r="M3536" s="1">
        <v>69</v>
      </c>
      <c r="N3536" s="1" t="s">
        <v>39</v>
      </c>
      <c r="O3536" s="1">
        <v>32.653799999999997</v>
      </c>
      <c r="P3536" s="1">
        <v>-88.757400000000004</v>
      </c>
      <c r="Q3536" s="1" t="s">
        <v>1735</v>
      </c>
      <c r="R3536" s="1" t="s">
        <v>41</v>
      </c>
      <c r="T3536" s="1" t="s">
        <v>71</v>
      </c>
      <c r="U3536" s="1" t="s">
        <v>44</v>
      </c>
      <c r="X3536" s="1" t="s">
        <v>223</v>
      </c>
      <c r="AA3536" s="3">
        <v>41529</v>
      </c>
      <c r="AB3536" s="1" t="s">
        <v>46</v>
      </c>
      <c r="AC3536" s="5">
        <v>3175</v>
      </c>
      <c r="AD3536" s="1" t="s">
        <v>7817</v>
      </c>
      <c r="AE3536" s="1" t="str">
        <f t="shared" si="250"/>
        <v>57037 AB-002</v>
      </c>
      <c r="AF3536" s="14">
        <f>AF3535</f>
        <v>420</v>
      </c>
      <c r="AG3536" s="1" t="str">
        <f t="shared" si="249"/>
        <v>Y</v>
      </c>
    </row>
    <row r="3537" spans="1:33" x14ac:dyDescent="0.2">
      <c r="A3537" s="1" t="s">
        <v>370</v>
      </c>
      <c r="B3537" s="1" t="s">
        <v>7818</v>
      </c>
      <c r="C3537" s="1">
        <v>57073</v>
      </c>
      <c r="D3537" s="1" t="s">
        <v>7819</v>
      </c>
      <c r="F3537" s="1">
        <v>2023</v>
      </c>
      <c r="G3537" s="1" t="s">
        <v>247</v>
      </c>
      <c r="H3537" s="1">
        <v>604888</v>
      </c>
      <c r="I3537" s="1">
        <v>9</v>
      </c>
      <c r="K3537" s="1" t="s">
        <v>439</v>
      </c>
      <c r="L3537" s="1" t="s">
        <v>440</v>
      </c>
      <c r="M3537" s="1">
        <v>71</v>
      </c>
      <c r="N3537" s="1" t="s">
        <v>39</v>
      </c>
      <c r="O3537" s="1">
        <v>35.556100000000001</v>
      </c>
      <c r="P3537" s="1">
        <v>-115.4686</v>
      </c>
      <c r="Q3537" s="1" t="s">
        <v>7820</v>
      </c>
      <c r="R3537" s="1" t="s">
        <v>41</v>
      </c>
      <c r="T3537" s="1" t="s">
        <v>656</v>
      </c>
      <c r="U3537" s="1" t="s">
        <v>44</v>
      </c>
      <c r="X3537" s="13"/>
      <c r="AA3537" s="3">
        <v>41622</v>
      </c>
      <c r="AB3537" s="1" t="s">
        <v>46</v>
      </c>
      <c r="AC3537" s="5">
        <v>249</v>
      </c>
      <c r="AD3537" s="1" t="s">
        <v>7821</v>
      </c>
      <c r="AE3537" s="1" t="str">
        <f t="shared" si="250"/>
        <v>57073 BLR1</v>
      </c>
      <c r="AF3537" s="5" t="str">
        <f>MID(AD3537,FIND("(",AD3537)+1,FIND(")",AD3537)-FIND("(",AD3537)-1)</f>
        <v>133.4</v>
      </c>
      <c r="AG3537" s="1" t="str">
        <f t="shared" si="249"/>
        <v/>
      </c>
    </row>
    <row r="3538" spans="1:33" x14ac:dyDescent="0.2">
      <c r="A3538" s="1" t="s">
        <v>370</v>
      </c>
      <c r="B3538" s="1" t="s">
        <v>7822</v>
      </c>
      <c r="C3538" s="1">
        <v>57074</v>
      </c>
      <c r="D3538" s="1" t="s">
        <v>7819</v>
      </c>
      <c r="F3538" s="1">
        <v>2023</v>
      </c>
      <c r="G3538" s="1" t="s">
        <v>247</v>
      </c>
      <c r="H3538" s="1">
        <v>604888</v>
      </c>
      <c r="I3538" s="1">
        <v>9</v>
      </c>
      <c r="K3538" s="1" t="s">
        <v>439</v>
      </c>
      <c r="L3538" s="1" t="s">
        <v>440</v>
      </c>
      <c r="M3538" s="1">
        <v>71</v>
      </c>
      <c r="N3538" s="1" t="s">
        <v>39</v>
      </c>
      <c r="O3538" s="1">
        <v>35.535600000000002</v>
      </c>
      <c r="P3538" s="1">
        <v>-115.4515</v>
      </c>
      <c r="Q3538" s="1" t="s">
        <v>7823</v>
      </c>
      <c r="R3538" s="1" t="s">
        <v>41</v>
      </c>
      <c r="T3538" s="1" t="s">
        <v>656</v>
      </c>
      <c r="U3538" s="1" t="s">
        <v>44</v>
      </c>
      <c r="AA3538" s="3">
        <v>41537</v>
      </c>
      <c r="AB3538" s="1" t="s">
        <v>46</v>
      </c>
      <c r="AC3538" s="5">
        <v>249</v>
      </c>
      <c r="AD3538" s="1" t="s">
        <v>7824</v>
      </c>
      <c r="AE3538" s="1" t="str">
        <f t="shared" si="250"/>
        <v>57074 BLR1</v>
      </c>
      <c r="AF3538" s="5" t="str">
        <f>MID(AD3538,FIND("(",AD3538)+1,FIND(")",AD3538)-FIND("(",AD3538)-1)</f>
        <v>126</v>
      </c>
      <c r="AG3538" s="1" t="str">
        <f t="shared" si="249"/>
        <v/>
      </c>
    </row>
    <row r="3539" spans="1:33" x14ac:dyDescent="0.2">
      <c r="A3539" s="1" t="s">
        <v>370</v>
      </c>
      <c r="B3539" s="1" t="s">
        <v>7825</v>
      </c>
      <c r="C3539" s="1">
        <v>57075</v>
      </c>
      <c r="D3539" s="1" t="s">
        <v>7819</v>
      </c>
      <c r="F3539" s="1">
        <v>2023</v>
      </c>
      <c r="G3539" s="1" t="s">
        <v>247</v>
      </c>
      <c r="H3539" s="1">
        <v>604888</v>
      </c>
      <c r="I3539" s="1">
        <v>9</v>
      </c>
      <c r="K3539" s="1" t="s">
        <v>439</v>
      </c>
      <c r="L3539" s="1" t="s">
        <v>440</v>
      </c>
      <c r="M3539" s="1">
        <v>71</v>
      </c>
      <c r="N3539" s="1" t="s">
        <v>39</v>
      </c>
      <c r="O3539" s="1">
        <v>35.580800000000004</v>
      </c>
      <c r="P3539" s="1">
        <v>-115.4825</v>
      </c>
      <c r="Q3539" s="1" t="s">
        <v>7826</v>
      </c>
      <c r="R3539" s="1" t="s">
        <v>41</v>
      </c>
      <c r="T3539" s="1" t="s">
        <v>656</v>
      </c>
      <c r="U3539" s="1" t="s">
        <v>44</v>
      </c>
      <c r="X3539" s="13"/>
      <c r="AA3539" s="3">
        <v>41614</v>
      </c>
      <c r="AB3539" s="1" t="s">
        <v>46</v>
      </c>
      <c r="AC3539" s="5">
        <v>249</v>
      </c>
      <c r="AD3539" s="1" t="s">
        <v>7821</v>
      </c>
      <c r="AE3539" s="1" t="str">
        <f t="shared" si="250"/>
        <v>57075 BLR1</v>
      </c>
      <c r="AF3539" s="5" t="str">
        <f>MID(AD3539,FIND("(",AD3539)+1,FIND(")",AD3539)-FIND("(",AD3539)-1)</f>
        <v>133.4</v>
      </c>
      <c r="AG3539" s="1" t="str">
        <f t="shared" si="249"/>
        <v/>
      </c>
    </row>
    <row r="3540" spans="1:33" x14ac:dyDescent="0.2">
      <c r="A3540" s="1" t="s">
        <v>2089</v>
      </c>
      <c r="B3540" s="1" t="s">
        <v>7827</v>
      </c>
      <c r="C3540" s="1">
        <v>57185</v>
      </c>
      <c r="D3540" s="1" t="s">
        <v>4348</v>
      </c>
      <c r="F3540" s="1">
        <v>2023</v>
      </c>
      <c r="G3540" s="1" t="s">
        <v>7828</v>
      </c>
      <c r="H3540" s="1">
        <v>608730</v>
      </c>
      <c r="I3540" s="1">
        <v>2</v>
      </c>
      <c r="K3540" s="1" t="s">
        <v>7829</v>
      </c>
      <c r="L3540" s="1" t="s">
        <v>7830</v>
      </c>
      <c r="M3540" s="1">
        <v>27</v>
      </c>
      <c r="N3540" s="1" t="s">
        <v>39</v>
      </c>
      <c r="O3540" s="1">
        <v>41.676200000000001</v>
      </c>
      <c r="P3540" s="1">
        <v>-73.580600000000004</v>
      </c>
      <c r="Q3540" s="1" t="s">
        <v>7831</v>
      </c>
      <c r="R3540" s="1" t="s">
        <v>41</v>
      </c>
      <c r="T3540" s="1" t="s">
        <v>71</v>
      </c>
      <c r="U3540" s="1" t="s">
        <v>44</v>
      </c>
      <c r="X3540" s="1" t="s">
        <v>64</v>
      </c>
      <c r="AA3540" s="3">
        <v>43763</v>
      </c>
      <c r="AB3540" s="1" t="s">
        <v>46</v>
      </c>
      <c r="AC3540" s="5">
        <v>2800</v>
      </c>
      <c r="AD3540" s="1" t="s">
        <v>7832</v>
      </c>
      <c r="AE3540" s="1" t="str">
        <f t="shared" si="250"/>
        <v>57185 U001</v>
      </c>
      <c r="AF3540" s="14">
        <f>MID(AD3540,FIND("(",AD3540)+1,FIND(")",AD3540)-FIND("(",AD3540)-1)+174.3</f>
        <v>410.6</v>
      </c>
      <c r="AG3540" s="1" t="str">
        <f t="shared" si="249"/>
        <v>Y</v>
      </c>
    </row>
    <row r="3541" spans="1:33" x14ac:dyDescent="0.2">
      <c r="A3541" s="1" t="s">
        <v>2089</v>
      </c>
      <c r="B3541" s="1" t="s">
        <v>7827</v>
      </c>
      <c r="C3541" s="1">
        <v>57185</v>
      </c>
      <c r="D3541" s="1" t="s">
        <v>7833</v>
      </c>
      <c r="F3541" s="1">
        <v>2023</v>
      </c>
      <c r="G3541" s="1" t="s">
        <v>7828</v>
      </c>
      <c r="H3541" s="1">
        <v>608730</v>
      </c>
      <c r="I3541" s="1">
        <v>2</v>
      </c>
      <c r="K3541" s="1" t="s">
        <v>7829</v>
      </c>
      <c r="L3541" s="1" t="s">
        <v>7830</v>
      </c>
      <c r="M3541" s="1">
        <v>27</v>
      </c>
      <c r="N3541" s="1" t="s">
        <v>39</v>
      </c>
      <c r="O3541" s="1">
        <v>41.676200000000001</v>
      </c>
      <c r="P3541" s="1">
        <v>-73.580600000000004</v>
      </c>
      <c r="Q3541" s="1" t="s">
        <v>7831</v>
      </c>
      <c r="R3541" s="1" t="s">
        <v>41</v>
      </c>
      <c r="T3541" s="1" t="s">
        <v>71</v>
      </c>
      <c r="U3541" s="1" t="s">
        <v>44</v>
      </c>
      <c r="X3541" s="1" t="s">
        <v>64</v>
      </c>
      <c r="AA3541" s="3">
        <v>43790</v>
      </c>
      <c r="AB3541" s="1" t="s">
        <v>46</v>
      </c>
      <c r="AC3541" s="5">
        <v>2800</v>
      </c>
      <c r="AD3541" s="1" t="s">
        <v>7834</v>
      </c>
      <c r="AE3541" s="1" t="str">
        <f t="shared" si="250"/>
        <v>57185 U002</v>
      </c>
      <c r="AF3541" s="14">
        <f>MID(AD3541,FIND("(",AD3541)+1,FIND(")",AD3541)-FIND("(",AD3541)-1)+174.3</f>
        <v>410.6</v>
      </c>
      <c r="AG3541" s="1" t="str">
        <f t="shared" si="249"/>
        <v>Y</v>
      </c>
    </row>
    <row r="3542" spans="1:33" x14ac:dyDescent="0.2">
      <c r="A3542" s="1" t="s">
        <v>2089</v>
      </c>
      <c r="B3542" s="1" t="s">
        <v>7827</v>
      </c>
      <c r="C3542" s="1">
        <v>57185</v>
      </c>
      <c r="D3542" s="1" t="s">
        <v>7835</v>
      </c>
      <c r="F3542" s="1">
        <v>2023</v>
      </c>
      <c r="G3542" s="1" t="s">
        <v>7828</v>
      </c>
      <c r="H3542" s="1">
        <v>608730</v>
      </c>
      <c r="I3542" s="1">
        <v>2</v>
      </c>
      <c r="K3542" s="1" t="s">
        <v>7829</v>
      </c>
      <c r="L3542" s="1" t="s">
        <v>7830</v>
      </c>
      <c r="M3542" s="1">
        <v>27</v>
      </c>
      <c r="N3542" s="1" t="s">
        <v>39</v>
      </c>
      <c r="O3542" s="1">
        <v>41.676200000000001</v>
      </c>
      <c r="P3542" s="1">
        <v>-73.580600000000004</v>
      </c>
      <c r="Q3542" s="1" t="s">
        <v>7831</v>
      </c>
      <c r="R3542" s="1" t="s">
        <v>41</v>
      </c>
      <c r="T3542" s="1" t="s">
        <v>71</v>
      </c>
      <c r="U3542" s="1" t="s">
        <v>44</v>
      </c>
      <c r="X3542" s="1" t="s">
        <v>64</v>
      </c>
      <c r="AA3542" s="3">
        <v>43893</v>
      </c>
      <c r="AB3542" s="1" t="s">
        <v>46</v>
      </c>
      <c r="AC3542" s="5">
        <v>2800</v>
      </c>
      <c r="AD3542" s="1" t="s">
        <v>7836</v>
      </c>
      <c r="AE3542" s="1" t="str">
        <f t="shared" si="250"/>
        <v>57185 U003</v>
      </c>
      <c r="AF3542" s="14">
        <f>MID(AD3542,FIND("(",AD3542)+1,FIND(")",AD3542)-FIND("(",AD3542)-1)+236.3</f>
        <v>410.6</v>
      </c>
      <c r="AG3542" s="1" t="str">
        <f t="shared" si="249"/>
        <v>Y</v>
      </c>
    </row>
    <row r="3543" spans="1:33" x14ac:dyDescent="0.2">
      <c r="A3543" s="1" t="s">
        <v>304</v>
      </c>
      <c r="B3543" s="1" t="s">
        <v>7837</v>
      </c>
      <c r="C3543" s="1">
        <v>57241</v>
      </c>
      <c r="D3543" s="1" t="s">
        <v>7838</v>
      </c>
      <c r="F3543" s="1">
        <v>2023</v>
      </c>
      <c r="G3543" s="1" t="s">
        <v>247</v>
      </c>
      <c r="H3543" s="1">
        <v>605542</v>
      </c>
      <c r="I3543" s="1">
        <v>4</v>
      </c>
      <c r="J3543" s="1" t="s">
        <v>796</v>
      </c>
      <c r="K3543" s="1" t="s">
        <v>867</v>
      </c>
      <c r="L3543" s="1" t="s">
        <v>868</v>
      </c>
      <c r="M3543" s="1">
        <v>1</v>
      </c>
      <c r="N3543" s="1" t="s">
        <v>39</v>
      </c>
      <c r="O3543" s="1">
        <v>29.767499999999998</v>
      </c>
      <c r="P3543" s="1">
        <v>-82.3964</v>
      </c>
      <c r="Q3543" s="1" t="s">
        <v>869</v>
      </c>
      <c r="R3543" s="1" t="s">
        <v>41</v>
      </c>
      <c r="T3543" s="1" t="s">
        <v>7167</v>
      </c>
      <c r="U3543" s="1" t="s">
        <v>657</v>
      </c>
      <c r="X3543" s="1" t="s">
        <v>223</v>
      </c>
      <c r="Y3543" s="1" t="s">
        <v>232</v>
      </c>
      <c r="AA3543" s="3">
        <v>41502</v>
      </c>
      <c r="AB3543" s="1" t="s">
        <v>46</v>
      </c>
      <c r="AC3543" s="5">
        <v>1673.7</v>
      </c>
      <c r="AD3543" s="1" t="s">
        <v>7839</v>
      </c>
      <c r="AE3543" s="1" t="str">
        <f t="shared" si="250"/>
        <v>57241 BFB1</v>
      </c>
      <c r="AF3543" s="5" t="str">
        <f>MID(AD3543,FIND("(",AD3543)+1,FIND(")",AD3543)-FIND("(",AD3543)-1)</f>
        <v>116.1</v>
      </c>
      <c r="AG3543" s="1" t="str">
        <f t="shared" si="249"/>
        <v>Y</v>
      </c>
    </row>
    <row r="3544" spans="1:33" x14ac:dyDescent="0.2">
      <c r="A3544" s="1" t="s">
        <v>370</v>
      </c>
      <c r="B3544" s="1" t="s">
        <v>7840</v>
      </c>
      <c r="C3544" s="1">
        <v>57267</v>
      </c>
      <c r="D3544" s="1">
        <v>1</v>
      </c>
      <c r="F3544" s="1">
        <v>2023</v>
      </c>
      <c r="G3544" s="1" t="s">
        <v>247</v>
      </c>
      <c r="H3544" s="1">
        <v>609364</v>
      </c>
      <c r="I3544" s="1">
        <v>9</v>
      </c>
      <c r="K3544" s="1" t="s">
        <v>6007</v>
      </c>
      <c r="L3544" s="1" t="s">
        <v>6008</v>
      </c>
      <c r="M3544" s="1">
        <v>13</v>
      </c>
      <c r="N3544" s="1" t="s">
        <v>39</v>
      </c>
      <c r="O3544" s="1">
        <v>38.017099999999999</v>
      </c>
      <c r="P3544" s="1">
        <v>-121.7651</v>
      </c>
      <c r="Q3544" s="1" t="s">
        <v>7841</v>
      </c>
      <c r="R3544" s="1" t="s">
        <v>41</v>
      </c>
      <c r="T3544" s="1" t="s">
        <v>93</v>
      </c>
      <c r="U3544" s="1" t="s">
        <v>44</v>
      </c>
      <c r="X3544" s="1" t="s">
        <v>64</v>
      </c>
      <c r="AA3544" s="3">
        <v>41250</v>
      </c>
      <c r="AB3544" s="1" t="s">
        <v>46</v>
      </c>
      <c r="AC3544" s="5">
        <v>2202</v>
      </c>
      <c r="AD3544" s="1" t="s">
        <v>4728</v>
      </c>
      <c r="AE3544" s="1" t="str">
        <f t="shared" si="250"/>
        <v>57267 1</v>
      </c>
      <c r="AF3544" s="5" t="str">
        <f>MID(AD3544,FIND("(",AD3544)+1,FIND(")",AD3544)-FIND("(",AD3544)-1)</f>
        <v>207</v>
      </c>
      <c r="AG3544" s="1" t="str">
        <f t="shared" si="249"/>
        <v>Y</v>
      </c>
    </row>
    <row r="3545" spans="1:33" x14ac:dyDescent="0.2">
      <c r="A3545" s="1" t="s">
        <v>370</v>
      </c>
      <c r="B3545" s="1" t="s">
        <v>7840</v>
      </c>
      <c r="C3545" s="1">
        <v>57267</v>
      </c>
      <c r="D3545" s="1">
        <v>2</v>
      </c>
      <c r="F3545" s="1">
        <v>2023</v>
      </c>
      <c r="G3545" s="1" t="s">
        <v>247</v>
      </c>
      <c r="H3545" s="1">
        <v>609364</v>
      </c>
      <c r="I3545" s="1">
        <v>9</v>
      </c>
      <c r="K3545" s="1" t="s">
        <v>6007</v>
      </c>
      <c r="L3545" s="1" t="s">
        <v>6008</v>
      </c>
      <c r="M3545" s="1">
        <v>13</v>
      </c>
      <c r="N3545" s="1" t="s">
        <v>39</v>
      </c>
      <c r="O3545" s="1">
        <v>38.017099999999999</v>
      </c>
      <c r="P3545" s="1">
        <v>-121.7651</v>
      </c>
      <c r="Q3545" s="1" t="s">
        <v>7841</v>
      </c>
      <c r="R3545" s="1" t="s">
        <v>41</v>
      </c>
      <c r="T3545" s="1" t="s">
        <v>93</v>
      </c>
      <c r="U3545" s="1" t="s">
        <v>44</v>
      </c>
      <c r="X3545" s="1" t="s">
        <v>64</v>
      </c>
      <c r="AA3545" s="3">
        <v>41278</v>
      </c>
      <c r="AB3545" s="1" t="s">
        <v>46</v>
      </c>
      <c r="AC3545" s="5">
        <v>2202</v>
      </c>
      <c r="AD3545" s="1" t="s">
        <v>7842</v>
      </c>
      <c r="AE3545" s="1" t="str">
        <f t="shared" si="250"/>
        <v>57267 2</v>
      </c>
      <c r="AF3545" s="5" t="str">
        <f>MID(AD3545,FIND("(",AD3545)+1,FIND(")",AD3545)-FIND("(",AD3545)-1)</f>
        <v>207</v>
      </c>
      <c r="AG3545" s="1" t="str">
        <f t="shared" si="249"/>
        <v>Y</v>
      </c>
    </row>
    <row r="3546" spans="1:33" x14ac:dyDescent="0.2">
      <c r="A3546" s="1" t="s">
        <v>370</v>
      </c>
      <c r="B3546" s="1" t="s">
        <v>7840</v>
      </c>
      <c r="C3546" s="1">
        <v>57267</v>
      </c>
      <c r="D3546" s="1">
        <v>3</v>
      </c>
      <c r="F3546" s="1">
        <v>2023</v>
      </c>
      <c r="G3546" s="1" t="s">
        <v>247</v>
      </c>
      <c r="H3546" s="1">
        <v>609364</v>
      </c>
      <c r="I3546" s="1">
        <v>9</v>
      </c>
      <c r="K3546" s="1" t="s">
        <v>6007</v>
      </c>
      <c r="L3546" s="1" t="s">
        <v>6008</v>
      </c>
      <c r="M3546" s="1">
        <v>13</v>
      </c>
      <c r="N3546" s="1" t="s">
        <v>39</v>
      </c>
      <c r="O3546" s="1">
        <v>38.017099999999999</v>
      </c>
      <c r="P3546" s="1">
        <v>-121.7651</v>
      </c>
      <c r="Q3546" s="1" t="s">
        <v>7841</v>
      </c>
      <c r="R3546" s="1" t="s">
        <v>41</v>
      </c>
      <c r="T3546" s="1" t="s">
        <v>93</v>
      </c>
      <c r="U3546" s="1" t="s">
        <v>44</v>
      </c>
      <c r="X3546" s="1" t="s">
        <v>64</v>
      </c>
      <c r="AA3546" s="3">
        <v>41337</v>
      </c>
      <c r="AB3546" s="1" t="s">
        <v>46</v>
      </c>
      <c r="AC3546" s="5">
        <v>2202</v>
      </c>
      <c r="AD3546" s="1" t="s">
        <v>7843</v>
      </c>
      <c r="AE3546" s="1" t="str">
        <f t="shared" si="250"/>
        <v>57267 3</v>
      </c>
      <c r="AF3546" s="5" t="str">
        <f>MID(AD3546,FIND("(",AD3546)+1,FIND(")",AD3546)-FIND("(",AD3546)-1)</f>
        <v>207</v>
      </c>
      <c r="AG3546" s="1" t="str">
        <f t="shared" si="249"/>
        <v>Y</v>
      </c>
    </row>
    <row r="3547" spans="1:33" x14ac:dyDescent="0.2">
      <c r="A3547" s="1" t="s">
        <v>370</v>
      </c>
      <c r="B3547" s="1" t="s">
        <v>7840</v>
      </c>
      <c r="C3547" s="1">
        <v>57267</v>
      </c>
      <c r="D3547" s="1">
        <v>4</v>
      </c>
      <c r="F3547" s="1">
        <v>2023</v>
      </c>
      <c r="G3547" s="1" t="s">
        <v>247</v>
      </c>
      <c r="H3547" s="1">
        <v>609364</v>
      </c>
      <c r="I3547" s="1">
        <v>9</v>
      </c>
      <c r="K3547" s="1" t="s">
        <v>6007</v>
      </c>
      <c r="L3547" s="1" t="s">
        <v>6008</v>
      </c>
      <c r="M3547" s="1">
        <v>13</v>
      </c>
      <c r="N3547" s="1" t="s">
        <v>39</v>
      </c>
      <c r="O3547" s="1">
        <v>38.017099999999999</v>
      </c>
      <c r="P3547" s="1">
        <v>-121.7651</v>
      </c>
      <c r="Q3547" s="1" t="s">
        <v>7841</v>
      </c>
      <c r="R3547" s="1" t="s">
        <v>41</v>
      </c>
      <c r="T3547" s="1" t="s">
        <v>93</v>
      </c>
      <c r="U3547" s="1" t="s">
        <v>44</v>
      </c>
      <c r="X3547" s="1" t="s">
        <v>64</v>
      </c>
      <c r="AA3547" s="3">
        <v>41331</v>
      </c>
      <c r="AB3547" s="1" t="s">
        <v>46</v>
      </c>
      <c r="AC3547" s="5">
        <v>2202</v>
      </c>
      <c r="AD3547" s="1" t="s">
        <v>7844</v>
      </c>
      <c r="AE3547" s="1" t="str">
        <f t="shared" si="250"/>
        <v>57267 4</v>
      </c>
      <c r="AF3547" s="5" t="str">
        <f>MID(AD3547,FIND("(",AD3547)+1,FIND(")",AD3547)-FIND("(",AD3547)-1)</f>
        <v>207</v>
      </c>
      <c r="AG3547" s="1" t="str">
        <f t="shared" si="249"/>
        <v>Y</v>
      </c>
    </row>
    <row r="3548" spans="1:33" x14ac:dyDescent="0.2">
      <c r="A3548" s="1" t="s">
        <v>660</v>
      </c>
      <c r="B3548" s="1" t="s">
        <v>7845</v>
      </c>
      <c r="C3548" s="1">
        <v>57349</v>
      </c>
      <c r="D3548" s="1">
        <v>1</v>
      </c>
      <c r="F3548" s="1">
        <v>2023</v>
      </c>
      <c r="G3548" s="1" t="s">
        <v>579</v>
      </c>
      <c r="H3548" s="1">
        <v>608683</v>
      </c>
      <c r="I3548" s="1">
        <v>3</v>
      </c>
      <c r="K3548" s="1" t="s">
        <v>4057</v>
      </c>
      <c r="L3548" s="1" t="s">
        <v>4058</v>
      </c>
      <c r="M3548" s="1">
        <v>1</v>
      </c>
      <c r="N3548" s="1" t="s">
        <v>39</v>
      </c>
      <c r="O3548" s="1">
        <v>39.188200000000002</v>
      </c>
      <c r="P3548" s="1">
        <v>-75.499899999999997</v>
      </c>
      <c r="Q3548" s="1" t="s">
        <v>7846</v>
      </c>
      <c r="R3548" s="1" t="s">
        <v>41</v>
      </c>
      <c r="T3548" s="1" t="s">
        <v>71</v>
      </c>
      <c r="U3548" s="1" t="s">
        <v>44</v>
      </c>
      <c r="V3548" s="1" t="s">
        <v>94</v>
      </c>
      <c r="X3548" s="1" t="s">
        <v>64</v>
      </c>
      <c r="AA3548" s="3">
        <v>42124</v>
      </c>
      <c r="AB3548" s="1" t="s">
        <v>46</v>
      </c>
      <c r="AC3548" s="5">
        <v>2272</v>
      </c>
      <c r="AD3548" s="1" t="s">
        <v>7847</v>
      </c>
      <c r="AE3548" s="1" t="str">
        <f t="shared" si="250"/>
        <v>57349 1</v>
      </c>
      <c r="AF3548" s="14">
        <f>MID(AD3548,FIND("(",AD3548)+1,FIND(")",AD3548)-FIND("(",AD3548)-1)+235</f>
        <v>361</v>
      </c>
      <c r="AG3548" s="1" t="str">
        <f t="shared" si="249"/>
        <v>Y</v>
      </c>
    </row>
    <row r="3549" spans="1:33" x14ac:dyDescent="0.2">
      <c r="A3549" s="1" t="s">
        <v>370</v>
      </c>
      <c r="B3549" s="1" t="s">
        <v>7848</v>
      </c>
      <c r="C3549" s="1">
        <v>57482</v>
      </c>
      <c r="D3549" s="1">
        <v>1</v>
      </c>
      <c r="F3549" s="1">
        <v>2023</v>
      </c>
      <c r="G3549" s="1" t="s">
        <v>247</v>
      </c>
      <c r="H3549" s="1">
        <v>2321</v>
      </c>
      <c r="I3549" s="1">
        <v>9</v>
      </c>
      <c r="K3549" s="1" t="s">
        <v>6451</v>
      </c>
      <c r="L3549" s="1" t="s">
        <v>6452</v>
      </c>
      <c r="M3549" s="1">
        <v>65</v>
      </c>
      <c r="N3549" s="1" t="s">
        <v>39</v>
      </c>
      <c r="O3549" s="1">
        <v>33.936599999999999</v>
      </c>
      <c r="P3549" s="1">
        <v>-116.5722</v>
      </c>
      <c r="Q3549" s="1" t="s">
        <v>7849</v>
      </c>
      <c r="R3549" s="1" t="s">
        <v>41</v>
      </c>
      <c r="T3549" s="1" t="s">
        <v>93</v>
      </c>
      <c r="U3549" s="1" t="s">
        <v>44</v>
      </c>
      <c r="X3549" s="1" t="s">
        <v>176</v>
      </c>
      <c r="AA3549" s="3">
        <v>41283</v>
      </c>
      <c r="AB3549" s="1" t="s">
        <v>46</v>
      </c>
      <c r="AC3549" s="5">
        <v>961.4</v>
      </c>
      <c r="AD3549" s="1" t="s">
        <v>7850</v>
      </c>
      <c r="AE3549" s="1" t="str">
        <f t="shared" si="250"/>
        <v>57482 1</v>
      </c>
      <c r="AF3549" s="5" t="str">
        <f t="shared" ref="AF3549:AF3568" si="252">MID(AD3549,FIND("(",AD3549)+1,FIND(")",AD3549)-FIND("(",AD3549)-1)</f>
        <v>108</v>
      </c>
      <c r="AG3549" s="1" t="str">
        <f t="shared" si="249"/>
        <v>Y</v>
      </c>
    </row>
    <row r="3550" spans="1:33" x14ac:dyDescent="0.2">
      <c r="A3550" s="1" t="s">
        <v>370</v>
      </c>
      <c r="B3550" s="1" t="s">
        <v>7848</v>
      </c>
      <c r="C3550" s="1">
        <v>57482</v>
      </c>
      <c r="D3550" s="1">
        <v>2</v>
      </c>
      <c r="F3550" s="1">
        <v>2023</v>
      </c>
      <c r="G3550" s="1" t="s">
        <v>247</v>
      </c>
      <c r="H3550" s="1">
        <v>2321</v>
      </c>
      <c r="I3550" s="1">
        <v>9</v>
      </c>
      <c r="K3550" s="1" t="s">
        <v>6451</v>
      </c>
      <c r="L3550" s="1" t="s">
        <v>6452</v>
      </c>
      <c r="M3550" s="1">
        <v>65</v>
      </c>
      <c r="N3550" s="1" t="s">
        <v>39</v>
      </c>
      <c r="O3550" s="1">
        <v>33.936599999999999</v>
      </c>
      <c r="P3550" s="1">
        <v>-116.5722</v>
      </c>
      <c r="Q3550" s="1" t="s">
        <v>7849</v>
      </c>
      <c r="R3550" s="1" t="s">
        <v>41</v>
      </c>
      <c r="T3550" s="1" t="s">
        <v>93</v>
      </c>
      <c r="U3550" s="1" t="s">
        <v>44</v>
      </c>
      <c r="X3550" s="1" t="s">
        <v>176</v>
      </c>
      <c r="AA3550" s="3">
        <v>41285</v>
      </c>
      <c r="AB3550" s="1" t="s">
        <v>46</v>
      </c>
      <c r="AC3550" s="5">
        <v>929.7</v>
      </c>
      <c r="AD3550" s="1" t="s">
        <v>7851</v>
      </c>
      <c r="AE3550" s="1" t="str">
        <f t="shared" si="250"/>
        <v>57482 2</v>
      </c>
      <c r="AF3550" s="5" t="str">
        <f t="shared" si="252"/>
        <v>108</v>
      </c>
      <c r="AG3550" s="1" t="str">
        <f t="shared" si="249"/>
        <v>Y</v>
      </c>
    </row>
    <row r="3551" spans="1:33" x14ac:dyDescent="0.2">
      <c r="A3551" s="1" t="s">
        <v>370</v>
      </c>
      <c r="B3551" s="1" t="s">
        <v>7848</v>
      </c>
      <c r="C3551" s="1">
        <v>57482</v>
      </c>
      <c r="D3551" s="1">
        <v>3</v>
      </c>
      <c r="F3551" s="1">
        <v>2023</v>
      </c>
      <c r="G3551" s="1" t="s">
        <v>247</v>
      </c>
      <c r="H3551" s="1">
        <v>2321</v>
      </c>
      <c r="I3551" s="1">
        <v>9</v>
      </c>
      <c r="K3551" s="1" t="s">
        <v>6451</v>
      </c>
      <c r="L3551" s="1" t="s">
        <v>6452</v>
      </c>
      <c r="M3551" s="1">
        <v>65</v>
      </c>
      <c r="N3551" s="1" t="s">
        <v>39</v>
      </c>
      <c r="O3551" s="1">
        <v>33.936599999999999</v>
      </c>
      <c r="P3551" s="1">
        <v>-116.5722</v>
      </c>
      <c r="Q3551" s="1" t="s">
        <v>7849</v>
      </c>
      <c r="R3551" s="1" t="s">
        <v>41</v>
      </c>
      <c r="T3551" s="1" t="s">
        <v>93</v>
      </c>
      <c r="U3551" s="1" t="s">
        <v>44</v>
      </c>
      <c r="X3551" s="1" t="s">
        <v>176</v>
      </c>
      <c r="AA3551" s="3">
        <v>41295</v>
      </c>
      <c r="AB3551" s="1" t="s">
        <v>46</v>
      </c>
      <c r="AC3551" s="5">
        <v>944.1</v>
      </c>
      <c r="AD3551" s="1" t="s">
        <v>7852</v>
      </c>
      <c r="AE3551" s="1" t="str">
        <f t="shared" si="250"/>
        <v>57482 3</v>
      </c>
      <c r="AF3551" s="5" t="str">
        <f t="shared" si="252"/>
        <v>108</v>
      </c>
      <c r="AG3551" s="1" t="str">
        <f t="shared" si="249"/>
        <v>Y</v>
      </c>
    </row>
    <row r="3552" spans="1:33" x14ac:dyDescent="0.2">
      <c r="A3552" s="1" t="s">
        <v>370</v>
      </c>
      <c r="B3552" s="1" t="s">
        <v>7848</v>
      </c>
      <c r="C3552" s="1">
        <v>57482</v>
      </c>
      <c r="D3552" s="1">
        <v>4</v>
      </c>
      <c r="F3552" s="1">
        <v>2023</v>
      </c>
      <c r="G3552" s="1" t="s">
        <v>247</v>
      </c>
      <c r="H3552" s="1">
        <v>2321</v>
      </c>
      <c r="I3552" s="1">
        <v>9</v>
      </c>
      <c r="K3552" s="1" t="s">
        <v>6451</v>
      </c>
      <c r="L3552" s="1" t="s">
        <v>6452</v>
      </c>
      <c r="M3552" s="1">
        <v>65</v>
      </c>
      <c r="N3552" s="1" t="s">
        <v>39</v>
      </c>
      <c r="O3552" s="1">
        <v>33.936599999999999</v>
      </c>
      <c r="P3552" s="1">
        <v>-116.5722</v>
      </c>
      <c r="Q3552" s="1" t="s">
        <v>7849</v>
      </c>
      <c r="R3552" s="1" t="s">
        <v>41</v>
      </c>
      <c r="T3552" s="1" t="s">
        <v>93</v>
      </c>
      <c r="U3552" s="1" t="s">
        <v>44</v>
      </c>
      <c r="X3552" s="1" t="s">
        <v>176</v>
      </c>
      <c r="AA3552" s="3">
        <v>41307</v>
      </c>
      <c r="AB3552" s="1" t="s">
        <v>46</v>
      </c>
      <c r="AC3552" s="5">
        <v>891.7</v>
      </c>
      <c r="AD3552" s="1" t="s">
        <v>7853</v>
      </c>
      <c r="AE3552" s="1" t="str">
        <f t="shared" si="250"/>
        <v>57482 4</v>
      </c>
      <c r="AF3552" s="5" t="str">
        <f t="shared" si="252"/>
        <v>108</v>
      </c>
      <c r="AG3552" s="1" t="str">
        <f t="shared" si="249"/>
        <v>Y</v>
      </c>
    </row>
    <row r="3553" spans="1:33" x14ac:dyDescent="0.2">
      <c r="A3553" s="1" t="s">
        <v>370</v>
      </c>
      <c r="B3553" s="1" t="s">
        <v>7848</v>
      </c>
      <c r="C3553" s="1">
        <v>57482</v>
      </c>
      <c r="D3553" s="1">
        <v>5</v>
      </c>
      <c r="F3553" s="1">
        <v>2023</v>
      </c>
      <c r="G3553" s="1" t="s">
        <v>247</v>
      </c>
      <c r="H3553" s="1">
        <v>2321</v>
      </c>
      <c r="I3553" s="1">
        <v>9</v>
      </c>
      <c r="K3553" s="1" t="s">
        <v>6451</v>
      </c>
      <c r="L3553" s="1" t="s">
        <v>6452</v>
      </c>
      <c r="M3553" s="1">
        <v>65</v>
      </c>
      <c r="N3553" s="1" t="s">
        <v>39</v>
      </c>
      <c r="O3553" s="1">
        <v>33.936599999999999</v>
      </c>
      <c r="P3553" s="1">
        <v>-116.5722</v>
      </c>
      <c r="Q3553" s="1" t="s">
        <v>7849</v>
      </c>
      <c r="R3553" s="1" t="s">
        <v>41</v>
      </c>
      <c r="T3553" s="1" t="s">
        <v>93</v>
      </c>
      <c r="U3553" s="1" t="s">
        <v>44</v>
      </c>
      <c r="X3553" s="1" t="s">
        <v>176</v>
      </c>
      <c r="AA3553" s="3">
        <v>41310</v>
      </c>
      <c r="AB3553" s="1" t="s">
        <v>46</v>
      </c>
      <c r="AC3553" s="5">
        <v>891.7</v>
      </c>
      <c r="AD3553" s="1" t="s">
        <v>7854</v>
      </c>
      <c r="AE3553" s="1" t="str">
        <f t="shared" si="250"/>
        <v>57482 5</v>
      </c>
      <c r="AF3553" s="5" t="str">
        <f t="shared" si="252"/>
        <v>108</v>
      </c>
      <c r="AG3553" s="1" t="str">
        <f t="shared" si="249"/>
        <v>Y</v>
      </c>
    </row>
    <row r="3554" spans="1:33" x14ac:dyDescent="0.2">
      <c r="A3554" s="1" t="s">
        <v>370</v>
      </c>
      <c r="B3554" s="1" t="s">
        <v>7848</v>
      </c>
      <c r="C3554" s="1">
        <v>57482</v>
      </c>
      <c r="D3554" s="1">
        <v>6</v>
      </c>
      <c r="F3554" s="1">
        <v>2023</v>
      </c>
      <c r="G3554" s="1" t="s">
        <v>247</v>
      </c>
      <c r="H3554" s="1">
        <v>2321</v>
      </c>
      <c r="I3554" s="1">
        <v>9</v>
      </c>
      <c r="K3554" s="1" t="s">
        <v>6451</v>
      </c>
      <c r="L3554" s="1" t="s">
        <v>6452</v>
      </c>
      <c r="M3554" s="1">
        <v>65</v>
      </c>
      <c r="N3554" s="1" t="s">
        <v>39</v>
      </c>
      <c r="O3554" s="1">
        <v>33.936599999999999</v>
      </c>
      <c r="P3554" s="1">
        <v>-116.5722</v>
      </c>
      <c r="Q3554" s="1" t="s">
        <v>7849</v>
      </c>
      <c r="R3554" s="1" t="s">
        <v>41</v>
      </c>
      <c r="T3554" s="1" t="s">
        <v>93</v>
      </c>
      <c r="U3554" s="1" t="s">
        <v>44</v>
      </c>
      <c r="X3554" s="1" t="s">
        <v>176</v>
      </c>
      <c r="AA3554" s="3">
        <v>41322</v>
      </c>
      <c r="AB3554" s="1" t="s">
        <v>46</v>
      </c>
      <c r="AC3554" s="5">
        <v>891.7</v>
      </c>
      <c r="AD3554" s="1" t="s">
        <v>7855</v>
      </c>
      <c r="AE3554" s="1" t="str">
        <f t="shared" si="250"/>
        <v>57482 6</v>
      </c>
      <c r="AF3554" s="5" t="str">
        <f t="shared" si="252"/>
        <v>108</v>
      </c>
      <c r="AG3554" s="1" t="str">
        <f t="shared" si="249"/>
        <v>Y</v>
      </c>
    </row>
    <row r="3555" spans="1:33" x14ac:dyDescent="0.2">
      <c r="A3555" s="1" t="s">
        <v>370</v>
      </c>
      <c r="B3555" s="1" t="s">
        <v>7848</v>
      </c>
      <c r="C3555" s="1">
        <v>57482</v>
      </c>
      <c r="D3555" s="1">
        <v>7</v>
      </c>
      <c r="F3555" s="1">
        <v>2023</v>
      </c>
      <c r="G3555" s="1" t="s">
        <v>247</v>
      </c>
      <c r="H3555" s="1">
        <v>2321</v>
      </c>
      <c r="I3555" s="1">
        <v>9</v>
      </c>
      <c r="K3555" s="1" t="s">
        <v>6451</v>
      </c>
      <c r="L3555" s="1" t="s">
        <v>6452</v>
      </c>
      <c r="M3555" s="1">
        <v>65</v>
      </c>
      <c r="N3555" s="1" t="s">
        <v>39</v>
      </c>
      <c r="O3555" s="1">
        <v>33.936599999999999</v>
      </c>
      <c r="P3555" s="1">
        <v>-116.5722</v>
      </c>
      <c r="Q3555" s="1" t="s">
        <v>7849</v>
      </c>
      <c r="R3555" s="1" t="s">
        <v>41</v>
      </c>
      <c r="T3555" s="1" t="s">
        <v>93</v>
      </c>
      <c r="U3555" s="1" t="s">
        <v>44</v>
      </c>
      <c r="X3555" s="1" t="s">
        <v>176</v>
      </c>
      <c r="AA3555" s="3">
        <v>41342</v>
      </c>
      <c r="AB3555" s="1" t="s">
        <v>46</v>
      </c>
      <c r="AC3555" s="5">
        <v>891.7</v>
      </c>
      <c r="AD3555" s="1" t="s">
        <v>7856</v>
      </c>
      <c r="AE3555" s="1" t="str">
        <f t="shared" si="250"/>
        <v>57482 7</v>
      </c>
      <c r="AF3555" s="5" t="str">
        <f t="shared" si="252"/>
        <v>108</v>
      </c>
      <c r="AG3555" s="1" t="str">
        <f t="shared" si="249"/>
        <v>Y</v>
      </c>
    </row>
    <row r="3556" spans="1:33" x14ac:dyDescent="0.2">
      <c r="A3556" s="1" t="s">
        <v>370</v>
      </c>
      <c r="B3556" s="1" t="s">
        <v>7848</v>
      </c>
      <c r="C3556" s="1">
        <v>57482</v>
      </c>
      <c r="D3556" s="1">
        <v>8</v>
      </c>
      <c r="F3556" s="1">
        <v>2023</v>
      </c>
      <c r="G3556" s="1" t="s">
        <v>247</v>
      </c>
      <c r="H3556" s="1">
        <v>2321</v>
      </c>
      <c r="I3556" s="1">
        <v>9</v>
      </c>
      <c r="K3556" s="1" t="s">
        <v>6451</v>
      </c>
      <c r="L3556" s="1" t="s">
        <v>6452</v>
      </c>
      <c r="M3556" s="1">
        <v>65</v>
      </c>
      <c r="N3556" s="1" t="s">
        <v>39</v>
      </c>
      <c r="O3556" s="1">
        <v>33.936599999999999</v>
      </c>
      <c r="P3556" s="1">
        <v>-116.5722</v>
      </c>
      <c r="Q3556" s="1" t="s">
        <v>7849</v>
      </c>
      <c r="R3556" s="1" t="s">
        <v>41</v>
      </c>
      <c r="T3556" s="1" t="s">
        <v>93</v>
      </c>
      <c r="U3556" s="1" t="s">
        <v>44</v>
      </c>
      <c r="X3556" s="1" t="s">
        <v>176</v>
      </c>
      <c r="AA3556" s="3">
        <v>41356</v>
      </c>
      <c r="AB3556" s="1" t="s">
        <v>46</v>
      </c>
      <c r="AC3556" s="5">
        <v>891.7</v>
      </c>
      <c r="AD3556" s="1" t="s">
        <v>7857</v>
      </c>
      <c r="AE3556" s="1" t="str">
        <f t="shared" si="250"/>
        <v>57482 8</v>
      </c>
      <c r="AF3556" s="5" t="str">
        <f t="shared" si="252"/>
        <v>108</v>
      </c>
      <c r="AG3556" s="1" t="str">
        <f t="shared" si="249"/>
        <v>Y</v>
      </c>
    </row>
    <row r="3557" spans="1:33" x14ac:dyDescent="0.2">
      <c r="A3557" s="1" t="s">
        <v>370</v>
      </c>
      <c r="B3557" s="1" t="s">
        <v>7858</v>
      </c>
      <c r="C3557" s="1">
        <v>57483</v>
      </c>
      <c r="D3557" s="1" t="s">
        <v>1155</v>
      </c>
      <c r="F3557" s="1">
        <v>2023</v>
      </c>
      <c r="G3557" s="1" t="s">
        <v>247</v>
      </c>
      <c r="H3557" s="1" t="s">
        <v>7859</v>
      </c>
      <c r="I3557" s="1">
        <v>9</v>
      </c>
      <c r="K3557" s="1" t="s">
        <v>7589</v>
      </c>
      <c r="L3557" s="1" t="s">
        <v>7590</v>
      </c>
      <c r="M3557" s="1">
        <v>1</v>
      </c>
      <c r="N3557" s="1" t="s">
        <v>39</v>
      </c>
      <c r="O3557" s="1">
        <v>37.796500000000002</v>
      </c>
      <c r="P3557" s="1">
        <v>-121.6049</v>
      </c>
      <c r="Q3557" s="1" t="s">
        <v>7860</v>
      </c>
      <c r="R3557" s="1" t="s">
        <v>41</v>
      </c>
      <c r="T3557" s="1" t="s">
        <v>93</v>
      </c>
      <c r="U3557" s="1" t="s">
        <v>44</v>
      </c>
      <c r="X3557" s="1" t="s">
        <v>223</v>
      </c>
      <c r="AA3557" s="3">
        <v>41073</v>
      </c>
      <c r="AB3557" s="1" t="s">
        <v>46</v>
      </c>
      <c r="AC3557" s="5">
        <v>481</v>
      </c>
      <c r="AD3557" s="1" t="s">
        <v>7861</v>
      </c>
      <c r="AE3557" s="1" t="str">
        <f t="shared" si="250"/>
        <v>57483 GT-1</v>
      </c>
      <c r="AF3557" s="5" t="str">
        <f t="shared" si="252"/>
        <v>49.87</v>
      </c>
      <c r="AG3557" s="1" t="str">
        <f t="shared" si="249"/>
        <v>Y</v>
      </c>
    </row>
    <row r="3558" spans="1:33" x14ac:dyDescent="0.2">
      <c r="A3558" s="1" t="s">
        <v>370</v>
      </c>
      <c r="B3558" s="1" t="s">
        <v>7858</v>
      </c>
      <c r="C3558" s="1">
        <v>57483</v>
      </c>
      <c r="D3558" s="1" t="s">
        <v>1162</v>
      </c>
      <c r="F3558" s="1">
        <v>2023</v>
      </c>
      <c r="G3558" s="1" t="s">
        <v>247</v>
      </c>
      <c r="H3558" s="1" t="s">
        <v>7859</v>
      </c>
      <c r="I3558" s="1">
        <v>9</v>
      </c>
      <c r="K3558" s="1" t="s">
        <v>7589</v>
      </c>
      <c r="L3558" s="1" t="s">
        <v>7590</v>
      </c>
      <c r="M3558" s="1">
        <v>1</v>
      </c>
      <c r="N3558" s="1" t="s">
        <v>39</v>
      </c>
      <c r="O3558" s="1">
        <v>37.796500000000002</v>
      </c>
      <c r="P3558" s="1">
        <v>-121.6049</v>
      </c>
      <c r="Q3558" s="1" t="s">
        <v>7860</v>
      </c>
      <c r="R3558" s="1" t="s">
        <v>41</v>
      </c>
      <c r="T3558" s="1" t="s">
        <v>93</v>
      </c>
      <c r="U3558" s="1" t="s">
        <v>44</v>
      </c>
      <c r="X3558" s="1" t="s">
        <v>223</v>
      </c>
      <c r="AA3558" s="3">
        <v>41072</v>
      </c>
      <c r="AB3558" s="1" t="s">
        <v>46</v>
      </c>
      <c r="AC3558" s="5">
        <v>481</v>
      </c>
      <c r="AD3558" s="1" t="s">
        <v>7862</v>
      </c>
      <c r="AE3558" s="1" t="str">
        <f t="shared" si="250"/>
        <v>57483 GT-2</v>
      </c>
      <c r="AF3558" s="5" t="str">
        <f t="shared" si="252"/>
        <v>49.87</v>
      </c>
      <c r="AG3558" s="1" t="str">
        <f t="shared" si="249"/>
        <v>Y</v>
      </c>
    </row>
    <row r="3559" spans="1:33" x14ac:dyDescent="0.2">
      <c r="A3559" s="1" t="s">
        <v>370</v>
      </c>
      <c r="B3559" s="1" t="s">
        <v>7858</v>
      </c>
      <c r="C3559" s="1">
        <v>57483</v>
      </c>
      <c r="D3559" s="1" t="s">
        <v>1164</v>
      </c>
      <c r="F3559" s="1">
        <v>2023</v>
      </c>
      <c r="G3559" s="1" t="s">
        <v>247</v>
      </c>
      <c r="H3559" s="1" t="s">
        <v>7859</v>
      </c>
      <c r="I3559" s="1">
        <v>9</v>
      </c>
      <c r="K3559" s="1" t="s">
        <v>7589</v>
      </c>
      <c r="L3559" s="1" t="s">
        <v>7590</v>
      </c>
      <c r="M3559" s="1">
        <v>1</v>
      </c>
      <c r="N3559" s="1" t="s">
        <v>39</v>
      </c>
      <c r="O3559" s="1">
        <v>37.796500000000002</v>
      </c>
      <c r="P3559" s="1">
        <v>-121.6049</v>
      </c>
      <c r="Q3559" s="1" t="s">
        <v>7860</v>
      </c>
      <c r="R3559" s="1" t="s">
        <v>41</v>
      </c>
      <c r="T3559" s="1" t="s">
        <v>93</v>
      </c>
      <c r="U3559" s="1" t="s">
        <v>44</v>
      </c>
      <c r="X3559" s="1" t="s">
        <v>223</v>
      </c>
      <c r="AA3559" s="3">
        <v>41068</v>
      </c>
      <c r="AB3559" s="1" t="s">
        <v>46</v>
      </c>
      <c r="AC3559" s="5">
        <v>481</v>
      </c>
      <c r="AD3559" s="1" t="s">
        <v>7863</v>
      </c>
      <c r="AE3559" s="1" t="str">
        <f t="shared" si="250"/>
        <v>57483 GT-3</v>
      </c>
      <c r="AF3559" s="5" t="str">
        <f t="shared" si="252"/>
        <v>49.87</v>
      </c>
      <c r="AG3559" s="1" t="str">
        <f t="shared" si="249"/>
        <v>Y</v>
      </c>
    </row>
    <row r="3560" spans="1:33" x14ac:dyDescent="0.2">
      <c r="A3560" s="1" t="s">
        <v>370</v>
      </c>
      <c r="B3560" s="1" t="s">
        <v>7858</v>
      </c>
      <c r="C3560" s="1">
        <v>57483</v>
      </c>
      <c r="D3560" s="1" t="s">
        <v>1166</v>
      </c>
      <c r="F3560" s="1">
        <v>2023</v>
      </c>
      <c r="G3560" s="1" t="s">
        <v>247</v>
      </c>
      <c r="H3560" s="1" t="s">
        <v>7859</v>
      </c>
      <c r="I3560" s="1">
        <v>9</v>
      </c>
      <c r="K3560" s="1" t="s">
        <v>7589</v>
      </c>
      <c r="L3560" s="1" t="s">
        <v>7590</v>
      </c>
      <c r="M3560" s="1">
        <v>1</v>
      </c>
      <c r="N3560" s="1" t="s">
        <v>39</v>
      </c>
      <c r="O3560" s="1">
        <v>37.796500000000002</v>
      </c>
      <c r="P3560" s="1">
        <v>-121.6049</v>
      </c>
      <c r="Q3560" s="1" t="s">
        <v>7860</v>
      </c>
      <c r="R3560" s="1" t="s">
        <v>41</v>
      </c>
      <c r="T3560" s="1" t="s">
        <v>93</v>
      </c>
      <c r="U3560" s="1" t="s">
        <v>44</v>
      </c>
      <c r="X3560" s="1" t="s">
        <v>223</v>
      </c>
      <c r="AA3560" s="3">
        <v>41074</v>
      </c>
      <c r="AB3560" s="1" t="s">
        <v>46</v>
      </c>
      <c r="AC3560" s="5">
        <v>481</v>
      </c>
      <c r="AD3560" s="1" t="s">
        <v>7864</v>
      </c>
      <c r="AE3560" s="1" t="str">
        <f t="shared" si="250"/>
        <v>57483 GT-4</v>
      </c>
      <c r="AF3560" s="5" t="str">
        <f t="shared" si="252"/>
        <v>49.87</v>
      </c>
      <c r="AG3560" s="1" t="str">
        <f t="shared" si="249"/>
        <v>Y</v>
      </c>
    </row>
    <row r="3561" spans="1:33" x14ac:dyDescent="0.2">
      <c r="A3561" s="1" t="s">
        <v>370</v>
      </c>
      <c r="B3561" s="1" t="s">
        <v>7865</v>
      </c>
      <c r="C3561" s="1">
        <v>57515</v>
      </c>
      <c r="D3561" s="1" t="s">
        <v>280</v>
      </c>
      <c r="F3561" s="1">
        <v>2023</v>
      </c>
      <c r="G3561" s="1" t="s">
        <v>247</v>
      </c>
      <c r="H3561" s="1">
        <v>609365</v>
      </c>
      <c r="I3561" s="1">
        <v>9</v>
      </c>
      <c r="K3561" s="1" t="s">
        <v>404</v>
      </c>
      <c r="L3561" s="1" t="s">
        <v>405</v>
      </c>
      <c r="M3561" s="1">
        <v>37</v>
      </c>
      <c r="N3561" s="1" t="s">
        <v>39</v>
      </c>
      <c r="O3561" s="1">
        <v>34.007800000000003</v>
      </c>
      <c r="P3561" s="1">
        <v>-117.9425</v>
      </c>
      <c r="Q3561" s="1" t="s">
        <v>7866</v>
      </c>
      <c r="R3561" s="1" t="s">
        <v>41</v>
      </c>
      <c r="T3561" s="1" t="s">
        <v>93</v>
      </c>
      <c r="U3561" s="1" t="s">
        <v>44</v>
      </c>
      <c r="X3561" s="1" t="s">
        <v>176</v>
      </c>
      <c r="AA3561" s="3">
        <v>41274</v>
      </c>
      <c r="AB3561" s="1" t="s">
        <v>46</v>
      </c>
      <c r="AC3561" s="5">
        <v>891.7</v>
      </c>
      <c r="AD3561" s="1" t="s">
        <v>7788</v>
      </c>
      <c r="AE3561" s="1" t="str">
        <f t="shared" si="250"/>
        <v>57515 GT1</v>
      </c>
      <c r="AF3561" s="5" t="str">
        <f t="shared" si="252"/>
        <v>100</v>
      </c>
      <c r="AG3561" s="1" t="str">
        <f t="shared" si="249"/>
        <v>Y</v>
      </c>
    </row>
    <row r="3562" spans="1:33" x14ac:dyDescent="0.2">
      <c r="A3562" s="1" t="s">
        <v>370</v>
      </c>
      <c r="B3562" s="1" t="s">
        <v>7865</v>
      </c>
      <c r="C3562" s="1">
        <v>57515</v>
      </c>
      <c r="D3562" s="1" t="s">
        <v>1102</v>
      </c>
      <c r="F3562" s="1">
        <v>2023</v>
      </c>
      <c r="G3562" s="1" t="s">
        <v>247</v>
      </c>
      <c r="H3562" s="1">
        <v>609365</v>
      </c>
      <c r="I3562" s="1">
        <v>9</v>
      </c>
      <c r="K3562" s="1" t="s">
        <v>404</v>
      </c>
      <c r="L3562" s="1" t="s">
        <v>405</v>
      </c>
      <c r="M3562" s="1">
        <v>37</v>
      </c>
      <c r="N3562" s="1" t="s">
        <v>39</v>
      </c>
      <c r="O3562" s="1">
        <v>34.007800000000003</v>
      </c>
      <c r="P3562" s="1">
        <v>-117.9425</v>
      </c>
      <c r="Q3562" s="1" t="s">
        <v>7866</v>
      </c>
      <c r="R3562" s="1" t="s">
        <v>41</v>
      </c>
      <c r="T3562" s="1" t="s">
        <v>93</v>
      </c>
      <c r="U3562" s="1" t="s">
        <v>44</v>
      </c>
      <c r="X3562" s="1" t="s">
        <v>176</v>
      </c>
      <c r="AA3562" s="3">
        <v>41286</v>
      </c>
      <c r="AB3562" s="1" t="s">
        <v>46</v>
      </c>
      <c r="AC3562" s="5">
        <v>891.7</v>
      </c>
      <c r="AD3562" s="1" t="s">
        <v>7789</v>
      </c>
      <c r="AE3562" s="1" t="str">
        <f t="shared" si="250"/>
        <v>57515 GT2</v>
      </c>
      <c r="AF3562" s="5" t="str">
        <f t="shared" si="252"/>
        <v>100</v>
      </c>
      <c r="AG3562" s="1" t="str">
        <f t="shared" si="249"/>
        <v>Y</v>
      </c>
    </row>
    <row r="3563" spans="1:33" x14ac:dyDescent="0.2">
      <c r="A3563" s="1" t="s">
        <v>370</v>
      </c>
      <c r="B3563" s="1" t="s">
        <v>7865</v>
      </c>
      <c r="C3563" s="1">
        <v>57515</v>
      </c>
      <c r="D3563" s="1" t="s">
        <v>246</v>
      </c>
      <c r="F3563" s="1">
        <v>2023</v>
      </c>
      <c r="G3563" s="1" t="s">
        <v>247</v>
      </c>
      <c r="H3563" s="1">
        <v>609365</v>
      </c>
      <c r="I3563" s="1">
        <v>9</v>
      </c>
      <c r="K3563" s="1" t="s">
        <v>404</v>
      </c>
      <c r="L3563" s="1" t="s">
        <v>405</v>
      </c>
      <c r="M3563" s="1">
        <v>37</v>
      </c>
      <c r="N3563" s="1" t="s">
        <v>39</v>
      </c>
      <c r="O3563" s="1">
        <v>34.007800000000003</v>
      </c>
      <c r="P3563" s="1">
        <v>-117.9425</v>
      </c>
      <c r="Q3563" s="1" t="s">
        <v>7866</v>
      </c>
      <c r="R3563" s="1" t="s">
        <v>41</v>
      </c>
      <c r="T3563" s="1" t="s">
        <v>93</v>
      </c>
      <c r="U3563" s="1" t="s">
        <v>44</v>
      </c>
      <c r="X3563" s="1" t="s">
        <v>176</v>
      </c>
      <c r="AA3563" s="3">
        <v>41314</v>
      </c>
      <c r="AB3563" s="1" t="s">
        <v>46</v>
      </c>
      <c r="AC3563" s="5">
        <v>891.7</v>
      </c>
      <c r="AD3563" s="1" t="s">
        <v>7867</v>
      </c>
      <c r="AE3563" s="1" t="str">
        <f t="shared" si="250"/>
        <v>57515 GT3</v>
      </c>
      <c r="AF3563" s="5" t="str">
        <f t="shared" si="252"/>
        <v>100</v>
      </c>
      <c r="AG3563" s="1" t="str">
        <f t="shared" si="249"/>
        <v>Y</v>
      </c>
    </row>
    <row r="3564" spans="1:33" x14ac:dyDescent="0.2">
      <c r="A3564" s="1" t="s">
        <v>370</v>
      </c>
      <c r="B3564" s="1" t="s">
        <v>7865</v>
      </c>
      <c r="C3564" s="1">
        <v>57515</v>
      </c>
      <c r="D3564" s="1" t="s">
        <v>251</v>
      </c>
      <c r="F3564" s="1">
        <v>2023</v>
      </c>
      <c r="G3564" s="1" t="s">
        <v>247</v>
      </c>
      <c r="H3564" s="1">
        <v>609365</v>
      </c>
      <c r="I3564" s="1">
        <v>9</v>
      </c>
      <c r="K3564" s="1" t="s">
        <v>404</v>
      </c>
      <c r="L3564" s="1" t="s">
        <v>405</v>
      </c>
      <c r="M3564" s="1">
        <v>37</v>
      </c>
      <c r="N3564" s="1" t="s">
        <v>39</v>
      </c>
      <c r="O3564" s="1">
        <v>34.007800000000003</v>
      </c>
      <c r="P3564" s="1">
        <v>-117.9425</v>
      </c>
      <c r="Q3564" s="1" t="s">
        <v>7866</v>
      </c>
      <c r="R3564" s="1" t="s">
        <v>41</v>
      </c>
      <c r="T3564" s="1" t="s">
        <v>93</v>
      </c>
      <c r="U3564" s="1" t="s">
        <v>44</v>
      </c>
      <c r="X3564" s="1" t="s">
        <v>176</v>
      </c>
      <c r="AA3564" s="3">
        <v>41314</v>
      </c>
      <c r="AB3564" s="1" t="s">
        <v>46</v>
      </c>
      <c r="AC3564" s="5">
        <v>891.7</v>
      </c>
      <c r="AD3564" s="1" t="s">
        <v>7868</v>
      </c>
      <c r="AE3564" s="1" t="str">
        <f t="shared" si="250"/>
        <v>57515 GT4</v>
      </c>
      <c r="AF3564" s="5" t="str">
        <f t="shared" si="252"/>
        <v>100</v>
      </c>
      <c r="AG3564" s="1" t="str">
        <f t="shared" si="249"/>
        <v>Y</v>
      </c>
    </row>
    <row r="3565" spans="1:33" x14ac:dyDescent="0.2">
      <c r="A3565" s="1" t="s">
        <v>370</v>
      </c>
      <c r="B3565" s="1" t="s">
        <v>7865</v>
      </c>
      <c r="C3565" s="1">
        <v>57515</v>
      </c>
      <c r="D3565" s="1" t="s">
        <v>253</v>
      </c>
      <c r="F3565" s="1">
        <v>2023</v>
      </c>
      <c r="G3565" s="1" t="s">
        <v>247</v>
      </c>
      <c r="H3565" s="1">
        <v>609365</v>
      </c>
      <c r="I3565" s="1">
        <v>9</v>
      </c>
      <c r="K3565" s="1" t="s">
        <v>404</v>
      </c>
      <c r="L3565" s="1" t="s">
        <v>405</v>
      </c>
      <c r="M3565" s="1">
        <v>37</v>
      </c>
      <c r="N3565" s="1" t="s">
        <v>39</v>
      </c>
      <c r="O3565" s="1">
        <v>34.007800000000003</v>
      </c>
      <c r="P3565" s="1">
        <v>-117.9425</v>
      </c>
      <c r="Q3565" s="1" t="s">
        <v>7866</v>
      </c>
      <c r="R3565" s="1" t="s">
        <v>41</v>
      </c>
      <c r="T3565" s="1" t="s">
        <v>93</v>
      </c>
      <c r="U3565" s="1" t="s">
        <v>44</v>
      </c>
      <c r="X3565" s="1" t="s">
        <v>176</v>
      </c>
      <c r="AA3565" s="3">
        <v>41341</v>
      </c>
      <c r="AB3565" s="1" t="s">
        <v>46</v>
      </c>
      <c r="AC3565" s="5">
        <v>891.7</v>
      </c>
      <c r="AD3565" s="1" t="s">
        <v>7869</v>
      </c>
      <c r="AE3565" s="1" t="str">
        <f t="shared" si="250"/>
        <v>57515 GT5</v>
      </c>
      <c r="AF3565" s="5" t="str">
        <f t="shared" si="252"/>
        <v>100</v>
      </c>
      <c r="AG3565" s="1" t="str">
        <f t="shared" si="249"/>
        <v>Y</v>
      </c>
    </row>
    <row r="3566" spans="1:33" x14ac:dyDescent="0.2">
      <c r="A3566" s="1" t="s">
        <v>370</v>
      </c>
      <c r="B3566" s="1" t="s">
        <v>7870</v>
      </c>
      <c r="C3566" s="1">
        <v>57555</v>
      </c>
      <c r="D3566" s="1" t="s">
        <v>1129</v>
      </c>
      <c r="F3566" s="1">
        <v>2023</v>
      </c>
      <c r="G3566" s="1" t="s">
        <v>247</v>
      </c>
      <c r="H3566" s="1">
        <v>603492</v>
      </c>
      <c r="I3566" s="1">
        <v>9</v>
      </c>
      <c r="K3566" s="1" t="s">
        <v>395</v>
      </c>
      <c r="L3566" s="1" t="s">
        <v>396</v>
      </c>
      <c r="M3566" s="1">
        <v>73</v>
      </c>
      <c r="N3566" s="1" t="s">
        <v>39</v>
      </c>
      <c r="O3566" s="1">
        <v>32.573900000000002</v>
      </c>
      <c r="P3566" s="1">
        <v>-116.9178</v>
      </c>
      <c r="Q3566" s="1" t="s">
        <v>7871</v>
      </c>
      <c r="R3566" s="1" t="s">
        <v>41</v>
      </c>
      <c r="T3566" s="1" t="s">
        <v>93</v>
      </c>
      <c r="U3566" s="1" t="s">
        <v>44</v>
      </c>
      <c r="X3566" s="1" t="s">
        <v>176</v>
      </c>
      <c r="AA3566" s="3">
        <v>42588</v>
      </c>
      <c r="AB3566" s="1" t="s">
        <v>46</v>
      </c>
      <c r="AC3566" s="5">
        <v>1000</v>
      </c>
      <c r="AD3566" s="1" t="s">
        <v>7872</v>
      </c>
      <c r="AE3566" s="1" t="str">
        <f t="shared" si="250"/>
        <v>57555 CTG1</v>
      </c>
      <c r="AF3566" s="5" t="str">
        <f t="shared" si="252"/>
        <v>106</v>
      </c>
      <c r="AG3566" s="1" t="str">
        <f t="shared" si="249"/>
        <v>Y</v>
      </c>
    </row>
    <row r="3567" spans="1:33" x14ac:dyDescent="0.2">
      <c r="A3567" s="1" t="s">
        <v>370</v>
      </c>
      <c r="B3567" s="1" t="s">
        <v>7870</v>
      </c>
      <c r="C3567" s="1">
        <v>57555</v>
      </c>
      <c r="D3567" s="1" t="s">
        <v>1135</v>
      </c>
      <c r="F3567" s="1">
        <v>2023</v>
      </c>
      <c r="G3567" s="1" t="s">
        <v>247</v>
      </c>
      <c r="H3567" s="1">
        <v>603492</v>
      </c>
      <c r="I3567" s="1">
        <v>9</v>
      </c>
      <c r="K3567" s="1" t="s">
        <v>395</v>
      </c>
      <c r="L3567" s="1" t="s">
        <v>396</v>
      </c>
      <c r="M3567" s="1">
        <v>73</v>
      </c>
      <c r="N3567" s="1" t="s">
        <v>39</v>
      </c>
      <c r="O3567" s="1">
        <v>32.573900000000002</v>
      </c>
      <c r="P3567" s="1">
        <v>-116.9178</v>
      </c>
      <c r="Q3567" s="1" t="s">
        <v>7871</v>
      </c>
      <c r="R3567" s="1" t="s">
        <v>41</v>
      </c>
      <c r="T3567" s="1" t="s">
        <v>93</v>
      </c>
      <c r="U3567" s="1" t="s">
        <v>44</v>
      </c>
      <c r="X3567" s="1" t="s">
        <v>176</v>
      </c>
      <c r="AA3567" s="3">
        <v>42573</v>
      </c>
      <c r="AB3567" s="1" t="s">
        <v>46</v>
      </c>
      <c r="AC3567" s="5">
        <v>1000</v>
      </c>
      <c r="AD3567" s="1" t="s">
        <v>7873</v>
      </c>
      <c r="AE3567" s="1" t="str">
        <f t="shared" si="250"/>
        <v>57555 CTG2</v>
      </c>
      <c r="AF3567" s="5" t="str">
        <f t="shared" si="252"/>
        <v>106</v>
      </c>
      <c r="AG3567" s="1" t="str">
        <f t="shared" si="249"/>
        <v>Y</v>
      </c>
    </row>
    <row r="3568" spans="1:33" x14ac:dyDescent="0.2">
      <c r="A3568" s="1" t="s">
        <v>370</v>
      </c>
      <c r="B3568" s="1" t="s">
        <v>7870</v>
      </c>
      <c r="C3568" s="1">
        <v>57555</v>
      </c>
      <c r="D3568" s="1" t="s">
        <v>6002</v>
      </c>
      <c r="F3568" s="1">
        <v>2023</v>
      </c>
      <c r="G3568" s="1" t="s">
        <v>247</v>
      </c>
      <c r="H3568" s="1">
        <v>603492</v>
      </c>
      <c r="I3568" s="1">
        <v>9</v>
      </c>
      <c r="K3568" s="1" t="s">
        <v>395</v>
      </c>
      <c r="L3568" s="1" t="s">
        <v>396</v>
      </c>
      <c r="M3568" s="1">
        <v>73</v>
      </c>
      <c r="N3568" s="1" t="s">
        <v>39</v>
      </c>
      <c r="O3568" s="1">
        <v>32.573900000000002</v>
      </c>
      <c r="P3568" s="1">
        <v>-116.9178</v>
      </c>
      <c r="Q3568" s="1" t="s">
        <v>7871</v>
      </c>
      <c r="R3568" s="1" t="s">
        <v>41</v>
      </c>
      <c r="T3568" s="1" t="s">
        <v>93</v>
      </c>
      <c r="U3568" s="1" t="s">
        <v>44</v>
      </c>
      <c r="X3568" s="1" t="s">
        <v>176</v>
      </c>
      <c r="AA3568" s="3">
        <v>42554</v>
      </c>
      <c r="AB3568" s="1" t="s">
        <v>46</v>
      </c>
      <c r="AC3568" s="5">
        <v>1000</v>
      </c>
      <c r="AD3568" s="1" t="s">
        <v>7874</v>
      </c>
      <c r="AE3568" s="1" t="str">
        <f t="shared" si="250"/>
        <v>57555 CTG3</v>
      </c>
      <c r="AF3568" s="5" t="str">
        <f t="shared" si="252"/>
        <v>106</v>
      </c>
      <c r="AG3568" s="1" t="str">
        <f t="shared" si="249"/>
        <v>Y</v>
      </c>
    </row>
    <row r="3569" spans="1:33" x14ac:dyDescent="0.2">
      <c r="A3569" s="1" t="s">
        <v>370</v>
      </c>
      <c r="B3569" s="1" t="s">
        <v>7875</v>
      </c>
      <c r="C3569" s="1">
        <v>57564</v>
      </c>
      <c r="D3569" s="1">
        <v>8</v>
      </c>
      <c r="F3569" s="1">
        <v>2023</v>
      </c>
      <c r="G3569" s="1" t="s">
        <v>247</v>
      </c>
      <c r="H3569" s="1">
        <v>607688</v>
      </c>
      <c r="I3569" s="1">
        <v>9</v>
      </c>
      <c r="K3569" s="1" t="s">
        <v>4802</v>
      </c>
      <c r="L3569" s="1" t="s">
        <v>4803</v>
      </c>
      <c r="M3569" s="1">
        <v>19</v>
      </c>
      <c r="N3569" s="1" t="s">
        <v>39</v>
      </c>
      <c r="O3569" s="1">
        <v>36.684199999999997</v>
      </c>
      <c r="P3569" s="1">
        <v>-119.5522</v>
      </c>
      <c r="Q3569" s="1" t="s">
        <v>7876</v>
      </c>
      <c r="R3569" s="1" t="s">
        <v>41</v>
      </c>
      <c r="T3569" s="1" t="s">
        <v>71</v>
      </c>
      <c r="U3569" s="1" t="s">
        <v>44</v>
      </c>
      <c r="X3569" s="1" t="s">
        <v>176</v>
      </c>
      <c r="AA3569" s="3">
        <v>39417</v>
      </c>
      <c r="AB3569" s="1" t="s">
        <v>46</v>
      </c>
      <c r="AC3569" s="5">
        <v>430</v>
      </c>
      <c r="AD3569" s="1" t="s">
        <v>7877</v>
      </c>
      <c r="AE3569" s="1" t="str">
        <f t="shared" si="250"/>
        <v>57564 8</v>
      </c>
      <c r="AF3569" s="14">
        <f>MID(AD3569,FIND("(",AD3569)+1,FIND(")",AD3569)-FIND("(",AD3569)-1)+49</f>
        <v>61.5</v>
      </c>
      <c r="AG3569" s="1" t="str">
        <f t="shared" si="249"/>
        <v>Y</v>
      </c>
    </row>
    <row r="3570" spans="1:33" x14ac:dyDescent="0.2">
      <c r="A3570" s="1" t="s">
        <v>3253</v>
      </c>
      <c r="B3570" s="1" t="s">
        <v>7878</v>
      </c>
      <c r="C3570" s="1">
        <v>57703</v>
      </c>
      <c r="D3570" s="1" t="s">
        <v>993</v>
      </c>
      <c r="F3570" s="1">
        <v>2023</v>
      </c>
      <c r="G3570" s="1" t="s">
        <v>247</v>
      </c>
      <c r="H3570" s="1" t="s">
        <v>6876</v>
      </c>
      <c r="I3570" s="1">
        <v>8</v>
      </c>
      <c r="K3570" s="1" t="s">
        <v>7879</v>
      </c>
      <c r="L3570" s="1" t="s">
        <v>7880</v>
      </c>
      <c r="M3570" s="1">
        <v>21</v>
      </c>
      <c r="N3570" s="1" t="s">
        <v>39</v>
      </c>
      <c r="O3570" s="1">
        <v>41.122900000000001</v>
      </c>
      <c r="P3570" s="1">
        <v>-104.7214</v>
      </c>
      <c r="Q3570" s="1" t="s">
        <v>7881</v>
      </c>
      <c r="R3570" s="1" t="s">
        <v>41</v>
      </c>
      <c r="T3570" s="1" t="s">
        <v>71</v>
      </c>
      <c r="U3570" s="1" t="s">
        <v>44</v>
      </c>
      <c r="X3570" s="1" t="s">
        <v>64</v>
      </c>
      <c r="AA3570" s="3">
        <v>41881</v>
      </c>
      <c r="AB3570" s="1" t="s">
        <v>46</v>
      </c>
      <c r="AC3570" s="5">
        <v>406</v>
      </c>
      <c r="AD3570" s="1" t="s">
        <v>7882</v>
      </c>
      <c r="AE3570" s="1" t="str">
        <f t="shared" si="250"/>
        <v>57703 CT01</v>
      </c>
      <c r="AF3570" s="14">
        <f>AF3571</f>
        <v>50</v>
      </c>
      <c r="AG3570" s="1" t="str">
        <f t="shared" si="249"/>
        <v>Y</v>
      </c>
    </row>
    <row r="3571" spans="1:33" x14ac:dyDescent="0.2">
      <c r="A3571" s="1" t="s">
        <v>3253</v>
      </c>
      <c r="B3571" s="1" t="s">
        <v>7878</v>
      </c>
      <c r="C3571" s="1">
        <v>57703</v>
      </c>
      <c r="D3571" s="1" t="s">
        <v>998</v>
      </c>
      <c r="F3571" s="1">
        <v>2023</v>
      </c>
      <c r="G3571" s="1" t="s">
        <v>247</v>
      </c>
      <c r="H3571" s="1" t="s">
        <v>6876</v>
      </c>
      <c r="I3571" s="1">
        <v>8</v>
      </c>
      <c r="K3571" s="1" t="s">
        <v>7879</v>
      </c>
      <c r="L3571" s="1" t="s">
        <v>7880</v>
      </c>
      <c r="M3571" s="1">
        <v>21</v>
      </c>
      <c r="N3571" s="1" t="s">
        <v>39</v>
      </c>
      <c r="O3571" s="1">
        <v>41.122900000000001</v>
      </c>
      <c r="P3571" s="1">
        <v>-104.7214</v>
      </c>
      <c r="Q3571" s="1" t="s">
        <v>7881</v>
      </c>
      <c r="R3571" s="1" t="s">
        <v>41</v>
      </c>
      <c r="T3571" s="1" t="s">
        <v>71</v>
      </c>
      <c r="U3571" s="1" t="s">
        <v>44</v>
      </c>
      <c r="X3571" s="1" t="s">
        <v>64</v>
      </c>
      <c r="AA3571" s="3">
        <v>41886</v>
      </c>
      <c r="AB3571" s="1" t="s">
        <v>46</v>
      </c>
      <c r="AC3571" s="5">
        <v>406</v>
      </c>
      <c r="AD3571" s="1" t="s">
        <v>7883</v>
      </c>
      <c r="AE3571" s="1" t="str">
        <f t="shared" si="250"/>
        <v>57703 CT02</v>
      </c>
      <c r="AF3571" s="14">
        <f>MID(AD3571,FIND("(",AD3571)+1,FIND(")",AD3571)-FIND("(",AD3571)-1)+20/2</f>
        <v>50</v>
      </c>
      <c r="AG3571" s="1" t="str">
        <f t="shared" si="249"/>
        <v>Y</v>
      </c>
    </row>
    <row r="3572" spans="1:33" x14ac:dyDescent="0.2">
      <c r="A3572" s="1" t="s">
        <v>3253</v>
      </c>
      <c r="B3572" s="1" t="s">
        <v>7878</v>
      </c>
      <c r="C3572" s="1">
        <v>57703</v>
      </c>
      <c r="D3572" s="1" t="s">
        <v>1043</v>
      </c>
      <c r="F3572" s="1">
        <v>2023</v>
      </c>
      <c r="G3572" s="1" t="s">
        <v>247</v>
      </c>
      <c r="H3572" s="1" t="s">
        <v>6876</v>
      </c>
      <c r="I3572" s="1">
        <v>8</v>
      </c>
      <c r="K3572" s="1" t="s">
        <v>7879</v>
      </c>
      <c r="L3572" s="1" t="s">
        <v>7880</v>
      </c>
      <c r="M3572" s="1">
        <v>21</v>
      </c>
      <c r="N3572" s="1" t="s">
        <v>39</v>
      </c>
      <c r="O3572" s="1">
        <v>41.122900000000001</v>
      </c>
      <c r="P3572" s="1">
        <v>-104.7214</v>
      </c>
      <c r="Q3572" s="1" t="s">
        <v>7881</v>
      </c>
      <c r="R3572" s="1" t="s">
        <v>41</v>
      </c>
      <c r="T3572" s="1" t="s">
        <v>93</v>
      </c>
      <c r="U3572" s="1" t="s">
        <v>44</v>
      </c>
      <c r="X3572" s="1" t="s">
        <v>64</v>
      </c>
      <c r="AA3572" s="3">
        <v>41867</v>
      </c>
      <c r="AB3572" s="1" t="s">
        <v>46</v>
      </c>
      <c r="AC3572" s="5">
        <v>406</v>
      </c>
      <c r="AD3572" s="1" t="s">
        <v>7884</v>
      </c>
      <c r="AE3572" s="1" t="str">
        <f t="shared" si="250"/>
        <v>57703 CT03</v>
      </c>
      <c r="AF3572" s="5" t="str">
        <f>MID(AD3572,FIND("(",AD3572)+1,FIND(")",AD3572)-FIND("(",AD3572)-1)</f>
        <v>40</v>
      </c>
      <c r="AG3572" s="1" t="str">
        <f t="shared" si="249"/>
        <v>Y</v>
      </c>
    </row>
    <row r="3573" spans="1:33" x14ac:dyDescent="0.2">
      <c r="A3573" s="1" t="s">
        <v>1071</v>
      </c>
      <c r="B3573" s="1" t="s">
        <v>7885</v>
      </c>
      <c r="C3573" s="1">
        <v>57794</v>
      </c>
      <c r="D3573" s="1" t="s">
        <v>7886</v>
      </c>
      <c r="F3573" s="1">
        <v>2023</v>
      </c>
      <c r="G3573" s="1" t="s">
        <v>6843</v>
      </c>
      <c r="H3573" s="1">
        <v>603749</v>
      </c>
      <c r="I3573" s="1">
        <v>5</v>
      </c>
      <c r="K3573" s="1" t="s">
        <v>7887</v>
      </c>
      <c r="L3573" s="1" t="s">
        <v>7888</v>
      </c>
      <c r="M3573" s="1">
        <v>141</v>
      </c>
      <c r="N3573" s="1" t="s">
        <v>39</v>
      </c>
      <c r="O3573" s="1">
        <v>41.699599999999997</v>
      </c>
      <c r="P3573" s="1">
        <v>-86.481399999999994</v>
      </c>
      <c r="Q3573" s="1" t="s">
        <v>7889</v>
      </c>
      <c r="R3573" s="1" t="s">
        <v>41</v>
      </c>
      <c r="T3573" s="1" t="s">
        <v>71</v>
      </c>
      <c r="U3573" s="1" t="s">
        <v>44</v>
      </c>
      <c r="X3573" s="1" t="s">
        <v>64</v>
      </c>
      <c r="AA3573" s="3">
        <v>43098</v>
      </c>
      <c r="AB3573" s="1" t="s">
        <v>46</v>
      </c>
      <c r="AC3573" s="5">
        <v>2636</v>
      </c>
      <c r="AD3573" s="1" t="s">
        <v>7890</v>
      </c>
      <c r="AE3573" s="1" t="str">
        <f t="shared" si="250"/>
        <v>57794 CTG01A</v>
      </c>
      <c r="AF3573" s="14">
        <f>MID(AD3573,FIND("(",AD3573)+1,FIND(")",AD3573)-FIND("(",AD3573)-1)+260/2</f>
        <v>368</v>
      </c>
      <c r="AG3573" s="1" t="str">
        <f t="shared" si="249"/>
        <v>Y</v>
      </c>
    </row>
    <row r="3574" spans="1:33" x14ac:dyDescent="0.2">
      <c r="A3574" s="1" t="s">
        <v>1071</v>
      </c>
      <c r="B3574" s="1" t="s">
        <v>7885</v>
      </c>
      <c r="C3574" s="1">
        <v>57794</v>
      </c>
      <c r="D3574" s="1" t="s">
        <v>7891</v>
      </c>
      <c r="F3574" s="1">
        <v>2023</v>
      </c>
      <c r="G3574" s="1" t="s">
        <v>6843</v>
      </c>
      <c r="H3574" s="1">
        <v>603749</v>
      </c>
      <c r="I3574" s="1">
        <v>5</v>
      </c>
      <c r="K3574" s="1" t="s">
        <v>7887</v>
      </c>
      <c r="L3574" s="1" t="s">
        <v>7888</v>
      </c>
      <c r="M3574" s="1">
        <v>141</v>
      </c>
      <c r="N3574" s="1" t="s">
        <v>39</v>
      </c>
      <c r="O3574" s="1">
        <v>41.699599999999997</v>
      </c>
      <c r="P3574" s="1">
        <v>-86.481399999999994</v>
      </c>
      <c r="Q3574" s="1" t="s">
        <v>7889</v>
      </c>
      <c r="R3574" s="1" t="s">
        <v>41</v>
      </c>
      <c r="T3574" s="1" t="s">
        <v>71</v>
      </c>
      <c r="U3574" s="1" t="s">
        <v>44</v>
      </c>
      <c r="X3574" s="1" t="s">
        <v>64</v>
      </c>
      <c r="AA3574" s="3">
        <v>43086</v>
      </c>
      <c r="AB3574" s="1" t="s">
        <v>46</v>
      </c>
      <c r="AC3574" s="5">
        <v>2636</v>
      </c>
      <c r="AD3574" s="1" t="s">
        <v>7892</v>
      </c>
      <c r="AE3574" s="1" t="str">
        <f t="shared" si="250"/>
        <v>57794 CTG01B</v>
      </c>
      <c r="AF3574" s="14">
        <f>AF3573</f>
        <v>368</v>
      </c>
      <c r="AG3574" s="1" t="str">
        <f t="shared" si="249"/>
        <v>Y</v>
      </c>
    </row>
    <row r="3575" spans="1:33" x14ac:dyDescent="0.2">
      <c r="A3575" s="1" t="s">
        <v>1980</v>
      </c>
      <c r="B3575" s="1" t="s">
        <v>7893</v>
      </c>
      <c r="C3575" s="1">
        <v>57839</v>
      </c>
      <c r="D3575" s="1">
        <v>1</v>
      </c>
      <c r="F3575" s="1">
        <v>2023</v>
      </c>
      <c r="G3575" s="1" t="s">
        <v>1515</v>
      </c>
      <c r="H3575" s="1">
        <v>610172</v>
      </c>
      <c r="I3575" s="1">
        <v>2</v>
      </c>
      <c r="K3575" s="1" t="s">
        <v>601</v>
      </c>
      <c r="L3575" s="1" t="s">
        <v>1987</v>
      </c>
      <c r="M3575" s="1">
        <v>23</v>
      </c>
      <c r="N3575" s="1" t="s">
        <v>39</v>
      </c>
      <c r="O3575" s="1">
        <v>40.515000000000001</v>
      </c>
      <c r="P3575" s="1">
        <v>-74.319199999999995</v>
      </c>
      <c r="Q3575" s="1" t="s">
        <v>7894</v>
      </c>
      <c r="R3575" s="1" t="s">
        <v>41</v>
      </c>
      <c r="T3575" s="1" t="s">
        <v>71</v>
      </c>
      <c r="U3575" s="1" t="s">
        <v>44</v>
      </c>
      <c r="X3575" s="1" t="s">
        <v>64</v>
      </c>
      <c r="AA3575" s="3">
        <v>42312</v>
      </c>
      <c r="AB3575" s="1" t="s">
        <v>46</v>
      </c>
      <c r="AC3575" s="5">
        <v>2807</v>
      </c>
      <c r="AD3575" s="1" t="s">
        <v>7895</v>
      </c>
      <c r="AE3575" s="1" t="str">
        <f t="shared" si="250"/>
        <v>57839 1</v>
      </c>
      <c r="AF3575" s="14">
        <f>MID(AD3575,FIND("(",AD3575)+1,FIND(")",AD3575)-FIND("(",AD3575)-1)+327.5/2</f>
        <v>386.45</v>
      </c>
      <c r="AG3575" s="1" t="str">
        <f t="shared" si="249"/>
        <v>Y</v>
      </c>
    </row>
    <row r="3576" spans="1:33" x14ac:dyDescent="0.2">
      <c r="A3576" s="1" t="s">
        <v>1980</v>
      </c>
      <c r="B3576" s="1" t="s">
        <v>7893</v>
      </c>
      <c r="C3576" s="1">
        <v>57839</v>
      </c>
      <c r="D3576" s="1">
        <v>2</v>
      </c>
      <c r="F3576" s="1">
        <v>2023</v>
      </c>
      <c r="G3576" s="1" t="s">
        <v>1515</v>
      </c>
      <c r="H3576" s="1">
        <v>610172</v>
      </c>
      <c r="I3576" s="1">
        <v>2</v>
      </c>
      <c r="K3576" s="1" t="s">
        <v>601</v>
      </c>
      <c r="L3576" s="1" t="s">
        <v>1987</v>
      </c>
      <c r="M3576" s="1">
        <v>23</v>
      </c>
      <c r="N3576" s="1" t="s">
        <v>39</v>
      </c>
      <c r="O3576" s="1">
        <v>40.515000000000001</v>
      </c>
      <c r="P3576" s="1">
        <v>-74.319199999999995</v>
      </c>
      <c r="Q3576" s="1" t="s">
        <v>7894</v>
      </c>
      <c r="R3576" s="1" t="s">
        <v>41</v>
      </c>
      <c r="T3576" s="1" t="s">
        <v>71</v>
      </c>
      <c r="U3576" s="1" t="s">
        <v>44</v>
      </c>
      <c r="X3576" s="1" t="s">
        <v>64</v>
      </c>
      <c r="AA3576" s="3">
        <v>42302</v>
      </c>
      <c r="AB3576" s="1" t="s">
        <v>46</v>
      </c>
      <c r="AC3576" s="5">
        <v>2807</v>
      </c>
      <c r="AD3576" s="1" t="s">
        <v>7896</v>
      </c>
      <c r="AE3576" s="1" t="str">
        <f t="shared" si="250"/>
        <v>57839 2</v>
      </c>
      <c r="AF3576" s="14">
        <f>AF3575</f>
        <v>386.45</v>
      </c>
      <c r="AG3576" s="1" t="str">
        <f t="shared" si="249"/>
        <v>Y</v>
      </c>
    </row>
    <row r="3577" spans="1:33" x14ac:dyDescent="0.2">
      <c r="A3577" s="1" t="s">
        <v>1071</v>
      </c>
      <c r="B3577" s="1" t="s">
        <v>7897</v>
      </c>
      <c r="C3577" s="1">
        <v>57842</v>
      </c>
      <c r="D3577" s="1">
        <v>1</v>
      </c>
      <c r="F3577" s="1">
        <v>2023</v>
      </c>
      <c r="G3577" s="1" t="s">
        <v>461</v>
      </c>
      <c r="H3577" s="1" t="s">
        <v>6543</v>
      </c>
      <c r="I3577" s="1">
        <v>5</v>
      </c>
      <c r="K3577" s="1" t="s">
        <v>6600</v>
      </c>
      <c r="L3577" s="1" t="s">
        <v>6601</v>
      </c>
      <c r="M3577" s="1">
        <v>167</v>
      </c>
      <c r="N3577" s="1" t="s">
        <v>39</v>
      </c>
      <c r="O3577" s="1">
        <v>39.532600000000002</v>
      </c>
      <c r="P3577" s="1">
        <v>-87.426199999999994</v>
      </c>
      <c r="Q3577" s="1" t="s">
        <v>7898</v>
      </c>
      <c r="R3577" s="1" t="s">
        <v>120</v>
      </c>
      <c r="S3577" s="1" t="s">
        <v>121</v>
      </c>
      <c r="T3577" s="1" t="s">
        <v>93</v>
      </c>
      <c r="U3577" s="1" t="s">
        <v>44</v>
      </c>
      <c r="X3577" s="1" t="s">
        <v>140</v>
      </c>
      <c r="AA3577" s="3">
        <v>19709</v>
      </c>
      <c r="AB3577" s="1" t="s">
        <v>46</v>
      </c>
      <c r="AC3577" s="5">
        <v>2200</v>
      </c>
      <c r="AD3577" s="1" t="s">
        <v>7899</v>
      </c>
      <c r="AE3577" s="1" t="str">
        <f t="shared" si="250"/>
        <v>57842 1</v>
      </c>
      <c r="AF3577" s="5" t="str">
        <f t="shared" ref="AF3577:AF3589" si="253">MID(AD3577,FIND("(",AD3577)+1,FIND(")",AD3577)-FIND("(",AD3577)-1)</f>
        <v>192</v>
      </c>
      <c r="AG3577" s="1" t="str">
        <f t="shared" si="249"/>
        <v/>
      </c>
    </row>
    <row r="3578" spans="1:33" x14ac:dyDescent="0.2">
      <c r="A3578" s="1" t="s">
        <v>383</v>
      </c>
      <c r="B3578" s="1" t="s">
        <v>7900</v>
      </c>
      <c r="C3578" s="1">
        <v>57865</v>
      </c>
      <c r="D3578" s="1">
        <v>1</v>
      </c>
      <c r="F3578" s="1">
        <v>2023</v>
      </c>
      <c r="G3578" s="1" t="s">
        <v>346</v>
      </c>
      <c r="H3578" s="1" t="s">
        <v>5515</v>
      </c>
      <c r="I3578" s="1">
        <v>6</v>
      </c>
      <c r="K3578" s="1" t="s">
        <v>7901</v>
      </c>
      <c r="L3578" s="1" t="s">
        <v>7902</v>
      </c>
      <c r="M3578" s="1">
        <v>189</v>
      </c>
      <c r="N3578" s="1" t="s">
        <v>39</v>
      </c>
      <c r="O3578" s="1">
        <v>33.865699999999997</v>
      </c>
      <c r="P3578" s="1">
        <v>-101.8437</v>
      </c>
      <c r="Q3578" s="1" t="s">
        <v>5518</v>
      </c>
      <c r="R3578" s="1" t="s">
        <v>41</v>
      </c>
      <c r="T3578" s="1" t="s">
        <v>93</v>
      </c>
      <c r="U3578" s="1" t="s">
        <v>44</v>
      </c>
      <c r="X3578" s="1" t="s">
        <v>140</v>
      </c>
      <c r="AA3578" s="3">
        <v>42145</v>
      </c>
      <c r="AB3578" s="1" t="s">
        <v>46</v>
      </c>
      <c r="AC3578" s="5">
        <v>1941</v>
      </c>
      <c r="AD3578" s="1" t="s">
        <v>7903</v>
      </c>
      <c r="AE3578" s="1" t="str">
        <f t="shared" si="250"/>
        <v>57865 1</v>
      </c>
      <c r="AF3578" s="5" t="str">
        <f t="shared" si="253"/>
        <v>202</v>
      </c>
      <c r="AG3578" s="1" t="str">
        <f t="shared" si="249"/>
        <v/>
      </c>
    </row>
    <row r="3579" spans="1:33" x14ac:dyDescent="0.2">
      <c r="A3579" s="1" t="s">
        <v>383</v>
      </c>
      <c r="B3579" s="1" t="s">
        <v>7900</v>
      </c>
      <c r="C3579" s="1">
        <v>57865</v>
      </c>
      <c r="D3579" s="1">
        <v>2</v>
      </c>
      <c r="F3579" s="1">
        <v>2023</v>
      </c>
      <c r="G3579" s="1" t="s">
        <v>346</v>
      </c>
      <c r="H3579" s="1" t="s">
        <v>5515</v>
      </c>
      <c r="I3579" s="1">
        <v>6</v>
      </c>
      <c r="K3579" s="1" t="s">
        <v>7901</v>
      </c>
      <c r="L3579" s="1" t="s">
        <v>7902</v>
      </c>
      <c r="M3579" s="1">
        <v>189</v>
      </c>
      <c r="N3579" s="1" t="s">
        <v>39</v>
      </c>
      <c r="O3579" s="1">
        <v>33.865699999999997</v>
      </c>
      <c r="P3579" s="1">
        <v>-101.8437</v>
      </c>
      <c r="Q3579" s="1" t="s">
        <v>5518</v>
      </c>
      <c r="R3579" s="1" t="s">
        <v>41</v>
      </c>
      <c r="T3579" s="1" t="s">
        <v>93</v>
      </c>
      <c r="U3579" s="1" t="s">
        <v>44</v>
      </c>
      <c r="X3579" s="1" t="s">
        <v>140</v>
      </c>
      <c r="AA3579" s="3">
        <v>42474</v>
      </c>
      <c r="AB3579" s="1" t="s">
        <v>46</v>
      </c>
      <c r="AC3579" s="5">
        <v>1941</v>
      </c>
      <c r="AD3579" s="1" t="s">
        <v>7904</v>
      </c>
      <c r="AE3579" s="1" t="str">
        <f t="shared" si="250"/>
        <v>57865 2</v>
      </c>
      <c r="AF3579" s="5" t="str">
        <f t="shared" si="253"/>
        <v>202</v>
      </c>
      <c r="AG3579" s="1" t="str">
        <f t="shared" si="249"/>
        <v/>
      </c>
    </row>
    <row r="3580" spans="1:33" x14ac:dyDescent="0.2">
      <c r="A3580" s="1" t="s">
        <v>383</v>
      </c>
      <c r="B3580" s="1" t="s">
        <v>7900</v>
      </c>
      <c r="C3580" s="1">
        <v>57865</v>
      </c>
      <c r="D3580" s="1">
        <v>3</v>
      </c>
      <c r="F3580" s="1">
        <v>2023</v>
      </c>
      <c r="G3580" s="1" t="s">
        <v>346</v>
      </c>
      <c r="H3580" s="1" t="s">
        <v>5515</v>
      </c>
      <c r="I3580" s="1">
        <v>6</v>
      </c>
      <c r="K3580" s="1" t="s">
        <v>7901</v>
      </c>
      <c r="L3580" s="1" t="s">
        <v>7902</v>
      </c>
      <c r="M3580" s="1">
        <v>189</v>
      </c>
      <c r="N3580" s="1" t="s">
        <v>39</v>
      </c>
      <c r="O3580" s="1">
        <v>33.865699999999997</v>
      </c>
      <c r="P3580" s="1">
        <v>-101.8437</v>
      </c>
      <c r="Q3580" s="1" t="s">
        <v>5518</v>
      </c>
      <c r="R3580" s="1" t="s">
        <v>41</v>
      </c>
      <c r="T3580" s="1" t="s">
        <v>93</v>
      </c>
      <c r="U3580" s="1" t="s">
        <v>44</v>
      </c>
      <c r="X3580" s="1" t="s">
        <v>140</v>
      </c>
      <c r="AA3580" s="3">
        <v>42478</v>
      </c>
      <c r="AB3580" s="1" t="s">
        <v>46</v>
      </c>
      <c r="AC3580" s="5">
        <v>1941</v>
      </c>
      <c r="AD3580" s="1" t="s">
        <v>7905</v>
      </c>
      <c r="AE3580" s="1" t="str">
        <f t="shared" si="250"/>
        <v>57865 3</v>
      </c>
      <c r="AF3580" s="5" t="str">
        <f t="shared" si="253"/>
        <v>202</v>
      </c>
      <c r="AG3580" s="1" t="str">
        <f t="shared" si="249"/>
        <v/>
      </c>
    </row>
    <row r="3581" spans="1:33" x14ac:dyDescent="0.2">
      <c r="A3581" s="1" t="s">
        <v>2411</v>
      </c>
      <c r="B3581" s="1" t="s">
        <v>7906</v>
      </c>
      <c r="C3581" s="1">
        <v>57881</v>
      </c>
      <c r="D3581" s="1" t="s">
        <v>311</v>
      </c>
      <c r="F3581" s="1">
        <v>2023</v>
      </c>
      <c r="G3581" s="1" t="s">
        <v>247</v>
      </c>
      <c r="H3581" s="1">
        <v>609771</v>
      </c>
      <c r="I3581" s="1">
        <v>8</v>
      </c>
      <c r="K3581" s="1" t="s">
        <v>7907</v>
      </c>
      <c r="L3581" s="1" t="s">
        <v>7908</v>
      </c>
      <c r="M3581" s="1">
        <v>105</v>
      </c>
      <c r="N3581" s="1" t="s">
        <v>39</v>
      </c>
      <c r="O3581" s="1">
        <v>48.232500000000002</v>
      </c>
      <c r="P3581" s="1">
        <v>-103.9528</v>
      </c>
      <c r="Q3581" s="1" t="s">
        <v>2418</v>
      </c>
      <c r="R3581" s="1" t="s">
        <v>41</v>
      </c>
      <c r="T3581" s="1" t="s">
        <v>93</v>
      </c>
      <c r="U3581" s="1" t="s">
        <v>44</v>
      </c>
      <c r="X3581" s="1" t="s">
        <v>176</v>
      </c>
      <c r="AA3581" s="3">
        <v>41482</v>
      </c>
      <c r="AB3581" s="1" t="s">
        <v>46</v>
      </c>
      <c r="AC3581" s="5">
        <v>460</v>
      </c>
      <c r="AD3581" s="1" t="s">
        <v>7909</v>
      </c>
      <c r="AE3581" s="1" t="str">
        <f t="shared" si="250"/>
        <v>57881 CT1</v>
      </c>
      <c r="AF3581" s="5" t="str">
        <f t="shared" si="253"/>
        <v>45.2</v>
      </c>
      <c r="AG3581" s="1" t="str">
        <f t="shared" si="249"/>
        <v>Y</v>
      </c>
    </row>
    <row r="3582" spans="1:33" x14ac:dyDescent="0.2">
      <c r="A3582" s="1" t="s">
        <v>2411</v>
      </c>
      <c r="B3582" s="1" t="s">
        <v>7906</v>
      </c>
      <c r="C3582" s="1">
        <v>57881</v>
      </c>
      <c r="D3582" s="1" t="s">
        <v>98</v>
      </c>
      <c r="F3582" s="1">
        <v>2023</v>
      </c>
      <c r="G3582" s="1" t="s">
        <v>247</v>
      </c>
      <c r="H3582" s="1">
        <v>609771</v>
      </c>
      <c r="I3582" s="1">
        <v>8</v>
      </c>
      <c r="K3582" s="1" t="s">
        <v>7907</v>
      </c>
      <c r="L3582" s="1" t="s">
        <v>7908</v>
      </c>
      <c r="M3582" s="1">
        <v>105</v>
      </c>
      <c r="N3582" s="1" t="s">
        <v>39</v>
      </c>
      <c r="O3582" s="1">
        <v>48.232500000000002</v>
      </c>
      <c r="P3582" s="1">
        <v>-103.9528</v>
      </c>
      <c r="Q3582" s="1" t="s">
        <v>2418</v>
      </c>
      <c r="R3582" s="1" t="s">
        <v>41</v>
      </c>
      <c r="T3582" s="1" t="s">
        <v>93</v>
      </c>
      <c r="U3582" s="1" t="s">
        <v>44</v>
      </c>
      <c r="X3582" s="1" t="s">
        <v>176</v>
      </c>
      <c r="AA3582" s="3">
        <v>41629</v>
      </c>
      <c r="AB3582" s="1" t="s">
        <v>46</v>
      </c>
      <c r="AC3582" s="5">
        <v>460</v>
      </c>
      <c r="AD3582" s="1" t="s">
        <v>7910</v>
      </c>
      <c r="AE3582" s="1" t="str">
        <f t="shared" si="250"/>
        <v>57881 CT2</v>
      </c>
      <c r="AF3582" s="5" t="str">
        <f t="shared" si="253"/>
        <v>45.2</v>
      </c>
      <c r="AG3582" s="1" t="str">
        <f t="shared" si="249"/>
        <v>Y</v>
      </c>
    </row>
    <row r="3583" spans="1:33" x14ac:dyDescent="0.2">
      <c r="A3583" s="1" t="s">
        <v>2411</v>
      </c>
      <c r="B3583" s="1" t="s">
        <v>7906</v>
      </c>
      <c r="C3583" s="1">
        <v>57881</v>
      </c>
      <c r="D3583" s="1" t="s">
        <v>101</v>
      </c>
      <c r="F3583" s="1">
        <v>2023</v>
      </c>
      <c r="G3583" s="1" t="s">
        <v>247</v>
      </c>
      <c r="H3583" s="1">
        <v>609771</v>
      </c>
      <c r="I3583" s="1">
        <v>8</v>
      </c>
      <c r="K3583" s="1" t="s">
        <v>7907</v>
      </c>
      <c r="L3583" s="1" t="s">
        <v>7908</v>
      </c>
      <c r="M3583" s="1">
        <v>105</v>
      </c>
      <c r="N3583" s="1" t="s">
        <v>39</v>
      </c>
      <c r="O3583" s="1">
        <v>48.232500000000002</v>
      </c>
      <c r="P3583" s="1">
        <v>-103.9528</v>
      </c>
      <c r="Q3583" s="1" t="s">
        <v>2418</v>
      </c>
      <c r="R3583" s="1" t="s">
        <v>41</v>
      </c>
      <c r="T3583" s="1" t="s">
        <v>93</v>
      </c>
      <c r="U3583" s="1" t="s">
        <v>44</v>
      </c>
      <c r="X3583" s="1" t="s">
        <v>176</v>
      </c>
      <c r="AA3583" s="3">
        <v>41674</v>
      </c>
      <c r="AB3583" s="1" t="s">
        <v>46</v>
      </c>
      <c r="AC3583" s="5">
        <v>451</v>
      </c>
      <c r="AD3583" s="1" t="s">
        <v>7911</v>
      </c>
      <c r="AE3583" s="1" t="str">
        <f t="shared" si="250"/>
        <v>57881 CT3</v>
      </c>
      <c r="AF3583" s="5" t="str">
        <f t="shared" si="253"/>
        <v>45.2</v>
      </c>
      <c r="AG3583" s="1" t="str">
        <f t="shared" si="249"/>
        <v>Y</v>
      </c>
    </row>
    <row r="3584" spans="1:33" x14ac:dyDescent="0.2">
      <c r="A3584" s="1" t="s">
        <v>2411</v>
      </c>
      <c r="B3584" s="1" t="s">
        <v>7912</v>
      </c>
      <c r="C3584" s="1">
        <v>57943</v>
      </c>
      <c r="D3584" s="1" t="s">
        <v>311</v>
      </c>
      <c r="F3584" s="1">
        <v>2023</v>
      </c>
      <c r="G3584" s="1" t="s">
        <v>247</v>
      </c>
      <c r="H3584" s="1">
        <v>609771</v>
      </c>
      <c r="I3584" s="1">
        <v>8</v>
      </c>
      <c r="K3584" s="1" t="s">
        <v>7913</v>
      </c>
      <c r="L3584" s="1" t="s">
        <v>7914</v>
      </c>
      <c r="M3584" s="1">
        <v>53</v>
      </c>
      <c r="N3584" s="1" t="s">
        <v>39</v>
      </c>
      <c r="O3584" s="1">
        <v>47.796599999999998</v>
      </c>
      <c r="P3584" s="1">
        <v>-103.5783</v>
      </c>
      <c r="Q3584" s="1" t="s">
        <v>2418</v>
      </c>
      <c r="R3584" s="1" t="s">
        <v>41</v>
      </c>
      <c r="T3584" s="1" t="s">
        <v>93</v>
      </c>
      <c r="U3584" s="1" t="s">
        <v>44</v>
      </c>
      <c r="X3584" s="1" t="s">
        <v>64</v>
      </c>
      <c r="AA3584" s="3">
        <v>41571</v>
      </c>
      <c r="AB3584" s="1" t="s">
        <v>46</v>
      </c>
      <c r="AC3584" s="5">
        <v>495</v>
      </c>
      <c r="AD3584" s="1" t="s">
        <v>7909</v>
      </c>
      <c r="AE3584" s="1" t="str">
        <f t="shared" si="250"/>
        <v>57943 CT1</v>
      </c>
      <c r="AF3584" s="5" t="str">
        <f t="shared" si="253"/>
        <v>45.2</v>
      </c>
      <c r="AG3584" s="1" t="str">
        <f t="shared" si="249"/>
        <v>Y</v>
      </c>
    </row>
    <row r="3585" spans="1:33" x14ac:dyDescent="0.2">
      <c r="A3585" s="1" t="s">
        <v>2411</v>
      </c>
      <c r="B3585" s="1" t="s">
        <v>7912</v>
      </c>
      <c r="C3585" s="1">
        <v>57943</v>
      </c>
      <c r="D3585" s="1" t="s">
        <v>98</v>
      </c>
      <c r="F3585" s="1">
        <v>2023</v>
      </c>
      <c r="G3585" s="1" t="s">
        <v>247</v>
      </c>
      <c r="H3585" s="1">
        <v>609771</v>
      </c>
      <c r="I3585" s="1">
        <v>8</v>
      </c>
      <c r="K3585" s="1" t="s">
        <v>7913</v>
      </c>
      <c r="L3585" s="1" t="s">
        <v>7914</v>
      </c>
      <c r="M3585" s="1">
        <v>53</v>
      </c>
      <c r="N3585" s="1" t="s">
        <v>39</v>
      </c>
      <c r="O3585" s="1">
        <v>47.796599999999998</v>
      </c>
      <c r="P3585" s="1">
        <v>-103.5783</v>
      </c>
      <c r="Q3585" s="1" t="s">
        <v>2418</v>
      </c>
      <c r="R3585" s="1" t="s">
        <v>41</v>
      </c>
      <c r="T3585" s="1" t="s">
        <v>93</v>
      </c>
      <c r="U3585" s="1" t="s">
        <v>44</v>
      </c>
      <c r="X3585" s="1" t="s">
        <v>64</v>
      </c>
      <c r="AA3585" s="3">
        <v>41996</v>
      </c>
      <c r="AB3585" s="1" t="s">
        <v>46</v>
      </c>
      <c r="AC3585" s="5">
        <v>495</v>
      </c>
      <c r="AD3585" s="1" t="s">
        <v>7910</v>
      </c>
      <c r="AE3585" s="1" t="str">
        <f t="shared" si="250"/>
        <v>57943 CT2</v>
      </c>
      <c r="AF3585" s="5" t="str">
        <f t="shared" si="253"/>
        <v>45.2</v>
      </c>
      <c r="AG3585" s="1" t="str">
        <f t="shared" si="249"/>
        <v>Y</v>
      </c>
    </row>
    <row r="3586" spans="1:33" x14ac:dyDescent="0.2">
      <c r="A3586" s="1" t="s">
        <v>2411</v>
      </c>
      <c r="B3586" s="1" t="s">
        <v>7912</v>
      </c>
      <c r="C3586" s="1">
        <v>57943</v>
      </c>
      <c r="D3586" s="1" t="s">
        <v>101</v>
      </c>
      <c r="F3586" s="1">
        <v>2023</v>
      </c>
      <c r="G3586" s="1" t="s">
        <v>247</v>
      </c>
      <c r="H3586" s="1">
        <v>609771</v>
      </c>
      <c r="I3586" s="1">
        <v>8</v>
      </c>
      <c r="K3586" s="1" t="s">
        <v>7913</v>
      </c>
      <c r="L3586" s="1" t="s">
        <v>7914</v>
      </c>
      <c r="M3586" s="1">
        <v>53</v>
      </c>
      <c r="N3586" s="1" t="s">
        <v>39</v>
      </c>
      <c r="O3586" s="1">
        <v>47.796599999999998</v>
      </c>
      <c r="P3586" s="1">
        <v>-103.5783</v>
      </c>
      <c r="Q3586" s="1" t="s">
        <v>2418</v>
      </c>
      <c r="R3586" s="1" t="s">
        <v>41</v>
      </c>
      <c r="T3586" s="1" t="s">
        <v>93</v>
      </c>
      <c r="U3586" s="1" t="s">
        <v>44</v>
      </c>
      <c r="X3586" s="1" t="s">
        <v>64</v>
      </c>
      <c r="AA3586" s="3">
        <v>41996</v>
      </c>
      <c r="AB3586" s="1" t="s">
        <v>46</v>
      </c>
      <c r="AC3586" s="5">
        <v>495</v>
      </c>
      <c r="AD3586" s="1" t="s">
        <v>7911</v>
      </c>
      <c r="AE3586" s="1" t="str">
        <f t="shared" si="250"/>
        <v>57943 CT3</v>
      </c>
      <c r="AF3586" s="5" t="str">
        <f t="shared" si="253"/>
        <v>45.2</v>
      </c>
      <c r="AG3586" s="1" t="str">
        <f t="shared" ref="AG3586:AG3649" si="254">IF(ISNUMBER(SEARCH("selective", X3586)), "Y", "")</f>
        <v>Y</v>
      </c>
    </row>
    <row r="3587" spans="1:33" x14ac:dyDescent="0.2">
      <c r="A3587" s="1" t="s">
        <v>2411</v>
      </c>
      <c r="B3587" s="1" t="s">
        <v>7912</v>
      </c>
      <c r="C3587" s="1">
        <v>57943</v>
      </c>
      <c r="D3587" s="1" t="s">
        <v>103</v>
      </c>
      <c r="F3587" s="1">
        <v>2023</v>
      </c>
      <c r="G3587" s="1" t="s">
        <v>247</v>
      </c>
      <c r="H3587" s="1">
        <v>609771</v>
      </c>
      <c r="I3587" s="1">
        <v>8</v>
      </c>
      <c r="K3587" s="1" t="s">
        <v>7913</v>
      </c>
      <c r="L3587" s="1" t="s">
        <v>7914</v>
      </c>
      <c r="M3587" s="1">
        <v>53</v>
      </c>
      <c r="N3587" s="1" t="s">
        <v>39</v>
      </c>
      <c r="O3587" s="1">
        <v>47.796599999999998</v>
      </c>
      <c r="P3587" s="1">
        <v>-103.5783</v>
      </c>
      <c r="Q3587" s="1" t="s">
        <v>2418</v>
      </c>
      <c r="R3587" s="1" t="s">
        <v>41</v>
      </c>
      <c r="T3587" s="1" t="s">
        <v>93</v>
      </c>
      <c r="U3587" s="1" t="s">
        <v>44</v>
      </c>
      <c r="X3587" s="1" t="s">
        <v>64</v>
      </c>
      <c r="AA3587" s="3">
        <v>42463</v>
      </c>
      <c r="AB3587" s="1" t="s">
        <v>46</v>
      </c>
      <c r="AC3587" s="5">
        <v>495</v>
      </c>
      <c r="AD3587" s="1" t="s">
        <v>7915</v>
      </c>
      <c r="AE3587" s="1" t="str">
        <f t="shared" ref="AE3587:AE3650" si="255">C3587&amp;" "&amp;D3587</f>
        <v>57943 CT4</v>
      </c>
      <c r="AF3587" s="5" t="str">
        <f t="shared" si="253"/>
        <v>45.2</v>
      </c>
      <c r="AG3587" s="1" t="str">
        <f t="shared" si="254"/>
        <v>Y</v>
      </c>
    </row>
    <row r="3588" spans="1:33" x14ac:dyDescent="0.2">
      <c r="A3588" s="1" t="s">
        <v>2411</v>
      </c>
      <c r="B3588" s="1" t="s">
        <v>7912</v>
      </c>
      <c r="C3588" s="1">
        <v>57943</v>
      </c>
      <c r="D3588" s="1" t="s">
        <v>105</v>
      </c>
      <c r="F3588" s="1">
        <v>2023</v>
      </c>
      <c r="G3588" s="1" t="s">
        <v>247</v>
      </c>
      <c r="H3588" s="1">
        <v>609771</v>
      </c>
      <c r="I3588" s="1">
        <v>8</v>
      </c>
      <c r="K3588" s="1" t="s">
        <v>7913</v>
      </c>
      <c r="L3588" s="1" t="s">
        <v>7914</v>
      </c>
      <c r="M3588" s="1">
        <v>53</v>
      </c>
      <c r="N3588" s="1" t="s">
        <v>39</v>
      </c>
      <c r="O3588" s="1">
        <v>47.796599999999998</v>
      </c>
      <c r="P3588" s="1">
        <v>-103.5783</v>
      </c>
      <c r="Q3588" s="1" t="s">
        <v>2418</v>
      </c>
      <c r="R3588" s="1" t="s">
        <v>41</v>
      </c>
      <c r="T3588" s="1" t="s">
        <v>93</v>
      </c>
      <c r="U3588" s="1" t="s">
        <v>44</v>
      </c>
      <c r="X3588" s="1" t="s">
        <v>64</v>
      </c>
      <c r="AA3588" s="3">
        <v>42467</v>
      </c>
      <c r="AB3588" s="1" t="s">
        <v>46</v>
      </c>
      <c r="AC3588" s="5">
        <v>495</v>
      </c>
      <c r="AD3588" s="1" t="s">
        <v>7916</v>
      </c>
      <c r="AE3588" s="1" t="str">
        <f t="shared" si="255"/>
        <v>57943 CT5</v>
      </c>
      <c r="AF3588" s="5" t="str">
        <f t="shared" si="253"/>
        <v>45.2</v>
      </c>
      <c r="AG3588" s="1" t="str">
        <f t="shared" si="254"/>
        <v>Y</v>
      </c>
    </row>
    <row r="3589" spans="1:33" x14ac:dyDescent="0.2">
      <c r="A3589" s="1" t="s">
        <v>2411</v>
      </c>
      <c r="B3589" s="1" t="s">
        <v>7912</v>
      </c>
      <c r="C3589" s="1">
        <v>57943</v>
      </c>
      <c r="D3589" s="1" t="s">
        <v>107</v>
      </c>
      <c r="F3589" s="1">
        <v>2023</v>
      </c>
      <c r="G3589" s="1" t="s">
        <v>247</v>
      </c>
      <c r="H3589" s="1">
        <v>609771</v>
      </c>
      <c r="I3589" s="1">
        <v>8</v>
      </c>
      <c r="K3589" s="1" t="s">
        <v>7913</v>
      </c>
      <c r="L3589" s="1" t="s">
        <v>7914</v>
      </c>
      <c r="M3589" s="1">
        <v>53</v>
      </c>
      <c r="N3589" s="1" t="s">
        <v>39</v>
      </c>
      <c r="O3589" s="1">
        <v>47.796599999999998</v>
      </c>
      <c r="P3589" s="1">
        <v>-103.5783</v>
      </c>
      <c r="Q3589" s="1" t="s">
        <v>2418</v>
      </c>
      <c r="R3589" s="1" t="s">
        <v>41</v>
      </c>
      <c r="T3589" s="1" t="s">
        <v>93</v>
      </c>
      <c r="U3589" s="1" t="s">
        <v>44</v>
      </c>
      <c r="X3589" s="1" t="s">
        <v>64</v>
      </c>
      <c r="AA3589" s="3">
        <v>44412</v>
      </c>
      <c r="AB3589" s="1" t="s">
        <v>46</v>
      </c>
      <c r="AC3589" s="5">
        <v>495</v>
      </c>
      <c r="AD3589" s="1" t="s">
        <v>7917</v>
      </c>
      <c r="AE3589" s="1" t="str">
        <f t="shared" si="255"/>
        <v>57943 CT6</v>
      </c>
      <c r="AF3589" s="5" t="str">
        <f t="shared" si="253"/>
        <v>45.2</v>
      </c>
      <c r="AG3589" s="1" t="str">
        <f t="shared" si="254"/>
        <v>Y</v>
      </c>
    </row>
    <row r="3590" spans="1:33" x14ac:dyDescent="0.2">
      <c r="A3590" s="1" t="s">
        <v>370</v>
      </c>
      <c r="B3590" s="1" t="s">
        <v>7918</v>
      </c>
      <c r="C3590" s="1">
        <v>57978</v>
      </c>
      <c r="D3590" s="1" t="s">
        <v>311</v>
      </c>
      <c r="F3590" s="1">
        <v>2023</v>
      </c>
      <c r="G3590" s="1" t="s">
        <v>247</v>
      </c>
      <c r="H3590" s="1" t="s">
        <v>4113</v>
      </c>
      <c r="I3590" s="1">
        <v>9</v>
      </c>
      <c r="K3590" s="1" t="s">
        <v>4114</v>
      </c>
      <c r="L3590" s="1" t="s">
        <v>4115</v>
      </c>
      <c r="M3590" s="1">
        <v>77</v>
      </c>
      <c r="N3590" s="1" t="s">
        <v>39</v>
      </c>
      <c r="O3590" s="1">
        <v>38.088000000000001</v>
      </c>
      <c r="P3590" s="1">
        <v>-121.3867</v>
      </c>
      <c r="Q3590" s="1" t="s">
        <v>4116</v>
      </c>
      <c r="R3590" s="1" t="s">
        <v>41</v>
      </c>
      <c r="T3590" s="1" t="s">
        <v>71</v>
      </c>
      <c r="U3590" s="1" t="s">
        <v>44</v>
      </c>
      <c r="X3590" s="1" t="s">
        <v>223</v>
      </c>
      <c r="AA3590" s="3">
        <v>41153</v>
      </c>
      <c r="AB3590" s="1" t="s">
        <v>46</v>
      </c>
      <c r="AC3590" s="5">
        <v>2250</v>
      </c>
      <c r="AD3590" s="1" t="s">
        <v>7919</v>
      </c>
      <c r="AE3590" s="1" t="str">
        <f t="shared" si="255"/>
        <v>57978 CT1</v>
      </c>
      <c r="AF3590" s="14">
        <f>MID(AD3590,FIND("(",AD3590)+1,FIND(")",AD3590)-FIND("(",AD3590)-1)+185</f>
        <v>315</v>
      </c>
      <c r="AG3590" s="1" t="str">
        <f t="shared" si="254"/>
        <v>Y</v>
      </c>
    </row>
    <row r="3591" spans="1:33" x14ac:dyDescent="0.2">
      <c r="A3591" s="1" t="s">
        <v>383</v>
      </c>
      <c r="B3591" s="1" t="s">
        <v>7920</v>
      </c>
      <c r="C3591" s="1">
        <v>58001</v>
      </c>
      <c r="D3591" s="1" t="s">
        <v>1129</v>
      </c>
      <c r="F3591" s="1">
        <v>2023</v>
      </c>
      <c r="G3591" s="1" t="s">
        <v>346</v>
      </c>
      <c r="H3591" s="1" t="s">
        <v>7921</v>
      </c>
      <c r="I3591" s="1">
        <v>6</v>
      </c>
      <c r="J3591" s="1" t="s">
        <v>387</v>
      </c>
      <c r="K3591" s="1" t="s">
        <v>7922</v>
      </c>
      <c r="L3591" s="1" t="s">
        <v>7923</v>
      </c>
      <c r="M3591" s="1">
        <v>27</v>
      </c>
      <c r="N3591" s="1" t="s">
        <v>39</v>
      </c>
      <c r="O3591" s="1">
        <v>31.055800000000001</v>
      </c>
      <c r="P3591" s="1">
        <v>-97.3172</v>
      </c>
      <c r="Q3591" s="1" t="s">
        <v>7924</v>
      </c>
      <c r="R3591" s="1" t="s">
        <v>41</v>
      </c>
      <c r="T3591" s="1" t="s">
        <v>71</v>
      </c>
      <c r="U3591" s="1" t="s">
        <v>44</v>
      </c>
      <c r="X3591" s="1" t="s">
        <v>64</v>
      </c>
      <c r="AA3591" s="3">
        <v>41764</v>
      </c>
      <c r="AB3591" s="1" t="s">
        <v>46</v>
      </c>
      <c r="AC3591" s="5">
        <v>3090</v>
      </c>
      <c r="AD3591" s="1" t="s">
        <v>7925</v>
      </c>
      <c r="AE3591" s="1" t="str">
        <f t="shared" si="255"/>
        <v>58001 CTG1</v>
      </c>
      <c r="AF3591" s="14">
        <f>MID(AD3591,FIND("(",AD3591)+1,FIND(")",AD3591)-FIND("(",AD3591)-1)+339.2/2</f>
        <v>401.6</v>
      </c>
      <c r="AG3591" s="1" t="str">
        <f t="shared" si="254"/>
        <v>Y</v>
      </c>
    </row>
    <row r="3592" spans="1:33" x14ac:dyDescent="0.2">
      <c r="A3592" s="1" t="s">
        <v>383</v>
      </c>
      <c r="B3592" s="1" t="s">
        <v>7920</v>
      </c>
      <c r="C3592" s="1">
        <v>58001</v>
      </c>
      <c r="D3592" s="1" t="s">
        <v>1135</v>
      </c>
      <c r="F3592" s="1">
        <v>2023</v>
      </c>
      <c r="G3592" s="1" t="s">
        <v>346</v>
      </c>
      <c r="H3592" s="1" t="s">
        <v>7921</v>
      </c>
      <c r="I3592" s="1">
        <v>6</v>
      </c>
      <c r="J3592" s="1" t="s">
        <v>387</v>
      </c>
      <c r="K3592" s="1" t="s">
        <v>7922</v>
      </c>
      <c r="L3592" s="1" t="s">
        <v>7923</v>
      </c>
      <c r="M3592" s="1">
        <v>27</v>
      </c>
      <c r="N3592" s="1" t="s">
        <v>39</v>
      </c>
      <c r="O3592" s="1">
        <v>31.055800000000001</v>
      </c>
      <c r="P3592" s="1">
        <v>-97.3172</v>
      </c>
      <c r="Q3592" s="1" t="s">
        <v>7924</v>
      </c>
      <c r="R3592" s="1" t="s">
        <v>41</v>
      </c>
      <c r="T3592" s="1" t="s">
        <v>71</v>
      </c>
      <c r="U3592" s="1" t="s">
        <v>44</v>
      </c>
      <c r="X3592" s="1" t="s">
        <v>64</v>
      </c>
      <c r="AA3592" s="3">
        <v>41766</v>
      </c>
      <c r="AB3592" s="1" t="s">
        <v>46</v>
      </c>
      <c r="AC3592" s="5">
        <v>3090</v>
      </c>
      <c r="AD3592" s="1" t="s">
        <v>7926</v>
      </c>
      <c r="AE3592" s="1" t="str">
        <f t="shared" si="255"/>
        <v>58001 CTG2</v>
      </c>
      <c r="AF3592" s="14">
        <f>AF3591</f>
        <v>401.6</v>
      </c>
      <c r="AG3592" s="1" t="str">
        <f t="shared" si="254"/>
        <v>Y</v>
      </c>
    </row>
    <row r="3593" spans="1:33" x14ac:dyDescent="0.2">
      <c r="A3593" s="1" t="s">
        <v>383</v>
      </c>
      <c r="B3593" s="1" t="s">
        <v>7920</v>
      </c>
      <c r="C3593" s="1">
        <v>58001</v>
      </c>
      <c r="D3593" s="1" t="s">
        <v>6002</v>
      </c>
      <c r="F3593" s="1">
        <v>2023</v>
      </c>
      <c r="G3593" s="1" t="s">
        <v>346</v>
      </c>
      <c r="H3593" s="1" t="s">
        <v>7921</v>
      </c>
      <c r="I3593" s="1">
        <v>6</v>
      </c>
      <c r="J3593" s="1" t="s">
        <v>387</v>
      </c>
      <c r="K3593" s="1" t="s">
        <v>7922</v>
      </c>
      <c r="L3593" s="1" t="s">
        <v>7923</v>
      </c>
      <c r="M3593" s="1">
        <v>27</v>
      </c>
      <c r="N3593" s="1" t="s">
        <v>39</v>
      </c>
      <c r="O3593" s="1">
        <v>31.055800000000001</v>
      </c>
      <c r="P3593" s="1">
        <v>-97.3172</v>
      </c>
      <c r="Q3593" s="1" t="s">
        <v>7927</v>
      </c>
      <c r="R3593" s="1" t="s">
        <v>41</v>
      </c>
      <c r="T3593" s="1" t="s">
        <v>71</v>
      </c>
      <c r="U3593" s="1" t="s">
        <v>44</v>
      </c>
      <c r="X3593" s="1" t="s">
        <v>64</v>
      </c>
      <c r="AA3593" s="3">
        <v>42076</v>
      </c>
      <c r="AB3593" s="1" t="s">
        <v>46</v>
      </c>
      <c r="AC3593" s="5">
        <v>3090</v>
      </c>
      <c r="AD3593" s="1" t="s">
        <v>7928</v>
      </c>
      <c r="AE3593" s="1" t="str">
        <f t="shared" si="255"/>
        <v>58001 CTG3</v>
      </c>
      <c r="AF3593" s="14">
        <f>MID(AD3593,FIND("(",AD3593)+1,FIND(")",AD3593)-FIND("(",AD3593)-1)+339.2/2</f>
        <v>401.6</v>
      </c>
      <c r="AG3593" s="1" t="str">
        <f t="shared" si="254"/>
        <v>Y</v>
      </c>
    </row>
    <row r="3594" spans="1:33" x14ac:dyDescent="0.2">
      <c r="A3594" s="1" t="s">
        <v>383</v>
      </c>
      <c r="B3594" s="1" t="s">
        <v>7920</v>
      </c>
      <c r="C3594" s="1">
        <v>58001</v>
      </c>
      <c r="D3594" s="1" t="s">
        <v>2495</v>
      </c>
      <c r="F3594" s="1">
        <v>2023</v>
      </c>
      <c r="G3594" s="1" t="s">
        <v>346</v>
      </c>
      <c r="H3594" s="1" t="s">
        <v>7921</v>
      </c>
      <c r="I3594" s="1">
        <v>6</v>
      </c>
      <c r="J3594" s="1" t="s">
        <v>387</v>
      </c>
      <c r="K3594" s="1" t="s">
        <v>7922</v>
      </c>
      <c r="L3594" s="1" t="s">
        <v>7923</v>
      </c>
      <c r="M3594" s="1">
        <v>27</v>
      </c>
      <c r="N3594" s="1" t="s">
        <v>39</v>
      </c>
      <c r="O3594" s="1">
        <v>31.055800000000001</v>
      </c>
      <c r="P3594" s="1">
        <v>-97.3172</v>
      </c>
      <c r="Q3594" s="1" t="s">
        <v>7927</v>
      </c>
      <c r="R3594" s="1" t="s">
        <v>41</v>
      </c>
      <c r="T3594" s="1" t="s">
        <v>71</v>
      </c>
      <c r="U3594" s="1" t="s">
        <v>44</v>
      </c>
      <c r="X3594" s="1" t="s">
        <v>64</v>
      </c>
      <c r="AA3594" s="3">
        <v>42079</v>
      </c>
      <c r="AB3594" s="1" t="s">
        <v>46</v>
      </c>
      <c r="AC3594" s="5">
        <v>3000</v>
      </c>
      <c r="AD3594" s="1" t="s">
        <v>7929</v>
      </c>
      <c r="AE3594" s="1" t="str">
        <f t="shared" si="255"/>
        <v>58001 CTG4</v>
      </c>
      <c r="AF3594" s="14">
        <f>AF3593</f>
        <v>401.6</v>
      </c>
      <c r="AG3594" s="1" t="str">
        <f t="shared" si="254"/>
        <v>Y</v>
      </c>
    </row>
    <row r="3595" spans="1:33" x14ac:dyDescent="0.2">
      <c r="A3595" s="1" t="s">
        <v>383</v>
      </c>
      <c r="B3595" s="1" t="s">
        <v>7930</v>
      </c>
      <c r="C3595" s="1">
        <v>58005</v>
      </c>
      <c r="D3595" s="1" t="s">
        <v>1129</v>
      </c>
      <c r="F3595" s="1">
        <v>2023</v>
      </c>
      <c r="G3595" s="1" t="s">
        <v>346</v>
      </c>
      <c r="H3595" s="1" t="s">
        <v>7931</v>
      </c>
      <c r="I3595" s="1">
        <v>6</v>
      </c>
      <c r="K3595" s="1" t="s">
        <v>7932</v>
      </c>
      <c r="L3595" s="1" t="s">
        <v>7933</v>
      </c>
      <c r="M3595" s="1">
        <v>181</v>
      </c>
      <c r="N3595" s="1" t="s">
        <v>39</v>
      </c>
      <c r="O3595" s="1">
        <v>33.575600000000001</v>
      </c>
      <c r="P3595" s="1">
        <v>-96.615799999999993</v>
      </c>
      <c r="Q3595" s="1" t="s">
        <v>7934</v>
      </c>
      <c r="R3595" s="1" t="s">
        <v>41</v>
      </c>
      <c r="T3595" s="1" t="s">
        <v>71</v>
      </c>
      <c r="U3595" s="1" t="s">
        <v>44</v>
      </c>
      <c r="X3595" s="1" t="s">
        <v>64</v>
      </c>
      <c r="AA3595" s="3">
        <v>41784</v>
      </c>
      <c r="AB3595" s="1" t="s">
        <v>46</v>
      </c>
      <c r="AC3595" s="5">
        <v>2944</v>
      </c>
      <c r="AD3595" s="1" t="s">
        <v>7925</v>
      </c>
      <c r="AE3595" s="1" t="str">
        <f t="shared" si="255"/>
        <v>58005 CTG1</v>
      </c>
      <c r="AF3595" s="14">
        <f>MID(AD3595,FIND("(",AD3595)+1,FIND(")",AD3595)-FIND("(",AD3595)-1)+339.2/2</f>
        <v>401.6</v>
      </c>
      <c r="AG3595" s="1" t="str">
        <f t="shared" si="254"/>
        <v>Y</v>
      </c>
    </row>
    <row r="3596" spans="1:33" x14ac:dyDescent="0.2">
      <c r="A3596" s="1" t="s">
        <v>383</v>
      </c>
      <c r="B3596" s="1" t="s">
        <v>7930</v>
      </c>
      <c r="C3596" s="1">
        <v>58005</v>
      </c>
      <c r="D3596" s="1" t="s">
        <v>1135</v>
      </c>
      <c r="F3596" s="1">
        <v>2023</v>
      </c>
      <c r="G3596" s="1" t="s">
        <v>346</v>
      </c>
      <c r="H3596" s="1" t="s">
        <v>7931</v>
      </c>
      <c r="I3596" s="1">
        <v>6</v>
      </c>
      <c r="K3596" s="1" t="s">
        <v>7932</v>
      </c>
      <c r="L3596" s="1" t="s">
        <v>7933</v>
      </c>
      <c r="M3596" s="1">
        <v>181</v>
      </c>
      <c r="N3596" s="1" t="s">
        <v>39</v>
      </c>
      <c r="O3596" s="1">
        <v>33.575600000000001</v>
      </c>
      <c r="P3596" s="1">
        <v>-96.615799999999993</v>
      </c>
      <c r="Q3596" s="1" t="s">
        <v>7934</v>
      </c>
      <c r="R3596" s="1" t="s">
        <v>41</v>
      </c>
      <c r="T3596" s="1" t="s">
        <v>71</v>
      </c>
      <c r="U3596" s="1" t="s">
        <v>44</v>
      </c>
      <c r="X3596" s="1" t="s">
        <v>64</v>
      </c>
      <c r="AA3596" s="3">
        <v>41788</v>
      </c>
      <c r="AB3596" s="1" t="s">
        <v>46</v>
      </c>
      <c r="AC3596" s="5">
        <v>2944</v>
      </c>
      <c r="AD3596" s="1" t="s">
        <v>7935</v>
      </c>
      <c r="AE3596" s="1" t="str">
        <f t="shared" si="255"/>
        <v>58005 CTG2</v>
      </c>
      <c r="AF3596" s="14">
        <f>AF3595</f>
        <v>401.6</v>
      </c>
      <c r="AG3596" s="1" t="str">
        <f t="shared" si="254"/>
        <v>Y</v>
      </c>
    </row>
    <row r="3597" spans="1:33" x14ac:dyDescent="0.2">
      <c r="A3597" s="1" t="s">
        <v>1961</v>
      </c>
      <c r="B3597" s="1" t="s">
        <v>7936</v>
      </c>
      <c r="C3597" s="1">
        <v>58054</v>
      </c>
      <c r="D3597" s="1" t="s">
        <v>7937</v>
      </c>
      <c r="F3597" s="1">
        <v>2023</v>
      </c>
      <c r="G3597" s="1" t="s">
        <v>247</v>
      </c>
      <c r="H3597" s="1">
        <v>608989</v>
      </c>
      <c r="I3597" s="1">
        <v>1</v>
      </c>
      <c r="K3597" s="1" t="s">
        <v>7938</v>
      </c>
      <c r="L3597" s="1" t="s">
        <v>7939</v>
      </c>
      <c r="M3597" s="1">
        <v>7</v>
      </c>
      <c r="N3597" s="1" t="s">
        <v>39</v>
      </c>
      <c r="O3597" s="1">
        <v>44.471899999999998</v>
      </c>
      <c r="P3597" s="1">
        <v>-71.175299999999993</v>
      </c>
      <c r="Q3597" s="1" t="s">
        <v>7940</v>
      </c>
      <c r="R3597" s="1" t="s">
        <v>41</v>
      </c>
      <c r="T3597" s="1" t="s">
        <v>7167</v>
      </c>
      <c r="U3597" s="1" t="s">
        <v>657</v>
      </c>
      <c r="V3597" s="1" t="s">
        <v>94</v>
      </c>
      <c r="W3597" s="1" t="s">
        <v>454</v>
      </c>
      <c r="X3597" s="1" t="s">
        <v>223</v>
      </c>
      <c r="Y3597" s="1" t="s">
        <v>232</v>
      </c>
      <c r="AA3597" s="3">
        <v>41572</v>
      </c>
      <c r="AB3597" s="1" t="s">
        <v>46</v>
      </c>
      <c r="AC3597" s="5">
        <v>1554.2</v>
      </c>
      <c r="AD3597" s="1" t="s">
        <v>7941</v>
      </c>
      <c r="AE3597" s="1" t="str">
        <f t="shared" si="255"/>
        <v>58054 ST01</v>
      </c>
      <c r="AF3597" s="5" t="str">
        <f>MID(AD3597,FIND("(",AD3597)+1,FIND(")",AD3597)-FIND("(",AD3597)-1)</f>
        <v>75</v>
      </c>
      <c r="AG3597" s="1" t="str">
        <f t="shared" si="254"/>
        <v>Y</v>
      </c>
    </row>
    <row r="3598" spans="1:33" x14ac:dyDescent="0.2">
      <c r="A3598" s="1" t="s">
        <v>1980</v>
      </c>
      <c r="B3598" s="1" t="s">
        <v>7942</v>
      </c>
      <c r="C3598" s="1">
        <v>58079</v>
      </c>
      <c r="D3598" s="1" t="s">
        <v>4348</v>
      </c>
      <c r="F3598" s="1">
        <v>2023</v>
      </c>
      <c r="G3598" s="1" t="s">
        <v>1515</v>
      </c>
      <c r="H3598" s="1">
        <v>603503</v>
      </c>
      <c r="I3598" s="1">
        <v>2</v>
      </c>
      <c r="K3598" s="1" t="s">
        <v>1612</v>
      </c>
      <c r="L3598" s="1" t="s">
        <v>7943</v>
      </c>
      <c r="M3598" s="1">
        <v>13</v>
      </c>
      <c r="N3598" s="1" t="s">
        <v>39</v>
      </c>
      <c r="O3598" s="1">
        <v>40.708199999999998</v>
      </c>
      <c r="P3598" s="1">
        <v>-74.128399999999999</v>
      </c>
      <c r="Q3598" s="1" t="s">
        <v>7944</v>
      </c>
      <c r="R3598" s="1" t="s">
        <v>41</v>
      </c>
      <c r="T3598" s="1" t="s">
        <v>71</v>
      </c>
      <c r="U3598" s="1" t="s">
        <v>44</v>
      </c>
      <c r="X3598" s="1" t="s">
        <v>223</v>
      </c>
      <c r="AA3598" s="3">
        <v>42072</v>
      </c>
      <c r="AB3598" s="1" t="s">
        <v>46</v>
      </c>
      <c r="AC3598" s="5">
        <v>2531</v>
      </c>
      <c r="AD3598" s="1" t="s">
        <v>7945</v>
      </c>
      <c r="AE3598" s="1" t="str">
        <f t="shared" si="255"/>
        <v>58079 U001</v>
      </c>
      <c r="AF3598" s="14">
        <f>MID(AD3598,FIND("(",AD3598)+1,FIND(")",AD3598)-FIND("(",AD3598)-1)+285/2</f>
        <v>367.5</v>
      </c>
      <c r="AG3598" s="1" t="str">
        <f t="shared" si="254"/>
        <v>Y</v>
      </c>
    </row>
    <row r="3599" spans="1:33" x14ac:dyDescent="0.2">
      <c r="A3599" s="1" t="s">
        <v>1980</v>
      </c>
      <c r="B3599" s="1" t="s">
        <v>7942</v>
      </c>
      <c r="C3599" s="1">
        <v>58079</v>
      </c>
      <c r="D3599" s="1" t="s">
        <v>7833</v>
      </c>
      <c r="F3599" s="1">
        <v>2023</v>
      </c>
      <c r="G3599" s="1" t="s">
        <v>1515</v>
      </c>
      <c r="H3599" s="1">
        <v>603503</v>
      </c>
      <c r="I3599" s="1">
        <v>2</v>
      </c>
      <c r="K3599" s="1" t="s">
        <v>1612</v>
      </c>
      <c r="L3599" s="1" t="s">
        <v>7943</v>
      </c>
      <c r="M3599" s="1">
        <v>13</v>
      </c>
      <c r="N3599" s="1" t="s">
        <v>39</v>
      </c>
      <c r="O3599" s="1">
        <v>40.708199999999998</v>
      </c>
      <c r="P3599" s="1">
        <v>-74.128399999999999</v>
      </c>
      <c r="Q3599" s="1" t="s">
        <v>7944</v>
      </c>
      <c r="R3599" s="1" t="s">
        <v>41</v>
      </c>
      <c r="T3599" s="1" t="s">
        <v>71</v>
      </c>
      <c r="U3599" s="1" t="s">
        <v>44</v>
      </c>
      <c r="X3599" s="1" t="s">
        <v>223</v>
      </c>
      <c r="AA3599" s="3">
        <v>42085</v>
      </c>
      <c r="AB3599" s="1" t="s">
        <v>46</v>
      </c>
      <c r="AC3599" s="5">
        <v>2531</v>
      </c>
      <c r="AD3599" s="1" t="s">
        <v>7946</v>
      </c>
      <c r="AE3599" s="1" t="str">
        <f t="shared" si="255"/>
        <v>58079 U002</v>
      </c>
      <c r="AF3599" s="14">
        <f>AF3598</f>
        <v>367.5</v>
      </c>
      <c r="AG3599" s="1" t="str">
        <f t="shared" si="254"/>
        <v>Y</v>
      </c>
    </row>
    <row r="3600" spans="1:33" x14ac:dyDescent="0.2">
      <c r="A3600" s="1" t="s">
        <v>370</v>
      </c>
      <c r="B3600" s="1" t="s">
        <v>7947</v>
      </c>
      <c r="C3600" s="1">
        <v>58122</v>
      </c>
      <c r="D3600" s="1" t="s">
        <v>4801</v>
      </c>
      <c r="F3600" s="1">
        <v>2023</v>
      </c>
      <c r="G3600" s="1" t="s">
        <v>247</v>
      </c>
      <c r="H3600" s="1">
        <v>602281</v>
      </c>
      <c r="I3600" s="1">
        <v>9</v>
      </c>
      <c r="K3600" s="1" t="s">
        <v>7948</v>
      </c>
      <c r="L3600" s="1" t="s">
        <v>7949</v>
      </c>
      <c r="M3600" s="1">
        <v>107</v>
      </c>
      <c r="N3600" s="1" t="s">
        <v>39</v>
      </c>
      <c r="O3600" s="1">
        <v>35.790900000000001</v>
      </c>
      <c r="P3600" s="1">
        <v>-119.2945</v>
      </c>
      <c r="Q3600" s="1" t="s">
        <v>7950</v>
      </c>
      <c r="R3600" s="1" t="s">
        <v>41</v>
      </c>
      <c r="T3600" s="1" t="s">
        <v>93</v>
      </c>
      <c r="U3600" s="1" t="s">
        <v>44</v>
      </c>
      <c r="X3600" s="1" t="s">
        <v>176</v>
      </c>
      <c r="AA3600" s="3">
        <v>41222</v>
      </c>
      <c r="AB3600" s="1" t="s">
        <v>46</v>
      </c>
      <c r="AC3600" s="5">
        <v>500</v>
      </c>
      <c r="AD3600" s="1" t="s">
        <v>7951</v>
      </c>
      <c r="AE3600" s="1" t="str">
        <f t="shared" si="255"/>
        <v>58122 GEN1</v>
      </c>
      <c r="AF3600" s="5" t="str">
        <f>MID(AD3600,FIND("(",AD3600)+1,FIND(")",AD3600)-FIND("(",AD3600)-1)</f>
        <v>59.5</v>
      </c>
      <c r="AG3600" s="1" t="str">
        <f t="shared" si="254"/>
        <v>Y</v>
      </c>
    </row>
    <row r="3601" spans="1:33" x14ac:dyDescent="0.2">
      <c r="A3601" s="1" t="s">
        <v>3167</v>
      </c>
      <c r="B3601" s="1" t="s">
        <v>7952</v>
      </c>
      <c r="C3601" s="1">
        <v>58124</v>
      </c>
      <c r="D3601" s="1">
        <v>1</v>
      </c>
      <c r="F3601" s="1">
        <v>2023</v>
      </c>
      <c r="G3601" s="1" t="s">
        <v>461</v>
      </c>
      <c r="H3601" s="1" t="s">
        <v>3193</v>
      </c>
      <c r="I3601" s="1">
        <v>5</v>
      </c>
      <c r="K3601" s="1" t="s">
        <v>3235</v>
      </c>
      <c r="L3601" s="1" t="s">
        <v>3236</v>
      </c>
      <c r="M3601" s="1">
        <v>73</v>
      </c>
      <c r="N3601" s="1" t="s">
        <v>1680</v>
      </c>
      <c r="O3601" s="1">
        <v>44.887799999999999</v>
      </c>
      <c r="P3601" s="1">
        <v>-89.629800000000003</v>
      </c>
      <c r="Q3601" s="1" t="s">
        <v>7953</v>
      </c>
      <c r="R3601" s="1" t="s">
        <v>41</v>
      </c>
      <c r="T3601" s="1" t="s">
        <v>885</v>
      </c>
      <c r="U3601" s="1" t="s">
        <v>657</v>
      </c>
      <c r="V3601" s="1" t="s">
        <v>44</v>
      </c>
      <c r="X3601" s="1" t="s">
        <v>669</v>
      </c>
      <c r="Y3601" s="1" t="s">
        <v>232</v>
      </c>
      <c r="AA3601" s="3">
        <v>41541</v>
      </c>
      <c r="AB3601" s="1" t="s">
        <v>46</v>
      </c>
      <c r="AC3601" s="5">
        <v>856</v>
      </c>
      <c r="AD3601" s="1" t="s">
        <v>4561</v>
      </c>
      <c r="AE3601" s="1" t="str">
        <f t="shared" si="255"/>
        <v>58124 1</v>
      </c>
      <c r="AF3601" s="5" t="str">
        <f>MID(AD3601,FIND("(",AD3601)+1,FIND(")",AD3601)-FIND("(",AD3601)-1)</f>
        <v>57</v>
      </c>
      <c r="AG3601" s="1" t="str">
        <f t="shared" si="254"/>
        <v>Y</v>
      </c>
    </row>
    <row r="3602" spans="1:33" x14ac:dyDescent="0.2">
      <c r="A3602" s="1" t="s">
        <v>1980</v>
      </c>
      <c r="B3602" s="1" t="s">
        <v>7954</v>
      </c>
      <c r="C3602" s="1">
        <v>58235</v>
      </c>
      <c r="D3602" s="1" t="s">
        <v>3858</v>
      </c>
      <c r="F3602" s="1">
        <v>2023</v>
      </c>
      <c r="G3602" s="1" t="s">
        <v>1515</v>
      </c>
      <c r="H3602" s="1">
        <v>609493</v>
      </c>
      <c r="I3602" s="1">
        <v>2</v>
      </c>
      <c r="K3602" s="1" t="s">
        <v>1158</v>
      </c>
      <c r="L3602" s="1" t="s">
        <v>1982</v>
      </c>
      <c r="M3602" s="1">
        <v>11</v>
      </c>
      <c r="N3602" s="1" t="s">
        <v>39</v>
      </c>
      <c r="O3602" s="1">
        <v>39.424500000000002</v>
      </c>
      <c r="P3602" s="1">
        <v>-75.020099999999999</v>
      </c>
      <c r="Q3602" s="1" t="s">
        <v>2053</v>
      </c>
      <c r="R3602" s="1" t="s">
        <v>41</v>
      </c>
      <c r="T3602" s="1" t="s">
        <v>93</v>
      </c>
      <c r="U3602" s="1" t="s">
        <v>44</v>
      </c>
      <c r="X3602" s="1" t="s">
        <v>176</v>
      </c>
      <c r="AA3602" s="3">
        <v>42309</v>
      </c>
      <c r="AB3602" s="1" t="s">
        <v>46</v>
      </c>
      <c r="AC3602" s="5">
        <v>628</v>
      </c>
      <c r="AD3602" s="1" t="s">
        <v>7955</v>
      </c>
      <c r="AE3602" s="1" t="str">
        <f t="shared" si="255"/>
        <v>58235 U1</v>
      </c>
      <c r="AF3602" s="5" t="str">
        <f>MID(AD3602,FIND("(",AD3602)+1,FIND(")",AD3602)-FIND("(",AD3602)-1)</f>
        <v>64</v>
      </c>
      <c r="AG3602" s="1" t="str">
        <f t="shared" si="254"/>
        <v>Y</v>
      </c>
    </row>
    <row r="3603" spans="1:33" x14ac:dyDescent="0.2">
      <c r="A3603" s="1" t="s">
        <v>1186</v>
      </c>
      <c r="B3603" s="1" t="s">
        <v>7956</v>
      </c>
      <c r="C3603" s="1">
        <v>58236</v>
      </c>
      <c r="D3603" s="1" t="s">
        <v>311</v>
      </c>
      <c r="F3603" s="1">
        <v>2023</v>
      </c>
      <c r="G3603" s="1" t="s">
        <v>2765</v>
      </c>
      <c r="H3603" s="1">
        <v>608055</v>
      </c>
      <c r="I3603" s="1">
        <v>7</v>
      </c>
      <c r="J3603" s="1" t="s">
        <v>207</v>
      </c>
      <c r="K3603" s="1" t="s">
        <v>1196</v>
      </c>
      <c r="L3603" s="1" t="s">
        <v>1197</v>
      </c>
      <c r="M3603" s="1">
        <v>127</v>
      </c>
      <c r="N3603" s="1" t="s">
        <v>39</v>
      </c>
      <c r="O3603" s="1">
        <v>42.04</v>
      </c>
      <c r="P3603" s="1">
        <v>-92.87</v>
      </c>
      <c r="Q3603" s="1" t="s">
        <v>1191</v>
      </c>
      <c r="R3603" s="1" t="s">
        <v>41</v>
      </c>
      <c r="T3603" s="1" t="s">
        <v>71</v>
      </c>
      <c r="U3603" s="1" t="s">
        <v>44</v>
      </c>
      <c r="X3603" s="1" t="s">
        <v>64</v>
      </c>
      <c r="AA3603" s="3">
        <v>42705</v>
      </c>
      <c r="AB3603" s="1" t="s">
        <v>46</v>
      </c>
      <c r="AC3603" s="5">
        <v>2576</v>
      </c>
      <c r="AD3603" s="1" t="s">
        <v>7957</v>
      </c>
      <c r="AE3603" s="1" t="str">
        <f t="shared" si="255"/>
        <v>58236 CT1</v>
      </c>
      <c r="AF3603" s="14">
        <f>MID(AD3603,FIND("(",AD3603)+1,FIND(")",AD3603)-FIND("(",AD3603)-1)+237.15/2</f>
        <v>341.27499999999998</v>
      </c>
      <c r="AG3603" s="1" t="str">
        <f t="shared" si="254"/>
        <v>Y</v>
      </c>
    </row>
    <row r="3604" spans="1:33" x14ac:dyDescent="0.2">
      <c r="A3604" s="1" t="s">
        <v>1186</v>
      </c>
      <c r="B3604" s="1" t="s">
        <v>7956</v>
      </c>
      <c r="C3604" s="1">
        <v>58236</v>
      </c>
      <c r="D3604" s="1" t="s">
        <v>98</v>
      </c>
      <c r="F3604" s="1">
        <v>2023</v>
      </c>
      <c r="G3604" s="1" t="s">
        <v>2765</v>
      </c>
      <c r="H3604" s="1">
        <v>608055</v>
      </c>
      <c r="I3604" s="1">
        <v>7</v>
      </c>
      <c r="J3604" s="1" t="s">
        <v>207</v>
      </c>
      <c r="K3604" s="1" t="s">
        <v>1196</v>
      </c>
      <c r="L3604" s="1" t="s">
        <v>1197</v>
      </c>
      <c r="M3604" s="1">
        <v>127</v>
      </c>
      <c r="N3604" s="1" t="s">
        <v>39</v>
      </c>
      <c r="O3604" s="1">
        <v>42.04</v>
      </c>
      <c r="P3604" s="1">
        <v>-92.87</v>
      </c>
      <c r="Q3604" s="1" t="s">
        <v>1191</v>
      </c>
      <c r="R3604" s="1" t="s">
        <v>41</v>
      </c>
      <c r="T3604" s="1" t="s">
        <v>71</v>
      </c>
      <c r="U3604" s="1" t="s">
        <v>44</v>
      </c>
      <c r="X3604" s="1" t="s">
        <v>64</v>
      </c>
      <c r="AA3604" s="3">
        <v>42707</v>
      </c>
      <c r="AB3604" s="1" t="s">
        <v>46</v>
      </c>
      <c r="AC3604" s="5">
        <v>2602</v>
      </c>
      <c r="AD3604" s="1" t="s">
        <v>7958</v>
      </c>
      <c r="AE3604" s="1" t="str">
        <f t="shared" si="255"/>
        <v>58236 CT2</v>
      </c>
      <c r="AF3604" s="14">
        <f>AF3603</f>
        <v>341.27499999999998</v>
      </c>
      <c r="AG3604" s="1" t="str">
        <f t="shared" si="254"/>
        <v>Y</v>
      </c>
    </row>
    <row r="3605" spans="1:33" x14ac:dyDescent="0.2">
      <c r="A3605" s="1" t="s">
        <v>3095</v>
      </c>
      <c r="B3605" s="1" t="s">
        <v>7959</v>
      </c>
      <c r="C3605" s="1">
        <v>58260</v>
      </c>
      <c r="D3605" s="1" t="s">
        <v>372</v>
      </c>
      <c r="F3605" s="1">
        <v>2023</v>
      </c>
      <c r="G3605" s="1" t="s">
        <v>1515</v>
      </c>
      <c r="H3605" s="1">
        <v>1525</v>
      </c>
      <c r="I3605" s="1">
        <v>3</v>
      </c>
      <c r="K3605" s="1" t="s">
        <v>7960</v>
      </c>
      <c r="L3605" s="1" t="s">
        <v>7961</v>
      </c>
      <c r="M3605" s="1">
        <v>25</v>
      </c>
      <c r="N3605" s="1" t="s">
        <v>39</v>
      </c>
      <c r="O3605" s="1">
        <v>36.7637</v>
      </c>
      <c r="P3605" s="1">
        <v>-77.711200000000005</v>
      </c>
      <c r="Q3605" s="1" t="s">
        <v>3112</v>
      </c>
      <c r="R3605" s="1" t="s">
        <v>41</v>
      </c>
      <c r="T3605" s="1" t="s">
        <v>71</v>
      </c>
      <c r="U3605" s="1" t="s">
        <v>44</v>
      </c>
      <c r="X3605" s="1" t="s">
        <v>64</v>
      </c>
      <c r="AA3605" s="3">
        <v>42384</v>
      </c>
      <c r="AB3605" s="1" t="s">
        <v>46</v>
      </c>
      <c r="AC3605" s="5">
        <v>3650</v>
      </c>
      <c r="AD3605" s="1" t="s">
        <v>7962</v>
      </c>
      <c r="AE3605" s="1" t="str">
        <f t="shared" si="255"/>
        <v>58260 1A</v>
      </c>
      <c r="AF3605" s="14">
        <f>MID(AD3605,FIND("(",AD3605)+1,FIND(")",AD3605)-FIND("(",AD3605)-1)+579.7/3</f>
        <v>490.73333333333335</v>
      </c>
      <c r="AG3605" s="1" t="str">
        <f t="shared" si="254"/>
        <v>Y</v>
      </c>
    </row>
    <row r="3606" spans="1:33" x14ac:dyDescent="0.2">
      <c r="A3606" s="1" t="s">
        <v>3095</v>
      </c>
      <c r="B3606" s="1" t="s">
        <v>7959</v>
      </c>
      <c r="C3606" s="1">
        <v>58260</v>
      </c>
      <c r="D3606" s="1" t="s">
        <v>1199</v>
      </c>
      <c r="F3606" s="1">
        <v>2023</v>
      </c>
      <c r="G3606" s="1" t="s">
        <v>1515</v>
      </c>
      <c r="H3606" s="1">
        <v>1525</v>
      </c>
      <c r="I3606" s="1">
        <v>3</v>
      </c>
      <c r="K3606" s="1" t="s">
        <v>7960</v>
      </c>
      <c r="L3606" s="1" t="s">
        <v>7961</v>
      </c>
      <c r="M3606" s="1">
        <v>25</v>
      </c>
      <c r="N3606" s="1" t="s">
        <v>39</v>
      </c>
      <c r="O3606" s="1">
        <v>36.7637</v>
      </c>
      <c r="P3606" s="1">
        <v>-77.711200000000005</v>
      </c>
      <c r="Q3606" s="1" t="s">
        <v>3112</v>
      </c>
      <c r="R3606" s="1" t="s">
        <v>41</v>
      </c>
      <c r="T3606" s="1" t="s">
        <v>71</v>
      </c>
      <c r="U3606" s="1" t="s">
        <v>44</v>
      </c>
      <c r="X3606" s="1" t="s">
        <v>64</v>
      </c>
      <c r="AA3606" s="3">
        <v>42372</v>
      </c>
      <c r="AB3606" s="1" t="s">
        <v>46</v>
      </c>
      <c r="AC3606" s="5">
        <v>3650</v>
      </c>
      <c r="AD3606" s="1" t="s">
        <v>7963</v>
      </c>
      <c r="AE3606" s="1" t="str">
        <f t="shared" si="255"/>
        <v>58260 1B</v>
      </c>
      <c r="AF3606" s="14">
        <f>AF3605</f>
        <v>490.73333333333335</v>
      </c>
      <c r="AG3606" s="1" t="str">
        <f t="shared" si="254"/>
        <v>Y</v>
      </c>
    </row>
    <row r="3607" spans="1:33" x14ac:dyDescent="0.2">
      <c r="A3607" s="1" t="s">
        <v>3095</v>
      </c>
      <c r="B3607" s="1" t="s">
        <v>7959</v>
      </c>
      <c r="C3607" s="1">
        <v>58260</v>
      </c>
      <c r="D3607" s="1" t="s">
        <v>3753</v>
      </c>
      <c r="F3607" s="1">
        <v>2023</v>
      </c>
      <c r="G3607" s="1" t="s">
        <v>1515</v>
      </c>
      <c r="H3607" s="1">
        <v>1525</v>
      </c>
      <c r="I3607" s="1">
        <v>3</v>
      </c>
      <c r="K3607" s="1" t="s">
        <v>7960</v>
      </c>
      <c r="L3607" s="1" t="s">
        <v>7961</v>
      </c>
      <c r="M3607" s="1">
        <v>25</v>
      </c>
      <c r="N3607" s="1" t="s">
        <v>39</v>
      </c>
      <c r="O3607" s="1">
        <v>36.7637</v>
      </c>
      <c r="P3607" s="1">
        <v>-77.711200000000005</v>
      </c>
      <c r="Q3607" s="1" t="s">
        <v>3112</v>
      </c>
      <c r="R3607" s="1" t="s">
        <v>41</v>
      </c>
      <c r="T3607" s="1" t="s">
        <v>71</v>
      </c>
      <c r="U3607" s="1" t="s">
        <v>44</v>
      </c>
      <c r="X3607" s="1" t="s">
        <v>64</v>
      </c>
      <c r="AA3607" s="3">
        <v>42372</v>
      </c>
      <c r="AB3607" s="1" t="s">
        <v>46</v>
      </c>
      <c r="AC3607" s="5">
        <v>3650</v>
      </c>
      <c r="AD3607" s="1" t="s">
        <v>7964</v>
      </c>
      <c r="AE3607" s="1" t="str">
        <f t="shared" si="255"/>
        <v>58260 1C</v>
      </c>
      <c r="AF3607" s="14">
        <f>AF3605</f>
        <v>490.73333333333335</v>
      </c>
      <c r="AG3607" s="1" t="str">
        <f t="shared" si="254"/>
        <v>Y</v>
      </c>
    </row>
    <row r="3608" spans="1:33" x14ac:dyDescent="0.2">
      <c r="A3608" s="1" t="s">
        <v>2054</v>
      </c>
      <c r="B3608" s="1" t="s">
        <v>7965</v>
      </c>
      <c r="C3608" s="1">
        <v>58284</v>
      </c>
      <c r="D3608" s="1">
        <v>1</v>
      </c>
      <c r="F3608" s="1">
        <v>2023</v>
      </c>
      <c r="G3608" s="1" t="s">
        <v>247</v>
      </c>
      <c r="H3608" s="1">
        <v>608871</v>
      </c>
      <c r="I3608" s="1">
        <v>6</v>
      </c>
      <c r="K3608" s="1" t="s">
        <v>7219</v>
      </c>
      <c r="L3608" s="1" t="s">
        <v>7220</v>
      </c>
      <c r="M3608" s="1">
        <v>61</v>
      </c>
      <c r="N3608" s="1" t="s">
        <v>39</v>
      </c>
      <c r="O3608" s="1">
        <v>34.617800000000003</v>
      </c>
      <c r="P3608" s="1">
        <v>-106.81699999999999</v>
      </c>
      <c r="Q3608" s="1" t="s">
        <v>2078</v>
      </c>
      <c r="R3608" s="1" t="s">
        <v>41</v>
      </c>
      <c r="T3608" s="1" t="s">
        <v>93</v>
      </c>
      <c r="U3608" s="1" t="s">
        <v>44</v>
      </c>
      <c r="X3608" s="1" t="s">
        <v>64</v>
      </c>
      <c r="AA3608" s="3">
        <v>42356</v>
      </c>
      <c r="AB3608" s="1" t="s">
        <v>46</v>
      </c>
      <c r="AC3608" s="5">
        <v>401</v>
      </c>
      <c r="AD3608" s="1" t="s">
        <v>7966</v>
      </c>
      <c r="AE3608" s="1" t="str">
        <f t="shared" si="255"/>
        <v>58284 1</v>
      </c>
      <c r="AF3608" s="5" t="str">
        <f t="shared" ref="AF3608:AF3614" si="256">MID(AD3608,FIND("(",AD3608)+1,FIND(")",AD3608)-FIND("(",AD3608)-1)</f>
        <v>42.3</v>
      </c>
      <c r="AG3608" s="1" t="str">
        <f t="shared" si="254"/>
        <v>Y</v>
      </c>
    </row>
    <row r="3609" spans="1:33" x14ac:dyDescent="0.2">
      <c r="A3609" s="1" t="s">
        <v>335</v>
      </c>
      <c r="B3609" s="1" t="s">
        <v>7967</v>
      </c>
      <c r="C3609" s="1">
        <v>58325</v>
      </c>
      <c r="D3609" s="1">
        <v>1</v>
      </c>
      <c r="F3609" s="1">
        <v>2023</v>
      </c>
      <c r="G3609" s="1" t="s">
        <v>346</v>
      </c>
      <c r="H3609" s="1">
        <v>884</v>
      </c>
      <c r="I3609" s="1">
        <v>6</v>
      </c>
      <c r="K3609" s="1" t="s">
        <v>986</v>
      </c>
      <c r="L3609" s="1" t="s">
        <v>987</v>
      </c>
      <c r="M3609" s="1">
        <v>71</v>
      </c>
      <c r="N3609" s="1" t="s">
        <v>39</v>
      </c>
      <c r="O3609" s="1">
        <v>36.813800000000001</v>
      </c>
      <c r="P3609" s="1">
        <v>-97.125200000000007</v>
      </c>
      <c r="Q3609" s="1" t="s">
        <v>988</v>
      </c>
      <c r="R3609" s="1" t="s">
        <v>41</v>
      </c>
      <c r="T3609" s="1" t="s">
        <v>93</v>
      </c>
      <c r="U3609" s="1" t="s">
        <v>44</v>
      </c>
      <c r="X3609" s="1" t="s">
        <v>140</v>
      </c>
      <c r="AA3609" s="3">
        <v>42114</v>
      </c>
      <c r="AB3609" s="1" t="s">
        <v>46</v>
      </c>
      <c r="AC3609" s="5">
        <v>1305.4000000000001</v>
      </c>
      <c r="AD3609" s="1" t="s">
        <v>7968</v>
      </c>
      <c r="AE3609" s="1" t="str">
        <f t="shared" si="255"/>
        <v>58325 1</v>
      </c>
      <c r="AF3609" s="5" t="str">
        <f t="shared" si="256"/>
        <v>122</v>
      </c>
      <c r="AG3609" s="1" t="str">
        <f t="shared" si="254"/>
        <v/>
      </c>
    </row>
    <row r="3610" spans="1:33" x14ac:dyDescent="0.2">
      <c r="A3610" s="1" t="s">
        <v>383</v>
      </c>
      <c r="B3610" s="1" t="s">
        <v>7969</v>
      </c>
      <c r="C3610" s="1">
        <v>58378</v>
      </c>
      <c r="D3610" s="1" t="s">
        <v>7970</v>
      </c>
      <c r="F3610" s="1">
        <v>2023</v>
      </c>
      <c r="G3610" s="1" t="s">
        <v>346</v>
      </c>
      <c r="H3610" s="1">
        <v>602998</v>
      </c>
      <c r="I3610" s="1">
        <v>6</v>
      </c>
      <c r="K3610" s="1" t="s">
        <v>2928</v>
      </c>
      <c r="L3610" s="1" t="s">
        <v>2929</v>
      </c>
      <c r="M3610" s="1">
        <v>157</v>
      </c>
      <c r="N3610" s="1" t="s">
        <v>1680</v>
      </c>
      <c r="O3610" s="1">
        <v>29.475300000000001</v>
      </c>
      <c r="P3610" s="1">
        <v>-95.634100000000004</v>
      </c>
      <c r="Q3610" s="1" t="s">
        <v>7971</v>
      </c>
      <c r="R3610" s="1" t="s">
        <v>41</v>
      </c>
      <c r="T3610" s="1" t="s">
        <v>93</v>
      </c>
      <c r="U3610" s="1" t="s">
        <v>44</v>
      </c>
      <c r="X3610" s="1" t="s">
        <v>858</v>
      </c>
      <c r="AA3610" s="3">
        <v>41442</v>
      </c>
      <c r="AB3610" s="1" t="s">
        <v>46</v>
      </c>
      <c r="AC3610" s="5">
        <v>1200</v>
      </c>
      <c r="AD3610" s="1" t="s">
        <v>7972</v>
      </c>
      <c r="AE3610" s="1" t="str">
        <f t="shared" si="255"/>
        <v>58378 CTHRSG</v>
      </c>
      <c r="AF3610" s="5" t="str">
        <f t="shared" si="256"/>
        <v>102.7</v>
      </c>
      <c r="AG3610" s="1" t="str">
        <f t="shared" si="254"/>
        <v>Y</v>
      </c>
    </row>
    <row r="3611" spans="1:33" x14ac:dyDescent="0.2">
      <c r="A3611" s="1" t="s">
        <v>2584</v>
      </c>
      <c r="B3611" s="1" t="s">
        <v>7973</v>
      </c>
      <c r="C3611" s="1">
        <v>58420</v>
      </c>
      <c r="D3611" s="1" t="s">
        <v>311</v>
      </c>
      <c r="F3611" s="1">
        <v>2023</v>
      </c>
      <c r="G3611" s="1" t="s">
        <v>1515</v>
      </c>
      <c r="H3611" s="1" t="s">
        <v>7974</v>
      </c>
      <c r="I3611" s="1">
        <v>3</v>
      </c>
      <c r="K3611" s="1" t="s">
        <v>7975</v>
      </c>
      <c r="L3611" s="1" t="s">
        <v>7976</v>
      </c>
      <c r="M3611" s="1">
        <v>15</v>
      </c>
      <c r="N3611" s="1" t="s">
        <v>39</v>
      </c>
      <c r="O3611" s="1">
        <v>41.767400000000002</v>
      </c>
      <c r="P3611" s="1">
        <v>-76.389899999999997</v>
      </c>
      <c r="Q3611" s="1" t="s">
        <v>7977</v>
      </c>
      <c r="R3611" s="1" t="s">
        <v>41</v>
      </c>
      <c r="T3611" s="1" t="s">
        <v>71</v>
      </c>
      <c r="U3611" s="1" t="s">
        <v>44</v>
      </c>
      <c r="X3611" s="1" t="s">
        <v>64</v>
      </c>
      <c r="AA3611" s="3">
        <v>42375</v>
      </c>
      <c r="AB3611" s="1" t="s">
        <v>46</v>
      </c>
      <c r="AC3611" s="5">
        <v>3144</v>
      </c>
      <c r="AD3611" s="1" t="s">
        <v>7978</v>
      </c>
      <c r="AE3611" s="1" t="str">
        <f t="shared" si="255"/>
        <v>58420 CT1</v>
      </c>
      <c r="AF3611" s="5" t="str">
        <f t="shared" si="256"/>
        <v>435</v>
      </c>
      <c r="AG3611" s="1" t="str">
        <f t="shared" si="254"/>
        <v>Y</v>
      </c>
    </row>
    <row r="3612" spans="1:33" x14ac:dyDescent="0.2">
      <c r="A3612" s="1" t="s">
        <v>2584</v>
      </c>
      <c r="B3612" s="1" t="s">
        <v>7973</v>
      </c>
      <c r="C3612" s="1">
        <v>58420</v>
      </c>
      <c r="D3612" s="1" t="s">
        <v>98</v>
      </c>
      <c r="F3612" s="1">
        <v>2023</v>
      </c>
      <c r="G3612" s="1" t="s">
        <v>1515</v>
      </c>
      <c r="H3612" s="1" t="s">
        <v>7974</v>
      </c>
      <c r="I3612" s="1">
        <v>3</v>
      </c>
      <c r="K3612" s="1" t="s">
        <v>7975</v>
      </c>
      <c r="L3612" s="1" t="s">
        <v>7976</v>
      </c>
      <c r="M3612" s="1">
        <v>15</v>
      </c>
      <c r="N3612" s="1" t="s">
        <v>39</v>
      </c>
      <c r="O3612" s="1">
        <v>41.767400000000002</v>
      </c>
      <c r="P3612" s="1">
        <v>-76.389899999999997</v>
      </c>
      <c r="Q3612" s="1" t="s">
        <v>7977</v>
      </c>
      <c r="R3612" s="1" t="s">
        <v>41</v>
      </c>
      <c r="T3612" s="1" t="s">
        <v>71</v>
      </c>
      <c r="U3612" s="1" t="s">
        <v>44</v>
      </c>
      <c r="X3612" s="1" t="s">
        <v>64</v>
      </c>
      <c r="AA3612" s="3">
        <v>42404</v>
      </c>
      <c r="AB3612" s="1" t="s">
        <v>46</v>
      </c>
      <c r="AC3612" s="5">
        <v>3144</v>
      </c>
      <c r="AD3612" s="1" t="s">
        <v>7979</v>
      </c>
      <c r="AE3612" s="1" t="str">
        <f t="shared" si="255"/>
        <v>58420 CT2</v>
      </c>
      <c r="AF3612" s="5" t="str">
        <f t="shared" si="256"/>
        <v>435</v>
      </c>
      <c r="AG3612" s="1" t="str">
        <f t="shared" si="254"/>
        <v>Y</v>
      </c>
    </row>
    <row r="3613" spans="1:33" x14ac:dyDescent="0.2">
      <c r="A3613" s="1" t="s">
        <v>2584</v>
      </c>
      <c r="B3613" s="1" t="s">
        <v>7980</v>
      </c>
      <c r="C3613" s="1">
        <v>58426</v>
      </c>
      <c r="D3613" s="1" t="s">
        <v>311</v>
      </c>
      <c r="F3613" s="1">
        <v>2023</v>
      </c>
      <c r="G3613" s="1" t="s">
        <v>1515</v>
      </c>
      <c r="H3613" s="1">
        <v>610508</v>
      </c>
      <c r="I3613" s="1">
        <v>3</v>
      </c>
      <c r="K3613" s="1" t="s">
        <v>7981</v>
      </c>
      <c r="L3613" s="1" t="s">
        <v>7982</v>
      </c>
      <c r="M3613" s="1">
        <v>81</v>
      </c>
      <c r="N3613" s="1" t="s">
        <v>39</v>
      </c>
      <c r="O3613" s="1">
        <v>41.180799999999998</v>
      </c>
      <c r="P3613" s="1">
        <v>-76.839200000000005</v>
      </c>
      <c r="Q3613" s="1" t="s">
        <v>7983</v>
      </c>
      <c r="R3613" s="1" t="s">
        <v>41</v>
      </c>
      <c r="T3613" s="1" t="s">
        <v>71</v>
      </c>
      <c r="U3613" s="1" t="s">
        <v>44</v>
      </c>
      <c r="X3613" s="1" t="s">
        <v>64</v>
      </c>
      <c r="AA3613" s="3">
        <v>42435</v>
      </c>
      <c r="AB3613" s="1" t="s">
        <v>46</v>
      </c>
      <c r="AC3613" s="5">
        <v>3250</v>
      </c>
      <c r="AD3613" s="1" t="s">
        <v>7978</v>
      </c>
      <c r="AE3613" s="1" t="str">
        <f t="shared" si="255"/>
        <v>58426 CT1</v>
      </c>
      <c r="AF3613" s="5" t="str">
        <f t="shared" si="256"/>
        <v>435</v>
      </c>
      <c r="AG3613" s="1" t="str">
        <f t="shared" si="254"/>
        <v>Y</v>
      </c>
    </row>
    <row r="3614" spans="1:33" x14ac:dyDescent="0.2">
      <c r="A3614" s="1" t="s">
        <v>2584</v>
      </c>
      <c r="B3614" s="1" t="s">
        <v>7980</v>
      </c>
      <c r="C3614" s="1">
        <v>58426</v>
      </c>
      <c r="D3614" s="1" t="s">
        <v>98</v>
      </c>
      <c r="F3614" s="1">
        <v>2023</v>
      </c>
      <c r="G3614" s="1" t="s">
        <v>1515</v>
      </c>
      <c r="H3614" s="1">
        <v>610508</v>
      </c>
      <c r="I3614" s="1">
        <v>3</v>
      </c>
      <c r="K3614" s="1" t="s">
        <v>7981</v>
      </c>
      <c r="L3614" s="1" t="s">
        <v>7982</v>
      </c>
      <c r="M3614" s="1">
        <v>81</v>
      </c>
      <c r="N3614" s="1" t="s">
        <v>39</v>
      </c>
      <c r="O3614" s="1">
        <v>41.180799999999998</v>
      </c>
      <c r="P3614" s="1">
        <v>-76.839200000000005</v>
      </c>
      <c r="Q3614" s="1" t="s">
        <v>7983</v>
      </c>
      <c r="R3614" s="1" t="s">
        <v>41</v>
      </c>
      <c r="T3614" s="1" t="s">
        <v>71</v>
      </c>
      <c r="U3614" s="1" t="s">
        <v>44</v>
      </c>
      <c r="X3614" s="1" t="s">
        <v>64</v>
      </c>
      <c r="AA3614" s="3">
        <v>42453</v>
      </c>
      <c r="AB3614" s="1" t="s">
        <v>46</v>
      </c>
      <c r="AC3614" s="5">
        <v>3250</v>
      </c>
      <c r="AD3614" s="1" t="s">
        <v>7979</v>
      </c>
      <c r="AE3614" s="1" t="str">
        <f t="shared" si="255"/>
        <v>58426 CT2</v>
      </c>
      <c r="AF3614" s="5" t="str">
        <f t="shared" si="256"/>
        <v>435</v>
      </c>
      <c r="AG3614" s="1" t="str">
        <f t="shared" si="254"/>
        <v>Y</v>
      </c>
    </row>
    <row r="3615" spans="1:33" x14ac:dyDescent="0.2">
      <c r="A3615" s="1" t="s">
        <v>1621</v>
      </c>
      <c r="B3615" s="1" t="s">
        <v>7984</v>
      </c>
      <c r="C3615" s="1">
        <v>58427</v>
      </c>
      <c r="D3615" s="1">
        <v>100</v>
      </c>
      <c r="F3615" s="1">
        <v>2023</v>
      </c>
      <c r="G3615" s="1" t="s">
        <v>461</v>
      </c>
      <c r="H3615" s="1">
        <v>608475</v>
      </c>
      <c r="I3615" s="1">
        <v>5</v>
      </c>
      <c r="K3615" s="1" t="s">
        <v>7985</v>
      </c>
      <c r="L3615" s="1" t="s">
        <v>7986</v>
      </c>
      <c r="M3615" s="1">
        <v>65</v>
      </c>
      <c r="N3615" s="1" t="s">
        <v>1680</v>
      </c>
      <c r="O3615" s="1">
        <v>42.719700000000003</v>
      </c>
      <c r="P3615" s="1">
        <v>-84.5518</v>
      </c>
      <c r="Q3615" s="1" t="s">
        <v>7987</v>
      </c>
      <c r="R3615" s="1" t="s">
        <v>41</v>
      </c>
      <c r="T3615" s="1" t="s">
        <v>71</v>
      </c>
      <c r="U3615" s="1" t="s">
        <v>44</v>
      </c>
      <c r="X3615" s="1" t="s">
        <v>140</v>
      </c>
      <c r="AA3615" s="3">
        <v>41375</v>
      </c>
      <c r="AB3615" s="1" t="s">
        <v>46</v>
      </c>
      <c r="AC3615" s="5">
        <v>494.9</v>
      </c>
      <c r="AD3615" s="1" t="s">
        <v>7988</v>
      </c>
      <c r="AE3615" s="1" t="str">
        <f t="shared" si="255"/>
        <v>58427 100</v>
      </c>
      <c r="AF3615" s="14">
        <f>MID(AD3615,FIND("(",AD3615)+1,FIND(")",AD3615)-FIND("(",AD3615)-1)+14</f>
        <v>56</v>
      </c>
      <c r="AG3615" s="1" t="str">
        <f t="shared" si="254"/>
        <v/>
      </c>
    </row>
    <row r="3616" spans="1:33" x14ac:dyDescent="0.2">
      <c r="A3616" s="1" t="s">
        <v>1621</v>
      </c>
      <c r="B3616" s="1" t="s">
        <v>7984</v>
      </c>
      <c r="C3616" s="1">
        <v>58427</v>
      </c>
      <c r="D3616" s="1">
        <v>200</v>
      </c>
      <c r="F3616" s="1">
        <v>2023</v>
      </c>
      <c r="G3616" s="1" t="s">
        <v>461</v>
      </c>
      <c r="H3616" s="1">
        <v>608475</v>
      </c>
      <c r="I3616" s="1">
        <v>5</v>
      </c>
      <c r="K3616" s="1" t="s">
        <v>7985</v>
      </c>
      <c r="L3616" s="1" t="s">
        <v>7986</v>
      </c>
      <c r="M3616" s="1">
        <v>65</v>
      </c>
      <c r="N3616" s="1" t="s">
        <v>1680</v>
      </c>
      <c r="O3616" s="1">
        <v>42.719700000000003</v>
      </c>
      <c r="P3616" s="1">
        <v>-84.5518</v>
      </c>
      <c r="Q3616" s="1" t="s">
        <v>7987</v>
      </c>
      <c r="R3616" s="1" t="s">
        <v>41</v>
      </c>
      <c r="T3616" s="1" t="s">
        <v>71</v>
      </c>
      <c r="U3616" s="1" t="s">
        <v>44</v>
      </c>
      <c r="X3616" s="1" t="s">
        <v>140</v>
      </c>
      <c r="AA3616" s="3">
        <v>41379</v>
      </c>
      <c r="AB3616" s="1" t="s">
        <v>46</v>
      </c>
      <c r="AC3616" s="5">
        <v>494.9</v>
      </c>
      <c r="AD3616" s="1" t="s">
        <v>7989</v>
      </c>
      <c r="AE3616" s="1" t="str">
        <f t="shared" si="255"/>
        <v>58427 200</v>
      </c>
      <c r="AF3616" s="14">
        <f>MID(AD3616,FIND("(",AD3616)+1,FIND(")",AD3616)-FIND("(",AD3616)-1)+42</f>
        <v>56</v>
      </c>
      <c r="AG3616" s="1" t="str">
        <f t="shared" si="254"/>
        <v/>
      </c>
    </row>
    <row r="3617" spans="1:33" x14ac:dyDescent="0.2">
      <c r="A3617" s="1" t="s">
        <v>383</v>
      </c>
      <c r="B3617" s="1" t="s">
        <v>7990</v>
      </c>
      <c r="C3617" s="1">
        <v>58471</v>
      </c>
      <c r="D3617" s="1" t="s">
        <v>1296</v>
      </c>
      <c r="F3617" s="1">
        <v>2023</v>
      </c>
      <c r="G3617" s="1" t="s">
        <v>346</v>
      </c>
      <c r="H3617" s="1">
        <v>607475</v>
      </c>
      <c r="I3617" s="1">
        <v>6</v>
      </c>
      <c r="K3617" s="1" t="s">
        <v>5989</v>
      </c>
      <c r="L3617" s="1" t="s">
        <v>5990</v>
      </c>
      <c r="M3617" s="1">
        <v>135</v>
      </c>
      <c r="N3617" s="1" t="s">
        <v>39</v>
      </c>
      <c r="O3617" s="1">
        <v>32.069400000000002</v>
      </c>
      <c r="P3617" s="1">
        <v>-102.5856</v>
      </c>
      <c r="Q3617" s="1" t="s">
        <v>7991</v>
      </c>
      <c r="R3617" s="1" t="s">
        <v>41</v>
      </c>
      <c r="T3617" s="1" t="s">
        <v>93</v>
      </c>
      <c r="U3617" s="1" t="s">
        <v>284</v>
      </c>
      <c r="X3617" s="1" t="s">
        <v>140</v>
      </c>
      <c r="AA3617" s="3">
        <v>42215</v>
      </c>
      <c r="AB3617" s="1" t="s">
        <v>46</v>
      </c>
      <c r="AC3617" s="5">
        <v>2291</v>
      </c>
      <c r="AD3617" s="1" t="s">
        <v>7992</v>
      </c>
      <c r="AE3617" s="1" t="str">
        <f t="shared" si="255"/>
        <v>58471 CT-1</v>
      </c>
      <c r="AF3617" s="5" t="str">
        <f>MID(AD3617,FIND("(",AD3617)+1,FIND(")",AD3617)-FIND("(",AD3617)-1)</f>
        <v>173</v>
      </c>
      <c r="AG3617" s="1" t="str">
        <f t="shared" si="254"/>
        <v/>
      </c>
    </row>
    <row r="3618" spans="1:33" x14ac:dyDescent="0.2">
      <c r="A3618" s="1" t="s">
        <v>383</v>
      </c>
      <c r="B3618" s="1" t="s">
        <v>7990</v>
      </c>
      <c r="C3618" s="1">
        <v>58471</v>
      </c>
      <c r="D3618" s="1" t="s">
        <v>1300</v>
      </c>
      <c r="F3618" s="1">
        <v>2023</v>
      </c>
      <c r="G3618" s="1" t="s">
        <v>346</v>
      </c>
      <c r="H3618" s="1">
        <v>607475</v>
      </c>
      <c r="I3618" s="1">
        <v>6</v>
      </c>
      <c r="K3618" s="1" t="s">
        <v>5989</v>
      </c>
      <c r="L3618" s="1" t="s">
        <v>5990</v>
      </c>
      <c r="M3618" s="1">
        <v>135</v>
      </c>
      <c r="N3618" s="1" t="s">
        <v>39</v>
      </c>
      <c r="O3618" s="1">
        <v>32.069400000000002</v>
      </c>
      <c r="P3618" s="1">
        <v>-102.5856</v>
      </c>
      <c r="Q3618" s="1" t="s">
        <v>7991</v>
      </c>
      <c r="R3618" s="1" t="s">
        <v>41</v>
      </c>
      <c r="T3618" s="1" t="s">
        <v>93</v>
      </c>
      <c r="U3618" s="1" t="s">
        <v>284</v>
      </c>
      <c r="X3618" s="1" t="s">
        <v>140</v>
      </c>
      <c r="AA3618" s="3">
        <v>42230</v>
      </c>
      <c r="AB3618" s="1" t="s">
        <v>46</v>
      </c>
      <c r="AC3618" s="5">
        <v>2291</v>
      </c>
      <c r="AD3618" s="1" t="s">
        <v>7993</v>
      </c>
      <c r="AE3618" s="1" t="str">
        <f t="shared" si="255"/>
        <v>58471 CT-2</v>
      </c>
      <c r="AF3618" s="5" t="str">
        <f>MID(AD3618,FIND("(",AD3618)+1,FIND(")",AD3618)-FIND("(",AD3618)-1)</f>
        <v>173</v>
      </c>
      <c r="AG3618" s="1" t="str">
        <f t="shared" si="254"/>
        <v/>
      </c>
    </row>
    <row r="3619" spans="1:33" x14ac:dyDescent="0.2">
      <c r="A3619" s="1" t="s">
        <v>1426</v>
      </c>
      <c r="B3619" s="1" t="s">
        <v>7994</v>
      </c>
      <c r="C3619" s="1">
        <v>58478</v>
      </c>
      <c r="D3619" s="1" t="s">
        <v>5117</v>
      </c>
      <c r="F3619" s="1">
        <v>2023</v>
      </c>
      <c r="G3619" s="1" t="s">
        <v>1428</v>
      </c>
      <c r="H3619" s="1">
        <v>2121</v>
      </c>
      <c r="I3619" s="1">
        <v>6</v>
      </c>
      <c r="K3619" s="1" t="s">
        <v>1453</v>
      </c>
      <c r="L3619" s="1" t="s">
        <v>1454</v>
      </c>
      <c r="M3619" s="1">
        <v>101</v>
      </c>
      <c r="N3619" s="1" t="s">
        <v>39</v>
      </c>
      <c r="O3619" s="1">
        <v>29.691299999999998</v>
      </c>
      <c r="P3619" s="1">
        <v>-91.192999999999998</v>
      </c>
      <c r="Q3619" s="1" t="s">
        <v>7995</v>
      </c>
      <c r="R3619" s="1" t="s">
        <v>41</v>
      </c>
      <c r="T3619" s="1" t="s">
        <v>71</v>
      </c>
      <c r="U3619" s="1" t="s">
        <v>44</v>
      </c>
      <c r="X3619" s="1" t="s">
        <v>223</v>
      </c>
      <c r="AA3619" s="3">
        <v>42322</v>
      </c>
      <c r="AB3619" s="1" t="s">
        <v>46</v>
      </c>
      <c r="AC3619" s="5">
        <v>600</v>
      </c>
      <c r="AD3619" s="1" t="s">
        <v>7996</v>
      </c>
      <c r="AE3619" s="1" t="str">
        <f t="shared" si="255"/>
        <v>58478 CC01</v>
      </c>
      <c r="AF3619" s="14">
        <f>MID(AD3619,FIND("(",AD3619)+1,FIND(")",AD3619)-FIND("(",AD3619)-1)+17</f>
        <v>76</v>
      </c>
      <c r="AG3619" s="1" t="str">
        <f t="shared" si="254"/>
        <v>Y</v>
      </c>
    </row>
    <row r="3620" spans="1:33" x14ac:dyDescent="0.2">
      <c r="A3620" s="1" t="s">
        <v>4093</v>
      </c>
      <c r="B3620" s="1" t="s">
        <v>7997</v>
      </c>
      <c r="C3620" s="1">
        <v>58503</v>
      </c>
      <c r="D3620" s="1" t="s">
        <v>7998</v>
      </c>
      <c r="F3620" s="1">
        <v>2023</v>
      </c>
      <c r="G3620" s="1" t="s">
        <v>247</v>
      </c>
      <c r="H3620" s="1" t="s">
        <v>4095</v>
      </c>
      <c r="I3620" s="1">
        <v>10</v>
      </c>
      <c r="K3620" s="1" t="s">
        <v>4096</v>
      </c>
      <c r="L3620" s="1" t="s">
        <v>4097</v>
      </c>
      <c r="M3620" s="1">
        <v>49</v>
      </c>
      <c r="N3620" s="1" t="s">
        <v>39</v>
      </c>
      <c r="O3620" s="1">
        <v>45.698999999999998</v>
      </c>
      <c r="P3620" s="1">
        <v>-119.81310000000001</v>
      </c>
      <c r="Q3620" s="1" t="s">
        <v>4098</v>
      </c>
      <c r="R3620" s="1" t="s">
        <v>41</v>
      </c>
      <c r="T3620" s="1" t="s">
        <v>71</v>
      </c>
      <c r="U3620" s="1" t="s">
        <v>44</v>
      </c>
      <c r="X3620" s="1" t="s">
        <v>64</v>
      </c>
      <c r="AA3620" s="3">
        <v>42552</v>
      </c>
      <c r="AB3620" s="1" t="s">
        <v>46</v>
      </c>
      <c r="AC3620" s="5">
        <v>3862.6</v>
      </c>
      <c r="AD3620" s="1" t="s">
        <v>7999</v>
      </c>
      <c r="AE3620" s="1" t="str">
        <f t="shared" si="255"/>
        <v>58503 CTEU1</v>
      </c>
      <c r="AF3620" s="14">
        <f>MID(AD3620,FIND("(",AD3620)+1,FIND(")",AD3620)-FIND("(",AD3620)-1)+304.2</f>
        <v>503.1</v>
      </c>
      <c r="AG3620" s="1" t="str">
        <f t="shared" si="254"/>
        <v>Y</v>
      </c>
    </row>
    <row r="3621" spans="1:33" x14ac:dyDescent="0.2">
      <c r="A3621" s="1" t="s">
        <v>383</v>
      </c>
      <c r="B3621" s="1" t="s">
        <v>8000</v>
      </c>
      <c r="C3621" s="1">
        <v>58562</v>
      </c>
      <c r="D3621" s="1" t="s">
        <v>1155</v>
      </c>
      <c r="F3621" s="1">
        <v>2023</v>
      </c>
      <c r="G3621" s="1" t="s">
        <v>346</v>
      </c>
      <c r="H3621" s="1">
        <v>610284</v>
      </c>
      <c r="I3621" s="1">
        <v>6</v>
      </c>
      <c r="K3621" s="1" t="s">
        <v>531</v>
      </c>
      <c r="L3621" s="1" t="s">
        <v>2897</v>
      </c>
      <c r="M3621" s="1">
        <v>141</v>
      </c>
      <c r="N3621" s="1" t="s">
        <v>39</v>
      </c>
      <c r="O3621" s="1">
        <v>31.823899999999998</v>
      </c>
      <c r="P3621" s="1">
        <v>-106.2119</v>
      </c>
      <c r="Q3621" s="1" t="s">
        <v>2065</v>
      </c>
      <c r="R3621" s="1" t="s">
        <v>41</v>
      </c>
      <c r="T3621" s="1" t="s">
        <v>93</v>
      </c>
      <c r="U3621" s="1" t="s">
        <v>44</v>
      </c>
      <c r="V3621" s="1" t="s">
        <v>94</v>
      </c>
      <c r="X3621" s="1" t="s">
        <v>223</v>
      </c>
      <c r="AA3621" s="3">
        <v>42070</v>
      </c>
      <c r="AB3621" s="1" t="s">
        <v>46</v>
      </c>
      <c r="AC3621" s="5">
        <v>858</v>
      </c>
      <c r="AD3621" s="1" t="s">
        <v>8001</v>
      </c>
      <c r="AE3621" s="1" t="str">
        <f t="shared" si="255"/>
        <v>58562 GT-1</v>
      </c>
      <c r="AF3621" s="5" t="str">
        <f>MID(AD3621,FIND("(",AD3621)+1,FIND(")",AD3621)-FIND("(",AD3621)-1)</f>
        <v>100</v>
      </c>
      <c r="AG3621" s="1" t="str">
        <f t="shared" si="254"/>
        <v>Y</v>
      </c>
    </row>
    <row r="3622" spans="1:33" x14ac:dyDescent="0.2">
      <c r="A3622" s="1" t="s">
        <v>383</v>
      </c>
      <c r="B3622" s="1" t="s">
        <v>8000</v>
      </c>
      <c r="C3622" s="1">
        <v>58562</v>
      </c>
      <c r="D3622" s="1" t="s">
        <v>1162</v>
      </c>
      <c r="F3622" s="1">
        <v>2023</v>
      </c>
      <c r="G3622" s="1" t="s">
        <v>346</v>
      </c>
      <c r="H3622" s="1">
        <v>610284</v>
      </c>
      <c r="I3622" s="1">
        <v>6</v>
      </c>
      <c r="K3622" s="1" t="s">
        <v>531</v>
      </c>
      <c r="L3622" s="1" t="s">
        <v>2897</v>
      </c>
      <c r="M3622" s="1">
        <v>141</v>
      </c>
      <c r="N3622" s="1" t="s">
        <v>39</v>
      </c>
      <c r="O3622" s="1">
        <v>31.823899999999998</v>
      </c>
      <c r="P3622" s="1">
        <v>-106.2119</v>
      </c>
      <c r="Q3622" s="1" t="s">
        <v>2065</v>
      </c>
      <c r="R3622" s="1" t="s">
        <v>41</v>
      </c>
      <c r="T3622" s="1" t="s">
        <v>93</v>
      </c>
      <c r="U3622" s="1" t="s">
        <v>44</v>
      </c>
      <c r="V3622" s="1" t="s">
        <v>94</v>
      </c>
      <c r="X3622" s="1" t="s">
        <v>223</v>
      </c>
      <c r="AA3622" s="3">
        <v>42079</v>
      </c>
      <c r="AB3622" s="1" t="s">
        <v>46</v>
      </c>
      <c r="AC3622" s="5">
        <v>858</v>
      </c>
      <c r="AD3622" s="1" t="s">
        <v>8002</v>
      </c>
      <c r="AE3622" s="1" t="str">
        <f t="shared" si="255"/>
        <v>58562 GT-2</v>
      </c>
      <c r="AF3622" s="5" t="str">
        <f>MID(AD3622,FIND("(",AD3622)+1,FIND(")",AD3622)-FIND("(",AD3622)-1)</f>
        <v>100</v>
      </c>
      <c r="AG3622" s="1" t="str">
        <f t="shared" si="254"/>
        <v>Y</v>
      </c>
    </row>
    <row r="3623" spans="1:33" x14ac:dyDescent="0.2">
      <c r="A3623" s="1" t="s">
        <v>383</v>
      </c>
      <c r="B3623" s="1" t="s">
        <v>8000</v>
      </c>
      <c r="C3623" s="1">
        <v>58562</v>
      </c>
      <c r="D3623" s="1" t="s">
        <v>1164</v>
      </c>
      <c r="F3623" s="1">
        <v>2023</v>
      </c>
      <c r="G3623" s="1" t="s">
        <v>346</v>
      </c>
      <c r="H3623" s="1">
        <v>610284</v>
      </c>
      <c r="I3623" s="1">
        <v>6</v>
      </c>
      <c r="K3623" s="1" t="s">
        <v>531</v>
      </c>
      <c r="L3623" s="1" t="s">
        <v>2897</v>
      </c>
      <c r="M3623" s="1">
        <v>141</v>
      </c>
      <c r="N3623" s="1" t="s">
        <v>39</v>
      </c>
      <c r="O3623" s="1">
        <v>31.823899999999998</v>
      </c>
      <c r="P3623" s="1">
        <v>-106.2119</v>
      </c>
      <c r="Q3623" s="1" t="s">
        <v>2065</v>
      </c>
      <c r="R3623" s="1" t="s">
        <v>41</v>
      </c>
      <c r="T3623" s="1" t="s">
        <v>93</v>
      </c>
      <c r="U3623" s="1" t="s">
        <v>44</v>
      </c>
      <c r="V3623" s="1" t="s">
        <v>94</v>
      </c>
      <c r="X3623" s="1" t="s">
        <v>223</v>
      </c>
      <c r="AA3623" s="3">
        <v>42479</v>
      </c>
      <c r="AB3623" s="1" t="s">
        <v>46</v>
      </c>
      <c r="AC3623" s="5">
        <v>858</v>
      </c>
      <c r="AD3623" s="1" t="s">
        <v>8003</v>
      </c>
      <c r="AE3623" s="1" t="str">
        <f t="shared" si="255"/>
        <v>58562 GT-3</v>
      </c>
      <c r="AF3623" s="5" t="str">
        <f>MID(AD3623,FIND("(",AD3623)+1,FIND(")",AD3623)-FIND("(",AD3623)-1)</f>
        <v>100</v>
      </c>
      <c r="AG3623" s="1" t="str">
        <f t="shared" si="254"/>
        <v>Y</v>
      </c>
    </row>
    <row r="3624" spans="1:33" x14ac:dyDescent="0.2">
      <c r="A3624" s="1" t="s">
        <v>383</v>
      </c>
      <c r="B3624" s="1" t="s">
        <v>8000</v>
      </c>
      <c r="C3624" s="1">
        <v>58562</v>
      </c>
      <c r="D3624" s="1" t="s">
        <v>1166</v>
      </c>
      <c r="F3624" s="1">
        <v>2023</v>
      </c>
      <c r="G3624" s="1" t="s">
        <v>346</v>
      </c>
      <c r="H3624" s="1">
        <v>610284</v>
      </c>
      <c r="I3624" s="1">
        <v>6</v>
      </c>
      <c r="K3624" s="1" t="s">
        <v>531</v>
      </c>
      <c r="L3624" s="1" t="s">
        <v>2897</v>
      </c>
      <c r="M3624" s="1">
        <v>141</v>
      </c>
      <c r="N3624" s="1" t="s">
        <v>39</v>
      </c>
      <c r="O3624" s="1">
        <v>31.823899999999998</v>
      </c>
      <c r="P3624" s="1">
        <v>-106.2119</v>
      </c>
      <c r="Q3624" s="1" t="s">
        <v>2065</v>
      </c>
      <c r="R3624" s="1" t="s">
        <v>41</v>
      </c>
      <c r="T3624" s="1" t="s">
        <v>93</v>
      </c>
      <c r="U3624" s="1" t="s">
        <v>44</v>
      </c>
      <c r="V3624" s="1" t="s">
        <v>94</v>
      </c>
      <c r="X3624" s="1" t="s">
        <v>223</v>
      </c>
      <c r="AA3624" s="3">
        <v>42601</v>
      </c>
      <c r="AB3624" s="1" t="s">
        <v>46</v>
      </c>
      <c r="AC3624" s="5">
        <v>858</v>
      </c>
      <c r="AD3624" s="1" t="s">
        <v>8004</v>
      </c>
      <c r="AE3624" s="1" t="str">
        <f t="shared" si="255"/>
        <v>58562 GT-4</v>
      </c>
      <c r="AF3624" s="5" t="str">
        <f>MID(AD3624,FIND("(",AD3624)+1,FIND(")",AD3624)-FIND("(",AD3624)-1)</f>
        <v>100</v>
      </c>
      <c r="AG3624" s="1" t="str">
        <f t="shared" si="254"/>
        <v>Y</v>
      </c>
    </row>
    <row r="3625" spans="1:33" x14ac:dyDescent="0.2">
      <c r="A3625" s="1" t="s">
        <v>2584</v>
      </c>
      <c r="B3625" s="1" t="s">
        <v>8005</v>
      </c>
      <c r="C3625" s="1">
        <v>58933</v>
      </c>
      <c r="D3625" s="1">
        <v>101</v>
      </c>
      <c r="F3625" s="1">
        <v>2023</v>
      </c>
      <c r="G3625" s="1" t="s">
        <v>1515</v>
      </c>
      <c r="H3625" s="1">
        <v>609651</v>
      </c>
      <c r="I3625" s="1">
        <v>3</v>
      </c>
      <c r="K3625" s="1" t="s">
        <v>8006</v>
      </c>
      <c r="L3625" s="1" t="s">
        <v>8007</v>
      </c>
      <c r="M3625" s="1">
        <v>7</v>
      </c>
      <c r="N3625" s="1" t="s">
        <v>1680</v>
      </c>
      <c r="O3625" s="1">
        <v>40.671700000000001</v>
      </c>
      <c r="P3625" s="1">
        <v>-80.336399999999998</v>
      </c>
      <c r="Q3625" s="1" t="s">
        <v>8008</v>
      </c>
      <c r="R3625" s="1" t="s">
        <v>41</v>
      </c>
      <c r="T3625" s="1" t="s">
        <v>71</v>
      </c>
      <c r="U3625" s="1" t="s">
        <v>44</v>
      </c>
      <c r="X3625" s="1" t="s">
        <v>64</v>
      </c>
      <c r="AA3625" s="3">
        <v>44374</v>
      </c>
      <c r="AB3625" s="1" t="s">
        <v>46</v>
      </c>
      <c r="AC3625" s="5">
        <v>790</v>
      </c>
      <c r="AD3625" s="1" t="s">
        <v>8009</v>
      </c>
      <c r="AE3625" s="1" t="str">
        <f t="shared" si="255"/>
        <v>58933 101</v>
      </c>
      <c r="AF3625" s="14">
        <f>MID(AD3625,FIND("(",AD3625)+1,FIND(")",AD3625)-FIND("(",AD3625)-1)+75/3+75/3</f>
        <v>91</v>
      </c>
      <c r="AG3625" s="1" t="str">
        <f t="shared" si="254"/>
        <v>Y</v>
      </c>
    </row>
    <row r="3626" spans="1:33" x14ac:dyDescent="0.2">
      <c r="A3626" s="1" t="s">
        <v>2584</v>
      </c>
      <c r="B3626" s="1" t="s">
        <v>8005</v>
      </c>
      <c r="C3626" s="1">
        <v>58933</v>
      </c>
      <c r="D3626" s="1">
        <v>102</v>
      </c>
      <c r="F3626" s="1">
        <v>2023</v>
      </c>
      <c r="G3626" s="1" t="s">
        <v>1515</v>
      </c>
      <c r="H3626" s="1">
        <v>609651</v>
      </c>
      <c r="I3626" s="1">
        <v>3</v>
      </c>
      <c r="K3626" s="1" t="s">
        <v>8006</v>
      </c>
      <c r="L3626" s="1" t="s">
        <v>8007</v>
      </c>
      <c r="M3626" s="1">
        <v>7</v>
      </c>
      <c r="N3626" s="1" t="s">
        <v>1680</v>
      </c>
      <c r="O3626" s="1">
        <v>40.671700000000001</v>
      </c>
      <c r="P3626" s="1">
        <v>-80.336399999999998</v>
      </c>
      <c r="Q3626" s="1" t="s">
        <v>8008</v>
      </c>
      <c r="R3626" s="1" t="s">
        <v>41</v>
      </c>
      <c r="T3626" s="1" t="s">
        <v>71</v>
      </c>
      <c r="U3626" s="1" t="s">
        <v>44</v>
      </c>
      <c r="X3626" s="1" t="s">
        <v>64</v>
      </c>
      <c r="AA3626" s="3">
        <v>44369</v>
      </c>
      <c r="AB3626" s="1" t="s">
        <v>46</v>
      </c>
      <c r="AC3626" s="5">
        <v>790</v>
      </c>
      <c r="AD3626" s="1" t="s">
        <v>8010</v>
      </c>
      <c r="AE3626" s="1" t="str">
        <f t="shared" si="255"/>
        <v>58933 102</v>
      </c>
      <c r="AF3626" s="14">
        <f>AF3625</f>
        <v>91</v>
      </c>
      <c r="AG3626" s="1" t="str">
        <f t="shared" si="254"/>
        <v>Y</v>
      </c>
    </row>
    <row r="3627" spans="1:33" x14ac:dyDescent="0.2">
      <c r="A3627" s="1" t="s">
        <v>2584</v>
      </c>
      <c r="B3627" s="1" t="s">
        <v>8005</v>
      </c>
      <c r="C3627" s="1">
        <v>58933</v>
      </c>
      <c r="D3627" s="1">
        <v>103</v>
      </c>
      <c r="F3627" s="1">
        <v>2023</v>
      </c>
      <c r="G3627" s="1" t="s">
        <v>1515</v>
      </c>
      <c r="H3627" s="1">
        <v>609651</v>
      </c>
      <c r="I3627" s="1">
        <v>3</v>
      </c>
      <c r="K3627" s="1" t="s">
        <v>8006</v>
      </c>
      <c r="L3627" s="1" t="s">
        <v>8007</v>
      </c>
      <c r="M3627" s="1">
        <v>7</v>
      </c>
      <c r="N3627" s="1" t="s">
        <v>1680</v>
      </c>
      <c r="O3627" s="1">
        <v>40.671700000000001</v>
      </c>
      <c r="P3627" s="1">
        <v>-80.336399999999998</v>
      </c>
      <c r="Q3627" s="1" t="s">
        <v>8008</v>
      </c>
      <c r="R3627" s="1" t="s">
        <v>41</v>
      </c>
      <c r="T3627" s="1" t="s">
        <v>71</v>
      </c>
      <c r="U3627" s="1" t="s">
        <v>44</v>
      </c>
      <c r="X3627" s="1" t="s">
        <v>64</v>
      </c>
      <c r="AA3627" s="3">
        <v>44378</v>
      </c>
      <c r="AB3627" s="1" t="s">
        <v>46</v>
      </c>
      <c r="AC3627" s="5">
        <v>790</v>
      </c>
      <c r="AD3627" s="1" t="s">
        <v>8011</v>
      </c>
      <c r="AE3627" s="1" t="str">
        <f t="shared" si="255"/>
        <v>58933 103</v>
      </c>
      <c r="AF3627" s="14">
        <f>AF3625</f>
        <v>91</v>
      </c>
      <c r="AG3627" s="1" t="str">
        <f t="shared" si="254"/>
        <v>Y</v>
      </c>
    </row>
    <row r="3628" spans="1:33" x14ac:dyDescent="0.2">
      <c r="A3628" s="1" t="s">
        <v>3095</v>
      </c>
      <c r="B3628" s="1" t="s">
        <v>8012</v>
      </c>
      <c r="C3628" s="1">
        <v>59004</v>
      </c>
      <c r="D3628" s="1" t="s">
        <v>311</v>
      </c>
      <c r="F3628" s="1">
        <v>2023</v>
      </c>
      <c r="G3628" s="1" t="s">
        <v>7828</v>
      </c>
      <c r="H3628" s="1">
        <v>610436</v>
      </c>
      <c r="I3628" s="1">
        <v>3</v>
      </c>
      <c r="K3628" s="1" t="s">
        <v>8013</v>
      </c>
      <c r="L3628" s="1" t="s">
        <v>8014</v>
      </c>
      <c r="M3628" s="1">
        <v>107</v>
      </c>
      <c r="N3628" s="1" t="s">
        <v>39</v>
      </c>
      <c r="O3628" s="1">
        <v>39.0578</v>
      </c>
      <c r="P3628" s="1">
        <v>-77.542500000000004</v>
      </c>
      <c r="Q3628" s="1" t="s">
        <v>8015</v>
      </c>
      <c r="R3628" s="1" t="s">
        <v>41</v>
      </c>
      <c r="T3628" s="1" t="s">
        <v>71</v>
      </c>
      <c r="U3628" s="1" t="s">
        <v>284</v>
      </c>
      <c r="X3628" s="1" t="s">
        <v>64</v>
      </c>
      <c r="AA3628" s="3">
        <v>42747</v>
      </c>
      <c r="AB3628" s="1" t="s">
        <v>46</v>
      </c>
      <c r="AC3628" s="5">
        <v>3000</v>
      </c>
      <c r="AD3628" s="1" t="s">
        <v>8016</v>
      </c>
      <c r="AE3628" s="1" t="str">
        <f t="shared" si="255"/>
        <v>59004 CT1</v>
      </c>
      <c r="AF3628" s="14">
        <f>AF3629</f>
        <v>411</v>
      </c>
      <c r="AG3628" s="1" t="str">
        <f t="shared" si="254"/>
        <v>Y</v>
      </c>
    </row>
    <row r="3629" spans="1:33" x14ac:dyDescent="0.2">
      <c r="A3629" s="1" t="s">
        <v>3095</v>
      </c>
      <c r="B3629" s="1" t="s">
        <v>8012</v>
      </c>
      <c r="C3629" s="1">
        <v>59004</v>
      </c>
      <c r="D3629" s="1" t="s">
        <v>98</v>
      </c>
      <c r="F3629" s="1">
        <v>2023</v>
      </c>
      <c r="G3629" s="1" t="s">
        <v>7828</v>
      </c>
      <c r="H3629" s="1">
        <v>610436</v>
      </c>
      <c r="I3629" s="1">
        <v>3</v>
      </c>
      <c r="K3629" s="1" t="s">
        <v>8013</v>
      </c>
      <c r="L3629" s="1" t="s">
        <v>8014</v>
      </c>
      <c r="M3629" s="1">
        <v>107</v>
      </c>
      <c r="N3629" s="1" t="s">
        <v>39</v>
      </c>
      <c r="O3629" s="1">
        <v>39.0578</v>
      </c>
      <c r="P3629" s="1">
        <v>-77.542500000000004</v>
      </c>
      <c r="Q3629" s="1" t="s">
        <v>8015</v>
      </c>
      <c r="R3629" s="1" t="s">
        <v>41</v>
      </c>
      <c r="T3629" s="1" t="s">
        <v>71</v>
      </c>
      <c r="U3629" s="1" t="s">
        <v>284</v>
      </c>
      <c r="X3629" s="1" t="s">
        <v>64</v>
      </c>
      <c r="AA3629" s="3">
        <v>42746</v>
      </c>
      <c r="AB3629" s="1" t="s">
        <v>46</v>
      </c>
      <c r="AC3629" s="5">
        <v>3000</v>
      </c>
      <c r="AD3629" s="1" t="s">
        <v>8017</v>
      </c>
      <c r="AE3629" s="1" t="str">
        <f t="shared" si="255"/>
        <v>59004 CT2</v>
      </c>
      <c r="AF3629" s="14">
        <f>MID(AD3629,FIND("(",AD3629)+1,FIND(")",AD3629)-FIND("(",AD3629)-1)+338/2</f>
        <v>411</v>
      </c>
      <c r="AG3629" s="1" t="str">
        <f t="shared" si="254"/>
        <v>Y</v>
      </c>
    </row>
    <row r="3630" spans="1:33" x14ac:dyDescent="0.2">
      <c r="A3630" s="1" t="s">
        <v>680</v>
      </c>
      <c r="B3630" s="1" t="s">
        <v>8018</v>
      </c>
      <c r="C3630" s="1">
        <v>59073</v>
      </c>
      <c r="D3630" s="1" t="s">
        <v>8019</v>
      </c>
      <c r="F3630" s="1">
        <v>2023</v>
      </c>
      <c r="G3630" s="1" t="s">
        <v>617</v>
      </c>
      <c r="H3630" s="1">
        <v>608312</v>
      </c>
      <c r="I3630" s="1">
        <v>3</v>
      </c>
      <c r="K3630" s="1" t="s">
        <v>8020</v>
      </c>
      <c r="L3630" s="1" t="s">
        <v>8021</v>
      </c>
      <c r="M3630" s="1">
        <v>9</v>
      </c>
      <c r="N3630" s="1" t="s">
        <v>3815</v>
      </c>
      <c r="O3630" s="1">
        <v>38.387</v>
      </c>
      <c r="P3630" s="1">
        <v>-76.408000000000001</v>
      </c>
      <c r="Q3630" s="1" t="s">
        <v>8022</v>
      </c>
      <c r="T3630" s="1" t="s">
        <v>656</v>
      </c>
      <c r="U3630" s="1" t="s">
        <v>284</v>
      </c>
      <c r="X3630" s="12"/>
      <c r="AA3630" s="3">
        <v>43199</v>
      </c>
      <c r="AB3630" s="1" t="s">
        <v>46</v>
      </c>
      <c r="AC3630" s="5">
        <v>427.4</v>
      </c>
      <c r="AD3630" s="1" t="s">
        <v>8023</v>
      </c>
      <c r="AE3630" s="1" t="str">
        <f t="shared" si="255"/>
        <v>59073 B921A</v>
      </c>
      <c r="AF3630" s="14">
        <f>MID(AD3630,FIND("(",AD3630)+1,FIND(")",AD3630)-FIND("(",AD3630)-1)/4+65/4</f>
        <v>32.5</v>
      </c>
      <c r="AG3630" s="1" t="str">
        <f t="shared" si="254"/>
        <v/>
      </c>
    </row>
    <row r="3631" spans="1:33" x14ac:dyDescent="0.2">
      <c r="A3631" s="1" t="s">
        <v>680</v>
      </c>
      <c r="B3631" s="1" t="s">
        <v>8018</v>
      </c>
      <c r="C3631" s="1">
        <v>59073</v>
      </c>
      <c r="D3631" s="1" t="s">
        <v>8024</v>
      </c>
      <c r="F3631" s="1">
        <v>2023</v>
      </c>
      <c r="G3631" s="1" t="s">
        <v>617</v>
      </c>
      <c r="H3631" s="1">
        <v>608312</v>
      </c>
      <c r="I3631" s="1">
        <v>3</v>
      </c>
      <c r="K3631" s="1" t="s">
        <v>8020</v>
      </c>
      <c r="L3631" s="1" t="s">
        <v>8021</v>
      </c>
      <c r="M3631" s="1">
        <v>9</v>
      </c>
      <c r="N3631" s="1" t="s">
        <v>3815</v>
      </c>
      <c r="O3631" s="1">
        <v>38.387</v>
      </c>
      <c r="P3631" s="1">
        <v>-76.408000000000001</v>
      </c>
      <c r="Q3631" s="1" t="s">
        <v>8022</v>
      </c>
      <c r="T3631" s="1" t="s">
        <v>656</v>
      </c>
      <c r="U3631" s="1" t="s">
        <v>284</v>
      </c>
      <c r="X3631" s="12"/>
      <c r="AA3631" s="3">
        <v>43199</v>
      </c>
      <c r="AB3631" s="1" t="s">
        <v>46</v>
      </c>
      <c r="AC3631" s="5">
        <v>427.4</v>
      </c>
      <c r="AD3631" s="1" t="s">
        <v>8023</v>
      </c>
      <c r="AE3631" s="1" t="str">
        <f t="shared" si="255"/>
        <v>59073 B921B</v>
      </c>
      <c r="AF3631" s="14">
        <f>AF3630</f>
        <v>32.5</v>
      </c>
      <c r="AG3631" s="1" t="str">
        <f t="shared" si="254"/>
        <v/>
      </c>
    </row>
    <row r="3632" spans="1:33" x14ac:dyDescent="0.2">
      <c r="A3632" s="1" t="s">
        <v>680</v>
      </c>
      <c r="B3632" s="1" t="s">
        <v>8018</v>
      </c>
      <c r="C3632" s="1">
        <v>59073</v>
      </c>
      <c r="D3632" s="1" t="s">
        <v>8025</v>
      </c>
      <c r="F3632" s="1">
        <v>2023</v>
      </c>
      <c r="G3632" s="1" t="s">
        <v>617</v>
      </c>
      <c r="H3632" s="1">
        <v>608312</v>
      </c>
      <c r="I3632" s="1">
        <v>3</v>
      </c>
      <c r="K3632" s="1" t="s">
        <v>8020</v>
      </c>
      <c r="L3632" s="1" t="s">
        <v>8021</v>
      </c>
      <c r="M3632" s="1">
        <v>9</v>
      </c>
      <c r="N3632" s="1" t="s">
        <v>4999</v>
      </c>
      <c r="O3632" s="1">
        <v>38.387</v>
      </c>
      <c r="P3632" s="1">
        <v>-76.408000000000001</v>
      </c>
      <c r="Q3632" s="1" t="s">
        <v>8022</v>
      </c>
      <c r="T3632" s="1" t="s">
        <v>93</v>
      </c>
      <c r="U3632" s="1" t="s">
        <v>284</v>
      </c>
      <c r="X3632" s="12"/>
      <c r="AA3632" s="3">
        <v>43199</v>
      </c>
      <c r="AB3632" s="1" t="s">
        <v>46</v>
      </c>
      <c r="AC3632" s="5">
        <v>1062</v>
      </c>
      <c r="AD3632" s="1" t="s">
        <v>8026</v>
      </c>
      <c r="AE3632" s="1" t="str">
        <f t="shared" si="255"/>
        <v>59073 GT501A</v>
      </c>
      <c r="AF3632" s="14">
        <f>AF3630</f>
        <v>32.5</v>
      </c>
      <c r="AG3632" s="1" t="str">
        <f t="shared" si="254"/>
        <v/>
      </c>
    </row>
    <row r="3633" spans="1:33" x14ac:dyDescent="0.2">
      <c r="A3633" s="1" t="s">
        <v>680</v>
      </c>
      <c r="B3633" s="1" t="s">
        <v>8018</v>
      </c>
      <c r="C3633" s="1">
        <v>59073</v>
      </c>
      <c r="D3633" s="1" t="s">
        <v>8027</v>
      </c>
      <c r="F3633" s="1">
        <v>2023</v>
      </c>
      <c r="G3633" s="1" t="s">
        <v>617</v>
      </c>
      <c r="H3633" s="1">
        <v>608312</v>
      </c>
      <c r="I3633" s="1">
        <v>3</v>
      </c>
      <c r="K3633" s="1" t="s">
        <v>8020</v>
      </c>
      <c r="L3633" s="1" t="s">
        <v>8021</v>
      </c>
      <c r="M3633" s="1">
        <v>9</v>
      </c>
      <c r="N3633" s="1" t="s">
        <v>4999</v>
      </c>
      <c r="O3633" s="1">
        <v>38.387</v>
      </c>
      <c r="P3633" s="1">
        <v>-76.408000000000001</v>
      </c>
      <c r="Q3633" s="1" t="s">
        <v>8022</v>
      </c>
      <c r="T3633" s="1" t="s">
        <v>93</v>
      </c>
      <c r="U3633" s="1" t="s">
        <v>284</v>
      </c>
      <c r="X3633" s="12"/>
      <c r="AA3633" s="3">
        <v>43199</v>
      </c>
      <c r="AB3633" s="1" t="s">
        <v>46</v>
      </c>
      <c r="AC3633" s="5">
        <v>1062</v>
      </c>
      <c r="AD3633" s="1" t="s">
        <v>8026</v>
      </c>
      <c r="AE3633" s="1" t="str">
        <f t="shared" si="255"/>
        <v>59073 GT501B</v>
      </c>
      <c r="AF3633" s="14">
        <f>AF3630</f>
        <v>32.5</v>
      </c>
      <c r="AG3633" s="1" t="str">
        <f t="shared" si="254"/>
        <v/>
      </c>
    </row>
    <row r="3634" spans="1:33" x14ac:dyDescent="0.2">
      <c r="A3634" s="1" t="s">
        <v>1621</v>
      </c>
      <c r="B3634" s="1" t="s">
        <v>8028</v>
      </c>
      <c r="C3634" s="1">
        <v>59093</v>
      </c>
      <c r="D3634" s="1">
        <v>10</v>
      </c>
      <c r="F3634" s="1">
        <v>2023</v>
      </c>
      <c r="G3634" s="1" t="s">
        <v>461</v>
      </c>
      <c r="H3634" s="1">
        <v>609153</v>
      </c>
      <c r="I3634" s="1">
        <v>5</v>
      </c>
      <c r="K3634" s="1" t="s">
        <v>1631</v>
      </c>
      <c r="L3634" s="1" t="s">
        <v>1632</v>
      </c>
      <c r="M3634" s="1">
        <v>139</v>
      </c>
      <c r="N3634" s="1" t="s">
        <v>39</v>
      </c>
      <c r="O3634" s="1">
        <v>42.792999999999999</v>
      </c>
      <c r="P3634" s="1">
        <v>-86.092500000000001</v>
      </c>
      <c r="Q3634" s="1" t="s">
        <v>8029</v>
      </c>
      <c r="R3634" s="1" t="s">
        <v>41</v>
      </c>
      <c r="T3634" s="1" t="s">
        <v>71</v>
      </c>
      <c r="U3634" s="1" t="s">
        <v>44</v>
      </c>
      <c r="X3634" s="1" t="s">
        <v>64</v>
      </c>
      <c r="AA3634" s="3">
        <v>42765</v>
      </c>
      <c r="AB3634" s="1" t="s">
        <v>46</v>
      </c>
      <c r="AC3634" s="5">
        <v>593</v>
      </c>
      <c r="AD3634" s="1" t="s">
        <v>8030</v>
      </c>
      <c r="AE3634" s="1" t="str">
        <f t="shared" si="255"/>
        <v>59093 10</v>
      </c>
      <c r="AF3634" s="14">
        <f>MID(AD3634,FIND("(",AD3634)+1,FIND(")",AD3634)-FIND("(",AD3634)-1)+43.2/2</f>
        <v>74.7</v>
      </c>
      <c r="AG3634" s="1" t="str">
        <f t="shared" si="254"/>
        <v>Y</v>
      </c>
    </row>
    <row r="3635" spans="1:33" x14ac:dyDescent="0.2">
      <c r="A3635" s="1" t="s">
        <v>1621</v>
      </c>
      <c r="B3635" s="1" t="s">
        <v>8028</v>
      </c>
      <c r="C3635" s="1">
        <v>59093</v>
      </c>
      <c r="D3635" s="1">
        <v>11</v>
      </c>
      <c r="F3635" s="1">
        <v>2023</v>
      </c>
      <c r="G3635" s="1" t="s">
        <v>461</v>
      </c>
      <c r="H3635" s="1">
        <v>609153</v>
      </c>
      <c r="I3635" s="1">
        <v>5</v>
      </c>
      <c r="K3635" s="1" t="s">
        <v>1631</v>
      </c>
      <c r="L3635" s="1" t="s">
        <v>1632</v>
      </c>
      <c r="M3635" s="1">
        <v>139</v>
      </c>
      <c r="N3635" s="1" t="s">
        <v>39</v>
      </c>
      <c r="O3635" s="1">
        <v>42.792999999999999</v>
      </c>
      <c r="P3635" s="1">
        <v>-86.092500000000001</v>
      </c>
      <c r="Q3635" s="1" t="s">
        <v>8029</v>
      </c>
      <c r="R3635" s="1" t="s">
        <v>41</v>
      </c>
      <c r="T3635" s="1" t="s">
        <v>71</v>
      </c>
      <c r="U3635" s="1" t="s">
        <v>44</v>
      </c>
      <c r="X3635" s="1" t="s">
        <v>64</v>
      </c>
      <c r="AA3635" s="3">
        <v>42767</v>
      </c>
      <c r="AB3635" s="1" t="s">
        <v>46</v>
      </c>
      <c r="AC3635" s="5">
        <v>593</v>
      </c>
      <c r="AD3635" s="1" t="s">
        <v>8031</v>
      </c>
      <c r="AE3635" s="1" t="str">
        <f t="shared" si="255"/>
        <v>59093 11</v>
      </c>
      <c r="AF3635" s="14">
        <f>AF3634</f>
        <v>74.7</v>
      </c>
      <c r="AG3635" s="1" t="str">
        <f t="shared" si="254"/>
        <v>Y</v>
      </c>
    </row>
    <row r="3636" spans="1:33" x14ac:dyDescent="0.2">
      <c r="A3636" s="1" t="s">
        <v>680</v>
      </c>
      <c r="B3636" s="1" t="s">
        <v>8032</v>
      </c>
      <c r="C3636" s="1">
        <v>59220</v>
      </c>
      <c r="D3636" s="1" t="s">
        <v>311</v>
      </c>
      <c r="F3636" s="1">
        <v>2023</v>
      </c>
      <c r="G3636" s="1" t="s">
        <v>1515</v>
      </c>
      <c r="H3636" s="1">
        <v>601174</v>
      </c>
      <c r="I3636" s="1">
        <v>3</v>
      </c>
      <c r="K3636" s="1" t="s">
        <v>4300</v>
      </c>
      <c r="L3636" s="1" t="s">
        <v>4301</v>
      </c>
      <c r="M3636" s="1">
        <v>15</v>
      </c>
      <c r="N3636" s="1" t="s">
        <v>39</v>
      </c>
      <c r="O3636" s="1">
        <v>39.7194</v>
      </c>
      <c r="P3636" s="1">
        <v>-76.161600000000007</v>
      </c>
      <c r="Q3636" s="1" t="s">
        <v>4311</v>
      </c>
      <c r="R3636" s="1" t="s">
        <v>41</v>
      </c>
      <c r="T3636" s="1" t="s">
        <v>71</v>
      </c>
      <c r="U3636" s="1" t="s">
        <v>44</v>
      </c>
      <c r="X3636" s="1" t="s">
        <v>64</v>
      </c>
      <c r="AA3636" s="3">
        <v>42949</v>
      </c>
      <c r="AB3636" s="1" t="s">
        <v>46</v>
      </c>
      <c r="AC3636" s="5">
        <v>4071</v>
      </c>
      <c r="AD3636" s="1" t="s">
        <v>8033</v>
      </c>
      <c r="AE3636" s="1" t="str">
        <f t="shared" si="255"/>
        <v>59220 CT1</v>
      </c>
      <c r="AF3636" s="14">
        <f>AF3637</f>
        <v>556.79999999999995</v>
      </c>
      <c r="AG3636" s="1" t="str">
        <f t="shared" si="254"/>
        <v>Y</v>
      </c>
    </row>
    <row r="3637" spans="1:33" x14ac:dyDescent="0.2">
      <c r="A3637" s="1" t="s">
        <v>680</v>
      </c>
      <c r="B3637" s="1" t="s">
        <v>8032</v>
      </c>
      <c r="C3637" s="1">
        <v>59220</v>
      </c>
      <c r="D3637" s="1" t="s">
        <v>98</v>
      </c>
      <c r="F3637" s="1">
        <v>2023</v>
      </c>
      <c r="G3637" s="1" t="s">
        <v>1515</v>
      </c>
      <c r="H3637" s="1">
        <v>601174</v>
      </c>
      <c r="I3637" s="1">
        <v>3</v>
      </c>
      <c r="K3637" s="1" t="s">
        <v>4300</v>
      </c>
      <c r="L3637" s="1" t="s">
        <v>4301</v>
      </c>
      <c r="M3637" s="1">
        <v>15</v>
      </c>
      <c r="N3637" s="1" t="s">
        <v>39</v>
      </c>
      <c r="O3637" s="1">
        <v>39.7194</v>
      </c>
      <c r="P3637" s="1">
        <v>-76.161600000000007</v>
      </c>
      <c r="Q3637" s="1" t="s">
        <v>4311</v>
      </c>
      <c r="R3637" s="1" t="s">
        <v>41</v>
      </c>
      <c r="T3637" s="1" t="s">
        <v>71</v>
      </c>
      <c r="U3637" s="1" t="s">
        <v>44</v>
      </c>
      <c r="X3637" s="1" t="s">
        <v>64</v>
      </c>
      <c r="AA3637" s="3">
        <v>42942</v>
      </c>
      <c r="AB3637" s="1" t="s">
        <v>46</v>
      </c>
      <c r="AC3637" s="5">
        <v>4071</v>
      </c>
      <c r="AD3637" s="1" t="s">
        <v>8034</v>
      </c>
      <c r="AE3637" s="1" t="str">
        <f t="shared" si="255"/>
        <v>59220 CT2</v>
      </c>
      <c r="AF3637" s="14">
        <f>MID(AD3637,FIND("(",AD3637)+1,FIND(")",AD3637)-FIND("(",AD3637)-1)+493/2</f>
        <v>556.79999999999995</v>
      </c>
      <c r="AG3637" s="1" t="str">
        <f t="shared" si="254"/>
        <v>Y</v>
      </c>
    </row>
    <row r="3638" spans="1:33" x14ac:dyDescent="0.2">
      <c r="A3638" s="1" t="s">
        <v>1153</v>
      </c>
      <c r="B3638" s="1" t="s">
        <v>8035</v>
      </c>
      <c r="C3638" s="1">
        <v>59325</v>
      </c>
      <c r="D3638" s="1" t="s">
        <v>8036</v>
      </c>
      <c r="F3638" s="1">
        <v>2023</v>
      </c>
      <c r="G3638" s="1" t="s">
        <v>8037</v>
      </c>
      <c r="H3638" s="1">
        <v>603217</v>
      </c>
      <c r="I3638" s="1">
        <v>4</v>
      </c>
      <c r="K3638" s="1" t="s">
        <v>2394</v>
      </c>
      <c r="L3638" s="1" t="s">
        <v>2395</v>
      </c>
      <c r="M3638" s="1">
        <v>45</v>
      </c>
      <c r="N3638" s="1" t="s">
        <v>39</v>
      </c>
      <c r="O3638" s="1">
        <v>35.198599999999999</v>
      </c>
      <c r="P3638" s="1">
        <v>-81.360399999999998</v>
      </c>
      <c r="Q3638" s="1" t="s">
        <v>8038</v>
      </c>
      <c r="R3638" s="1" t="s">
        <v>41</v>
      </c>
      <c r="T3638" s="1" t="s">
        <v>71</v>
      </c>
      <c r="U3638" s="1" t="s">
        <v>44</v>
      </c>
      <c r="X3638" s="1" t="s">
        <v>64</v>
      </c>
      <c r="AA3638" s="3">
        <v>43204</v>
      </c>
      <c r="AB3638" s="1" t="s">
        <v>46</v>
      </c>
      <c r="AC3638" s="5">
        <v>3603</v>
      </c>
      <c r="AD3638" s="1" t="s">
        <v>8039</v>
      </c>
      <c r="AE3638" s="1" t="str">
        <f t="shared" si="255"/>
        <v>59325 ES-1</v>
      </c>
      <c r="AF3638" s="14">
        <f>MID(AD3638,FIND("(",AD3638)+1,FIND(")",AD3638)-FIND("(",AD3638)-1)+310.3</f>
        <v>595.1</v>
      </c>
      <c r="AG3638" s="1" t="str">
        <f t="shared" si="254"/>
        <v>Y</v>
      </c>
    </row>
    <row r="3639" spans="1:33" x14ac:dyDescent="0.2">
      <c r="A3639" s="1" t="s">
        <v>2430</v>
      </c>
      <c r="B3639" s="1" t="s">
        <v>8040</v>
      </c>
      <c r="C3639" s="1">
        <v>59326</v>
      </c>
      <c r="D3639" s="1">
        <v>1</v>
      </c>
      <c r="F3639" s="1">
        <v>2023</v>
      </c>
      <c r="G3639" s="1" t="s">
        <v>6843</v>
      </c>
      <c r="H3639" s="1">
        <v>609143</v>
      </c>
      <c r="I3639" s="1">
        <v>5</v>
      </c>
      <c r="K3639" s="1" t="s">
        <v>2439</v>
      </c>
      <c r="L3639" s="1" t="s">
        <v>2440</v>
      </c>
      <c r="M3639" s="1">
        <v>17</v>
      </c>
      <c r="N3639" s="1" t="s">
        <v>39</v>
      </c>
      <c r="O3639" s="1">
        <v>39.4679</v>
      </c>
      <c r="P3639" s="1">
        <v>-84.353099999999998</v>
      </c>
      <c r="Q3639" s="1" t="s">
        <v>8041</v>
      </c>
      <c r="R3639" s="1" t="s">
        <v>41</v>
      </c>
      <c r="T3639" s="1" t="s">
        <v>71</v>
      </c>
      <c r="U3639" s="1" t="s">
        <v>44</v>
      </c>
      <c r="X3639" s="1" t="s">
        <v>64</v>
      </c>
      <c r="AA3639" s="3">
        <v>43137</v>
      </c>
      <c r="AB3639" s="1" t="s">
        <v>46</v>
      </c>
      <c r="AC3639" s="5">
        <v>3824.6</v>
      </c>
      <c r="AD3639" s="1" t="s">
        <v>8042</v>
      </c>
      <c r="AE3639" s="1" t="str">
        <f t="shared" si="255"/>
        <v>59326 1</v>
      </c>
      <c r="AF3639" s="14">
        <f>MID(AD3639,FIND("(",AD3639)+1,FIND(")",AD3639)-FIND("(",AD3639)-1)+284.8</f>
        <v>595.1</v>
      </c>
      <c r="AG3639" s="1" t="str">
        <f t="shared" si="254"/>
        <v>Y</v>
      </c>
    </row>
    <row r="3640" spans="1:33" x14ac:dyDescent="0.2">
      <c r="A3640" s="1" t="s">
        <v>2430</v>
      </c>
      <c r="B3640" s="1" t="s">
        <v>8043</v>
      </c>
      <c r="C3640" s="1">
        <v>59764</v>
      </c>
      <c r="D3640" s="1">
        <v>1</v>
      </c>
      <c r="F3640" s="1">
        <v>2023</v>
      </c>
      <c r="G3640" s="1" t="s">
        <v>6843</v>
      </c>
      <c r="H3640" s="1">
        <v>1100</v>
      </c>
      <c r="I3640" s="1">
        <v>5</v>
      </c>
      <c r="K3640" s="1" t="s">
        <v>2489</v>
      </c>
      <c r="L3640" s="1" t="s">
        <v>2490</v>
      </c>
      <c r="M3640" s="1">
        <v>95</v>
      </c>
      <c r="N3640" s="1" t="s">
        <v>39</v>
      </c>
      <c r="O3640" s="1">
        <v>41.667900000000003</v>
      </c>
      <c r="P3640" s="1">
        <v>-83.443700000000007</v>
      </c>
      <c r="Q3640" s="1" t="s">
        <v>8044</v>
      </c>
      <c r="R3640" s="1" t="s">
        <v>41</v>
      </c>
      <c r="T3640" s="1" t="s">
        <v>71</v>
      </c>
      <c r="U3640" s="1" t="s">
        <v>44</v>
      </c>
      <c r="X3640" s="1" t="s">
        <v>64</v>
      </c>
      <c r="AA3640" s="3">
        <v>42873</v>
      </c>
      <c r="AB3640" s="1" t="s">
        <v>46</v>
      </c>
      <c r="AC3640" s="5">
        <v>3237.4</v>
      </c>
      <c r="AD3640" s="1" t="s">
        <v>8045</v>
      </c>
      <c r="AE3640" s="1" t="str">
        <f t="shared" si="255"/>
        <v>59764 1</v>
      </c>
      <c r="AF3640" s="14">
        <f>MID(AD3640,FIND("(",AD3640)+1,FIND(")",AD3640)-FIND("(",AD3640)-1)+404/2</f>
        <v>530</v>
      </c>
      <c r="AG3640" s="1" t="str">
        <f t="shared" si="254"/>
        <v>Y</v>
      </c>
    </row>
    <row r="3641" spans="1:33" x14ac:dyDescent="0.2">
      <c r="A3641" s="1" t="s">
        <v>2430</v>
      </c>
      <c r="B3641" s="1" t="s">
        <v>8043</v>
      </c>
      <c r="C3641" s="1">
        <v>59764</v>
      </c>
      <c r="D3641" s="1">
        <v>2</v>
      </c>
      <c r="F3641" s="1">
        <v>2023</v>
      </c>
      <c r="G3641" s="1" t="s">
        <v>6843</v>
      </c>
      <c r="H3641" s="1">
        <v>1100</v>
      </c>
      <c r="I3641" s="1">
        <v>5</v>
      </c>
      <c r="K3641" s="1" t="s">
        <v>2489</v>
      </c>
      <c r="L3641" s="1" t="s">
        <v>2490</v>
      </c>
      <c r="M3641" s="1">
        <v>95</v>
      </c>
      <c r="N3641" s="1" t="s">
        <v>39</v>
      </c>
      <c r="O3641" s="1">
        <v>41.667900000000003</v>
      </c>
      <c r="P3641" s="1">
        <v>-83.443700000000007</v>
      </c>
      <c r="Q3641" s="1" t="s">
        <v>8044</v>
      </c>
      <c r="R3641" s="1" t="s">
        <v>41</v>
      </c>
      <c r="T3641" s="1" t="s">
        <v>71</v>
      </c>
      <c r="U3641" s="1" t="s">
        <v>44</v>
      </c>
      <c r="X3641" s="1" t="s">
        <v>64</v>
      </c>
      <c r="AA3641" s="3">
        <v>42802</v>
      </c>
      <c r="AB3641" s="1" t="s">
        <v>46</v>
      </c>
      <c r="AC3641" s="5">
        <v>3237.4</v>
      </c>
      <c r="AD3641" s="1" t="s">
        <v>8046</v>
      </c>
      <c r="AE3641" s="1" t="str">
        <f t="shared" si="255"/>
        <v>59764 2</v>
      </c>
      <c r="AF3641" s="14">
        <f>AF3640</f>
        <v>530</v>
      </c>
      <c r="AG3641" s="1" t="str">
        <f t="shared" si="254"/>
        <v>Y</v>
      </c>
    </row>
    <row r="3642" spans="1:33" x14ac:dyDescent="0.2">
      <c r="A3642" s="1" t="s">
        <v>2430</v>
      </c>
      <c r="B3642" s="1" t="s">
        <v>8047</v>
      </c>
      <c r="C3642" s="1">
        <v>59773</v>
      </c>
      <c r="D3642" s="1">
        <v>1</v>
      </c>
      <c r="F3642" s="1">
        <v>2023</v>
      </c>
      <c r="G3642" s="1" t="s">
        <v>6843</v>
      </c>
      <c r="H3642" s="1">
        <v>608730</v>
      </c>
      <c r="I3642" s="1">
        <v>5</v>
      </c>
      <c r="K3642" s="1" t="s">
        <v>1368</v>
      </c>
      <c r="L3642" s="1" t="s">
        <v>8048</v>
      </c>
      <c r="M3642" s="1">
        <v>19</v>
      </c>
      <c r="N3642" s="1" t="s">
        <v>39</v>
      </c>
      <c r="O3642" s="1">
        <v>40.604799999999997</v>
      </c>
      <c r="P3642" s="1">
        <v>-81.059200000000004</v>
      </c>
      <c r="Q3642" s="1" t="s">
        <v>8049</v>
      </c>
      <c r="R3642" s="1" t="s">
        <v>41</v>
      </c>
      <c r="T3642" s="1" t="s">
        <v>71</v>
      </c>
      <c r="U3642" s="1" t="s">
        <v>44</v>
      </c>
      <c r="X3642" s="1" t="s">
        <v>64</v>
      </c>
      <c r="AA3642" s="3">
        <v>42999</v>
      </c>
      <c r="AB3642" s="1" t="s">
        <v>46</v>
      </c>
      <c r="AC3642" s="5">
        <v>2700</v>
      </c>
      <c r="AD3642" s="1" t="s">
        <v>8050</v>
      </c>
      <c r="AE3642" s="1" t="str">
        <f t="shared" si="255"/>
        <v>59773 1</v>
      </c>
      <c r="AF3642" s="14">
        <f>MID(AD3642,FIND("(",AD3642)+1,FIND(")",AD3642)-FIND("(",AD3642)-1)+361.3/2</f>
        <v>416.15</v>
      </c>
      <c r="AG3642" s="1" t="str">
        <f t="shared" si="254"/>
        <v>Y</v>
      </c>
    </row>
    <row r="3643" spans="1:33" x14ac:dyDescent="0.2">
      <c r="A3643" s="1" t="s">
        <v>2430</v>
      </c>
      <c r="B3643" s="1" t="s">
        <v>8047</v>
      </c>
      <c r="C3643" s="1">
        <v>59773</v>
      </c>
      <c r="D3643" s="1">
        <v>2</v>
      </c>
      <c r="F3643" s="1">
        <v>2023</v>
      </c>
      <c r="G3643" s="1" t="s">
        <v>6843</v>
      </c>
      <c r="H3643" s="1">
        <v>608730</v>
      </c>
      <c r="I3643" s="1">
        <v>5</v>
      </c>
      <c r="K3643" s="1" t="s">
        <v>1368</v>
      </c>
      <c r="L3643" s="1" t="s">
        <v>8048</v>
      </c>
      <c r="M3643" s="1">
        <v>19</v>
      </c>
      <c r="N3643" s="1" t="s">
        <v>39</v>
      </c>
      <c r="O3643" s="1">
        <v>40.604799999999997</v>
      </c>
      <c r="P3643" s="1">
        <v>-81.059200000000004</v>
      </c>
      <c r="Q3643" s="1" t="s">
        <v>8049</v>
      </c>
      <c r="R3643" s="1" t="s">
        <v>41</v>
      </c>
      <c r="T3643" s="1" t="s">
        <v>71</v>
      </c>
      <c r="U3643" s="1" t="s">
        <v>44</v>
      </c>
      <c r="X3643" s="1" t="s">
        <v>64</v>
      </c>
      <c r="AA3643" s="3">
        <v>43006</v>
      </c>
      <c r="AB3643" s="1" t="s">
        <v>46</v>
      </c>
      <c r="AC3643" s="5">
        <v>2700</v>
      </c>
      <c r="AD3643" s="1" t="s">
        <v>8051</v>
      </c>
      <c r="AE3643" s="1" t="str">
        <f t="shared" si="255"/>
        <v>59773 2</v>
      </c>
      <c r="AF3643" s="14">
        <f>AF3642</f>
        <v>416.15</v>
      </c>
      <c r="AG3643" s="1" t="str">
        <f t="shared" si="254"/>
        <v>Y</v>
      </c>
    </row>
    <row r="3644" spans="1:33" x14ac:dyDescent="0.2">
      <c r="A3644" s="1" t="s">
        <v>383</v>
      </c>
      <c r="B3644" s="1" t="s">
        <v>8052</v>
      </c>
      <c r="C3644" s="1">
        <v>59812</v>
      </c>
      <c r="D3644" s="1" t="s">
        <v>3044</v>
      </c>
      <c r="F3644" s="1">
        <v>2023</v>
      </c>
      <c r="G3644" s="1" t="s">
        <v>346</v>
      </c>
      <c r="H3644" s="1">
        <v>606830</v>
      </c>
      <c r="I3644" s="1">
        <v>6</v>
      </c>
      <c r="K3644" s="1" t="s">
        <v>5757</v>
      </c>
      <c r="L3644" s="1" t="s">
        <v>5758</v>
      </c>
      <c r="M3644" s="1">
        <v>221</v>
      </c>
      <c r="N3644" s="1" t="s">
        <v>39</v>
      </c>
      <c r="O3644" s="1">
        <v>32.337699999999998</v>
      </c>
      <c r="P3644" s="1">
        <v>-97.7346</v>
      </c>
      <c r="Q3644" s="1" t="s">
        <v>8053</v>
      </c>
      <c r="R3644" s="1" t="s">
        <v>41</v>
      </c>
      <c r="T3644" s="1" t="s">
        <v>71</v>
      </c>
      <c r="U3644" s="1" t="s">
        <v>44</v>
      </c>
      <c r="X3644" s="1" t="s">
        <v>2111</v>
      </c>
      <c r="AA3644" s="3">
        <v>42740</v>
      </c>
      <c r="AB3644" s="1" t="s">
        <v>46</v>
      </c>
      <c r="AC3644" s="5">
        <v>4564</v>
      </c>
      <c r="AD3644" s="1" t="s">
        <v>8054</v>
      </c>
      <c r="AE3644" s="1" t="str">
        <f t="shared" si="255"/>
        <v>59812 CGT4</v>
      </c>
      <c r="AF3644" s="14">
        <f>MID(AD3644,FIND("(",AD3644)+1,FIND(")",AD3644)-FIND("(",AD3644)-1)+500.365/2</f>
        <v>650.1825</v>
      </c>
      <c r="AG3644" s="1" t="str">
        <f t="shared" si="254"/>
        <v>Y</v>
      </c>
    </row>
    <row r="3645" spans="1:33" x14ac:dyDescent="0.2">
      <c r="A3645" s="1" t="s">
        <v>383</v>
      </c>
      <c r="B3645" s="1" t="s">
        <v>8052</v>
      </c>
      <c r="C3645" s="1">
        <v>59812</v>
      </c>
      <c r="D3645" s="1" t="s">
        <v>3053</v>
      </c>
      <c r="F3645" s="1">
        <v>2023</v>
      </c>
      <c r="G3645" s="1" t="s">
        <v>346</v>
      </c>
      <c r="H3645" s="1">
        <v>606830</v>
      </c>
      <c r="I3645" s="1">
        <v>6</v>
      </c>
      <c r="K3645" s="1" t="s">
        <v>5757</v>
      </c>
      <c r="L3645" s="1" t="s">
        <v>5758</v>
      </c>
      <c r="M3645" s="1">
        <v>221</v>
      </c>
      <c r="N3645" s="1" t="s">
        <v>39</v>
      </c>
      <c r="O3645" s="1">
        <v>32.337699999999998</v>
      </c>
      <c r="P3645" s="1">
        <v>-97.7346</v>
      </c>
      <c r="Q3645" s="1" t="s">
        <v>8053</v>
      </c>
      <c r="R3645" s="1" t="s">
        <v>41</v>
      </c>
      <c r="T3645" s="1" t="s">
        <v>71</v>
      </c>
      <c r="U3645" s="1" t="s">
        <v>44</v>
      </c>
      <c r="X3645" s="1" t="s">
        <v>2111</v>
      </c>
      <c r="AA3645" s="3">
        <v>42747</v>
      </c>
      <c r="AB3645" s="1" t="s">
        <v>46</v>
      </c>
      <c r="AC3645" s="5">
        <v>4564</v>
      </c>
      <c r="AD3645" s="1" t="s">
        <v>8055</v>
      </c>
      <c r="AE3645" s="1" t="str">
        <f t="shared" si="255"/>
        <v>59812 CGT5</v>
      </c>
      <c r="AF3645" s="14">
        <f>AF3644</f>
        <v>650.1825</v>
      </c>
      <c r="AG3645" s="1" t="str">
        <f t="shared" si="254"/>
        <v>Y</v>
      </c>
    </row>
    <row r="3646" spans="1:33" x14ac:dyDescent="0.2">
      <c r="A3646" s="1" t="s">
        <v>1568</v>
      </c>
      <c r="B3646" s="1" t="s">
        <v>8056</v>
      </c>
      <c r="C3646" s="1">
        <v>59882</v>
      </c>
      <c r="D3646" s="1" t="s">
        <v>8057</v>
      </c>
      <c r="F3646" s="1">
        <v>2023</v>
      </c>
      <c r="G3646" s="1" t="s">
        <v>579</v>
      </c>
      <c r="H3646" s="1">
        <v>606408</v>
      </c>
      <c r="I3646" s="1">
        <v>1</v>
      </c>
      <c r="K3646" s="1" t="s">
        <v>1578</v>
      </c>
      <c r="L3646" s="1" t="s">
        <v>1579</v>
      </c>
      <c r="M3646" s="1">
        <v>21</v>
      </c>
      <c r="N3646" s="1" t="s">
        <v>39</v>
      </c>
      <c r="O3646" s="1">
        <v>42.137500000000003</v>
      </c>
      <c r="P3646" s="1">
        <v>-71.444000000000003</v>
      </c>
      <c r="Q3646" s="1" t="s">
        <v>8058</v>
      </c>
      <c r="R3646" s="1" t="s">
        <v>41</v>
      </c>
      <c r="T3646" s="1" t="s">
        <v>93</v>
      </c>
      <c r="U3646" s="1" t="s">
        <v>44</v>
      </c>
      <c r="V3646" s="1" t="s">
        <v>94</v>
      </c>
      <c r="X3646" s="1" t="s">
        <v>643</v>
      </c>
      <c r="AA3646" s="3">
        <v>43504</v>
      </c>
      <c r="AB3646" s="1" t="s">
        <v>46</v>
      </c>
      <c r="AC3646" s="5">
        <v>992</v>
      </c>
      <c r="AD3646" s="1" t="s">
        <v>1486</v>
      </c>
      <c r="AE3646" s="1" t="str">
        <f t="shared" si="255"/>
        <v>59882 J4</v>
      </c>
      <c r="AF3646" s="5" t="str">
        <f>MID(AD3646,FIND("(",AD3646)+1,FIND(")",AD3646)-FIND("(",AD3646)-1)</f>
        <v>100</v>
      </c>
      <c r="AG3646" s="1" t="str">
        <f t="shared" si="254"/>
        <v>Y</v>
      </c>
    </row>
    <row r="3647" spans="1:33" x14ac:dyDescent="0.2">
      <c r="A3647" s="1" t="s">
        <v>1568</v>
      </c>
      <c r="B3647" s="1" t="s">
        <v>8056</v>
      </c>
      <c r="C3647" s="1">
        <v>59882</v>
      </c>
      <c r="D3647" s="1" t="s">
        <v>8059</v>
      </c>
      <c r="F3647" s="1">
        <v>2023</v>
      </c>
      <c r="G3647" s="1" t="s">
        <v>579</v>
      </c>
      <c r="H3647" s="1">
        <v>606408</v>
      </c>
      <c r="I3647" s="1">
        <v>1</v>
      </c>
      <c r="K3647" s="1" t="s">
        <v>1578</v>
      </c>
      <c r="L3647" s="1" t="s">
        <v>1579</v>
      </c>
      <c r="M3647" s="1">
        <v>21</v>
      </c>
      <c r="N3647" s="1" t="s">
        <v>39</v>
      </c>
      <c r="O3647" s="1">
        <v>42.137500000000003</v>
      </c>
      <c r="P3647" s="1">
        <v>-71.444000000000003</v>
      </c>
      <c r="Q3647" s="1" t="s">
        <v>8058</v>
      </c>
      <c r="R3647" s="1" t="s">
        <v>41</v>
      </c>
      <c r="T3647" s="1" t="s">
        <v>93</v>
      </c>
      <c r="U3647" s="1" t="s">
        <v>44</v>
      </c>
      <c r="V3647" s="1" t="s">
        <v>94</v>
      </c>
      <c r="X3647" s="1" t="s">
        <v>643</v>
      </c>
      <c r="AA3647" s="3">
        <v>43526</v>
      </c>
      <c r="AB3647" s="1" t="s">
        <v>46</v>
      </c>
      <c r="AC3647" s="5">
        <v>992</v>
      </c>
      <c r="AD3647" s="1" t="s">
        <v>1479</v>
      </c>
      <c r="AE3647" s="1" t="str">
        <f t="shared" si="255"/>
        <v>59882 J5</v>
      </c>
      <c r="AF3647" s="5" t="str">
        <f>MID(AD3647,FIND("(",AD3647)+1,FIND(")",AD3647)-FIND("(",AD3647)-1)</f>
        <v>100</v>
      </c>
      <c r="AG3647" s="1" t="str">
        <f t="shared" si="254"/>
        <v>Y</v>
      </c>
    </row>
    <row r="3648" spans="1:33" x14ac:dyDescent="0.2">
      <c r="A3648" s="1" t="s">
        <v>2584</v>
      </c>
      <c r="B3648" s="1" t="s">
        <v>8060</v>
      </c>
      <c r="C3648" s="1">
        <v>59906</v>
      </c>
      <c r="D3648" s="1">
        <v>201</v>
      </c>
      <c r="F3648" s="1">
        <v>2023</v>
      </c>
      <c r="G3648" s="1" t="s">
        <v>1515</v>
      </c>
      <c r="H3648" s="1">
        <v>1245</v>
      </c>
      <c r="I3648" s="1">
        <v>3</v>
      </c>
      <c r="K3648" s="1" t="s">
        <v>2675</v>
      </c>
      <c r="L3648" s="1" t="s">
        <v>2676</v>
      </c>
      <c r="M3648" s="1">
        <v>79</v>
      </c>
      <c r="N3648" s="1" t="s">
        <v>39</v>
      </c>
      <c r="O3648" s="1">
        <v>41.111699999999999</v>
      </c>
      <c r="P3648" s="1">
        <v>-76.16</v>
      </c>
      <c r="Q3648" s="1" t="s">
        <v>8061</v>
      </c>
      <c r="R3648" s="1" t="s">
        <v>41</v>
      </c>
      <c r="T3648" s="1" t="s">
        <v>71</v>
      </c>
      <c r="U3648" s="1" t="s">
        <v>44</v>
      </c>
      <c r="X3648" s="1" t="s">
        <v>64</v>
      </c>
      <c r="AA3648" s="3">
        <v>43138</v>
      </c>
      <c r="AB3648" s="1" t="s">
        <v>46</v>
      </c>
      <c r="AC3648" s="5">
        <v>3700</v>
      </c>
      <c r="AD3648" s="1" t="s">
        <v>8062</v>
      </c>
      <c r="AE3648" s="1" t="str">
        <f t="shared" si="255"/>
        <v>59906 201</v>
      </c>
      <c r="AF3648" s="5" t="str">
        <f>MID(AD3648,FIND("(",AD3648)+1,FIND(")",AD3648)-FIND("(",AD3648)-1)</f>
        <v>535.3</v>
      </c>
      <c r="AG3648" s="1" t="str">
        <f t="shared" si="254"/>
        <v>Y</v>
      </c>
    </row>
    <row r="3649" spans="1:33" x14ac:dyDescent="0.2">
      <c r="A3649" s="1" t="s">
        <v>2584</v>
      </c>
      <c r="B3649" s="1" t="s">
        <v>8060</v>
      </c>
      <c r="C3649" s="1">
        <v>59906</v>
      </c>
      <c r="D3649" s="1">
        <v>202</v>
      </c>
      <c r="F3649" s="1">
        <v>2023</v>
      </c>
      <c r="G3649" s="1" t="s">
        <v>1515</v>
      </c>
      <c r="H3649" s="1">
        <v>1245</v>
      </c>
      <c r="I3649" s="1">
        <v>3</v>
      </c>
      <c r="K3649" s="1" t="s">
        <v>2675</v>
      </c>
      <c r="L3649" s="1" t="s">
        <v>2676</v>
      </c>
      <c r="M3649" s="1">
        <v>79</v>
      </c>
      <c r="N3649" s="1" t="s">
        <v>39</v>
      </c>
      <c r="O3649" s="1">
        <v>41.111699999999999</v>
      </c>
      <c r="P3649" s="1">
        <v>-76.16</v>
      </c>
      <c r="Q3649" s="1" t="s">
        <v>8061</v>
      </c>
      <c r="R3649" s="1" t="s">
        <v>41</v>
      </c>
      <c r="T3649" s="1" t="s">
        <v>71</v>
      </c>
      <c r="U3649" s="1" t="s">
        <v>44</v>
      </c>
      <c r="X3649" s="1" t="s">
        <v>64</v>
      </c>
      <c r="AA3649" s="3">
        <v>43170</v>
      </c>
      <c r="AB3649" s="1" t="s">
        <v>46</v>
      </c>
      <c r="AC3649" s="5">
        <v>3700</v>
      </c>
      <c r="AD3649" s="1" t="s">
        <v>8063</v>
      </c>
      <c r="AE3649" s="1" t="str">
        <f t="shared" si="255"/>
        <v>59906 202</v>
      </c>
      <c r="AF3649" s="5" t="str">
        <f>MID(AD3649,FIND("(",AD3649)+1,FIND(")",AD3649)-FIND("(",AD3649)-1)</f>
        <v>535.3</v>
      </c>
      <c r="AG3649" s="1" t="str">
        <f t="shared" si="254"/>
        <v>Y</v>
      </c>
    </row>
    <row r="3650" spans="1:33" x14ac:dyDescent="0.2">
      <c r="A3650" s="1" t="s">
        <v>3095</v>
      </c>
      <c r="B3650" s="1" t="s">
        <v>8064</v>
      </c>
      <c r="C3650" s="1">
        <v>59913</v>
      </c>
      <c r="D3650" s="1" t="s">
        <v>372</v>
      </c>
      <c r="F3650" s="1">
        <v>2023</v>
      </c>
      <c r="G3650" s="1" t="s">
        <v>1515</v>
      </c>
      <c r="H3650" s="1">
        <v>1525</v>
      </c>
      <c r="I3650" s="1">
        <v>3</v>
      </c>
      <c r="K3650" s="1" t="s">
        <v>8065</v>
      </c>
      <c r="L3650" s="1" t="s">
        <v>8066</v>
      </c>
      <c r="M3650" s="1">
        <v>81</v>
      </c>
      <c r="N3650" s="1" t="s">
        <v>39</v>
      </c>
      <c r="O3650" s="1">
        <v>36.718400000000003</v>
      </c>
      <c r="P3650" s="1">
        <v>-77.652299999999997</v>
      </c>
      <c r="Q3650" s="1" t="s">
        <v>3112</v>
      </c>
      <c r="R3650" s="1" t="s">
        <v>41</v>
      </c>
      <c r="T3650" s="1" t="s">
        <v>71</v>
      </c>
      <c r="U3650" s="1" t="s">
        <v>44</v>
      </c>
      <c r="X3650" s="1" t="s">
        <v>64</v>
      </c>
      <c r="AA3650" s="3">
        <v>43323</v>
      </c>
      <c r="AB3650" s="1" t="s">
        <v>46</v>
      </c>
      <c r="AC3650" s="5">
        <v>4500</v>
      </c>
      <c r="AD3650" s="1" t="s">
        <v>8067</v>
      </c>
      <c r="AE3650" s="1" t="str">
        <f t="shared" si="255"/>
        <v>59913 1A</v>
      </c>
      <c r="AF3650" s="14">
        <f>MID(AD3650,FIND("(",AD3650)+1,FIND(")",AD3650)-FIND("(",AD3650)-1)+663.9/3</f>
        <v>591.1</v>
      </c>
      <c r="AG3650" s="1" t="str">
        <f t="shared" ref="AG3650:AG3713" si="257">IF(ISNUMBER(SEARCH("selective", X3650)), "Y", "")</f>
        <v>Y</v>
      </c>
    </row>
    <row r="3651" spans="1:33" x14ac:dyDescent="0.2">
      <c r="A3651" s="1" t="s">
        <v>3095</v>
      </c>
      <c r="B3651" s="1" t="s">
        <v>8064</v>
      </c>
      <c r="C3651" s="1">
        <v>59913</v>
      </c>
      <c r="D3651" s="1" t="s">
        <v>1199</v>
      </c>
      <c r="F3651" s="1">
        <v>2023</v>
      </c>
      <c r="G3651" s="1" t="s">
        <v>1515</v>
      </c>
      <c r="H3651" s="1">
        <v>1525</v>
      </c>
      <c r="I3651" s="1">
        <v>3</v>
      </c>
      <c r="K3651" s="1" t="s">
        <v>8065</v>
      </c>
      <c r="L3651" s="1" t="s">
        <v>8066</v>
      </c>
      <c r="M3651" s="1">
        <v>81</v>
      </c>
      <c r="N3651" s="1" t="s">
        <v>39</v>
      </c>
      <c r="O3651" s="1">
        <v>36.718400000000003</v>
      </c>
      <c r="P3651" s="1">
        <v>-77.652299999999997</v>
      </c>
      <c r="Q3651" s="1" t="s">
        <v>3112</v>
      </c>
      <c r="R3651" s="1" t="s">
        <v>41</v>
      </c>
      <c r="T3651" s="1" t="s">
        <v>71</v>
      </c>
      <c r="U3651" s="1" t="s">
        <v>44</v>
      </c>
      <c r="X3651" s="1" t="s">
        <v>64</v>
      </c>
      <c r="AA3651" s="3">
        <v>43311</v>
      </c>
      <c r="AB3651" s="1" t="s">
        <v>46</v>
      </c>
      <c r="AC3651" s="5">
        <v>4500</v>
      </c>
      <c r="AD3651" s="1" t="s">
        <v>8068</v>
      </c>
      <c r="AE3651" s="1" t="str">
        <f t="shared" ref="AE3651:AE3714" si="258">C3651&amp;" "&amp;D3651</f>
        <v>59913 1B</v>
      </c>
      <c r="AF3651" s="14">
        <f>AF3650</f>
        <v>591.1</v>
      </c>
      <c r="AG3651" s="1" t="str">
        <f t="shared" si="257"/>
        <v>Y</v>
      </c>
    </row>
    <row r="3652" spans="1:33" x14ac:dyDescent="0.2">
      <c r="A3652" s="1" t="s">
        <v>3095</v>
      </c>
      <c r="B3652" s="1" t="s">
        <v>8064</v>
      </c>
      <c r="C3652" s="1">
        <v>59913</v>
      </c>
      <c r="D3652" s="1" t="s">
        <v>3753</v>
      </c>
      <c r="F3652" s="1">
        <v>2023</v>
      </c>
      <c r="G3652" s="1" t="s">
        <v>1515</v>
      </c>
      <c r="H3652" s="1">
        <v>1525</v>
      </c>
      <c r="I3652" s="1">
        <v>3</v>
      </c>
      <c r="K3652" s="1" t="s">
        <v>8065</v>
      </c>
      <c r="L3652" s="1" t="s">
        <v>8066</v>
      </c>
      <c r="M3652" s="1">
        <v>81</v>
      </c>
      <c r="N3652" s="1" t="s">
        <v>39</v>
      </c>
      <c r="O3652" s="1">
        <v>36.718400000000003</v>
      </c>
      <c r="P3652" s="1">
        <v>-77.652299999999997</v>
      </c>
      <c r="Q3652" s="1" t="s">
        <v>3112</v>
      </c>
      <c r="R3652" s="1" t="s">
        <v>41</v>
      </c>
      <c r="T3652" s="1" t="s">
        <v>71</v>
      </c>
      <c r="U3652" s="1" t="s">
        <v>44</v>
      </c>
      <c r="X3652" s="1" t="s">
        <v>64</v>
      </c>
      <c r="AA3652" s="3">
        <v>43301</v>
      </c>
      <c r="AB3652" s="1" t="s">
        <v>46</v>
      </c>
      <c r="AC3652" s="5">
        <v>4500</v>
      </c>
      <c r="AD3652" s="1" t="s">
        <v>8069</v>
      </c>
      <c r="AE3652" s="1" t="str">
        <f t="shared" si="258"/>
        <v>59913 1C</v>
      </c>
      <c r="AF3652" s="14">
        <f>AF3650</f>
        <v>591.1</v>
      </c>
      <c r="AG3652" s="1" t="str">
        <f t="shared" si="257"/>
        <v>Y</v>
      </c>
    </row>
    <row r="3653" spans="1:33" x14ac:dyDescent="0.2">
      <c r="A3653" s="1" t="s">
        <v>1621</v>
      </c>
      <c r="B3653" s="1" t="s">
        <v>8070</v>
      </c>
      <c r="C3653" s="1">
        <v>59926</v>
      </c>
      <c r="D3653" s="1" t="s">
        <v>8071</v>
      </c>
      <c r="F3653" s="1">
        <v>2023</v>
      </c>
      <c r="G3653" s="1" t="s">
        <v>461</v>
      </c>
      <c r="H3653" s="1">
        <v>609685</v>
      </c>
      <c r="I3653" s="1">
        <v>5</v>
      </c>
      <c r="K3653" s="1" t="s">
        <v>5622</v>
      </c>
      <c r="L3653" s="1" t="s">
        <v>5623</v>
      </c>
      <c r="M3653" s="1">
        <v>137</v>
      </c>
      <c r="N3653" s="1" t="s">
        <v>39</v>
      </c>
      <c r="O3653" s="1">
        <v>45.062399999999997</v>
      </c>
      <c r="P3653" s="1">
        <v>-84.826099999999997</v>
      </c>
      <c r="Q3653" s="1" t="s">
        <v>4569</v>
      </c>
      <c r="R3653" s="1" t="s">
        <v>41</v>
      </c>
      <c r="T3653" s="1" t="s">
        <v>93</v>
      </c>
      <c r="U3653" s="1" t="s">
        <v>44</v>
      </c>
      <c r="X3653" s="1" t="s">
        <v>140</v>
      </c>
      <c r="AA3653" s="3">
        <v>42534</v>
      </c>
      <c r="AB3653" s="1" t="s">
        <v>46</v>
      </c>
      <c r="AC3653" s="5">
        <v>2200</v>
      </c>
      <c r="AD3653" s="1" t="s">
        <v>8072</v>
      </c>
      <c r="AE3653" s="1" t="str">
        <f t="shared" si="258"/>
        <v>59926 AL1</v>
      </c>
      <c r="AF3653" s="5" t="str">
        <f>MID(AD3653,FIND("(",AD3653)+1,FIND(")",AD3653)-FIND("(",AD3653)-1)</f>
        <v>216</v>
      </c>
      <c r="AG3653" s="1" t="str">
        <f t="shared" si="257"/>
        <v/>
      </c>
    </row>
    <row r="3654" spans="1:33" x14ac:dyDescent="0.2">
      <c r="A3654" s="1" t="s">
        <v>1621</v>
      </c>
      <c r="B3654" s="1" t="s">
        <v>8070</v>
      </c>
      <c r="C3654" s="1">
        <v>59926</v>
      </c>
      <c r="D3654" s="1" t="s">
        <v>8073</v>
      </c>
      <c r="F3654" s="1">
        <v>2023</v>
      </c>
      <c r="G3654" s="1" t="s">
        <v>461</v>
      </c>
      <c r="H3654" s="1">
        <v>609685</v>
      </c>
      <c r="I3654" s="1">
        <v>5</v>
      </c>
      <c r="K3654" s="1" t="s">
        <v>5622</v>
      </c>
      <c r="L3654" s="1" t="s">
        <v>5623</v>
      </c>
      <c r="M3654" s="1">
        <v>137</v>
      </c>
      <c r="N3654" s="1" t="s">
        <v>39</v>
      </c>
      <c r="O3654" s="1">
        <v>45.062399999999997</v>
      </c>
      <c r="P3654" s="1">
        <v>-84.826099999999997</v>
      </c>
      <c r="Q3654" s="1" t="s">
        <v>4569</v>
      </c>
      <c r="R3654" s="1" t="s">
        <v>41</v>
      </c>
      <c r="T3654" s="1" t="s">
        <v>93</v>
      </c>
      <c r="U3654" s="1" t="s">
        <v>44</v>
      </c>
      <c r="X3654" s="1" t="s">
        <v>140</v>
      </c>
      <c r="AA3654" s="3">
        <v>42513</v>
      </c>
      <c r="AB3654" s="1" t="s">
        <v>46</v>
      </c>
      <c r="AC3654" s="5">
        <v>2200</v>
      </c>
      <c r="AD3654" s="1" t="s">
        <v>8074</v>
      </c>
      <c r="AE3654" s="1" t="str">
        <f t="shared" si="258"/>
        <v>59926 AL2</v>
      </c>
      <c r="AF3654" s="5" t="str">
        <f>MID(AD3654,FIND("(",AD3654)+1,FIND(")",AD3654)-FIND("(",AD3654)-1)</f>
        <v>216</v>
      </c>
      <c r="AG3654" s="1" t="str">
        <f t="shared" si="257"/>
        <v/>
      </c>
    </row>
    <row r="3655" spans="1:33" x14ac:dyDescent="0.2">
      <c r="A3655" s="1" t="s">
        <v>383</v>
      </c>
      <c r="B3655" s="1" t="s">
        <v>8075</v>
      </c>
      <c r="C3655" s="1">
        <v>60122</v>
      </c>
      <c r="D3655" s="1" t="s">
        <v>109</v>
      </c>
      <c r="F3655" s="1">
        <v>2023</v>
      </c>
      <c r="G3655" s="1" t="s">
        <v>346</v>
      </c>
      <c r="H3655" s="1">
        <v>606830</v>
      </c>
      <c r="I3655" s="1">
        <v>6</v>
      </c>
      <c r="K3655" s="1" t="s">
        <v>5043</v>
      </c>
      <c r="L3655" s="1" t="s">
        <v>5044</v>
      </c>
      <c r="M3655" s="1">
        <v>481</v>
      </c>
      <c r="N3655" s="1" t="s">
        <v>39</v>
      </c>
      <c r="O3655" s="1">
        <v>29.287800000000001</v>
      </c>
      <c r="P3655" s="1">
        <v>-96.065600000000003</v>
      </c>
      <c r="Q3655" s="1" t="s">
        <v>8076</v>
      </c>
      <c r="R3655" s="1" t="s">
        <v>41</v>
      </c>
      <c r="T3655" s="1" t="s">
        <v>71</v>
      </c>
      <c r="U3655" s="1" t="s">
        <v>44</v>
      </c>
      <c r="X3655" s="1" t="s">
        <v>2111</v>
      </c>
      <c r="AA3655" s="3">
        <v>42776</v>
      </c>
      <c r="AB3655" s="1" t="s">
        <v>46</v>
      </c>
      <c r="AC3655" s="5">
        <v>4564</v>
      </c>
      <c r="AD3655" s="1" t="s">
        <v>8077</v>
      </c>
      <c r="AE3655" s="1" t="str">
        <f t="shared" si="258"/>
        <v>60122 CT7</v>
      </c>
      <c r="AF3655" s="14">
        <f>AF3656</f>
        <v>683.5</v>
      </c>
      <c r="AG3655" s="1" t="str">
        <f t="shared" si="257"/>
        <v>Y</v>
      </c>
    </row>
    <row r="3656" spans="1:33" x14ac:dyDescent="0.2">
      <c r="A3656" s="1" t="s">
        <v>383</v>
      </c>
      <c r="B3656" s="1" t="s">
        <v>8075</v>
      </c>
      <c r="C3656" s="1">
        <v>60122</v>
      </c>
      <c r="D3656" s="1" t="s">
        <v>111</v>
      </c>
      <c r="F3656" s="1">
        <v>2023</v>
      </c>
      <c r="G3656" s="1" t="s">
        <v>346</v>
      </c>
      <c r="H3656" s="1">
        <v>606830</v>
      </c>
      <c r="I3656" s="1">
        <v>6</v>
      </c>
      <c r="K3656" s="1" t="s">
        <v>5043</v>
      </c>
      <c r="L3656" s="1" t="s">
        <v>5044</v>
      </c>
      <c r="M3656" s="1">
        <v>481</v>
      </c>
      <c r="N3656" s="1" t="s">
        <v>39</v>
      </c>
      <c r="O3656" s="1">
        <v>29.287800000000001</v>
      </c>
      <c r="P3656" s="1">
        <v>-96.065600000000003</v>
      </c>
      <c r="Q3656" s="1" t="s">
        <v>8076</v>
      </c>
      <c r="R3656" s="1" t="s">
        <v>41</v>
      </c>
      <c r="T3656" s="1" t="s">
        <v>71</v>
      </c>
      <c r="U3656" s="1" t="s">
        <v>44</v>
      </c>
      <c r="X3656" s="1" t="s">
        <v>2111</v>
      </c>
      <c r="AA3656" s="3">
        <v>42796</v>
      </c>
      <c r="AB3656" s="1" t="s">
        <v>46</v>
      </c>
      <c r="AC3656" s="5">
        <v>4564</v>
      </c>
      <c r="AD3656" s="1" t="s">
        <v>8078</v>
      </c>
      <c r="AE3656" s="1" t="str">
        <f t="shared" si="258"/>
        <v>60122 CT8</v>
      </c>
      <c r="AF3656" s="14">
        <f>MID(AD3656,FIND("(",AD3656)+1,FIND(")",AD3656)-FIND("(",AD3656)-1)+565/2</f>
        <v>683.5</v>
      </c>
      <c r="AG3656" s="1" t="str">
        <f t="shared" si="257"/>
        <v>Y</v>
      </c>
    </row>
    <row r="3657" spans="1:33" x14ac:dyDescent="0.2">
      <c r="A3657" s="1" t="s">
        <v>383</v>
      </c>
      <c r="B3657" s="1" t="s">
        <v>8079</v>
      </c>
      <c r="C3657" s="1">
        <v>60264</v>
      </c>
      <c r="D3657" s="1" t="s">
        <v>8080</v>
      </c>
      <c r="F3657" s="1">
        <v>2023</v>
      </c>
      <c r="G3657" s="1" t="s">
        <v>346</v>
      </c>
      <c r="H3657" s="1" t="s">
        <v>8081</v>
      </c>
      <c r="I3657" s="1">
        <v>6</v>
      </c>
      <c r="K3657" s="1" t="s">
        <v>5240</v>
      </c>
      <c r="L3657" s="1" t="s">
        <v>5241</v>
      </c>
      <c r="M3657" s="1">
        <v>167</v>
      </c>
      <c r="N3657" s="1" t="s">
        <v>39</v>
      </c>
      <c r="O3657" s="1">
        <v>29.4922</v>
      </c>
      <c r="P3657" s="1">
        <v>-94.984399999999994</v>
      </c>
      <c r="Q3657" s="1" t="s">
        <v>8082</v>
      </c>
      <c r="R3657" s="1" t="s">
        <v>41</v>
      </c>
      <c r="T3657" s="1" t="s">
        <v>93</v>
      </c>
      <c r="U3657" s="1" t="s">
        <v>44</v>
      </c>
      <c r="X3657" s="1" t="s">
        <v>140</v>
      </c>
      <c r="AA3657" s="3">
        <v>42701</v>
      </c>
      <c r="AB3657" s="1" t="s">
        <v>46</v>
      </c>
      <c r="AC3657" s="5">
        <v>921.7</v>
      </c>
      <c r="AD3657" s="1" t="s">
        <v>8083</v>
      </c>
      <c r="AE3657" s="1" t="str">
        <f t="shared" si="258"/>
        <v>60264 BCGT1</v>
      </c>
      <c r="AF3657" s="5" t="str">
        <f t="shared" ref="AF3657:AF3662" si="259">MID(AD3657,FIND("(",AD3657)+1,FIND(")",AD3657)-FIND("(",AD3657)-1)</f>
        <v>71.2</v>
      </c>
      <c r="AG3657" s="1" t="str">
        <f t="shared" si="257"/>
        <v/>
      </c>
    </row>
    <row r="3658" spans="1:33" x14ac:dyDescent="0.2">
      <c r="A3658" s="1" t="s">
        <v>383</v>
      </c>
      <c r="B3658" s="1" t="s">
        <v>8079</v>
      </c>
      <c r="C3658" s="1">
        <v>60264</v>
      </c>
      <c r="D3658" s="1" t="s">
        <v>8084</v>
      </c>
      <c r="F3658" s="1">
        <v>2023</v>
      </c>
      <c r="G3658" s="1" t="s">
        <v>346</v>
      </c>
      <c r="H3658" s="1" t="s">
        <v>8081</v>
      </c>
      <c r="I3658" s="1">
        <v>6</v>
      </c>
      <c r="K3658" s="1" t="s">
        <v>5240</v>
      </c>
      <c r="L3658" s="1" t="s">
        <v>5241</v>
      </c>
      <c r="M3658" s="1">
        <v>167</v>
      </c>
      <c r="N3658" s="1" t="s">
        <v>39</v>
      </c>
      <c r="O3658" s="1">
        <v>29.4922</v>
      </c>
      <c r="P3658" s="1">
        <v>-94.984399999999994</v>
      </c>
      <c r="Q3658" s="1" t="s">
        <v>8082</v>
      </c>
      <c r="R3658" s="1" t="s">
        <v>41</v>
      </c>
      <c r="T3658" s="1" t="s">
        <v>93</v>
      </c>
      <c r="U3658" s="1" t="s">
        <v>44</v>
      </c>
      <c r="X3658" s="1" t="s">
        <v>140</v>
      </c>
      <c r="AA3658" s="3">
        <v>42701</v>
      </c>
      <c r="AB3658" s="1" t="s">
        <v>46</v>
      </c>
      <c r="AC3658" s="5">
        <v>921.7</v>
      </c>
      <c r="AD3658" s="1" t="s">
        <v>8085</v>
      </c>
      <c r="AE3658" s="1" t="str">
        <f t="shared" si="258"/>
        <v>60264 BCGT2</v>
      </c>
      <c r="AF3658" s="5" t="str">
        <f t="shared" si="259"/>
        <v>71.2</v>
      </c>
      <c r="AG3658" s="1" t="str">
        <f t="shared" si="257"/>
        <v/>
      </c>
    </row>
    <row r="3659" spans="1:33" x14ac:dyDescent="0.2">
      <c r="A3659" s="1" t="s">
        <v>383</v>
      </c>
      <c r="B3659" s="1" t="s">
        <v>8079</v>
      </c>
      <c r="C3659" s="1">
        <v>60264</v>
      </c>
      <c r="D3659" s="1" t="s">
        <v>8086</v>
      </c>
      <c r="F3659" s="1">
        <v>2023</v>
      </c>
      <c r="G3659" s="1" t="s">
        <v>346</v>
      </c>
      <c r="H3659" s="1" t="s">
        <v>8081</v>
      </c>
      <c r="I3659" s="1">
        <v>6</v>
      </c>
      <c r="K3659" s="1" t="s">
        <v>5240</v>
      </c>
      <c r="L3659" s="1" t="s">
        <v>5241</v>
      </c>
      <c r="M3659" s="1">
        <v>167</v>
      </c>
      <c r="N3659" s="1" t="s">
        <v>39</v>
      </c>
      <c r="O3659" s="1">
        <v>29.4922</v>
      </c>
      <c r="P3659" s="1">
        <v>-94.984399999999994</v>
      </c>
      <c r="Q3659" s="1" t="s">
        <v>8082</v>
      </c>
      <c r="R3659" s="1" t="s">
        <v>41</v>
      </c>
      <c r="T3659" s="1" t="s">
        <v>93</v>
      </c>
      <c r="U3659" s="1" t="s">
        <v>44</v>
      </c>
      <c r="X3659" s="1" t="s">
        <v>140</v>
      </c>
      <c r="AA3659" s="3">
        <v>42739</v>
      </c>
      <c r="AB3659" s="1" t="s">
        <v>46</v>
      </c>
      <c r="AC3659" s="5">
        <v>921.7</v>
      </c>
      <c r="AD3659" s="1" t="s">
        <v>8087</v>
      </c>
      <c r="AE3659" s="1" t="str">
        <f t="shared" si="258"/>
        <v>60264 BCGT3</v>
      </c>
      <c r="AF3659" s="5" t="str">
        <f t="shared" si="259"/>
        <v>71.2</v>
      </c>
      <c r="AG3659" s="1" t="str">
        <f t="shared" si="257"/>
        <v/>
      </c>
    </row>
    <row r="3660" spans="1:33" x14ac:dyDescent="0.2">
      <c r="A3660" s="1" t="s">
        <v>383</v>
      </c>
      <c r="B3660" s="1" t="s">
        <v>8079</v>
      </c>
      <c r="C3660" s="1">
        <v>60264</v>
      </c>
      <c r="D3660" s="1" t="s">
        <v>8088</v>
      </c>
      <c r="F3660" s="1">
        <v>2023</v>
      </c>
      <c r="G3660" s="1" t="s">
        <v>346</v>
      </c>
      <c r="H3660" s="1" t="s">
        <v>8081</v>
      </c>
      <c r="I3660" s="1">
        <v>6</v>
      </c>
      <c r="K3660" s="1" t="s">
        <v>5240</v>
      </c>
      <c r="L3660" s="1" t="s">
        <v>5241</v>
      </c>
      <c r="M3660" s="1">
        <v>167</v>
      </c>
      <c r="N3660" s="1" t="s">
        <v>39</v>
      </c>
      <c r="O3660" s="1">
        <v>29.4922</v>
      </c>
      <c r="P3660" s="1">
        <v>-94.984399999999994</v>
      </c>
      <c r="Q3660" s="1" t="s">
        <v>8082</v>
      </c>
      <c r="R3660" s="1" t="s">
        <v>41</v>
      </c>
      <c r="T3660" s="1" t="s">
        <v>93</v>
      </c>
      <c r="U3660" s="1" t="s">
        <v>44</v>
      </c>
      <c r="X3660" s="1" t="s">
        <v>140</v>
      </c>
      <c r="AA3660" s="3">
        <v>42740</v>
      </c>
      <c r="AB3660" s="1" t="s">
        <v>46</v>
      </c>
      <c r="AC3660" s="5">
        <v>921.7</v>
      </c>
      <c r="AD3660" s="1" t="s">
        <v>8089</v>
      </c>
      <c r="AE3660" s="1" t="str">
        <f t="shared" si="258"/>
        <v>60264 BCGT4</v>
      </c>
      <c r="AF3660" s="5" t="str">
        <f t="shared" si="259"/>
        <v>71.2</v>
      </c>
      <c r="AG3660" s="1" t="str">
        <f t="shared" si="257"/>
        <v/>
      </c>
    </row>
    <row r="3661" spans="1:33" x14ac:dyDescent="0.2">
      <c r="A3661" s="1" t="s">
        <v>383</v>
      </c>
      <c r="B3661" s="1" t="s">
        <v>8079</v>
      </c>
      <c r="C3661" s="1">
        <v>60264</v>
      </c>
      <c r="D3661" s="1" t="s">
        <v>8090</v>
      </c>
      <c r="F3661" s="1">
        <v>2023</v>
      </c>
      <c r="G3661" s="1" t="s">
        <v>346</v>
      </c>
      <c r="H3661" s="1" t="s">
        <v>8081</v>
      </c>
      <c r="I3661" s="1">
        <v>6</v>
      </c>
      <c r="K3661" s="1" t="s">
        <v>5240</v>
      </c>
      <c r="L3661" s="1" t="s">
        <v>5241</v>
      </c>
      <c r="M3661" s="1">
        <v>167</v>
      </c>
      <c r="N3661" s="1" t="s">
        <v>39</v>
      </c>
      <c r="O3661" s="1">
        <v>29.4922</v>
      </c>
      <c r="P3661" s="1">
        <v>-94.984399999999994</v>
      </c>
      <c r="Q3661" s="1" t="s">
        <v>8082</v>
      </c>
      <c r="R3661" s="1" t="s">
        <v>41</v>
      </c>
      <c r="T3661" s="1" t="s">
        <v>93</v>
      </c>
      <c r="U3661" s="1" t="s">
        <v>44</v>
      </c>
      <c r="X3661" s="1" t="s">
        <v>140</v>
      </c>
      <c r="AA3661" s="3">
        <v>42767</v>
      </c>
      <c r="AB3661" s="1" t="s">
        <v>46</v>
      </c>
      <c r="AC3661" s="5">
        <v>921.7</v>
      </c>
      <c r="AD3661" s="1" t="s">
        <v>8091</v>
      </c>
      <c r="AE3661" s="1" t="str">
        <f t="shared" si="258"/>
        <v>60264 BCGT5</v>
      </c>
      <c r="AF3661" s="5" t="str">
        <f t="shared" si="259"/>
        <v>71.2</v>
      </c>
      <c r="AG3661" s="1" t="str">
        <f t="shared" si="257"/>
        <v/>
      </c>
    </row>
    <row r="3662" spans="1:33" x14ac:dyDescent="0.2">
      <c r="A3662" s="1" t="s">
        <v>383</v>
      </c>
      <c r="B3662" s="1" t="s">
        <v>8079</v>
      </c>
      <c r="C3662" s="1">
        <v>60264</v>
      </c>
      <c r="D3662" s="1" t="s">
        <v>8092</v>
      </c>
      <c r="F3662" s="1">
        <v>2023</v>
      </c>
      <c r="G3662" s="1" t="s">
        <v>346</v>
      </c>
      <c r="H3662" s="1" t="s">
        <v>8081</v>
      </c>
      <c r="I3662" s="1">
        <v>6</v>
      </c>
      <c r="K3662" s="1" t="s">
        <v>5240</v>
      </c>
      <c r="L3662" s="1" t="s">
        <v>5241</v>
      </c>
      <c r="M3662" s="1">
        <v>167</v>
      </c>
      <c r="N3662" s="1" t="s">
        <v>39</v>
      </c>
      <c r="O3662" s="1">
        <v>29.4922</v>
      </c>
      <c r="P3662" s="1">
        <v>-94.984399999999994</v>
      </c>
      <c r="Q3662" s="1" t="s">
        <v>8082</v>
      </c>
      <c r="R3662" s="1" t="s">
        <v>41</v>
      </c>
      <c r="T3662" s="1" t="s">
        <v>93</v>
      </c>
      <c r="U3662" s="1" t="s">
        <v>44</v>
      </c>
      <c r="X3662" s="1" t="s">
        <v>140</v>
      </c>
      <c r="AA3662" s="3">
        <v>42776</v>
      </c>
      <c r="AB3662" s="1" t="s">
        <v>46</v>
      </c>
      <c r="AC3662" s="5">
        <v>921.7</v>
      </c>
      <c r="AD3662" s="1" t="s">
        <v>8093</v>
      </c>
      <c r="AE3662" s="1" t="str">
        <f t="shared" si="258"/>
        <v>60264 BCGT6</v>
      </c>
      <c r="AF3662" s="5" t="str">
        <f t="shared" si="259"/>
        <v>71.2</v>
      </c>
      <c r="AG3662" s="1" t="str">
        <f t="shared" si="257"/>
        <v/>
      </c>
    </row>
    <row r="3663" spans="1:33" x14ac:dyDescent="0.2">
      <c r="A3663" s="1" t="s">
        <v>680</v>
      </c>
      <c r="B3663" s="1" t="s">
        <v>8094</v>
      </c>
      <c r="C3663" s="1">
        <v>60302</v>
      </c>
      <c r="D3663" s="1">
        <v>11</v>
      </c>
      <c r="F3663" s="1">
        <v>2023</v>
      </c>
      <c r="G3663" s="1" t="s">
        <v>1515</v>
      </c>
      <c r="H3663" s="1" t="s">
        <v>8095</v>
      </c>
      <c r="I3663" s="1">
        <v>3</v>
      </c>
      <c r="K3663" s="1" t="s">
        <v>1538</v>
      </c>
      <c r="L3663" s="1" t="s">
        <v>1539</v>
      </c>
      <c r="M3663" s="1">
        <v>33</v>
      </c>
      <c r="N3663" s="1" t="s">
        <v>39</v>
      </c>
      <c r="O3663" s="1">
        <v>38.695500000000003</v>
      </c>
      <c r="P3663" s="1">
        <v>-76.827799999999996</v>
      </c>
      <c r="Q3663" s="1" t="s">
        <v>8096</v>
      </c>
      <c r="R3663" s="1" t="s">
        <v>41</v>
      </c>
      <c r="T3663" s="1" t="s">
        <v>71</v>
      </c>
      <c r="U3663" s="1" t="s">
        <v>44</v>
      </c>
      <c r="X3663" s="1" t="s">
        <v>223</v>
      </c>
      <c r="AA3663" s="3">
        <v>43238</v>
      </c>
      <c r="AB3663" s="1" t="s">
        <v>46</v>
      </c>
      <c r="AC3663" s="5">
        <v>3100</v>
      </c>
      <c r="AD3663" s="1" t="s">
        <v>8097</v>
      </c>
      <c r="AE3663" s="1" t="str">
        <f t="shared" si="258"/>
        <v>60302 11</v>
      </c>
      <c r="AF3663" s="14">
        <f>MID(AD3663,FIND("(",AD3663)+1,FIND(")",AD3663)-FIND("(",AD3663)-1)+359/2</f>
        <v>414.5</v>
      </c>
      <c r="AG3663" s="1" t="str">
        <f t="shared" si="257"/>
        <v>Y</v>
      </c>
    </row>
    <row r="3664" spans="1:33" x14ac:dyDescent="0.2">
      <c r="A3664" s="1" t="s">
        <v>680</v>
      </c>
      <c r="B3664" s="1" t="s">
        <v>8094</v>
      </c>
      <c r="C3664" s="1">
        <v>60302</v>
      </c>
      <c r="D3664" s="1">
        <v>12</v>
      </c>
      <c r="F3664" s="1">
        <v>2023</v>
      </c>
      <c r="G3664" s="1" t="s">
        <v>1515</v>
      </c>
      <c r="H3664" s="1" t="s">
        <v>8095</v>
      </c>
      <c r="I3664" s="1">
        <v>3</v>
      </c>
      <c r="K3664" s="1" t="s">
        <v>1538</v>
      </c>
      <c r="L3664" s="1" t="s">
        <v>1539</v>
      </c>
      <c r="M3664" s="1">
        <v>33</v>
      </c>
      <c r="N3664" s="1" t="s">
        <v>39</v>
      </c>
      <c r="O3664" s="1">
        <v>38.695500000000003</v>
      </c>
      <c r="P3664" s="1">
        <v>-76.827799999999996</v>
      </c>
      <c r="Q3664" s="1" t="s">
        <v>8096</v>
      </c>
      <c r="R3664" s="1" t="s">
        <v>41</v>
      </c>
      <c r="T3664" s="1" t="s">
        <v>71</v>
      </c>
      <c r="U3664" s="1" t="s">
        <v>44</v>
      </c>
      <c r="X3664" s="1" t="s">
        <v>1606</v>
      </c>
      <c r="AA3664" s="3">
        <v>43253</v>
      </c>
      <c r="AB3664" s="1" t="s">
        <v>46</v>
      </c>
      <c r="AC3664" s="5">
        <v>3100</v>
      </c>
      <c r="AD3664" s="1" t="s">
        <v>8098</v>
      </c>
      <c r="AE3664" s="1" t="str">
        <f t="shared" si="258"/>
        <v>60302 12</v>
      </c>
      <c r="AF3664" s="14">
        <f>AF3663</f>
        <v>414.5</v>
      </c>
      <c r="AG3664" s="1" t="str">
        <f t="shared" si="257"/>
        <v/>
      </c>
    </row>
    <row r="3665" spans="1:33" x14ac:dyDescent="0.2">
      <c r="A3665" s="1" t="s">
        <v>921</v>
      </c>
      <c r="B3665" s="1" t="s">
        <v>8099</v>
      </c>
      <c r="C3665" s="1">
        <v>60340</v>
      </c>
      <c r="D3665" s="1" t="s">
        <v>8100</v>
      </c>
      <c r="F3665" s="1">
        <v>2023</v>
      </c>
      <c r="G3665" s="1" t="s">
        <v>952</v>
      </c>
      <c r="H3665" s="1">
        <v>606650</v>
      </c>
      <c r="I3665" s="1">
        <v>4</v>
      </c>
      <c r="K3665" s="1" t="s">
        <v>8101</v>
      </c>
      <c r="L3665" s="1" t="s">
        <v>8102</v>
      </c>
      <c r="M3665" s="1">
        <v>95</v>
      </c>
      <c r="N3665" s="1" t="s">
        <v>1680</v>
      </c>
      <c r="O3665" s="1">
        <v>31.549199999999999</v>
      </c>
      <c r="P3665" s="1">
        <v>-84.111400000000003</v>
      </c>
      <c r="Q3665" s="1" t="s">
        <v>8103</v>
      </c>
      <c r="R3665" s="1" t="s">
        <v>41</v>
      </c>
      <c r="T3665" s="1" t="s">
        <v>885</v>
      </c>
      <c r="U3665" s="1" t="s">
        <v>657</v>
      </c>
      <c r="V3665" s="1" t="s">
        <v>4870</v>
      </c>
      <c r="W3665" s="1" t="s">
        <v>1009</v>
      </c>
      <c r="X3665" s="1" t="s">
        <v>669</v>
      </c>
      <c r="Y3665" s="1" t="s">
        <v>232</v>
      </c>
      <c r="AA3665" s="3">
        <v>42875</v>
      </c>
      <c r="AB3665" s="1" t="s">
        <v>46</v>
      </c>
      <c r="AC3665" s="5">
        <v>1209</v>
      </c>
      <c r="AD3665" s="1" t="s">
        <v>659</v>
      </c>
      <c r="AE3665" s="1" t="str">
        <f t="shared" si="258"/>
        <v>60340 B0004</v>
      </c>
      <c r="AF3665" s="5" t="str">
        <f>MID(AD3665,FIND("(",AD3665)+1,FIND(")",AD3665)-FIND("(",AD3665)-1)</f>
        <v>50</v>
      </c>
      <c r="AG3665" s="1" t="str">
        <f t="shared" si="257"/>
        <v>Y</v>
      </c>
    </row>
    <row r="3666" spans="1:33" x14ac:dyDescent="0.2">
      <c r="A3666" s="1" t="s">
        <v>304</v>
      </c>
      <c r="B3666" s="1" t="s">
        <v>8104</v>
      </c>
      <c r="C3666" s="1">
        <v>60345</v>
      </c>
      <c r="D3666" s="1" t="s">
        <v>8105</v>
      </c>
      <c r="F3666" s="1">
        <v>2023</v>
      </c>
      <c r="G3666" s="1" t="s">
        <v>312</v>
      </c>
      <c r="H3666" s="1">
        <v>606322</v>
      </c>
      <c r="I3666" s="1">
        <v>4</v>
      </c>
      <c r="K3666" s="1" t="s">
        <v>8106</v>
      </c>
      <c r="L3666" s="1" t="s">
        <v>8107</v>
      </c>
      <c r="M3666" s="1">
        <v>93</v>
      </c>
      <c r="N3666" s="1" t="s">
        <v>39</v>
      </c>
      <c r="O3666" s="1">
        <v>27.6342</v>
      </c>
      <c r="P3666" s="1">
        <v>-80.7911</v>
      </c>
      <c r="Q3666" s="1" t="s">
        <v>702</v>
      </c>
      <c r="R3666" s="1" t="s">
        <v>41</v>
      </c>
      <c r="T3666" s="1" t="s">
        <v>71</v>
      </c>
      <c r="U3666" s="1" t="s">
        <v>44</v>
      </c>
      <c r="V3666" s="1" t="s">
        <v>450</v>
      </c>
      <c r="X3666" s="1" t="s">
        <v>64</v>
      </c>
      <c r="AA3666" s="3">
        <v>43366</v>
      </c>
      <c r="AB3666" s="1" t="s">
        <v>46</v>
      </c>
      <c r="AC3666" s="5">
        <v>3681</v>
      </c>
      <c r="AD3666" s="1" t="s">
        <v>8108</v>
      </c>
      <c r="AE3666" s="1" t="str">
        <f t="shared" si="258"/>
        <v>60345 OCEC1A</v>
      </c>
      <c r="AF3666" s="14">
        <f>MID(AD3666,FIND("(",AD3666)+1,FIND(")",AD3666)-FIND("(",AD3666)-1)+593.3/3</f>
        <v>574.36666666666667</v>
      </c>
      <c r="AG3666" s="1" t="str">
        <f t="shared" si="257"/>
        <v>Y</v>
      </c>
    </row>
    <row r="3667" spans="1:33" x14ac:dyDescent="0.2">
      <c r="A3667" s="1" t="s">
        <v>304</v>
      </c>
      <c r="B3667" s="1" t="s">
        <v>8104</v>
      </c>
      <c r="C3667" s="1">
        <v>60345</v>
      </c>
      <c r="D3667" s="1" t="s">
        <v>8109</v>
      </c>
      <c r="F3667" s="1">
        <v>2023</v>
      </c>
      <c r="G3667" s="1" t="s">
        <v>312</v>
      </c>
      <c r="H3667" s="1">
        <v>606322</v>
      </c>
      <c r="I3667" s="1">
        <v>4</v>
      </c>
      <c r="K3667" s="1" t="s">
        <v>8106</v>
      </c>
      <c r="L3667" s="1" t="s">
        <v>8107</v>
      </c>
      <c r="M3667" s="1">
        <v>93</v>
      </c>
      <c r="N3667" s="1" t="s">
        <v>39</v>
      </c>
      <c r="O3667" s="1">
        <v>27.6342</v>
      </c>
      <c r="P3667" s="1">
        <v>-80.7911</v>
      </c>
      <c r="Q3667" s="1" t="s">
        <v>702</v>
      </c>
      <c r="R3667" s="1" t="s">
        <v>41</v>
      </c>
      <c r="T3667" s="1" t="s">
        <v>71</v>
      </c>
      <c r="U3667" s="1" t="s">
        <v>44</v>
      </c>
      <c r="V3667" s="1" t="s">
        <v>94</v>
      </c>
      <c r="X3667" s="1" t="s">
        <v>64</v>
      </c>
      <c r="AA3667" s="3">
        <v>43383</v>
      </c>
      <c r="AB3667" s="1" t="s">
        <v>46</v>
      </c>
      <c r="AC3667" s="5">
        <v>3681</v>
      </c>
      <c r="AD3667" s="1" t="s">
        <v>8110</v>
      </c>
      <c r="AE3667" s="1" t="str">
        <f t="shared" si="258"/>
        <v>60345 OCEC1B</v>
      </c>
      <c r="AF3667" s="14">
        <f>AF3666</f>
        <v>574.36666666666667</v>
      </c>
      <c r="AG3667" s="1" t="str">
        <f t="shared" si="257"/>
        <v>Y</v>
      </c>
    </row>
    <row r="3668" spans="1:33" x14ac:dyDescent="0.2">
      <c r="A3668" s="1" t="s">
        <v>304</v>
      </c>
      <c r="B3668" s="1" t="s">
        <v>8104</v>
      </c>
      <c r="C3668" s="1">
        <v>60345</v>
      </c>
      <c r="D3668" s="1" t="s">
        <v>8111</v>
      </c>
      <c r="F3668" s="1">
        <v>2023</v>
      </c>
      <c r="G3668" s="1" t="s">
        <v>312</v>
      </c>
      <c r="H3668" s="1">
        <v>606322</v>
      </c>
      <c r="I3668" s="1">
        <v>4</v>
      </c>
      <c r="K3668" s="1" t="s">
        <v>8106</v>
      </c>
      <c r="L3668" s="1" t="s">
        <v>8107</v>
      </c>
      <c r="M3668" s="1">
        <v>93</v>
      </c>
      <c r="N3668" s="1" t="s">
        <v>39</v>
      </c>
      <c r="O3668" s="1">
        <v>27.6342</v>
      </c>
      <c r="P3668" s="1">
        <v>-80.7911</v>
      </c>
      <c r="Q3668" s="1" t="s">
        <v>702</v>
      </c>
      <c r="R3668" s="1" t="s">
        <v>41</v>
      </c>
      <c r="T3668" s="1" t="s">
        <v>71</v>
      </c>
      <c r="U3668" s="1" t="s">
        <v>44</v>
      </c>
      <c r="V3668" s="1" t="s">
        <v>94</v>
      </c>
      <c r="X3668" s="1" t="s">
        <v>64</v>
      </c>
      <c r="AA3668" s="3">
        <v>43403</v>
      </c>
      <c r="AB3668" s="1" t="s">
        <v>46</v>
      </c>
      <c r="AC3668" s="5">
        <v>3681</v>
      </c>
      <c r="AD3668" s="1" t="s">
        <v>8112</v>
      </c>
      <c r="AE3668" s="1" t="str">
        <f t="shared" si="258"/>
        <v>60345 OCEC1C</v>
      </c>
      <c r="AF3668" s="14">
        <f>AF3667</f>
        <v>574.36666666666667</v>
      </c>
      <c r="AG3668" s="1" t="str">
        <f t="shared" si="257"/>
        <v>Y</v>
      </c>
    </row>
    <row r="3669" spans="1:33" x14ac:dyDescent="0.2">
      <c r="A3669" s="1" t="s">
        <v>2430</v>
      </c>
      <c r="B3669" s="1" t="s">
        <v>8113</v>
      </c>
      <c r="C3669" s="1">
        <v>60356</v>
      </c>
      <c r="D3669" s="1">
        <v>1</v>
      </c>
      <c r="F3669" s="1">
        <v>2023</v>
      </c>
      <c r="G3669" s="1" t="s">
        <v>6843</v>
      </c>
      <c r="H3669" s="1">
        <v>608730</v>
      </c>
      <c r="I3669" s="1">
        <v>5</v>
      </c>
      <c r="K3669" s="1" t="s">
        <v>8114</v>
      </c>
      <c r="L3669" s="1" t="s">
        <v>8115</v>
      </c>
      <c r="M3669" s="1">
        <v>29</v>
      </c>
      <c r="N3669" s="1" t="s">
        <v>39</v>
      </c>
      <c r="O3669" s="1">
        <v>40.634999999999998</v>
      </c>
      <c r="P3669" s="1">
        <v>-80.679299999999998</v>
      </c>
      <c r="Q3669" s="1" t="s">
        <v>8116</v>
      </c>
      <c r="R3669" s="1" t="s">
        <v>41</v>
      </c>
      <c r="T3669" s="1" t="s">
        <v>71</v>
      </c>
      <c r="U3669" s="1" t="s">
        <v>44</v>
      </c>
      <c r="X3669" s="1" t="s">
        <v>64</v>
      </c>
      <c r="AA3669" s="3">
        <v>44361</v>
      </c>
      <c r="AB3669" s="1" t="s">
        <v>46</v>
      </c>
      <c r="AC3669" s="5">
        <v>4250</v>
      </c>
      <c r="AD3669" s="1" t="s">
        <v>8117</v>
      </c>
      <c r="AE3669" s="1" t="str">
        <f t="shared" si="258"/>
        <v>60356 1</v>
      </c>
      <c r="AF3669" s="14">
        <f>MID(AD3669,FIND("(",AD3669)+1,FIND(")",AD3669)-FIND("(",AD3669)-1)+345</f>
        <v>605</v>
      </c>
      <c r="AG3669" s="1" t="str">
        <f t="shared" si="257"/>
        <v>Y</v>
      </c>
    </row>
    <row r="3670" spans="1:33" x14ac:dyDescent="0.2">
      <c r="A3670" s="1" t="s">
        <v>2430</v>
      </c>
      <c r="B3670" s="1" t="s">
        <v>8113</v>
      </c>
      <c r="C3670" s="1">
        <v>60356</v>
      </c>
      <c r="D3670" s="1">
        <v>2</v>
      </c>
      <c r="F3670" s="1">
        <v>2023</v>
      </c>
      <c r="G3670" s="1" t="s">
        <v>6843</v>
      </c>
      <c r="H3670" s="1">
        <v>608730</v>
      </c>
      <c r="I3670" s="1">
        <v>5</v>
      </c>
      <c r="K3670" s="1" t="s">
        <v>8114</v>
      </c>
      <c r="L3670" s="1" t="s">
        <v>8115</v>
      </c>
      <c r="M3670" s="1">
        <v>29</v>
      </c>
      <c r="N3670" s="1" t="s">
        <v>39</v>
      </c>
      <c r="O3670" s="1">
        <v>40.634999999999998</v>
      </c>
      <c r="P3670" s="1">
        <v>-80.679299999999998</v>
      </c>
      <c r="Q3670" s="1" t="s">
        <v>8116</v>
      </c>
      <c r="R3670" s="1" t="s">
        <v>41</v>
      </c>
      <c r="T3670" s="1" t="s">
        <v>71</v>
      </c>
      <c r="U3670" s="1" t="s">
        <v>44</v>
      </c>
      <c r="X3670" s="1" t="s">
        <v>64</v>
      </c>
      <c r="AA3670" s="3">
        <v>44395</v>
      </c>
      <c r="AB3670" s="1" t="s">
        <v>46</v>
      </c>
      <c r="AC3670" s="5">
        <v>4250</v>
      </c>
      <c r="AD3670" s="1" t="s">
        <v>8118</v>
      </c>
      <c r="AE3670" s="1" t="str">
        <f t="shared" si="258"/>
        <v>60356 2</v>
      </c>
      <c r="AF3670" s="14">
        <f>MID(AD3670,FIND("(",AD3670)+1,FIND(")",AD3670)-FIND("(",AD3670)-1)+260</f>
        <v>605</v>
      </c>
      <c r="AG3670" s="1" t="str">
        <f t="shared" si="257"/>
        <v>Y</v>
      </c>
    </row>
    <row r="3671" spans="1:33" x14ac:dyDescent="0.2">
      <c r="A3671" s="1" t="s">
        <v>2584</v>
      </c>
      <c r="B3671" s="1" t="s">
        <v>8119</v>
      </c>
      <c r="C3671" s="1">
        <v>60357</v>
      </c>
      <c r="D3671" s="1">
        <v>1</v>
      </c>
      <c r="F3671" s="1">
        <v>2023</v>
      </c>
      <c r="G3671" s="1" t="s">
        <v>1515</v>
      </c>
      <c r="H3671" s="1">
        <v>608712</v>
      </c>
      <c r="I3671" s="1">
        <v>3</v>
      </c>
      <c r="K3671" s="1" t="s">
        <v>5055</v>
      </c>
      <c r="L3671" s="1" t="s">
        <v>5056</v>
      </c>
      <c r="M3671" s="1">
        <v>69</v>
      </c>
      <c r="N3671" s="1" t="s">
        <v>39</v>
      </c>
      <c r="O3671" s="1">
        <v>41.4711</v>
      </c>
      <c r="P3671" s="1">
        <v>-75.543599999999998</v>
      </c>
      <c r="Q3671" s="1" t="s">
        <v>8120</v>
      </c>
      <c r="R3671" s="1" t="s">
        <v>41</v>
      </c>
      <c r="T3671" s="1" t="s">
        <v>71</v>
      </c>
      <c r="U3671" s="1" t="s">
        <v>44</v>
      </c>
      <c r="X3671" s="1" t="s">
        <v>64</v>
      </c>
      <c r="AA3671" s="3">
        <v>43162</v>
      </c>
      <c r="AB3671" s="1" t="s">
        <v>46</v>
      </c>
      <c r="AC3671" s="5">
        <v>3304</v>
      </c>
      <c r="AD3671" s="1" t="s">
        <v>8121</v>
      </c>
      <c r="AE3671" s="1" t="str">
        <f t="shared" si="258"/>
        <v>60357 1</v>
      </c>
      <c r="AF3671" s="5" t="str">
        <f>MID(AD3671,FIND("(",AD3671)+1,FIND(")",AD3671)-FIND("(",AD3671)-1)</f>
        <v>555</v>
      </c>
      <c r="AG3671" s="1" t="str">
        <f t="shared" si="257"/>
        <v>Y</v>
      </c>
    </row>
    <row r="3672" spans="1:33" x14ac:dyDescent="0.2">
      <c r="A3672" s="1" t="s">
        <v>2584</v>
      </c>
      <c r="B3672" s="1" t="s">
        <v>8119</v>
      </c>
      <c r="C3672" s="1">
        <v>60357</v>
      </c>
      <c r="D3672" s="1">
        <v>2</v>
      </c>
      <c r="F3672" s="1">
        <v>2023</v>
      </c>
      <c r="G3672" s="1" t="s">
        <v>1515</v>
      </c>
      <c r="H3672" s="1">
        <v>608712</v>
      </c>
      <c r="I3672" s="1">
        <v>3</v>
      </c>
      <c r="K3672" s="1" t="s">
        <v>5055</v>
      </c>
      <c r="L3672" s="1" t="s">
        <v>5056</v>
      </c>
      <c r="M3672" s="1">
        <v>69</v>
      </c>
      <c r="N3672" s="1" t="s">
        <v>39</v>
      </c>
      <c r="O3672" s="1">
        <v>41.4711</v>
      </c>
      <c r="P3672" s="1">
        <v>-75.543599999999998</v>
      </c>
      <c r="Q3672" s="1" t="s">
        <v>8120</v>
      </c>
      <c r="R3672" s="1" t="s">
        <v>41</v>
      </c>
      <c r="T3672" s="1" t="s">
        <v>71</v>
      </c>
      <c r="U3672" s="1" t="s">
        <v>44</v>
      </c>
      <c r="X3672" s="1" t="s">
        <v>64</v>
      </c>
      <c r="AA3672" s="3">
        <v>43282</v>
      </c>
      <c r="AB3672" s="1" t="s">
        <v>46</v>
      </c>
      <c r="AC3672" s="5">
        <v>3304</v>
      </c>
      <c r="AD3672" s="1" t="s">
        <v>8122</v>
      </c>
      <c r="AE3672" s="1" t="str">
        <f t="shared" si="258"/>
        <v>60357 2</v>
      </c>
      <c r="AF3672" s="5" t="str">
        <f>MID(AD3672,FIND("(",AD3672)+1,FIND(")",AD3672)-FIND("(",AD3672)-1)</f>
        <v>555</v>
      </c>
      <c r="AG3672" s="1" t="str">
        <f t="shared" si="257"/>
        <v>Y</v>
      </c>
    </row>
    <row r="3673" spans="1:33" x14ac:dyDescent="0.2">
      <c r="A3673" s="1" t="s">
        <v>2584</v>
      </c>
      <c r="B3673" s="1" t="s">
        <v>8119</v>
      </c>
      <c r="C3673" s="1">
        <v>60357</v>
      </c>
      <c r="D3673" s="1">
        <v>3</v>
      </c>
      <c r="F3673" s="1">
        <v>2023</v>
      </c>
      <c r="G3673" s="1" t="s">
        <v>1515</v>
      </c>
      <c r="H3673" s="1">
        <v>608712</v>
      </c>
      <c r="I3673" s="1">
        <v>3</v>
      </c>
      <c r="K3673" s="1" t="s">
        <v>5055</v>
      </c>
      <c r="L3673" s="1" t="s">
        <v>5056</v>
      </c>
      <c r="M3673" s="1">
        <v>69</v>
      </c>
      <c r="N3673" s="1" t="s">
        <v>39</v>
      </c>
      <c r="O3673" s="1">
        <v>41.4711</v>
      </c>
      <c r="P3673" s="1">
        <v>-75.543599999999998</v>
      </c>
      <c r="Q3673" s="1" t="s">
        <v>8120</v>
      </c>
      <c r="R3673" s="1" t="s">
        <v>41</v>
      </c>
      <c r="T3673" s="1" t="s">
        <v>71</v>
      </c>
      <c r="U3673" s="1" t="s">
        <v>44</v>
      </c>
      <c r="X3673" s="1" t="s">
        <v>64</v>
      </c>
      <c r="AA3673" s="3">
        <v>43355</v>
      </c>
      <c r="AB3673" s="1" t="s">
        <v>46</v>
      </c>
      <c r="AC3673" s="5">
        <v>3500</v>
      </c>
      <c r="AD3673" s="1" t="s">
        <v>8123</v>
      </c>
      <c r="AE3673" s="1" t="str">
        <f t="shared" si="258"/>
        <v>60357 3</v>
      </c>
      <c r="AF3673" s="5" t="str">
        <f>MID(AD3673,FIND("(",AD3673)+1,FIND(")",AD3673)-FIND("(",AD3673)-1)</f>
        <v>555</v>
      </c>
      <c r="AG3673" s="1" t="str">
        <f t="shared" si="257"/>
        <v>Y</v>
      </c>
    </row>
    <row r="3674" spans="1:33" x14ac:dyDescent="0.2">
      <c r="A3674" s="1" t="s">
        <v>2584</v>
      </c>
      <c r="B3674" s="1" t="s">
        <v>8124</v>
      </c>
      <c r="C3674" s="1">
        <v>60368</v>
      </c>
      <c r="D3674" s="1" t="s">
        <v>311</v>
      </c>
      <c r="F3674" s="1">
        <v>2023</v>
      </c>
      <c r="G3674" s="1" t="s">
        <v>1515</v>
      </c>
      <c r="H3674" s="1">
        <v>605624</v>
      </c>
      <c r="I3674" s="1">
        <v>3</v>
      </c>
      <c r="K3674" s="1" t="s">
        <v>8125</v>
      </c>
      <c r="L3674" s="1" t="s">
        <v>8126</v>
      </c>
      <c r="M3674" s="1">
        <v>109</v>
      </c>
      <c r="N3674" s="1" t="s">
        <v>39</v>
      </c>
      <c r="O3674" s="1">
        <v>40.838999999999999</v>
      </c>
      <c r="P3674" s="1">
        <v>-76.825500000000005</v>
      </c>
      <c r="Q3674" s="1" t="s">
        <v>8127</v>
      </c>
      <c r="R3674" s="1" t="s">
        <v>41</v>
      </c>
      <c r="T3674" s="1" t="s">
        <v>71</v>
      </c>
      <c r="U3674" s="1" t="s">
        <v>44</v>
      </c>
      <c r="X3674" s="1" t="s">
        <v>64</v>
      </c>
      <c r="AA3674" s="3">
        <v>43185</v>
      </c>
      <c r="AB3674" s="1" t="s">
        <v>46</v>
      </c>
      <c r="AC3674" s="5">
        <v>2623</v>
      </c>
      <c r="AD3674" s="1" t="s">
        <v>8128</v>
      </c>
      <c r="AE3674" s="1" t="str">
        <f t="shared" si="258"/>
        <v>60368 CT1</v>
      </c>
      <c r="AF3674" s="14">
        <f>MID(AD3674,FIND("(",AD3674)+1,FIND(")",AD3674)-FIND("(",AD3674)-1)+460/3</f>
        <v>398.13333333333333</v>
      </c>
      <c r="AG3674" s="1" t="str">
        <f t="shared" si="257"/>
        <v>Y</v>
      </c>
    </row>
    <row r="3675" spans="1:33" x14ac:dyDescent="0.2">
      <c r="A3675" s="1" t="s">
        <v>2584</v>
      </c>
      <c r="B3675" s="1" t="s">
        <v>8124</v>
      </c>
      <c r="C3675" s="1">
        <v>60368</v>
      </c>
      <c r="D3675" s="1" t="s">
        <v>98</v>
      </c>
      <c r="F3675" s="1">
        <v>2023</v>
      </c>
      <c r="G3675" s="1" t="s">
        <v>1515</v>
      </c>
      <c r="H3675" s="1">
        <v>605624</v>
      </c>
      <c r="I3675" s="1">
        <v>3</v>
      </c>
      <c r="K3675" s="1" t="s">
        <v>8125</v>
      </c>
      <c r="L3675" s="1" t="s">
        <v>8126</v>
      </c>
      <c r="M3675" s="1">
        <v>109</v>
      </c>
      <c r="N3675" s="1" t="s">
        <v>39</v>
      </c>
      <c r="O3675" s="1">
        <v>40.838999999999999</v>
      </c>
      <c r="P3675" s="1">
        <v>-76.825500000000005</v>
      </c>
      <c r="Q3675" s="1" t="s">
        <v>8127</v>
      </c>
      <c r="R3675" s="1" t="s">
        <v>41</v>
      </c>
      <c r="T3675" s="1" t="s">
        <v>71</v>
      </c>
      <c r="U3675" s="1" t="s">
        <v>44</v>
      </c>
      <c r="X3675" s="1" t="s">
        <v>64</v>
      </c>
      <c r="AA3675" s="3">
        <v>43182</v>
      </c>
      <c r="AB3675" s="1" t="s">
        <v>46</v>
      </c>
      <c r="AC3675" s="5">
        <v>2625</v>
      </c>
      <c r="AD3675" s="1" t="s">
        <v>8129</v>
      </c>
      <c r="AE3675" s="1" t="str">
        <f t="shared" si="258"/>
        <v>60368 CT2</v>
      </c>
      <c r="AF3675" s="14">
        <f>AF3674</f>
        <v>398.13333333333333</v>
      </c>
      <c r="AG3675" s="1" t="str">
        <f t="shared" si="257"/>
        <v>Y</v>
      </c>
    </row>
    <row r="3676" spans="1:33" x14ac:dyDescent="0.2">
      <c r="A3676" s="1" t="s">
        <v>2584</v>
      </c>
      <c r="B3676" s="1" t="s">
        <v>8124</v>
      </c>
      <c r="C3676" s="1">
        <v>60368</v>
      </c>
      <c r="D3676" s="1" t="s">
        <v>101</v>
      </c>
      <c r="F3676" s="1">
        <v>2023</v>
      </c>
      <c r="G3676" s="1" t="s">
        <v>1515</v>
      </c>
      <c r="H3676" s="1">
        <v>605624</v>
      </c>
      <c r="I3676" s="1">
        <v>3</v>
      </c>
      <c r="K3676" s="1" t="s">
        <v>8125</v>
      </c>
      <c r="L3676" s="1" t="s">
        <v>8126</v>
      </c>
      <c r="M3676" s="1">
        <v>109</v>
      </c>
      <c r="N3676" s="1" t="s">
        <v>39</v>
      </c>
      <c r="O3676" s="1">
        <v>40.838999999999999</v>
      </c>
      <c r="P3676" s="1">
        <v>-76.825500000000005</v>
      </c>
      <c r="Q3676" s="1" t="s">
        <v>8127</v>
      </c>
      <c r="R3676" s="1" t="s">
        <v>41</v>
      </c>
      <c r="T3676" s="1" t="s">
        <v>71</v>
      </c>
      <c r="U3676" s="1" t="s">
        <v>44</v>
      </c>
      <c r="X3676" s="1" t="s">
        <v>64</v>
      </c>
      <c r="AA3676" s="3">
        <v>43184</v>
      </c>
      <c r="AB3676" s="1" t="s">
        <v>46</v>
      </c>
      <c r="AC3676" s="5">
        <v>2580</v>
      </c>
      <c r="AD3676" s="1" t="s">
        <v>8130</v>
      </c>
      <c r="AE3676" s="1" t="str">
        <f t="shared" si="258"/>
        <v>60368 CT3</v>
      </c>
      <c r="AF3676" s="14">
        <f>AF3674</f>
        <v>398.13333333333333</v>
      </c>
      <c r="AG3676" s="1" t="str">
        <f t="shared" si="257"/>
        <v>Y</v>
      </c>
    </row>
    <row r="3677" spans="1:33" x14ac:dyDescent="0.2">
      <c r="A3677" s="1" t="s">
        <v>2430</v>
      </c>
      <c r="B3677" s="1" t="s">
        <v>8131</v>
      </c>
      <c r="C3677" s="1">
        <v>60376</v>
      </c>
      <c r="D3677" s="1">
        <v>1</v>
      </c>
      <c r="F3677" s="1">
        <v>2023</v>
      </c>
      <c r="G3677" s="1" t="s">
        <v>6843</v>
      </c>
      <c r="H3677" s="1">
        <v>2331</v>
      </c>
      <c r="I3677" s="1">
        <v>5</v>
      </c>
      <c r="K3677" s="1" t="s">
        <v>2460</v>
      </c>
      <c r="L3677" s="1" t="s">
        <v>2461</v>
      </c>
      <c r="M3677" s="1">
        <v>155</v>
      </c>
      <c r="N3677" s="1" t="s">
        <v>39</v>
      </c>
      <c r="O3677" s="1">
        <v>41.148899999999998</v>
      </c>
      <c r="P3677" s="1">
        <v>-80.851600000000005</v>
      </c>
      <c r="Q3677" s="1" t="s">
        <v>8132</v>
      </c>
      <c r="R3677" s="1" t="s">
        <v>41</v>
      </c>
      <c r="T3677" s="1" t="s">
        <v>71</v>
      </c>
      <c r="U3677" s="1" t="s">
        <v>44</v>
      </c>
      <c r="X3677" s="1" t="s">
        <v>64</v>
      </c>
      <c r="AA3677" s="3">
        <v>43294</v>
      </c>
      <c r="AB3677" s="1" t="s">
        <v>46</v>
      </c>
      <c r="AC3677" s="5">
        <v>3630</v>
      </c>
      <c r="AD3677" s="1" t="s">
        <v>8133</v>
      </c>
      <c r="AE3677" s="1" t="str">
        <f t="shared" si="258"/>
        <v>60376 1</v>
      </c>
      <c r="AF3677" s="14">
        <f>AF3678</f>
        <v>481</v>
      </c>
      <c r="AG3677" s="1" t="str">
        <f t="shared" si="257"/>
        <v>Y</v>
      </c>
    </row>
    <row r="3678" spans="1:33" x14ac:dyDescent="0.2">
      <c r="A3678" s="1" t="s">
        <v>2430</v>
      </c>
      <c r="B3678" s="1" t="s">
        <v>8131</v>
      </c>
      <c r="C3678" s="1">
        <v>60376</v>
      </c>
      <c r="D3678" s="1">
        <v>2</v>
      </c>
      <c r="F3678" s="1">
        <v>2023</v>
      </c>
      <c r="G3678" s="1" t="s">
        <v>6843</v>
      </c>
      <c r="H3678" s="1">
        <v>2331</v>
      </c>
      <c r="I3678" s="1">
        <v>5</v>
      </c>
      <c r="K3678" s="1" t="s">
        <v>2460</v>
      </c>
      <c r="L3678" s="1" t="s">
        <v>2461</v>
      </c>
      <c r="M3678" s="1">
        <v>155</v>
      </c>
      <c r="N3678" s="1" t="s">
        <v>39</v>
      </c>
      <c r="O3678" s="1">
        <v>41.148899999999998</v>
      </c>
      <c r="P3678" s="1">
        <v>-80.851600000000005</v>
      </c>
      <c r="Q3678" s="1" t="s">
        <v>8132</v>
      </c>
      <c r="R3678" s="1" t="s">
        <v>41</v>
      </c>
      <c r="T3678" s="1" t="s">
        <v>71</v>
      </c>
      <c r="U3678" s="1" t="s">
        <v>44</v>
      </c>
      <c r="X3678" s="1" t="s">
        <v>64</v>
      </c>
      <c r="AA3678" s="3">
        <v>43295</v>
      </c>
      <c r="AB3678" s="1" t="s">
        <v>46</v>
      </c>
      <c r="AC3678" s="5">
        <v>3630</v>
      </c>
      <c r="AD3678" s="1" t="s">
        <v>8134</v>
      </c>
      <c r="AE3678" s="1" t="str">
        <f t="shared" si="258"/>
        <v>60376 2</v>
      </c>
      <c r="AF3678" s="14">
        <f>MID(AD3678,FIND("(",AD3678)+1,FIND(")",AD3678)-FIND("(",AD3678)-1)+340/2</f>
        <v>481</v>
      </c>
      <c r="AG3678" s="1" t="str">
        <f t="shared" si="257"/>
        <v>Y</v>
      </c>
    </row>
    <row r="3679" spans="1:33" x14ac:dyDescent="0.2">
      <c r="A3679" s="1" t="s">
        <v>458</v>
      </c>
      <c r="B3679" s="1" t="s">
        <v>8135</v>
      </c>
      <c r="C3679" s="1">
        <v>60387</v>
      </c>
      <c r="D3679" s="1">
        <v>3</v>
      </c>
      <c r="F3679" s="1">
        <v>2023</v>
      </c>
      <c r="G3679" s="1" t="s">
        <v>461</v>
      </c>
      <c r="H3679" s="1" t="s">
        <v>8136</v>
      </c>
      <c r="I3679" s="1">
        <v>5</v>
      </c>
      <c r="K3679" s="1" t="s">
        <v>710</v>
      </c>
      <c r="L3679" s="1" t="s">
        <v>5879</v>
      </c>
      <c r="M3679" s="1">
        <v>103</v>
      </c>
      <c r="N3679" s="1" t="s">
        <v>39</v>
      </c>
      <c r="O3679" s="1">
        <v>41.774700000000003</v>
      </c>
      <c r="P3679" s="1">
        <v>-89.606200000000001</v>
      </c>
      <c r="Q3679" s="1" t="s">
        <v>8137</v>
      </c>
      <c r="R3679" s="1" t="s">
        <v>41</v>
      </c>
      <c r="T3679" s="1" t="s">
        <v>8138</v>
      </c>
      <c r="U3679" s="1" t="s">
        <v>44</v>
      </c>
      <c r="V3679" s="1" t="s">
        <v>94</v>
      </c>
      <c r="X3679" s="12" t="s">
        <v>8139</v>
      </c>
      <c r="AA3679" s="3">
        <v>45035</v>
      </c>
      <c r="AB3679" s="1" t="s">
        <v>8140</v>
      </c>
      <c r="AC3679" s="5">
        <v>2180</v>
      </c>
      <c r="AD3679" s="1" t="s">
        <v>8141</v>
      </c>
      <c r="AE3679" s="1" t="str">
        <f t="shared" si="258"/>
        <v>60387 3</v>
      </c>
      <c r="AF3679" s="5" t="str">
        <f t="shared" ref="AF3679:AF3684" si="260">MID(AD3679,FIND("(",AD3679)+1,FIND(")",AD3679)-FIND("(",AD3679)-1)</f>
        <v>190</v>
      </c>
      <c r="AG3679" s="1" t="str">
        <f t="shared" si="257"/>
        <v/>
      </c>
    </row>
    <row r="3680" spans="1:33" x14ac:dyDescent="0.2">
      <c r="A3680" s="1" t="s">
        <v>458</v>
      </c>
      <c r="B3680" s="1" t="s">
        <v>8135</v>
      </c>
      <c r="C3680" s="1">
        <v>60387</v>
      </c>
      <c r="D3680" s="1">
        <v>4</v>
      </c>
      <c r="F3680" s="1">
        <v>2023</v>
      </c>
      <c r="G3680" s="1" t="s">
        <v>461</v>
      </c>
      <c r="H3680" s="1" t="s">
        <v>8136</v>
      </c>
      <c r="I3680" s="1">
        <v>5</v>
      </c>
      <c r="K3680" s="1" t="s">
        <v>710</v>
      </c>
      <c r="L3680" s="1" t="s">
        <v>5879</v>
      </c>
      <c r="M3680" s="1">
        <v>103</v>
      </c>
      <c r="N3680" s="1" t="s">
        <v>39</v>
      </c>
      <c r="O3680" s="1">
        <v>41.774700000000003</v>
      </c>
      <c r="P3680" s="1">
        <v>-89.606200000000001</v>
      </c>
      <c r="Q3680" s="1" t="s">
        <v>8137</v>
      </c>
      <c r="R3680" s="1" t="s">
        <v>41</v>
      </c>
      <c r="T3680" s="1" t="s">
        <v>8142</v>
      </c>
      <c r="U3680" s="1" t="s">
        <v>44</v>
      </c>
      <c r="V3680" s="1" t="s">
        <v>94</v>
      </c>
      <c r="X3680" s="12" t="s">
        <v>8143</v>
      </c>
      <c r="AA3680" s="3">
        <v>45043</v>
      </c>
      <c r="AB3680" s="1" t="s">
        <v>8144</v>
      </c>
      <c r="AC3680" s="5">
        <v>2180</v>
      </c>
      <c r="AD3680" s="1" t="s">
        <v>8145</v>
      </c>
      <c r="AE3680" s="1" t="str">
        <f t="shared" si="258"/>
        <v>60387 4</v>
      </c>
      <c r="AF3680" s="5" t="str">
        <f t="shared" si="260"/>
        <v>190</v>
      </c>
      <c r="AG3680" s="1" t="str">
        <f t="shared" si="257"/>
        <v/>
      </c>
    </row>
    <row r="3681" spans="1:33" x14ac:dyDescent="0.2">
      <c r="A3681" s="1" t="s">
        <v>383</v>
      </c>
      <c r="B3681" s="1" t="s">
        <v>8146</v>
      </c>
      <c r="C3681" s="1">
        <v>60459</v>
      </c>
      <c r="D3681" s="1" t="s">
        <v>311</v>
      </c>
      <c r="F3681" s="1">
        <v>2023</v>
      </c>
      <c r="G3681" s="1" t="s">
        <v>346</v>
      </c>
      <c r="H3681" s="1" t="s">
        <v>8147</v>
      </c>
      <c r="I3681" s="1">
        <v>6</v>
      </c>
      <c r="K3681" s="1" t="s">
        <v>6663</v>
      </c>
      <c r="L3681" s="1" t="s">
        <v>8148</v>
      </c>
      <c r="M3681" s="1">
        <v>57</v>
      </c>
      <c r="N3681" s="1" t="s">
        <v>39</v>
      </c>
      <c r="O3681" s="1">
        <v>28.648</v>
      </c>
      <c r="P3681" s="1">
        <v>-96.545699999999997</v>
      </c>
      <c r="Q3681" s="1" t="s">
        <v>8149</v>
      </c>
      <c r="R3681" s="1" t="s">
        <v>41</v>
      </c>
      <c r="T3681" s="1" t="s">
        <v>93</v>
      </c>
      <c r="U3681" s="1" t="s">
        <v>44</v>
      </c>
      <c r="X3681" s="1" t="s">
        <v>176</v>
      </c>
      <c r="AA3681" s="3">
        <v>42940</v>
      </c>
      <c r="AB3681" s="1" t="s">
        <v>46</v>
      </c>
      <c r="AC3681" s="5">
        <v>475</v>
      </c>
      <c r="AD3681" s="1" t="s">
        <v>8150</v>
      </c>
      <c r="AE3681" s="1" t="str">
        <f t="shared" si="258"/>
        <v>60459 CT1</v>
      </c>
      <c r="AF3681" s="5" t="str">
        <f t="shared" si="260"/>
        <v>50</v>
      </c>
      <c r="AG3681" s="1" t="str">
        <f t="shared" si="257"/>
        <v>Y</v>
      </c>
    </row>
    <row r="3682" spans="1:33" x14ac:dyDescent="0.2">
      <c r="A3682" s="1" t="s">
        <v>383</v>
      </c>
      <c r="B3682" s="1" t="s">
        <v>8146</v>
      </c>
      <c r="C3682" s="1">
        <v>60459</v>
      </c>
      <c r="D3682" s="1" t="s">
        <v>98</v>
      </c>
      <c r="F3682" s="1">
        <v>2023</v>
      </c>
      <c r="G3682" s="1" t="s">
        <v>346</v>
      </c>
      <c r="H3682" s="1" t="s">
        <v>8147</v>
      </c>
      <c r="I3682" s="1">
        <v>6</v>
      </c>
      <c r="K3682" s="1" t="s">
        <v>6663</v>
      </c>
      <c r="L3682" s="1" t="s">
        <v>8148</v>
      </c>
      <c r="M3682" s="1">
        <v>57</v>
      </c>
      <c r="N3682" s="1" t="s">
        <v>39</v>
      </c>
      <c r="O3682" s="1">
        <v>28.648</v>
      </c>
      <c r="P3682" s="1">
        <v>-96.545699999999997</v>
      </c>
      <c r="Q3682" s="1" t="s">
        <v>8149</v>
      </c>
      <c r="R3682" s="1" t="s">
        <v>41</v>
      </c>
      <c r="T3682" s="1" t="s">
        <v>93</v>
      </c>
      <c r="U3682" s="1" t="s">
        <v>44</v>
      </c>
      <c r="X3682" s="1" t="s">
        <v>176</v>
      </c>
      <c r="AA3682" s="3">
        <v>42945</v>
      </c>
      <c r="AB3682" s="1" t="s">
        <v>46</v>
      </c>
      <c r="AC3682" s="5">
        <v>475</v>
      </c>
      <c r="AD3682" s="1" t="s">
        <v>8151</v>
      </c>
      <c r="AE3682" s="1" t="str">
        <f t="shared" si="258"/>
        <v>60459 CT2</v>
      </c>
      <c r="AF3682" s="5" t="str">
        <f t="shared" si="260"/>
        <v>50</v>
      </c>
      <c r="AG3682" s="1" t="str">
        <f t="shared" si="257"/>
        <v>Y</v>
      </c>
    </row>
    <row r="3683" spans="1:33" x14ac:dyDescent="0.2">
      <c r="A3683" s="1" t="s">
        <v>383</v>
      </c>
      <c r="B3683" s="1" t="s">
        <v>8152</v>
      </c>
      <c r="C3683" s="1">
        <v>60460</v>
      </c>
      <c r="D3683" s="1" t="s">
        <v>311</v>
      </c>
      <c r="F3683" s="1">
        <v>2023</v>
      </c>
      <c r="G3683" s="1" t="s">
        <v>346</v>
      </c>
      <c r="H3683" s="1">
        <v>609948</v>
      </c>
      <c r="I3683" s="1">
        <v>6</v>
      </c>
      <c r="K3683" s="1" t="s">
        <v>4063</v>
      </c>
      <c r="L3683" s="1" t="s">
        <v>4064</v>
      </c>
      <c r="M3683" s="1">
        <v>201</v>
      </c>
      <c r="N3683" s="1" t="s">
        <v>39</v>
      </c>
      <c r="O3683" s="1">
        <v>29.883299999999998</v>
      </c>
      <c r="P3683" s="1">
        <v>-95.1113</v>
      </c>
      <c r="Q3683" s="1" t="s">
        <v>8153</v>
      </c>
      <c r="R3683" s="1" t="s">
        <v>41</v>
      </c>
      <c r="T3683" s="1" t="s">
        <v>93</v>
      </c>
      <c r="U3683" s="1" t="s">
        <v>44</v>
      </c>
      <c r="X3683" s="1" t="s">
        <v>176</v>
      </c>
      <c r="AA3683" s="3">
        <v>43011</v>
      </c>
      <c r="AB3683" s="1" t="s">
        <v>46</v>
      </c>
      <c r="AC3683" s="5">
        <v>520</v>
      </c>
      <c r="AD3683" s="1" t="s">
        <v>8154</v>
      </c>
      <c r="AE3683" s="1" t="str">
        <f t="shared" si="258"/>
        <v>60460 CT1</v>
      </c>
      <c r="AF3683" s="5" t="str">
        <f t="shared" si="260"/>
        <v>50</v>
      </c>
      <c r="AG3683" s="1" t="str">
        <f t="shared" si="257"/>
        <v>Y</v>
      </c>
    </row>
    <row r="3684" spans="1:33" x14ac:dyDescent="0.2">
      <c r="A3684" s="1" t="s">
        <v>383</v>
      </c>
      <c r="B3684" s="1" t="s">
        <v>8152</v>
      </c>
      <c r="C3684" s="1">
        <v>60460</v>
      </c>
      <c r="D3684" s="1" t="s">
        <v>98</v>
      </c>
      <c r="F3684" s="1">
        <v>2023</v>
      </c>
      <c r="G3684" s="1" t="s">
        <v>346</v>
      </c>
      <c r="H3684" s="1">
        <v>609948</v>
      </c>
      <c r="I3684" s="1">
        <v>6</v>
      </c>
      <c r="K3684" s="1" t="s">
        <v>4063</v>
      </c>
      <c r="L3684" s="1" t="s">
        <v>4064</v>
      </c>
      <c r="M3684" s="1">
        <v>201</v>
      </c>
      <c r="N3684" s="1" t="s">
        <v>39</v>
      </c>
      <c r="O3684" s="1">
        <v>29.883299999999998</v>
      </c>
      <c r="P3684" s="1">
        <v>-95.1113</v>
      </c>
      <c r="Q3684" s="1" t="s">
        <v>8153</v>
      </c>
      <c r="R3684" s="1" t="s">
        <v>41</v>
      </c>
      <c r="T3684" s="1" t="s">
        <v>93</v>
      </c>
      <c r="U3684" s="1" t="s">
        <v>44</v>
      </c>
      <c r="X3684" s="1" t="s">
        <v>176</v>
      </c>
      <c r="AA3684" s="3">
        <v>43013</v>
      </c>
      <c r="AB3684" s="1" t="s">
        <v>46</v>
      </c>
      <c r="AC3684" s="5">
        <v>520</v>
      </c>
      <c r="AD3684" s="1" t="s">
        <v>8155</v>
      </c>
      <c r="AE3684" s="1" t="str">
        <f t="shared" si="258"/>
        <v>60460 CT2</v>
      </c>
      <c r="AF3684" s="5" t="str">
        <f t="shared" si="260"/>
        <v>50</v>
      </c>
      <c r="AG3684" s="1" t="str">
        <f t="shared" si="257"/>
        <v>Y</v>
      </c>
    </row>
    <row r="3685" spans="1:33" x14ac:dyDescent="0.2">
      <c r="A3685" s="1" t="s">
        <v>2584</v>
      </c>
      <c r="B3685" s="1" t="s">
        <v>8156</v>
      </c>
      <c r="C3685" s="1">
        <v>60464</v>
      </c>
      <c r="D3685" s="1">
        <v>101</v>
      </c>
      <c r="F3685" s="1">
        <v>2023</v>
      </c>
      <c r="G3685" s="1" t="s">
        <v>7828</v>
      </c>
      <c r="H3685" s="1">
        <v>604188</v>
      </c>
      <c r="I3685" s="1">
        <v>3</v>
      </c>
      <c r="K3685" s="1" t="s">
        <v>8157</v>
      </c>
      <c r="L3685" s="1" t="s">
        <v>8158</v>
      </c>
      <c r="M3685" s="1">
        <v>129</v>
      </c>
      <c r="N3685" s="1" t="s">
        <v>39</v>
      </c>
      <c r="O3685" s="1">
        <v>40.176400000000001</v>
      </c>
      <c r="P3685" s="1">
        <v>-79.693399999999997</v>
      </c>
      <c r="Q3685" s="1" t="s">
        <v>8159</v>
      </c>
      <c r="R3685" s="1" t="s">
        <v>41</v>
      </c>
      <c r="T3685" s="1" t="s">
        <v>71</v>
      </c>
      <c r="U3685" s="1" t="s">
        <v>44</v>
      </c>
      <c r="X3685" s="1" t="s">
        <v>64</v>
      </c>
      <c r="AA3685" s="3">
        <v>43372</v>
      </c>
      <c r="AB3685" s="1" t="s">
        <v>46</v>
      </c>
      <c r="AC3685" s="5">
        <v>3725</v>
      </c>
      <c r="AD3685" s="1" t="s">
        <v>8160</v>
      </c>
      <c r="AE3685" s="1" t="str">
        <f t="shared" si="258"/>
        <v>60464 101</v>
      </c>
      <c r="AF3685" s="14">
        <f>MID(AD3685,FIND("(",AD3685)+1,FIND(")",AD3685)-FIND("(",AD3685)-1)+394/2</f>
        <v>567</v>
      </c>
      <c r="AG3685" s="1" t="str">
        <f t="shared" si="257"/>
        <v>Y</v>
      </c>
    </row>
    <row r="3686" spans="1:33" x14ac:dyDescent="0.2">
      <c r="A3686" s="1" t="s">
        <v>2584</v>
      </c>
      <c r="B3686" s="1" t="s">
        <v>8156</v>
      </c>
      <c r="C3686" s="1">
        <v>60464</v>
      </c>
      <c r="D3686" s="1">
        <v>102</v>
      </c>
      <c r="F3686" s="1">
        <v>2023</v>
      </c>
      <c r="G3686" s="1" t="s">
        <v>7828</v>
      </c>
      <c r="H3686" s="1">
        <v>604188</v>
      </c>
      <c r="I3686" s="1">
        <v>3</v>
      </c>
      <c r="K3686" s="1" t="s">
        <v>8157</v>
      </c>
      <c r="L3686" s="1" t="s">
        <v>8158</v>
      </c>
      <c r="M3686" s="1">
        <v>129</v>
      </c>
      <c r="N3686" s="1" t="s">
        <v>39</v>
      </c>
      <c r="O3686" s="1">
        <v>40.176400000000001</v>
      </c>
      <c r="P3686" s="1">
        <v>-79.693399999999997</v>
      </c>
      <c r="Q3686" s="1" t="s">
        <v>8159</v>
      </c>
      <c r="R3686" s="1" t="s">
        <v>41</v>
      </c>
      <c r="T3686" s="1" t="s">
        <v>71</v>
      </c>
      <c r="U3686" s="1" t="s">
        <v>44</v>
      </c>
      <c r="X3686" s="1" t="s">
        <v>64</v>
      </c>
      <c r="AA3686" s="3">
        <v>43368</v>
      </c>
      <c r="AB3686" s="1" t="s">
        <v>46</v>
      </c>
      <c r="AC3686" s="5">
        <v>3725</v>
      </c>
      <c r="AD3686" s="1" t="s">
        <v>8161</v>
      </c>
      <c r="AE3686" s="1" t="str">
        <f t="shared" si="258"/>
        <v>60464 102</v>
      </c>
      <c r="AF3686" s="14">
        <f>AF3685</f>
        <v>567</v>
      </c>
      <c r="AG3686" s="1" t="str">
        <f t="shared" si="257"/>
        <v>Y</v>
      </c>
    </row>
    <row r="3687" spans="1:33" x14ac:dyDescent="0.2">
      <c r="A3687" s="1" t="s">
        <v>383</v>
      </c>
      <c r="B3687" s="1" t="s">
        <v>8162</v>
      </c>
      <c r="C3687" s="1">
        <v>60468</v>
      </c>
      <c r="D3687" s="1" t="s">
        <v>1296</v>
      </c>
      <c r="F3687" s="1">
        <v>2023</v>
      </c>
      <c r="G3687" s="1" t="s">
        <v>346</v>
      </c>
      <c r="H3687" s="1">
        <v>610029</v>
      </c>
      <c r="I3687" s="1">
        <v>6</v>
      </c>
      <c r="K3687" s="1" t="s">
        <v>4063</v>
      </c>
      <c r="L3687" s="1" t="s">
        <v>4064</v>
      </c>
      <c r="M3687" s="1">
        <v>201</v>
      </c>
      <c r="N3687" s="1" t="s">
        <v>39</v>
      </c>
      <c r="O3687" s="1">
        <v>29.6464</v>
      </c>
      <c r="P3687" s="1">
        <v>-95.451800000000006</v>
      </c>
      <c r="Q3687" s="1" t="s">
        <v>8163</v>
      </c>
      <c r="R3687" s="1" t="s">
        <v>41</v>
      </c>
      <c r="T3687" s="1" t="s">
        <v>93</v>
      </c>
      <c r="U3687" s="1" t="s">
        <v>44</v>
      </c>
      <c r="X3687" s="1" t="s">
        <v>176</v>
      </c>
      <c r="AA3687" s="3">
        <v>43229</v>
      </c>
      <c r="AB3687" s="1" t="s">
        <v>46</v>
      </c>
      <c r="AC3687" s="5">
        <v>1500</v>
      </c>
      <c r="AD3687" s="1" t="s">
        <v>8164</v>
      </c>
      <c r="AE3687" s="1" t="str">
        <f t="shared" si="258"/>
        <v>60468 CT-1</v>
      </c>
      <c r="AF3687" s="5" t="str">
        <f>MID(AD3687,FIND("(",AD3687)+1,FIND(")",AD3687)-FIND("(",AD3687)-1)</f>
        <v>128</v>
      </c>
      <c r="AG3687" s="1" t="str">
        <f t="shared" si="257"/>
        <v>Y</v>
      </c>
    </row>
    <row r="3688" spans="1:33" x14ac:dyDescent="0.2">
      <c r="A3688" s="1" t="s">
        <v>2584</v>
      </c>
      <c r="B3688" s="1" t="s">
        <v>8165</v>
      </c>
      <c r="C3688" s="1">
        <v>60589</v>
      </c>
      <c r="D3688" s="1" t="s">
        <v>1296</v>
      </c>
      <c r="F3688" s="1">
        <v>2023</v>
      </c>
      <c r="G3688" s="1" t="s">
        <v>7828</v>
      </c>
      <c r="H3688" s="1">
        <v>608446</v>
      </c>
      <c r="I3688" s="1">
        <v>3</v>
      </c>
      <c r="K3688" s="1" t="s">
        <v>4782</v>
      </c>
      <c r="L3688" s="1" t="s">
        <v>4783</v>
      </c>
      <c r="M3688" s="1">
        <v>21</v>
      </c>
      <c r="N3688" s="1" t="s">
        <v>39</v>
      </c>
      <c r="O3688" s="1">
        <v>40.412500000000001</v>
      </c>
      <c r="P3688" s="1">
        <v>-78.856099999999998</v>
      </c>
      <c r="Q3688" s="1" t="s">
        <v>8166</v>
      </c>
      <c r="R3688" s="1" t="s">
        <v>41</v>
      </c>
      <c r="T3688" s="1" t="s">
        <v>71</v>
      </c>
      <c r="U3688" s="1" t="s">
        <v>284</v>
      </c>
      <c r="V3688" s="1" t="s">
        <v>450</v>
      </c>
      <c r="X3688" s="1" t="s">
        <v>64</v>
      </c>
      <c r="AA3688" s="3">
        <v>43730</v>
      </c>
      <c r="AB3688" s="1" t="s">
        <v>46</v>
      </c>
      <c r="AC3688" s="5">
        <v>3763</v>
      </c>
      <c r="AD3688" s="1" t="s">
        <v>8167</v>
      </c>
      <c r="AE3688" s="1" t="str">
        <f t="shared" si="258"/>
        <v>60589 CT-1</v>
      </c>
      <c r="AF3688" s="14">
        <f>MID(AD3688,FIND("(",AD3688)+1,FIND(")",AD3688)-FIND("(",AD3688)-1)+292/2</f>
        <v>482</v>
      </c>
      <c r="AG3688" s="1" t="str">
        <f t="shared" si="257"/>
        <v>Y</v>
      </c>
    </row>
    <row r="3689" spans="1:33" x14ac:dyDescent="0.2">
      <c r="A3689" s="1" t="s">
        <v>2584</v>
      </c>
      <c r="B3689" s="1" t="s">
        <v>8165</v>
      </c>
      <c r="C3689" s="1">
        <v>60589</v>
      </c>
      <c r="D3689" s="1" t="s">
        <v>1300</v>
      </c>
      <c r="F3689" s="1">
        <v>2023</v>
      </c>
      <c r="G3689" s="1" t="s">
        <v>7828</v>
      </c>
      <c r="H3689" s="1">
        <v>608446</v>
      </c>
      <c r="I3689" s="1">
        <v>3</v>
      </c>
      <c r="K3689" s="1" t="s">
        <v>4782</v>
      </c>
      <c r="L3689" s="1" t="s">
        <v>4783</v>
      </c>
      <c r="M3689" s="1">
        <v>21</v>
      </c>
      <c r="N3689" s="1" t="s">
        <v>39</v>
      </c>
      <c r="O3689" s="1">
        <v>40.412500000000001</v>
      </c>
      <c r="P3689" s="1">
        <v>-78.856099999999998</v>
      </c>
      <c r="Q3689" s="1" t="s">
        <v>8166</v>
      </c>
      <c r="R3689" s="1" t="s">
        <v>41</v>
      </c>
      <c r="T3689" s="1" t="s">
        <v>71</v>
      </c>
      <c r="U3689" s="1" t="s">
        <v>284</v>
      </c>
      <c r="V3689" s="1" t="s">
        <v>450</v>
      </c>
      <c r="X3689" s="1" t="s">
        <v>64</v>
      </c>
      <c r="AA3689" s="3">
        <v>43735</v>
      </c>
      <c r="AB3689" s="1" t="s">
        <v>46</v>
      </c>
      <c r="AC3689" s="5">
        <v>3763</v>
      </c>
      <c r="AD3689" s="1" t="s">
        <v>8168</v>
      </c>
      <c r="AE3689" s="1" t="str">
        <f t="shared" si="258"/>
        <v>60589 CT-2</v>
      </c>
      <c r="AF3689" s="14">
        <f>AF3688</f>
        <v>482</v>
      </c>
      <c r="AG3689" s="1" t="str">
        <f t="shared" si="257"/>
        <v>Y</v>
      </c>
    </row>
    <row r="3690" spans="1:33" x14ac:dyDescent="0.2">
      <c r="A3690" s="1" t="s">
        <v>370</v>
      </c>
      <c r="B3690" s="1" t="s">
        <v>8169</v>
      </c>
      <c r="C3690" s="1">
        <v>60698</v>
      </c>
      <c r="D3690" s="1" t="s">
        <v>4807</v>
      </c>
      <c r="F3690" s="1">
        <v>2023</v>
      </c>
      <c r="G3690" s="1" t="s">
        <v>247</v>
      </c>
      <c r="H3690" s="1">
        <v>601499</v>
      </c>
      <c r="I3690" s="1">
        <v>9</v>
      </c>
      <c r="K3690" s="1" t="s">
        <v>418</v>
      </c>
      <c r="L3690" s="1" t="s">
        <v>419</v>
      </c>
      <c r="M3690" s="1">
        <v>59</v>
      </c>
      <c r="N3690" s="1" t="s">
        <v>39</v>
      </c>
      <c r="O3690" s="1">
        <v>33.807000000000002</v>
      </c>
      <c r="P3690" s="1">
        <v>-117.9864</v>
      </c>
      <c r="Q3690" s="1" t="s">
        <v>8170</v>
      </c>
      <c r="R3690" s="1" t="s">
        <v>41</v>
      </c>
      <c r="T3690" s="1" t="s">
        <v>93</v>
      </c>
      <c r="U3690" s="1" t="s">
        <v>44</v>
      </c>
      <c r="X3690" s="1" t="s">
        <v>176</v>
      </c>
      <c r="AA3690" s="3">
        <v>43941</v>
      </c>
      <c r="AB3690" s="1" t="s">
        <v>46</v>
      </c>
      <c r="AC3690" s="5">
        <v>500</v>
      </c>
      <c r="AD3690" s="1" t="s">
        <v>8171</v>
      </c>
      <c r="AE3690" s="1" t="str">
        <f t="shared" si="258"/>
        <v>60698 D1</v>
      </c>
      <c r="AF3690" s="5" t="str">
        <f>MID(AD3690,FIND("(",AD3690)+1,FIND(")",AD3690)-FIND("(",AD3690)-1)</f>
        <v>60.5</v>
      </c>
      <c r="AG3690" s="1" t="str">
        <f t="shared" si="257"/>
        <v>Y</v>
      </c>
    </row>
    <row r="3691" spans="1:33" x14ac:dyDescent="0.2">
      <c r="A3691" s="1" t="s">
        <v>370</v>
      </c>
      <c r="B3691" s="1" t="s">
        <v>8169</v>
      </c>
      <c r="C3691" s="1">
        <v>60698</v>
      </c>
      <c r="D3691" s="1" t="s">
        <v>8172</v>
      </c>
      <c r="F3691" s="1">
        <v>2023</v>
      </c>
      <c r="G3691" s="1" t="s">
        <v>247</v>
      </c>
      <c r="H3691" s="1">
        <v>601499</v>
      </c>
      <c r="I3691" s="1">
        <v>9</v>
      </c>
      <c r="K3691" s="1" t="s">
        <v>418</v>
      </c>
      <c r="L3691" s="1" t="s">
        <v>419</v>
      </c>
      <c r="M3691" s="1">
        <v>59</v>
      </c>
      <c r="N3691" s="1" t="s">
        <v>39</v>
      </c>
      <c r="O3691" s="1">
        <v>33.807000000000002</v>
      </c>
      <c r="P3691" s="1">
        <v>-117.9864</v>
      </c>
      <c r="Q3691" s="1" t="s">
        <v>8170</v>
      </c>
      <c r="R3691" s="1" t="s">
        <v>41</v>
      </c>
      <c r="T3691" s="1" t="s">
        <v>93</v>
      </c>
      <c r="U3691" s="1" t="s">
        <v>44</v>
      </c>
      <c r="X3691" s="1" t="s">
        <v>176</v>
      </c>
      <c r="AA3691" s="3">
        <v>43938</v>
      </c>
      <c r="AB3691" s="1" t="s">
        <v>46</v>
      </c>
      <c r="AC3691" s="5">
        <v>500</v>
      </c>
      <c r="AD3691" s="1" t="s">
        <v>8173</v>
      </c>
      <c r="AE3691" s="1" t="str">
        <f t="shared" si="258"/>
        <v>60698 D7</v>
      </c>
      <c r="AF3691" s="5" t="str">
        <f>MID(AD3691,FIND("(",AD3691)+1,FIND(")",AD3691)-FIND("(",AD3691)-1)</f>
        <v>60.5</v>
      </c>
      <c r="AG3691" s="1" t="str">
        <f t="shared" si="257"/>
        <v>Y</v>
      </c>
    </row>
    <row r="3692" spans="1:33" x14ac:dyDescent="0.2">
      <c r="A3692" s="1" t="s">
        <v>1568</v>
      </c>
      <c r="B3692" s="1" t="s">
        <v>8174</v>
      </c>
      <c r="C3692" s="1">
        <v>60903</v>
      </c>
      <c r="D3692" s="1">
        <v>1</v>
      </c>
      <c r="F3692" s="1">
        <v>2023</v>
      </c>
      <c r="G3692" s="1" t="s">
        <v>579</v>
      </c>
      <c r="H3692" s="1" t="s">
        <v>8175</v>
      </c>
      <c r="I3692" s="1">
        <v>1</v>
      </c>
      <c r="K3692" s="1" t="s">
        <v>1612</v>
      </c>
      <c r="L3692" s="1" t="s">
        <v>1613</v>
      </c>
      <c r="M3692" s="1">
        <v>9</v>
      </c>
      <c r="N3692" s="1" t="s">
        <v>39</v>
      </c>
      <c r="O3692" s="1">
        <v>42.525599999999997</v>
      </c>
      <c r="P3692" s="1">
        <v>-70.878399999999999</v>
      </c>
      <c r="Q3692" s="1" t="s">
        <v>8176</v>
      </c>
      <c r="R3692" s="1" t="s">
        <v>41</v>
      </c>
      <c r="T3692" s="1" t="s">
        <v>71</v>
      </c>
      <c r="U3692" s="1" t="s">
        <v>44</v>
      </c>
      <c r="X3692" s="1" t="s">
        <v>64</v>
      </c>
      <c r="AA3692" s="3">
        <v>43091</v>
      </c>
      <c r="AB3692" s="1" t="s">
        <v>46</v>
      </c>
      <c r="AC3692" s="5">
        <v>2700</v>
      </c>
      <c r="AD3692" s="1" t="s">
        <v>8177</v>
      </c>
      <c r="AE3692" s="1" t="str">
        <f t="shared" si="258"/>
        <v>60903 1</v>
      </c>
      <c r="AF3692" s="14">
        <f>MID(AD3692,FIND("(",AD3692)+1,FIND(")",AD3692)-FIND("(",AD3692)-1)+158.4</f>
        <v>399.1</v>
      </c>
      <c r="AG3692" s="1" t="str">
        <f t="shared" si="257"/>
        <v>Y</v>
      </c>
    </row>
    <row r="3693" spans="1:33" x14ac:dyDescent="0.2">
      <c r="A3693" s="1" t="s">
        <v>1568</v>
      </c>
      <c r="B3693" s="1" t="s">
        <v>8174</v>
      </c>
      <c r="C3693" s="1">
        <v>60903</v>
      </c>
      <c r="D3693" s="1">
        <v>2</v>
      </c>
      <c r="F3693" s="1">
        <v>2023</v>
      </c>
      <c r="G3693" s="1" t="s">
        <v>579</v>
      </c>
      <c r="H3693" s="1" t="s">
        <v>8175</v>
      </c>
      <c r="I3693" s="1">
        <v>1</v>
      </c>
      <c r="K3693" s="1" t="s">
        <v>1612</v>
      </c>
      <c r="L3693" s="1" t="s">
        <v>1613</v>
      </c>
      <c r="M3693" s="1">
        <v>9</v>
      </c>
      <c r="N3693" s="1" t="s">
        <v>39</v>
      </c>
      <c r="O3693" s="1">
        <v>42.525599999999997</v>
      </c>
      <c r="P3693" s="1">
        <v>-70.878399999999999</v>
      </c>
      <c r="Q3693" s="1" t="s">
        <v>8176</v>
      </c>
      <c r="R3693" s="1" t="s">
        <v>41</v>
      </c>
      <c r="T3693" s="1" t="s">
        <v>71</v>
      </c>
      <c r="U3693" s="1" t="s">
        <v>44</v>
      </c>
      <c r="X3693" s="1" t="s">
        <v>64</v>
      </c>
      <c r="AA3693" s="3">
        <v>43141</v>
      </c>
      <c r="AB3693" s="1" t="s">
        <v>46</v>
      </c>
      <c r="AC3693" s="5">
        <v>2700</v>
      </c>
      <c r="AD3693" s="1" t="s">
        <v>8178</v>
      </c>
      <c r="AE3693" s="1" t="str">
        <f t="shared" si="258"/>
        <v>60903 2</v>
      </c>
      <c r="AF3693" s="14">
        <f>MID(AD3693,FIND("(",AD3693)+1,FIND(")",AD3693)-FIND("(",AD3693)-1)+240.7</f>
        <v>399.1</v>
      </c>
      <c r="AG3693" s="1" t="str">
        <f t="shared" si="257"/>
        <v>Y</v>
      </c>
    </row>
    <row r="3694" spans="1:33" x14ac:dyDescent="0.2">
      <c r="A3694" s="1" t="s">
        <v>383</v>
      </c>
      <c r="B3694" s="1" t="s">
        <v>8179</v>
      </c>
      <c r="C3694" s="1">
        <v>60910</v>
      </c>
      <c r="D3694" s="1" t="s">
        <v>8180</v>
      </c>
      <c r="F3694" s="1">
        <v>2023</v>
      </c>
      <c r="G3694" s="1" t="s">
        <v>346</v>
      </c>
      <c r="H3694" s="1" t="s">
        <v>8181</v>
      </c>
      <c r="I3694" s="1">
        <v>6</v>
      </c>
      <c r="K3694" s="1" t="s">
        <v>4063</v>
      </c>
      <c r="L3694" s="1" t="s">
        <v>4064</v>
      </c>
      <c r="M3694" s="1">
        <v>201</v>
      </c>
      <c r="N3694" s="1" t="s">
        <v>39</v>
      </c>
      <c r="O3694" s="1">
        <v>29.646799999999999</v>
      </c>
      <c r="P3694" s="1">
        <v>-95.054100000000005</v>
      </c>
      <c r="Q3694" s="1" t="s">
        <v>8182</v>
      </c>
      <c r="R3694" s="1" t="s">
        <v>41</v>
      </c>
      <c r="T3694" s="1" t="s">
        <v>93</v>
      </c>
      <c r="U3694" s="1" t="s">
        <v>44</v>
      </c>
      <c r="X3694" s="12"/>
      <c r="AA3694" s="3">
        <v>44515</v>
      </c>
      <c r="AB3694" s="1" t="s">
        <v>46</v>
      </c>
      <c r="AC3694" s="5">
        <v>172</v>
      </c>
      <c r="AD3694" s="1" t="s">
        <v>8183</v>
      </c>
      <c r="AE3694" s="1" t="str">
        <f t="shared" si="258"/>
        <v>60910 1GT</v>
      </c>
      <c r="AF3694" s="5" t="str">
        <f>MID(AD3694,FIND("(",AD3694)+1,FIND(")",AD3694)-FIND("(",AD3694)-1)</f>
        <v>25.5</v>
      </c>
      <c r="AG3694" s="1" t="str">
        <f t="shared" si="257"/>
        <v/>
      </c>
    </row>
    <row r="3695" spans="1:33" x14ac:dyDescent="0.2">
      <c r="A3695" s="1" t="s">
        <v>383</v>
      </c>
      <c r="B3695" s="1" t="s">
        <v>8184</v>
      </c>
      <c r="C3695" s="1">
        <v>60925</v>
      </c>
      <c r="D3695" s="1" t="s">
        <v>311</v>
      </c>
      <c r="F3695" s="1">
        <v>2023</v>
      </c>
      <c r="G3695" s="1" t="s">
        <v>346</v>
      </c>
      <c r="H3695" s="1" t="s">
        <v>350</v>
      </c>
      <c r="I3695" s="1">
        <v>6</v>
      </c>
      <c r="K3695" s="1" t="s">
        <v>1319</v>
      </c>
      <c r="L3695" s="1" t="s">
        <v>2910</v>
      </c>
      <c r="M3695" s="1">
        <v>339</v>
      </c>
      <c r="N3695" s="1" t="s">
        <v>39</v>
      </c>
      <c r="O3695" s="1">
        <v>30.4358</v>
      </c>
      <c r="P3695" s="1">
        <v>-95.520600000000002</v>
      </c>
      <c r="Q3695" s="1" t="s">
        <v>353</v>
      </c>
      <c r="R3695" s="1" t="s">
        <v>41</v>
      </c>
      <c r="T3695" s="1" t="s">
        <v>71</v>
      </c>
      <c r="U3695" s="1" t="s">
        <v>44</v>
      </c>
      <c r="X3695" s="1" t="s">
        <v>64</v>
      </c>
      <c r="AA3695" s="3">
        <v>44073</v>
      </c>
      <c r="AB3695" s="1" t="s">
        <v>46</v>
      </c>
      <c r="AC3695" s="5">
        <v>3800</v>
      </c>
      <c r="AD3695" s="1" t="s">
        <v>8185</v>
      </c>
      <c r="AE3695" s="1" t="str">
        <f t="shared" si="258"/>
        <v>60925 CT1</v>
      </c>
      <c r="AF3695" s="14">
        <f>AF3696</f>
        <v>500</v>
      </c>
      <c r="AG3695" s="1" t="str">
        <f t="shared" si="257"/>
        <v>Y</v>
      </c>
    </row>
    <row r="3696" spans="1:33" x14ac:dyDescent="0.2">
      <c r="A3696" s="1" t="s">
        <v>383</v>
      </c>
      <c r="B3696" s="1" t="s">
        <v>8184</v>
      </c>
      <c r="C3696" s="1">
        <v>60925</v>
      </c>
      <c r="D3696" s="1" t="s">
        <v>98</v>
      </c>
      <c r="F3696" s="1">
        <v>2023</v>
      </c>
      <c r="G3696" s="1" t="s">
        <v>346</v>
      </c>
      <c r="H3696" s="1" t="s">
        <v>350</v>
      </c>
      <c r="I3696" s="1">
        <v>6</v>
      </c>
      <c r="K3696" s="1" t="s">
        <v>1319</v>
      </c>
      <c r="L3696" s="1" t="s">
        <v>2910</v>
      </c>
      <c r="M3696" s="1">
        <v>339</v>
      </c>
      <c r="N3696" s="1" t="s">
        <v>39</v>
      </c>
      <c r="O3696" s="1">
        <v>30.4358</v>
      </c>
      <c r="P3696" s="1">
        <v>-95.520600000000002</v>
      </c>
      <c r="Q3696" s="1" t="s">
        <v>353</v>
      </c>
      <c r="R3696" s="1" t="s">
        <v>41</v>
      </c>
      <c r="T3696" s="1" t="s">
        <v>71</v>
      </c>
      <c r="U3696" s="1" t="s">
        <v>44</v>
      </c>
      <c r="X3696" s="1" t="s">
        <v>64</v>
      </c>
      <c r="AA3696" s="3">
        <v>44078</v>
      </c>
      <c r="AB3696" s="1" t="s">
        <v>46</v>
      </c>
      <c r="AC3696" s="5">
        <v>3800</v>
      </c>
      <c r="AD3696" s="1" t="s">
        <v>8186</v>
      </c>
      <c r="AE3696" s="1" t="str">
        <f t="shared" si="258"/>
        <v>60925 CT2</v>
      </c>
      <c r="AF3696" s="14">
        <f>MID(AD3696,FIND("(",AD3696)+1,FIND(")",AD3696)-FIND("(",AD3696)-1)+500/2</f>
        <v>500</v>
      </c>
      <c r="AG3696" s="1" t="str">
        <f t="shared" si="257"/>
        <v>Y</v>
      </c>
    </row>
    <row r="3697" spans="1:33" x14ac:dyDescent="0.2">
      <c r="A3697" s="1" t="s">
        <v>1426</v>
      </c>
      <c r="B3697" s="1" t="s">
        <v>8187</v>
      </c>
      <c r="C3697" s="1">
        <v>60926</v>
      </c>
      <c r="D3697" s="1" t="s">
        <v>372</v>
      </c>
      <c r="F3697" s="1">
        <v>2023</v>
      </c>
      <c r="G3697" s="1" t="s">
        <v>1428</v>
      </c>
      <c r="H3697" s="1" t="s">
        <v>350</v>
      </c>
      <c r="I3697" s="1">
        <v>6</v>
      </c>
      <c r="K3697" s="1" t="s">
        <v>1458</v>
      </c>
      <c r="L3697" s="1" t="s">
        <v>1459</v>
      </c>
      <c r="M3697" s="1">
        <v>89</v>
      </c>
      <c r="N3697" s="1" t="s">
        <v>39</v>
      </c>
      <c r="O3697" s="1">
        <v>30.005099999999999</v>
      </c>
      <c r="P3697" s="1">
        <v>-90.461699999999993</v>
      </c>
      <c r="Q3697" s="1" t="s">
        <v>353</v>
      </c>
      <c r="R3697" s="1" t="s">
        <v>41</v>
      </c>
      <c r="T3697" s="1" t="s">
        <v>71</v>
      </c>
      <c r="U3697" s="1" t="s">
        <v>44</v>
      </c>
      <c r="X3697" s="1" t="s">
        <v>64</v>
      </c>
      <c r="AA3697" s="3">
        <v>43524</v>
      </c>
      <c r="AB3697" s="1" t="s">
        <v>46</v>
      </c>
      <c r="AC3697" s="5">
        <v>3750</v>
      </c>
      <c r="AD3697" s="1" t="s">
        <v>8188</v>
      </c>
      <c r="AE3697" s="1" t="str">
        <f t="shared" si="258"/>
        <v>60926 1A</v>
      </c>
      <c r="AF3697" s="14">
        <f>MID(AD3697,FIND("(",AD3697)+1,FIND(")",AD3697)-FIND("(",AD3697)-1)+453/2</f>
        <v>484.5</v>
      </c>
      <c r="AG3697" s="1" t="str">
        <f t="shared" si="257"/>
        <v>Y</v>
      </c>
    </row>
    <row r="3698" spans="1:33" x14ac:dyDescent="0.2">
      <c r="A3698" s="1" t="s">
        <v>1426</v>
      </c>
      <c r="B3698" s="1" t="s">
        <v>8187</v>
      </c>
      <c r="C3698" s="1">
        <v>60926</v>
      </c>
      <c r="D3698" s="1" t="s">
        <v>1199</v>
      </c>
      <c r="F3698" s="1">
        <v>2023</v>
      </c>
      <c r="G3698" s="1" t="s">
        <v>1428</v>
      </c>
      <c r="H3698" s="1" t="s">
        <v>350</v>
      </c>
      <c r="I3698" s="1">
        <v>6</v>
      </c>
      <c r="K3698" s="1" t="s">
        <v>1458</v>
      </c>
      <c r="L3698" s="1" t="s">
        <v>1459</v>
      </c>
      <c r="M3698" s="1">
        <v>89</v>
      </c>
      <c r="N3698" s="1" t="s">
        <v>39</v>
      </c>
      <c r="O3698" s="1">
        <v>30.005099999999999</v>
      </c>
      <c r="P3698" s="1">
        <v>-90.461699999999993</v>
      </c>
      <c r="Q3698" s="1" t="s">
        <v>353</v>
      </c>
      <c r="R3698" s="1" t="s">
        <v>41</v>
      </c>
      <c r="T3698" s="1" t="s">
        <v>71</v>
      </c>
      <c r="U3698" s="1" t="s">
        <v>44</v>
      </c>
      <c r="X3698" s="1" t="s">
        <v>64</v>
      </c>
      <c r="AA3698" s="3">
        <v>43520</v>
      </c>
      <c r="AB3698" s="1" t="s">
        <v>46</v>
      </c>
      <c r="AC3698" s="5">
        <v>3620</v>
      </c>
      <c r="AD3698" s="1" t="s">
        <v>8189</v>
      </c>
      <c r="AE3698" s="1" t="str">
        <f t="shared" si="258"/>
        <v>60926 1B</v>
      </c>
      <c r="AF3698" s="14">
        <f>AF3697</f>
        <v>484.5</v>
      </c>
      <c r="AG3698" s="1" t="str">
        <f t="shared" si="257"/>
        <v>Y</v>
      </c>
    </row>
    <row r="3699" spans="1:33" x14ac:dyDescent="0.2">
      <c r="A3699" s="1" t="s">
        <v>1426</v>
      </c>
      <c r="B3699" s="1" t="s">
        <v>8190</v>
      </c>
      <c r="C3699" s="1">
        <v>60927</v>
      </c>
      <c r="D3699" s="1" t="s">
        <v>372</v>
      </c>
      <c r="F3699" s="1">
        <v>2023</v>
      </c>
      <c r="G3699" s="1" t="s">
        <v>1428</v>
      </c>
      <c r="H3699" s="1" t="s">
        <v>350</v>
      </c>
      <c r="I3699" s="1">
        <v>6</v>
      </c>
      <c r="K3699" s="1" t="s">
        <v>1441</v>
      </c>
      <c r="L3699" s="1" t="s">
        <v>1442</v>
      </c>
      <c r="M3699" s="1">
        <v>19</v>
      </c>
      <c r="N3699" s="1" t="s">
        <v>39</v>
      </c>
      <c r="O3699" s="1">
        <v>30.270600000000002</v>
      </c>
      <c r="P3699" s="1">
        <v>-93.288600000000002</v>
      </c>
      <c r="Q3699" s="1" t="s">
        <v>353</v>
      </c>
      <c r="R3699" s="1" t="s">
        <v>41</v>
      </c>
      <c r="T3699" s="1" t="s">
        <v>71</v>
      </c>
      <c r="U3699" s="1" t="s">
        <v>44</v>
      </c>
      <c r="X3699" s="1" t="s">
        <v>64</v>
      </c>
      <c r="AA3699" s="3">
        <v>43835</v>
      </c>
      <c r="AB3699" s="1" t="s">
        <v>46</v>
      </c>
      <c r="AC3699" s="5">
        <v>3650</v>
      </c>
      <c r="AD3699" s="1" t="s">
        <v>8191</v>
      </c>
      <c r="AE3699" s="1" t="str">
        <f t="shared" si="258"/>
        <v>60927 1A</v>
      </c>
      <c r="AF3699" s="14">
        <f>MID(AD3699,FIND("(",AD3699)+1,FIND(")",AD3699)-FIND("(",AD3699)-1)+452.5/2</f>
        <v>483.25</v>
      </c>
      <c r="AG3699" s="1" t="str">
        <f t="shared" si="257"/>
        <v>Y</v>
      </c>
    </row>
    <row r="3700" spans="1:33" x14ac:dyDescent="0.2">
      <c r="A3700" s="1" t="s">
        <v>1426</v>
      </c>
      <c r="B3700" s="1" t="s">
        <v>8190</v>
      </c>
      <c r="C3700" s="1">
        <v>60927</v>
      </c>
      <c r="D3700" s="1" t="s">
        <v>1199</v>
      </c>
      <c r="F3700" s="1">
        <v>2023</v>
      </c>
      <c r="G3700" s="1" t="s">
        <v>1428</v>
      </c>
      <c r="H3700" s="1" t="s">
        <v>350</v>
      </c>
      <c r="I3700" s="1">
        <v>6</v>
      </c>
      <c r="K3700" s="1" t="s">
        <v>1441</v>
      </c>
      <c r="L3700" s="1" t="s">
        <v>1442</v>
      </c>
      <c r="M3700" s="1">
        <v>19</v>
      </c>
      <c r="N3700" s="1" t="s">
        <v>39</v>
      </c>
      <c r="O3700" s="1">
        <v>30.270600000000002</v>
      </c>
      <c r="P3700" s="1">
        <v>-93.288600000000002</v>
      </c>
      <c r="Q3700" s="1" t="s">
        <v>353</v>
      </c>
      <c r="R3700" s="1" t="s">
        <v>41</v>
      </c>
      <c r="T3700" s="1" t="s">
        <v>71</v>
      </c>
      <c r="U3700" s="1" t="s">
        <v>44</v>
      </c>
      <c r="X3700" s="1" t="s">
        <v>64</v>
      </c>
      <c r="AA3700" s="3">
        <v>43842</v>
      </c>
      <c r="AB3700" s="1" t="s">
        <v>46</v>
      </c>
      <c r="AC3700" s="5">
        <v>3550</v>
      </c>
      <c r="AD3700" s="1" t="s">
        <v>8192</v>
      </c>
      <c r="AE3700" s="1" t="str">
        <f t="shared" si="258"/>
        <v>60927 1B</v>
      </c>
      <c r="AF3700" s="14">
        <f>AF3699</f>
        <v>483.25</v>
      </c>
      <c r="AG3700" s="1" t="str">
        <f t="shared" si="257"/>
        <v>Y</v>
      </c>
    </row>
    <row r="3701" spans="1:33" x14ac:dyDescent="0.2">
      <c r="A3701" s="1" t="s">
        <v>2584</v>
      </c>
      <c r="B3701" s="1" t="s">
        <v>8193</v>
      </c>
      <c r="C3701" s="1">
        <v>61028</v>
      </c>
      <c r="D3701" s="1" t="s">
        <v>311</v>
      </c>
      <c r="F3701" s="1">
        <v>2023</v>
      </c>
      <c r="G3701" s="1" t="s">
        <v>7828</v>
      </c>
      <c r="H3701" s="1" t="s">
        <v>5871</v>
      </c>
      <c r="I3701" s="1">
        <v>3</v>
      </c>
      <c r="K3701" s="1" t="s">
        <v>1347</v>
      </c>
      <c r="L3701" s="1" t="s">
        <v>2640</v>
      </c>
      <c r="M3701" s="1">
        <v>73</v>
      </c>
      <c r="N3701" s="1" t="s">
        <v>39</v>
      </c>
      <c r="O3701" s="1">
        <v>40.995100000000001</v>
      </c>
      <c r="P3701" s="1">
        <v>-80.430099999999996</v>
      </c>
      <c r="Q3701" s="1" t="s">
        <v>8194</v>
      </c>
      <c r="R3701" s="1" t="s">
        <v>41</v>
      </c>
      <c r="T3701" s="1" t="s">
        <v>71</v>
      </c>
      <c r="U3701" s="1" t="s">
        <v>44</v>
      </c>
      <c r="X3701" s="1" t="s">
        <v>64</v>
      </c>
      <c r="AA3701" s="3">
        <v>43768</v>
      </c>
      <c r="AB3701" s="1" t="s">
        <v>46</v>
      </c>
      <c r="AC3701" s="5">
        <v>3550</v>
      </c>
      <c r="AD3701" s="1" t="s">
        <v>8195</v>
      </c>
      <c r="AE3701" s="1" t="str">
        <f t="shared" si="258"/>
        <v>61028 CT1</v>
      </c>
      <c r="AF3701" s="14">
        <f>MID(AD3701,FIND("(",AD3701)+1,FIND(")",AD3701)-FIND("(",AD3701)-1)+450/2</f>
        <v>536</v>
      </c>
      <c r="AG3701" s="1" t="str">
        <f t="shared" si="257"/>
        <v>Y</v>
      </c>
    </row>
    <row r="3702" spans="1:33" x14ac:dyDescent="0.2">
      <c r="A3702" s="1" t="s">
        <v>2584</v>
      </c>
      <c r="B3702" s="1" t="s">
        <v>8193</v>
      </c>
      <c r="C3702" s="1">
        <v>61028</v>
      </c>
      <c r="D3702" s="1" t="s">
        <v>98</v>
      </c>
      <c r="F3702" s="1">
        <v>2023</v>
      </c>
      <c r="G3702" s="1" t="s">
        <v>7828</v>
      </c>
      <c r="H3702" s="1" t="s">
        <v>5871</v>
      </c>
      <c r="I3702" s="1">
        <v>3</v>
      </c>
      <c r="K3702" s="1" t="s">
        <v>1347</v>
      </c>
      <c r="L3702" s="1" t="s">
        <v>2640</v>
      </c>
      <c r="M3702" s="1">
        <v>73</v>
      </c>
      <c r="N3702" s="1" t="s">
        <v>39</v>
      </c>
      <c r="O3702" s="1">
        <v>40.995100000000001</v>
      </c>
      <c r="P3702" s="1">
        <v>-80.430099999999996</v>
      </c>
      <c r="Q3702" s="1" t="s">
        <v>8194</v>
      </c>
      <c r="R3702" s="1" t="s">
        <v>41</v>
      </c>
      <c r="T3702" s="1" t="s">
        <v>71</v>
      </c>
      <c r="U3702" s="1" t="s">
        <v>44</v>
      </c>
      <c r="X3702" s="1" t="s">
        <v>64</v>
      </c>
      <c r="AA3702" s="3">
        <v>43773</v>
      </c>
      <c r="AB3702" s="1" t="s">
        <v>46</v>
      </c>
      <c r="AC3702" s="5">
        <v>3550</v>
      </c>
      <c r="AD3702" s="1" t="s">
        <v>8196</v>
      </c>
      <c r="AE3702" s="1" t="str">
        <f t="shared" si="258"/>
        <v>61028 CT2</v>
      </c>
      <c r="AF3702" s="14">
        <f>AF3701</f>
        <v>536</v>
      </c>
      <c r="AG3702" s="1" t="str">
        <f t="shared" si="257"/>
        <v>Y</v>
      </c>
    </row>
    <row r="3703" spans="1:33" x14ac:dyDescent="0.2">
      <c r="A3703" s="1" t="s">
        <v>2584</v>
      </c>
      <c r="B3703" s="1" t="s">
        <v>8197</v>
      </c>
      <c r="C3703" s="1">
        <v>61035</v>
      </c>
      <c r="D3703" s="1">
        <v>1</v>
      </c>
      <c r="F3703" s="1">
        <v>2023</v>
      </c>
      <c r="G3703" s="1" t="s">
        <v>7828</v>
      </c>
      <c r="H3703" s="1">
        <v>603749</v>
      </c>
      <c r="I3703" s="1">
        <v>3</v>
      </c>
      <c r="K3703" s="1" t="s">
        <v>5907</v>
      </c>
      <c r="L3703" s="1" t="s">
        <v>5908</v>
      </c>
      <c r="M3703" s="1">
        <v>11</v>
      </c>
      <c r="N3703" s="1" t="s">
        <v>39</v>
      </c>
      <c r="O3703" s="1">
        <v>40.268300000000004</v>
      </c>
      <c r="P3703" s="1">
        <v>-75.8</v>
      </c>
      <c r="Q3703" s="1" t="s">
        <v>8198</v>
      </c>
      <c r="R3703" s="1" t="s">
        <v>41</v>
      </c>
      <c r="T3703" s="1" t="s">
        <v>71</v>
      </c>
      <c r="U3703" s="1" t="s">
        <v>44</v>
      </c>
      <c r="X3703" s="1" t="s">
        <v>64</v>
      </c>
      <c r="AA3703" s="3">
        <v>43503</v>
      </c>
      <c r="AB3703" s="1" t="s">
        <v>46</v>
      </c>
      <c r="AC3703" s="5">
        <v>3345</v>
      </c>
      <c r="AD3703" s="1" t="s">
        <v>8199</v>
      </c>
      <c r="AE3703" s="1" t="str">
        <f t="shared" si="258"/>
        <v>61035 1</v>
      </c>
      <c r="AF3703" s="5" t="str">
        <f t="shared" ref="AF3703:AF3711" si="261">MID(AD3703,FIND("(",AD3703)+1,FIND(")",AD3703)-FIND("(",AD3703)-1)</f>
        <v>488</v>
      </c>
      <c r="AG3703" s="1" t="str">
        <f t="shared" si="257"/>
        <v>Y</v>
      </c>
    </row>
    <row r="3704" spans="1:33" x14ac:dyDescent="0.2">
      <c r="A3704" s="1" t="s">
        <v>2750</v>
      </c>
      <c r="B3704" s="1" t="s">
        <v>8200</v>
      </c>
      <c r="C3704" s="1">
        <v>61144</v>
      </c>
      <c r="D3704" s="1">
        <v>1</v>
      </c>
      <c r="F3704" s="1">
        <v>2023</v>
      </c>
      <c r="G3704" s="1" t="s">
        <v>312</v>
      </c>
      <c r="H3704" s="1">
        <v>607660</v>
      </c>
      <c r="I3704" s="1">
        <v>8</v>
      </c>
      <c r="K3704" s="1" t="s">
        <v>8201</v>
      </c>
      <c r="L3704" s="1" t="s">
        <v>8202</v>
      </c>
      <c r="M3704" s="1">
        <v>39</v>
      </c>
      <c r="N3704" s="1" t="s">
        <v>39</v>
      </c>
      <c r="O3704" s="1">
        <v>44.581200000000003</v>
      </c>
      <c r="P3704" s="1">
        <v>-96.564999999999998</v>
      </c>
      <c r="Q3704" s="1" t="s">
        <v>4533</v>
      </c>
      <c r="R3704" s="1" t="s">
        <v>41</v>
      </c>
      <c r="T3704" s="1" t="s">
        <v>93</v>
      </c>
      <c r="U3704" s="1" t="s">
        <v>44</v>
      </c>
      <c r="X3704" s="1" t="s">
        <v>140</v>
      </c>
      <c r="AA3704" s="3">
        <v>44229</v>
      </c>
      <c r="AB3704" s="1" t="s">
        <v>46</v>
      </c>
      <c r="AC3704" s="5">
        <v>3000</v>
      </c>
      <c r="AD3704" s="1" t="s">
        <v>8203</v>
      </c>
      <c r="AE3704" s="1" t="str">
        <f t="shared" si="258"/>
        <v>61144 1</v>
      </c>
      <c r="AF3704" s="5" t="str">
        <f t="shared" si="261"/>
        <v>349</v>
      </c>
      <c r="AG3704" s="1" t="str">
        <f t="shared" si="257"/>
        <v/>
      </c>
    </row>
    <row r="3705" spans="1:33" x14ac:dyDescent="0.2">
      <c r="A3705" s="1" t="s">
        <v>383</v>
      </c>
      <c r="B3705" s="1" t="s">
        <v>8204</v>
      </c>
      <c r="C3705" s="1">
        <v>61241</v>
      </c>
      <c r="D3705" s="1" t="s">
        <v>311</v>
      </c>
      <c r="F3705" s="1">
        <v>2023</v>
      </c>
      <c r="G3705" s="1" t="s">
        <v>346</v>
      </c>
      <c r="H3705" s="1">
        <v>610344</v>
      </c>
      <c r="I3705" s="1">
        <v>6</v>
      </c>
      <c r="K3705" s="1" t="s">
        <v>2880</v>
      </c>
      <c r="L3705" s="1" t="s">
        <v>2881</v>
      </c>
      <c r="M3705" s="1">
        <v>469</v>
      </c>
      <c r="N3705" s="1" t="s">
        <v>39</v>
      </c>
      <c r="O3705" s="1">
        <v>28.785299999999999</v>
      </c>
      <c r="P3705" s="1">
        <v>-97.009299999999996</v>
      </c>
      <c r="Q3705" s="1" t="s">
        <v>8205</v>
      </c>
      <c r="R3705" s="1" t="s">
        <v>41</v>
      </c>
      <c r="T3705" s="1" t="s">
        <v>93</v>
      </c>
      <c r="U3705" s="1" t="s">
        <v>44</v>
      </c>
      <c r="X3705" s="1" t="s">
        <v>2111</v>
      </c>
      <c r="AA3705" s="3">
        <v>43816</v>
      </c>
      <c r="AB3705" s="1" t="s">
        <v>46</v>
      </c>
      <c r="AC3705" s="5">
        <v>473</v>
      </c>
      <c r="AD3705" s="1" t="s">
        <v>8206</v>
      </c>
      <c r="AE3705" s="1" t="str">
        <f t="shared" si="258"/>
        <v>61241 CT1</v>
      </c>
      <c r="AF3705" s="5" t="str">
        <f t="shared" si="261"/>
        <v>50</v>
      </c>
      <c r="AG3705" s="1" t="str">
        <f t="shared" si="257"/>
        <v>Y</v>
      </c>
    </row>
    <row r="3706" spans="1:33" x14ac:dyDescent="0.2">
      <c r="A3706" s="1" t="s">
        <v>383</v>
      </c>
      <c r="B3706" s="1" t="s">
        <v>8204</v>
      </c>
      <c r="C3706" s="1">
        <v>61241</v>
      </c>
      <c r="D3706" s="1" t="s">
        <v>98</v>
      </c>
      <c r="F3706" s="1">
        <v>2023</v>
      </c>
      <c r="G3706" s="1" t="s">
        <v>346</v>
      </c>
      <c r="H3706" s="1">
        <v>610344</v>
      </c>
      <c r="I3706" s="1">
        <v>6</v>
      </c>
      <c r="K3706" s="1" t="s">
        <v>2880</v>
      </c>
      <c r="L3706" s="1" t="s">
        <v>2881</v>
      </c>
      <c r="M3706" s="1">
        <v>469</v>
      </c>
      <c r="N3706" s="1" t="s">
        <v>39</v>
      </c>
      <c r="O3706" s="1">
        <v>28.785299999999999</v>
      </c>
      <c r="P3706" s="1">
        <v>-97.009299999999996</v>
      </c>
      <c r="Q3706" s="1" t="s">
        <v>8205</v>
      </c>
      <c r="R3706" s="1" t="s">
        <v>41</v>
      </c>
      <c r="T3706" s="1" t="s">
        <v>93</v>
      </c>
      <c r="U3706" s="1" t="s">
        <v>44</v>
      </c>
      <c r="X3706" s="1" t="s">
        <v>2111</v>
      </c>
      <c r="AA3706" s="3">
        <v>43816</v>
      </c>
      <c r="AB3706" s="1" t="s">
        <v>46</v>
      </c>
      <c r="AC3706" s="5">
        <v>473</v>
      </c>
      <c r="AD3706" s="1" t="s">
        <v>8207</v>
      </c>
      <c r="AE3706" s="1" t="str">
        <f t="shared" si="258"/>
        <v>61241 CT2</v>
      </c>
      <c r="AF3706" s="5" t="str">
        <f t="shared" si="261"/>
        <v>50</v>
      </c>
      <c r="AG3706" s="1" t="str">
        <f t="shared" si="257"/>
        <v>Y</v>
      </c>
    </row>
    <row r="3707" spans="1:33" x14ac:dyDescent="0.2">
      <c r="A3707" s="1" t="s">
        <v>383</v>
      </c>
      <c r="B3707" s="1" t="s">
        <v>8208</v>
      </c>
      <c r="C3707" s="1">
        <v>61242</v>
      </c>
      <c r="D3707" s="1" t="s">
        <v>311</v>
      </c>
      <c r="F3707" s="1">
        <v>2023</v>
      </c>
      <c r="G3707" s="1" t="s">
        <v>346</v>
      </c>
      <c r="H3707" s="1">
        <v>610344</v>
      </c>
      <c r="I3707" s="1">
        <v>6</v>
      </c>
      <c r="K3707" s="1" t="s">
        <v>2880</v>
      </c>
      <c r="L3707" s="1" t="s">
        <v>2881</v>
      </c>
      <c r="M3707" s="1">
        <v>469</v>
      </c>
      <c r="N3707" s="1" t="s">
        <v>39</v>
      </c>
      <c r="O3707" s="1">
        <v>28.695799999999998</v>
      </c>
      <c r="P3707" s="1">
        <v>-96.945400000000006</v>
      </c>
      <c r="Q3707" s="1" t="s">
        <v>8205</v>
      </c>
      <c r="R3707" s="1" t="s">
        <v>41</v>
      </c>
      <c r="T3707" s="1" t="s">
        <v>93</v>
      </c>
      <c r="U3707" s="1" t="s">
        <v>44</v>
      </c>
      <c r="X3707" s="1" t="s">
        <v>2111</v>
      </c>
      <c r="AA3707" s="3">
        <v>43549</v>
      </c>
      <c r="AB3707" s="1" t="s">
        <v>46</v>
      </c>
      <c r="AC3707" s="5">
        <v>473</v>
      </c>
      <c r="AD3707" s="1" t="s">
        <v>8209</v>
      </c>
      <c r="AE3707" s="1" t="str">
        <f t="shared" si="258"/>
        <v>61242 CT1</v>
      </c>
      <c r="AF3707" s="5" t="str">
        <f t="shared" si="261"/>
        <v>50</v>
      </c>
      <c r="AG3707" s="1" t="str">
        <f t="shared" si="257"/>
        <v>Y</v>
      </c>
    </row>
    <row r="3708" spans="1:33" x14ac:dyDescent="0.2">
      <c r="A3708" s="1" t="s">
        <v>383</v>
      </c>
      <c r="B3708" s="1" t="s">
        <v>8208</v>
      </c>
      <c r="C3708" s="1">
        <v>61242</v>
      </c>
      <c r="D3708" s="1" t="s">
        <v>98</v>
      </c>
      <c r="F3708" s="1">
        <v>2023</v>
      </c>
      <c r="G3708" s="1" t="s">
        <v>346</v>
      </c>
      <c r="H3708" s="1">
        <v>610344</v>
      </c>
      <c r="I3708" s="1">
        <v>6</v>
      </c>
      <c r="K3708" s="1" t="s">
        <v>2880</v>
      </c>
      <c r="L3708" s="1" t="s">
        <v>2881</v>
      </c>
      <c r="M3708" s="1">
        <v>469</v>
      </c>
      <c r="N3708" s="1" t="s">
        <v>39</v>
      </c>
      <c r="O3708" s="1">
        <v>28.695799999999998</v>
      </c>
      <c r="P3708" s="1">
        <v>-96.945400000000006</v>
      </c>
      <c r="Q3708" s="1" t="s">
        <v>8205</v>
      </c>
      <c r="R3708" s="1" t="s">
        <v>41</v>
      </c>
      <c r="T3708" s="1" t="s">
        <v>93</v>
      </c>
      <c r="U3708" s="1" t="s">
        <v>44</v>
      </c>
      <c r="X3708" s="1" t="s">
        <v>2111</v>
      </c>
      <c r="AA3708" s="3">
        <v>43557</v>
      </c>
      <c r="AB3708" s="1" t="s">
        <v>46</v>
      </c>
      <c r="AC3708" s="5">
        <v>473</v>
      </c>
      <c r="AD3708" s="1" t="s">
        <v>8210</v>
      </c>
      <c r="AE3708" s="1" t="str">
        <f t="shared" si="258"/>
        <v>61242 CT2</v>
      </c>
      <c r="AF3708" s="5" t="str">
        <f t="shared" si="261"/>
        <v>50</v>
      </c>
      <c r="AG3708" s="1" t="str">
        <f t="shared" si="257"/>
        <v>Y</v>
      </c>
    </row>
    <row r="3709" spans="1:33" x14ac:dyDescent="0.2">
      <c r="A3709" s="1" t="s">
        <v>2430</v>
      </c>
      <c r="B3709" s="1" t="s">
        <v>8211</v>
      </c>
      <c r="C3709" s="1">
        <v>61322</v>
      </c>
      <c r="D3709" s="1" t="s">
        <v>194</v>
      </c>
      <c r="F3709" s="1">
        <v>2023</v>
      </c>
      <c r="G3709" s="1" t="s">
        <v>6843</v>
      </c>
      <c r="H3709" s="1">
        <v>609464</v>
      </c>
      <c r="I3709" s="1">
        <v>5</v>
      </c>
      <c r="K3709" s="1" t="s">
        <v>1652</v>
      </c>
      <c r="L3709" s="1" t="s">
        <v>8212</v>
      </c>
      <c r="M3709" s="1">
        <v>111</v>
      </c>
      <c r="N3709" s="1" t="s">
        <v>39</v>
      </c>
      <c r="O3709" s="1">
        <v>39.702500000000001</v>
      </c>
      <c r="P3709" s="1">
        <v>-80.845500000000001</v>
      </c>
      <c r="Q3709" s="1" t="s">
        <v>8213</v>
      </c>
      <c r="R3709" s="1" t="s">
        <v>41</v>
      </c>
      <c r="T3709" s="1" t="s">
        <v>71</v>
      </c>
      <c r="U3709" s="1" t="s">
        <v>44</v>
      </c>
      <c r="X3709" s="1" t="s">
        <v>64</v>
      </c>
      <c r="AA3709" s="3">
        <v>44348</v>
      </c>
      <c r="AB3709" s="1" t="s">
        <v>46</v>
      </c>
      <c r="AC3709" s="5">
        <v>3400</v>
      </c>
      <c r="AD3709" s="1" t="s">
        <v>8214</v>
      </c>
      <c r="AE3709" s="1" t="str">
        <f t="shared" si="258"/>
        <v>61322 CC1</v>
      </c>
      <c r="AF3709" s="5" t="str">
        <f t="shared" si="261"/>
        <v>521.9</v>
      </c>
      <c r="AG3709" s="1" t="str">
        <f t="shared" si="257"/>
        <v>Y</v>
      </c>
    </row>
    <row r="3710" spans="1:33" x14ac:dyDescent="0.2">
      <c r="A3710" s="1" t="s">
        <v>383</v>
      </c>
      <c r="B3710" s="1" t="s">
        <v>8215</v>
      </c>
      <c r="C3710" s="1">
        <v>61966</v>
      </c>
      <c r="D3710" s="1" t="s">
        <v>311</v>
      </c>
      <c r="F3710" s="1">
        <v>2023</v>
      </c>
      <c r="G3710" s="1" t="s">
        <v>346</v>
      </c>
      <c r="H3710" s="1" t="s">
        <v>8147</v>
      </c>
      <c r="I3710" s="1">
        <v>6</v>
      </c>
      <c r="K3710" s="1" t="s">
        <v>2880</v>
      </c>
      <c r="L3710" s="1" t="s">
        <v>2881</v>
      </c>
      <c r="M3710" s="1">
        <v>469</v>
      </c>
      <c r="N3710" s="1" t="s">
        <v>39</v>
      </c>
      <c r="O3710" s="1">
        <v>28.6967</v>
      </c>
      <c r="P3710" s="1">
        <v>-96.944900000000004</v>
      </c>
      <c r="Q3710" s="1" t="s">
        <v>8216</v>
      </c>
      <c r="R3710" s="1" t="s">
        <v>41</v>
      </c>
      <c r="T3710" s="1" t="s">
        <v>93</v>
      </c>
      <c r="U3710" s="1" t="s">
        <v>44</v>
      </c>
      <c r="X3710" s="1" t="s">
        <v>223</v>
      </c>
      <c r="AA3710" s="3">
        <v>44511</v>
      </c>
      <c r="AB3710" s="1" t="s">
        <v>46</v>
      </c>
      <c r="AC3710" s="5">
        <v>515</v>
      </c>
      <c r="AD3710" s="1" t="s">
        <v>8217</v>
      </c>
      <c r="AE3710" s="1" t="str">
        <f t="shared" si="258"/>
        <v>61966 CT1</v>
      </c>
      <c r="AF3710" s="5" t="str">
        <f t="shared" si="261"/>
        <v>50</v>
      </c>
      <c r="AG3710" s="1" t="str">
        <f t="shared" si="257"/>
        <v>Y</v>
      </c>
    </row>
    <row r="3711" spans="1:33" x14ac:dyDescent="0.2">
      <c r="A3711" s="1" t="s">
        <v>383</v>
      </c>
      <c r="B3711" s="1" t="s">
        <v>8215</v>
      </c>
      <c r="C3711" s="1">
        <v>61966</v>
      </c>
      <c r="D3711" s="1" t="s">
        <v>98</v>
      </c>
      <c r="F3711" s="1">
        <v>2023</v>
      </c>
      <c r="G3711" s="1" t="s">
        <v>346</v>
      </c>
      <c r="H3711" s="1" t="s">
        <v>8147</v>
      </c>
      <c r="I3711" s="1">
        <v>6</v>
      </c>
      <c r="K3711" s="1" t="s">
        <v>2880</v>
      </c>
      <c r="L3711" s="1" t="s">
        <v>2881</v>
      </c>
      <c r="M3711" s="1">
        <v>469</v>
      </c>
      <c r="N3711" s="1" t="s">
        <v>39</v>
      </c>
      <c r="O3711" s="1">
        <v>28.6967</v>
      </c>
      <c r="P3711" s="1">
        <v>-96.944900000000004</v>
      </c>
      <c r="Q3711" s="1" t="s">
        <v>8216</v>
      </c>
      <c r="R3711" s="1" t="s">
        <v>41</v>
      </c>
      <c r="T3711" s="1" t="s">
        <v>93</v>
      </c>
      <c r="U3711" s="1" t="s">
        <v>44</v>
      </c>
      <c r="X3711" s="1" t="s">
        <v>223</v>
      </c>
      <c r="AA3711" s="3">
        <v>44460</v>
      </c>
      <c r="AB3711" s="1" t="s">
        <v>46</v>
      </c>
      <c r="AC3711" s="5">
        <v>515</v>
      </c>
      <c r="AD3711" s="1" t="s">
        <v>8218</v>
      </c>
      <c r="AE3711" s="1" t="str">
        <f t="shared" si="258"/>
        <v>61966 CT2</v>
      </c>
      <c r="AF3711" s="5" t="str">
        <f t="shared" si="261"/>
        <v>50</v>
      </c>
      <c r="AG3711" s="1" t="str">
        <f t="shared" si="257"/>
        <v>Y</v>
      </c>
    </row>
    <row r="3712" spans="1:33" x14ac:dyDescent="0.2">
      <c r="A3712" s="1" t="s">
        <v>1621</v>
      </c>
      <c r="B3712" s="1" t="s">
        <v>8219</v>
      </c>
      <c r="C3712" s="1">
        <v>62192</v>
      </c>
      <c r="D3712" s="1">
        <v>11</v>
      </c>
      <c r="F3712" s="1">
        <v>2023</v>
      </c>
      <c r="G3712" s="1" t="s">
        <v>6843</v>
      </c>
      <c r="H3712" s="1" t="s">
        <v>1639</v>
      </c>
      <c r="I3712" s="1">
        <v>5</v>
      </c>
      <c r="K3712" s="1" t="s">
        <v>3352</v>
      </c>
      <c r="L3712" s="1" t="s">
        <v>3353</v>
      </c>
      <c r="M3712" s="1">
        <v>147</v>
      </c>
      <c r="N3712" s="1" t="s">
        <v>39</v>
      </c>
      <c r="O3712" s="1">
        <v>42.776299999999999</v>
      </c>
      <c r="P3712" s="1">
        <v>-82.481300000000005</v>
      </c>
      <c r="Q3712" s="1" t="s">
        <v>8220</v>
      </c>
      <c r="R3712" s="1" t="s">
        <v>41</v>
      </c>
      <c r="T3712" s="1" t="s">
        <v>71</v>
      </c>
      <c r="U3712" s="1" t="s">
        <v>44</v>
      </c>
      <c r="X3712" s="1" t="s">
        <v>64</v>
      </c>
      <c r="AA3712" s="3">
        <v>44503</v>
      </c>
      <c r="AB3712" s="1" t="s">
        <v>46</v>
      </c>
      <c r="AC3712" s="5">
        <v>4458</v>
      </c>
      <c r="AD3712" s="1" t="s">
        <v>8221</v>
      </c>
      <c r="AE3712" s="1" t="str">
        <f t="shared" si="258"/>
        <v>62192 11</v>
      </c>
      <c r="AF3712" s="14">
        <f>MID(AD3712,FIND("(",AD3712)+1,FIND(")",AD3712)-FIND("(",AD3712)-1)+478.6/2</f>
        <v>633.70000000000005</v>
      </c>
      <c r="AG3712" s="1" t="str">
        <f t="shared" si="257"/>
        <v>Y</v>
      </c>
    </row>
    <row r="3713" spans="1:33" x14ac:dyDescent="0.2">
      <c r="A3713" s="1" t="s">
        <v>1621</v>
      </c>
      <c r="B3713" s="1" t="s">
        <v>8219</v>
      </c>
      <c r="C3713" s="1">
        <v>62192</v>
      </c>
      <c r="D3713" s="1">
        <v>12</v>
      </c>
      <c r="F3713" s="1">
        <v>2023</v>
      </c>
      <c r="G3713" s="1" t="s">
        <v>6843</v>
      </c>
      <c r="H3713" s="1" t="s">
        <v>1639</v>
      </c>
      <c r="I3713" s="1">
        <v>5</v>
      </c>
      <c r="K3713" s="1" t="s">
        <v>3352</v>
      </c>
      <c r="L3713" s="1" t="s">
        <v>3353</v>
      </c>
      <c r="M3713" s="1">
        <v>147</v>
      </c>
      <c r="N3713" s="1" t="s">
        <v>39</v>
      </c>
      <c r="O3713" s="1">
        <v>42.776299999999999</v>
      </c>
      <c r="P3713" s="1">
        <v>-82.481300000000005</v>
      </c>
      <c r="Q3713" s="1" t="s">
        <v>8220</v>
      </c>
      <c r="R3713" s="1" t="s">
        <v>41</v>
      </c>
      <c r="T3713" s="1" t="s">
        <v>71</v>
      </c>
      <c r="U3713" s="1" t="s">
        <v>44</v>
      </c>
      <c r="X3713" s="1" t="s">
        <v>64</v>
      </c>
      <c r="AA3713" s="3">
        <v>44514</v>
      </c>
      <c r="AB3713" s="1" t="s">
        <v>46</v>
      </c>
      <c r="AC3713" s="5">
        <v>4458</v>
      </c>
      <c r="AD3713" s="1" t="s">
        <v>8222</v>
      </c>
      <c r="AE3713" s="1" t="str">
        <f t="shared" si="258"/>
        <v>62192 12</v>
      </c>
      <c r="AF3713" s="14">
        <f>AF3712</f>
        <v>633.70000000000005</v>
      </c>
      <c r="AG3713" s="1" t="str">
        <f t="shared" si="257"/>
        <v>Y</v>
      </c>
    </row>
    <row r="3714" spans="1:33" x14ac:dyDescent="0.2">
      <c r="A3714" s="1" t="s">
        <v>383</v>
      </c>
      <c r="B3714" s="1" t="s">
        <v>8223</v>
      </c>
      <c r="C3714" s="1">
        <v>62548</v>
      </c>
      <c r="D3714" s="1" t="s">
        <v>311</v>
      </c>
      <c r="E3714" s="1" t="s">
        <v>1156</v>
      </c>
      <c r="F3714" s="1">
        <v>2023</v>
      </c>
      <c r="G3714" s="1" t="s">
        <v>346</v>
      </c>
      <c r="H3714" s="1">
        <v>609948</v>
      </c>
      <c r="I3714" s="1">
        <v>6</v>
      </c>
      <c r="K3714" s="1" t="s">
        <v>4063</v>
      </c>
      <c r="L3714" s="1" t="s">
        <v>4064</v>
      </c>
      <c r="M3714" s="1">
        <v>201</v>
      </c>
      <c r="N3714" s="1" t="s">
        <v>39</v>
      </c>
      <c r="O3714" s="1">
        <v>29.881900000000002</v>
      </c>
      <c r="P3714" s="1">
        <v>-95.111400000000003</v>
      </c>
      <c r="Q3714" s="1" t="s">
        <v>8224</v>
      </c>
      <c r="R3714" s="1" t="s">
        <v>41</v>
      </c>
      <c r="T3714" s="1" t="s">
        <v>93</v>
      </c>
      <c r="U3714" s="1" t="s">
        <v>44</v>
      </c>
      <c r="X3714" s="1" t="s">
        <v>223</v>
      </c>
      <c r="AA3714" s="3">
        <v>44707</v>
      </c>
      <c r="AB3714" s="1" t="s">
        <v>46</v>
      </c>
      <c r="AC3714" s="5">
        <v>550</v>
      </c>
      <c r="AD3714" s="1" t="s">
        <v>8225</v>
      </c>
      <c r="AE3714" s="1" t="str">
        <f t="shared" si="258"/>
        <v>62548 CT1</v>
      </c>
      <c r="AF3714" s="5" t="str">
        <f t="shared" ref="AF3714:AF3721" si="262">MID(AD3714,FIND("(",AD3714)+1,FIND(")",AD3714)-FIND("(",AD3714)-1)</f>
        <v>50</v>
      </c>
      <c r="AG3714" s="1" t="str">
        <f t="shared" ref="AG3714:AG3768" si="263">IF(ISNUMBER(SEARCH("selective", X3714)), "Y", "")</f>
        <v>Y</v>
      </c>
    </row>
    <row r="3715" spans="1:33" x14ac:dyDescent="0.2">
      <c r="A3715" s="1" t="s">
        <v>383</v>
      </c>
      <c r="B3715" s="1" t="s">
        <v>8223</v>
      </c>
      <c r="C3715" s="1">
        <v>62548</v>
      </c>
      <c r="D3715" s="1" t="s">
        <v>98</v>
      </c>
      <c r="E3715" s="1" t="s">
        <v>1156</v>
      </c>
      <c r="F3715" s="1">
        <v>2023</v>
      </c>
      <c r="G3715" s="1" t="s">
        <v>346</v>
      </c>
      <c r="H3715" s="1">
        <v>609948</v>
      </c>
      <c r="I3715" s="1">
        <v>6</v>
      </c>
      <c r="K3715" s="1" t="s">
        <v>4063</v>
      </c>
      <c r="L3715" s="1" t="s">
        <v>4064</v>
      </c>
      <c r="M3715" s="1">
        <v>201</v>
      </c>
      <c r="N3715" s="1" t="s">
        <v>39</v>
      </c>
      <c r="O3715" s="1">
        <v>29.881900000000002</v>
      </c>
      <c r="P3715" s="1">
        <v>-95.111400000000003</v>
      </c>
      <c r="Q3715" s="1" t="s">
        <v>8224</v>
      </c>
      <c r="R3715" s="1" t="s">
        <v>41</v>
      </c>
      <c r="T3715" s="1" t="s">
        <v>93</v>
      </c>
      <c r="U3715" s="1" t="s">
        <v>44</v>
      </c>
      <c r="X3715" s="1" t="s">
        <v>223</v>
      </c>
      <c r="AA3715" s="3">
        <v>44706</v>
      </c>
      <c r="AB3715" s="1" t="s">
        <v>46</v>
      </c>
      <c r="AC3715" s="5">
        <v>510</v>
      </c>
      <c r="AD3715" s="1" t="s">
        <v>8226</v>
      </c>
      <c r="AE3715" s="1" t="str">
        <f t="shared" ref="AE3715:AE3768" si="264">C3715&amp;" "&amp;D3715</f>
        <v>62548 CT2</v>
      </c>
      <c r="AF3715" s="5" t="str">
        <f t="shared" si="262"/>
        <v>50</v>
      </c>
      <c r="AG3715" s="1" t="str">
        <f t="shared" si="263"/>
        <v>Y</v>
      </c>
    </row>
    <row r="3716" spans="1:33" x14ac:dyDescent="0.2">
      <c r="A3716" s="1" t="s">
        <v>2584</v>
      </c>
      <c r="B3716" s="1" t="s">
        <v>8227</v>
      </c>
      <c r="C3716" s="1">
        <v>62565</v>
      </c>
      <c r="D3716" s="1">
        <v>1</v>
      </c>
      <c r="F3716" s="1">
        <v>2023</v>
      </c>
      <c r="G3716" s="1" t="s">
        <v>7828</v>
      </c>
      <c r="H3716" s="1">
        <v>606325</v>
      </c>
      <c r="I3716" s="1">
        <v>3</v>
      </c>
      <c r="K3716" s="1" t="s">
        <v>81</v>
      </c>
      <c r="L3716" s="1" t="s">
        <v>8228</v>
      </c>
      <c r="M3716" s="1">
        <v>59</v>
      </c>
      <c r="N3716" s="1" t="s">
        <v>39</v>
      </c>
      <c r="O3716" s="1">
        <v>39.893099999999997</v>
      </c>
      <c r="P3716" s="1">
        <v>-79.930800000000005</v>
      </c>
      <c r="Q3716" s="1" t="s">
        <v>8229</v>
      </c>
      <c r="R3716" s="1" t="s">
        <v>41</v>
      </c>
      <c r="T3716" s="1" t="s">
        <v>71</v>
      </c>
      <c r="U3716" s="1" t="s">
        <v>44</v>
      </c>
      <c r="X3716" s="1" t="s">
        <v>64</v>
      </c>
      <c r="AA3716" s="3">
        <v>44287</v>
      </c>
      <c r="AB3716" s="1" t="s">
        <v>46</v>
      </c>
      <c r="AC3716" s="5">
        <v>4550</v>
      </c>
      <c r="AD3716" s="1" t="s">
        <v>8230</v>
      </c>
      <c r="AE3716" s="1" t="str">
        <f t="shared" si="264"/>
        <v>62565 1</v>
      </c>
      <c r="AF3716" s="5" t="str">
        <f t="shared" si="262"/>
        <v>664.7</v>
      </c>
      <c r="AG3716" s="1" t="str">
        <f t="shared" si="263"/>
        <v>Y</v>
      </c>
    </row>
    <row r="3717" spans="1:33" x14ac:dyDescent="0.2">
      <c r="A3717" s="1" t="s">
        <v>458</v>
      </c>
      <c r="B3717" s="1" t="s">
        <v>8231</v>
      </c>
      <c r="C3717" s="1">
        <v>62926</v>
      </c>
      <c r="D3717" s="1" t="s">
        <v>8232</v>
      </c>
      <c r="F3717" s="1">
        <v>2023</v>
      </c>
      <c r="G3717" s="1" t="s">
        <v>6843</v>
      </c>
      <c r="H3717" s="1" t="s">
        <v>8233</v>
      </c>
      <c r="I3717" s="1">
        <v>5</v>
      </c>
      <c r="K3717" s="1" t="s">
        <v>463</v>
      </c>
      <c r="L3717" s="1" t="s">
        <v>464</v>
      </c>
      <c r="M3717" s="1">
        <v>197</v>
      </c>
      <c r="N3717" s="1" t="s">
        <v>39</v>
      </c>
      <c r="O3717" s="1">
        <v>41.438800000000001</v>
      </c>
      <c r="P3717" s="1">
        <v>-88.111000000000004</v>
      </c>
      <c r="Q3717" s="1" t="s">
        <v>8234</v>
      </c>
      <c r="R3717" s="1" t="s">
        <v>41</v>
      </c>
      <c r="T3717" s="1" t="s">
        <v>71</v>
      </c>
      <c r="U3717" s="1" t="s">
        <v>44</v>
      </c>
      <c r="X3717" s="1" t="s">
        <v>64</v>
      </c>
      <c r="AA3717" s="3">
        <v>44528</v>
      </c>
      <c r="AB3717" s="1" t="s">
        <v>46</v>
      </c>
      <c r="AC3717" s="5">
        <v>4281</v>
      </c>
      <c r="AD3717" s="1" t="s">
        <v>8235</v>
      </c>
      <c r="AE3717" s="1" t="str">
        <f t="shared" si="264"/>
        <v>62926 CTG-01</v>
      </c>
      <c r="AF3717" s="5" t="str">
        <f t="shared" si="262"/>
        <v>644.3</v>
      </c>
      <c r="AG3717" s="1" t="str">
        <f t="shared" si="263"/>
        <v>Y</v>
      </c>
    </row>
    <row r="3718" spans="1:33" x14ac:dyDescent="0.2">
      <c r="A3718" s="1" t="s">
        <v>458</v>
      </c>
      <c r="B3718" s="1" t="s">
        <v>8231</v>
      </c>
      <c r="C3718" s="1">
        <v>62926</v>
      </c>
      <c r="D3718" s="1" t="s">
        <v>8236</v>
      </c>
      <c r="F3718" s="1">
        <v>2023</v>
      </c>
      <c r="G3718" s="1" t="s">
        <v>6843</v>
      </c>
      <c r="H3718" s="1" t="s">
        <v>8233</v>
      </c>
      <c r="I3718" s="1">
        <v>5</v>
      </c>
      <c r="K3718" s="1" t="s">
        <v>463</v>
      </c>
      <c r="L3718" s="1" t="s">
        <v>464</v>
      </c>
      <c r="M3718" s="1">
        <v>197</v>
      </c>
      <c r="N3718" s="1" t="s">
        <v>39</v>
      </c>
      <c r="O3718" s="1">
        <v>41.438800000000001</v>
      </c>
      <c r="P3718" s="1">
        <v>-88.111000000000004</v>
      </c>
      <c r="Q3718" s="1" t="s">
        <v>8234</v>
      </c>
      <c r="R3718" s="1" t="s">
        <v>41</v>
      </c>
      <c r="T3718" s="1" t="s">
        <v>71</v>
      </c>
      <c r="U3718" s="1" t="s">
        <v>44</v>
      </c>
      <c r="X3718" s="1" t="s">
        <v>64</v>
      </c>
      <c r="AA3718" s="3">
        <v>44557</v>
      </c>
      <c r="AB3718" s="1" t="s">
        <v>46</v>
      </c>
      <c r="AC3718" s="5">
        <v>4281</v>
      </c>
      <c r="AD3718" s="1" t="s">
        <v>8237</v>
      </c>
      <c r="AE3718" s="1" t="str">
        <f t="shared" si="264"/>
        <v>62926 CTG-02</v>
      </c>
      <c r="AF3718" s="5" t="str">
        <f t="shared" si="262"/>
        <v>644.3</v>
      </c>
      <c r="AG3718" s="1" t="str">
        <f t="shared" si="263"/>
        <v>Y</v>
      </c>
    </row>
    <row r="3719" spans="1:33" x14ac:dyDescent="0.2">
      <c r="A3719" s="1" t="s">
        <v>2430</v>
      </c>
      <c r="B3719" s="1" t="s">
        <v>8238</v>
      </c>
      <c r="C3719" s="1">
        <v>62949</v>
      </c>
      <c r="D3719" s="1" t="s">
        <v>4239</v>
      </c>
      <c r="F3719" s="1">
        <v>2023</v>
      </c>
      <c r="G3719" s="1" t="s">
        <v>6843</v>
      </c>
      <c r="H3719" s="1">
        <v>1245</v>
      </c>
      <c r="I3719" s="1">
        <v>5</v>
      </c>
      <c r="K3719" s="1" t="s">
        <v>8239</v>
      </c>
      <c r="L3719" s="1" t="s">
        <v>8240</v>
      </c>
      <c r="M3719" s="1">
        <v>59</v>
      </c>
      <c r="N3719" s="1" t="s">
        <v>39</v>
      </c>
      <c r="O3719" s="1">
        <v>39.938699999999997</v>
      </c>
      <c r="P3719" s="1">
        <v>-81.536299999999997</v>
      </c>
      <c r="Q3719" s="1" t="s">
        <v>8241</v>
      </c>
      <c r="R3719" s="1" t="s">
        <v>41</v>
      </c>
      <c r="T3719" s="1" t="s">
        <v>71</v>
      </c>
      <c r="U3719" s="1" t="s">
        <v>44</v>
      </c>
      <c r="X3719" s="1" t="s">
        <v>64</v>
      </c>
      <c r="AA3719" s="3">
        <v>44827</v>
      </c>
      <c r="AB3719" s="1" t="s">
        <v>46</v>
      </c>
      <c r="AC3719" s="5">
        <v>4500</v>
      </c>
      <c r="AD3719" s="1" t="s">
        <v>8242</v>
      </c>
      <c r="AE3719" s="1" t="str">
        <f t="shared" si="264"/>
        <v>62949 P001</v>
      </c>
      <c r="AF3719" s="5" t="str">
        <f t="shared" si="262"/>
        <v>652.8</v>
      </c>
      <c r="AG3719" s="1" t="str">
        <f t="shared" si="263"/>
        <v>Y</v>
      </c>
    </row>
    <row r="3720" spans="1:33" x14ac:dyDescent="0.2">
      <c r="A3720" s="1" t="s">
        <v>2430</v>
      </c>
      <c r="B3720" s="1" t="s">
        <v>8238</v>
      </c>
      <c r="C3720" s="1">
        <v>62949</v>
      </c>
      <c r="D3720" s="1" t="s">
        <v>8243</v>
      </c>
      <c r="F3720" s="1">
        <v>2023</v>
      </c>
      <c r="G3720" s="1" t="s">
        <v>6843</v>
      </c>
      <c r="H3720" s="1">
        <v>1245</v>
      </c>
      <c r="I3720" s="1">
        <v>5</v>
      </c>
      <c r="K3720" s="1" t="s">
        <v>8239</v>
      </c>
      <c r="L3720" s="1" t="s">
        <v>8240</v>
      </c>
      <c r="M3720" s="1">
        <v>59</v>
      </c>
      <c r="N3720" s="1" t="s">
        <v>39</v>
      </c>
      <c r="O3720" s="1">
        <v>39.938699999999997</v>
      </c>
      <c r="P3720" s="1">
        <v>-81.536299999999997</v>
      </c>
      <c r="Q3720" s="1" t="s">
        <v>8241</v>
      </c>
      <c r="R3720" s="1" t="s">
        <v>41</v>
      </c>
      <c r="T3720" s="1" t="s">
        <v>71</v>
      </c>
      <c r="U3720" s="1" t="s">
        <v>44</v>
      </c>
      <c r="X3720" s="1" t="s">
        <v>64</v>
      </c>
      <c r="AA3720" s="3">
        <v>44821</v>
      </c>
      <c r="AB3720" s="1" t="s">
        <v>46</v>
      </c>
      <c r="AC3720" s="5">
        <v>4500</v>
      </c>
      <c r="AD3720" s="1" t="s">
        <v>8244</v>
      </c>
      <c r="AE3720" s="1" t="str">
        <f t="shared" si="264"/>
        <v>62949 P002</v>
      </c>
      <c r="AF3720" s="5" t="str">
        <f t="shared" si="262"/>
        <v>652.8</v>
      </c>
      <c r="AG3720" s="1" t="str">
        <f t="shared" si="263"/>
        <v>Y</v>
      </c>
    </row>
    <row r="3721" spans="1:33" x14ac:dyDescent="0.2">
      <c r="A3721" s="1" t="s">
        <v>2430</v>
      </c>
      <c r="B3721" s="1" t="s">
        <v>8238</v>
      </c>
      <c r="C3721" s="1">
        <v>62949</v>
      </c>
      <c r="D3721" s="1" t="s">
        <v>8245</v>
      </c>
      <c r="F3721" s="1">
        <v>2023</v>
      </c>
      <c r="G3721" s="1" t="s">
        <v>6843</v>
      </c>
      <c r="H3721" s="1">
        <v>1245</v>
      </c>
      <c r="I3721" s="1">
        <v>5</v>
      </c>
      <c r="K3721" s="1" t="s">
        <v>8239</v>
      </c>
      <c r="L3721" s="1" t="s">
        <v>8240</v>
      </c>
      <c r="M3721" s="1">
        <v>59</v>
      </c>
      <c r="N3721" s="1" t="s">
        <v>39</v>
      </c>
      <c r="O3721" s="1">
        <v>39.938699999999997</v>
      </c>
      <c r="P3721" s="1">
        <v>-81.536299999999997</v>
      </c>
      <c r="Q3721" s="1" t="s">
        <v>8241</v>
      </c>
      <c r="R3721" s="1" t="s">
        <v>41</v>
      </c>
      <c r="T3721" s="1" t="s">
        <v>71</v>
      </c>
      <c r="U3721" s="1" t="s">
        <v>44</v>
      </c>
      <c r="X3721" s="1" t="s">
        <v>64</v>
      </c>
      <c r="AA3721" s="3">
        <v>44867</v>
      </c>
      <c r="AB3721" s="1" t="s">
        <v>46</v>
      </c>
      <c r="AC3721" s="5">
        <v>4500</v>
      </c>
      <c r="AD3721" s="1" t="s">
        <v>8246</v>
      </c>
      <c r="AE3721" s="1" t="str">
        <f t="shared" si="264"/>
        <v>62949 P003</v>
      </c>
      <c r="AF3721" s="5" t="str">
        <f t="shared" si="262"/>
        <v>652.8</v>
      </c>
      <c r="AG3721" s="1" t="str">
        <f t="shared" si="263"/>
        <v>Y</v>
      </c>
    </row>
    <row r="3722" spans="1:33" x14ac:dyDescent="0.2">
      <c r="A3722" s="1" t="s">
        <v>1621</v>
      </c>
      <c r="B3722" s="1" t="s">
        <v>8247</v>
      </c>
      <c r="C3722" s="1">
        <v>63259</v>
      </c>
      <c r="D3722" s="1" t="s">
        <v>8248</v>
      </c>
      <c r="F3722" s="1">
        <v>2023</v>
      </c>
      <c r="G3722" s="1" t="s">
        <v>6843</v>
      </c>
      <c r="H3722" s="1">
        <v>608475</v>
      </c>
      <c r="I3722" s="1">
        <v>5</v>
      </c>
      <c r="K3722" s="1" t="s">
        <v>8249</v>
      </c>
      <c r="L3722" s="1" t="s">
        <v>8250</v>
      </c>
      <c r="M3722" s="1">
        <v>45</v>
      </c>
      <c r="N3722" s="1" t="s">
        <v>39</v>
      </c>
      <c r="O3722" s="1">
        <v>42.690600000000003</v>
      </c>
      <c r="P3722" s="1">
        <v>-84.657799999999995</v>
      </c>
      <c r="Q3722" s="1" t="s">
        <v>7987</v>
      </c>
      <c r="R3722" s="1" t="s">
        <v>41</v>
      </c>
      <c r="T3722" s="1" t="s">
        <v>71</v>
      </c>
      <c r="U3722" s="1" t="s">
        <v>44</v>
      </c>
      <c r="X3722" s="1" t="s">
        <v>64</v>
      </c>
      <c r="AA3722" s="3">
        <v>44343</v>
      </c>
      <c r="AB3722" s="1" t="s">
        <v>46</v>
      </c>
      <c r="AC3722" s="5">
        <v>871</v>
      </c>
      <c r="AD3722" s="1" t="s">
        <v>8251</v>
      </c>
      <c r="AE3722" s="1" t="str">
        <f t="shared" si="264"/>
        <v>63259 DEPC2</v>
      </c>
      <c r="AF3722" s="14">
        <f>MID(AD3722,FIND("(",AD3722)+1,FIND(")",AD3722)-FIND("(",AD3722)-1)+89.2/2</f>
        <v>102.6</v>
      </c>
      <c r="AG3722" s="1" t="str">
        <f t="shared" si="263"/>
        <v>Y</v>
      </c>
    </row>
    <row r="3723" spans="1:33" x14ac:dyDescent="0.2">
      <c r="A3723" s="1" t="s">
        <v>1621</v>
      </c>
      <c r="B3723" s="1" t="s">
        <v>8247</v>
      </c>
      <c r="C3723" s="1">
        <v>63259</v>
      </c>
      <c r="D3723" s="1" t="s">
        <v>8252</v>
      </c>
      <c r="F3723" s="1">
        <v>2023</v>
      </c>
      <c r="G3723" s="1" t="s">
        <v>6843</v>
      </c>
      <c r="H3723" s="1">
        <v>608475</v>
      </c>
      <c r="I3723" s="1">
        <v>5</v>
      </c>
      <c r="K3723" s="1" t="s">
        <v>8249</v>
      </c>
      <c r="L3723" s="1" t="s">
        <v>8250</v>
      </c>
      <c r="M3723" s="1">
        <v>45</v>
      </c>
      <c r="N3723" s="1" t="s">
        <v>39</v>
      </c>
      <c r="O3723" s="1">
        <v>42.690600000000003</v>
      </c>
      <c r="P3723" s="1">
        <v>-84.657799999999995</v>
      </c>
      <c r="Q3723" s="1" t="s">
        <v>7987</v>
      </c>
      <c r="R3723" s="1" t="s">
        <v>41</v>
      </c>
      <c r="T3723" s="1" t="s">
        <v>71</v>
      </c>
      <c r="U3723" s="1" t="s">
        <v>44</v>
      </c>
      <c r="X3723" s="1" t="s">
        <v>64</v>
      </c>
      <c r="AA3723" s="3">
        <v>44344</v>
      </c>
      <c r="AB3723" s="1" t="s">
        <v>46</v>
      </c>
      <c r="AC3723" s="5">
        <v>871</v>
      </c>
      <c r="AD3723" s="1" t="s">
        <v>8253</v>
      </c>
      <c r="AE3723" s="1" t="str">
        <f t="shared" si="264"/>
        <v>63259 DEPC3</v>
      </c>
      <c r="AF3723" s="14">
        <f>AF3722</f>
        <v>102.6</v>
      </c>
      <c r="AG3723" s="1" t="str">
        <f t="shared" si="263"/>
        <v>Y</v>
      </c>
    </row>
    <row r="3724" spans="1:33" x14ac:dyDescent="0.2">
      <c r="A3724" s="1" t="s">
        <v>1621</v>
      </c>
      <c r="B3724" s="1" t="s">
        <v>8247</v>
      </c>
      <c r="C3724" s="1">
        <v>63259</v>
      </c>
      <c r="D3724" s="1" t="s">
        <v>8254</v>
      </c>
      <c r="F3724" s="1">
        <v>2023</v>
      </c>
      <c r="G3724" s="1" t="s">
        <v>461</v>
      </c>
      <c r="H3724" s="1">
        <v>608475</v>
      </c>
      <c r="I3724" s="1">
        <v>5</v>
      </c>
      <c r="K3724" s="1" t="s">
        <v>8249</v>
      </c>
      <c r="L3724" s="1" t="s">
        <v>8250</v>
      </c>
      <c r="M3724" s="1">
        <v>45</v>
      </c>
      <c r="N3724" s="1" t="s">
        <v>39</v>
      </c>
      <c r="O3724" s="1">
        <v>42.690600000000003</v>
      </c>
      <c r="P3724" s="1">
        <v>-84.657799999999995</v>
      </c>
      <c r="Q3724" s="1" t="s">
        <v>7987</v>
      </c>
      <c r="R3724" s="1" t="s">
        <v>41</v>
      </c>
      <c r="T3724" s="1" t="s">
        <v>93</v>
      </c>
      <c r="U3724" s="1" t="s">
        <v>44</v>
      </c>
      <c r="X3724" s="1" t="s">
        <v>140</v>
      </c>
      <c r="AA3724" s="3">
        <v>44343</v>
      </c>
      <c r="AB3724" s="1" t="s">
        <v>46</v>
      </c>
      <c r="AC3724" s="5">
        <v>667</v>
      </c>
      <c r="AD3724" s="1" t="s">
        <v>8255</v>
      </c>
      <c r="AE3724" s="1" t="str">
        <f t="shared" si="264"/>
        <v>63259 DEPS1</v>
      </c>
      <c r="AF3724" s="5" t="str">
        <f t="shared" ref="AF3724:AF3768" si="265">MID(AD3724,FIND("(",AD3724)+1,FIND(")",AD3724)-FIND("(",AD3724)-1)</f>
        <v>58</v>
      </c>
      <c r="AG3724" s="1" t="str">
        <f t="shared" si="263"/>
        <v/>
      </c>
    </row>
    <row r="3725" spans="1:33" x14ac:dyDescent="0.2">
      <c r="A3725" s="1" t="s">
        <v>383</v>
      </c>
      <c r="B3725" s="1" t="s">
        <v>8256</v>
      </c>
      <c r="C3725" s="1">
        <v>63335</v>
      </c>
      <c r="D3725" s="1" t="s">
        <v>1296</v>
      </c>
      <c r="F3725" s="1">
        <v>2023</v>
      </c>
      <c r="G3725" s="1" t="s">
        <v>346</v>
      </c>
      <c r="H3725" s="1">
        <v>609954</v>
      </c>
      <c r="I3725" s="1">
        <v>6</v>
      </c>
      <c r="K3725" s="1" t="s">
        <v>4063</v>
      </c>
      <c r="L3725" s="1" t="s">
        <v>4064</v>
      </c>
      <c r="M3725" s="1">
        <v>201</v>
      </c>
      <c r="N3725" s="1" t="s">
        <v>39</v>
      </c>
      <c r="O3725" s="1">
        <v>29.645399999999999</v>
      </c>
      <c r="P3725" s="1">
        <v>-95.451700000000002</v>
      </c>
      <c r="Q3725" s="1" t="s">
        <v>8257</v>
      </c>
      <c r="R3725" s="1" t="s">
        <v>41</v>
      </c>
      <c r="T3725" s="1" t="s">
        <v>93</v>
      </c>
      <c r="U3725" s="1" t="s">
        <v>44</v>
      </c>
      <c r="X3725" s="1" t="s">
        <v>176</v>
      </c>
      <c r="AA3725" s="3">
        <v>44187</v>
      </c>
      <c r="AB3725" s="1" t="s">
        <v>46</v>
      </c>
      <c r="AC3725" s="5">
        <v>475</v>
      </c>
      <c r="AD3725" s="1" t="s">
        <v>8258</v>
      </c>
      <c r="AE3725" s="1" t="str">
        <f t="shared" si="264"/>
        <v>63335 CT-1</v>
      </c>
      <c r="AF3725" s="5" t="str">
        <f t="shared" si="265"/>
        <v>60.5</v>
      </c>
      <c r="AG3725" s="1" t="str">
        <f t="shared" si="263"/>
        <v>Y</v>
      </c>
    </row>
    <row r="3726" spans="1:33" x14ac:dyDescent="0.2">
      <c r="A3726" s="1" t="s">
        <v>383</v>
      </c>
      <c r="B3726" s="1" t="s">
        <v>8256</v>
      </c>
      <c r="C3726" s="1">
        <v>63335</v>
      </c>
      <c r="D3726" s="1" t="s">
        <v>1300</v>
      </c>
      <c r="F3726" s="1">
        <v>2023</v>
      </c>
      <c r="G3726" s="1" t="s">
        <v>346</v>
      </c>
      <c r="H3726" s="1">
        <v>609954</v>
      </c>
      <c r="I3726" s="1">
        <v>6</v>
      </c>
      <c r="K3726" s="1" t="s">
        <v>4063</v>
      </c>
      <c r="L3726" s="1" t="s">
        <v>4064</v>
      </c>
      <c r="M3726" s="1">
        <v>201</v>
      </c>
      <c r="N3726" s="1" t="s">
        <v>39</v>
      </c>
      <c r="O3726" s="1">
        <v>29.645399999999999</v>
      </c>
      <c r="P3726" s="1">
        <v>-95.451700000000002</v>
      </c>
      <c r="Q3726" s="1" t="s">
        <v>8257</v>
      </c>
      <c r="R3726" s="1" t="s">
        <v>41</v>
      </c>
      <c r="T3726" s="1" t="s">
        <v>93</v>
      </c>
      <c r="U3726" s="1" t="s">
        <v>44</v>
      </c>
      <c r="X3726" s="1" t="s">
        <v>176</v>
      </c>
      <c r="AA3726" s="3">
        <v>44187</v>
      </c>
      <c r="AB3726" s="1" t="s">
        <v>46</v>
      </c>
      <c r="AC3726" s="5">
        <v>475</v>
      </c>
      <c r="AD3726" s="1" t="s">
        <v>8259</v>
      </c>
      <c r="AE3726" s="1" t="str">
        <f t="shared" si="264"/>
        <v>63335 CT-2</v>
      </c>
      <c r="AF3726" s="5" t="str">
        <f t="shared" si="265"/>
        <v>60.5</v>
      </c>
      <c r="AG3726" s="1" t="str">
        <f t="shared" si="263"/>
        <v>Y</v>
      </c>
    </row>
    <row r="3727" spans="1:33" x14ac:dyDescent="0.2">
      <c r="A3727" s="1" t="s">
        <v>383</v>
      </c>
      <c r="B3727" s="1" t="s">
        <v>8256</v>
      </c>
      <c r="C3727" s="1">
        <v>63335</v>
      </c>
      <c r="D3727" s="1" t="s">
        <v>1302</v>
      </c>
      <c r="F3727" s="1">
        <v>2023</v>
      </c>
      <c r="G3727" s="1" t="s">
        <v>346</v>
      </c>
      <c r="H3727" s="1">
        <v>609954</v>
      </c>
      <c r="I3727" s="1">
        <v>6</v>
      </c>
      <c r="K3727" s="1" t="s">
        <v>4063</v>
      </c>
      <c r="L3727" s="1" t="s">
        <v>4064</v>
      </c>
      <c r="M3727" s="1">
        <v>201</v>
      </c>
      <c r="N3727" s="1" t="s">
        <v>39</v>
      </c>
      <c r="O3727" s="1">
        <v>29.645399999999999</v>
      </c>
      <c r="P3727" s="1">
        <v>-95.451700000000002</v>
      </c>
      <c r="Q3727" s="1" t="s">
        <v>8257</v>
      </c>
      <c r="R3727" s="1" t="s">
        <v>41</v>
      </c>
      <c r="T3727" s="1" t="s">
        <v>93</v>
      </c>
      <c r="U3727" s="1" t="s">
        <v>44</v>
      </c>
      <c r="X3727" s="1" t="s">
        <v>176</v>
      </c>
      <c r="AA3727" s="3">
        <v>44184</v>
      </c>
      <c r="AB3727" s="1" t="s">
        <v>46</v>
      </c>
      <c r="AC3727" s="5">
        <v>475</v>
      </c>
      <c r="AD3727" s="1" t="s">
        <v>8260</v>
      </c>
      <c r="AE3727" s="1" t="str">
        <f t="shared" si="264"/>
        <v>63335 CT-3</v>
      </c>
      <c r="AF3727" s="5" t="str">
        <f t="shared" si="265"/>
        <v>60.5</v>
      </c>
      <c r="AG3727" s="1" t="str">
        <f t="shared" si="263"/>
        <v>Y</v>
      </c>
    </row>
    <row r="3728" spans="1:33" x14ac:dyDescent="0.2">
      <c r="A3728" s="1" t="s">
        <v>383</v>
      </c>
      <c r="B3728" s="1" t="s">
        <v>8256</v>
      </c>
      <c r="C3728" s="1">
        <v>63335</v>
      </c>
      <c r="D3728" s="1" t="s">
        <v>1304</v>
      </c>
      <c r="F3728" s="1">
        <v>2023</v>
      </c>
      <c r="G3728" s="1" t="s">
        <v>346</v>
      </c>
      <c r="H3728" s="1">
        <v>609954</v>
      </c>
      <c r="I3728" s="1">
        <v>6</v>
      </c>
      <c r="K3728" s="1" t="s">
        <v>4063</v>
      </c>
      <c r="L3728" s="1" t="s">
        <v>4064</v>
      </c>
      <c r="M3728" s="1">
        <v>201</v>
      </c>
      <c r="N3728" s="1" t="s">
        <v>39</v>
      </c>
      <c r="O3728" s="1">
        <v>29.645399999999999</v>
      </c>
      <c r="P3728" s="1">
        <v>-95.451700000000002</v>
      </c>
      <c r="Q3728" s="1" t="s">
        <v>8257</v>
      </c>
      <c r="R3728" s="1" t="s">
        <v>41</v>
      </c>
      <c r="T3728" s="1" t="s">
        <v>93</v>
      </c>
      <c r="U3728" s="1" t="s">
        <v>44</v>
      </c>
      <c r="X3728" s="1" t="s">
        <v>176</v>
      </c>
      <c r="AA3728" s="3">
        <v>44184</v>
      </c>
      <c r="AB3728" s="1" t="s">
        <v>46</v>
      </c>
      <c r="AC3728" s="5">
        <v>475</v>
      </c>
      <c r="AD3728" s="1" t="s">
        <v>8261</v>
      </c>
      <c r="AE3728" s="1" t="str">
        <f t="shared" si="264"/>
        <v>63335 CT-4</v>
      </c>
      <c r="AF3728" s="5" t="str">
        <f t="shared" si="265"/>
        <v>60.5</v>
      </c>
      <c r="AG3728" s="1" t="str">
        <f t="shared" si="263"/>
        <v>Y</v>
      </c>
    </row>
    <row r="3729" spans="1:33" x14ac:dyDescent="0.2">
      <c r="A3729" s="1" t="s">
        <v>383</v>
      </c>
      <c r="B3729" s="1" t="s">
        <v>8256</v>
      </c>
      <c r="C3729" s="1">
        <v>63335</v>
      </c>
      <c r="D3729" s="1" t="s">
        <v>5830</v>
      </c>
      <c r="F3729" s="1">
        <v>2023</v>
      </c>
      <c r="G3729" s="1" t="s">
        <v>346</v>
      </c>
      <c r="H3729" s="1">
        <v>609954</v>
      </c>
      <c r="I3729" s="1">
        <v>6</v>
      </c>
      <c r="K3729" s="1" t="s">
        <v>4063</v>
      </c>
      <c r="L3729" s="1" t="s">
        <v>4064</v>
      </c>
      <c r="M3729" s="1">
        <v>201</v>
      </c>
      <c r="N3729" s="1" t="s">
        <v>39</v>
      </c>
      <c r="O3729" s="1">
        <v>29.645399999999999</v>
      </c>
      <c r="P3729" s="1">
        <v>-95.451700000000002</v>
      </c>
      <c r="Q3729" s="1" t="s">
        <v>8257</v>
      </c>
      <c r="R3729" s="1" t="s">
        <v>41</v>
      </c>
      <c r="T3729" s="1" t="s">
        <v>93</v>
      </c>
      <c r="U3729" s="1" t="s">
        <v>44</v>
      </c>
      <c r="X3729" s="1" t="s">
        <v>176</v>
      </c>
      <c r="AA3729" s="3">
        <v>44182</v>
      </c>
      <c r="AB3729" s="1" t="s">
        <v>46</v>
      </c>
      <c r="AC3729" s="5">
        <v>475</v>
      </c>
      <c r="AD3729" s="1" t="s">
        <v>8262</v>
      </c>
      <c r="AE3729" s="1" t="str">
        <f t="shared" si="264"/>
        <v>63335 CT-5</v>
      </c>
      <c r="AF3729" s="5" t="str">
        <f t="shared" si="265"/>
        <v>60.5</v>
      </c>
      <c r="AG3729" s="1" t="str">
        <f t="shared" si="263"/>
        <v>Y</v>
      </c>
    </row>
    <row r="3730" spans="1:33" x14ac:dyDescent="0.2">
      <c r="A3730" s="1" t="s">
        <v>383</v>
      </c>
      <c r="B3730" s="1" t="s">
        <v>8256</v>
      </c>
      <c r="C3730" s="1">
        <v>63335</v>
      </c>
      <c r="D3730" s="1" t="s">
        <v>8263</v>
      </c>
      <c r="F3730" s="1">
        <v>2023</v>
      </c>
      <c r="G3730" s="1" t="s">
        <v>346</v>
      </c>
      <c r="H3730" s="1">
        <v>609954</v>
      </c>
      <c r="I3730" s="1">
        <v>6</v>
      </c>
      <c r="K3730" s="1" t="s">
        <v>4063</v>
      </c>
      <c r="L3730" s="1" t="s">
        <v>4064</v>
      </c>
      <c r="M3730" s="1">
        <v>201</v>
      </c>
      <c r="N3730" s="1" t="s">
        <v>39</v>
      </c>
      <c r="O3730" s="1">
        <v>29.645399999999999</v>
      </c>
      <c r="P3730" s="1">
        <v>-95.451700000000002</v>
      </c>
      <c r="Q3730" s="1" t="s">
        <v>8257</v>
      </c>
      <c r="R3730" s="1" t="s">
        <v>41</v>
      </c>
      <c r="T3730" s="1" t="s">
        <v>93</v>
      </c>
      <c r="U3730" s="1" t="s">
        <v>44</v>
      </c>
      <c r="X3730" s="1" t="s">
        <v>176</v>
      </c>
      <c r="AA3730" s="3">
        <v>44182</v>
      </c>
      <c r="AB3730" s="1" t="s">
        <v>46</v>
      </c>
      <c r="AC3730" s="5">
        <v>475</v>
      </c>
      <c r="AD3730" s="1" t="s">
        <v>8264</v>
      </c>
      <c r="AE3730" s="1" t="str">
        <f t="shared" si="264"/>
        <v>63335 CT-6</v>
      </c>
      <c r="AF3730" s="5" t="str">
        <f t="shared" si="265"/>
        <v>60.5</v>
      </c>
      <c r="AG3730" s="1" t="str">
        <f t="shared" si="263"/>
        <v>Y</v>
      </c>
    </row>
    <row r="3731" spans="1:33" x14ac:dyDescent="0.2">
      <c r="A3731" s="1" t="s">
        <v>383</v>
      </c>
      <c r="B3731" s="1" t="s">
        <v>8256</v>
      </c>
      <c r="C3731" s="1">
        <v>63335</v>
      </c>
      <c r="D3731" s="1" t="s">
        <v>8265</v>
      </c>
      <c r="F3731" s="1">
        <v>2023</v>
      </c>
      <c r="G3731" s="1" t="s">
        <v>346</v>
      </c>
      <c r="H3731" s="1">
        <v>609954</v>
      </c>
      <c r="I3731" s="1">
        <v>6</v>
      </c>
      <c r="K3731" s="1" t="s">
        <v>4063</v>
      </c>
      <c r="L3731" s="1" t="s">
        <v>4064</v>
      </c>
      <c r="M3731" s="1">
        <v>201</v>
      </c>
      <c r="N3731" s="1" t="s">
        <v>39</v>
      </c>
      <c r="O3731" s="1">
        <v>29.645399999999999</v>
      </c>
      <c r="P3731" s="1">
        <v>-95.451700000000002</v>
      </c>
      <c r="Q3731" s="1" t="s">
        <v>8266</v>
      </c>
      <c r="R3731" s="1" t="s">
        <v>41</v>
      </c>
      <c r="T3731" s="1" t="s">
        <v>93</v>
      </c>
      <c r="U3731" s="1" t="s">
        <v>44</v>
      </c>
      <c r="X3731" s="1" t="s">
        <v>176</v>
      </c>
      <c r="AA3731" s="3">
        <v>44440</v>
      </c>
      <c r="AB3731" s="1" t="s">
        <v>46</v>
      </c>
      <c r="AC3731" s="5">
        <v>475</v>
      </c>
      <c r="AD3731" s="1" t="s">
        <v>8267</v>
      </c>
      <c r="AE3731" s="1" t="str">
        <f t="shared" si="264"/>
        <v>63335 CT-7</v>
      </c>
      <c r="AF3731" s="5" t="str">
        <f t="shared" si="265"/>
        <v>60.5</v>
      </c>
      <c r="AG3731" s="1" t="str">
        <f t="shared" si="263"/>
        <v>Y</v>
      </c>
    </row>
    <row r="3732" spans="1:33" x14ac:dyDescent="0.2">
      <c r="A3732" s="1" t="s">
        <v>383</v>
      </c>
      <c r="B3732" s="1" t="s">
        <v>8256</v>
      </c>
      <c r="C3732" s="1">
        <v>63335</v>
      </c>
      <c r="D3732" s="1" t="s">
        <v>8268</v>
      </c>
      <c r="F3732" s="1">
        <v>2023</v>
      </c>
      <c r="G3732" s="1" t="s">
        <v>346</v>
      </c>
      <c r="H3732" s="1">
        <v>609954</v>
      </c>
      <c r="I3732" s="1">
        <v>6</v>
      </c>
      <c r="K3732" s="1" t="s">
        <v>4063</v>
      </c>
      <c r="L3732" s="1" t="s">
        <v>4064</v>
      </c>
      <c r="M3732" s="1">
        <v>201</v>
      </c>
      <c r="N3732" s="1" t="s">
        <v>39</v>
      </c>
      <c r="O3732" s="1">
        <v>29.645399999999999</v>
      </c>
      <c r="P3732" s="1">
        <v>-95.451700000000002</v>
      </c>
      <c r="Q3732" s="1" t="s">
        <v>8266</v>
      </c>
      <c r="R3732" s="1" t="s">
        <v>41</v>
      </c>
      <c r="T3732" s="1" t="s">
        <v>93</v>
      </c>
      <c r="U3732" s="1" t="s">
        <v>44</v>
      </c>
      <c r="X3732" s="1" t="s">
        <v>176</v>
      </c>
      <c r="AA3732" s="3">
        <v>44440</v>
      </c>
      <c r="AB3732" s="1" t="s">
        <v>46</v>
      </c>
      <c r="AC3732" s="5">
        <v>475</v>
      </c>
      <c r="AD3732" s="1" t="s">
        <v>8269</v>
      </c>
      <c r="AE3732" s="1" t="str">
        <f t="shared" si="264"/>
        <v>63335 CT-8</v>
      </c>
      <c r="AF3732" s="5" t="str">
        <f t="shared" si="265"/>
        <v>60.5</v>
      </c>
      <c r="AG3732" s="1" t="str">
        <f t="shared" si="263"/>
        <v>Y</v>
      </c>
    </row>
    <row r="3733" spans="1:33" x14ac:dyDescent="0.2">
      <c r="A3733" s="1" t="s">
        <v>383</v>
      </c>
      <c r="B3733" s="1" t="s">
        <v>8270</v>
      </c>
      <c r="C3733" s="1">
        <v>63688</v>
      </c>
      <c r="D3733" s="1" t="s">
        <v>1296</v>
      </c>
      <c r="F3733" s="1">
        <v>2023</v>
      </c>
      <c r="G3733" s="1" t="s">
        <v>346</v>
      </c>
      <c r="H3733" s="1">
        <v>609954</v>
      </c>
      <c r="I3733" s="1">
        <v>6</v>
      </c>
      <c r="K3733" s="1" t="s">
        <v>5240</v>
      </c>
      <c r="L3733" s="1" t="s">
        <v>5241</v>
      </c>
      <c r="M3733" s="1">
        <v>167</v>
      </c>
      <c r="N3733" s="1" t="s">
        <v>39</v>
      </c>
      <c r="O3733" s="1">
        <v>29.426200000000001</v>
      </c>
      <c r="P3733" s="1">
        <v>-94.976699999999994</v>
      </c>
      <c r="Q3733" s="1" t="s">
        <v>8271</v>
      </c>
      <c r="R3733" s="1" t="s">
        <v>41</v>
      </c>
      <c r="T3733" s="1" t="s">
        <v>93</v>
      </c>
      <c r="U3733" s="1" t="s">
        <v>44</v>
      </c>
      <c r="X3733" s="1" t="s">
        <v>176</v>
      </c>
      <c r="AA3733" s="3">
        <v>44382</v>
      </c>
      <c r="AB3733" s="1" t="s">
        <v>46</v>
      </c>
      <c r="AC3733" s="5">
        <v>475</v>
      </c>
      <c r="AD3733" s="1" t="s">
        <v>8258</v>
      </c>
      <c r="AE3733" s="1" t="str">
        <f t="shared" si="264"/>
        <v>63688 CT-1</v>
      </c>
      <c r="AF3733" s="5" t="str">
        <f t="shared" si="265"/>
        <v>60.5</v>
      </c>
      <c r="AG3733" s="1" t="str">
        <f t="shared" si="263"/>
        <v>Y</v>
      </c>
    </row>
    <row r="3734" spans="1:33" x14ac:dyDescent="0.2">
      <c r="A3734" s="1" t="s">
        <v>383</v>
      </c>
      <c r="B3734" s="1" t="s">
        <v>8270</v>
      </c>
      <c r="C3734" s="1">
        <v>63688</v>
      </c>
      <c r="D3734" s="1" t="s">
        <v>8272</v>
      </c>
      <c r="F3734" s="1">
        <v>2023</v>
      </c>
      <c r="G3734" s="1" t="s">
        <v>346</v>
      </c>
      <c r="H3734" s="1">
        <v>609954</v>
      </c>
      <c r="I3734" s="1">
        <v>6</v>
      </c>
      <c r="K3734" s="1" t="s">
        <v>5240</v>
      </c>
      <c r="L3734" s="1" t="s">
        <v>5241</v>
      </c>
      <c r="M3734" s="1">
        <v>167</v>
      </c>
      <c r="N3734" s="1" t="s">
        <v>39</v>
      </c>
      <c r="O3734" s="1">
        <v>29.426200000000001</v>
      </c>
      <c r="P3734" s="1">
        <v>-94.976699999999994</v>
      </c>
      <c r="Q3734" s="1" t="s">
        <v>8273</v>
      </c>
      <c r="R3734" s="1" t="s">
        <v>41</v>
      </c>
      <c r="T3734" s="1" t="s">
        <v>93</v>
      </c>
      <c r="U3734" s="1" t="s">
        <v>44</v>
      </c>
      <c r="X3734" s="1" t="s">
        <v>176</v>
      </c>
      <c r="AA3734" s="3">
        <v>44412</v>
      </c>
      <c r="AB3734" s="1" t="s">
        <v>46</v>
      </c>
      <c r="AC3734" s="5">
        <v>475</v>
      </c>
      <c r="AD3734" s="1" t="s">
        <v>8274</v>
      </c>
      <c r="AE3734" s="1" t="str">
        <f t="shared" si="264"/>
        <v>63688 CT-10</v>
      </c>
      <c r="AF3734" s="5" t="str">
        <f t="shared" si="265"/>
        <v>60.5</v>
      </c>
      <c r="AG3734" s="1" t="str">
        <f t="shared" si="263"/>
        <v>Y</v>
      </c>
    </row>
    <row r="3735" spans="1:33" x14ac:dyDescent="0.2">
      <c r="A3735" s="1" t="s">
        <v>383</v>
      </c>
      <c r="B3735" s="1" t="s">
        <v>8270</v>
      </c>
      <c r="C3735" s="1">
        <v>63688</v>
      </c>
      <c r="D3735" s="1" t="s">
        <v>1300</v>
      </c>
      <c r="F3735" s="1">
        <v>2023</v>
      </c>
      <c r="G3735" s="1" t="s">
        <v>346</v>
      </c>
      <c r="H3735" s="1">
        <v>609954</v>
      </c>
      <c r="I3735" s="1">
        <v>6</v>
      </c>
      <c r="K3735" s="1" t="s">
        <v>5240</v>
      </c>
      <c r="L3735" s="1" t="s">
        <v>5241</v>
      </c>
      <c r="M3735" s="1">
        <v>167</v>
      </c>
      <c r="N3735" s="1" t="s">
        <v>39</v>
      </c>
      <c r="O3735" s="1">
        <v>29.426200000000001</v>
      </c>
      <c r="P3735" s="1">
        <v>-94.976699999999994</v>
      </c>
      <c r="Q3735" s="1" t="s">
        <v>8271</v>
      </c>
      <c r="R3735" s="1" t="s">
        <v>41</v>
      </c>
      <c r="T3735" s="1" t="s">
        <v>93</v>
      </c>
      <c r="U3735" s="1" t="s">
        <v>44</v>
      </c>
      <c r="X3735" s="1" t="s">
        <v>176</v>
      </c>
      <c r="AA3735" s="3">
        <v>44382</v>
      </c>
      <c r="AB3735" s="1" t="s">
        <v>46</v>
      </c>
      <c r="AC3735" s="5">
        <v>475</v>
      </c>
      <c r="AD3735" s="1" t="s">
        <v>8259</v>
      </c>
      <c r="AE3735" s="1" t="str">
        <f t="shared" si="264"/>
        <v>63688 CT-2</v>
      </c>
      <c r="AF3735" s="5" t="str">
        <f t="shared" si="265"/>
        <v>60.5</v>
      </c>
      <c r="AG3735" s="1" t="str">
        <f t="shared" si="263"/>
        <v>Y</v>
      </c>
    </row>
    <row r="3736" spans="1:33" x14ac:dyDescent="0.2">
      <c r="A3736" s="1" t="s">
        <v>383</v>
      </c>
      <c r="B3736" s="1" t="s">
        <v>8270</v>
      </c>
      <c r="C3736" s="1">
        <v>63688</v>
      </c>
      <c r="D3736" s="1" t="s">
        <v>1302</v>
      </c>
      <c r="F3736" s="1">
        <v>2023</v>
      </c>
      <c r="G3736" s="1" t="s">
        <v>346</v>
      </c>
      <c r="H3736" s="1">
        <v>609954</v>
      </c>
      <c r="I3736" s="1">
        <v>6</v>
      </c>
      <c r="K3736" s="1" t="s">
        <v>5240</v>
      </c>
      <c r="L3736" s="1" t="s">
        <v>5241</v>
      </c>
      <c r="M3736" s="1">
        <v>167</v>
      </c>
      <c r="N3736" s="1" t="s">
        <v>39</v>
      </c>
      <c r="O3736" s="1">
        <v>29.426200000000001</v>
      </c>
      <c r="P3736" s="1">
        <v>-94.976699999999994</v>
      </c>
      <c r="Q3736" s="1" t="s">
        <v>8271</v>
      </c>
      <c r="R3736" s="1" t="s">
        <v>41</v>
      </c>
      <c r="T3736" s="1" t="s">
        <v>93</v>
      </c>
      <c r="U3736" s="1" t="s">
        <v>44</v>
      </c>
      <c r="X3736" s="1" t="s">
        <v>176</v>
      </c>
      <c r="AA3736" s="3">
        <v>44385</v>
      </c>
      <c r="AB3736" s="1" t="s">
        <v>46</v>
      </c>
      <c r="AC3736" s="5">
        <v>475</v>
      </c>
      <c r="AD3736" s="1" t="s">
        <v>8260</v>
      </c>
      <c r="AE3736" s="1" t="str">
        <f t="shared" si="264"/>
        <v>63688 CT-3</v>
      </c>
      <c r="AF3736" s="5" t="str">
        <f t="shared" si="265"/>
        <v>60.5</v>
      </c>
      <c r="AG3736" s="1" t="str">
        <f t="shared" si="263"/>
        <v>Y</v>
      </c>
    </row>
    <row r="3737" spans="1:33" x14ac:dyDescent="0.2">
      <c r="A3737" s="1" t="s">
        <v>383</v>
      </c>
      <c r="B3737" s="1" t="s">
        <v>8270</v>
      </c>
      <c r="C3737" s="1">
        <v>63688</v>
      </c>
      <c r="D3737" s="1" t="s">
        <v>1304</v>
      </c>
      <c r="F3737" s="1">
        <v>2023</v>
      </c>
      <c r="G3737" s="1" t="s">
        <v>346</v>
      </c>
      <c r="H3737" s="1">
        <v>609954</v>
      </c>
      <c r="I3737" s="1">
        <v>6</v>
      </c>
      <c r="K3737" s="1" t="s">
        <v>5240</v>
      </c>
      <c r="L3737" s="1" t="s">
        <v>5241</v>
      </c>
      <c r="M3737" s="1">
        <v>167</v>
      </c>
      <c r="N3737" s="1" t="s">
        <v>39</v>
      </c>
      <c r="O3737" s="1">
        <v>29.426200000000001</v>
      </c>
      <c r="P3737" s="1">
        <v>-94.976699999999994</v>
      </c>
      <c r="Q3737" s="1" t="s">
        <v>8271</v>
      </c>
      <c r="R3737" s="1" t="s">
        <v>41</v>
      </c>
      <c r="T3737" s="1" t="s">
        <v>93</v>
      </c>
      <c r="U3737" s="1" t="s">
        <v>44</v>
      </c>
      <c r="X3737" s="1" t="s">
        <v>176</v>
      </c>
      <c r="AA3737" s="3">
        <v>44385</v>
      </c>
      <c r="AB3737" s="1" t="s">
        <v>46</v>
      </c>
      <c r="AC3737" s="5">
        <v>475</v>
      </c>
      <c r="AD3737" s="1" t="s">
        <v>8261</v>
      </c>
      <c r="AE3737" s="1" t="str">
        <f t="shared" si="264"/>
        <v>63688 CT-4</v>
      </c>
      <c r="AF3737" s="5" t="str">
        <f t="shared" si="265"/>
        <v>60.5</v>
      </c>
      <c r="AG3737" s="1" t="str">
        <f t="shared" si="263"/>
        <v>Y</v>
      </c>
    </row>
    <row r="3738" spans="1:33" x14ac:dyDescent="0.2">
      <c r="A3738" s="1" t="s">
        <v>383</v>
      </c>
      <c r="B3738" s="1" t="s">
        <v>8270</v>
      </c>
      <c r="C3738" s="1">
        <v>63688</v>
      </c>
      <c r="D3738" s="1" t="s">
        <v>5830</v>
      </c>
      <c r="F3738" s="1">
        <v>2023</v>
      </c>
      <c r="G3738" s="1" t="s">
        <v>346</v>
      </c>
      <c r="H3738" s="1">
        <v>609954</v>
      </c>
      <c r="I3738" s="1">
        <v>6</v>
      </c>
      <c r="K3738" s="1" t="s">
        <v>5240</v>
      </c>
      <c r="L3738" s="1" t="s">
        <v>5241</v>
      </c>
      <c r="M3738" s="1">
        <v>167</v>
      </c>
      <c r="N3738" s="1" t="s">
        <v>39</v>
      </c>
      <c r="O3738" s="1">
        <v>29.426200000000001</v>
      </c>
      <c r="P3738" s="1">
        <v>-94.976699999999994</v>
      </c>
      <c r="Q3738" s="1" t="s">
        <v>8271</v>
      </c>
      <c r="R3738" s="1" t="s">
        <v>41</v>
      </c>
      <c r="T3738" s="1" t="s">
        <v>93</v>
      </c>
      <c r="U3738" s="1" t="s">
        <v>44</v>
      </c>
      <c r="X3738" s="1" t="s">
        <v>176</v>
      </c>
      <c r="AA3738" s="3">
        <v>44389</v>
      </c>
      <c r="AB3738" s="1" t="s">
        <v>46</v>
      </c>
      <c r="AC3738" s="5">
        <v>475</v>
      </c>
      <c r="AD3738" s="1" t="s">
        <v>8262</v>
      </c>
      <c r="AE3738" s="1" t="str">
        <f t="shared" si="264"/>
        <v>63688 CT-5</v>
      </c>
      <c r="AF3738" s="5" t="str">
        <f t="shared" si="265"/>
        <v>60.5</v>
      </c>
      <c r="AG3738" s="1" t="str">
        <f t="shared" si="263"/>
        <v>Y</v>
      </c>
    </row>
    <row r="3739" spans="1:33" x14ac:dyDescent="0.2">
      <c r="A3739" s="1" t="s">
        <v>383</v>
      </c>
      <c r="B3739" s="1" t="s">
        <v>8270</v>
      </c>
      <c r="C3739" s="1">
        <v>63688</v>
      </c>
      <c r="D3739" s="1" t="s">
        <v>8263</v>
      </c>
      <c r="F3739" s="1">
        <v>2023</v>
      </c>
      <c r="G3739" s="1" t="s">
        <v>346</v>
      </c>
      <c r="H3739" s="1">
        <v>609954</v>
      </c>
      <c r="I3739" s="1">
        <v>6</v>
      </c>
      <c r="K3739" s="1" t="s">
        <v>5240</v>
      </c>
      <c r="L3739" s="1" t="s">
        <v>5241</v>
      </c>
      <c r="M3739" s="1">
        <v>167</v>
      </c>
      <c r="N3739" s="1" t="s">
        <v>39</v>
      </c>
      <c r="O3739" s="1">
        <v>29.426200000000001</v>
      </c>
      <c r="P3739" s="1">
        <v>-94.976699999999994</v>
      </c>
      <c r="Q3739" s="1" t="s">
        <v>8271</v>
      </c>
      <c r="R3739" s="1" t="s">
        <v>41</v>
      </c>
      <c r="T3739" s="1" t="s">
        <v>93</v>
      </c>
      <c r="U3739" s="1" t="s">
        <v>44</v>
      </c>
      <c r="X3739" s="1" t="s">
        <v>176</v>
      </c>
      <c r="AA3739" s="3">
        <v>44389</v>
      </c>
      <c r="AB3739" s="1" t="s">
        <v>46</v>
      </c>
      <c r="AC3739" s="5">
        <v>475</v>
      </c>
      <c r="AD3739" s="1" t="s">
        <v>8264</v>
      </c>
      <c r="AE3739" s="1" t="str">
        <f t="shared" si="264"/>
        <v>63688 CT-6</v>
      </c>
      <c r="AF3739" s="5" t="str">
        <f t="shared" si="265"/>
        <v>60.5</v>
      </c>
      <c r="AG3739" s="1" t="str">
        <f t="shared" si="263"/>
        <v>Y</v>
      </c>
    </row>
    <row r="3740" spans="1:33" x14ac:dyDescent="0.2">
      <c r="A3740" s="1" t="s">
        <v>383</v>
      </c>
      <c r="B3740" s="1" t="s">
        <v>8270</v>
      </c>
      <c r="C3740" s="1">
        <v>63688</v>
      </c>
      <c r="D3740" s="1" t="s">
        <v>8265</v>
      </c>
      <c r="F3740" s="1">
        <v>2023</v>
      </c>
      <c r="G3740" s="1" t="s">
        <v>346</v>
      </c>
      <c r="H3740" s="1">
        <v>609954</v>
      </c>
      <c r="I3740" s="1">
        <v>6</v>
      </c>
      <c r="K3740" s="1" t="s">
        <v>5240</v>
      </c>
      <c r="L3740" s="1" t="s">
        <v>5241</v>
      </c>
      <c r="M3740" s="1">
        <v>167</v>
      </c>
      <c r="N3740" s="1" t="s">
        <v>39</v>
      </c>
      <c r="O3740" s="1">
        <v>29.426200000000001</v>
      </c>
      <c r="P3740" s="1">
        <v>-94.976699999999994</v>
      </c>
      <c r="Q3740" s="1" t="s">
        <v>8271</v>
      </c>
      <c r="R3740" s="1" t="s">
        <v>41</v>
      </c>
      <c r="T3740" s="1" t="s">
        <v>93</v>
      </c>
      <c r="U3740" s="1" t="s">
        <v>44</v>
      </c>
      <c r="X3740" s="1" t="s">
        <v>176</v>
      </c>
      <c r="AA3740" s="3">
        <v>44389</v>
      </c>
      <c r="AB3740" s="1" t="s">
        <v>46</v>
      </c>
      <c r="AC3740" s="5">
        <v>475</v>
      </c>
      <c r="AD3740" s="1" t="s">
        <v>8267</v>
      </c>
      <c r="AE3740" s="1" t="str">
        <f t="shared" si="264"/>
        <v>63688 CT-7</v>
      </c>
      <c r="AF3740" s="5" t="str">
        <f t="shared" si="265"/>
        <v>60.5</v>
      </c>
      <c r="AG3740" s="1" t="str">
        <f t="shared" si="263"/>
        <v>Y</v>
      </c>
    </row>
    <row r="3741" spans="1:33" x14ac:dyDescent="0.2">
      <c r="A3741" s="1" t="s">
        <v>383</v>
      </c>
      <c r="B3741" s="1" t="s">
        <v>8270</v>
      </c>
      <c r="C3741" s="1">
        <v>63688</v>
      </c>
      <c r="D3741" s="1" t="s">
        <v>8268</v>
      </c>
      <c r="F3741" s="1">
        <v>2023</v>
      </c>
      <c r="G3741" s="1" t="s">
        <v>346</v>
      </c>
      <c r="H3741" s="1">
        <v>609954</v>
      </c>
      <c r="I3741" s="1">
        <v>6</v>
      </c>
      <c r="K3741" s="1" t="s">
        <v>5240</v>
      </c>
      <c r="L3741" s="1" t="s">
        <v>5241</v>
      </c>
      <c r="M3741" s="1">
        <v>167</v>
      </c>
      <c r="N3741" s="1" t="s">
        <v>39</v>
      </c>
      <c r="O3741" s="1">
        <v>29.426200000000001</v>
      </c>
      <c r="P3741" s="1">
        <v>-94.976699999999994</v>
      </c>
      <c r="Q3741" s="1" t="s">
        <v>8273</v>
      </c>
      <c r="R3741" s="1" t="s">
        <v>41</v>
      </c>
      <c r="T3741" s="1" t="s">
        <v>93</v>
      </c>
      <c r="U3741" s="1" t="s">
        <v>44</v>
      </c>
      <c r="X3741" s="1" t="s">
        <v>176</v>
      </c>
      <c r="AA3741" s="3">
        <v>44412</v>
      </c>
      <c r="AB3741" s="1" t="s">
        <v>46</v>
      </c>
      <c r="AC3741" s="5">
        <v>475</v>
      </c>
      <c r="AD3741" s="1" t="s">
        <v>8269</v>
      </c>
      <c r="AE3741" s="1" t="str">
        <f t="shared" si="264"/>
        <v>63688 CT-8</v>
      </c>
      <c r="AF3741" s="5" t="str">
        <f t="shared" si="265"/>
        <v>60.5</v>
      </c>
      <c r="AG3741" s="1" t="str">
        <f t="shared" si="263"/>
        <v>Y</v>
      </c>
    </row>
    <row r="3742" spans="1:33" x14ac:dyDescent="0.2">
      <c r="A3742" s="1" t="s">
        <v>383</v>
      </c>
      <c r="B3742" s="1" t="s">
        <v>8270</v>
      </c>
      <c r="C3742" s="1">
        <v>63688</v>
      </c>
      <c r="D3742" s="1" t="s">
        <v>8275</v>
      </c>
      <c r="F3742" s="1">
        <v>2023</v>
      </c>
      <c r="G3742" s="1" t="s">
        <v>346</v>
      </c>
      <c r="H3742" s="1">
        <v>609954</v>
      </c>
      <c r="I3742" s="1">
        <v>6</v>
      </c>
      <c r="K3742" s="1" t="s">
        <v>5240</v>
      </c>
      <c r="L3742" s="1" t="s">
        <v>5241</v>
      </c>
      <c r="M3742" s="1">
        <v>167</v>
      </c>
      <c r="N3742" s="1" t="s">
        <v>39</v>
      </c>
      <c r="O3742" s="1">
        <v>29.426200000000001</v>
      </c>
      <c r="P3742" s="1">
        <v>-94.976699999999994</v>
      </c>
      <c r="Q3742" s="1" t="s">
        <v>8273</v>
      </c>
      <c r="R3742" s="1" t="s">
        <v>41</v>
      </c>
      <c r="T3742" s="1" t="s">
        <v>93</v>
      </c>
      <c r="U3742" s="1" t="s">
        <v>44</v>
      </c>
      <c r="X3742" s="1" t="s">
        <v>176</v>
      </c>
      <c r="AA3742" s="3">
        <v>44448</v>
      </c>
      <c r="AB3742" s="1" t="s">
        <v>46</v>
      </c>
      <c r="AC3742" s="5">
        <v>475</v>
      </c>
      <c r="AD3742" s="1" t="s">
        <v>8276</v>
      </c>
      <c r="AE3742" s="1" t="str">
        <f t="shared" si="264"/>
        <v>63688 CT-9</v>
      </c>
      <c r="AF3742" s="5" t="str">
        <f t="shared" si="265"/>
        <v>60.5</v>
      </c>
      <c r="AG3742" s="1" t="str">
        <f t="shared" si="263"/>
        <v>Y</v>
      </c>
    </row>
    <row r="3743" spans="1:33" x14ac:dyDescent="0.2">
      <c r="A3743" s="1" t="s">
        <v>458</v>
      </c>
      <c r="B3743" s="1" t="s">
        <v>8277</v>
      </c>
      <c r="C3743" s="1">
        <v>63931</v>
      </c>
      <c r="D3743" s="1">
        <v>1</v>
      </c>
      <c r="F3743" s="1">
        <v>2023</v>
      </c>
      <c r="G3743" s="1" t="s">
        <v>461</v>
      </c>
      <c r="H3743" s="1">
        <v>610172</v>
      </c>
      <c r="I3743" s="1">
        <v>5</v>
      </c>
      <c r="K3743" s="1" t="s">
        <v>5997</v>
      </c>
      <c r="L3743" s="1" t="s">
        <v>5998</v>
      </c>
      <c r="M3743" s="1">
        <v>63</v>
      </c>
      <c r="N3743" s="1" t="s">
        <v>39</v>
      </c>
      <c r="O3743" s="1">
        <v>41.372199999999999</v>
      </c>
      <c r="P3743" s="1">
        <v>-88.284400000000005</v>
      </c>
      <c r="Q3743" s="1" t="s">
        <v>8278</v>
      </c>
      <c r="R3743" s="1" t="s">
        <v>41</v>
      </c>
      <c r="T3743" s="1" t="s">
        <v>8279</v>
      </c>
      <c r="U3743" s="1" t="s">
        <v>44</v>
      </c>
      <c r="X3743" s="1" t="s">
        <v>223</v>
      </c>
      <c r="AA3743" s="3">
        <v>44930</v>
      </c>
      <c r="AB3743" s="1" t="s">
        <v>8280</v>
      </c>
      <c r="AC3743" s="5">
        <v>4650</v>
      </c>
      <c r="AD3743" s="1" t="s">
        <v>8281</v>
      </c>
      <c r="AE3743" s="1" t="str">
        <f t="shared" si="264"/>
        <v>63931 1</v>
      </c>
      <c r="AF3743" s="5" t="str">
        <f t="shared" si="265"/>
        <v>625</v>
      </c>
      <c r="AG3743" s="1" t="str">
        <f t="shared" si="263"/>
        <v>Y</v>
      </c>
    </row>
    <row r="3744" spans="1:33" x14ac:dyDescent="0.2">
      <c r="A3744" s="1" t="s">
        <v>458</v>
      </c>
      <c r="B3744" s="1" t="s">
        <v>8277</v>
      </c>
      <c r="C3744" s="1">
        <v>63931</v>
      </c>
      <c r="D3744" s="1">
        <v>2</v>
      </c>
      <c r="F3744" s="1">
        <v>2023</v>
      </c>
      <c r="G3744" s="1" t="s">
        <v>461</v>
      </c>
      <c r="H3744" s="1">
        <v>610172</v>
      </c>
      <c r="I3744" s="1">
        <v>5</v>
      </c>
      <c r="K3744" s="1" t="s">
        <v>5997</v>
      </c>
      <c r="L3744" s="1" t="s">
        <v>5998</v>
      </c>
      <c r="M3744" s="1">
        <v>63</v>
      </c>
      <c r="N3744" s="1" t="s">
        <v>39</v>
      </c>
      <c r="O3744" s="1">
        <v>41.372199999999999</v>
      </c>
      <c r="P3744" s="1">
        <v>-88.284400000000005</v>
      </c>
      <c r="Q3744" s="1" t="s">
        <v>8278</v>
      </c>
      <c r="R3744" s="1" t="s">
        <v>41</v>
      </c>
      <c r="T3744" s="1" t="s">
        <v>8282</v>
      </c>
      <c r="U3744" s="1" t="s">
        <v>44</v>
      </c>
      <c r="X3744" s="1" t="s">
        <v>223</v>
      </c>
      <c r="AA3744" s="3">
        <v>45045</v>
      </c>
      <c r="AB3744" s="1" t="s">
        <v>8283</v>
      </c>
      <c r="AC3744" s="5">
        <v>4650</v>
      </c>
      <c r="AD3744" s="1" t="s">
        <v>8284</v>
      </c>
      <c r="AE3744" s="1" t="str">
        <f t="shared" si="264"/>
        <v>63931 2</v>
      </c>
      <c r="AF3744" s="5" t="str">
        <f t="shared" si="265"/>
        <v>625</v>
      </c>
      <c r="AG3744" s="1" t="str">
        <f t="shared" si="263"/>
        <v>Y</v>
      </c>
    </row>
    <row r="3745" spans="1:33" x14ac:dyDescent="0.2">
      <c r="A3745" s="1" t="s">
        <v>383</v>
      </c>
      <c r="B3745" s="1" t="s">
        <v>8285</v>
      </c>
      <c r="C3745" s="1">
        <v>64383</v>
      </c>
      <c r="D3745" s="1" t="s">
        <v>1296</v>
      </c>
      <c r="F3745" s="1">
        <v>2023</v>
      </c>
      <c r="G3745" s="1" t="s">
        <v>346</v>
      </c>
      <c r="H3745" s="1">
        <v>609954</v>
      </c>
      <c r="I3745" s="1">
        <v>6</v>
      </c>
      <c r="K3745" s="1" t="s">
        <v>2928</v>
      </c>
      <c r="L3745" s="1" t="s">
        <v>2929</v>
      </c>
      <c r="M3745" s="1">
        <v>157</v>
      </c>
      <c r="N3745" s="1" t="s">
        <v>39</v>
      </c>
      <c r="O3745" s="1">
        <v>29.4803</v>
      </c>
      <c r="P3745" s="1">
        <v>-95.6203</v>
      </c>
      <c r="Q3745" s="1" t="s">
        <v>8286</v>
      </c>
      <c r="R3745" s="1" t="s">
        <v>41</v>
      </c>
      <c r="T3745" s="1" t="s">
        <v>93</v>
      </c>
      <c r="U3745" s="1" t="s">
        <v>44</v>
      </c>
      <c r="X3745" s="1" t="s">
        <v>176</v>
      </c>
      <c r="AA3745" s="3">
        <v>44795</v>
      </c>
      <c r="AB3745" s="1" t="s">
        <v>46</v>
      </c>
      <c r="AC3745" s="5">
        <v>475</v>
      </c>
      <c r="AD3745" s="1" t="s">
        <v>8258</v>
      </c>
      <c r="AE3745" s="1" t="str">
        <f t="shared" si="264"/>
        <v>64383 CT-1</v>
      </c>
      <c r="AF3745" s="5" t="str">
        <f t="shared" si="265"/>
        <v>60.5</v>
      </c>
      <c r="AG3745" s="1" t="str">
        <f t="shared" si="263"/>
        <v>Y</v>
      </c>
    </row>
    <row r="3746" spans="1:33" x14ac:dyDescent="0.2">
      <c r="A3746" s="1" t="s">
        <v>383</v>
      </c>
      <c r="B3746" s="1" t="s">
        <v>8285</v>
      </c>
      <c r="C3746" s="1">
        <v>64383</v>
      </c>
      <c r="D3746" s="1" t="s">
        <v>1300</v>
      </c>
      <c r="F3746" s="1">
        <v>2023</v>
      </c>
      <c r="G3746" s="1" t="s">
        <v>346</v>
      </c>
      <c r="H3746" s="1">
        <v>609954</v>
      </c>
      <c r="I3746" s="1">
        <v>6</v>
      </c>
      <c r="K3746" s="1" t="s">
        <v>2928</v>
      </c>
      <c r="L3746" s="1" t="s">
        <v>2929</v>
      </c>
      <c r="M3746" s="1">
        <v>157</v>
      </c>
      <c r="N3746" s="1" t="s">
        <v>39</v>
      </c>
      <c r="O3746" s="1">
        <v>29.4803</v>
      </c>
      <c r="P3746" s="1">
        <v>-95.6203</v>
      </c>
      <c r="Q3746" s="1" t="s">
        <v>8286</v>
      </c>
      <c r="R3746" s="1" t="s">
        <v>41</v>
      </c>
      <c r="T3746" s="1" t="s">
        <v>93</v>
      </c>
      <c r="U3746" s="1" t="s">
        <v>44</v>
      </c>
      <c r="X3746" s="1" t="s">
        <v>176</v>
      </c>
      <c r="AA3746" s="3">
        <v>44738</v>
      </c>
      <c r="AB3746" s="1" t="s">
        <v>46</v>
      </c>
      <c r="AC3746" s="5">
        <v>475</v>
      </c>
      <c r="AD3746" s="1" t="s">
        <v>8259</v>
      </c>
      <c r="AE3746" s="1" t="str">
        <f t="shared" si="264"/>
        <v>64383 CT-2</v>
      </c>
      <c r="AF3746" s="5" t="str">
        <f t="shared" si="265"/>
        <v>60.5</v>
      </c>
      <c r="AG3746" s="1" t="str">
        <f t="shared" si="263"/>
        <v>Y</v>
      </c>
    </row>
    <row r="3747" spans="1:33" x14ac:dyDescent="0.2">
      <c r="A3747" s="1" t="s">
        <v>383</v>
      </c>
      <c r="B3747" s="1" t="s">
        <v>8285</v>
      </c>
      <c r="C3747" s="1">
        <v>64383</v>
      </c>
      <c r="D3747" s="1" t="s">
        <v>1302</v>
      </c>
      <c r="F3747" s="1">
        <v>2023</v>
      </c>
      <c r="G3747" s="1" t="s">
        <v>346</v>
      </c>
      <c r="H3747" s="1">
        <v>609954</v>
      </c>
      <c r="I3747" s="1">
        <v>6</v>
      </c>
      <c r="K3747" s="1" t="s">
        <v>2928</v>
      </c>
      <c r="L3747" s="1" t="s">
        <v>2929</v>
      </c>
      <c r="M3747" s="1">
        <v>157</v>
      </c>
      <c r="N3747" s="1" t="s">
        <v>39</v>
      </c>
      <c r="O3747" s="1">
        <v>29.4803</v>
      </c>
      <c r="P3747" s="1">
        <v>-95.6203</v>
      </c>
      <c r="Q3747" s="1" t="s">
        <v>8287</v>
      </c>
      <c r="R3747" s="1" t="s">
        <v>41</v>
      </c>
      <c r="T3747" s="1" t="s">
        <v>93</v>
      </c>
      <c r="U3747" s="1" t="s">
        <v>44</v>
      </c>
      <c r="X3747" s="1" t="s">
        <v>176</v>
      </c>
      <c r="AA3747" s="3">
        <v>44650</v>
      </c>
      <c r="AB3747" s="1" t="s">
        <v>46</v>
      </c>
      <c r="AC3747" s="5">
        <v>475</v>
      </c>
      <c r="AD3747" s="1" t="s">
        <v>8260</v>
      </c>
      <c r="AE3747" s="1" t="str">
        <f t="shared" si="264"/>
        <v>64383 CT-3</v>
      </c>
      <c r="AF3747" s="5" t="str">
        <f t="shared" si="265"/>
        <v>60.5</v>
      </c>
      <c r="AG3747" s="1" t="str">
        <f t="shared" si="263"/>
        <v>Y</v>
      </c>
    </row>
    <row r="3748" spans="1:33" x14ac:dyDescent="0.2">
      <c r="A3748" s="1" t="s">
        <v>383</v>
      </c>
      <c r="B3748" s="1" t="s">
        <v>8285</v>
      </c>
      <c r="C3748" s="1">
        <v>64383</v>
      </c>
      <c r="D3748" s="1" t="s">
        <v>1304</v>
      </c>
      <c r="F3748" s="1">
        <v>2023</v>
      </c>
      <c r="G3748" s="1" t="s">
        <v>346</v>
      </c>
      <c r="H3748" s="1">
        <v>609954</v>
      </c>
      <c r="I3748" s="1">
        <v>6</v>
      </c>
      <c r="K3748" s="1" t="s">
        <v>2928</v>
      </c>
      <c r="L3748" s="1" t="s">
        <v>2929</v>
      </c>
      <c r="M3748" s="1">
        <v>157</v>
      </c>
      <c r="N3748" s="1" t="s">
        <v>39</v>
      </c>
      <c r="O3748" s="1">
        <v>29.4803</v>
      </c>
      <c r="P3748" s="1">
        <v>-95.6203</v>
      </c>
      <c r="Q3748" s="1" t="s">
        <v>8287</v>
      </c>
      <c r="R3748" s="1" t="s">
        <v>41</v>
      </c>
      <c r="T3748" s="1" t="s">
        <v>93</v>
      </c>
      <c r="U3748" s="1" t="s">
        <v>44</v>
      </c>
      <c r="X3748" s="1" t="s">
        <v>176</v>
      </c>
      <c r="AA3748" s="3">
        <v>44649</v>
      </c>
      <c r="AB3748" s="1" t="s">
        <v>46</v>
      </c>
      <c r="AC3748" s="5">
        <v>475</v>
      </c>
      <c r="AD3748" s="1" t="s">
        <v>8261</v>
      </c>
      <c r="AE3748" s="1" t="str">
        <f t="shared" si="264"/>
        <v>64383 CT-4</v>
      </c>
      <c r="AF3748" s="5" t="str">
        <f t="shared" si="265"/>
        <v>60.5</v>
      </c>
      <c r="AG3748" s="1" t="str">
        <f t="shared" si="263"/>
        <v>Y</v>
      </c>
    </row>
    <row r="3749" spans="1:33" x14ac:dyDescent="0.2">
      <c r="A3749" s="1" t="s">
        <v>383</v>
      </c>
      <c r="B3749" s="1" t="s">
        <v>8285</v>
      </c>
      <c r="C3749" s="1">
        <v>64383</v>
      </c>
      <c r="D3749" s="1" t="s">
        <v>5830</v>
      </c>
      <c r="F3749" s="1">
        <v>2023</v>
      </c>
      <c r="G3749" s="1" t="s">
        <v>346</v>
      </c>
      <c r="H3749" s="1">
        <v>609954</v>
      </c>
      <c r="I3749" s="1">
        <v>6</v>
      </c>
      <c r="K3749" s="1" t="s">
        <v>2928</v>
      </c>
      <c r="L3749" s="1" t="s">
        <v>2929</v>
      </c>
      <c r="M3749" s="1">
        <v>157</v>
      </c>
      <c r="N3749" s="1" t="s">
        <v>39</v>
      </c>
      <c r="O3749" s="1">
        <v>29.4803</v>
      </c>
      <c r="P3749" s="1">
        <v>-95.6203</v>
      </c>
      <c r="Q3749" s="1" t="s">
        <v>8287</v>
      </c>
      <c r="R3749" s="1" t="s">
        <v>41</v>
      </c>
      <c r="T3749" s="1" t="s">
        <v>93</v>
      </c>
      <c r="U3749" s="1" t="s">
        <v>44</v>
      </c>
      <c r="X3749" s="1" t="s">
        <v>176</v>
      </c>
      <c r="AA3749" s="3">
        <v>44642</v>
      </c>
      <c r="AB3749" s="1" t="s">
        <v>46</v>
      </c>
      <c r="AC3749" s="5">
        <v>475</v>
      </c>
      <c r="AD3749" s="1" t="s">
        <v>8262</v>
      </c>
      <c r="AE3749" s="1" t="str">
        <f t="shared" si="264"/>
        <v>64383 CT-5</v>
      </c>
      <c r="AF3749" s="5" t="str">
        <f t="shared" si="265"/>
        <v>60.5</v>
      </c>
      <c r="AG3749" s="1" t="str">
        <f t="shared" si="263"/>
        <v>Y</v>
      </c>
    </row>
    <row r="3750" spans="1:33" x14ac:dyDescent="0.2">
      <c r="A3750" s="1" t="s">
        <v>383</v>
      </c>
      <c r="B3750" s="1" t="s">
        <v>8285</v>
      </c>
      <c r="C3750" s="1">
        <v>64383</v>
      </c>
      <c r="D3750" s="1" t="s">
        <v>8263</v>
      </c>
      <c r="F3750" s="1">
        <v>2023</v>
      </c>
      <c r="G3750" s="1" t="s">
        <v>346</v>
      </c>
      <c r="H3750" s="1">
        <v>609954</v>
      </c>
      <c r="I3750" s="1">
        <v>6</v>
      </c>
      <c r="K3750" s="1" t="s">
        <v>2928</v>
      </c>
      <c r="L3750" s="1" t="s">
        <v>2929</v>
      </c>
      <c r="M3750" s="1">
        <v>157</v>
      </c>
      <c r="N3750" s="1" t="s">
        <v>39</v>
      </c>
      <c r="O3750" s="1">
        <v>29.4803</v>
      </c>
      <c r="P3750" s="1">
        <v>-95.6203</v>
      </c>
      <c r="Q3750" s="1" t="s">
        <v>8287</v>
      </c>
      <c r="R3750" s="1" t="s">
        <v>41</v>
      </c>
      <c r="T3750" s="1" t="s">
        <v>93</v>
      </c>
      <c r="U3750" s="1" t="s">
        <v>44</v>
      </c>
      <c r="X3750" s="1" t="s">
        <v>176</v>
      </c>
      <c r="AA3750" s="3">
        <v>44634</v>
      </c>
      <c r="AB3750" s="1" t="s">
        <v>46</v>
      </c>
      <c r="AC3750" s="5">
        <v>475</v>
      </c>
      <c r="AD3750" s="1" t="s">
        <v>8264</v>
      </c>
      <c r="AE3750" s="1" t="str">
        <f t="shared" si="264"/>
        <v>64383 CT-6</v>
      </c>
      <c r="AF3750" s="5" t="str">
        <f t="shared" si="265"/>
        <v>60.5</v>
      </c>
      <c r="AG3750" s="1" t="str">
        <f t="shared" si="263"/>
        <v>Y</v>
      </c>
    </row>
    <row r="3751" spans="1:33" x14ac:dyDescent="0.2">
      <c r="A3751" s="1" t="s">
        <v>383</v>
      </c>
      <c r="B3751" s="1" t="s">
        <v>8285</v>
      </c>
      <c r="C3751" s="1">
        <v>64383</v>
      </c>
      <c r="D3751" s="1" t="s">
        <v>8265</v>
      </c>
      <c r="F3751" s="1">
        <v>2023</v>
      </c>
      <c r="G3751" s="1" t="s">
        <v>346</v>
      </c>
      <c r="H3751" s="1">
        <v>609954</v>
      </c>
      <c r="I3751" s="1">
        <v>6</v>
      </c>
      <c r="K3751" s="1" t="s">
        <v>2928</v>
      </c>
      <c r="L3751" s="1" t="s">
        <v>2929</v>
      </c>
      <c r="M3751" s="1">
        <v>157</v>
      </c>
      <c r="N3751" s="1" t="s">
        <v>39</v>
      </c>
      <c r="O3751" s="1">
        <v>29.4803</v>
      </c>
      <c r="P3751" s="1">
        <v>-95.6203</v>
      </c>
      <c r="Q3751" s="1" t="s">
        <v>8287</v>
      </c>
      <c r="R3751" s="1" t="s">
        <v>41</v>
      </c>
      <c r="T3751" s="1" t="s">
        <v>93</v>
      </c>
      <c r="U3751" s="1" t="s">
        <v>44</v>
      </c>
      <c r="X3751" s="1" t="s">
        <v>176</v>
      </c>
      <c r="AA3751" s="3">
        <v>44631</v>
      </c>
      <c r="AB3751" s="1" t="s">
        <v>46</v>
      </c>
      <c r="AC3751" s="5">
        <v>475</v>
      </c>
      <c r="AD3751" s="1" t="s">
        <v>8267</v>
      </c>
      <c r="AE3751" s="1" t="str">
        <f t="shared" si="264"/>
        <v>64383 CT-7</v>
      </c>
      <c r="AF3751" s="5" t="str">
        <f t="shared" si="265"/>
        <v>60.5</v>
      </c>
      <c r="AG3751" s="1" t="str">
        <f t="shared" si="263"/>
        <v>Y</v>
      </c>
    </row>
    <row r="3752" spans="1:33" x14ac:dyDescent="0.2">
      <c r="A3752" s="1" t="s">
        <v>383</v>
      </c>
      <c r="B3752" s="1" t="s">
        <v>8285</v>
      </c>
      <c r="C3752" s="1">
        <v>64383</v>
      </c>
      <c r="D3752" s="1" t="s">
        <v>8268</v>
      </c>
      <c r="F3752" s="1">
        <v>2023</v>
      </c>
      <c r="G3752" s="1" t="s">
        <v>346</v>
      </c>
      <c r="H3752" s="1">
        <v>609954</v>
      </c>
      <c r="I3752" s="1">
        <v>6</v>
      </c>
      <c r="K3752" s="1" t="s">
        <v>2928</v>
      </c>
      <c r="L3752" s="1" t="s">
        <v>2929</v>
      </c>
      <c r="M3752" s="1">
        <v>157</v>
      </c>
      <c r="N3752" s="1" t="s">
        <v>39</v>
      </c>
      <c r="O3752" s="1">
        <v>29.4803</v>
      </c>
      <c r="P3752" s="1">
        <v>-95.6203</v>
      </c>
      <c r="Q3752" s="1" t="s">
        <v>8287</v>
      </c>
      <c r="R3752" s="1" t="s">
        <v>41</v>
      </c>
      <c r="T3752" s="1" t="s">
        <v>93</v>
      </c>
      <c r="U3752" s="1" t="s">
        <v>44</v>
      </c>
      <c r="X3752" s="1" t="s">
        <v>176</v>
      </c>
      <c r="AA3752" s="3">
        <v>44630</v>
      </c>
      <c r="AB3752" s="1" t="s">
        <v>46</v>
      </c>
      <c r="AC3752" s="5">
        <v>475</v>
      </c>
      <c r="AD3752" s="1" t="s">
        <v>8269</v>
      </c>
      <c r="AE3752" s="1" t="str">
        <f t="shared" si="264"/>
        <v>64383 CT-8</v>
      </c>
      <c r="AF3752" s="5" t="str">
        <f t="shared" si="265"/>
        <v>60.5</v>
      </c>
      <c r="AG3752" s="1" t="str">
        <f t="shared" si="263"/>
        <v>Y</v>
      </c>
    </row>
    <row r="3753" spans="1:33" x14ac:dyDescent="0.2">
      <c r="A3753" s="1" t="s">
        <v>383</v>
      </c>
      <c r="B3753" s="1" t="s">
        <v>8288</v>
      </c>
      <c r="C3753" s="1">
        <v>65372</v>
      </c>
      <c r="D3753" s="1" t="s">
        <v>1296</v>
      </c>
      <c r="F3753" s="1">
        <v>2023</v>
      </c>
      <c r="G3753" s="1" t="s">
        <v>346</v>
      </c>
      <c r="H3753" s="1">
        <v>609954</v>
      </c>
      <c r="I3753" s="1">
        <v>6</v>
      </c>
      <c r="K3753" s="1" t="s">
        <v>4794</v>
      </c>
      <c r="L3753" s="1" t="s">
        <v>4795</v>
      </c>
      <c r="M3753" s="1">
        <v>39</v>
      </c>
      <c r="N3753" s="1" t="s">
        <v>39</v>
      </c>
      <c r="O3753" s="1">
        <v>29.2286</v>
      </c>
      <c r="P3753" s="1">
        <v>-95.431100000000001</v>
      </c>
      <c r="Q3753" s="1" t="s">
        <v>8289</v>
      </c>
      <c r="R3753" s="1" t="s">
        <v>41</v>
      </c>
      <c r="T3753" s="1" t="s">
        <v>93</v>
      </c>
      <c r="U3753" s="1" t="s">
        <v>44</v>
      </c>
      <c r="X3753" s="1" t="s">
        <v>176</v>
      </c>
      <c r="AA3753" s="3">
        <v>44830</v>
      </c>
      <c r="AB3753" s="1" t="s">
        <v>46</v>
      </c>
      <c r="AC3753" s="5">
        <v>475</v>
      </c>
      <c r="AD3753" s="1" t="s">
        <v>8258</v>
      </c>
      <c r="AE3753" s="1" t="str">
        <f t="shared" si="264"/>
        <v>65372 CT-1</v>
      </c>
      <c r="AF3753" s="5" t="str">
        <f t="shared" si="265"/>
        <v>60.5</v>
      </c>
      <c r="AG3753" s="1" t="str">
        <f t="shared" si="263"/>
        <v>Y</v>
      </c>
    </row>
    <row r="3754" spans="1:33" x14ac:dyDescent="0.2">
      <c r="A3754" s="1" t="s">
        <v>383</v>
      </c>
      <c r="B3754" s="1" t="s">
        <v>8288</v>
      </c>
      <c r="C3754" s="1">
        <v>65372</v>
      </c>
      <c r="D3754" s="1" t="s">
        <v>1300</v>
      </c>
      <c r="F3754" s="1">
        <v>2023</v>
      </c>
      <c r="G3754" s="1" t="s">
        <v>346</v>
      </c>
      <c r="H3754" s="1">
        <v>609954</v>
      </c>
      <c r="I3754" s="1">
        <v>6</v>
      </c>
      <c r="K3754" s="1" t="s">
        <v>4794</v>
      </c>
      <c r="L3754" s="1" t="s">
        <v>4795</v>
      </c>
      <c r="M3754" s="1">
        <v>39</v>
      </c>
      <c r="N3754" s="1" t="s">
        <v>39</v>
      </c>
      <c r="O3754" s="1">
        <v>29.2286</v>
      </c>
      <c r="P3754" s="1">
        <v>-95.431100000000001</v>
      </c>
      <c r="Q3754" s="1" t="s">
        <v>8289</v>
      </c>
      <c r="R3754" s="1" t="s">
        <v>41</v>
      </c>
      <c r="T3754" s="1" t="s">
        <v>93</v>
      </c>
      <c r="U3754" s="1" t="s">
        <v>44</v>
      </c>
      <c r="X3754" s="1" t="s">
        <v>176</v>
      </c>
      <c r="AA3754" s="3">
        <v>44831</v>
      </c>
      <c r="AB3754" s="1" t="s">
        <v>46</v>
      </c>
      <c r="AC3754" s="5">
        <v>475</v>
      </c>
      <c r="AD3754" s="1" t="s">
        <v>8259</v>
      </c>
      <c r="AE3754" s="1" t="str">
        <f t="shared" si="264"/>
        <v>65372 CT-2</v>
      </c>
      <c r="AF3754" s="5" t="str">
        <f t="shared" si="265"/>
        <v>60.5</v>
      </c>
      <c r="AG3754" s="1" t="str">
        <f t="shared" si="263"/>
        <v>Y</v>
      </c>
    </row>
    <row r="3755" spans="1:33" x14ac:dyDescent="0.2">
      <c r="A3755" s="1" t="s">
        <v>383</v>
      </c>
      <c r="B3755" s="1" t="s">
        <v>8288</v>
      </c>
      <c r="C3755" s="1">
        <v>65372</v>
      </c>
      <c r="D3755" s="1" t="s">
        <v>1302</v>
      </c>
      <c r="F3755" s="1">
        <v>2023</v>
      </c>
      <c r="G3755" s="1" t="s">
        <v>346</v>
      </c>
      <c r="H3755" s="1">
        <v>609954</v>
      </c>
      <c r="I3755" s="1">
        <v>6</v>
      </c>
      <c r="K3755" s="1" t="s">
        <v>4794</v>
      </c>
      <c r="L3755" s="1" t="s">
        <v>4795</v>
      </c>
      <c r="M3755" s="1">
        <v>39</v>
      </c>
      <c r="N3755" s="1" t="s">
        <v>39</v>
      </c>
      <c r="O3755" s="1">
        <v>29.2286</v>
      </c>
      <c r="P3755" s="1">
        <v>-95.431100000000001</v>
      </c>
      <c r="Q3755" s="1" t="s">
        <v>8289</v>
      </c>
      <c r="R3755" s="1" t="s">
        <v>41</v>
      </c>
      <c r="T3755" s="1" t="s">
        <v>93</v>
      </c>
      <c r="U3755" s="1" t="s">
        <v>44</v>
      </c>
      <c r="X3755" s="1" t="s">
        <v>176</v>
      </c>
      <c r="AA3755" s="3">
        <v>44834</v>
      </c>
      <c r="AB3755" s="1" t="s">
        <v>46</v>
      </c>
      <c r="AC3755" s="5">
        <v>475</v>
      </c>
      <c r="AD3755" s="1" t="s">
        <v>8260</v>
      </c>
      <c r="AE3755" s="1" t="str">
        <f t="shared" si="264"/>
        <v>65372 CT-3</v>
      </c>
      <c r="AF3755" s="5" t="str">
        <f t="shared" si="265"/>
        <v>60.5</v>
      </c>
      <c r="AG3755" s="1" t="str">
        <f t="shared" si="263"/>
        <v>Y</v>
      </c>
    </row>
    <row r="3756" spans="1:33" x14ac:dyDescent="0.2">
      <c r="A3756" s="1" t="s">
        <v>383</v>
      </c>
      <c r="B3756" s="1" t="s">
        <v>8288</v>
      </c>
      <c r="C3756" s="1">
        <v>65372</v>
      </c>
      <c r="D3756" s="1" t="s">
        <v>1304</v>
      </c>
      <c r="F3756" s="1">
        <v>2023</v>
      </c>
      <c r="G3756" s="1" t="s">
        <v>346</v>
      </c>
      <c r="H3756" s="1">
        <v>609954</v>
      </c>
      <c r="I3756" s="1">
        <v>6</v>
      </c>
      <c r="K3756" s="1" t="s">
        <v>4794</v>
      </c>
      <c r="L3756" s="1" t="s">
        <v>4795</v>
      </c>
      <c r="M3756" s="1">
        <v>39</v>
      </c>
      <c r="N3756" s="1" t="s">
        <v>39</v>
      </c>
      <c r="O3756" s="1">
        <v>29.2286</v>
      </c>
      <c r="P3756" s="1">
        <v>-95.431100000000001</v>
      </c>
      <c r="Q3756" s="1" t="s">
        <v>8289</v>
      </c>
      <c r="R3756" s="1" t="s">
        <v>41</v>
      </c>
      <c r="T3756" s="1" t="s">
        <v>93</v>
      </c>
      <c r="U3756" s="1" t="s">
        <v>44</v>
      </c>
      <c r="X3756" s="1" t="s">
        <v>176</v>
      </c>
      <c r="AA3756" s="3">
        <v>44896</v>
      </c>
      <c r="AB3756" s="1" t="s">
        <v>46</v>
      </c>
      <c r="AC3756" s="5">
        <v>475</v>
      </c>
      <c r="AD3756" s="1" t="s">
        <v>8261</v>
      </c>
      <c r="AE3756" s="1" t="str">
        <f t="shared" si="264"/>
        <v>65372 CT-4</v>
      </c>
      <c r="AF3756" s="5" t="str">
        <f t="shared" si="265"/>
        <v>60.5</v>
      </c>
      <c r="AG3756" s="1" t="str">
        <f t="shared" si="263"/>
        <v>Y</v>
      </c>
    </row>
    <row r="3757" spans="1:33" x14ac:dyDescent="0.2">
      <c r="A3757" s="1" t="s">
        <v>383</v>
      </c>
      <c r="B3757" s="1" t="s">
        <v>8288</v>
      </c>
      <c r="C3757" s="1">
        <v>65372</v>
      </c>
      <c r="D3757" s="1" t="s">
        <v>5830</v>
      </c>
      <c r="F3757" s="1">
        <v>2023</v>
      </c>
      <c r="G3757" s="1" t="s">
        <v>346</v>
      </c>
      <c r="H3757" s="1">
        <v>609954</v>
      </c>
      <c r="I3757" s="1">
        <v>6</v>
      </c>
      <c r="K3757" s="1" t="s">
        <v>4794</v>
      </c>
      <c r="L3757" s="1" t="s">
        <v>4795</v>
      </c>
      <c r="M3757" s="1">
        <v>39</v>
      </c>
      <c r="N3757" s="1" t="s">
        <v>39</v>
      </c>
      <c r="O3757" s="1">
        <v>29.2286</v>
      </c>
      <c r="P3757" s="1">
        <v>-95.431100000000001</v>
      </c>
      <c r="Q3757" s="1" t="s">
        <v>8289</v>
      </c>
      <c r="R3757" s="1" t="s">
        <v>41</v>
      </c>
      <c r="T3757" s="1" t="s">
        <v>93</v>
      </c>
      <c r="U3757" s="1" t="s">
        <v>44</v>
      </c>
      <c r="X3757" s="1" t="s">
        <v>176</v>
      </c>
      <c r="AA3757" s="3">
        <v>44897</v>
      </c>
      <c r="AB3757" s="1" t="s">
        <v>46</v>
      </c>
      <c r="AC3757" s="5">
        <v>475</v>
      </c>
      <c r="AD3757" s="1" t="s">
        <v>8262</v>
      </c>
      <c r="AE3757" s="1" t="str">
        <f t="shared" si="264"/>
        <v>65372 CT-5</v>
      </c>
      <c r="AF3757" s="5" t="str">
        <f t="shared" si="265"/>
        <v>60.5</v>
      </c>
      <c r="AG3757" s="1" t="str">
        <f t="shared" si="263"/>
        <v>Y</v>
      </c>
    </row>
    <row r="3758" spans="1:33" x14ac:dyDescent="0.2">
      <c r="A3758" s="1" t="s">
        <v>383</v>
      </c>
      <c r="B3758" s="1" t="s">
        <v>8288</v>
      </c>
      <c r="C3758" s="1">
        <v>65372</v>
      </c>
      <c r="D3758" s="1" t="s">
        <v>8263</v>
      </c>
      <c r="F3758" s="1">
        <v>2023</v>
      </c>
      <c r="G3758" s="1" t="s">
        <v>346</v>
      </c>
      <c r="H3758" s="1">
        <v>609954</v>
      </c>
      <c r="I3758" s="1">
        <v>6</v>
      </c>
      <c r="K3758" s="1" t="s">
        <v>4794</v>
      </c>
      <c r="L3758" s="1" t="s">
        <v>4795</v>
      </c>
      <c r="M3758" s="1">
        <v>39</v>
      </c>
      <c r="N3758" s="1" t="s">
        <v>39</v>
      </c>
      <c r="O3758" s="1">
        <v>29.2286</v>
      </c>
      <c r="P3758" s="1">
        <v>-95.431100000000001</v>
      </c>
      <c r="Q3758" s="1" t="s">
        <v>8289</v>
      </c>
      <c r="R3758" s="1" t="s">
        <v>41</v>
      </c>
      <c r="T3758" s="1" t="s">
        <v>93</v>
      </c>
      <c r="U3758" s="1" t="s">
        <v>44</v>
      </c>
      <c r="X3758" s="1" t="s">
        <v>176</v>
      </c>
      <c r="AA3758" s="3">
        <v>44902</v>
      </c>
      <c r="AB3758" s="1" t="s">
        <v>46</v>
      </c>
      <c r="AC3758" s="5">
        <v>475</v>
      </c>
      <c r="AD3758" s="1" t="s">
        <v>8264</v>
      </c>
      <c r="AE3758" s="1" t="str">
        <f t="shared" si="264"/>
        <v>65372 CT-6</v>
      </c>
      <c r="AF3758" s="5" t="str">
        <f t="shared" si="265"/>
        <v>60.5</v>
      </c>
      <c r="AG3758" s="1" t="str">
        <f t="shared" si="263"/>
        <v>Y</v>
      </c>
    </row>
    <row r="3759" spans="1:33" x14ac:dyDescent="0.2">
      <c r="A3759" s="1" t="s">
        <v>383</v>
      </c>
      <c r="B3759" s="1" t="s">
        <v>8290</v>
      </c>
      <c r="C3759" s="1">
        <v>65373</v>
      </c>
      <c r="D3759" s="1" t="s">
        <v>1296</v>
      </c>
      <c r="F3759" s="1">
        <v>2023</v>
      </c>
      <c r="G3759" s="1" t="s">
        <v>346</v>
      </c>
      <c r="H3759" s="1">
        <v>609954</v>
      </c>
      <c r="I3759" s="1">
        <v>6</v>
      </c>
      <c r="K3759" s="1" t="s">
        <v>4794</v>
      </c>
      <c r="L3759" s="1" t="s">
        <v>4795</v>
      </c>
      <c r="M3759" s="1">
        <v>39</v>
      </c>
      <c r="N3759" s="1" t="s">
        <v>39</v>
      </c>
      <c r="O3759" s="1">
        <v>29.3642</v>
      </c>
      <c r="P3759" s="1">
        <v>-95.435100000000006</v>
      </c>
      <c r="Q3759" s="1" t="s">
        <v>8291</v>
      </c>
      <c r="R3759" s="1" t="s">
        <v>41</v>
      </c>
      <c r="T3759" s="1" t="s">
        <v>8292</v>
      </c>
      <c r="U3759" s="1" t="s">
        <v>44</v>
      </c>
      <c r="X3759" s="1" t="s">
        <v>176</v>
      </c>
      <c r="AA3759" s="3">
        <v>45051</v>
      </c>
      <c r="AB3759" s="1" t="s">
        <v>8293</v>
      </c>
      <c r="AC3759" s="5">
        <v>475</v>
      </c>
      <c r="AD3759" s="1" t="s">
        <v>8258</v>
      </c>
      <c r="AE3759" s="1" t="str">
        <f t="shared" si="264"/>
        <v>65373 CT-1</v>
      </c>
      <c r="AF3759" s="5" t="str">
        <f t="shared" si="265"/>
        <v>60.5</v>
      </c>
      <c r="AG3759" s="1" t="str">
        <f t="shared" si="263"/>
        <v>Y</v>
      </c>
    </row>
    <row r="3760" spans="1:33" x14ac:dyDescent="0.2">
      <c r="A3760" s="1" t="s">
        <v>383</v>
      </c>
      <c r="B3760" s="1" t="s">
        <v>8290</v>
      </c>
      <c r="C3760" s="1">
        <v>65373</v>
      </c>
      <c r="D3760" s="1" t="s">
        <v>1300</v>
      </c>
      <c r="F3760" s="1">
        <v>2023</v>
      </c>
      <c r="G3760" s="1" t="s">
        <v>346</v>
      </c>
      <c r="H3760" s="1">
        <v>609954</v>
      </c>
      <c r="I3760" s="1">
        <v>6</v>
      </c>
      <c r="K3760" s="1" t="s">
        <v>4794</v>
      </c>
      <c r="L3760" s="1" t="s">
        <v>4795</v>
      </c>
      <c r="M3760" s="1">
        <v>39</v>
      </c>
      <c r="N3760" s="1" t="s">
        <v>39</v>
      </c>
      <c r="O3760" s="1">
        <v>29.3642</v>
      </c>
      <c r="P3760" s="1">
        <v>-95.435100000000006</v>
      </c>
      <c r="Q3760" s="1" t="s">
        <v>8291</v>
      </c>
      <c r="R3760" s="1" t="s">
        <v>41</v>
      </c>
      <c r="T3760" s="1" t="s">
        <v>554</v>
      </c>
      <c r="U3760" s="1" t="s">
        <v>44</v>
      </c>
      <c r="X3760" s="1" t="s">
        <v>176</v>
      </c>
      <c r="AA3760" s="3">
        <v>45029</v>
      </c>
      <c r="AB3760" s="1" t="s">
        <v>555</v>
      </c>
      <c r="AC3760" s="5">
        <v>475</v>
      </c>
      <c r="AD3760" s="1" t="s">
        <v>8259</v>
      </c>
      <c r="AE3760" s="1" t="str">
        <f t="shared" si="264"/>
        <v>65373 CT-2</v>
      </c>
      <c r="AF3760" s="5" t="str">
        <f t="shared" si="265"/>
        <v>60.5</v>
      </c>
      <c r="AG3760" s="1" t="str">
        <f t="shared" si="263"/>
        <v>Y</v>
      </c>
    </row>
    <row r="3761" spans="1:33" x14ac:dyDescent="0.2">
      <c r="A3761" s="1" t="s">
        <v>383</v>
      </c>
      <c r="B3761" s="1" t="s">
        <v>8290</v>
      </c>
      <c r="C3761" s="1">
        <v>65373</v>
      </c>
      <c r="D3761" s="1" t="s">
        <v>1302</v>
      </c>
      <c r="F3761" s="1">
        <v>2023</v>
      </c>
      <c r="G3761" s="1" t="s">
        <v>346</v>
      </c>
      <c r="H3761" s="1">
        <v>609954</v>
      </c>
      <c r="I3761" s="1">
        <v>6</v>
      </c>
      <c r="K3761" s="1" t="s">
        <v>4794</v>
      </c>
      <c r="L3761" s="1" t="s">
        <v>4795</v>
      </c>
      <c r="M3761" s="1">
        <v>39</v>
      </c>
      <c r="N3761" s="1" t="s">
        <v>39</v>
      </c>
      <c r="O3761" s="1">
        <v>29.3642</v>
      </c>
      <c r="P3761" s="1">
        <v>-95.435100000000006</v>
      </c>
      <c r="Q3761" s="1" t="s">
        <v>8291</v>
      </c>
      <c r="R3761" s="1" t="s">
        <v>41</v>
      </c>
      <c r="T3761" s="1" t="s">
        <v>8294</v>
      </c>
      <c r="U3761" s="1" t="s">
        <v>44</v>
      </c>
      <c r="X3761" s="1" t="s">
        <v>176</v>
      </c>
      <c r="AA3761" s="3">
        <v>45028</v>
      </c>
      <c r="AB3761" s="1" t="s">
        <v>8295</v>
      </c>
      <c r="AC3761" s="5">
        <v>475</v>
      </c>
      <c r="AD3761" s="1" t="s">
        <v>8260</v>
      </c>
      <c r="AE3761" s="1" t="str">
        <f t="shared" si="264"/>
        <v>65373 CT-3</v>
      </c>
      <c r="AF3761" s="5" t="str">
        <f t="shared" si="265"/>
        <v>60.5</v>
      </c>
      <c r="AG3761" s="1" t="str">
        <f t="shared" si="263"/>
        <v>Y</v>
      </c>
    </row>
    <row r="3762" spans="1:33" x14ac:dyDescent="0.2">
      <c r="A3762" s="1" t="s">
        <v>383</v>
      </c>
      <c r="B3762" s="1" t="s">
        <v>8290</v>
      </c>
      <c r="C3762" s="1">
        <v>65373</v>
      </c>
      <c r="D3762" s="1" t="s">
        <v>1304</v>
      </c>
      <c r="F3762" s="1">
        <v>2023</v>
      </c>
      <c r="G3762" s="1" t="s">
        <v>346</v>
      </c>
      <c r="H3762" s="1">
        <v>609954</v>
      </c>
      <c r="I3762" s="1">
        <v>6</v>
      </c>
      <c r="K3762" s="1" t="s">
        <v>4794</v>
      </c>
      <c r="L3762" s="1" t="s">
        <v>4795</v>
      </c>
      <c r="M3762" s="1">
        <v>39</v>
      </c>
      <c r="N3762" s="1" t="s">
        <v>39</v>
      </c>
      <c r="O3762" s="1">
        <v>29.3642</v>
      </c>
      <c r="P3762" s="1">
        <v>-95.435100000000006</v>
      </c>
      <c r="Q3762" s="1" t="s">
        <v>8291</v>
      </c>
      <c r="R3762" s="1" t="s">
        <v>41</v>
      </c>
      <c r="T3762" s="1" t="s">
        <v>8296</v>
      </c>
      <c r="U3762" s="1" t="s">
        <v>44</v>
      </c>
      <c r="X3762" s="1" t="s">
        <v>176</v>
      </c>
      <c r="AA3762" s="3">
        <v>45019</v>
      </c>
      <c r="AB3762" s="1" t="s">
        <v>8297</v>
      </c>
      <c r="AC3762" s="5">
        <v>475</v>
      </c>
      <c r="AD3762" s="1" t="s">
        <v>8261</v>
      </c>
      <c r="AE3762" s="1" t="str">
        <f t="shared" si="264"/>
        <v>65373 CT-4</v>
      </c>
      <c r="AF3762" s="5" t="str">
        <f t="shared" si="265"/>
        <v>60.5</v>
      </c>
      <c r="AG3762" s="1" t="str">
        <f t="shared" si="263"/>
        <v>Y</v>
      </c>
    </row>
    <row r="3763" spans="1:33" x14ac:dyDescent="0.2">
      <c r="A3763" s="1" t="s">
        <v>383</v>
      </c>
      <c r="B3763" s="1" t="s">
        <v>8290</v>
      </c>
      <c r="C3763" s="1">
        <v>65373</v>
      </c>
      <c r="D3763" s="1" t="s">
        <v>5830</v>
      </c>
      <c r="F3763" s="1">
        <v>2023</v>
      </c>
      <c r="G3763" s="1" t="s">
        <v>346</v>
      </c>
      <c r="H3763" s="1">
        <v>609954</v>
      </c>
      <c r="I3763" s="1">
        <v>6</v>
      </c>
      <c r="K3763" s="1" t="s">
        <v>4794</v>
      </c>
      <c r="L3763" s="1" t="s">
        <v>4795</v>
      </c>
      <c r="M3763" s="1">
        <v>39</v>
      </c>
      <c r="N3763" s="1" t="s">
        <v>39</v>
      </c>
      <c r="O3763" s="1">
        <v>29.3642</v>
      </c>
      <c r="P3763" s="1">
        <v>-95.435100000000006</v>
      </c>
      <c r="Q3763" s="1" t="s">
        <v>8291</v>
      </c>
      <c r="R3763" s="1" t="s">
        <v>41</v>
      </c>
      <c r="T3763" s="1" t="s">
        <v>8298</v>
      </c>
      <c r="U3763" s="1" t="s">
        <v>44</v>
      </c>
      <c r="X3763" s="1" t="s">
        <v>176</v>
      </c>
      <c r="AA3763" s="3">
        <v>45002</v>
      </c>
      <c r="AB3763" s="1" t="s">
        <v>8299</v>
      </c>
      <c r="AC3763" s="5">
        <v>475</v>
      </c>
      <c r="AD3763" s="1" t="s">
        <v>8262</v>
      </c>
      <c r="AE3763" s="1" t="str">
        <f t="shared" si="264"/>
        <v>65373 CT-5</v>
      </c>
      <c r="AF3763" s="5" t="str">
        <f t="shared" si="265"/>
        <v>60.5</v>
      </c>
      <c r="AG3763" s="1" t="str">
        <f t="shared" si="263"/>
        <v>Y</v>
      </c>
    </row>
    <row r="3764" spans="1:33" x14ac:dyDescent="0.2">
      <c r="A3764" s="1" t="s">
        <v>383</v>
      </c>
      <c r="B3764" s="1" t="s">
        <v>8290</v>
      </c>
      <c r="C3764" s="1">
        <v>65373</v>
      </c>
      <c r="D3764" s="1" t="s">
        <v>8263</v>
      </c>
      <c r="F3764" s="1">
        <v>2023</v>
      </c>
      <c r="G3764" s="1" t="s">
        <v>346</v>
      </c>
      <c r="H3764" s="1">
        <v>609954</v>
      </c>
      <c r="I3764" s="1">
        <v>6</v>
      </c>
      <c r="K3764" s="1" t="s">
        <v>4794</v>
      </c>
      <c r="L3764" s="1" t="s">
        <v>4795</v>
      </c>
      <c r="M3764" s="1">
        <v>39</v>
      </c>
      <c r="N3764" s="1" t="s">
        <v>39</v>
      </c>
      <c r="O3764" s="1">
        <v>29.3642</v>
      </c>
      <c r="P3764" s="1">
        <v>-95.435100000000006</v>
      </c>
      <c r="Q3764" s="1" t="s">
        <v>8291</v>
      </c>
      <c r="R3764" s="1" t="s">
        <v>41</v>
      </c>
      <c r="T3764" s="1" t="s">
        <v>8300</v>
      </c>
      <c r="U3764" s="1" t="s">
        <v>44</v>
      </c>
      <c r="X3764" s="1" t="s">
        <v>176</v>
      </c>
      <c r="AA3764" s="3">
        <v>45001</v>
      </c>
      <c r="AB3764" s="1" t="s">
        <v>8301</v>
      </c>
      <c r="AC3764" s="5">
        <v>475</v>
      </c>
      <c r="AD3764" s="1" t="s">
        <v>8264</v>
      </c>
      <c r="AE3764" s="1" t="str">
        <f t="shared" si="264"/>
        <v>65373 CT-6</v>
      </c>
      <c r="AF3764" s="5" t="str">
        <f t="shared" si="265"/>
        <v>60.5</v>
      </c>
      <c r="AG3764" s="1" t="str">
        <f t="shared" si="263"/>
        <v>Y</v>
      </c>
    </row>
    <row r="3765" spans="1:33" x14ac:dyDescent="0.2">
      <c r="A3765" s="1" t="s">
        <v>383</v>
      </c>
      <c r="B3765" s="1" t="s">
        <v>8290</v>
      </c>
      <c r="C3765" s="1">
        <v>65373</v>
      </c>
      <c r="D3765" s="1" t="s">
        <v>8265</v>
      </c>
      <c r="F3765" s="1">
        <v>2023</v>
      </c>
      <c r="G3765" s="1" t="s">
        <v>346</v>
      </c>
      <c r="H3765" s="1">
        <v>609954</v>
      </c>
      <c r="I3765" s="1">
        <v>6</v>
      </c>
      <c r="K3765" s="1" t="s">
        <v>4794</v>
      </c>
      <c r="L3765" s="1" t="s">
        <v>4795</v>
      </c>
      <c r="M3765" s="1">
        <v>39</v>
      </c>
      <c r="N3765" s="1" t="s">
        <v>39</v>
      </c>
      <c r="O3765" s="1">
        <v>29.3642</v>
      </c>
      <c r="P3765" s="1">
        <v>-95.435100000000006</v>
      </c>
      <c r="Q3765" s="1" t="s">
        <v>8302</v>
      </c>
      <c r="R3765" s="1" t="s">
        <v>41</v>
      </c>
      <c r="T3765" s="1" t="s">
        <v>8303</v>
      </c>
      <c r="U3765" s="1" t="s">
        <v>44</v>
      </c>
      <c r="X3765" s="1" t="s">
        <v>176</v>
      </c>
      <c r="AA3765" s="3">
        <v>45124</v>
      </c>
      <c r="AB3765" s="1" t="s">
        <v>65</v>
      </c>
      <c r="AC3765" s="5">
        <v>475</v>
      </c>
      <c r="AD3765" s="1" t="s">
        <v>8267</v>
      </c>
      <c r="AE3765" s="1" t="str">
        <f t="shared" si="264"/>
        <v>65373 CT-7</v>
      </c>
      <c r="AF3765" s="5" t="str">
        <f t="shared" si="265"/>
        <v>60.5</v>
      </c>
      <c r="AG3765" s="1" t="str">
        <f t="shared" si="263"/>
        <v>Y</v>
      </c>
    </row>
    <row r="3766" spans="1:33" x14ac:dyDescent="0.2">
      <c r="A3766" s="1" t="s">
        <v>383</v>
      </c>
      <c r="B3766" s="1" t="s">
        <v>8290</v>
      </c>
      <c r="C3766" s="1">
        <v>65373</v>
      </c>
      <c r="D3766" s="1" t="s">
        <v>8268</v>
      </c>
      <c r="F3766" s="1">
        <v>2023</v>
      </c>
      <c r="G3766" s="1" t="s">
        <v>346</v>
      </c>
      <c r="H3766" s="1">
        <v>609954</v>
      </c>
      <c r="I3766" s="1">
        <v>6</v>
      </c>
      <c r="K3766" s="1" t="s">
        <v>4794</v>
      </c>
      <c r="L3766" s="1" t="s">
        <v>4795</v>
      </c>
      <c r="M3766" s="1">
        <v>39</v>
      </c>
      <c r="N3766" s="1" t="s">
        <v>39</v>
      </c>
      <c r="O3766" s="1">
        <v>29.3642</v>
      </c>
      <c r="P3766" s="1">
        <v>-95.435100000000006</v>
      </c>
      <c r="Q3766" s="1" t="s">
        <v>8302</v>
      </c>
      <c r="R3766" s="1" t="s">
        <v>41</v>
      </c>
      <c r="T3766" s="1" t="s">
        <v>8304</v>
      </c>
      <c r="U3766" s="1" t="s">
        <v>44</v>
      </c>
      <c r="X3766" s="1" t="s">
        <v>176</v>
      </c>
      <c r="AA3766" s="3">
        <v>45140</v>
      </c>
      <c r="AB3766" s="1" t="s">
        <v>8305</v>
      </c>
      <c r="AC3766" s="5">
        <v>475</v>
      </c>
      <c r="AD3766" s="1" t="s">
        <v>8269</v>
      </c>
      <c r="AE3766" s="1" t="str">
        <f t="shared" si="264"/>
        <v>65373 CT-8</v>
      </c>
      <c r="AF3766" s="5" t="str">
        <f t="shared" si="265"/>
        <v>60.5</v>
      </c>
      <c r="AG3766" s="1" t="str">
        <f t="shared" si="263"/>
        <v>Y</v>
      </c>
    </row>
    <row r="3767" spans="1:33" x14ac:dyDescent="0.2">
      <c r="A3767" s="1" t="s">
        <v>921</v>
      </c>
      <c r="B3767" s="1" t="s">
        <v>8306</v>
      </c>
      <c r="C3767" s="1">
        <v>70454</v>
      </c>
      <c r="D3767" s="1" t="s">
        <v>8307</v>
      </c>
      <c r="F3767" s="1">
        <v>2023</v>
      </c>
      <c r="G3767" s="1" t="s">
        <v>952</v>
      </c>
      <c r="H3767" s="1" t="s">
        <v>4261</v>
      </c>
      <c r="I3767" s="1">
        <v>4</v>
      </c>
      <c r="J3767" s="1" t="s">
        <v>36</v>
      </c>
      <c r="K3767" s="1" t="s">
        <v>8308</v>
      </c>
      <c r="L3767" s="1" t="s">
        <v>8309</v>
      </c>
      <c r="M3767" s="1">
        <v>147</v>
      </c>
      <c r="N3767" s="1" t="s">
        <v>39</v>
      </c>
      <c r="O3767" s="1">
        <v>34.338700000000003</v>
      </c>
      <c r="P3767" s="1">
        <v>-82.820700000000002</v>
      </c>
      <c r="Q3767" s="1" t="s">
        <v>4503</v>
      </c>
      <c r="R3767" s="1" t="s">
        <v>41</v>
      </c>
      <c r="T3767" s="1" t="s">
        <v>93</v>
      </c>
      <c r="U3767" s="1" t="s">
        <v>44</v>
      </c>
      <c r="V3767" s="1" t="s">
        <v>94</v>
      </c>
      <c r="X3767" s="1" t="s">
        <v>95</v>
      </c>
      <c r="AA3767" s="3">
        <v>34432</v>
      </c>
      <c r="AB3767" s="1" t="s">
        <v>46</v>
      </c>
      <c r="AC3767" s="5">
        <v>2241</v>
      </c>
      <c r="AD3767" s="1" t="s">
        <v>8310</v>
      </c>
      <c r="AE3767" s="1" t="str">
        <f t="shared" si="264"/>
        <v>70454 MAG1</v>
      </c>
      <c r="AF3767" s="5" t="str">
        <f t="shared" si="265"/>
        <v>185</v>
      </c>
      <c r="AG3767" s="1" t="str">
        <f t="shared" si="263"/>
        <v/>
      </c>
    </row>
    <row r="3768" spans="1:33" x14ac:dyDescent="0.2">
      <c r="A3768" s="1" t="s">
        <v>921</v>
      </c>
      <c r="B3768" s="1" t="s">
        <v>8306</v>
      </c>
      <c r="C3768" s="1">
        <v>70454</v>
      </c>
      <c r="D3768" s="1" t="s">
        <v>8311</v>
      </c>
      <c r="F3768" s="1">
        <v>2023</v>
      </c>
      <c r="G3768" s="1" t="s">
        <v>952</v>
      </c>
      <c r="H3768" s="1" t="s">
        <v>4261</v>
      </c>
      <c r="I3768" s="1">
        <v>4</v>
      </c>
      <c r="J3768" s="1" t="s">
        <v>36</v>
      </c>
      <c r="K3768" s="1" t="s">
        <v>8308</v>
      </c>
      <c r="L3768" s="1" t="s">
        <v>8309</v>
      </c>
      <c r="M3768" s="1">
        <v>147</v>
      </c>
      <c r="N3768" s="1" t="s">
        <v>39</v>
      </c>
      <c r="O3768" s="1">
        <v>34.338700000000003</v>
      </c>
      <c r="P3768" s="1">
        <v>-82.820700000000002</v>
      </c>
      <c r="Q3768" s="1" t="s">
        <v>4503</v>
      </c>
      <c r="R3768" s="1" t="s">
        <v>41</v>
      </c>
      <c r="T3768" s="1" t="s">
        <v>93</v>
      </c>
      <c r="U3768" s="1" t="s">
        <v>44</v>
      </c>
      <c r="V3768" s="1" t="s">
        <v>94</v>
      </c>
      <c r="X3768" s="1" t="s">
        <v>95</v>
      </c>
      <c r="AA3768" s="3">
        <v>34432</v>
      </c>
      <c r="AB3768" s="1" t="s">
        <v>46</v>
      </c>
      <c r="AC3768" s="5">
        <v>2241</v>
      </c>
      <c r="AD3768" s="1" t="s">
        <v>8312</v>
      </c>
      <c r="AE3768" s="1" t="str">
        <f t="shared" si="264"/>
        <v>70454 MAG2</v>
      </c>
      <c r="AF3768" s="5" t="str">
        <f t="shared" si="265"/>
        <v>185</v>
      </c>
      <c r="AG3768" s="1" t="str">
        <f t="shared" si="263"/>
        <v/>
      </c>
    </row>
  </sheetData>
  <sortState xmlns:xlrd2="http://schemas.microsoft.com/office/spreadsheetml/2017/richdata2" ref="A2:AG3769">
    <sortCondition ref="C2:C3769"/>
    <sortCondition ref="D2:D3769"/>
    <sortCondition descending="1" ref="AA2:AA3769"/>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758"/>
  <sheetViews>
    <sheetView tabSelected="1" workbookViewId="0">
      <pane xSplit="4" ySplit="1" topLeftCell="E2" activePane="bottomRight" state="frozen"/>
      <selection pane="topRight" activeCell="E1" sqref="E1"/>
      <selection pane="bottomLeft" activeCell="A2" sqref="A2"/>
      <selection pane="bottomRight" activeCell="N2" sqref="N2"/>
    </sheetView>
  </sheetViews>
  <sheetFormatPr defaultColWidth="8.88671875" defaultRowHeight="10.199999999999999" x14ac:dyDescent="0.2"/>
  <cols>
    <col min="1" max="1" width="4.44140625" style="1" bestFit="1" customWidth="1"/>
    <col min="2" max="2" width="29.88671875" style="1" bestFit="1" customWidth="1"/>
    <col min="3" max="3" width="7.33203125" style="1" bestFit="1" customWidth="1"/>
    <col min="4" max="4" width="6.33203125" style="1" bestFit="1" customWidth="1"/>
    <col min="5" max="5" width="11.44140625" style="1" bestFit="1" customWidth="1"/>
    <col min="6" max="6" width="4.33203125" style="1" bestFit="1" customWidth="1"/>
    <col min="7" max="8" width="10.109375" style="5" bestFit="1" customWidth="1"/>
    <col min="9" max="9" width="9" style="5" customWidth="1"/>
    <col min="10" max="10" width="8.109375" style="5" bestFit="1" customWidth="1"/>
    <col min="11" max="11" width="7.88671875" style="5" bestFit="1" customWidth="1"/>
    <col min="12" max="12" width="8.33203125" style="5" bestFit="1" customWidth="1"/>
    <col min="13" max="13" width="7.88671875" style="5" bestFit="1" customWidth="1"/>
    <col min="14" max="14" width="12.6640625" style="6" bestFit="1" customWidth="1"/>
    <col min="15" max="15" width="9.6640625" style="5" customWidth="1"/>
    <col min="16" max="16" width="9.109375" style="6" customWidth="1"/>
    <col min="17" max="17" width="10.44140625" style="5" customWidth="1"/>
    <col min="18" max="18" width="13.5546875" style="1" bestFit="1" customWidth="1"/>
    <col min="19" max="19" width="43.33203125" style="1" bestFit="1" customWidth="1"/>
    <col min="20" max="20" width="29.6640625" style="1" bestFit="1" customWidth="1"/>
    <col min="21" max="21" width="30" style="1" bestFit="1" customWidth="1"/>
    <col min="22" max="22" width="93.6640625" style="1" bestFit="1" customWidth="1"/>
    <col min="23" max="23" width="47.88671875" style="1" bestFit="1" customWidth="1"/>
    <col min="24" max="24" width="81.33203125" style="1" bestFit="1" customWidth="1"/>
    <col min="25" max="25" width="30.6640625" style="1" bestFit="1" customWidth="1"/>
    <col min="26" max="26" width="10.6640625" style="1" bestFit="1" customWidth="1"/>
    <col min="27" max="27" width="11.33203125" style="1" customWidth="1"/>
    <col min="28" max="28" width="11.6640625" style="5" customWidth="1"/>
    <col min="29" max="29" width="5.109375" style="1" customWidth="1"/>
    <col min="30" max="30" width="15.109375" style="21" customWidth="1"/>
    <col min="31" max="31" width="13" style="21" customWidth="1"/>
    <col min="32" max="32" width="3.44140625" style="24" customWidth="1"/>
    <col min="33" max="33" width="17.88671875" style="1" customWidth="1"/>
    <col min="34" max="34" width="14.88671875" style="1" customWidth="1"/>
    <col min="35" max="36" width="8.88671875" style="1"/>
    <col min="37" max="37" width="21.88671875" style="1" customWidth="1"/>
    <col min="38" max="38" width="12.33203125" style="1" customWidth="1"/>
    <col min="39" max="39" width="11.33203125" style="1" customWidth="1"/>
    <col min="40" max="16384" width="8.88671875" style="1"/>
  </cols>
  <sheetData>
    <row r="1" spans="1:39" s="4" customFormat="1" ht="20.399999999999999" x14ac:dyDescent="0.2">
      <c r="A1" s="4" t="s">
        <v>0</v>
      </c>
      <c r="B1" s="4" t="s">
        <v>1</v>
      </c>
      <c r="C1" s="4" t="s">
        <v>2</v>
      </c>
      <c r="D1" s="4" t="s">
        <v>3</v>
      </c>
      <c r="E1" s="4" t="s">
        <v>4</v>
      </c>
      <c r="F1" s="4" t="s">
        <v>5</v>
      </c>
      <c r="G1" s="7" t="s">
        <v>8313</v>
      </c>
      <c r="H1" s="7" t="s">
        <v>8314</v>
      </c>
      <c r="I1" s="7" t="s">
        <v>8315</v>
      </c>
      <c r="J1" s="7" t="s">
        <v>8316</v>
      </c>
      <c r="K1" s="7" t="s">
        <v>8317</v>
      </c>
      <c r="L1" s="7" t="s">
        <v>8318</v>
      </c>
      <c r="M1" s="7" t="s">
        <v>8319</v>
      </c>
      <c r="N1" s="18" t="s">
        <v>8328</v>
      </c>
      <c r="O1" s="7" t="s">
        <v>8320</v>
      </c>
      <c r="P1" s="18" t="s">
        <v>8321</v>
      </c>
      <c r="Q1" s="7" t="s">
        <v>8322</v>
      </c>
      <c r="R1" s="4" t="s">
        <v>20</v>
      </c>
      <c r="S1" s="4" t="s">
        <v>21</v>
      </c>
      <c r="T1" s="4" t="s">
        <v>19</v>
      </c>
      <c r="U1" s="4" t="s">
        <v>22</v>
      </c>
      <c r="V1" s="4" t="s">
        <v>23</v>
      </c>
      <c r="W1" s="4" t="s">
        <v>24</v>
      </c>
      <c r="X1" s="4" t="s">
        <v>25</v>
      </c>
      <c r="Y1" s="4" t="s">
        <v>6</v>
      </c>
      <c r="Z1" s="15" t="s">
        <v>3</v>
      </c>
      <c r="AA1" s="15" t="s">
        <v>26</v>
      </c>
      <c r="AB1" s="16" t="s">
        <v>8323</v>
      </c>
      <c r="AC1" s="15" t="s">
        <v>31</v>
      </c>
      <c r="AD1" s="19" t="s">
        <v>8324</v>
      </c>
      <c r="AE1" s="19" t="s">
        <v>8325</v>
      </c>
      <c r="AF1" s="23"/>
      <c r="AH1" s="19" t="s">
        <v>8324</v>
      </c>
    </row>
    <row r="2" spans="1:39" x14ac:dyDescent="0.2">
      <c r="A2" s="1" t="s">
        <v>32</v>
      </c>
      <c r="B2" s="1" t="s">
        <v>33</v>
      </c>
      <c r="C2" s="1">
        <v>3</v>
      </c>
      <c r="D2" s="1">
        <v>1</v>
      </c>
      <c r="E2" s="1" t="s">
        <v>34</v>
      </c>
      <c r="F2" s="1">
        <v>2023</v>
      </c>
      <c r="G2" s="5">
        <v>575</v>
      </c>
      <c r="H2" s="5">
        <v>571</v>
      </c>
      <c r="I2" s="5">
        <v>16049.5</v>
      </c>
      <c r="K2" s="5">
        <v>6.8000000000000005E-2</v>
      </c>
      <c r="L2" s="5">
        <v>1E-3</v>
      </c>
      <c r="M2" s="5">
        <v>13509.825000000001</v>
      </c>
      <c r="N2" s="6">
        <v>5.9200000000000003E-2</v>
      </c>
      <c r="O2" s="5">
        <v>7.5140000000000002</v>
      </c>
      <c r="P2" s="6">
        <v>5.67E-2</v>
      </c>
      <c r="Q2" s="5">
        <v>227316.47500000001</v>
      </c>
      <c r="R2" s="1" t="s">
        <v>44</v>
      </c>
      <c r="T2" s="1" t="s">
        <v>43</v>
      </c>
      <c r="V2" s="1" t="s">
        <v>45</v>
      </c>
      <c r="Y2" s="1" t="s">
        <v>35</v>
      </c>
      <c r="Z2" s="1" t="str">
        <f>C2&amp;" "&amp;D2</f>
        <v>3 1</v>
      </c>
      <c r="AA2" s="3">
        <f>IF(INDEX('CAMD Facility Data 2023'!$AA$2:$AE$10000,MATCH(Z2,'CAMD Facility Data 2023'!$AE$2:$AE$10000,0),1)&gt;0,INDEX('CAMD Facility Data 2023'!$AA$2:$AE$10000,MATCH(Z2,'CAMD Facility Data 2023'!$AE$2:$AE$10000,0),1),"")</f>
        <v>19767</v>
      </c>
      <c r="AB2" s="5">
        <f>IF(INDEX('CAMD Facility Data 2023'!$AC$2:$AE$10000,MATCH(Z2,'CAMD Facility Data 2023'!$AE$2:$AE$10000,0),1)&gt;0,INDEX('CAMD Facility Data 2023'!$AC$2:$AE$10000,MATCH(Z2,'CAMD Facility Data 2023'!$AE$2:$AE$10000,0),1),"")</f>
        <v>2322</v>
      </c>
      <c r="AC2" s="1" t="str">
        <f>IF(INDEX('CAMD Facility Data 2023'!$AE$2:$AG$10000,MATCH(Z2,'CAMD Facility Data 2023'!$AE$2:$AE$10000,0),3)&gt;0,INDEX('CAMD Facility Data 2023'!$AE$2:$AG$10000,MATCH(Z2,'CAMD Facility Data 2023'!$AE$2:$AE$10000,0),3),"")</f>
        <v>Y</v>
      </c>
      <c r="AD2" s="20">
        <f>IF(ISNUMBER(O2*2000/I2),O2*2000/I2,"")</f>
        <v>0.93635315741923419</v>
      </c>
      <c r="AE2" s="25">
        <f>Q2/(AB2*8760)</f>
        <v>1.1175438971678485E-2</v>
      </c>
      <c r="AG2" s="1" t="s">
        <v>55</v>
      </c>
      <c r="AH2" s="22" cm="1">
        <f t="array" ref="AH2">PERCENTILE(IF(R:R="coal",AD:AD),AI2)</f>
        <v>0.5722192775258067</v>
      </c>
      <c r="AI2" s="1">
        <v>0.1</v>
      </c>
      <c r="AK2" s="1" t="s">
        <v>48</v>
      </c>
      <c r="AL2" s="10">
        <v>43466</v>
      </c>
      <c r="AM2" s="10">
        <v>43466</v>
      </c>
    </row>
    <row r="3" spans="1:39" x14ac:dyDescent="0.2">
      <c r="A3" s="1" t="s">
        <v>32</v>
      </c>
      <c r="B3" s="1" t="s">
        <v>33</v>
      </c>
      <c r="C3" s="1">
        <v>3</v>
      </c>
      <c r="D3" s="1">
        <v>2</v>
      </c>
      <c r="E3" s="1" t="s">
        <v>34</v>
      </c>
      <c r="F3" s="1">
        <v>2023</v>
      </c>
      <c r="G3" s="5">
        <v>562</v>
      </c>
      <c r="H3" s="5">
        <v>555.75</v>
      </c>
      <c r="I3" s="5">
        <v>15528</v>
      </c>
      <c r="K3" s="5">
        <v>6.4000000000000001E-2</v>
      </c>
      <c r="L3" s="5">
        <v>1E-3</v>
      </c>
      <c r="M3" s="5">
        <v>12757.45</v>
      </c>
      <c r="N3" s="6">
        <v>5.9200000000000003E-2</v>
      </c>
      <c r="O3" s="5">
        <v>7.4539999999999997</v>
      </c>
      <c r="P3" s="6">
        <v>5.7000000000000002E-2</v>
      </c>
      <c r="Q3" s="5">
        <v>214656.47500000001</v>
      </c>
      <c r="R3" s="1" t="s">
        <v>44</v>
      </c>
      <c r="T3" s="1" t="s">
        <v>43</v>
      </c>
      <c r="V3" s="1" t="s">
        <v>45</v>
      </c>
      <c r="Y3" s="1" t="s">
        <v>35</v>
      </c>
      <c r="Z3" s="1" t="str">
        <f t="shared" ref="Z3:Z66" si="0">C3&amp;" "&amp;D3</f>
        <v>3 2</v>
      </c>
      <c r="AA3" s="3">
        <f>IF(INDEX('CAMD Facility Data 2023'!$AA$2:$AE$10000,MATCH(Z3,'CAMD Facility Data 2023'!$AE$2:$AE$10000,0),1)&gt;0,INDEX('CAMD Facility Data 2023'!$AA$2:$AE$10000,MATCH(Z3,'CAMD Facility Data 2023'!$AE$2:$AE$10000,0),1),"")</f>
        <v>19917</v>
      </c>
      <c r="AB3" s="5">
        <f>IF(INDEX('CAMD Facility Data 2023'!$AC$2:$AE$10000,MATCH(Z3,'CAMD Facility Data 2023'!$AE$2:$AE$10000,0),1)&gt;0,INDEX('CAMD Facility Data 2023'!$AC$2:$AE$10000,MATCH(Z3,'CAMD Facility Data 2023'!$AE$2:$AE$10000,0),1),"")</f>
        <v>2359</v>
      </c>
      <c r="AC3" s="1" t="str">
        <f>IF(INDEX('CAMD Facility Data 2023'!$AE$2:$AG$10000,MATCH(Z3,'CAMD Facility Data 2023'!$AE$2:$AE$10000,0),3)&gt;0,INDEX('CAMD Facility Data 2023'!$AE$2:$AG$10000,MATCH(Z3,'CAMD Facility Data 2023'!$AE$2:$AE$10000,0),3),"")</f>
        <v>Y</v>
      </c>
      <c r="AD3" s="20">
        <f t="shared" ref="AD3:AD66" si="1">IF(ISNUMBER(O3*2000/I3),O3*2000/I3,"")</f>
        <v>0.96007212776919115</v>
      </c>
      <c r="AE3" s="25">
        <f t="shared" ref="AE3:AE66" si="2">Q3/(AB3*8760)</f>
        <v>1.038752175192259E-2</v>
      </c>
      <c r="AG3" s="1" t="s">
        <v>8326</v>
      </c>
      <c r="AH3" s="22" cm="1">
        <f t="array" ref="AH3">PERCENTILE(IF(T:T="Combined Cycle",AD:AD),AI3)</f>
        <v>8.3528084358752308E-2</v>
      </c>
      <c r="AI3" s="1">
        <v>0.5</v>
      </c>
      <c r="AK3" s="1" t="s">
        <v>50</v>
      </c>
      <c r="AL3" s="10">
        <v>45658</v>
      </c>
      <c r="AM3" s="10">
        <v>45658</v>
      </c>
    </row>
    <row r="4" spans="1:39" x14ac:dyDescent="0.2">
      <c r="A4" s="1" t="s">
        <v>32</v>
      </c>
      <c r="B4" s="1" t="s">
        <v>33</v>
      </c>
      <c r="C4" s="1">
        <v>3</v>
      </c>
      <c r="D4" s="1">
        <v>4</v>
      </c>
      <c r="F4" s="1">
        <v>2023</v>
      </c>
      <c r="G4" s="5">
        <v>6189</v>
      </c>
      <c r="H4" s="5">
        <v>6182.75</v>
      </c>
      <c r="I4" s="5">
        <v>601338</v>
      </c>
      <c r="K4" s="5">
        <v>1.974</v>
      </c>
      <c r="L4" s="5">
        <v>1E-3</v>
      </c>
      <c r="M4" s="5">
        <v>391039.55</v>
      </c>
      <c r="N4" s="6">
        <v>5.8999999999999997E-2</v>
      </c>
      <c r="O4" s="5">
        <v>386.12299999999999</v>
      </c>
      <c r="P4" s="6">
        <v>0.11799999999999999</v>
      </c>
      <c r="Q4" s="5">
        <v>6580043.7249999996</v>
      </c>
      <c r="R4" s="1" t="s">
        <v>44</v>
      </c>
      <c r="T4" s="1" t="s">
        <v>43</v>
      </c>
      <c r="V4" s="1" t="s">
        <v>51</v>
      </c>
      <c r="Y4" s="1" t="s">
        <v>35</v>
      </c>
      <c r="Z4" s="1" t="str">
        <f t="shared" si="0"/>
        <v>3 4</v>
      </c>
      <c r="AA4" s="3">
        <f>IF(INDEX('CAMD Facility Data 2023'!$AA$2:$AE$10000,MATCH(Z4,'CAMD Facility Data 2023'!$AE$2:$AE$10000,0),1)&gt;0,INDEX('CAMD Facility Data 2023'!$AA$2:$AE$10000,MATCH(Z4,'CAMD Facility Data 2023'!$AE$2:$AE$10000,0),1),"")</f>
        <v>25568</v>
      </c>
      <c r="AB4" s="5">
        <f>IF(INDEX('CAMD Facility Data 2023'!$AC$2:$AE$10000,MATCH(Z4,'CAMD Facility Data 2023'!$AE$2:$AE$10000,0),1)&gt;0,INDEX('CAMD Facility Data 2023'!$AC$2:$AE$10000,MATCH(Z4,'CAMD Facility Data 2023'!$AE$2:$AE$10000,0),1),"")</f>
        <v>3768</v>
      </c>
      <c r="AC4" s="1" t="str">
        <f>IF(INDEX('CAMD Facility Data 2023'!$AE$2:$AG$10000,MATCH(Z4,'CAMD Facility Data 2023'!$AE$2:$AE$10000,0),3)&gt;0,INDEX('CAMD Facility Data 2023'!$AE$2:$AG$10000,MATCH(Z4,'CAMD Facility Data 2023'!$AE$2:$AE$10000,0),3),"")</f>
        <v>Y</v>
      </c>
      <c r="AD4" s="20">
        <f t="shared" si="1"/>
        <v>1.284212871962191</v>
      </c>
      <c r="AE4" s="25">
        <f t="shared" si="2"/>
        <v>0.19934887047499247</v>
      </c>
      <c r="AG4" s="1" t="s">
        <v>8327</v>
      </c>
      <c r="AH4" s="22" cm="1">
        <f t="array" ref="AH4">PERCENTILE(IF(T:T="Combustion Turbine",AD:AD),AI4)</f>
        <v>0.67418020671732903</v>
      </c>
      <c r="AI4" s="1">
        <v>0.5</v>
      </c>
      <c r="AK4" s="1" t="s">
        <v>53</v>
      </c>
      <c r="AL4" s="5">
        <v>100</v>
      </c>
      <c r="AM4" s="5">
        <v>100</v>
      </c>
    </row>
    <row r="5" spans="1:39" x14ac:dyDescent="0.2">
      <c r="A5" s="1" t="s">
        <v>32</v>
      </c>
      <c r="B5" s="1" t="s">
        <v>33</v>
      </c>
      <c r="C5" s="1">
        <v>3</v>
      </c>
      <c r="D5" s="1">
        <v>5</v>
      </c>
      <c r="F5" s="1">
        <v>2023</v>
      </c>
      <c r="G5" s="5">
        <v>4089</v>
      </c>
      <c r="H5" s="5">
        <v>4075.75</v>
      </c>
      <c r="I5" s="5">
        <v>1975222.75</v>
      </c>
      <c r="K5" s="5">
        <v>262.97500000000002</v>
      </c>
      <c r="L5" s="5">
        <v>4.8599999999999997E-2</v>
      </c>
      <c r="M5" s="5">
        <v>2031374.075</v>
      </c>
      <c r="N5" s="6">
        <v>0.1028</v>
      </c>
      <c r="O5" s="5">
        <v>717.12099999999998</v>
      </c>
      <c r="P5" s="6">
        <v>7.7200000000000005E-2</v>
      </c>
      <c r="Q5" s="5">
        <v>19798960.625</v>
      </c>
      <c r="R5" s="1" t="s">
        <v>55</v>
      </c>
      <c r="S5" s="1" t="s">
        <v>44</v>
      </c>
      <c r="T5" s="1" t="s">
        <v>43</v>
      </c>
      <c r="U5" s="1" t="s">
        <v>56</v>
      </c>
      <c r="V5" s="1" t="s">
        <v>57</v>
      </c>
      <c r="W5" s="1" t="s">
        <v>58</v>
      </c>
      <c r="X5" s="1" t="s">
        <v>59</v>
      </c>
      <c r="Y5" s="1" t="s">
        <v>54</v>
      </c>
      <c r="Z5" s="1" t="str">
        <f t="shared" si="0"/>
        <v>3 5</v>
      </c>
      <c r="AA5" s="3">
        <f>IF(INDEX('CAMD Facility Data 2023'!$AA$2:$AE$10000,MATCH(Z5,'CAMD Facility Data 2023'!$AE$2:$AE$10000,0),1)&gt;0,INDEX('CAMD Facility Data 2023'!$AA$2:$AE$10000,MATCH(Z5,'CAMD Facility Data 2023'!$AE$2:$AE$10000,0),1),"")</f>
        <v>26225</v>
      </c>
      <c r="AB5" s="5">
        <f>IF(INDEX('CAMD Facility Data 2023'!$AC$2:$AE$10000,MATCH(Z5,'CAMD Facility Data 2023'!$AE$2:$AE$10000,0),1)&gt;0,INDEX('CAMD Facility Data 2023'!$AC$2:$AE$10000,MATCH(Z5,'CAMD Facility Data 2023'!$AE$2:$AE$10000,0),1),"")</f>
        <v>11057</v>
      </c>
      <c r="AC5" s="1" t="str">
        <f>IF(INDEX('CAMD Facility Data 2023'!$AE$2:$AG$10000,MATCH(Z5,'CAMD Facility Data 2023'!$AE$2:$AE$10000,0),3)&gt;0,INDEX('CAMD Facility Data 2023'!$AE$2:$AG$10000,MATCH(Z5,'CAMD Facility Data 2023'!$AE$2:$AE$10000,0),3),"")</f>
        <v>Y</v>
      </c>
      <c r="AD5" s="20">
        <f t="shared" si="1"/>
        <v>0.7261165860913662</v>
      </c>
      <c r="AE5" s="25">
        <f t="shared" si="2"/>
        <v>0.20440945306037664</v>
      </c>
      <c r="AK5" s="1" t="s">
        <v>61</v>
      </c>
      <c r="AL5" s="5">
        <v>11000</v>
      </c>
      <c r="AM5" s="5">
        <v>11000</v>
      </c>
    </row>
    <row r="6" spans="1:39" x14ac:dyDescent="0.2">
      <c r="A6" s="1" t="s">
        <v>32</v>
      </c>
      <c r="B6" s="1" t="s">
        <v>33</v>
      </c>
      <c r="C6" s="1">
        <v>3</v>
      </c>
      <c r="D6" s="1" t="s">
        <v>70</v>
      </c>
      <c r="F6" s="1">
        <v>2023</v>
      </c>
      <c r="G6" s="5">
        <v>6298</v>
      </c>
      <c r="H6" s="5">
        <v>6286.75</v>
      </c>
      <c r="I6" s="5">
        <v>1684541.5</v>
      </c>
      <c r="K6" s="5">
        <v>3.444</v>
      </c>
      <c r="L6" s="5">
        <v>1E-3</v>
      </c>
      <c r="M6" s="5">
        <v>682204.65</v>
      </c>
      <c r="N6" s="6">
        <v>5.8999999999999997E-2</v>
      </c>
      <c r="O6" s="5">
        <v>47.512999999999998</v>
      </c>
      <c r="P6" s="6">
        <v>9.1000000000000004E-3</v>
      </c>
      <c r="Q6" s="5">
        <v>11479424.925000001</v>
      </c>
      <c r="R6" s="1" t="s">
        <v>44</v>
      </c>
      <c r="T6" s="1" t="s">
        <v>71</v>
      </c>
      <c r="V6" s="1" t="s">
        <v>64</v>
      </c>
      <c r="Y6" s="1" t="s">
        <v>35</v>
      </c>
      <c r="Z6" s="1" t="str">
        <f t="shared" si="0"/>
        <v>3 6A</v>
      </c>
      <c r="AA6" s="3">
        <f>IF(INDEX('CAMD Facility Data 2023'!$AA$2:$AE$10000,MATCH(Z6,'CAMD Facility Data 2023'!$AE$2:$AE$10000,0),1)&gt;0,INDEX('CAMD Facility Data 2023'!$AA$2:$AE$10000,MATCH(Z6,'CAMD Facility Data 2023'!$AE$2:$AE$10000,0),1),"")</f>
        <v>36599</v>
      </c>
      <c r="AB6" s="5">
        <f>IF(INDEX('CAMD Facility Data 2023'!$AC$2:$AE$10000,MATCH(Z6,'CAMD Facility Data 2023'!$AE$2:$AE$10000,0),1)&gt;0,INDEX('CAMD Facility Data 2023'!$AC$2:$AE$10000,MATCH(Z6,'CAMD Facility Data 2023'!$AE$2:$AE$10000,0),1),"")</f>
        <v>3000</v>
      </c>
      <c r="AC6" s="1" t="str">
        <f>IF(INDEX('CAMD Facility Data 2023'!$AE$2:$AG$10000,MATCH(Z6,'CAMD Facility Data 2023'!$AE$2:$AE$10000,0),3)&gt;0,INDEX('CAMD Facility Data 2023'!$AE$2:$AG$10000,MATCH(Z6,'CAMD Facility Data 2023'!$AE$2:$AE$10000,0),3),"")</f>
        <v>Y</v>
      </c>
      <c r="AD6" s="20">
        <f t="shared" si="1"/>
        <v>5.6410601935304054E-2</v>
      </c>
      <c r="AE6" s="25">
        <f t="shared" si="2"/>
        <v>0.4368122117579909</v>
      </c>
      <c r="AK6" s="1" t="s">
        <v>67</v>
      </c>
      <c r="AL6" s="1" t="s">
        <v>68</v>
      </c>
      <c r="AM6" s="1" t="s">
        <v>69</v>
      </c>
    </row>
    <row r="7" spans="1:39" x14ac:dyDescent="0.2">
      <c r="A7" s="1" t="s">
        <v>32</v>
      </c>
      <c r="B7" s="1" t="s">
        <v>33</v>
      </c>
      <c r="C7" s="1">
        <v>3</v>
      </c>
      <c r="D7" s="1" t="s">
        <v>73</v>
      </c>
      <c r="F7" s="1">
        <v>2023</v>
      </c>
      <c r="G7" s="5">
        <v>6219</v>
      </c>
      <c r="H7" s="5">
        <v>6211.75</v>
      </c>
      <c r="I7" s="5">
        <v>1652615</v>
      </c>
      <c r="K7" s="5">
        <v>3.53</v>
      </c>
      <c r="L7" s="5">
        <v>1E-3</v>
      </c>
      <c r="M7" s="5">
        <v>699252.4</v>
      </c>
      <c r="N7" s="6">
        <v>5.8999999999999997E-2</v>
      </c>
      <c r="O7" s="5">
        <v>48.012999999999998</v>
      </c>
      <c r="P7" s="6">
        <v>8.9999999999999993E-3</v>
      </c>
      <c r="Q7" s="5">
        <v>11766302.425000001</v>
      </c>
      <c r="R7" s="1" t="s">
        <v>44</v>
      </c>
      <c r="T7" s="1" t="s">
        <v>71</v>
      </c>
      <c r="V7" s="1" t="s">
        <v>64</v>
      </c>
      <c r="Y7" s="1" t="s">
        <v>35</v>
      </c>
      <c r="Z7" s="1" t="str">
        <f t="shared" si="0"/>
        <v>3 6B</v>
      </c>
      <c r="AA7" s="3">
        <f>IF(INDEX('CAMD Facility Data 2023'!$AA$2:$AE$10000,MATCH(Z7,'CAMD Facility Data 2023'!$AE$2:$AE$10000,0),1)&gt;0,INDEX('CAMD Facility Data 2023'!$AA$2:$AE$10000,MATCH(Z7,'CAMD Facility Data 2023'!$AE$2:$AE$10000,0),1),"")</f>
        <v>36606</v>
      </c>
      <c r="AB7" s="5">
        <f>IF(INDEX('CAMD Facility Data 2023'!$AC$2:$AE$10000,MATCH(Z7,'CAMD Facility Data 2023'!$AE$2:$AE$10000,0),1)&gt;0,INDEX('CAMD Facility Data 2023'!$AC$2:$AE$10000,MATCH(Z7,'CAMD Facility Data 2023'!$AE$2:$AE$10000,0),1),"")</f>
        <v>3000</v>
      </c>
      <c r="AC7" s="1" t="str">
        <f>IF(INDEX('CAMD Facility Data 2023'!$AE$2:$AG$10000,MATCH(Z7,'CAMD Facility Data 2023'!$AE$2:$AE$10000,0),3)&gt;0,INDEX('CAMD Facility Data 2023'!$AE$2:$AG$10000,MATCH(Z7,'CAMD Facility Data 2023'!$AE$2:$AE$10000,0),3),"")</f>
        <v>Y</v>
      </c>
      <c r="AD7" s="20">
        <f t="shared" si="1"/>
        <v>5.8105487363965591E-2</v>
      </c>
      <c r="AE7" s="25">
        <f t="shared" si="2"/>
        <v>0.44772840277777781</v>
      </c>
      <c r="AK7" s="1" t="s">
        <v>13</v>
      </c>
      <c r="AL7" s="1" t="s">
        <v>39</v>
      </c>
      <c r="AM7" s="1" t="str">
        <f>AL7</f>
        <v>Electric Utility</v>
      </c>
    </row>
    <row r="8" spans="1:39" x14ac:dyDescent="0.2">
      <c r="A8" s="1" t="s">
        <v>32</v>
      </c>
      <c r="B8" s="1" t="s">
        <v>33</v>
      </c>
      <c r="C8" s="1">
        <v>3</v>
      </c>
      <c r="D8" s="1" t="s">
        <v>75</v>
      </c>
      <c r="F8" s="1">
        <v>2023</v>
      </c>
      <c r="G8" s="5">
        <v>6745</v>
      </c>
      <c r="H8" s="5">
        <v>6733</v>
      </c>
      <c r="I8" s="5">
        <v>1820861.5</v>
      </c>
      <c r="K8" s="5">
        <v>3.887</v>
      </c>
      <c r="L8" s="5">
        <v>1E-3</v>
      </c>
      <c r="M8" s="5">
        <v>769979.67500000005</v>
      </c>
      <c r="N8" s="6">
        <v>5.8999999999999997E-2</v>
      </c>
      <c r="O8" s="5">
        <v>53.65</v>
      </c>
      <c r="P8" s="6">
        <v>9.1999999999999998E-3</v>
      </c>
      <c r="Q8" s="5">
        <v>12956384.775</v>
      </c>
      <c r="R8" s="1" t="s">
        <v>44</v>
      </c>
      <c r="T8" s="1" t="s">
        <v>71</v>
      </c>
      <c r="V8" s="1" t="s">
        <v>64</v>
      </c>
      <c r="Y8" s="1" t="s">
        <v>35</v>
      </c>
      <c r="Z8" s="1" t="str">
        <f t="shared" si="0"/>
        <v>3 7A</v>
      </c>
      <c r="AA8" s="3">
        <f>IF(INDEX('CAMD Facility Data 2023'!$AA$2:$AE$10000,MATCH(Z8,'CAMD Facility Data 2023'!$AE$2:$AE$10000,0),1)&gt;0,INDEX('CAMD Facility Data 2023'!$AA$2:$AE$10000,MATCH(Z8,'CAMD Facility Data 2023'!$AE$2:$AE$10000,0),1),"")</f>
        <v>36904</v>
      </c>
      <c r="AB8" s="5">
        <f>IF(INDEX('CAMD Facility Data 2023'!$AC$2:$AE$10000,MATCH(Z8,'CAMD Facility Data 2023'!$AE$2:$AE$10000,0),1)&gt;0,INDEX('CAMD Facility Data 2023'!$AC$2:$AE$10000,MATCH(Z8,'CAMD Facility Data 2023'!$AE$2:$AE$10000,0),1),"")</f>
        <v>3000</v>
      </c>
      <c r="AC8" s="1" t="str">
        <f>IF(INDEX('CAMD Facility Data 2023'!$AE$2:$AG$10000,MATCH(Z8,'CAMD Facility Data 2023'!$AE$2:$AE$10000,0),3)&gt;0,INDEX('CAMD Facility Data 2023'!$AE$2:$AG$10000,MATCH(Z8,'CAMD Facility Data 2023'!$AE$2:$AE$10000,0),3),"")</f>
        <v>Y</v>
      </c>
      <c r="AD8" s="20">
        <f t="shared" si="1"/>
        <v>5.8928150219003481E-2</v>
      </c>
      <c r="AE8" s="25">
        <f t="shared" si="2"/>
        <v>0.49301311929223746</v>
      </c>
    </row>
    <row r="9" spans="1:39" x14ac:dyDescent="0.2">
      <c r="A9" s="1" t="s">
        <v>32</v>
      </c>
      <c r="B9" s="1" t="s">
        <v>33</v>
      </c>
      <c r="C9" s="1">
        <v>3</v>
      </c>
      <c r="D9" s="1" t="s">
        <v>78</v>
      </c>
      <c r="F9" s="1">
        <v>2023</v>
      </c>
      <c r="G9" s="5">
        <v>6790</v>
      </c>
      <c r="H9" s="5">
        <v>6783.25</v>
      </c>
      <c r="I9" s="5">
        <v>1859544</v>
      </c>
      <c r="K9" s="5">
        <v>3.9809999999999999</v>
      </c>
      <c r="L9" s="5">
        <v>1E-3</v>
      </c>
      <c r="M9" s="5">
        <v>788534.72499999998</v>
      </c>
      <c r="N9" s="6">
        <v>5.8999999999999997E-2</v>
      </c>
      <c r="O9" s="5">
        <v>54.343000000000004</v>
      </c>
      <c r="P9" s="6">
        <v>8.6999999999999994E-3</v>
      </c>
      <c r="Q9" s="5">
        <v>13268643.824999999</v>
      </c>
      <c r="R9" s="1" t="s">
        <v>44</v>
      </c>
      <c r="T9" s="1" t="s">
        <v>71</v>
      </c>
      <c r="V9" s="1" t="s">
        <v>64</v>
      </c>
      <c r="Y9" s="1" t="s">
        <v>35</v>
      </c>
      <c r="Z9" s="1" t="str">
        <f t="shared" si="0"/>
        <v>3 7B</v>
      </c>
      <c r="AA9" s="3">
        <f>IF(INDEX('CAMD Facility Data 2023'!$AA$2:$AE$10000,MATCH(Z9,'CAMD Facility Data 2023'!$AE$2:$AE$10000,0),1)&gt;0,INDEX('CAMD Facility Data 2023'!$AA$2:$AE$10000,MATCH(Z9,'CAMD Facility Data 2023'!$AE$2:$AE$10000,0),1),"")</f>
        <v>36909</v>
      </c>
      <c r="AB9" s="5">
        <f>IF(INDEX('CAMD Facility Data 2023'!$AC$2:$AE$10000,MATCH(Z9,'CAMD Facility Data 2023'!$AE$2:$AE$10000,0),1)&gt;0,INDEX('CAMD Facility Data 2023'!$AC$2:$AE$10000,MATCH(Z9,'CAMD Facility Data 2023'!$AE$2:$AE$10000,0),1),"")</f>
        <v>3000</v>
      </c>
      <c r="AC9" s="1" t="str">
        <f>IF(INDEX('CAMD Facility Data 2023'!$AE$2:$AG$10000,MATCH(Z9,'CAMD Facility Data 2023'!$AE$2:$AE$10000,0),3)&gt;0,INDEX('CAMD Facility Data 2023'!$AE$2:$AG$10000,MATCH(Z9,'CAMD Facility Data 2023'!$AE$2:$AE$10000,0),3),"")</f>
        <v>Y</v>
      </c>
      <c r="AD9" s="20">
        <f t="shared" si="1"/>
        <v>5.8447662437672888E-2</v>
      </c>
      <c r="AE9" s="25">
        <f t="shared" si="2"/>
        <v>0.50489512271689496</v>
      </c>
      <c r="AK9" s="1" t="s">
        <v>77</v>
      </c>
      <c r="AL9" s="13">
        <f>COUNTIFS(AA:AA,"&gt;="&amp;AL2,AA:AA,"&lt;="&amp;AL3,AB:AB,"&gt;="&amp;AL4,AB:AB,"&lt;="&amp;AL5,T:T,"="&amp;"*turbine*")</f>
        <v>92</v>
      </c>
      <c r="AM9" s="13">
        <f>COUNTIFS(AA:AA,"&gt;="&amp;AM2,AA:AA,"&lt;="&amp;AM3,AB:AB,"&gt;="&amp;AM4,AB:AB,"&lt;="&amp;AM5,T:T,"="&amp;"*combined*")</f>
        <v>53</v>
      </c>
    </row>
    <row r="10" spans="1:39" x14ac:dyDescent="0.2">
      <c r="A10" s="1" t="s">
        <v>32</v>
      </c>
      <c r="B10" s="1" t="s">
        <v>33</v>
      </c>
      <c r="C10" s="1">
        <v>3</v>
      </c>
      <c r="D10" s="1">
        <v>8</v>
      </c>
      <c r="F10" s="1">
        <v>2023</v>
      </c>
      <c r="G10" s="5">
        <v>466</v>
      </c>
      <c r="H10" s="5">
        <v>466</v>
      </c>
      <c r="I10" s="5">
        <v>283475</v>
      </c>
      <c r="K10" s="5">
        <v>0.52400000000000002</v>
      </c>
      <c r="L10" s="5">
        <v>1E-3</v>
      </c>
      <c r="M10" s="5">
        <v>103807.2</v>
      </c>
      <c r="N10" s="6">
        <v>5.8999999999999997E-2</v>
      </c>
      <c r="O10" s="5">
        <v>3.7509999999999999</v>
      </c>
      <c r="P10" s="6">
        <v>4.3E-3</v>
      </c>
      <c r="Q10" s="5">
        <v>1746748.2</v>
      </c>
      <c r="R10" s="1" t="s">
        <v>44</v>
      </c>
      <c r="T10" s="1" t="s">
        <v>63</v>
      </c>
      <c r="V10" s="1" t="s">
        <v>64</v>
      </c>
      <c r="Y10" s="1" t="s">
        <v>62</v>
      </c>
      <c r="Z10" s="1" t="str">
        <f t="shared" si="0"/>
        <v>3 8</v>
      </c>
      <c r="AA10" s="3">
        <f>IF(INDEX('CAMD Facility Data 2023'!$AA$2:$AE$10000,MATCH(Z10,'CAMD Facility Data 2023'!$AE$2:$AE$10000,0),1)&gt;0,INDEX('CAMD Facility Data 2023'!$AA$2:$AE$10000,MATCH(Z10,'CAMD Facility Data 2023'!$AE$2:$AE$10000,0),1),"")</f>
        <v>45124</v>
      </c>
      <c r="AB10" s="5">
        <f>IF(INDEX('CAMD Facility Data 2023'!$AC$2:$AE$10000,MATCH(Z10,'CAMD Facility Data 2023'!$AE$2:$AE$10000,0),1)&gt;0,INDEX('CAMD Facility Data 2023'!$AC$2:$AE$10000,MATCH(Z10,'CAMD Facility Data 2023'!$AE$2:$AE$10000,0),1),"")</f>
        <v>4771</v>
      </c>
      <c r="AC10" s="1" t="str">
        <f>IF(INDEX('CAMD Facility Data 2023'!$AE$2:$AG$10000,MATCH(Z10,'CAMD Facility Data 2023'!$AE$2:$AE$10000,0),3)&gt;0,INDEX('CAMD Facility Data 2023'!$AE$2:$AG$10000,MATCH(Z10,'CAMD Facility Data 2023'!$AE$2:$AE$10000,0),3),"")</f>
        <v>Y</v>
      </c>
      <c r="AD10" s="20">
        <f t="shared" si="1"/>
        <v>2.6464414851397829E-2</v>
      </c>
      <c r="AE10" s="25">
        <f t="shared" si="2"/>
        <v>4.1794273622312889E-2</v>
      </c>
      <c r="AK10" s="1" t="s">
        <v>80</v>
      </c>
      <c r="AL10" s="13">
        <f>COUNTIFS(AA:AA,"&gt;="&amp;AL2,AA:AA,"&lt;="&amp;AL3,AB:AB,"&gt;="&amp;AL4,AB:AB,"&lt;="&amp;AL5,T:T,"="&amp;"*turbine*",V:V,"="&amp;"*Selective*")</f>
        <v>70</v>
      </c>
      <c r="AM10" s="13">
        <f>COUNTIFS(AA:AA,"&gt;="&amp;AM2,AA:AA,"&lt;="&amp;AM3,AB:AB,"&gt;="&amp;AM4,AB:AB,"&lt;="&amp;AM5,T:T,"="&amp;"*combined*",V:V,"="&amp;"*Selective*")</f>
        <v>53</v>
      </c>
    </row>
    <row r="11" spans="1:39" x14ac:dyDescent="0.2">
      <c r="A11" s="1" t="s">
        <v>32</v>
      </c>
      <c r="B11" s="1" t="s">
        <v>81</v>
      </c>
      <c r="C11" s="1">
        <v>10</v>
      </c>
      <c r="D11" s="1">
        <v>1</v>
      </c>
      <c r="E11" s="1" t="s">
        <v>82</v>
      </c>
      <c r="F11" s="1">
        <v>2023</v>
      </c>
      <c r="G11" s="5">
        <v>5780</v>
      </c>
      <c r="H11" s="5">
        <v>5774</v>
      </c>
      <c r="I11" s="5">
        <v>771089.25</v>
      </c>
      <c r="K11" s="5">
        <v>2.2080000000000002</v>
      </c>
      <c r="L11" s="5">
        <v>1E-3</v>
      </c>
      <c r="M11" s="5">
        <v>437400.45</v>
      </c>
      <c r="N11" s="6">
        <v>5.8999999999999997E-2</v>
      </c>
      <c r="O11" s="5">
        <v>585.27300000000002</v>
      </c>
      <c r="P11" s="6">
        <v>0.1376</v>
      </c>
      <c r="Q11" s="5">
        <v>7360103.9249999998</v>
      </c>
      <c r="R11" s="1" t="s">
        <v>44</v>
      </c>
      <c r="T11" s="1" t="s">
        <v>86</v>
      </c>
      <c r="V11" s="1" t="s">
        <v>87</v>
      </c>
      <c r="Y11" s="1" t="s">
        <v>35</v>
      </c>
      <c r="Z11" s="1" t="str">
        <f t="shared" si="0"/>
        <v>10 1</v>
      </c>
      <c r="AA11" s="3">
        <f>IF(INDEX('CAMD Facility Data 2023'!$AA$2:$AE$10000,MATCH(Z11,'CAMD Facility Data 2023'!$AE$2:$AE$10000,0),1)&gt;0,INDEX('CAMD Facility Data 2023'!$AA$2:$AE$10000,MATCH(Z11,'CAMD Facility Data 2023'!$AE$2:$AE$10000,0),1),"")</f>
        <v>23904</v>
      </c>
      <c r="AB11" s="5">
        <f>IF(INDEX('CAMD Facility Data 2023'!$AC$2:$AE$10000,MATCH(Z11,'CAMD Facility Data 2023'!$AE$2:$AE$10000,0),1)&gt;0,INDEX('CAMD Facility Data 2023'!$AC$2:$AE$10000,MATCH(Z11,'CAMD Facility Data 2023'!$AE$2:$AE$10000,0),1),"")</f>
        <v>3386</v>
      </c>
      <c r="AC11" s="1" t="str">
        <f>IF(INDEX('CAMD Facility Data 2023'!$AE$2:$AG$10000,MATCH(Z11,'CAMD Facility Data 2023'!$AE$2:$AE$10000,0),3)&gt;0,INDEX('CAMD Facility Data 2023'!$AE$2:$AG$10000,MATCH(Z11,'CAMD Facility Data 2023'!$AE$2:$AE$10000,0),3),"")</f>
        <v/>
      </c>
      <c r="AD11" s="20">
        <f t="shared" si="1"/>
        <v>1.5180421721610047</v>
      </c>
      <c r="AE11" s="25">
        <f t="shared" si="2"/>
        <v>0.24813777672365664</v>
      </c>
      <c r="AL11" s="11">
        <f>AL10/AL9</f>
        <v>0.76086956521739135</v>
      </c>
      <c r="AM11" s="11">
        <f>AM10/AM9</f>
        <v>1</v>
      </c>
    </row>
    <row r="12" spans="1:39" x14ac:dyDescent="0.2">
      <c r="A12" s="1" t="s">
        <v>32</v>
      </c>
      <c r="B12" s="1" t="s">
        <v>81</v>
      </c>
      <c r="C12" s="1">
        <v>10</v>
      </c>
      <c r="D12" s="1">
        <v>2</v>
      </c>
      <c r="E12" s="1" t="s">
        <v>82</v>
      </c>
      <c r="F12" s="1">
        <v>2023</v>
      </c>
      <c r="G12" s="5">
        <v>5237</v>
      </c>
      <c r="H12" s="5">
        <v>5226.5</v>
      </c>
      <c r="I12" s="5">
        <v>626765.75</v>
      </c>
      <c r="K12" s="5">
        <v>1.835</v>
      </c>
      <c r="L12" s="5">
        <v>1E-3</v>
      </c>
      <c r="M12" s="5">
        <v>363541.6</v>
      </c>
      <c r="N12" s="6">
        <v>5.8999999999999997E-2</v>
      </c>
      <c r="O12" s="5">
        <v>492.58100000000002</v>
      </c>
      <c r="P12" s="6">
        <v>0.13739999999999999</v>
      </c>
      <c r="Q12" s="5">
        <v>6117393.0999999996</v>
      </c>
      <c r="R12" s="1" t="s">
        <v>44</v>
      </c>
      <c r="T12" s="1" t="s">
        <v>89</v>
      </c>
      <c r="V12" s="1" t="s">
        <v>90</v>
      </c>
      <c r="Y12" s="1" t="s">
        <v>35</v>
      </c>
      <c r="Z12" s="1" t="str">
        <f t="shared" si="0"/>
        <v>10 2</v>
      </c>
      <c r="AA12" s="3">
        <f>IF(INDEX('CAMD Facility Data 2023'!$AA$2:$AE$10000,MATCH(Z12,'CAMD Facility Data 2023'!$AE$2:$AE$10000,0),1)&gt;0,INDEX('CAMD Facility Data 2023'!$AA$2:$AE$10000,MATCH(Z12,'CAMD Facility Data 2023'!$AE$2:$AE$10000,0),1),"")</f>
        <v>24318</v>
      </c>
      <c r="AB12" s="5">
        <f>IF(INDEX('CAMD Facility Data 2023'!$AC$2:$AE$10000,MATCH(Z12,'CAMD Facility Data 2023'!$AE$2:$AE$10000,0),1)&gt;0,INDEX('CAMD Facility Data 2023'!$AC$2:$AE$10000,MATCH(Z12,'CAMD Facility Data 2023'!$AE$2:$AE$10000,0),1),"")</f>
        <v>3334</v>
      </c>
      <c r="AC12" s="1" t="str">
        <f>IF(INDEX('CAMD Facility Data 2023'!$AE$2:$AG$10000,MATCH(Z12,'CAMD Facility Data 2023'!$AE$2:$AE$10000,0),3)&gt;0,INDEX('CAMD Facility Data 2023'!$AE$2:$AG$10000,MATCH(Z12,'CAMD Facility Data 2023'!$AE$2:$AE$10000,0),3),"")</f>
        <v/>
      </c>
      <c r="AD12" s="20">
        <f t="shared" si="1"/>
        <v>1.5718184983783814</v>
      </c>
      <c r="AE12" s="25">
        <f t="shared" si="2"/>
        <v>0.20945787212420527</v>
      </c>
    </row>
    <row r="13" spans="1:39" x14ac:dyDescent="0.2">
      <c r="A13" s="1" t="s">
        <v>32</v>
      </c>
      <c r="B13" s="1" t="s">
        <v>81</v>
      </c>
      <c r="C13" s="1">
        <v>10</v>
      </c>
      <c r="D13" s="1" t="s">
        <v>92</v>
      </c>
      <c r="F13" s="1">
        <v>2023</v>
      </c>
      <c r="G13" s="5">
        <v>161</v>
      </c>
      <c r="H13" s="5">
        <v>126.25</v>
      </c>
      <c r="I13" s="5">
        <v>6693.25</v>
      </c>
      <c r="K13" s="5">
        <v>0.183</v>
      </c>
      <c r="L13" s="5">
        <v>3.5999999999999999E-3</v>
      </c>
      <c r="M13" s="5">
        <v>6412.9</v>
      </c>
      <c r="N13" s="6">
        <v>0.1353</v>
      </c>
      <c r="O13" s="5">
        <v>3.7949999999999999</v>
      </c>
      <c r="P13" s="6">
        <v>8.2900000000000001E-2</v>
      </c>
      <c r="Q13" s="5">
        <v>89045.074999999997</v>
      </c>
      <c r="R13" s="1" t="s">
        <v>44</v>
      </c>
      <c r="S13" s="1" t="s">
        <v>94</v>
      </c>
      <c r="T13" s="1" t="s">
        <v>93</v>
      </c>
      <c r="V13" s="1" t="s">
        <v>95</v>
      </c>
      <c r="Y13" s="1" t="s">
        <v>35</v>
      </c>
      <c r="Z13" s="1" t="str">
        <f t="shared" si="0"/>
        <v>10 CT10</v>
      </c>
      <c r="AA13" s="3">
        <f>IF(INDEX('CAMD Facility Data 2023'!$AA$2:$AE$10000,MATCH(Z13,'CAMD Facility Data 2023'!$AE$2:$AE$10000,0),1)&gt;0,INDEX('CAMD Facility Data 2023'!$AA$2:$AE$10000,MATCH(Z13,'CAMD Facility Data 2023'!$AE$2:$AE$10000,0),1),"")</f>
        <v>35214</v>
      </c>
      <c r="AB13" s="5">
        <f>IF(INDEX('CAMD Facility Data 2023'!$AC$2:$AE$10000,MATCH(Z13,'CAMD Facility Data 2023'!$AE$2:$AE$10000,0),1)&gt;0,INDEX('CAMD Facility Data 2023'!$AC$2:$AE$10000,MATCH(Z13,'CAMD Facility Data 2023'!$AE$2:$AE$10000,0),1),"")</f>
        <v>1294</v>
      </c>
      <c r="AC13" s="1" t="str">
        <f>IF(INDEX('CAMD Facility Data 2023'!$AE$2:$AG$10000,MATCH(Z13,'CAMD Facility Data 2023'!$AE$2:$AE$10000,0),3)&gt;0,INDEX('CAMD Facility Data 2023'!$AE$2:$AG$10000,MATCH(Z13,'CAMD Facility Data 2023'!$AE$2:$AE$10000,0),3),"")</f>
        <v/>
      </c>
      <c r="AD13" s="20">
        <f t="shared" si="1"/>
        <v>1.1339782616815448</v>
      </c>
      <c r="AE13" s="25">
        <f t="shared" si="2"/>
        <v>7.8554581913009101E-3</v>
      </c>
      <c r="AK13" s="12" t="s">
        <v>97</v>
      </c>
      <c r="AL13" s="14">
        <f>COUNTIFS(AA:AA,"&gt;="&amp;AL2,AA:AA,"&lt;="&amp;AL3,AB:AB,"&gt;="&amp;AL4,AB:AB,"&lt;="&amp;AL5,L:L,"="&amp;AL7,T:T,"="&amp;"*turbine*")</f>
        <v>0</v>
      </c>
      <c r="AM13" s="14">
        <f>COUNTIFS(Y:Y,"&gt;="&amp;AM2,Y:Y,"&lt;="&amp;AM3,AF:AF,"&gt;="&amp;AM4,AF:AF,"&lt;="&amp;AM5,L:L,"="&amp;AM7,R:R,"="&amp;"*Combined*")</f>
        <v>0</v>
      </c>
    </row>
    <row r="14" spans="1:39" x14ac:dyDescent="0.2">
      <c r="A14" s="1" t="s">
        <v>32</v>
      </c>
      <c r="B14" s="1" t="s">
        <v>81</v>
      </c>
      <c r="C14" s="1">
        <v>10</v>
      </c>
      <c r="D14" s="1" t="s">
        <v>98</v>
      </c>
      <c r="F14" s="1">
        <v>2023</v>
      </c>
      <c r="G14" s="5">
        <v>245</v>
      </c>
      <c r="H14" s="5">
        <v>210.25</v>
      </c>
      <c r="I14" s="5">
        <v>12240.75</v>
      </c>
      <c r="K14" s="5">
        <v>5.1999999999999998E-2</v>
      </c>
      <c r="L14" s="5">
        <v>1.1000000000000001E-3</v>
      </c>
      <c r="M14" s="5">
        <v>10284.009</v>
      </c>
      <c r="N14" s="6">
        <v>0.1053</v>
      </c>
      <c r="O14" s="5">
        <v>6.6459999999999999</v>
      </c>
      <c r="P14" s="6">
        <v>8.4400000000000003E-2</v>
      </c>
      <c r="Q14" s="5">
        <v>156551.97500000001</v>
      </c>
      <c r="R14" s="1" t="s">
        <v>44</v>
      </c>
      <c r="S14" s="1" t="s">
        <v>94</v>
      </c>
      <c r="T14" s="1" t="s">
        <v>93</v>
      </c>
      <c r="V14" s="1" t="s">
        <v>95</v>
      </c>
      <c r="Y14" s="1" t="s">
        <v>35</v>
      </c>
      <c r="Z14" s="1" t="str">
        <f t="shared" si="0"/>
        <v>10 CT2</v>
      </c>
      <c r="AA14" s="3">
        <f>IF(INDEX('CAMD Facility Data 2023'!$AA$2:$AE$10000,MATCH(Z14,'CAMD Facility Data 2023'!$AE$2:$AE$10000,0),1)&gt;0,INDEX('CAMD Facility Data 2023'!$AA$2:$AE$10000,MATCH(Z14,'CAMD Facility Data 2023'!$AE$2:$AE$10000,0),1),"")</f>
        <v>35214</v>
      </c>
      <c r="AB14" s="5">
        <f>IF(INDEX('CAMD Facility Data 2023'!$AC$2:$AE$10000,MATCH(Z14,'CAMD Facility Data 2023'!$AE$2:$AE$10000,0),1)&gt;0,INDEX('CAMD Facility Data 2023'!$AC$2:$AE$10000,MATCH(Z14,'CAMD Facility Data 2023'!$AE$2:$AE$10000,0),1),"")</f>
        <v>1375</v>
      </c>
      <c r="AC14" s="1" t="str">
        <f>IF(INDEX('CAMD Facility Data 2023'!$AE$2:$AG$10000,MATCH(Z14,'CAMD Facility Data 2023'!$AE$2:$AE$10000,0),3)&gt;0,INDEX('CAMD Facility Data 2023'!$AE$2:$AG$10000,MATCH(Z14,'CAMD Facility Data 2023'!$AE$2:$AE$10000,0),3),"")</f>
        <v/>
      </c>
      <c r="AD14" s="20">
        <f t="shared" si="1"/>
        <v>1.0858811755815616</v>
      </c>
      <c r="AE14" s="25">
        <f t="shared" si="2"/>
        <v>1.2997258198422583E-2</v>
      </c>
      <c r="AK14" s="12" t="s">
        <v>100</v>
      </c>
      <c r="AL14" s="14">
        <f>COUNTIFS(Y:Y,"&gt;="&amp;AL2,Y:Y,"&lt;="&amp;AL3,AF:AF,"&gt;="&amp;AL4,AF:AF,"&lt;="&amp;AL5,L:L,"="&amp;AL7,R:R,"="&amp;"*turbine*",AI:AI,"="&amp;"Y")</f>
        <v>0</v>
      </c>
      <c r="AM14" s="14">
        <f>COUNTIFS(Y:Y,"&gt;="&amp;AM2,Y:Y,"&lt;="&amp;AM3,AF:AF,"&gt;="&amp;AM4,AF:AF,"&lt;="&amp;AM5,L:L,"="&amp;AM7,R:R,"="&amp;"*Combined*",AI:AI,"="&amp;"Y")</f>
        <v>0</v>
      </c>
    </row>
    <row r="15" spans="1:39" x14ac:dyDescent="0.2">
      <c r="A15" s="1" t="s">
        <v>32</v>
      </c>
      <c r="B15" s="1" t="s">
        <v>81</v>
      </c>
      <c r="C15" s="1">
        <v>10</v>
      </c>
      <c r="D15" s="1" t="s">
        <v>101</v>
      </c>
      <c r="F15" s="1">
        <v>2023</v>
      </c>
      <c r="G15" s="5">
        <v>109</v>
      </c>
      <c r="H15" s="5">
        <v>94.75</v>
      </c>
      <c r="I15" s="5">
        <v>5479.25</v>
      </c>
      <c r="K15" s="5">
        <v>4.2999999999999997E-2</v>
      </c>
      <c r="L15" s="5">
        <v>1.5E-3</v>
      </c>
      <c r="M15" s="5">
        <v>4659.7939999999999</v>
      </c>
      <c r="N15" s="6">
        <v>8.4900000000000003E-2</v>
      </c>
      <c r="O15" s="5">
        <v>3.0750000000000002</v>
      </c>
      <c r="P15" s="6">
        <v>8.6999999999999994E-2</v>
      </c>
      <c r="Q15" s="5">
        <v>70332.725000000006</v>
      </c>
      <c r="R15" s="1" t="s">
        <v>44</v>
      </c>
      <c r="S15" s="1" t="s">
        <v>94</v>
      </c>
      <c r="T15" s="1" t="s">
        <v>93</v>
      </c>
      <c r="V15" s="1" t="s">
        <v>95</v>
      </c>
      <c r="Y15" s="1" t="s">
        <v>35</v>
      </c>
      <c r="Z15" s="1" t="str">
        <f t="shared" si="0"/>
        <v>10 CT3</v>
      </c>
      <c r="AA15" s="3">
        <f>IF(INDEX('CAMD Facility Data 2023'!$AA$2:$AE$10000,MATCH(Z15,'CAMD Facility Data 2023'!$AE$2:$AE$10000,0),1)&gt;0,INDEX('CAMD Facility Data 2023'!$AA$2:$AE$10000,MATCH(Z15,'CAMD Facility Data 2023'!$AE$2:$AE$10000,0),1),"")</f>
        <v>34848</v>
      </c>
      <c r="AB15" s="5">
        <f>IF(INDEX('CAMD Facility Data 2023'!$AC$2:$AE$10000,MATCH(Z15,'CAMD Facility Data 2023'!$AE$2:$AE$10000,0),1)&gt;0,INDEX('CAMD Facility Data 2023'!$AC$2:$AE$10000,MATCH(Z15,'CAMD Facility Data 2023'!$AE$2:$AE$10000,0),1),"")</f>
        <v>1307.2</v>
      </c>
      <c r="AC15" s="1" t="str">
        <f>IF(INDEX('CAMD Facility Data 2023'!$AE$2:$AG$10000,MATCH(Z15,'CAMD Facility Data 2023'!$AE$2:$AE$10000,0),3)&gt;0,INDEX('CAMD Facility Data 2023'!$AE$2:$AG$10000,MATCH(Z15,'CAMD Facility Data 2023'!$AE$2:$AE$10000,0),3),"")</f>
        <v/>
      </c>
      <c r="AD15" s="20">
        <f t="shared" si="1"/>
        <v>1.1224163891043482</v>
      </c>
      <c r="AE15" s="25">
        <f t="shared" si="2"/>
        <v>6.1420210265030212E-3</v>
      </c>
      <c r="AK15" s="12"/>
      <c r="AL15" s="26" t="e">
        <f>AL14/AL13</f>
        <v>#DIV/0!</v>
      </c>
      <c r="AM15" s="26" t="e">
        <f>AM14/AM13</f>
        <v>#DIV/0!</v>
      </c>
    </row>
    <row r="16" spans="1:39" x14ac:dyDescent="0.2">
      <c r="A16" s="1" t="s">
        <v>32</v>
      </c>
      <c r="B16" s="1" t="s">
        <v>81</v>
      </c>
      <c r="C16" s="1">
        <v>10</v>
      </c>
      <c r="D16" s="1" t="s">
        <v>103</v>
      </c>
      <c r="F16" s="1">
        <v>2023</v>
      </c>
      <c r="G16" s="5">
        <v>209</v>
      </c>
      <c r="H16" s="5">
        <v>179</v>
      </c>
      <c r="I16" s="5">
        <v>10610.75</v>
      </c>
      <c r="K16" s="5">
        <v>5.7000000000000002E-2</v>
      </c>
      <c r="L16" s="5">
        <v>1.1999999999999999E-3</v>
      </c>
      <c r="M16" s="5">
        <v>8863.09</v>
      </c>
      <c r="N16" s="6">
        <v>0.1062</v>
      </c>
      <c r="O16" s="5">
        <v>6.1310000000000002</v>
      </c>
      <c r="P16" s="6">
        <v>9.0800000000000006E-2</v>
      </c>
      <c r="Q16" s="5">
        <v>133692.47500000001</v>
      </c>
      <c r="R16" s="1" t="s">
        <v>44</v>
      </c>
      <c r="S16" s="1" t="s">
        <v>94</v>
      </c>
      <c r="T16" s="1" t="s">
        <v>93</v>
      </c>
      <c r="V16" s="1" t="s">
        <v>95</v>
      </c>
      <c r="Y16" s="1" t="s">
        <v>35</v>
      </c>
      <c r="Z16" s="1" t="str">
        <f t="shared" si="0"/>
        <v>10 CT4</v>
      </c>
      <c r="AA16" s="3">
        <f>IF(INDEX('CAMD Facility Data 2023'!$AA$2:$AE$10000,MATCH(Z16,'CAMD Facility Data 2023'!$AE$2:$AE$10000,0),1)&gt;0,INDEX('CAMD Facility Data 2023'!$AA$2:$AE$10000,MATCH(Z16,'CAMD Facility Data 2023'!$AE$2:$AE$10000,0),1),"")</f>
        <v>34848</v>
      </c>
      <c r="AB16" s="5">
        <f>IF(INDEX('CAMD Facility Data 2023'!$AC$2:$AE$10000,MATCH(Z16,'CAMD Facility Data 2023'!$AE$2:$AE$10000,0),1)&gt;0,INDEX('CAMD Facility Data 2023'!$AC$2:$AE$10000,MATCH(Z16,'CAMD Facility Data 2023'!$AE$2:$AE$10000,0),1),"")</f>
        <v>1294</v>
      </c>
      <c r="AC16" s="1" t="str">
        <f>IF(INDEX('CAMD Facility Data 2023'!$AE$2:$AG$10000,MATCH(Z16,'CAMD Facility Data 2023'!$AE$2:$AE$10000,0),3)&gt;0,INDEX('CAMD Facility Data 2023'!$AE$2:$AG$10000,MATCH(Z16,'CAMD Facility Data 2023'!$AE$2:$AE$10000,0),3),"")</f>
        <v/>
      </c>
      <c r="AD16" s="20">
        <f t="shared" si="1"/>
        <v>1.1556204792309686</v>
      </c>
      <c r="AE16" s="25">
        <f t="shared" si="2"/>
        <v>1.1794202518825913E-2</v>
      </c>
    </row>
    <row r="17" spans="1:31" x14ac:dyDescent="0.2">
      <c r="A17" s="1" t="s">
        <v>32</v>
      </c>
      <c r="B17" s="1" t="s">
        <v>81</v>
      </c>
      <c r="C17" s="1">
        <v>10</v>
      </c>
      <c r="D17" s="1" t="s">
        <v>105</v>
      </c>
      <c r="F17" s="1">
        <v>2023</v>
      </c>
      <c r="G17" s="5">
        <v>236</v>
      </c>
      <c r="H17" s="5">
        <v>199</v>
      </c>
      <c r="I17" s="5">
        <v>11471</v>
      </c>
      <c r="K17" s="5">
        <v>5.3999999999999999E-2</v>
      </c>
      <c r="L17" s="5">
        <v>1.1000000000000001E-3</v>
      </c>
      <c r="M17" s="5">
        <v>9780.3179999999993</v>
      </c>
      <c r="N17" s="6">
        <v>0.2218</v>
      </c>
      <c r="O17" s="5">
        <v>6.827</v>
      </c>
      <c r="P17" s="6">
        <v>8.7900000000000006E-2</v>
      </c>
      <c r="Q17" s="5">
        <v>149708.57500000001</v>
      </c>
      <c r="R17" s="1" t="s">
        <v>44</v>
      </c>
      <c r="S17" s="1" t="s">
        <v>94</v>
      </c>
      <c r="T17" s="1" t="s">
        <v>93</v>
      </c>
      <c r="V17" s="1" t="s">
        <v>95</v>
      </c>
      <c r="Y17" s="1" t="s">
        <v>35</v>
      </c>
      <c r="Z17" s="1" t="str">
        <f t="shared" si="0"/>
        <v>10 CT5</v>
      </c>
      <c r="AA17" s="3">
        <f>IF(INDEX('CAMD Facility Data 2023'!$AA$2:$AE$10000,MATCH(Z17,'CAMD Facility Data 2023'!$AE$2:$AE$10000,0),1)&gt;0,INDEX('CAMD Facility Data 2023'!$AA$2:$AE$10000,MATCH(Z17,'CAMD Facility Data 2023'!$AE$2:$AE$10000,0),1),"")</f>
        <v>34848</v>
      </c>
      <c r="AB17" s="5">
        <f>IF(INDEX('CAMD Facility Data 2023'!$AC$2:$AE$10000,MATCH(Z17,'CAMD Facility Data 2023'!$AE$2:$AE$10000,0),1)&gt;0,INDEX('CAMD Facility Data 2023'!$AC$2:$AE$10000,MATCH(Z17,'CAMD Facility Data 2023'!$AE$2:$AE$10000,0),1),"")</f>
        <v>1294</v>
      </c>
      <c r="AC17" s="1" t="str">
        <f>IF(INDEX('CAMD Facility Data 2023'!$AE$2:$AG$10000,MATCH(Z17,'CAMD Facility Data 2023'!$AE$2:$AE$10000,0),3)&gt;0,INDEX('CAMD Facility Data 2023'!$AE$2:$AG$10000,MATCH(Z17,'CAMD Facility Data 2023'!$AE$2:$AE$10000,0),3),"")</f>
        <v/>
      </c>
      <c r="AD17" s="20">
        <f t="shared" si="1"/>
        <v>1.190305989015779</v>
      </c>
      <c r="AE17" s="25">
        <f t="shared" si="2"/>
        <v>1.3207125175555603E-2</v>
      </c>
    </row>
    <row r="18" spans="1:31" x14ac:dyDescent="0.2">
      <c r="A18" s="1" t="s">
        <v>32</v>
      </c>
      <c r="B18" s="1" t="s">
        <v>81</v>
      </c>
      <c r="C18" s="1">
        <v>10</v>
      </c>
      <c r="D18" s="1" t="s">
        <v>107</v>
      </c>
      <c r="F18" s="1">
        <v>2023</v>
      </c>
      <c r="G18" s="5">
        <v>254</v>
      </c>
      <c r="H18" s="5">
        <v>223.5</v>
      </c>
      <c r="I18" s="5">
        <v>12964</v>
      </c>
      <c r="K18" s="5">
        <v>0.21299999999999999</v>
      </c>
      <c r="L18" s="5">
        <v>2.8E-3</v>
      </c>
      <c r="M18" s="5">
        <v>11194.112999999999</v>
      </c>
      <c r="N18" s="6">
        <v>9.2200000000000004E-2</v>
      </c>
      <c r="O18" s="5">
        <v>7.3360000000000003</v>
      </c>
      <c r="P18" s="6">
        <v>8.5599999999999996E-2</v>
      </c>
      <c r="Q18" s="5">
        <v>169632.52499999999</v>
      </c>
      <c r="R18" s="1" t="s">
        <v>44</v>
      </c>
      <c r="S18" s="1" t="s">
        <v>94</v>
      </c>
      <c r="T18" s="1" t="s">
        <v>93</v>
      </c>
      <c r="V18" s="1" t="s">
        <v>95</v>
      </c>
      <c r="Y18" s="1" t="s">
        <v>35</v>
      </c>
      <c r="Z18" s="1" t="str">
        <f t="shared" si="0"/>
        <v>10 CT6</v>
      </c>
      <c r="AA18" s="3">
        <f>IF(INDEX('CAMD Facility Data 2023'!$AA$2:$AE$10000,MATCH(Z18,'CAMD Facility Data 2023'!$AE$2:$AE$10000,0),1)&gt;0,INDEX('CAMD Facility Data 2023'!$AA$2:$AE$10000,MATCH(Z18,'CAMD Facility Data 2023'!$AE$2:$AE$10000,0),1),"")</f>
        <v>34848</v>
      </c>
      <c r="AB18" s="5">
        <f>IF(INDEX('CAMD Facility Data 2023'!$AC$2:$AE$10000,MATCH(Z18,'CAMD Facility Data 2023'!$AE$2:$AE$10000,0),1)&gt;0,INDEX('CAMD Facility Data 2023'!$AC$2:$AE$10000,MATCH(Z18,'CAMD Facility Data 2023'!$AE$2:$AE$10000,0),1),"")</f>
        <v>1308.9000000000001</v>
      </c>
      <c r="AC18" s="1" t="str">
        <f>IF(INDEX('CAMD Facility Data 2023'!$AE$2:$AG$10000,MATCH(Z18,'CAMD Facility Data 2023'!$AE$2:$AE$10000,0),3)&gt;0,INDEX('CAMD Facility Data 2023'!$AE$2:$AG$10000,MATCH(Z18,'CAMD Facility Data 2023'!$AE$2:$AE$10000,0),3),"")</f>
        <v/>
      </c>
      <c r="AD18" s="20">
        <f t="shared" si="1"/>
        <v>1.1317494600431965</v>
      </c>
      <c r="AE18" s="25">
        <f t="shared" si="2"/>
        <v>1.4794440746543422E-2</v>
      </c>
    </row>
    <row r="19" spans="1:31" x14ac:dyDescent="0.2">
      <c r="A19" s="1" t="s">
        <v>32</v>
      </c>
      <c r="B19" s="1" t="s">
        <v>81</v>
      </c>
      <c r="C19" s="1">
        <v>10</v>
      </c>
      <c r="D19" s="1" t="s">
        <v>109</v>
      </c>
      <c r="F19" s="1">
        <v>2023</v>
      </c>
      <c r="G19" s="5">
        <v>242</v>
      </c>
      <c r="H19" s="5">
        <v>210.25</v>
      </c>
      <c r="I19" s="5">
        <v>12285.25</v>
      </c>
      <c r="K19" s="5">
        <v>0.06</v>
      </c>
      <c r="L19" s="5">
        <v>1.1000000000000001E-3</v>
      </c>
      <c r="M19" s="5">
        <v>10689.187</v>
      </c>
      <c r="N19" s="6">
        <v>0.1013</v>
      </c>
      <c r="O19" s="5">
        <v>6.8929999999999998</v>
      </c>
      <c r="P19" s="6">
        <v>8.3699999999999997E-2</v>
      </c>
      <c r="Q19" s="5">
        <v>163063.45000000001</v>
      </c>
      <c r="R19" s="1" t="s">
        <v>44</v>
      </c>
      <c r="S19" s="1" t="s">
        <v>94</v>
      </c>
      <c r="T19" s="1" t="s">
        <v>93</v>
      </c>
      <c r="V19" s="1" t="s">
        <v>95</v>
      </c>
      <c r="Y19" s="1" t="s">
        <v>35</v>
      </c>
      <c r="Z19" s="1" t="str">
        <f t="shared" si="0"/>
        <v>10 CT7</v>
      </c>
      <c r="AA19" s="3">
        <f>IF(INDEX('CAMD Facility Data 2023'!$AA$2:$AE$10000,MATCH(Z19,'CAMD Facility Data 2023'!$AE$2:$AE$10000,0),1)&gt;0,INDEX('CAMD Facility Data 2023'!$AA$2:$AE$10000,MATCH(Z19,'CAMD Facility Data 2023'!$AE$2:$AE$10000,0),1),"")</f>
        <v>34848</v>
      </c>
      <c r="AB19" s="5">
        <f>IF(INDEX('CAMD Facility Data 2023'!$AC$2:$AE$10000,MATCH(Z19,'CAMD Facility Data 2023'!$AE$2:$AE$10000,0),1)&gt;0,INDEX('CAMD Facility Data 2023'!$AC$2:$AE$10000,MATCH(Z19,'CAMD Facility Data 2023'!$AE$2:$AE$10000,0),1),"")</f>
        <v>1294</v>
      </c>
      <c r="AC19" s="1" t="str">
        <f>IF(INDEX('CAMD Facility Data 2023'!$AE$2:$AG$10000,MATCH(Z19,'CAMD Facility Data 2023'!$AE$2:$AE$10000,0),3)&gt;0,INDEX('CAMD Facility Data 2023'!$AE$2:$AG$10000,MATCH(Z19,'CAMD Facility Data 2023'!$AE$2:$AE$10000,0),3),"")</f>
        <v/>
      </c>
      <c r="AD19" s="20">
        <f t="shared" si="1"/>
        <v>1.1221586862294215</v>
      </c>
      <c r="AE19" s="25">
        <f t="shared" si="2"/>
        <v>1.4385277501358573E-2</v>
      </c>
    </row>
    <row r="20" spans="1:31" x14ac:dyDescent="0.2">
      <c r="A20" s="1" t="s">
        <v>32</v>
      </c>
      <c r="B20" s="1" t="s">
        <v>81</v>
      </c>
      <c r="C20" s="1">
        <v>10</v>
      </c>
      <c r="D20" s="1" t="s">
        <v>111</v>
      </c>
      <c r="F20" s="1">
        <v>2023</v>
      </c>
      <c r="G20" s="5">
        <v>215</v>
      </c>
      <c r="H20" s="5">
        <v>183.75</v>
      </c>
      <c r="I20" s="5">
        <v>10780.5</v>
      </c>
      <c r="K20" s="5">
        <v>5.5E-2</v>
      </c>
      <c r="L20" s="5">
        <v>1.1000000000000001E-3</v>
      </c>
      <c r="M20" s="5">
        <v>9593.3970000000008</v>
      </c>
      <c r="N20" s="6">
        <v>9.9299999999999999E-2</v>
      </c>
      <c r="O20" s="5">
        <v>6.3490000000000002</v>
      </c>
      <c r="P20" s="6">
        <v>8.5300000000000001E-2</v>
      </c>
      <c r="Q20" s="5">
        <v>146810.67499999999</v>
      </c>
      <c r="R20" s="1" t="s">
        <v>44</v>
      </c>
      <c r="S20" s="1" t="s">
        <v>94</v>
      </c>
      <c r="T20" s="1" t="s">
        <v>93</v>
      </c>
      <c r="V20" s="1" t="s">
        <v>95</v>
      </c>
      <c r="Y20" s="1" t="s">
        <v>35</v>
      </c>
      <c r="Z20" s="1" t="str">
        <f t="shared" si="0"/>
        <v>10 CT8</v>
      </c>
      <c r="AA20" s="3">
        <f>IF(INDEX('CAMD Facility Data 2023'!$AA$2:$AE$10000,MATCH(Z20,'CAMD Facility Data 2023'!$AE$2:$AE$10000,0),1)&gt;0,INDEX('CAMD Facility Data 2023'!$AA$2:$AE$10000,MATCH(Z20,'CAMD Facility Data 2023'!$AE$2:$AE$10000,0),1),"")</f>
        <v>35214</v>
      </c>
      <c r="AB20" s="5">
        <f>IF(INDEX('CAMD Facility Data 2023'!$AC$2:$AE$10000,MATCH(Z20,'CAMD Facility Data 2023'!$AE$2:$AE$10000,0),1)&gt;0,INDEX('CAMD Facility Data 2023'!$AC$2:$AE$10000,MATCH(Z20,'CAMD Facility Data 2023'!$AE$2:$AE$10000,0),1),"")</f>
        <v>1655</v>
      </c>
      <c r="AC20" s="1" t="str">
        <f>IF(INDEX('CAMD Facility Data 2023'!$AE$2:$AG$10000,MATCH(Z20,'CAMD Facility Data 2023'!$AE$2:$AE$10000,0),3)&gt;0,INDEX('CAMD Facility Data 2023'!$AE$2:$AG$10000,MATCH(Z20,'CAMD Facility Data 2023'!$AE$2:$AE$10000,0),3),"")</f>
        <v/>
      </c>
      <c r="AD20" s="20">
        <f t="shared" si="1"/>
        <v>1.1778674458513056</v>
      </c>
      <c r="AE20" s="25">
        <f t="shared" si="2"/>
        <v>1.012641055884341E-2</v>
      </c>
    </row>
    <row r="21" spans="1:31" x14ac:dyDescent="0.2">
      <c r="A21" s="1" t="s">
        <v>32</v>
      </c>
      <c r="B21" s="1" t="s">
        <v>81</v>
      </c>
      <c r="C21" s="1">
        <v>10</v>
      </c>
      <c r="D21" s="1" t="s">
        <v>113</v>
      </c>
      <c r="F21" s="1">
        <v>2023</v>
      </c>
      <c r="G21" s="5">
        <v>125</v>
      </c>
      <c r="H21" s="5">
        <v>102.5</v>
      </c>
      <c r="I21" s="5">
        <v>6116.25</v>
      </c>
      <c r="K21" s="5">
        <v>2.4E-2</v>
      </c>
      <c r="L21" s="5">
        <v>1E-3</v>
      </c>
      <c r="M21" s="5">
        <v>5455.8919999999998</v>
      </c>
      <c r="N21" s="6">
        <v>9.6199999999999994E-2</v>
      </c>
      <c r="O21" s="5">
        <v>3.4449999999999998</v>
      </c>
      <c r="P21" s="6">
        <v>8.5800000000000001E-2</v>
      </c>
      <c r="Q21" s="5">
        <v>80224.274999999994</v>
      </c>
      <c r="R21" s="1" t="s">
        <v>44</v>
      </c>
      <c r="S21" s="1" t="s">
        <v>94</v>
      </c>
      <c r="T21" s="1" t="s">
        <v>93</v>
      </c>
      <c r="V21" s="1" t="s">
        <v>95</v>
      </c>
      <c r="Y21" s="1" t="s">
        <v>35</v>
      </c>
      <c r="Z21" s="1" t="str">
        <f t="shared" si="0"/>
        <v>10 CT9</v>
      </c>
      <c r="AA21" s="3">
        <f>IF(INDEX('CAMD Facility Data 2023'!$AA$2:$AE$10000,MATCH(Z21,'CAMD Facility Data 2023'!$AE$2:$AE$10000,0),1)&gt;0,INDEX('CAMD Facility Data 2023'!$AA$2:$AE$10000,MATCH(Z21,'CAMD Facility Data 2023'!$AE$2:$AE$10000,0),1),"")</f>
        <v>35214</v>
      </c>
      <c r="AB21" s="5">
        <f>IF(INDEX('CAMD Facility Data 2023'!$AC$2:$AE$10000,MATCH(Z21,'CAMD Facility Data 2023'!$AE$2:$AE$10000,0),1)&gt;0,INDEX('CAMD Facility Data 2023'!$AC$2:$AE$10000,MATCH(Z21,'CAMD Facility Data 2023'!$AE$2:$AE$10000,0),1),"")</f>
        <v>1334.7</v>
      </c>
      <c r="AC21" s="1" t="str">
        <f>IF(INDEX('CAMD Facility Data 2023'!$AE$2:$AG$10000,MATCH(Z21,'CAMD Facility Data 2023'!$AE$2:$AE$10000,0),3)&gt;0,INDEX('CAMD Facility Data 2023'!$AE$2:$AG$10000,MATCH(Z21,'CAMD Facility Data 2023'!$AE$2:$AE$10000,0),3),"")</f>
        <v/>
      </c>
      <c r="AD21" s="20">
        <f t="shared" si="1"/>
        <v>1.1265072552626201</v>
      </c>
      <c r="AE21" s="25">
        <f t="shared" si="2"/>
        <v>6.8614836744391788E-3</v>
      </c>
    </row>
    <row r="22" spans="1:31" x14ac:dyDescent="0.2">
      <c r="A22" s="1" t="s">
        <v>32</v>
      </c>
      <c r="B22" s="1" t="s">
        <v>115</v>
      </c>
      <c r="C22" s="1">
        <v>26</v>
      </c>
      <c r="D22" s="1">
        <v>1</v>
      </c>
      <c r="E22" s="1" t="s">
        <v>116</v>
      </c>
      <c r="F22" s="1">
        <v>2023</v>
      </c>
      <c r="G22" s="5">
        <v>3872</v>
      </c>
      <c r="H22" s="5">
        <v>3864.75</v>
      </c>
      <c r="I22" s="5">
        <v>399498.25</v>
      </c>
      <c r="K22" s="5">
        <v>20.173999999999999</v>
      </c>
      <c r="L22" s="5">
        <v>1.2999999999999999E-2</v>
      </c>
      <c r="M22" s="5">
        <v>239986.09299999999</v>
      </c>
      <c r="N22" s="6">
        <v>5.8999999999999997E-2</v>
      </c>
      <c r="O22" s="5">
        <v>250.54499999999999</v>
      </c>
      <c r="P22" s="6">
        <v>0.1061</v>
      </c>
      <c r="Q22" s="5">
        <v>4048367.6749999998</v>
      </c>
      <c r="R22" s="1" t="s">
        <v>44</v>
      </c>
      <c r="S22" s="1" t="s">
        <v>55</v>
      </c>
      <c r="T22" s="1" t="s">
        <v>89</v>
      </c>
      <c r="V22" s="1" t="s">
        <v>90</v>
      </c>
      <c r="W22" s="1" t="s">
        <v>58</v>
      </c>
      <c r="Y22" s="1" t="s">
        <v>35</v>
      </c>
      <c r="Z22" s="1" t="str">
        <f t="shared" si="0"/>
        <v>26 1</v>
      </c>
      <c r="AA22" s="3">
        <f>IF(INDEX('CAMD Facility Data 2023'!$AA$2:$AE$10000,MATCH(Z22,'CAMD Facility Data 2023'!$AE$2:$AE$10000,0),1)&gt;0,INDEX('CAMD Facility Data 2023'!$AA$2:$AE$10000,MATCH(Z22,'CAMD Facility Data 2023'!$AE$2:$AE$10000,0),1),"")</f>
        <v>22037</v>
      </c>
      <c r="AB22" s="5">
        <f>IF(INDEX('CAMD Facility Data 2023'!$AC$2:$AE$10000,MATCH(Z22,'CAMD Facility Data 2023'!$AE$2:$AE$10000,0),1)&gt;0,INDEX('CAMD Facility Data 2023'!$AC$2:$AE$10000,MATCH(Z22,'CAMD Facility Data 2023'!$AE$2:$AE$10000,0),1),"")</f>
        <v>5462</v>
      </c>
      <c r="AC22" s="1" t="str">
        <f>IF(INDEX('CAMD Facility Data 2023'!$AE$2:$AG$10000,MATCH(Z22,'CAMD Facility Data 2023'!$AE$2:$AE$10000,0),3)&gt;0,INDEX('CAMD Facility Data 2023'!$AE$2:$AG$10000,MATCH(Z22,'CAMD Facility Data 2023'!$AE$2:$AE$10000,0),3),"")</f>
        <v/>
      </c>
      <c r="AD22" s="20">
        <f t="shared" si="1"/>
        <v>1.2542983605059597</v>
      </c>
      <c r="AE22" s="25">
        <f t="shared" si="2"/>
        <v>8.4610477600323697E-2</v>
      </c>
    </row>
    <row r="23" spans="1:31" x14ac:dyDescent="0.2">
      <c r="A23" s="1" t="s">
        <v>32</v>
      </c>
      <c r="B23" s="1" t="s">
        <v>115</v>
      </c>
      <c r="C23" s="1">
        <v>26</v>
      </c>
      <c r="D23" s="1">
        <v>2</v>
      </c>
      <c r="E23" s="1" t="s">
        <v>116</v>
      </c>
      <c r="F23" s="1">
        <v>2023</v>
      </c>
      <c r="G23" s="5">
        <v>4813</v>
      </c>
      <c r="H23" s="5">
        <v>4803.25</v>
      </c>
      <c r="I23" s="5">
        <v>464414.5</v>
      </c>
      <c r="K23" s="5">
        <v>131.077</v>
      </c>
      <c r="L23" s="5">
        <v>4.1300000000000003E-2</v>
      </c>
      <c r="M23" s="5">
        <v>296178.43400000001</v>
      </c>
      <c r="N23" s="6">
        <v>6.0199999999999997E-2</v>
      </c>
      <c r="O23" s="5">
        <v>313.94400000000002</v>
      </c>
      <c r="P23" s="6">
        <v>0.1069</v>
      </c>
      <c r="Q23" s="5">
        <v>4877156.1500000004</v>
      </c>
      <c r="R23" s="1" t="s">
        <v>44</v>
      </c>
      <c r="S23" s="1" t="s">
        <v>55</v>
      </c>
      <c r="T23" s="1" t="s">
        <v>89</v>
      </c>
      <c r="V23" s="1" t="s">
        <v>90</v>
      </c>
      <c r="W23" s="1" t="s">
        <v>123</v>
      </c>
      <c r="Y23" s="1" t="s">
        <v>35</v>
      </c>
      <c r="Z23" s="1" t="str">
        <f t="shared" si="0"/>
        <v>26 2</v>
      </c>
      <c r="AA23" s="3">
        <f>IF(INDEX('CAMD Facility Data 2023'!$AA$2:$AE$10000,MATCH(Z23,'CAMD Facility Data 2023'!$AE$2:$AE$10000,0),1)&gt;0,INDEX('CAMD Facility Data 2023'!$AA$2:$AE$10000,MATCH(Z23,'CAMD Facility Data 2023'!$AE$2:$AE$10000,0),1),"")</f>
        <v>22098</v>
      </c>
      <c r="AB23" s="5">
        <f>IF(INDEX('CAMD Facility Data 2023'!$AC$2:$AE$10000,MATCH(Z23,'CAMD Facility Data 2023'!$AE$2:$AE$10000,0),1)&gt;0,INDEX('CAMD Facility Data 2023'!$AC$2:$AE$10000,MATCH(Z23,'CAMD Facility Data 2023'!$AE$2:$AE$10000,0),1),"")</f>
        <v>5324</v>
      </c>
      <c r="AC23" s="1" t="str">
        <f>IF(INDEX('CAMD Facility Data 2023'!$AE$2:$AG$10000,MATCH(Z23,'CAMD Facility Data 2023'!$AE$2:$AE$10000,0),3)&gt;0,INDEX('CAMD Facility Data 2023'!$AE$2:$AG$10000,MATCH(Z23,'CAMD Facility Data 2023'!$AE$2:$AE$10000,0),3),"")</f>
        <v/>
      </c>
      <c r="AD23" s="20">
        <f t="shared" si="1"/>
        <v>1.3519991300874541</v>
      </c>
      <c r="AE23" s="25">
        <f t="shared" si="2"/>
        <v>0.10457418954917683</v>
      </c>
    </row>
    <row r="24" spans="1:31" x14ac:dyDescent="0.2">
      <c r="A24" s="1" t="s">
        <v>32</v>
      </c>
      <c r="B24" s="1" t="s">
        <v>115</v>
      </c>
      <c r="C24" s="1">
        <v>26</v>
      </c>
      <c r="D24" s="1">
        <v>3</v>
      </c>
      <c r="E24" s="1" t="s">
        <v>125</v>
      </c>
      <c r="F24" s="1">
        <v>2023</v>
      </c>
      <c r="G24" s="5">
        <v>2660</v>
      </c>
      <c r="H24" s="5">
        <v>2651.25</v>
      </c>
      <c r="I24" s="5">
        <v>407611.75</v>
      </c>
      <c r="K24" s="5">
        <v>16.876999999999999</v>
      </c>
      <c r="L24" s="5">
        <v>0.01</v>
      </c>
      <c r="M24" s="5">
        <v>247861.53700000001</v>
      </c>
      <c r="N24" s="6">
        <v>5.8999999999999997E-2</v>
      </c>
      <c r="O24" s="5">
        <v>292.34399999999999</v>
      </c>
      <c r="P24" s="6">
        <v>0.12609999999999999</v>
      </c>
      <c r="Q24" s="5">
        <v>4181195.05</v>
      </c>
      <c r="R24" s="1" t="s">
        <v>44</v>
      </c>
      <c r="S24" s="1" t="s">
        <v>55</v>
      </c>
      <c r="T24" s="1" t="s">
        <v>89</v>
      </c>
      <c r="V24" s="1" t="s">
        <v>90</v>
      </c>
      <c r="W24" s="1" t="s">
        <v>123</v>
      </c>
      <c r="Y24" s="1" t="s">
        <v>35</v>
      </c>
      <c r="Z24" s="1" t="str">
        <f t="shared" si="0"/>
        <v>26 3</v>
      </c>
      <c r="AA24" s="3">
        <f>IF(INDEX('CAMD Facility Data 2023'!$AA$2:$AE$10000,MATCH(Z24,'CAMD Facility Data 2023'!$AE$2:$AE$10000,0),1)&gt;0,INDEX('CAMD Facility Data 2023'!$AA$2:$AE$10000,MATCH(Z24,'CAMD Facility Data 2023'!$AE$2:$AE$10000,0),1),"")</f>
        <v>22068</v>
      </c>
      <c r="AB24" s="5">
        <f>IF(INDEX('CAMD Facility Data 2023'!$AC$2:$AE$10000,MATCH(Z24,'CAMD Facility Data 2023'!$AE$2:$AE$10000,0),1)&gt;0,INDEX('CAMD Facility Data 2023'!$AC$2:$AE$10000,MATCH(Z24,'CAMD Facility Data 2023'!$AE$2:$AE$10000,0),1),"")</f>
        <v>5077.2</v>
      </c>
      <c r="AC24" s="1" t="str">
        <f>IF(INDEX('CAMD Facility Data 2023'!$AE$2:$AG$10000,MATCH(Z24,'CAMD Facility Data 2023'!$AE$2:$AE$10000,0),3)&gt;0,INDEX('CAMD Facility Data 2023'!$AE$2:$AG$10000,MATCH(Z24,'CAMD Facility Data 2023'!$AE$2:$AE$10000,0),3),"")</f>
        <v/>
      </c>
      <c r="AD24" s="20">
        <f t="shared" si="1"/>
        <v>1.43442381138424</v>
      </c>
      <c r="AE24" s="25">
        <f t="shared" si="2"/>
        <v>9.4009566494242136E-2</v>
      </c>
    </row>
    <row r="25" spans="1:31" x14ac:dyDescent="0.2">
      <c r="A25" s="1" t="s">
        <v>32</v>
      </c>
      <c r="B25" s="1" t="s">
        <v>115</v>
      </c>
      <c r="C25" s="1">
        <v>26</v>
      </c>
      <c r="D25" s="1">
        <v>4</v>
      </c>
      <c r="E25" s="1" t="s">
        <v>125</v>
      </c>
      <c r="F25" s="1">
        <v>2023</v>
      </c>
      <c r="G25" s="5">
        <v>3169</v>
      </c>
      <c r="H25" s="5">
        <v>3154</v>
      </c>
      <c r="I25" s="5">
        <v>412084.25</v>
      </c>
      <c r="K25" s="5">
        <v>15.884</v>
      </c>
      <c r="L25" s="5">
        <v>1.3599999999999999E-2</v>
      </c>
      <c r="M25" s="5">
        <v>227505.61499999999</v>
      </c>
      <c r="N25" s="6">
        <v>5.8999999999999997E-2</v>
      </c>
      <c r="O25" s="5">
        <v>290.762</v>
      </c>
      <c r="P25" s="6">
        <v>0.13009999999999999</v>
      </c>
      <c r="Q25" s="5">
        <v>3837838.35</v>
      </c>
      <c r="R25" s="1" t="s">
        <v>44</v>
      </c>
      <c r="S25" s="1" t="s">
        <v>55</v>
      </c>
      <c r="T25" s="1" t="s">
        <v>89</v>
      </c>
      <c r="V25" s="1" t="s">
        <v>90</v>
      </c>
      <c r="W25" s="1" t="s">
        <v>58</v>
      </c>
      <c r="Y25" s="1" t="s">
        <v>35</v>
      </c>
      <c r="Z25" s="1" t="str">
        <f t="shared" si="0"/>
        <v>26 4</v>
      </c>
      <c r="AA25" s="3">
        <f>IF(INDEX('CAMD Facility Data 2023'!$AA$2:$AE$10000,MATCH(Z25,'CAMD Facility Data 2023'!$AE$2:$AE$10000,0),1)&gt;0,INDEX('CAMD Facility Data 2023'!$AA$2:$AE$10000,MATCH(Z25,'CAMD Facility Data 2023'!$AE$2:$AE$10000,0),1),"")</f>
        <v>22798</v>
      </c>
      <c r="AB25" s="5">
        <f>IF(INDEX('CAMD Facility Data 2023'!$AC$2:$AE$10000,MATCH(Z25,'CAMD Facility Data 2023'!$AE$2:$AE$10000,0),1)&gt;0,INDEX('CAMD Facility Data 2023'!$AC$2:$AE$10000,MATCH(Z25,'CAMD Facility Data 2023'!$AE$2:$AE$10000,0),1),"")</f>
        <v>3635</v>
      </c>
      <c r="AC25" s="1" t="str">
        <f>IF(INDEX('CAMD Facility Data 2023'!$AE$2:$AG$10000,MATCH(Z25,'CAMD Facility Data 2023'!$AE$2:$AE$10000,0),3)&gt;0,INDEX('CAMD Facility Data 2023'!$AE$2:$AG$10000,MATCH(Z25,'CAMD Facility Data 2023'!$AE$2:$AE$10000,0),3),"")</f>
        <v/>
      </c>
      <c r="AD25" s="20">
        <f t="shared" si="1"/>
        <v>1.4111774473302485</v>
      </c>
      <c r="AE25" s="25">
        <f t="shared" si="2"/>
        <v>0.12052528216916961</v>
      </c>
    </row>
    <row r="26" spans="1:31" x14ac:dyDescent="0.2">
      <c r="A26" s="1" t="s">
        <v>32</v>
      </c>
      <c r="B26" s="1" t="s">
        <v>115</v>
      </c>
      <c r="C26" s="1">
        <v>26</v>
      </c>
      <c r="D26" s="1">
        <v>5</v>
      </c>
      <c r="E26" s="1" t="s">
        <v>128</v>
      </c>
      <c r="F26" s="1">
        <v>2023</v>
      </c>
      <c r="G26" s="5">
        <v>3157</v>
      </c>
      <c r="H26" s="5">
        <v>3150.25</v>
      </c>
      <c r="I26" s="5">
        <v>2040632.25</v>
      </c>
      <c r="K26" s="5">
        <v>663.62800000000004</v>
      </c>
      <c r="L26" s="5">
        <v>6.4399999999999999E-2</v>
      </c>
      <c r="M26" s="5">
        <v>2265579.3250000002</v>
      </c>
      <c r="N26" s="6">
        <v>9.9900000000000003E-2</v>
      </c>
      <c r="O26" s="5">
        <v>1171.1679999999999</v>
      </c>
      <c r="P26" s="6">
        <v>0.1091</v>
      </c>
      <c r="Q26" s="5">
        <v>22324440.949999999</v>
      </c>
      <c r="R26" s="1" t="s">
        <v>55</v>
      </c>
      <c r="S26" s="1" t="s">
        <v>44</v>
      </c>
      <c r="T26" s="1" t="s">
        <v>43</v>
      </c>
      <c r="U26" s="1" t="s">
        <v>56</v>
      </c>
      <c r="V26" s="1" t="s">
        <v>57</v>
      </c>
      <c r="W26" s="1" t="s">
        <v>123</v>
      </c>
      <c r="X26" s="1" t="s">
        <v>129</v>
      </c>
      <c r="Y26" s="1" t="s">
        <v>54</v>
      </c>
      <c r="Z26" s="1" t="str">
        <f t="shared" si="0"/>
        <v>26 5</v>
      </c>
      <c r="AA26" s="3">
        <f>IF(INDEX('CAMD Facility Data 2023'!$AA$2:$AE$10000,MATCH(Z26,'CAMD Facility Data 2023'!$AE$2:$AE$10000,0),1)&gt;0,INDEX('CAMD Facility Data 2023'!$AA$2:$AE$10000,MATCH(Z26,'CAMD Facility Data 2023'!$AE$2:$AE$10000,0),1),"")</f>
        <v>27243</v>
      </c>
      <c r="AB26" s="5">
        <f>IF(INDEX('CAMD Facility Data 2023'!$AC$2:$AE$10000,MATCH(Z26,'CAMD Facility Data 2023'!$AE$2:$AE$10000,0),1)&gt;0,INDEX('CAMD Facility Data 2023'!$AC$2:$AE$10000,MATCH(Z26,'CAMD Facility Data 2023'!$AE$2:$AE$10000,0),1),"")</f>
        <v>16078</v>
      </c>
      <c r="AC26" s="1" t="str">
        <f>IF(INDEX('CAMD Facility Data 2023'!$AE$2:$AG$10000,MATCH(Z26,'CAMD Facility Data 2023'!$AE$2:$AE$10000,0),3)&gt;0,INDEX('CAMD Facility Data 2023'!$AE$2:$AG$10000,MATCH(Z26,'CAMD Facility Data 2023'!$AE$2:$AE$10000,0),3),"")</f>
        <v>Y</v>
      </c>
      <c r="AD26" s="20">
        <f t="shared" si="1"/>
        <v>1.1478481730355874</v>
      </c>
      <c r="AE26" s="25">
        <f t="shared" si="2"/>
        <v>0.15850554566749653</v>
      </c>
    </row>
    <row r="27" spans="1:31" x14ac:dyDescent="0.2">
      <c r="A27" s="1" t="s">
        <v>32</v>
      </c>
      <c r="B27" s="1" t="s">
        <v>131</v>
      </c>
      <c r="C27" s="1">
        <v>47</v>
      </c>
      <c r="D27" s="1" t="s">
        <v>132</v>
      </c>
      <c r="F27" s="1">
        <v>2023</v>
      </c>
      <c r="G27" s="5">
        <v>60</v>
      </c>
      <c r="H27" s="5">
        <v>60</v>
      </c>
      <c r="I27" s="5">
        <v>1709</v>
      </c>
      <c r="K27" s="5">
        <v>0.254</v>
      </c>
      <c r="L27" s="5">
        <v>2.6599999999999999E-2</v>
      </c>
      <c r="M27" s="5">
        <v>1392.1</v>
      </c>
      <c r="N27" s="6">
        <v>0.06</v>
      </c>
      <c r="O27" s="5">
        <v>8.1590000000000007</v>
      </c>
      <c r="P27" s="6">
        <v>0.70499999999999996</v>
      </c>
      <c r="Q27" s="5">
        <v>23238.6</v>
      </c>
      <c r="R27" s="1" t="s">
        <v>44</v>
      </c>
      <c r="S27" s="1" t="s">
        <v>94</v>
      </c>
      <c r="T27" s="1" t="s">
        <v>93</v>
      </c>
      <c r="Y27" s="1" t="s">
        <v>133</v>
      </c>
      <c r="Z27" s="1" t="str">
        <f t="shared" si="0"/>
        <v>47 CCT1</v>
      </c>
      <c r="AA27" s="3">
        <f>IF(INDEX('CAMD Facility Data 2023'!$AA$2:$AE$10000,MATCH(Z27,'CAMD Facility Data 2023'!$AE$2:$AE$10000,0),1)&gt;0,INDEX('CAMD Facility Data 2023'!$AA$2:$AE$10000,MATCH(Z27,'CAMD Facility Data 2023'!$AE$2:$AE$10000,0),1),"")</f>
        <v>26359</v>
      </c>
      <c r="AB27" s="5">
        <f>IF(INDEX('CAMD Facility Data 2023'!$AC$2:$AE$10000,MATCH(Z27,'CAMD Facility Data 2023'!$AE$2:$AE$10000,0),1)&gt;0,INDEX('CAMD Facility Data 2023'!$AC$2:$AE$10000,MATCH(Z27,'CAMD Facility Data 2023'!$AE$2:$AE$10000,0),1),"")</f>
        <v>760</v>
      </c>
      <c r="AC27" s="1" t="str">
        <f>IF(INDEX('CAMD Facility Data 2023'!$AE$2:$AG$10000,MATCH(Z27,'CAMD Facility Data 2023'!$AE$2:$AE$10000,0),3)&gt;0,INDEX('CAMD Facility Data 2023'!$AE$2:$AG$10000,MATCH(Z27,'CAMD Facility Data 2023'!$AE$2:$AE$10000,0),3),"")</f>
        <v/>
      </c>
      <c r="AD27" s="20">
        <f t="shared" si="1"/>
        <v>9.5482738443534245</v>
      </c>
      <c r="AE27" s="25">
        <f t="shared" si="2"/>
        <v>3.4905371304974763E-3</v>
      </c>
    </row>
    <row r="28" spans="1:31" x14ac:dyDescent="0.2">
      <c r="A28" s="1" t="s">
        <v>32</v>
      </c>
      <c r="B28" s="1" t="s">
        <v>131</v>
      </c>
      <c r="C28" s="1">
        <v>47</v>
      </c>
      <c r="D28" s="1" t="s">
        <v>138</v>
      </c>
      <c r="F28" s="1">
        <v>2023</v>
      </c>
      <c r="G28" s="5">
        <v>72</v>
      </c>
      <c r="H28" s="5">
        <v>68.28</v>
      </c>
      <c r="I28" s="5">
        <v>13427.24</v>
      </c>
      <c r="K28" s="5">
        <v>0.04</v>
      </c>
      <c r="L28" s="5">
        <v>1E-3</v>
      </c>
      <c r="M28" s="5">
        <v>7882.8190000000004</v>
      </c>
      <c r="N28" s="6">
        <v>5.8999999999999997E-2</v>
      </c>
      <c r="O28" s="5">
        <v>1.8069999999999999</v>
      </c>
      <c r="P28" s="6">
        <v>2.8500000000000001E-2</v>
      </c>
      <c r="Q28" s="5">
        <v>132644.649</v>
      </c>
      <c r="R28" s="1" t="s">
        <v>44</v>
      </c>
      <c r="T28" s="1" t="s">
        <v>139</v>
      </c>
      <c r="V28" s="1" t="s">
        <v>140</v>
      </c>
      <c r="Y28" s="1" t="s">
        <v>35</v>
      </c>
      <c r="Z28" s="1" t="str">
        <f t="shared" si="0"/>
        <v>47 CCT10</v>
      </c>
      <c r="AA28" s="3">
        <f>IF(INDEX('CAMD Facility Data 2023'!$AA$2:$AE$10000,MATCH(Z28,'CAMD Facility Data 2023'!$AE$2:$AE$10000,0),1)&gt;0,INDEX('CAMD Facility Data 2023'!$AA$2:$AE$10000,MATCH(Z28,'CAMD Facility Data 2023'!$AE$2:$AE$10000,0),1),"")</f>
        <v>45107</v>
      </c>
      <c r="AB28" s="5">
        <f>IF(INDEX('CAMD Facility Data 2023'!$AC$2:$AE$10000,MATCH(Z28,'CAMD Facility Data 2023'!$AE$2:$AE$10000,0),1)&gt;0,INDEX('CAMD Facility Data 2023'!$AC$2:$AE$10000,MATCH(Z28,'CAMD Facility Data 2023'!$AE$2:$AE$10000,0),1),"")</f>
        <v>2280</v>
      </c>
      <c r="AC28" s="1" t="str">
        <f>IF(INDEX('CAMD Facility Data 2023'!$AE$2:$AG$10000,MATCH(Z28,'CAMD Facility Data 2023'!$AE$2:$AE$10000,0),3)&gt;0,INDEX('CAMD Facility Data 2023'!$AE$2:$AG$10000,MATCH(Z28,'CAMD Facility Data 2023'!$AE$2:$AE$10000,0),3),"")</f>
        <v/>
      </c>
      <c r="AD28" s="20">
        <f t="shared" si="1"/>
        <v>0.26915434594153376</v>
      </c>
      <c r="AE28" s="25">
        <f t="shared" si="2"/>
        <v>6.6412645698149487E-3</v>
      </c>
    </row>
    <row r="29" spans="1:31" x14ac:dyDescent="0.2">
      <c r="A29" s="1" t="s">
        <v>32</v>
      </c>
      <c r="B29" s="1" t="s">
        <v>131</v>
      </c>
      <c r="C29" s="1">
        <v>47</v>
      </c>
      <c r="D29" s="1" t="s">
        <v>143</v>
      </c>
      <c r="F29" s="1">
        <v>2023</v>
      </c>
      <c r="G29" s="5">
        <v>91</v>
      </c>
      <c r="H29" s="5">
        <v>88.69</v>
      </c>
      <c r="I29" s="5">
        <v>17237.36</v>
      </c>
      <c r="K29" s="5">
        <v>5.0999999999999997E-2</v>
      </c>
      <c r="L29" s="5">
        <v>1E-3</v>
      </c>
      <c r="M29" s="5">
        <v>10083.35</v>
      </c>
      <c r="N29" s="6">
        <v>5.8999999999999997E-2</v>
      </c>
      <c r="O29" s="5">
        <v>2.3839999999999999</v>
      </c>
      <c r="P29" s="6">
        <v>2.9100000000000001E-2</v>
      </c>
      <c r="Q29" s="5">
        <v>169668.07500000001</v>
      </c>
      <c r="R29" s="1" t="s">
        <v>44</v>
      </c>
      <c r="T29" s="1" t="s">
        <v>144</v>
      </c>
      <c r="V29" s="1" t="s">
        <v>140</v>
      </c>
      <c r="Y29" s="1" t="s">
        <v>35</v>
      </c>
      <c r="Z29" s="1" t="str">
        <f t="shared" si="0"/>
        <v>47 CCT11</v>
      </c>
      <c r="AA29" s="3">
        <f>IF(INDEX('CAMD Facility Data 2023'!$AA$2:$AE$10000,MATCH(Z29,'CAMD Facility Data 2023'!$AE$2:$AE$10000,0),1)&gt;0,INDEX('CAMD Facility Data 2023'!$AA$2:$AE$10000,MATCH(Z29,'CAMD Facility Data 2023'!$AE$2:$AE$10000,0),1),"")</f>
        <v>45112</v>
      </c>
      <c r="AB29" s="5">
        <f>IF(INDEX('CAMD Facility Data 2023'!$AC$2:$AE$10000,MATCH(Z29,'CAMD Facility Data 2023'!$AE$2:$AE$10000,0),1)&gt;0,INDEX('CAMD Facility Data 2023'!$AC$2:$AE$10000,MATCH(Z29,'CAMD Facility Data 2023'!$AE$2:$AE$10000,0),1),"")</f>
        <v>2280</v>
      </c>
      <c r="AC29" s="1" t="str">
        <f>IF(INDEX('CAMD Facility Data 2023'!$AE$2:$AG$10000,MATCH(Z29,'CAMD Facility Data 2023'!$AE$2:$AE$10000,0),3)&gt;0,INDEX('CAMD Facility Data 2023'!$AE$2:$AG$10000,MATCH(Z29,'CAMD Facility Data 2023'!$AE$2:$AE$10000,0),3),"")</f>
        <v/>
      </c>
      <c r="AD29" s="20">
        <f t="shared" si="1"/>
        <v>0.27660848296954987</v>
      </c>
      <c r="AE29" s="25">
        <f t="shared" si="2"/>
        <v>8.4949568913722674E-3</v>
      </c>
    </row>
    <row r="30" spans="1:31" x14ac:dyDescent="0.2">
      <c r="A30" s="1" t="s">
        <v>32</v>
      </c>
      <c r="B30" s="1" t="s">
        <v>131</v>
      </c>
      <c r="C30" s="1">
        <v>47</v>
      </c>
      <c r="D30" s="1" t="s">
        <v>147</v>
      </c>
      <c r="F30" s="1">
        <v>2023</v>
      </c>
      <c r="G30" s="5">
        <v>93</v>
      </c>
      <c r="H30" s="5">
        <v>93</v>
      </c>
      <c r="I30" s="5">
        <v>2489</v>
      </c>
      <c r="K30" s="5">
        <v>0.11799999999999999</v>
      </c>
      <c r="L30" s="5">
        <v>2.98E-2</v>
      </c>
      <c r="M30" s="5">
        <v>2023.3</v>
      </c>
      <c r="N30" s="6">
        <v>6.0499999999999998E-2</v>
      </c>
      <c r="O30" s="5">
        <v>8.9640000000000004</v>
      </c>
      <c r="P30" s="6">
        <v>0.54290000000000005</v>
      </c>
      <c r="Q30" s="5">
        <v>34123.599999999999</v>
      </c>
      <c r="R30" s="1" t="s">
        <v>44</v>
      </c>
      <c r="S30" s="1" t="s">
        <v>94</v>
      </c>
      <c r="T30" s="1" t="s">
        <v>93</v>
      </c>
      <c r="Y30" s="1" t="s">
        <v>133</v>
      </c>
      <c r="Z30" s="1" t="str">
        <f t="shared" si="0"/>
        <v>47 CCT2</v>
      </c>
      <c r="AA30" s="3">
        <f>IF(INDEX('CAMD Facility Data 2023'!$AA$2:$AE$10000,MATCH(Z30,'CAMD Facility Data 2023'!$AE$2:$AE$10000,0),1)&gt;0,INDEX('CAMD Facility Data 2023'!$AA$2:$AE$10000,MATCH(Z30,'CAMD Facility Data 2023'!$AE$2:$AE$10000,0),1),"")</f>
        <v>26359</v>
      </c>
      <c r="AB30" s="5">
        <f>IF(INDEX('CAMD Facility Data 2023'!$AC$2:$AE$10000,MATCH(Z30,'CAMD Facility Data 2023'!$AE$2:$AE$10000,0),1)&gt;0,INDEX('CAMD Facility Data 2023'!$AC$2:$AE$10000,MATCH(Z30,'CAMD Facility Data 2023'!$AE$2:$AE$10000,0),1),"")</f>
        <v>760</v>
      </c>
      <c r="AC30" s="1" t="str">
        <f>IF(INDEX('CAMD Facility Data 2023'!$AE$2:$AG$10000,MATCH(Z30,'CAMD Facility Data 2023'!$AE$2:$AE$10000,0),3)&gt;0,INDEX('CAMD Facility Data 2023'!$AE$2:$AG$10000,MATCH(Z30,'CAMD Facility Data 2023'!$AE$2:$AE$10000,0),3),"")</f>
        <v/>
      </c>
      <c r="AD30" s="20">
        <f t="shared" si="1"/>
        <v>7.2028927280032145</v>
      </c>
      <c r="AE30" s="25">
        <f t="shared" si="2"/>
        <v>5.1255106945445805E-3</v>
      </c>
    </row>
    <row r="31" spans="1:31" x14ac:dyDescent="0.2">
      <c r="A31" s="1" t="s">
        <v>32</v>
      </c>
      <c r="B31" s="1" t="s">
        <v>131</v>
      </c>
      <c r="C31" s="1">
        <v>47</v>
      </c>
      <c r="D31" s="1" t="s">
        <v>149</v>
      </c>
      <c r="F31" s="1">
        <v>2023</v>
      </c>
      <c r="G31" s="5">
        <v>86</v>
      </c>
      <c r="H31" s="5">
        <v>86</v>
      </c>
      <c r="I31" s="5">
        <v>1888</v>
      </c>
      <c r="K31" s="5">
        <v>1.2050000000000001</v>
      </c>
      <c r="L31" s="5">
        <v>8.5999999999999993E-2</v>
      </c>
      <c r="M31" s="5">
        <v>1681.8</v>
      </c>
      <c r="N31" s="6">
        <v>6.25E-2</v>
      </c>
      <c r="O31" s="5">
        <v>8.3320000000000007</v>
      </c>
      <c r="P31" s="6">
        <v>0.57130000000000003</v>
      </c>
      <c r="Q31" s="5">
        <v>26734.400000000001</v>
      </c>
      <c r="R31" s="1" t="s">
        <v>44</v>
      </c>
      <c r="S31" s="1" t="s">
        <v>94</v>
      </c>
      <c r="T31" s="1" t="s">
        <v>93</v>
      </c>
      <c r="Y31" s="1" t="s">
        <v>133</v>
      </c>
      <c r="Z31" s="1" t="str">
        <f t="shared" si="0"/>
        <v>47 CCT3</v>
      </c>
      <c r="AA31" s="3">
        <f>IF(INDEX('CAMD Facility Data 2023'!$AA$2:$AE$10000,MATCH(Z31,'CAMD Facility Data 2023'!$AE$2:$AE$10000,0),1)&gt;0,INDEX('CAMD Facility Data 2023'!$AA$2:$AE$10000,MATCH(Z31,'CAMD Facility Data 2023'!$AE$2:$AE$10000,0),1),"")</f>
        <v>26359</v>
      </c>
      <c r="AB31" s="5">
        <f>IF(INDEX('CAMD Facility Data 2023'!$AC$2:$AE$10000,MATCH(Z31,'CAMD Facility Data 2023'!$AE$2:$AE$10000,0),1)&gt;0,INDEX('CAMD Facility Data 2023'!$AC$2:$AE$10000,MATCH(Z31,'CAMD Facility Data 2023'!$AE$2:$AE$10000,0),1),"")</f>
        <v>760</v>
      </c>
      <c r="AC31" s="1" t="str">
        <f>IF(INDEX('CAMD Facility Data 2023'!$AE$2:$AG$10000,MATCH(Z31,'CAMD Facility Data 2023'!$AE$2:$AE$10000,0),3)&gt;0,INDEX('CAMD Facility Data 2023'!$AE$2:$AG$10000,MATCH(Z31,'CAMD Facility Data 2023'!$AE$2:$AE$10000,0),3),"")</f>
        <v/>
      </c>
      <c r="AD31" s="20">
        <f t="shared" si="1"/>
        <v>8.8262711864406782</v>
      </c>
      <c r="AE31" s="25">
        <f t="shared" si="2"/>
        <v>4.0156212448930551E-3</v>
      </c>
    </row>
    <row r="32" spans="1:31" x14ac:dyDescent="0.2">
      <c r="A32" s="1" t="s">
        <v>32</v>
      </c>
      <c r="B32" s="1" t="s">
        <v>131</v>
      </c>
      <c r="C32" s="1">
        <v>47</v>
      </c>
      <c r="D32" s="1" t="s">
        <v>151</v>
      </c>
      <c r="F32" s="1">
        <v>2023</v>
      </c>
      <c r="G32" s="5">
        <v>114</v>
      </c>
      <c r="H32" s="5">
        <v>114</v>
      </c>
      <c r="I32" s="5">
        <v>2883</v>
      </c>
      <c r="K32" s="5">
        <v>0.75</v>
      </c>
      <c r="L32" s="5">
        <v>5.3699999999999998E-2</v>
      </c>
      <c r="M32" s="5">
        <v>2501.9</v>
      </c>
      <c r="N32" s="6">
        <v>6.1800000000000001E-2</v>
      </c>
      <c r="O32" s="5">
        <v>12.21</v>
      </c>
      <c r="P32" s="6">
        <v>0.55269999999999997</v>
      </c>
      <c r="Q32" s="5">
        <v>41306.300000000003</v>
      </c>
      <c r="R32" s="1" t="s">
        <v>44</v>
      </c>
      <c r="S32" s="1" t="s">
        <v>94</v>
      </c>
      <c r="T32" s="1" t="s">
        <v>93</v>
      </c>
      <c r="Y32" s="1" t="s">
        <v>133</v>
      </c>
      <c r="Z32" s="1" t="str">
        <f t="shared" si="0"/>
        <v>47 CCT4</v>
      </c>
      <c r="AA32" s="3">
        <f>IF(INDEX('CAMD Facility Data 2023'!$AA$2:$AE$10000,MATCH(Z32,'CAMD Facility Data 2023'!$AE$2:$AE$10000,0),1)&gt;0,INDEX('CAMD Facility Data 2023'!$AA$2:$AE$10000,MATCH(Z32,'CAMD Facility Data 2023'!$AE$2:$AE$10000,0),1),"")</f>
        <v>26359</v>
      </c>
      <c r="AB32" s="5">
        <f>IF(INDEX('CAMD Facility Data 2023'!$AC$2:$AE$10000,MATCH(Z32,'CAMD Facility Data 2023'!$AE$2:$AE$10000,0),1)&gt;0,INDEX('CAMD Facility Data 2023'!$AC$2:$AE$10000,MATCH(Z32,'CAMD Facility Data 2023'!$AE$2:$AE$10000,0),1),"")</f>
        <v>760</v>
      </c>
      <c r="AC32" s="1" t="str">
        <f>IF(INDEX('CAMD Facility Data 2023'!$AE$2:$AG$10000,MATCH(Z32,'CAMD Facility Data 2023'!$AE$2:$AE$10000,0),3)&gt;0,INDEX('CAMD Facility Data 2023'!$AE$2:$AG$10000,MATCH(Z32,'CAMD Facility Data 2023'!$AE$2:$AE$10000,0),3),"")</f>
        <v/>
      </c>
      <c r="AD32" s="20">
        <f t="shared" si="1"/>
        <v>8.4703433922996876</v>
      </c>
      <c r="AE32" s="25">
        <f t="shared" si="2"/>
        <v>6.2043829608267251E-3</v>
      </c>
    </row>
    <row r="33" spans="1:31" x14ac:dyDescent="0.2">
      <c r="A33" s="1" t="s">
        <v>32</v>
      </c>
      <c r="B33" s="1" t="s">
        <v>131</v>
      </c>
      <c r="C33" s="1">
        <v>47</v>
      </c>
      <c r="D33" s="1" t="s">
        <v>153</v>
      </c>
      <c r="F33" s="1">
        <v>2023</v>
      </c>
      <c r="G33" s="5">
        <v>49</v>
      </c>
      <c r="H33" s="5">
        <v>49</v>
      </c>
      <c r="I33" s="5">
        <v>1021</v>
      </c>
      <c r="K33" s="5">
        <v>0.78200000000000003</v>
      </c>
      <c r="L33" s="5">
        <v>8.2000000000000003E-2</v>
      </c>
      <c r="M33" s="5">
        <v>935.6</v>
      </c>
      <c r="N33" s="6">
        <v>6.2799999999999995E-2</v>
      </c>
      <c r="O33" s="5">
        <v>5.923</v>
      </c>
      <c r="P33" s="6">
        <v>0.78090000000000004</v>
      </c>
      <c r="Q33" s="5">
        <v>14696.5</v>
      </c>
      <c r="R33" s="1" t="s">
        <v>44</v>
      </c>
      <c r="S33" s="1" t="s">
        <v>94</v>
      </c>
      <c r="T33" s="1" t="s">
        <v>93</v>
      </c>
      <c r="Y33" s="1" t="s">
        <v>133</v>
      </c>
      <c r="Z33" s="1" t="str">
        <f t="shared" si="0"/>
        <v>47 CCT5</v>
      </c>
      <c r="AA33" s="3">
        <f>IF(INDEX('CAMD Facility Data 2023'!$AA$2:$AE$10000,MATCH(Z33,'CAMD Facility Data 2023'!$AE$2:$AE$10000,0),1)&gt;0,INDEX('CAMD Facility Data 2023'!$AA$2:$AE$10000,MATCH(Z33,'CAMD Facility Data 2023'!$AE$2:$AE$10000,0),1),"")</f>
        <v>26359</v>
      </c>
      <c r="AB33" s="5">
        <f>IF(INDEX('CAMD Facility Data 2023'!$AC$2:$AE$10000,MATCH(Z33,'CAMD Facility Data 2023'!$AE$2:$AE$10000,0),1)&gt;0,INDEX('CAMD Facility Data 2023'!$AC$2:$AE$10000,MATCH(Z33,'CAMD Facility Data 2023'!$AE$2:$AE$10000,0),1),"")</f>
        <v>760</v>
      </c>
      <c r="AC33" s="1" t="str">
        <f>IF(INDEX('CAMD Facility Data 2023'!$AE$2:$AG$10000,MATCH(Z33,'CAMD Facility Data 2023'!$AE$2:$AE$10000,0),3)&gt;0,INDEX('CAMD Facility Data 2023'!$AE$2:$AG$10000,MATCH(Z33,'CAMD Facility Data 2023'!$AE$2:$AE$10000,0),3),"")</f>
        <v/>
      </c>
      <c r="AD33" s="20">
        <f t="shared" si="1"/>
        <v>11.602350636630755</v>
      </c>
      <c r="AE33" s="25">
        <f t="shared" si="2"/>
        <v>2.2074771689497715E-3</v>
      </c>
    </row>
    <row r="34" spans="1:31" x14ac:dyDescent="0.2">
      <c r="A34" s="1" t="s">
        <v>32</v>
      </c>
      <c r="B34" s="1" t="s">
        <v>131</v>
      </c>
      <c r="C34" s="1">
        <v>47</v>
      </c>
      <c r="D34" s="1" t="s">
        <v>155</v>
      </c>
      <c r="F34" s="1">
        <v>2023</v>
      </c>
      <c r="G34" s="5">
        <v>52</v>
      </c>
      <c r="H34" s="5">
        <v>52</v>
      </c>
      <c r="I34" s="5">
        <v>408</v>
      </c>
      <c r="K34" s="5">
        <v>0.33900000000000002</v>
      </c>
      <c r="L34" s="5">
        <v>7.1900000000000006E-2</v>
      </c>
      <c r="M34" s="5">
        <v>475.1</v>
      </c>
      <c r="N34" s="6">
        <v>6.2E-2</v>
      </c>
      <c r="O34" s="5">
        <v>2.98</v>
      </c>
      <c r="P34" s="6">
        <v>0.77180000000000004</v>
      </c>
      <c r="Q34" s="5">
        <v>7549</v>
      </c>
      <c r="R34" s="1" t="s">
        <v>44</v>
      </c>
      <c r="S34" s="1" t="s">
        <v>94</v>
      </c>
      <c r="T34" s="1" t="s">
        <v>93</v>
      </c>
      <c r="Y34" s="1" t="s">
        <v>133</v>
      </c>
      <c r="Z34" s="1" t="str">
        <f t="shared" si="0"/>
        <v>47 CCT6</v>
      </c>
      <c r="AA34" s="3">
        <f>IF(INDEX('CAMD Facility Data 2023'!$AA$2:$AE$10000,MATCH(Z34,'CAMD Facility Data 2023'!$AE$2:$AE$10000,0),1)&gt;0,INDEX('CAMD Facility Data 2023'!$AA$2:$AE$10000,MATCH(Z34,'CAMD Facility Data 2023'!$AE$2:$AE$10000,0),1),"")</f>
        <v>26359</v>
      </c>
      <c r="AB34" s="5">
        <f>IF(INDEX('CAMD Facility Data 2023'!$AC$2:$AE$10000,MATCH(Z34,'CAMD Facility Data 2023'!$AE$2:$AE$10000,0),1)&gt;0,INDEX('CAMD Facility Data 2023'!$AC$2:$AE$10000,MATCH(Z34,'CAMD Facility Data 2023'!$AE$2:$AE$10000,0),1),"")</f>
        <v>760</v>
      </c>
      <c r="AC34" s="1" t="str">
        <f>IF(INDEX('CAMD Facility Data 2023'!$AE$2:$AG$10000,MATCH(Z34,'CAMD Facility Data 2023'!$AE$2:$AE$10000,0),3)&gt;0,INDEX('CAMD Facility Data 2023'!$AE$2:$AG$10000,MATCH(Z34,'CAMD Facility Data 2023'!$AE$2:$AE$10000,0),3),"")</f>
        <v/>
      </c>
      <c r="AD34" s="20">
        <f t="shared" si="1"/>
        <v>14.607843137254902</v>
      </c>
      <c r="AE34" s="25">
        <f t="shared" si="2"/>
        <v>1.1338920932468157E-3</v>
      </c>
    </row>
    <row r="35" spans="1:31" x14ac:dyDescent="0.2">
      <c r="A35" s="1" t="s">
        <v>32</v>
      </c>
      <c r="B35" s="1" t="s">
        <v>131</v>
      </c>
      <c r="C35" s="1">
        <v>47</v>
      </c>
      <c r="D35" s="1" t="s">
        <v>157</v>
      </c>
      <c r="F35" s="1">
        <v>2023</v>
      </c>
      <c r="G35" s="5">
        <v>33</v>
      </c>
      <c r="H35" s="5">
        <v>33</v>
      </c>
      <c r="I35" s="5">
        <v>776</v>
      </c>
      <c r="K35" s="5">
        <v>0.123</v>
      </c>
      <c r="L35" s="5">
        <v>3.7999999999999999E-2</v>
      </c>
      <c r="M35" s="5">
        <v>627.79999999999995</v>
      </c>
      <c r="N35" s="6">
        <v>6.0900000000000003E-2</v>
      </c>
      <c r="O35" s="5">
        <v>3.778</v>
      </c>
      <c r="P35" s="6">
        <v>0.73699999999999999</v>
      </c>
      <c r="Q35" s="5">
        <v>10453.1</v>
      </c>
      <c r="R35" s="1" t="s">
        <v>44</v>
      </c>
      <c r="S35" s="1" t="s">
        <v>94</v>
      </c>
      <c r="T35" s="1" t="s">
        <v>93</v>
      </c>
      <c r="Y35" s="1" t="s">
        <v>133</v>
      </c>
      <c r="Z35" s="1" t="str">
        <f t="shared" si="0"/>
        <v>47 CCT7</v>
      </c>
      <c r="AA35" s="3">
        <f>IF(INDEX('CAMD Facility Data 2023'!$AA$2:$AE$10000,MATCH(Z35,'CAMD Facility Data 2023'!$AE$2:$AE$10000,0),1)&gt;0,INDEX('CAMD Facility Data 2023'!$AA$2:$AE$10000,MATCH(Z35,'CAMD Facility Data 2023'!$AE$2:$AE$10000,0),1),"")</f>
        <v>26359</v>
      </c>
      <c r="AB35" s="5">
        <f>IF(INDEX('CAMD Facility Data 2023'!$AC$2:$AE$10000,MATCH(Z35,'CAMD Facility Data 2023'!$AE$2:$AE$10000,0),1)&gt;0,INDEX('CAMD Facility Data 2023'!$AC$2:$AE$10000,MATCH(Z35,'CAMD Facility Data 2023'!$AE$2:$AE$10000,0),1),"")</f>
        <v>760</v>
      </c>
      <c r="AC35" s="1" t="str">
        <f>IF(INDEX('CAMD Facility Data 2023'!$AE$2:$AG$10000,MATCH(Z35,'CAMD Facility Data 2023'!$AE$2:$AE$10000,0),3)&gt;0,INDEX('CAMD Facility Data 2023'!$AE$2:$AG$10000,MATCH(Z35,'CAMD Facility Data 2023'!$AE$2:$AE$10000,0),3),"")</f>
        <v/>
      </c>
      <c r="AD35" s="20">
        <f t="shared" si="1"/>
        <v>9.7371134020618548</v>
      </c>
      <c r="AE35" s="25">
        <f t="shared" si="2"/>
        <v>1.5701003364575823E-3</v>
      </c>
    </row>
    <row r="36" spans="1:31" x14ac:dyDescent="0.2">
      <c r="A36" s="1" t="s">
        <v>32</v>
      </c>
      <c r="B36" s="1" t="s">
        <v>131</v>
      </c>
      <c r="C36" s="1">
        <v>47</v>
      </c>
      <c r="D36" s="1" t="s">
        <v>159</v>
      </c>
      <c r="F36" s="1">
        <v>2023</v>
      </c>
      <c r="G36" s="5">
        <v>44</v>
      </c>
      <c r="H36" s="5">
        <v>44</v>
      </c>
      <c r="I36" s="5">
        <v>1004</v>
      </c>
      <c r="K36" s="5">
        <v>0.18099999999999999</v>
      </c>
      <c r="L36" s="5">
        <v>3.73E-2</v>
      </c>
      <c r="M36" s="5">
        <v>842.9</v>
      </c>
      <c r="N36" s="6">
        <v>6.0299999999999999E-2</v>
      </c>
      <c r="O36" s="5">
        <v>5.085</v>
      </c>
      <c r="P36" s="6">
        <v>0.73609999999999998</v>
      </c>
      <c r="Q36" s="5">
        <v>14021.7</v>
      </c>
      <c r="R36" s="1" t="s">
        <v>44</v>
      </c>
      <c r="S36" s="1" t="s">
        <v>94</v>
      </c>
      <c r="T36" s="1" t="s">
        <v>93</v>
      </c>
      <c r="Y36" s="1" t="s">
        <v>133</v>
      </c>
      <c r="Z36" s="1" t="str">
        <f t="shared" si="0"/>
        <v>47 CCT8</v>
      </c>
      <c r="AA36" s="3">
        <f>IF(INDEX('CAMD Facility Data 2023'!$AA$2:$AE$10000,MATCH(Z36,'CAMD Facility Data 2023'!$AE$2:$AE$10000,0),1)&gt;0,INDEX('CAMD Facility Data 2023'!$AA$2:$AE$10000,MATCH(Z36,'CAMD Facility Data 2023'!$AE$2:$AE$10000,0),1),"")</f>
        <v>26359</v>
      </c>
      <c r="AB36" s="5">
        <f>IF(INDEX('CAMD Facility Data 2023'!$AC$2:$AE$10000,MATCH(Z36,'CAMD Facility Data 2023'!$AE$2:$AE$10000,0),1)&gt;0,INDEX('CAMD Facility Data 2023'!$AC$2:$AE$10000,MATCH(Z36,'CAMD Facility Data 2023'!$AE$2:$AE$10000,0),1),"")</f>
        <v>760</v>
      </c>
      <c r="AC36" s="1" t="str">
        <f>IF(INDEX('CAMD Facility Data 2023'!$AE$2:$AG$10000,MATCH(Z36,'CAMD Facility Data 2023'!$AE$2:$AE$10000,0),3)&gt;0,INDEX('CAMD Facility Data 2023'!$AE$2:$AG$10000,MATCH(Z36,'CAMD Facility Data 2023'!$AE$2:$AE$10000,0),3),"")</f>
        <v/>
      </c>
      <c r="AD36" s="20">
        <f t="shared" si="1"/>
        <v>10.129482071713147</v>
      </c>
      <c r="AE36" s="25">
        <f t="shared" si="2"/>
        <v>2.1061193222782987E-3</v>
      </c>
    </row>
    <row r="37" spans="1:31" x14ac:dyDescent="0.2">
      <c r="A37" s="1" t="s">
        <v>32</v>
      </c>
      <c r="B37" s="1" t="s">
        <v>131</v>
      </c>
      <c r="C37" s="1">
        <v>47</v>
      </c>
      <c r="D37" s="1" t="s">
        <v>161</v>
      </c>
      <c r="F37" s="1">
        <v>2023</v>
      </c>
      <c r="G37" s="5">
        <v>83</v>
      </c>
      <c r="H37" s="5">
        <v>75.84</v>
      </c>
      <c r="I37" s="5">
        <v>14997.82</v>
      </c>
      <c r="K37" s="5">
        <v>4.4999999999999998E-2</v>
      </c>
      <c r="L37" s="5">
        <v>1E-3</v>
      </c>
      <c r="M37" s="5">
        <v>8974.1479999999992</v>
      </c>
      <c r="N37" s="6">
        <v>5.8999999999999997E-2</v>
      </c>
      <c r="O37" s="5">
        <v>2.1440000000000001</v>
      </c>
      <c r="P37" s="6">
        <v>3.0800000000000001E-2</v>
      </c>
      <c r="Q37" s="5">
        <v>151001.95499999999</v>
      </c>
      <c r="R37" s="1" t="s">
        <v>44</v>
      </c>
      <c r="T37" s="1" t="s">
        <v>162</v>
      </c>
      <c r="V37" s="1" t="s">
        <v>140</v>
      </c>
      <c r="Y37" s="1" t="s">
        <v>35</v>
      </c>
      <c r="Z37" s="1" t="str">
        <f t="shared" si="0"/>
        <v>47 CCT9</v>
      </c>
      <c r="AA37" s="3">
        <f>IF(INDEX('CAMD Facility Data 2023'!$AA$2:$AE$10000,MATCH(Z37,'CAMD Facility Data 2023'!$AE$2:$AE$10000,0),1)&gt;0,INDEX('CAMD Facility Data 2023'!$AA$2:$AE$10000,MATCH(Z37,'CAMD Facility Data 2023'!$AE$2:$AE$10000,0),1),"")</f>
        <v>45096</v>
      </c>
      <c r="AB37" s="5">
        <f>IF(INDEX('CAMD Facility Data 2023'!$AC$2:$AE$10000,MATCH(Z37,'CAMD Facility Data 2023'!$AE$2:$AE$10000,0),1)&gt;0,INDEX('CAMD Facility Data 2023'!$AC$2:$AE$10000,MATCH(Z37,'CAMD Facility Data 2023'!$AE$2:$AE$10000,0),1),"")</f>
        <v>2280</v>
      </c>
      <c r="AC37" s="1" t="str">
        <f>IF(INDEX('CAMD Facility Data 2023'!$AE$2:$AG$10000,MATCH(Z37,'CAMD Facility Data 2023'!$AE$2:$AE$10000,0),3)&gt;0,INDEX('CAMD Facility Data 2023'!$AE$2:$AG$10000,MATCH(Z37,'CAMD Facility Data 2023'!$AE$2:$AE$10000,0),3),"")</f>
        <v/>
      </c>
      <c r="AD37" s="20">
        <f t="shared" si="1"/>
        <v>0.2859082186611121</v>
      </c>
      <c r="AE37" s="25">
        <f t="shared" si="2"/>
        <v>7.5603798666186006E-3</v>
      </c>
    </row>
    <row r="38" spans="1:31" x14ac:dyDescent="0.2">
      <c r="A38" s="1" t="s">
        <v>165</v>
      </c>
      <c r="B38" s="1" t="s">
        <v>166</v>
      </c>
      <c r="C38" s="1">
        <v>54</v>
      </c>
      <c r="D38" s="1" t="s">
        <v>167</v>
      </c>
      <c r="F38" s="1">
        <v>2023</v>
      </c>
      <c r="G38" s="5">
        <v>584</v>
      </c>
      <c r="H38" s="5">
        <v>489.4</v>
      </c>
      <c r="I38" s="5">
        <v>44386.52</v>
      </c>
      <c r="K38" s="5">
        <v>0.187</v>
      </c>
      <c r="L38" s="5">
        <v>1.1000000000000001E-3</v>
      </c>
      <c r="M38" s="5">
        <v>35674.275999999998</v>
      </c>
      <c r="N38" s="6">
        <v>5.9200000000000003E-2</v>
      </c>
      <c r="O38" s="5">
        <v>18.952000000000002</v>
      </c>
      <c r="P38" s="6">
        <v>7.6700000000000004E-2</v>
      </c>
      <c r="Q38" s="5">
        <v>599908.66799999995</v>
      </c>
      <c r="R38" s="1" t="s">
        <v>44</v>
      </c>
      <c r="S38" s="1" t="s">
        <v>173</v>
      </c>
      <c r="T38" s="1" t="s">
        <v>93</v>
      </c>
      <c r="V38" s="1" t="s">
        <v>95</v>
      </c>
      <c r="Y38" s="1" t="s">
        <v>168</v>
      </c>
      <c r="Z38" s="1" t="str">
        <f t="shared" si="0"/>
        <v>54 SCT1</v>
      </c>
      <c r="AA38" s="3">
        <f>IF(INDEX('CAMD Facility Data 2023'!$AA$2:$AE$10000,MATCH(Z38,'CAMD Facility Data 2023'!$AE$2:$AE$10000,0),1)&gt;0,INDEX('CAMD Facility Data 2023'!$AA$2:$AE$10000,MATCH(Z38,'CAMD Facility Data 2023'!$AE$2:$AE$10000,0),1),"")</f>
        <v>34789</v>
      </c>
      <c r="AB38" s="5">
        <f>IF(INDEX('CAMD Facility Data 2023'!$AC$2:$AE$10000,MATCH(Z38,'CAMD Facility Data 2023'!$AE$2:$AE$10000,0),1)&gt;0,INDEX('CAMD Facility Data 2023'!$AC$2:$AE$10000,MATCH(Z38,'CAMD Facility Data 2023'!$AE$2:$AE$10000,0),1),"")</f>
        <v>1800</v>
      </c>
      <c r="AC38" s="1" t="str">
        <f>IF(INDEX('CAMD Facility Data 2023'!$AE$2:$AG$10000,MATCH(Z38,'CAMD Facility Data 2023'!$AE$2:$AE$10000,0),3)&gt;0,INDEX('CAMD Facility Data 2023'!$AE$2:$AG$10000,MATCH(Z38,'CAMD Facility Data 2023'!$AE$2:$AE$10000,0),3),"")</f>
        <v/>
      </c>
      <c r="AD38" s="20">
        <f t="shared" si="1"/>
        <v>0.85395295688871309</v>
      </c>
      <c r="AE38" s="25">
        <f t="shared" si="2"/>
        <v>3.8045958143074578E-2</v>
      </c>
    </row>
    <row r="39" spans="1:31" x14ac:dyDescent="0.2">
      <c r="A39" s="1" t="s">
        <v>165</v>
      </c>
      <c r="B39" s="1" t="s">
        <v>166</v>
      </c>
      <c r="C39" s="1">
        <v>54</v>
      </c>
      <c r="D39" s="1" t="s">
        <v>175</v>
      </c>
      <c r="F39" s="1">
        <v>2023</v>
      </c>
      <c r="G39" s="5">
        <v>151</v>
      </c>
      <c r="H39" s="5">
        <v>126.94</v>
      </c>
      <c r="I39" s="5">
        <v>8282.44</v>
      </c>
      <c r="K39" s="5">
        <v>2.4E-2</v>
      </c>
      <c r="L39" s="5">
        <v>1E-3</v>
      </c>
      <c r="M39" s="5">
        <v>4678.902</v>
      </c>
      <c r="N39" s="6">
        <v>5.91E-2</v>
      </c>
      <c r="O39" s="5">
        <v>0.51400000000000001</v>
      </c>
      <c r="P39" s="6">
        <v>1.77E-2</v>
      </c>
      <c r="Q39" s="5">
        <v>78722.368000000002</v>
      </c>
      <c r="R39" s="1" t="s">
        <v>44</v>
      </c>
      <c r="T39" s="1" t="s">
        <v>93</v>
      </c>
      <c r="V39" s="1" t="s">
        <v>176</v>
      </c>
      <c r="Y39" s="1" t="s">
        <v>168</v>
      </c>
      <c r="Z39" s="1" t="str">
        <f t="shared" si="0"/>
        <v>54 SCT10</v>
      </c>
      <c r="AA39" s="3">
        <f>IF(INDEX('CAMD Facility Data 2023'!$AA$2:$AE$10000,MATCH(Z39,'CAMD Facility Data 2023'!$AE$2:$AE$10000,0),1)&gt;0,INDEX('CAMD Facility Data 2023'!$AA$2:$AE$10000,MATCH(Z39,'CAMD Facility Data 2023'!$AE$2:$AE$10000,0),1),"")</f>
        <v>40138</v>
      </c>
      <c r="AB39" s="5">
        <f>IF(INDEX('CAMD Facility Data 2023'!$AC$2:$AE$10000,MATCH(Z39,'CAMD Facility Data 2023'!$AE$2:$AE$10000,0),1)&gt;0,INDEX('CAMD Facility Data 2023'!$AC$2:$AE$10000,MATCH(Z39,'CAMD Facility Data 2023'!$AE$2:$AE$10000,0),1),"")</f>
        <v>993</v>
      </c>
      <c r="AC39" s="1" t="str">
        <f>IF(INDEX('CAMD Facility Data 2023'!$AE$2:$AG$10000,MATCH(Z39,'CAMD Facility Data 2023'!$AE$2:$AE$10000,0),3)&gt;0,INDEX('CAMD Facility Data 2023'!$AE$2:$AG$10000,MATCH(Z39,'CAMD Facility Data 2023'!$AE$2:$AE$10000,0),3),"")</f>
        <v>Y</v>
      </c>
      <c r="AD39" s="20">
        <f t="shared" si="1"/>
        <v>0.12411801353224411</v>
      </c>
      <c r="AE39" s="25">
        <f t="shared" si="2"/>
        <v>9.0499211374599365E-3</v>
      </c>
    </row>
    <row r="40" spans="1:31" x14ac:dyDescent="0.2">
      <c r="A40" s="1" t="s">
        <v>165</v>
      </c>
      <c r="B40" s="1" t="s">
        <v>166</v>
      </c>
      <c r="C40" s="1">
        <v>54</v>
      </c>
      <c r="D40" s="1" t="s">
        <v>178</v>
      </c>
      <c r="F40" s="1">
        <v>2023</v>
      </c>
      <c r="G40" s="5">
        <v>240</v>
      </c>
      <c r="H40" s="5">
        <v>204.13</v>
      </c>
      <c r="I40" s="5">
        <v>18959.82</v>
      </c>
      <c r="K40" s="5">
        <v>8.2000000000000003E-2</v>
      </c>
      <c r="L40" s="5">
        <v>1.1000000000000001E-3</v>
      </c>
      <c r="M40" s="5">
        <v>15202.584000000001</v>
      </c>
      <c r="N40" s="6">
        <v>5.9200000000000003E-2</v>
      </c>
      <c r="O40" s="5">
        <v>9.5169999999999995</v>
      </c>
      <c r="P40" s="6">
        <v>8.1500000000000003E-2</v>
      </c>
      <c r="Q40" s="5">
        <v>255518.99400000001</v>
      </c>
      <c r="R40" s="1" t="s">
        <v>44</v>
      </c>
      <c r="S40" s="1" t="s">
        <v>173</v>
      </c>
      <c r="T40" s="1" t="s">
        <v>93</v>
      </c>
      <c r="V40" s="1" t="s">
        <v>95</v>
      </c>
      <c r="Y40" s="1" t="s">
        <v>168</v>
      </c>
      <c r="Z40" s="1" t="str">
        <f t="shared" si="0"/>
        <v>54 SCT2</v>
      </c>
      <c r="AA40" s="3">
        <f>IF(INDEX('CAMD Facility Data 2023'!$AA$2:$AE$10000,MATCH(Z40,'CAMD Facility Data 2023'!$AE$2:$AE$10000,0),1)&gt;0,INDEX('CAMD Facility Data 2023'!$AA$2:$AE$10000,MATCH(Z40,'CAMD Facility Data 2023'!$AE$2:$AE$10000,0),1),"")</f>
        <v>34754</v>
      </c>
      <c r="AB40" s="5">
        <f>IF(INDEX('CAMD Facility Data 2023'!$AC$2:$AE$10000,MATCH(Z40,'CAMD Facility Data 2023'!$AE$2:$AE$10000,0),1)&gt;0,INDEX('CAMD Facility Data 2023'!$AC$2:$AE$10000,MATCH(Z40,'CAMD Facility Data 2023'!$AE$2:$AE$10000,0),1),"")</f>
        <v>1800</v>
      </c>
      <c r="AC40" s="1" t="str">
        <f>IF(INDEX('CAMD Facility Data 2023'!$AE$2:$AG$10000,MATCH(Z40,'CAMD Facility Data 2023'!$AE$2:$AE$10000,0),3)&gt;0,INDEX('CAMD Facility Data 2023'!$AE$2:$AG$10000,MATCH(Z40,'CAMD Facility Data 2023'!$AE$2:$AE$10000,0),3),"")</f>
        <v/>
      </c>
      <c r="AD40" s="20">
        <f t="shared" si="1"/>
        <v>1.0039124844012233</v>
      </c>
      <c r="AE40" s="25">
        <f t="shared" si="2"/>
        <v>1.6204908295281584E-2</v>
      </c>
    </row>
    <row r="41" spans="1:31" x14ac:dyDescent="0.2">
      <c r="A41" s="1" t="s">
        <v>165</v>
      </c>
      <c r="B41" s="1" t="s">
        <v>166</v>
      </c>
      <c r="C41" s="1">
        <v>54</v>
      </c>
      <c r="D41" s="1" t="s">
        <v>180</v>
      </c>
      <c r="F41" s="1">
        <v>2023</v>
      </c>
      <c r="G41" s="5">
        <v>300</v>
      </c>
      <c r="H41" s="5">
        <v>248.22</v>
      </c>
      <c r="I41" s="5">
        <v>22998.27</v>
      </c>
      <c r="K41" s="5">
        <v>9.8000000000000004E-2</v>
      </c>
      <c r="L41" s="5">
        <v>1.1000000000000001E-3</v>
      </c>
      <c r="M41" s="5">
        <v>18401.965</v>
      </c>
      <c r="N41" s="6">
        <v>5.9200000000000003E-2</v>
      </c>
      <c r="O41" s="5">
        <v>10.191000000000001</v>
      </c>
      <c r="P41" s="6">
        <v>7.8299999999999995E-2</v>
      </c>
      <c r="Q41" s="5">
        <v>309391.46399999998</v>
      </c>
      <c r="R41" s="1" t="s">
        <v>44</v>
      </c>
      <c r="S41" s="1" t="s">
        <v>173</v>
      </c>
      <c r="T41" s="1" t="s">
        <v>93</v>
      </c>
      <c r="V41" s="1" t="s">
        <v>95</v>
      </c>
      <c r="Y41" s="1" t="s">
        <v>168</v>
      </c>
      <c r="Z41" s="1" t="str">
        <f t="shared" si="0"/>
        <v>54 SCT3</v>
      </c>
      <c r="AA41" s="3">
        <f>IF(INDEX('CAMD Facility Data 2023'!$AA$2:$AE$10000,MATCH(Z41,'CAMD Facility Data 2023'!$AE$2:$AE$10000,0),1)&gt;0,INDEX('CAMD Facility Data 2023'!$AA$2:$AE$10000,MATCH(Z41,'CAMD Facility Data 2023'!$AE$2:$AE$10000,0),1),"")</f>
        <v>34727</v>
      </c>
      <c r="AB41" s="5">
        <f>IF(INDEX('CAMD Facility Data 2023'!$AC$2:$AE$10000,MATCH(Z41,'CAMD Facility Data 2023'!$AE$2:$AE$10000,0),1)&gt;0,INDEX('CAMD Facility Data 2023'!$AC$2:$AE$10000,MATCH(Z41,'CAMD Facility Data 2023'!$AE$2:$AE$10000,0),1),"")</f>
        <v>1800</v>
      </c>
      <c r="AC41" s="1" t="str">
        <f>IF(INDEX('CAMD Facility Data 2023'!$AE$2:$AG$10000,MATCH(Z41,'CAMD Facility Data 2023'!$AE$2:$AE$10000,0),3)&gt;0,INDEX('CAMD Facility Data 2023'!$AE$2:$AG$10000,MATCH(Z41,'CAMD Facility Data 2023'!$AE$2:$AE$10000,0),3),"")</f>
        <v/>
      </c>
      <c r="AD41" s="20">
        <f t="shared" si="1"/>
        <v>0.88624057374750365</v>
      </c>
      <c r="AE41" s="25">
        <f t="shared" si="2"/>
        <v>1.9621477929984778E-2</v>
      </c>
    </row>
    <row r="42" spans="1:31" x14ac:dyDescent="0.2">
      <c r="A42" s="1" t="s">
        <v>165</v>
      </c>
      <c r="B42" s="1" t="s">
        <v>166</v>
      </c>
      <c r="C42" s="1">
        <v>54</v>
      </c>
      <c r="D42" s="1" t="s">
        <v>182</v>
      </c>
      <c r="F42" s="1">
        <v>2023</v>
      </c>
      <c r="G42" s="5">
        <v>1170</v>
      </c>
      <c r="H42" s="5">
        <v>1012.75</v>
      </c>
      <c r="I42" s="5">
        <v>55297.85</v>
      </c>
      <c r="K42" s="5">
        <v>0.23699999999999999</v>
      </c>
      <c r="L42" s="5">
        <v>1E-3</v>
      </c>
      <c r="M42" s="5">
        <v>46706.851999999999</v>
      </c>
      <c r="N42" s="6">
        <v>5.8999999999999997E-2</v>
      </c>
      <c r="O42" s="5">
        <v>11.269</v>
      </c>
      <c r="P42" s="6">
        <v>3.6400000000000002E-2</v>
      </c>
      <c r="Q42" s="5">
        <v>785846.272</v>
      </c>
      <c r="R42" s="1" t="s">
        <v>44</v>
      </c>
      <c r="S42" s="1" t="s">
        <v>173</v>
      </c>
      <c r="T42" s="1" t="s">
        <v>93</v>
      </c>
      <c r="V42" s="1" t="s">
        <v>183</v>
      </c>
      <c r="Y42" s="1" t="s">
        <v>168</v>
      </c>
      <c r="Z42" s="1" t="str">
        <f t="shared" si="0"/>
        <v>54 SCT4</v>
      </c>
      <c r="AA42" s="3">
        <f>IF(INDEX('CAMD Facility Data 2023'!$AA$2:$AE$10000,MATCH(Z42,'CAMD Facility Data 2023'!$AE$2:$AE$10000,0),1)&gt;0,INDEX('CAMD Facility Data 2023'!$AA$2:$AE$10000,MATCH(Z42,'CAMD Facility Data 2023'!$AE$2:$AE$10000,0),1),"")</f>
        <v>37210</v>
      </c>
      <c r="AB42" s="5">
        <f>IF(INDEX('CAMD Facility Data 2023'!$AC$2:$AE$10000,MATCH(Z42,'CAMD Facility Data 2023'!$AE$2:$AE$10000,0),1)&gt;0,INDEX('CAMD Facility Data 2023'!$AC$2:$AE$10000,MATCH(Z42,'CAMD Facility Data 2023'!$AE$2:$AE$10000,0),1),"")</f>
        <v>1300</v>
      </c>
      <c r="AC42" s="1" t="str">
        <f>IF(INDEX('CAMD Facility Data 2023'!$AE$2:$AG$10000,MATCH(Z42,'CAMD Facility Data 2023'!$AE$2:$AE$10000,0),3)&gt;0,INDEX('CAMD Facility Data 2023'!$AE$2:$AG$10000,MATCH(Z42,'CAMD Facility Data 2023'!$AE$2:$AE$10000,0),3),"")</f>
        <v/>
      </c>
      <c r="AD42" s="20">
        <f t="shared" si="1"/>
        <v>0.40757461637296932</v>
      </c>
      <c r="AE42" s="25">
        <f t="shared" si="2"/>
        <v>6.9006521952932914E-2</v>
      </c>
    </row>
    <row r="43" spans="1:31" x14ac:dyDescent="0.2">
      <c r="A43" s="1" t="s">
        <v>165</v>
      </c>
      <c r="B43" s="1" t="s">
        <v>166</v>
      </c>
      <c r="C43" s="1">
        <v>54</v>
      </c>
      <c r="D43" s="1" t="s">
        <v>185</v>
      </c>
      <c r="F43" s="1">
        <v>2023</v>
      </c>
      <c r="G43" s="5">
        <v>1139</v>
      </c>
      <c r="H43" s="5">
        <v>990.35</v>
      </c>
      <c r="I43" s="5">
        <v>53539.85</v>
      </c>
      <c r="K43" s="5">
        <v>0.221</v>
      </c>
      <c r="L43" s="5">
        <v>1E-3</v>
      </c>
      <c r="M43" s="5">
        <v>43217.633999999998</v>
      </c>
      <c r="N43" s="6">
        <v>5.91E-2</v>
      </c>
      <c r="O43" s="5">
        <v>10.441000000000001</v>
      </c>
      <c r="P43" s="6">
        <v>3.5999999999999997E-2</v>
      </c>
      <c r="Q43" s="5">
        <v>727128.31299999997</v>
      </c>
      <c r="R43" s="1" t="s">
        <v>44</v>
      </c>
      <c r="S43" s="1" t="s">
        <v>173</v>
      </c>
      <c r="T43" s="1" t="s">
        <v>93</v>
      </c>
      <c r="V43" s="1" t="s">
        <v>183</v>
      </c>
      <c r="Y43" s="1" t="s">
        <v>168</v>
      </c>
      <c r="Z43" s="1" t="str">
        <f t="shared" si="0"/>
        <v>54 SCT5</v>
      </c>
      <c r="AA43" s="3">
        <f>IF(INDEX('CAMD Facility Data 2023'!$AA$2:$AE$10000,MATCH(Z43,'CAMD Facility Data 2023'!$AE$2:$AE$10000,0),1)&gt;0,INDEX('CAMD Facility Data 2023'!$AA$2:$AE$10000,MATCH(Z43,'CAMD Facility Data 2023'!$AE$2:$AE$10000,0),1),"")</f>
        <v>37210</v>
      </c>
      <c r="AB43" s="5">
        <f>IF(INDEX('CAMD Facility Data 2023'!$AC$2:$AE$10000,MATCH(Z43,'CAMD Facility Data 2023'!$AE$2:$AE$10000,0),1)&gt;0,INDEX('CAMD Facility Data 2023'!$AC$2:$AE$10000,MATCH(Z43,'CAMD Facility Data 2023'!$AE$2:$AE$10000,0),1),"")</f>
        <v>1300</v>
      </c>
      <c r="AC43" s="1" t="str">
        <f>IF(INDEX('CAMD Facility Data 2023'!$AE$2:$AG$10000,MATCH(Z43,'CAMD Facility Data 2023'!$AE$2:$AE$10000,0),3)&gt;0,INDEX('CAMD Facility Data 2023'!$AE$2:$AG$10000,MATCH(Z43,'CAMD Facility Data 2023'!$AE$2:$AE$10000,0),3),"")</f>
        <v/>
      </c>
      <c r="AD43" s="20">
        <f t="shared" si="1"/>
        <v>0.39002724139122541</v>
      </c>
      <c r="AE43" s="25">
        <f t="shared" si="2"/>
        <v>6.3850396294344927E-2</v>
      </c>
    </row>
    <row r="44" spans="1:31" x14ac:dyDescent="0.2">
      <c r="A44" s="1" t="s">
        <v>165</v>
      </c>
      <c r="B44" s="1" t="s">
        <v>166</v>
      </c>
      <c r="C44" s="1">
        <v>54</v>
      </c>
      <c r="D44" s="1" t="s">
        <v>187</v>
      </c>
      <c r="F44" s="1">
        <v>2023</v>
      </c>
      <c r="G44" s="5">
        <v>989</v>
      </c>
      <c r="H44" s="5">
        <v>866.61</v>
      </c>
      <c r="I44" s="5">
        <v>47195.34</v>
      </c>
      <c r="K44" s="5">
        <v>0.19800000000000001</v>
      </c>
      <c r="L44" s="5">
        <v>1E-3</v>
      </c>
      <c r="M44" s="5">
        <v>38202.567999999999</v>
      </c>
      <c r="N44" s="6">
        <v>5.91E-2</v>
      </c>
      <c r="O44" s="5">
        <v>10.313000000000001</v>
      </c>
      <c r="P44" s="6">
        <v>4.0300000000000002E-2</v>
      </c>
      <c r="Q44" s="5">
        <v>642543.11100000003</v>
      </c>
      <c r="R44" s="1" t="s">
        <v>44</v>
      </c>
      <c r="S44" s="1" t="s">
        <v>173</v>
      </c>
      <c r="T44" s="1" t="s">
        <v>93</v>
      </c>
      <c r="V44" s="1" t="s">
        <v>183</v>
      </c>
      <c r="Y44" s="1" t="s">
        <v>168</v>
      </c>
      <c r="Z44" s="1" t="str">
        <f t="shared" si="0"/>
        <v>54 SCT6</v>
      </c>
      <c r="AA44" s="3">
        <f>IF(INDEX('CAMD Facility Data 2023'!$AA$2:$AE$10000,MATCH(Z44,'CAMD Facility Data 2023'!$AE$2:$AE$10000,0),1)&gt;0,INDEX('CAMD Facility Data 2023'!$AA$2:$AE$10000,MATCH(Z44,'CAMD Facility Data 2023'!$AE$2:$AE$10000,0),1),"")</f>
        <v>38364</v>
      </c>
      <c r="AB44" s="5">
        <f>IF(INDEX('CAMD Facility Data 2023'!$AC$2:$AE$10000,MATCH(Z44,'CAMD Facility Data 2023'!$AE$2:$AE$10000,0),1)&gt;0,INDEX('CAMD Facility Data 2023'!$AC$2:$AE$10000,MATCH(Z44,'CAMD Facility Data 2023'!$AE$2:$AE$10000,0),1),"")</f>
        <v>1300</v>
      </c>
      <c r="AC44" s="1" t="str">
        <f>IF(INDEX('CAMD Facility Data 2023'!$AE$2:$AG$10000,MATCH(Z44,'CAMD Facility Data 2023'!$AE$2:$AE$10000,0),3)&gt;0,INDEX('CAMD Facility Data 2023'!$AE$2:$AG$10000,MATCH(Z44,'CAMD Facility Data 2023'!$AE$2:$AE$10000,0),3),"")</f>
        <v/>
      </c>
      <c r="AD44" s="20">
        <f t="shared" si="1"/>
        <v>0.43703467333851187</v>
      </c>
      <c r="AE44" s="25">
        <f t="shared" si="2"/>
        <v>5.6422823234984196E-2</v>
      </c>
    </row>
    <row r="45" spans="1:31" x14ac:dyDescent="0.2">
      <c r="A45" s="1" t="s">
        <v>165</v>
      </c>
      <c r="B45" s="1" t="s">
        <v>166</v>
      </c>
      <c r="C45" s="1">
        <v>54</v>
      </c>
      <c r="D45" s="1" t="s">
        <v>189</v>
      </c>
      <c r="F45" s="1">
        <v>2023</v>
      </c>
      <c r="G45" s="5">
        <v>1063</v>
      </c>
      <c r="H45" s="5">
        <v>922.6</v>
      </c>
      <c r="I45" s="5">
        <v>50094.62</v>
      </c>
      <c r="K45" s="5">
        <v>0.21199999999999999</v>
      </c>
      <c r="L45" s="5">
        <v>1E-3</v>
      </c>
      <c r="M45" s="5">
        <v>40877.644999999997</v>
      </c>
      <c r="N45" s="6">
        <v>5.91E-2</v>
      </c>
      <c r="O45" s="5">
        <v>10.93</v>
      </c>
      <c r="P45" s="6">
        <v>0.04</v>
      </c>
      <c r="Q45" s="5">
        <v>687586.37199999997</v>
      </c>
      <c r="R45" s="1" t="s">
        <v>44</v>
      </c>
      <c r="S45" s="1" t="s">
        <v>173</v>
      </c>
      <c r="T45" s="1" t="s">
        <v>93</v>
      </c>
      <c r="V45" s="1" t="s">
        <v>183</v>
      </c>
      <c r="Y45" s="1" t="s">
        <v>168</v>
      </c>
      <c r="Z45" s="1" t="str">
        <f t="shared" si="0"/>
        <v>54 SCT7</v>
      </c>
      <c r="AA45" s="3">
        <f>IF(INDEX('CAMD Facility Data 2023'!$AA$2:$AE$10000,MATCH(Z45,'CAMD Facility Data 2023'!$AE$2:$AE$10000,0),1)&gt;0,INDEX('CAMD Facility Data 2023'!$AA$2:$AE$10000,MATCH(Z45,'CAMD Facility Data 2023'!$AE$2:$AE$10000,0),1),"")</f>
        <v>38364</v>
      </c>
      <c r="AB45" s="5">
        <f>IF(INDEX('CAMD Facility Data 2023'!$AC$2:$AE$10000,MATCH(Z45,'CAMD Facility Data 2023'!$AE$2:$AE$10000,0),1)&gt;0,INDEX('CAMD Facility Data 2023'!$AC$2:$AE$10000,MATCH(Z45,'CAMD Facility Data 2023'!$AE$2:$AE$10000,0),1),"")</f>
        <v>1300</v>
      </c>
      <c r="AC45" s="1" t="str">
        <f>IF(INDEX('CAMD Facility Data 2023'!$AE$2:$AG$10000,MATCH(Z45,'CAMD Facility Data 2023'!$AE$2:$AE$10000,0),3)&gt;0,INDEX('CAMD Facility Data 2023'!$AE$2:$AG$10000,MATCH(Z45,'CAMD Facility Data 2023'!$AE$2:$AE$10000,0),3),"")</f>
        <v/>
      </c>
      <c r="AD45" s="20">
        <f t="shared" si="1"/>
        <v>0.43637420545359956</v>
      </c>
      <c r="AE45" s="25">
        <f t="shared" si="2"/>
        <v>6.0378149982437651E-2</v>
      </c>
    </row>
    <row r="46" spans="1:31" x14ac:dyDescent="0.2">
      <c r="A46" s="1" t="s">
        <v>165</v>
      </c>
      <c r="B46" s="1" t="s">
        <v>166</v>
      </c>
      <c r="C46" s="1">
        <v>54</v>
      </c>
      <c r="D46" s="1" t="s">
        <v>191</v>
      </c>
      <c r="F46" s="1">
        <v>2023</v>
      </c>
      <c r="G46" s="5">
        <v>1858</v>
      </c>
      <c r="H46" s="5">
        <v>1629.75</v>
      </c>
      <c r="I46" s="5">
        <v>116134.49</v>
      </c>
      <c r="K46" s="5">
        <v>0.32100000000000001</v>
      </c>
      <c r="L46" s="5">
        <v>1E-3</v>
      </c>
      <c r="M46" s="5">
        <v>63641.773999999998</v>
      </c>
      <c r="N46" s="6">
        <v>5.91E-2</v>
      </c>
      <c r="O46" s="5">
        <v>6.6420000000000003</v>
      </c>
      <c r="P46" s="6">
        <v>1.52E-2</v>
      </c>
      <c r="Q46" s="5">
        <v>1070897.6370000001</v>
      </c>
      <c r="R46" s="1" t="s">
        <v>44</v>
      </c>
      <c r="T46" s="1" t="s">
        <v>93</v>
      </c>
      <c r="V46" s="1" t="s">
        <v>176</v>
      </c>
      <c r="Y46" s="1" t="s">
        <v>168</v>
      </c>
      <c r="Z46" s="1" t="str">
        <f t="shared" si="0"/>
        <v>54 SCT9</v>
      </c>
      <c r="AA46" s="3">
        <f>IF(INDEX('CAMD Facility Data 2023'!$AA$2:$AE$10000,MATCH(Z46,'CAMD Facility Data 2023'!$AE$2:$AE$10000,0),1)&gt;0,INDEX('CAMD Facility Data 2023'!$AA$2:$AE$10000,MATCH(Z46,'CAMD Facility Data 2023'!$AE$2:$AE$10000,0),1),"")</f>
        <v>40131</v>
      </c>
      <c r="AB46" s="5">
        <f>IF(INDEX('CAMD Facility Data 2023'!$AC$2:$AE$10000,MATCH(Z46,'CAMD Facility Data 2023'!$AE$2:$AE$10000,0),1)&gt;0,INDEX('CAMD Facility Data 2023'!$AC$2:$AE$10000,MATCH(Z46,'CAMD Facility Data 2023'!$AE$2:$AE$10000,0),1),"")</f>
        <v>993</v>
      </c>
      <c r="AC46" s="1" t="str">
        <f>IF(INDEX('CAMD Facility Data 2023'!$AE$2:$AG$10000,MATCH(Z46,'CAMD Facility Data 2023'!$AE$2:$AE$10000,0),3)&gt;0,INDEX('CAMD Facility Data 2023'!$AE$2:$AG$10000,MATCH(Z46,'CAMD Facility Data 2023'!$AE$2:$AE$10000,0),3),"")</f>
        <v>Y</v>
      </c>
      <c r="AD46" s="20">
        <f t="shared" si="1"/>
        <v>0.11438462424039576</v>
      </c>
      <c r="AE46" s="25">
        <f t="shared" si="2"/>
        <v>0.12311036122722069</v>
      </c>
    </row>
    <row r="47" spans="1:31" x14ac:dyDescent="0.2">
      <c r="A47" s="1" t="s">
        <v>32</v>
      </c>
      <c r="B47" s="1" t="s">
        <v>193</v>
      </c>
      <c r="C47" s="1">
        <v>56</v>
      </c>
      <c r="D47" s="1" t="s">
        <v>194</v>
      </c>
      <c r="F47" s="1">
        <v>2023</v>
      </c>
      <c r="G47" s="5">
        <v>2888</v>
      </c>
      <c r="H47" s="5">
        <v>2878.09</v>
      </c>
      <c r="I47" s="5">
        <v>1753729.47</v>
      </c>
      <c r="K47" s="5">
        <v>3.2610000000000001</v>
      </c>
      <c r="L47" s="5">
        <v>1E-3</v>
      </c>
      <c r="M47" s="5">
        <v>646064.63600000006</v>
      </c>
      <c r="N47" s="6">
        <v>5.8999999999999997E-2</v>
      </c>
      <c r="O47" s="5">
        <v>86.62</v>
      </c>
      <c r="P47" s="6">
        <v>1.7299999999999999E-2</v>
      </c>
      <c r="Q47" s="5">
        <v>10871305.051999999</v>
      </c>
      <c r="R47" s="1" t="s">
        <v>44</v>
      </c>
      <c r="T47" s="1" t="s">
        <v>199</v>
      </c>
      <c r="V47" s="1" t="s">
        <v>200</v>
      </c>
      <c r="Y47" s="1" t="s">
        <v>195</v>
      </c>
      <c r="Z47" s="1" t="str">
        <f t="shared" si="0"/>
        <v>56 CC1</v>
      </c>
      <c r="AA47" s="3">
        <f>IF(INDEX('CAMD Facility Data 2023'!$AA$2:$AE$10000,MATCH(Z47,'CAMD Facility Data 2023'!$AE$2:$AE$10000,0),1)&gt;0,INDEX('CAMD Facility Data 2023'!$AA$2:$AE$10000,MATCH(Z47,'CAMD Facility Data 2023'!$AE$2:$AE$10000,0),1),"")</f>
        <v>44976</v>
      </c>
      <c r="AB47" s="5">
        <f>IF(INDEX('CAMD Facility Data 2023'!$AC$2:$AE$10000,MATCH(Z47,'CAMD Facility Data 2023'!$AE$2:$AE$10000,0),1)&gt;0,INDEX('CAMD Facility Data 2023'!$AC$2:$AE$10000,MATCH(Z47,'CAMD Facility Data 2023'!$AE$2:$AE$10000,0),1),"")</f>
        <v>4500</v>
      </c>
      <c r="AC47" s="1" t="str">
        <f>IF(INDEX('CAMD Facility Data 2023'!$AE$2:$AG$10000,MATCH(Z47,'CAMD Facility Data 2023'!$AE$2:$AE$10000,0),3)&gt;0,INDEX('CAMD Facility Data 2023'!$AE$2:$AG$10000,MATCH(Z47,'CAMD Facility Data 2023'!$AE$2:$AE$10000,0),3),"")</f>
        <v>Y</v>
      </c>
      <c r="AD47" s="20">
        <f t="shared" si="1"/>
        <v>9.8783765092343462E-2</v>
      </c>
      <c r="AE47" s="25">
        <f t="shared" si="2"/>
        <v>0.27578145743277521</v>
      </c>
    </row>
    <row r="48" spans="1:31" x14ac:dyDescent="0.2">
      <c r="A48" s="1" t="s">
        <v>203</v>
      </c>
      <c r="B48" s="1" t="s">
        <v>204</v>
      </c>
      <c r="C48" s="1">
        <v>59</v>
      </c>
      <c r="D48" s="1">
        <v>1</v>
      </c>
      <c r="F48" s="1">
        <v>2023</v>
      </c>
      <c r="G48" s="5">
        <v>5608</v>
      </c>
      <c r="H48" s="5">
        <v>5583.98</v>
      </c>
      <c r="I48" s="5">
        <v>405362.95</v>
      </c>
      <c r="K48" s="5">
        <v>353.45699999999999</v>
      </c>
      <c r="L48" s="5">
        <v>0.15090000000000001</v>
      </c>
      <c r="M48" s="5">
        <v>487057.49599999998</v>
      </c>
      <c r="N48" s="6">
        <v>0.105</v>
      </c>
      <c r="O48" s="5">
        <v>399.18900000000002</v>
      </c>
      <c r="P48" s="6">
        <v>0.17069999999999999</v>
      </c>
      <c r="Q48" s="5">
        <v>4643955.6270000003</v>
      </c>
      <c r="R48" s="1" t="s">
        <v>55</v>
      </c>
      <c r="S48" s="1" t="s">
        <v>94</v>
      </c>
      <c r="T48" s="1" t="s">
        <v>43</v>
      </c>
      <c r="U48" s="1" t="s">
        <v>212</v>
      </c>
      <c r="V48" s="1" t="s">
        <v>213</v>
      </c>
      <c r="W48" s="1" t="s">
        <v>123</v>
      </c>
      <c r="X48" s="1" t="s">
        <v>214</v>
      </c>
      <c r="Y48" s="1" t="s">
        <v>205</v>
      </c>
      <c r="Z48" s="1" t="str">
        <f t="shared" si="0"/>
        <v>59 1</v>
      </c>
      <c r="AA48" s="3">
        <f>IF(INDEX('CAMD Facility Data 2023'!$AA$2:$AE$10000,MATCH(Z48,'CAMD Facility Data 2023'!$AE$2:$AE$10000,0),1)&gt;0,INDEX('CAMD Facility Data 2023'!$AA$2:$AE$10000,MATCH(Z48,'CAMD Facility Data 2023'!$AE$2:$AE$10000,0),1),"")</f>
        <v>30164</v>
      </c>
      <c r="AB48" s="5">
        <f>IF(INDEX('CAMD Facility Data 2023'!$AC$2:$AE$10000,MATCH(Z48,'CAMD Facility Data 2023'!$AE$2:$AE$10000,0),1)&gt;0,INDEX('CAMD Facility Data 2023'!$AC$2:$AE$10000,MATCH(Z48,'CAMD Facility Data 2023'!$AE$2:$AE$10000,0),1),"")</f>
        <v>1500</v>
      </c>
      <c r="AC48" s="1" t="str">
        <f>IF(INDEX('CAMD Facility Data 2023'!$AE$2:$AG$10000,MATCH(Z48,'CAMD Facility Data 2023'!$AE$2:$AE$10000,0),3)&gt;0,INDEX('CAMD Facility Data 2023'!$AE$2:$AG$10000,MATCH(Z48,'CAMD Facility Data 2023'!$AE$2:$AE$10000,0),3),"")</f>
        <v/>
      </c>
      <c r="AD48" s="20">
        <f t="shared" si="1"/>
        <v>1.9695386566532536</v>
      </c>
      <c r="AE48" s="25">
        <f t="shared" si="2"/>
        <v>0.35342128059360733</v>
      </c>
    </row>
    <row r="49" spans="1:31" x14ac:dyDescent="0.2">
      <c r="A49" s="1" t="s">
        <v>203</v>
      </c>
      <c r="B49" s="1" t="s">
        <v>216</v>
      </c>
      <c r="C49" s="1">
        <v>60</v>
      </c>
      <c r="D49" s="1">
        <v>1</v>
      </c>
      <c r="F49" s="1">
        <v>2023</v>
      </c>
      <c r="G49" s="5">
        <v>6424</v>
      </c>
      <c r="H49" s="5">
        <v>6420.93</v>
      </c>
      <c r="I49" s="5">
        <v>393704.68</v>
      </c>
      <c r="K49" s="5">
        <v>1652.8979999999999</v>
      </c>
      <c r="L49" s="5">
        <v>0.82150000000000001</v>
      </c>
      <c r="M49" s="5">
        <v>419728.26899999997</v>
      </c>
      <c r="N49" s="6">
        <v>0.105</v>
      </c>
      <c r="O49" s="5">
        <v>388.048</v>
      </c>
      <c r="P49" s="6">
        <v>0.1923</v>
      </c>
      <c r="Q49" s="5">
        <v>4002005.8160000001</v>
      </c>
      <c r="R49" s="1" t="s">
        <v>55</v>
      </c>
      <c r="T49" s="1" t="s">
        <v>43</v>
      </c>
      <c r="V49" s="1" t="s">
        <v>220</v>
      </c>
      <c r="W49" s="1" t="s">
        <v>58</v>
      </c>
      <c r="Y49" s="1" t="s">
        <v>205</v>
      </c>
      <c r="Z49" s="1" t="str">
        <f t="shared" si="0"/>
        <v>60 1</v>
      </c>
      <c r="AA49" s="3">
        <f>IF(INDEX('CAMD Facility Data 2023'!$AA$2:$AE$10000,MATCH(Z49,'CAMD Facility Data 2023'!$AE$2:$AE$10000,0),1)&gt;0,INDEX('CAMD Facility Data 2023'!$AA$2:$AE$10000,MATCH(Z49,'CAMD Facility Data 2023'!$AE$2:$AE$10000,0),1),"")</f>
        <v>29768</v>
      </c>
      <c r="AB49" s="5">
        <f>IF(INDEX('CAMD Facility Data 2023'!$AC$2:$AE$10000,MATCH(Z49,'CAMD Facility Data 2023'!$AE$2:$AE$10000,0),1)&gt;0,INDEX('CAMD Facility Data 2023'!$AC$2:$AE$10000,MATCH(Z49,'CAMD Facility Data 2023'!$AE$2:$AE$10000,0),1),"")</f>
        <v>835</v>
      </c>
      <c r="AC49" s="1" t="str">
        <f>IF(INDEX('CAMD Facility Data 2023'!$AE$2:$AG$10000,MATCH(Z49,'CAMD Facility Data 2023'!$AE$2:$AE$10000,0),3)&gt;0,INDEX('CAMD Facility Data 2023'!$AE$2:$AG$10000,MATCH(Z49,'CAMD Facility Data 2023'!$AE$2:$AE$10000,0),3),"")</f>
        <v/>
      </c>
      <c r="AD49" s="20">
        <f t="shared" si="1"/>
        <v>1.9712643497151214</v>
      </c>
      <c r="AE49" s="25">
        <f t="shared" si="2"/>
        <v>0.54712572334782494</v>
      </c>
    </row>
    <row r="50" spans="1:31" x14ac:dyDescent="0.2">
      <c r="A50" s="1" t="s">
        <v>203</v>
      </c>
      <c r="B50" s="1" t="s">
        <v>216</v>
      </c>
      <c r="C50" s="1">
        <v>60</v>
      </c>
      <c r="D50" s="1">
        <v>2</v>
      </c>
      <c r="F50" s="1">
        <v>2023</v>
      </c>
      <c r="G50" s="5">
        <v>4453</v>
      </c>
      <c r="H50" s="5">
        <v>4440.7700000000004</v>
      </c>
      <c r="I50" s="5">
        <v>830576.61</v>
      </c>
      <c r="K50" s="5">
        <v>472.99299999999999</v>
      </c>
      <c r="L50" s="5">
        <v>0.23599999999999999</v>
      </c>
      <c r="M50" s="5">
        <v>780773.91899999999</v>
      </c>
      <c r="N50" s="6">
        <v>0.105</v>
      </c>
      <c r="O50" s="5">
        <v>579.54700000000003</v>
      </c>
      <c r="P50" s="6">
        <v>0.15129999999999999</v>
      </c>
      <c r="Q50" s="5">
        <v>7444451.1749999998</v>
      </c>
      <c r="R50" s="1" t="s">
        <v>55</v>
      </c>
      <c r="T50" s="1" t="s">
        <v>89</v>
      </c>
      <c r="U50" s="1" t="s">
        <v>212</v>
      </c>
      <c r="V50" s="1" t="s">
        <v>223</v>
      </c>
      <c r="Y50" s="1" t="s">
        <v>205</v>
      </c>
      <c r="Z50" s="1" t="str">
        <f t="shared" si="0"/>
        <v>60 2</v>
      </c>
      <c r="AA50" s="3">
        <f>IF(INDEX('CAMD Facility Data 2023'!$AA$2:$AE$10000,MATCH(Z50,'CAMD Facility Data 2023'!$AE$2:$AE$10000,0),1)&gt;0,INDEX('CAMD Facility Data 2023'!$AA$2:$AE$10000,MATCH(Z50,'CAMD Facility Data 2023'!$AE$2:$AE$10000,0),1),"")</f>
        <v>40477</v>
      </c>
      <c r="AB50" s="5">
        <f>IF(INDEX('CAMD Facility Data 2023'!$AC$2:$AE$10000,MATCH(Z50,'CAMD Facility Data 2023'!$AE$2:$AE$10000,0),1)&gt;0,INDEX('CAMD Facility Data 2023'!$AC$2:$AE$10000,MATCH(Z50,'CAMD Facility Data 2023'!$AE$2:$AE$10000,0),1),"")</f>
        <v>2210.5</v>
      </c>
      <c r="AC50" s="1" t="str">
        <f>IF(INDEX('CAMD Facility Data 2023'!$AE$2:$AG$10000,MATCH(Z50,'CAMD Facility Data 2023'!$AE$2:$AE$10000,0),3)&gt;0,INDEX('CAMD Facility Data 2023'!$AE$2:$AG$10000,MATCH(Z50,'CAMD Facility Data 2023'!$AE$2:$AE$10000,0),3),"")</f>
        <v>Y</v>
      </c>
      <c r="AD50" s="20">
        <f t="shared" si="1"/>
        <v>1.3955293058397107</v>
      </c>
      <c r="AE50" s="25">
        <f t="shared" si="2"/>
        <v>0.38444840239454903</v>
      </c>
    </row>
    <row r="51" spans="1:31" x14ac:dyDescent="0.2">
      <c r="A51" s="1" t="s">
        <v>225</v>
      </c>
      <c r="B51" s="1" t="s">
        <v>226</v>
      </c>
      <c r="C51" s="1">
        <v>108</v>
      </c>
      <c r="D51" s="1" t="s">
        <v>227</v>
      </c>
      <c r="F51" s="1">
        <v>2023</v>
      </c>
      <c r="G51" s="5">
        <v>8104</v>
      </c>
      <c r="H51" s="5">
        <v>8095.77</v>
      </c>
      <c r="I51" s="5">
        <v>1747062.29</v>
      </c>
      <c r="K51" s="5">
        <v>1166.489</v>
      </c>
      <c r="L51" s="5">
        <v>0.14219999999999999</v>
      </c>
      <c r="M51" s="5">
        <v>1773082.2290000001</v>
      </c>
      <c r="N51" s="6">
        <v>0.105</v>
      </c>
      <c r="O51" s="5">
        <v>1629.74</v>
      </c>
      <c r="P51" s="6">
        <v>0.1817</v>
      </c>
      <c r="Q51" s="5">
        <v>16905792.226</v>
      </c>
      <c r="R51" s="1" t="s">
        <v>55</v>
      </c>
      <c r="T51" s="1" t="s">
        <v>89</v>
      </c>
      <c r="U51" s="1" t="s">
        <v>212</v>
      </c>
      <c r="V51" s="1" t="s">
        <v>90</v>
      </c>
      <c r="W51" s="1" t="s">
        <v>232</v>
      </c>
      <c r="Y51" s="1" t="s">
        <v>54</v>
      </c>
      <c r="Z51" s="1" t="str">
        <f t="shared" si="0"/>
        <v>108 SGU1</v>
      </c>
      <c r="AA51" s="3">
        <f>IF(INDEX('CAMD Facility Data 2023'!$AA$2:$AE$10000,MATCH(Z51,'CAMD Facility Data 2023'!$AE$2:$AE$10000,0),1)&gt;0,INDEX('CAMD Facility Data 2023'!$AA$2:$AE$10000,MATCH(Z51,'CAMD Facility Data 2023'!$AE$2:$AE$10000,0),1),"")</f>
        <v>30529</v>
      </c>
      <c r="AB51" s="5">
        <f>IF(INDEX('CAMD Facility Data 2023'!$AC$2:$AE$10000,MATCH(Z51,'CAMD Facility Data 2023'!$AE$2:$AE$10000,0),1)&gt;0,INDEX('CAMD Facility Data 2023'!$AC$2:$AE$10000,MATCH(Z51,'CAMD Facility Data 2023'!$AE$2:$AE$10000,0),1),"")</f>
        <v>4320</v>
      </c>
      <c r="AC51" s="1" t="str">
        <f>IF(INDEX('CAMD Facility Data 2023'!$AE$2:$AG$10000,MATCH(Z51,'CAMD Facility Data 2023'!$AE$2:$AE$10000,0),3)&gt;0,INDEX('CAMD Facility Data 2023'!$AE$2:$AG$10000,MATCH(Z51,'CAMD Facility Data 2023'!$AE$2:$AE$10000,0),3),"")</f>
        <v/>
      </c>
      <c r="AD51" s="20">
        <f t="shared" si="1"/>
        <v>1.8656919210361984</v>
      </c>
      <c r="AE51" s="25">
        <f t="shared" si="2"/>
        <v>0.44673262900600369</v>
      </c>
    </row>
    <row r="52" spans="1:31" x14ac:dyDescent="0.2">
      <c r="A52" s="1" t="s">
        <v>234</v>
      </c>
      <c r="B52" s="1" t="s">
        <v>235</v>
      </c>
      <c r="C52" s="1">
        <v>113</v>
      </c>
      <c r="D52" s="1">
        <v>1</v>
      </c>
      <c r="F52" s="1">
        <v>2023</v>
      </c>
      <c r="G52" s="5">
        <v>6551</v>
      </c>
      <c r="H52" s="5">
        <v>6540.1</v>
      </c>
      <c r="I52" s="5">
        <v>607052.26</v>
      </c>
      <c r="K52" s="5">
        <v>303.13499999999999</v>
      </c>
      <c r="L52" s="5">
        <v>8.5000000000000006E-2</v>
      </c>
      <c r="M52" s="5">
        <v>699427.90899999999</v>
      </c>
      <c r="N52" s="6">
        <v>0.10299999999999999</v>
      </c>
      <c r="O52" s="5">
        <v>598.54999999999995</v>
      </c>
      <c r="P52" s="6">
        <v>0.17219999999999999</v>
      </c>
      <c r="Q52" s="5">
        <v>6817091.3360000001</v>
      </c>
      <c r="R52" s="1" t="s">
        <v>55</v>
      </c>
      <c r="T52" s="1" t="s">
        <v>43</v>
      </c>
      <c r="U52" s="1" t="s">
        <v>241</v>
      </c>
      <c r="V52" s="1" t="s">
        <v>242</v>
      </c>
      <c r="W52" s="1" t="s">
        <v>232</v>
      </c>
      <c r="Y52" s="1" t="s">
        <v>236</v>
      </c>
      <c r="Z52" s="1" t="str">
        <f t="shared" si="0"/>
        <v>113 1</v>
      </c>
      <c r="AA52" s="3">
        <f>IF(INDEX('CAMD Facility Data 2023'!$AA$2:$AE$10000,MATCH(Z52,'CAMD Facility Data 2023'!$AE$2:$AE$10000,0),1)&gt;0,INDEX('CAMD Facility Data 2023'!$AA$2:$AE$10000,MATCH(Z52,'CAMD Facility Data 2023'!$AE$2:$AE$10000,0),1),"")</f>
        <v>22767</v>
      </c>
      <c r="AB52" s="5">
        <f>IF(INDEX('CAMD Facility Data 2023'!$AC$2:$AE$10000,MATCH(Z52,'CAMD Facility Data 2023'!$AE$2:$AE$10000,0),1)&gt;0,INDEX('CAMD Facility Data 2023'!$AC$2:$AE$10000,MATCH(Z52,'CAMD Facility Data 2023'!$AE$2:$AE$10000,0),1),"")</f>
        <v>1516</v>
      </c>
      <c r="AC52" s="1" t="str">
        <f>IF(INDEX('CAMD Facility Data 2023'!$AE$2:$AG$10000,MATCH(Z52,'CAMD Facility Data 2023'!$AE$2:$AE$10000,0),3)&gt;0,INDEX('CAMD Facility Data 2023'!$AE$2:$AG$10000,MATCH(Z52,'CAMD Facility Data 2023'!$AE$2:$AE$10000,0),3),"")</f>
        <v/>
      </c>
      <c r="AD52" s="20">
        <f t="shared" si="1"/>
        <v>1.9719883754324545</v>
      </c>
      <c r="AE52" s="25">
        <f t="shared" si="2"/>
        <v>0.51332900627703282</v>
      </c>
    </row>
    <row r="53" spans="1:31" x14ac:dyDescent="0.2">
      <c r="A53" s="1" t="s">
        <v>234</v>
      </c>
      <c r="B53" s="1" t="s">
        <v>235</v>
      </c>
      <c r="C53" s="1">
        <v>113</v>
      </c>
      <c r="D53" s="1">
        <v>3</v>
      </c>
      <c r="F53" s="1">
        <v>2023</v>
      </c>
      <c r="G53" s="5">
        <v>5547</v>
      </c>
      <c r="H53" s="5">
        <v>5521.2</v>
      </c>
      <c r="I53" s="5">
        <v>1380298.05</v>
      </c>
      <c r="K53" s="5">
        <v>615.37800000000004</v>
      </c>
      <c r="L53" s="5">
        <v>7.7799999999999994E-2</v>
      </c>
      <c r="M53" s="5">
        <v>1572836.666</v>
      </c>
      <c r="N53" s="6">
        <v>0.10290000000000001</v>
      </c>
      <c r="O53" s="5">
        <v>1383.704</v>
      </c>
      <c r="P53" s="6">
        <v>0.1802</v>
      </c>
      <c r="Q53" s="5">
        <v>15329795.662</v>
      </c>
      <c r="R53" s="1" t="s">
        <v>55</v>
      </c>
      <c r="T53" s="1" t="s">
        <v>43</v>
      </c>
      <c r="U53" s="1" t="s">
        <v>241</v>
      </c>
      <c r="V53" s="1" t="s">
        <v>213</v>
      </c>
      <c r="W53" s="1" t="s">
        <v>232</v>
      </c>
      <c r="Y53" s="1" t="s">
        <v>236</v>
      </c>
      <c r="Z53" s="1" t="str">
        <f t="shared" si="0"/>
        <v>113 3</v>
      </c>
      <c r="AA53" s="3">
        <f>IF(INDEX('CAMD Facility Data 2023'!$AA$2:$AE$10000,MATCH(Z53,'CAMD Facility Data 2023'!$AE$2:$AE$10000,0),1)&gt;0,INDEX('CAMD Facility Data 2023'!$AA$2:$AE$10000,MATCH(Z53,'CAMD Facility Data 2023'!$AE$2:$AE$10000,0),1),"")</f>
        <v>29356</v>
      </c>
      <c r="AB53" s="5">
        <f>IF(INDEX('CAMD Facility Data 2023'!$AC$2:$AE$10000,MATCH(Z53,'CAMD Facility Data 2023'!$AE$2:$AE$10000,0),1)&gt;0,INDEX('CAMD Facility Data 2023'!$AC$2:$AE$10000,MATCH(Z53,'CAMD Facility Data 2023'!$AE$2:$AE$10000,0),1),"")</f>
        <v>5940</v>
      </c>
      <c r="AC53" s="1" t="str">
        <f>IF(INDEX('CAMD Facility Data 2023'!$AE$2:$AG$10000,MATCH(Z53,'CAMD Facility Data 2023'!$AE$2:$AE$10000,0),3)&gt;0,INDEX('CAMD Facility Data 2023'!$AE$2:$AG$10000,MATCH(Z53,'CAMD Facility Data 2023'!$AE$2:$AE$10000,0),3),"")</f>
        <v/>
      </c>
      <c r="AD53" s="20">
        <f t="shared" si="1"/>
        <v>2.0049350935473682</v>
      </c>
      <c r="AE53" s="25">
        <f t="shared" si="2"/>
        <v>0.29460886763371924</v>
      </c>
    </row>
    <row r="54" spans="1:31" x14ac:dyDescent="0.2">
      <c r="A54" s="1" t="s">
        <v>234</v>
      </c>
      <c r="B54" s="1" t="s">
        <v>245</v>
      </c>
      <c r="C54" s="1">
        <v>116</v>
      </c>
      <c r="D54" s="1" t="s">
        <v>246</v>
      </c>
      <c r="F54" s="1">
        <v>2023</v>
      </c>
      <c r="G54" s="5">
        <v>967</v>
      </c>
      <c r="H54" s="5">
        <v>874.97</v>
      </c>
      <c r="I54" s="5">
        <v>73373.149999999994</v>
      </c>
      <c r="K54" s="5">
        <v>0.20300000000000001</v>
      </c>
      <c r="L54" s="5">
        <v>1E-3</v>
      </c>
      <c r="M54" s="5">
        <v>40161.83</v>
      </c>
      <c r="N54" s="6">
        <v>5.8999999999999997E-2</v>
      </c>
      <c r="O54" s="5">
        <v>2.7909999999999999</v>
      </c>
      <c r="P54" s="6">
        <v>1.1900000000000001E-2</v>
      </c>
      <c r="Q54" s="5">
        <v>675797.35600000003</v>
      </c>
      <c r="R54" s="1" t="s">
        <v>44</v>
      </c>
      <c r="T54" s="1" t="s">
        <v>93</v>
      </c>
      <c r="V54" s="1" t="s">
        <v>176</v>
      </c>
      <c r="Y54" s="1" t="s">
        <v>247</v>
      </c>
      <c r="Z54" s="1" t="str">
        <f t="shared" si="0"/>
        <v>116 GT3</v>
      </c>
      <c r="AA54" s="3">
        <f>IF(INDEX('CAMD Facility Data 2023'!$AA$2:$AE$10000,MATCH(Z54,'CAMD Facility Data 2023'!$AE$2:$AE$10000,0),1)&gt;0,INDEX('CAMD Facility Data 2023'!$AA$2:$AE$10000,MATCH(Z54,'CAMD Facility Data 2023'!$AE$2:$AE$10000,0),1),"")</f>
        <v>43561</v>
      </c>
      <c r="AB54" s="5">
        <f>IF(INDEX('CAMD Facility Data 2023'!$AC$2:$AE$10000,MATCH(Z54,'CAMD Facility Data 2023'!$AE$2:$AE$10000,0),1)&gt;0,INDEX('CAMD Facility Data 2023'!$AC$2:$AE$10000,MATCH(Z54,'CAMD Facility Data 2023'!$AE$2:$AE$10000,0),1),"")</f>
        <v>1000</v>
      </c>
      <c r="AC54" s="1" t="str">
        <f>IF(INDEX('CAMD Facility Data 2023'!$AE$2:$AG$10000,MATCH(Z54,'CAMD Facility Data 2023'!$AE$2:$AE$10000,0),3)&gt;0,INDEX('CAMD Facility Data 2023'!$AE$2:$AG$10000,MATCH(Z54,'CAMD Facility Data 2023'!$AE$2:$AE$10000,0),3),"")</f>
        <v>Y</v>
      </c>
      <c r="AD54" s="20">
        <f t="shared" si="1"/>
        <v>7.60768755328073E-2</v>
      </c>
      <c r="AE54" s="25">
        <f t="shared" si="2"/>
        <v>7.7145816894977168E-2</v>
      </c>
    </row>
    <row r="55" spans="1:31" x14ac:dyDescent="0.2">
      <c r="A55" s="1" t="s">
        <v>234</v>
      </c>
      <c r="B55" s="1" t="s">
        <v>245</v>
      </c>
      <c r="C55" s="1">
        <v>116</v>
      </c>
      <c r="D55" s="1" t="s">
        <v>251</v>
      </c>
      <c r="F55" s="1">
        <v>2023</v>
      </c>
      <c r="G55" s="5">
        <v>2161</v>
      </c>
      <c r="H55" s="5">
        <v>1921.47</v>
      </c>
      <c r="I55" s="5">
        <v>173229.31</v>
      </c>
      <c r="K55" s="5">
        <v>0.47299999999999998</v>
      </c>
      <c r="L55" s="5">
        <v>1E-3</v>
      </c>
      <c r="M55" s="5">
        <v>93673.43</v>
      </c>
      <c r="N55" s="6">
        <v>5.91E-2</v>
      </c>
      <c r="O55" s="5">
        <v>6.4870000000000001</v>
      </c>
      <c r="P55" s="6">
        <v>1.2800000000000001E-2</v>
      </c>
      <c r="Q55" s="5">
        <v>1576273.0619999999</v>
      </c>
      <c r="R55" s="1" t="s">
        <v>44</v>
      </c>
      <c r="T55" s="1" t="s">
        <v>93</v>
      </c>
      <c r="V55" s="1" t="s">
        <v>176</v>
      </c>
      <c r="Y55" s="1" t="s">
        <v>247</v>
      </c>
      <c r="Z55" s="1" t="str">
        <f t="shared" si="0"/>
        <v>116 GT4</v>
      </c>
      <c r="AA55" s="3">
        <f>IF(INDEX('CAMD Facility Data 2023'!$AA$2:$AE$10000,MATCH(Z55,'CAMD Facility Data 2023'!$AE$2:$AE$10000,0),1)&gt;0,INDEX('CAMD Facility Data 2023'!$AA$2:$AE$10000,MATCH(Z55,'CAMD Facility Data 2023'!$AE$2:$AE$10000,0),1),"")</f>
        <v>43528</v>
      </c>
      <c r="AB55" s="5">
        <f>IF(INDEX('CAMD Facility Data 2023'!$AC$2:$AE$10000,MATCH(Z55,'CAMD Facility Data 2023'!$AE$2:$AE$10000,0),1)&gt;0,INDEX('CAMD Facility Data 2023'!$AC$2:$AE$10000,MATCH(Z55,'CAMD Facility Data 2023'!$AE$2:$AE$10000,0),1),"")</f>
        <v>1000</v>
      </c>
      <c r="AC55" s="1" t="str">
        <f>IF(INDEX('CAMD Facility Data 2023'!$AE$2:$AG$10000,MATCH(Z55,'CAMD Facility Data 2023'!$AE$2:$AE$10000,0),3)&gt;0,INDEX('CAMD Facility Data 2023'!$AE$2:$AG$10000,MATCH(Z55,'CAMD Facility Data 2023'!$AE$2:$AE$10000,0),3),"")</f>
        <v>Y</v>
      </c>
      <c r="AD55" s="20">
        <f t="shared" si="1"/>
        <v>7.4894947050242244E-2</v>
      </c>
      <c r="AE55" s="25">
        <f t="shared" si="2"/>
        <v>0.17993984726027396</v>
      </c>
    </row>
    <row r="56" spans="1:31" x14ac:dyDescent="0.2">
      <c r="A56" s="1" t="s">
        <v>234</v>
      </c>
      <c r="B56" s="1" t="s">
        <v>245</v>
      </c>
      <c r="C56" s="1">
        <v>116</v>
      </c>
      <c r="D56" s="1" t="s">
        <v>253</v>
      </c>
      <c r="F56" s="1">
        <v>2023</v>
      </c>
      <c r="G56" s="5">
        <v>1945</v>
      </c>
      <c r="H56" s="5">
        <v>1721.79</v>
      </c>
      <c r="I56" s="5">
        <v>162502.03</v>
      </c>
      <c r="K56" s="5">
        <v>0.437</v>
      </c>
      <c r="L56" s="5">
        <v>1E-3</v>
      </c>
      <c r="M56" s="5">
        <v>86524.952000000005</v>
      </c>
      <c r="N56" s="6">
        <v>5.91E-2</v>
      </c>
      <c r="O56" s="5">
        <v>5.9329999999999998</v>
      </c>
      <c r="P56" s="6">
        <v>1.26E-2</v>
      </c>
      <c r="Q56" s="5">
        <v>1455935.8019999999</v>
      </c>
      <c r="R56" s="1" t="s">
        <v>44</v>
      </c>
      <c r="T56" s="1" t="s">
        <v>93</v>
      </c>
      <c r="V56" s="1" t="s">
        <v>176</v>
      </c>
      <c r="Y56" s="1" t="s">
        <v>247</v>
      </c>
      <c r="Z56" s="1" t="str">
        <f t="shared" si="0"/>
        <v>116 GT5</v>
      </c>
      <c r="AA56" s="3">
        <f>IF(INDEX('CAMD Facility Data 2023'!$AA$2:$AE$10000,MATCH(Z56,'CAMD Facility Data 2023'!$AE$2:$AE$10000,0),1)&gt;0,INDEX('CAMD Facility Data 2023'!$AA$2:$AE$10000,MATCH(Z56,'CAMD Facility Data 2023'!$AE$2:$AE$10000,0),1),"")</f>
        <v>43537</v>
      </c>
      <c r="AB56" s="5">
        <f>IF(INDEX('CAMD Facility Data 2023'!$AC$2:$AE$10000,MATCH(Z56,'CAMD Facility Data 2023'!$AE$2:$AE$10000,0),1)&gt;0,INDEX('CAMD Facility Data 2023'!$AC$2:$AE$10000,MATCH(Z56,'CAMD Facility Data 2023'!$AE$2:$AE$10000,0),1),"")</f>
        <v>1000</v>
      </c>
      <c r="AC56" s="1" t="str">
        <f>IF(INDEX('CAMD Facility Data 2023'!$AE$2:$AG$10000,MATCH(Z56,'CAMD Facility Data 2023'!$AE$2:$AE$10000,0),3)&gt;0,INDEX('CAMD Facility Data 2023'!$AE$2:$AG$10000,MATCH(Z56,'CAMD Facility Data 2023'!$AE$2:$AE$10000,0),3),"")</f>
        <v>Y</v>
      </c>
      <c r="AD56" s="20">
        <f t="shared" si="1"/>
        <v>7.3020626265407271E-2</v>
      </c>
      <c r="AE56" s="25">
        <f t="shared" si="2"/>
        <v>0.16620271712328766</v>
      </c>
    </row>
    <row r="57" spans="1:31" x14ac:dyDescent="0.2">
      <c r="A57" s="1" t="s">
        <v>234</v>
      </c>
      <c r="B57" s="1" t="s">
        <v>245</v>
      </c>
      <c r="C57" s="1">
        <v>116</v>
      </c>
      <c r="D57" s="1" t="s">
        <v>255</v>
      </c>
      <c r="F57" s="1">
        <v>2023</v>
      </c>
      <c r="G57" s="5">
        <v>2612</v>
      </c>
      <c r="H57" s="5">
        <v>2271.08</v>
      </c>
      <c r="I57" s="5">
        <v>200183.26</v>
      </c>
      <c r="K57" s="5">
        <v>0.54500000000000004</v>
      </c>
      <c r="L57" s="5">
        <v>1E-3</v>
      </c>
      <c r="M57" s="5">
        <v>107865.773</v>
      </c>
      <c r="N57" s="6">
        <v>5.8999999999999997E-2</v>
      </c>
      <c r="O57" s="5">
        <v>7.7939999999999996</v>
      </c>
      <c r="P57" s="6">
        <v>1.4200000000000001E-2</v>
      </c>
      <c r="Q57" s="5">
        <v>1815061.023</v>
      </c>
      <c r="R57" s="1" t="s">
        <v>44</v>
      </c>
      <c r="T57" s="1" t="s">
        <v>93</v>
      </c>
      <c r="V57" s="1" t="s">
        <v>176</v>
      </c>
      <c r="Y57" s="1" t="s">
        <v>247</v>
      </c>
      <c r="Z57" s="1" t="str">
        <f t="shared" si="0"/>
        <v>116 GT6</v>
      </c>
      <c r="AA57" s="3">
        <f>IF(INDEX('CAMD Facility Data 2023'!$AA$2:$AE$10000,MATCH(Z57,'CAMD Facility Data 2023'!$AE$2:$AE$10000,0),1)&gt;0,INDEX('CAMD Facility Data 2023'!$AA$2:$AE$10000,MATCH(Z57,'CAMD Facility Data 2023'!$AE$2:$AE$10000,0),1),"")</f>
        <v>43511</v>
      </c>
      <c r="AB57" s="5">
        <f>IF(INDEX('CAMD Facility Data 2023'!$AC$2:$AE$10000,MATCH(Z57,'CAMD Facility Data 2023'!$AE$2:$AE$10000,0),1)&gt;0,INDEX('CAMD Facility Data 2023'!$AC$2:$AE$10000,MATCH(Z57,'CAMD Facility Data 2023'!$AE$2:$AE$10000,0),1),"")</f>
        <v>1000</v>
      </c>
      <c r="AC57" s="1" t="str">
        <f>IF(INDEX('CAMD Facility Data 2023'!$AE$2:$AG$10000,MATCH(Z57,'CAMD Facility Data 2023'!$AE$2:$AE$10000,0),3)&gt;0,INDEX('CAMD Facility Data 2023'!$AE$2:$AG$10000,MATCH(Z57,'CAMD Facility Data 2023'!$AE$2:$AE$10000,0),3),"")</f>
        <v>Y</v>
      </c>
      <c r="AD57" s="20">
        <f t="shared" si="1"/>
        <v>7.7868648956960732E-2</v>
      </c>
      <c r="AE57" s="25">
        <f t="shared" si="2"/>
        <v>0.20719874691780824</v>
      </c>
    </row>
    <row r="58" spans="1:31" x14ac:dyDescent="0.2">
      <c r="A58" s="1" t="s">
        <v>234</v>
      </c>
      <c r="B58" s="1" t="s">
        <v>245</v>
      </c>
      <c r="C58" s="1">
        <v>116</v>
      </c>
      <c r="D58" s="1" t="s">
        <v>257</v>
      </c>
      <c r="F58" s="1">
        <v>2023</v>
      </c>
      <c r="G58" s="5">
        <v>288</v>
      </c>
      <c r="H58" s="5">
        <v>225.57</v>
      </c>
      <c r="I58" s="5">
        <v>17395.46</v>
      </c>
      <c r="K58" s="5">
        <v>4.9000000000000002E-2</v>
      </c>
      <c r="L58" s="5">
        <v>1E-3</v>
      </c>
      <c r="M58" s="5">
        <v>9645</v>
      </c>
      <c r="N58" s="6">
        <v>5.9200000000000003E-2</v>
      </c>
      <c r="O58" s="5">
        <v>0.68700000000000006</v>
      </c>
      <c r="P58" s="6">
        <v>1.8700000000000001E-2</v>
      </c>
      <c r="Q58" s="5">
        <v>162293.66099999999</v>
      </c>
      <c r="R58" s="1" t="s">
        <v>44</v>
      </c>
      <c r="T58" s="1" t="s">
        <v>93</v>
      </c>
      <c r="V58" s="1" t="s">
        <v>176</v>
      </c>
      <c r="Y58" s="1" t="s">
        <v>247</v>
      </c>
      <c r="Z58" s="1" t="str">
        <f t="shared" si="0"/>
        <v>116 GT7</v>
      </c>
      <c r="AA58" s="3">
        <f>IF(INDEX('CAMD Facility Data 2023'!$AA$2:$AE$10000,MATCH(Z58,'CAMD Facility Data 2023'!$AE$2:$AE$10000,0),1)&gt;0,INDEX('CAMD Facility Data 2023'!$AA$2:$AE$10000,MATCH(Z58,'CAMD Facility Data 2023'!$AE$2:$AE$10000,0),1),"")</f>
        <v>43481</v>
      </c>
      <c r="AB58" s="5">
        <f>IF(INDEX('CAMD Facility Data 2023'!$AC$2:$AE$10000,MATCH(Z58,'CAMD Facility Data 2023'!$AE$2:$AE$10000,0),1)&gt;0,INDEX('CAMD Facility Data 2023'!$AC$2:$AE$10000,MATCH(Z58,'CAMD Facility Data 2023'!$AE$2:$AE$10000,0),1),"")</f>
        <v>1000</v>
      </c>
      <c r="AC58" s="1" t="str">
        <f>IF(INDEX('CAMD Facility Data 2023'!$AE$2:$AG$10000,MATCH(Z58,'CAMD Facility Data 2023'!$AE$2:$AE$10000,0),3)&gt;0,INDEX('CAMD Facility Data 2023'!$AE$2:$AG$10000,MATCH(Z58,'CAMD Facility Data 2023'!$AE$2:$AE$10000,0),3),"")</f>
        <v>Y</v>
      </c>
      <c r="AD58" s="20">
        <f t="shared" si="1"/>
        <v>7.898612626512895E-2</v>
      </c>
      <c r="AE58" s="25">
        <f t="shared" si="2"/>
        <v>1.8526673630136985E-2</v>
      </c>
    </row>
    <row r="59" spans="1:31" x14ac:dyDescent="0.2">
      <c r="A59" s="1" t="s">
        <v>234</v>
      </c>
      <c r="B59" s="1" t="s">
        <v>259</v>
      </c>
      <c r="C59" s="1">
        <v>117</v>
      </c>
      <c r="D59" s="1" t="s">
        <v>260</v>
      </c>
      <c r="F59" s="1">
        <v>2023</v>
      </c>
      <c r="G59" s="5">
        <v>4704</v>
      </c>
      <c r="H59" s="5">
        <v>4678.1499999999996</v>
      </c>
      <c r="I59" s="5">
        <v>428018.33</v>
      </c>
      <c r="K59" s="5">
        <v>1.0309999999999999</v>
      </c>
      <c r="L59" s="5">
        <v>1E-3</v>
      </c>
      <c r="M59" s="5">
        <v>204187.95600000001</v>
      </c>
      <c r="N59" s="6">
        <v>5.8999999999999997E-2</v>
      </c>
      <c r="O59" s="5">
        <v>47.795000000000002</v>
      </c>
      <c r="P59" s="6">
        <v>2.92E-2</v>
      </c>
      <c r="Q59" s="5">
        <v>3435846.2080000001</v>
      </c>
      <c r="R59" s="1" t="s">
        <v>44</v>
      </c>
      <c r="T59" s="1" t="s">
        <v>71</v>
      </c>
      <c r="V59" s="1" t="s">
        <v>140</v>
      </c>
      <c r="Y59" s="1" t="s">
        <v>247</v>
      </c>
      <c r="Z59" s="1" t="str">
        <f t="shared" si="0"/>
        <v>117 CC4</v>
      </c>
      <c r="AA59" s="3">
        <f>IF(INDEX('CAMD Facility Data 2023'!$AA$2:$AE$10000,MATCH(Z59,'CAMD Facility Data 2023'!$AE$2:$AE$10000,0),1)&gt;0,INDEX('CAMD Facility Data 2023'!$AA$2:$AE$10000,MATCH(Z59,'CAMD Facility Data 2023'!$AE$2:$AE$10000,0),1),"")</f>
        <v>36993</v>
      </c>
      <c r="AB59" s="5">
        <f>IF(INDEX('CAMD Facility Data 2023'!$AC$2:$AE$10000,MATCH(Z59,'CAMD Facility Data 2023'!$AE$2:$AE$10000,0),1)&gt;0,INDEX('CAMD Facility Data 2023'!$AC$2:$AE$10000,MATCH(Z59,'CAMD Facility Data 2023'!$AE$2:$AE$10000,0),1),"")</f>
        <v>1190</v>
      </c>
      <c r="AC59" s="1" t="str">
        <f>IF(INDEX('CAMD Facility Data 2023'!$AE$2:$AG$10000,MATCH(Z59,'CAMD Facility Data 2023'!$AE$2:$AE$10000,0),3)&gt;0,INDEX('CAMD Facility Data 2023'!$AE$2:$AG$10000,MATCH(Z59,'CAMD Facility Data 2023'!$AE$2:$AE$10000,0),3),"")</f>
        <v/>
      </c>
      <c r="AD59" s="20">
        <f t="shared" si="1"/>
        <v>0.22333155685178249</v>
      </c>
      <c r="AE59" s="25">
        <f t="shared" si="2"/>
        <v>0.32959654349410999</v>
      </c>
    </row>
    <row r="60" spans="1:31" x14ac:dyDescent="0.2">
      <c r="A60" s="1" t="s">
        <v>234</v>
      </c>
      <c r="B60" s="1" t="s">
        <v>259</v>
      </c>
      <c r="C60" s="1">
        <v>117</v>
      </c>
      <c r="D60" s="1" t="s">
        <v>263</v>
      </c>
      <c r="F60" s="1">
        <v>2023</v>
      </c>
      <c r="G60" s="5">
        <v>4650</v>
      </c>
      <c r="H60" s="5">
        <v>4571.9799999999996</v>
      </c>
      <c r="I60" s="5">
        <v>880711.37</v>
      </c>
      <c r="K60" s="5">
        <v>1.9830000000000001</v>
      </c>
      <c r="L60" s="5">
        <v>1E-3</v>
      </c>
      <c r="M60" s="5">
        <v>392757.43</v>
      </c>
      <c r="N60" s="6">
        <v>5.8999999999999997E-2</v>
      </c>
      <c r="O60" s="5">
        <v>44.514000000000003</v>
      </c>
      <c r="P60" s="6">
        <v>1.5699999999999999E-2</v>
      </c>
      <c r="Q60" s="5">
        <v>6608962.8109999998</v>
      </c>
      <c r="R60" s="1" t="s">
        <v>44</v>
      </c>
      <c r="T60" s="1" t="s">
        <v>71</v>
      </c>
      <c r="V60" s="1" t="s">
        <v>64</v>
      </c>
      <c r="Y60" s="1" t="s">
        <v>247</v>
      </c>
      <c r="Z60" s="1" t="str">
        <f t="shared" si="0"/>
        <v>117 CC5A</v>
      </c>
      <c r="AA60" s="3">
        <f>IF(INDEX('CAMD Facility Data 2023'!$AA$2:$AE$10000,MATCH(Z60,'CAMD Facility Data 2023'!$AE$2:$AE$10000,0),1)&gt;0,INDEX('CAMD Facility Data 2023'!$AA$2:$AE$10000,MATCH(Z60,'CAMD Facility Data 2023'!$AE$2:$AE$10000,0),1),"")</f>
        <v>37785</v>
      </c>
      <c r="AB60" s="5">
        <f>IF(INDEX('CAMD Facility Data 2023'!$AC$2:$AE$10000,MATCH(Z60,'CAMD Facility Data 2023'!$AE$2:$AE$10000,0),1)&gt;0,INDEX('CAMD Facility Data 2023'!$AC$2:$AE$10000,MATCH(Z60,'CAMD Facility Data 2023'!$AE$2:$AE$10000,0),1),"")</f>
        <v>2073.5</v>
      </c>
      <c r="AC60" s="1" t="str">
        <f>IF(INDEX('CAMD Facility Data 2023'!$AE$2:$AG$10000,MATCH(Z60,'CAMD Facility Data 2023'!$AE$2:$AE$10000,0),3)&gt;0,INDEX('CAMD Facility Data 2023'!$AE$2:$AG$10000,MATCH(Z60,'CAMD Facility Data 2023'!$AE$2:$AE$10000,0),3),"")</f>
        <v>Y</v>
      </c>
      <c r="AD60" s="20">
        <f t="shared" si="1"/>
        <v>0.10108646604619173</v>
      </c>
      <c r="AE60" s="25">
        <f t="shared" si="2"/>
        <v>0.36385233155287477</v>
      </c>
    </row>
    <row r="61" spans="1:31" x14ac:dyDescent="0.2">
      <c r="A61" s="1" t="s">
        <v>234</v>
      </c>
      <c r="B61" s="1" t="s">
        <v>259</v>
      </c>
      <c r="C61" s="1">
        <v>117</v>
      </c>
      <c r="D61" s="1" t="s">
        <v>265</v>
      </c>
      <c r="F61" s="1">
        <v>2023</v>
      </c>
      <c r="G61" s="5">
        <v>4291</v>
      </c>
      <c r="H61" s="5">
        <v>4212.18</v>
      </c>
      <c r="I61" s="5">
        <v>804252.63</v>
      </c>
      <c r="K61" s="5">
        <v>1.88</v>
      </c>
      <c r="L61" s="5">
        <v>1E-3</v>
      </c>
      <c r="M61" s="5">
        <v>372481.41600000003</v>
      </c>
      <c r="N61" s="6">
        <v>5.8999999999999997E-2</v>
      </c>
      <c r="O61" s="5">
        <v>41.177</v>
      </c>
      <c r="P61" s="6">
        <v>1.5599999999999999E-2</v>
      </c>
      <c r="Q61" s="5">
        <v>6267709.4060000004</v>
      </c>
      <c r="R61" s="1" t="s">
        <v>44</v>
      </c>
      <c r="T61" s="1" t="s">
        <v>71</v>
      </c>
      <c r="V61" s="1" t="s">
        <v>64</v>
      </c>
      <c r="Y61" s="1" t="s">
        <v>247</v>
      </c>
      <c r="Z61" s="1" t="str">
        <f t="shared" si="0"/>
        <v>117 CC5B</v>
      </c>
      <c r="AA61" s="3">
        <f>IF(INDEX('CAMD Facility Data 2023'!$AA$2:$AE$10000,MATCH(Z61,'CAMD Facility Data 2023'!$AE$2:$AE$10000,0),1)&gt;0,INDEX('CAMD Facility Data 2023'!$AA$2:$AE$10000,MATCH(Z61,'CAMD Facility Data 2023'!$AE$2:$AE$10000,0),1),"")</f>
        <v>37788</v>
      </c>
      <c r="AB61" s="5">
        <f>IF(INDEX('CAMD Facility Data 2023'!$AC$2:$AE$10000,MATCH(Z61,'CAMD Facility Data 2023'!$AE$2:$AE$10000,0),1)&gt;0,INDEX('CAMD Facility Data 2023'!$AC$2:$AE$10000,MATCH(Z61,'CAMD Facility Data 2023'!$AE$2:$AE$10000,0),1),"")</f>
        <v>2073.5</v>
      </c>
      <c r="AC61" s="1" t="str">
        <f>IF(INDEX('CAMD Facility Data 2023'!$AE$2:$AG$10000,MATCH(Z61,'CAMD Facility Data 2023'!$AE$2:$AE$10000,0),3)&gt;0,INDEX('CAMD Facility Data 2023'!$AE$2:$AG$10000,MATCH(Z61,'CAMD Facility Data 2023'!$AE$2:$AE$10000,0),3),"")</f>
        <v>Y</v>
      </c>
      <c r="AD61" s="20">
        <f t="shared" si="1"/>
        <v>0.10239817307156335</v>
      </c>
      <c r="AE61" s="25">
        <f t="shared" si="2"/>
        <v>0.34506483787036457</v>
      </c>
    </row>
    <row r="62" spans="1:31" x14ac:dyDescent="0.2">
      <c r="A62" s="1" t="s">
        <v>234</v>
      </c>
      <c r="B62" s="1" t="s">
        <v>267</v>
      </c>
      <c r="C62" s="1">
        <v>118</v>
      </c>
      <c r="D62" s="1" t="s">
        <v>101</v>
      </c>
      <c r="F62" s="1">
        <v>2023</v>
      </c>
      <c r="G62" s="5">
        <v>2346</v>
      </c>
      <c r="H62" s="5">
        <v>2105.0300000000002</v>
      </c>
      <c r="I62" s="5">
        <v>129391.26</v>
      </c>
      <c r="K62" s="5">
        <v>0.48299999999999998</v>
      </c>
      <c r="L62" s="5">
        <v>1E-3</v>
      </c>
      <c r="M62" s="5">
        <v>95661.122000000003</v>
      </c>
      <c r="N62" s="6">
        <v>5.91E-2</v>
      </c>
      <c r="O62" s="5">
        <v>24.419</v>
      </c>
      <c r="P62" s="6">
        <v>3.9699999999999999E-2</v>
      </c>
      <c r="Q62" s="5">
        <v>1609688.5759999999</v>
      </c>
      <c r="R62" s="1" t="s">
        <v>44</v>
      </c>
      <c r="T62" s="1" t="s">
        <v>93</v>
      </c>
      <c r="V62" s="1" t="s">
        <v>140</v>
      </c>
      <c r="Y62" s="1" t="s">
        <v>247</v>
      </c>
      <c r="Z62" s="1" t="str">
        <f t="shared" si="0"/>
        <v>118 CT3</v>
      </c>
      <c r="AA62" s="3">
        <f>IF(INDEX('CAMD Facility Data 2023'!$AA$2:$AE$10000,MATCH(Z62,'CAMD Facility Data 2023'!$AE$2:$AE$10000,0),1)&gt;0,INDEX('CAMD Facility Data 2023'!$AA$2:$AE$10000,MATCH(Z62,'CAMD Facility Data 2023'!$AE$2:$AE$10000,0),1),"")</f>
        <v>37316</v>
      </c>
      <c r="AB62" s="5">
        <f>IF(INDEX('CAMD Facility Data 2023'!$AC$2:$AE$10000,MATCH(Z62,'CAMD Facility Data 2023'!$AE$2:$AE$10000,0),1)&gt;0,INDEX('CAMD Facility Data 2023'!$AC$2:$AE$10000,MATCH(Z62,'CAMD Facility Data 2023'!$AE$2:$AE$10000,0),1),"")</f>
        <v>950</v>
      </c>
      <c r="AC62" s="1" t="str">
        <f>IF(INDEX('CAMD Facility Data 2023'!$AE$2:$AG$10000,MATCH(Z62,'CAMD Facility Data 2023'!$AE$2:$AE$10000,0),3)&gt;0,INDEX('CAMD Facility Data 2023'!$AE$2:$AG$10000,MATCH(Z62,'CAMD Facility Data 2023'!$AE$2:$AE$10000,0),3),"")</f>
        <v/>
      </c>
      <c r="AD62" s="20">
        <f t="shared" si="1"/>
        <v>0.37744434979611452</v>
      </c>
      <c r="AE62" s="25">
        <f t="shared" si="2"/>
        <v>0.1934256880557558</v>
      </c>
    </row>
    <row r="63" spans="1:31" x14ac:dyDescent="0.2">
      <c r="A63" s="1" t="s">
        <v>234</v>
      </c>
      <c r="B63" s="1" t="s">
        <v>271</v>
      </c>
      <c r="C63" s="1">
        <v>120</v>
      </c>
      <c r="D63" s="1">
        <v>1</v>
      </c>
      <c r="F63" s="1">
        <v>2023</v>
      </c>
      <c r="G63" s="5">
        <v>69</v>
      </c>
      <c r="H63" s="5">
        <v>66.63</v>
      </c>
      <c r="I63" s="5">
        <v>1302</v>
      </c>
      <c r="K63" s="5">
        <v>5.0000000000000001E-3</v>
      </c>
      <c r="L63" s="5">
        <v>1E-3</v>
      </c>
      <c r="M63" s="5">
        <v>1048.817</v>
      </c>
      <c r="N63" s="6">
        <v>5.9200000000000003E-2</v>
      </c>
      <c r="O63" s="5">
        <v>0.55000000000000004</v>
      </c>
      <c r="P63" s="6">
        <v>5.8999999999999997E-2</v>
      </c>
      <c r="Q63" s="5">
        <v>17654.120999999999</v>
      </c>
      <c r="R63" s="1" t="s">
        <v>44</v>
      </c>
      <c r="S63" s="1" t="s">
        <v>173</v>
      </c>
      <c r="T63" s="1" t="s">
        <v>43</v>
      </c>
      <c r="Y63" s="1" t="s">
        <v>247</v>
      </c>
      <c r="Z63" s="1" t="str">
        <f t="shared" si="0"/>
        <v>120 1</v>
      </c>
      <c r="AA63" s="3">
        <f>IF(INDEX('CAMD Facility Data 2023'!$AA$2:$AE$10000,MATCH(Z63,'CAMD Facility Data 2023'!$AE$2:$AE$10000,0),1)&gt;0,INDEX('CAMD Facility Data 2023'!$AA$2:$AE$10000,MATCH(Z63,'CAMD Facility Data 2023'!$AE$2:$AE$10000,0),1),"")</f>
        <v>21613</v>
      </c>
      <c r="AB63" s="5">
        <f>IF(INDEX('CAMD Facility Data 2023'!$AC$2:$AE$10000,MATCH(Z63,'CAMD Facility Data 2023'!$AE$2:$AE$10000,0),1)&gt;0,INDEX('CAMD Facility Data 2023'!$AC$2:$AE$10000,MATCH(Z63,'CAMD Facility Data 2023'!$AE$2:$AE$10000,0),1),"")</f>
        <v>880</v>
      </c>
      <c r="AC63" s="1" t="str">
        <f>IF(INDEX('CAMD Facility Data 2023'!$AE$2:$AG$10000,MATCH(Z63,'CAMD Facility Data 2023'!$AE$2:$AE$10000,0),3)&gt;0,INDEX('CAMD Facility Data 2023'!$AE$2:$AG$10000,MATCH(Z63,'CAMD Facility Data 2023'!$AE$2:$AE$10000,0),3),"")</f>
        <v/>
      </c>
      <c r="AD63" s="20">
        <f t="shared" si="1"/>
        <v>0.84485407066052232</v>
      </c>
      <c r="AE63" s="25">
        <f t="shared" si="2"/>
        <v>2.2901257004981318E-3</v>
      </c>
    </row>
    <row r="64" spans="1:31" x14ac:dyDescent="0.2">
      <c r="A64" s="1" t="s">
        <v>234</v>
      </c>
      <c r="B64" s="1" t="s">
        <v>271</v>
      </c>
      <c r="C64" s="1">
        <v>120</v>
      </c>
      <c r="D64" s="1" t="s">
        <v>105</v>
      </c>
      <c r="F64" s="1">
        <v>2023</v>
      </c>
      <c r="G64" s="5">
        <v>2405</v>
      </c>
      <c r="H64" s="5">
        <v>2056.9499999999998</v>
      </c>
      <c r="I64" s="5">
        <v>82725.37</v>
      </c>
      <c r="K64" s="5">
        <v>0.24399999999999999</v>
      </c>
      <c r="L64" s="5">
        <v>1E-3</v>
      </c>
      <c r="M64" s="5">
        <v>48369.857000000004</v>
      </c>
      <c r="N64" s="6">
        <v>5.9299999999999999E-2</v>
      </c>
      <c r="O64" s="5">
        <v>4.2770000000000001</v>
      </c>
      <c r="P64" s="6">
        <v>1.9099999999999999E-2</v>
      </c>
      <c r="Q64" s="5">
        <v>813870.20499999996</v>
      </c>
      <c r="R64" s="1" t="s">
        <v>44</v>
      </c>
      <c r="T64" s="1" t="s">
        <v>93</v>
      </c>
      <c r="V64" s="1" t="s">
        <v>223</v>
      </c>
      <c r="Y64" s="1" t="s">
        <v>247</v>
      </c>
      <c r="Z64" s="1" t="str">
        <f t="shared" si="0"/>
        <v>120 CT5</v>
      </c>
      <c r="AA64" s="3">
        <f>IF(INDEX('CAMD Facility Data 2023'!$AA$2:$AE$10000,MATCH(Z64,'CAMD Facility Data 2023'!$AE$2:$AE$10000,0),1)&gt;0,INDEX('CAMD Facility Data 2023'!$AA$2:$AE$10000,MATCH(Z64,'CAMD Facility Data 2023'!$AE$2:$AE$10000,0),1),"")</f>
        <v>39601</v>
      </c>
      <c r="AB64" s="5">
        <f>IF(INDEX('CAMD Facility Data 2023'!$AC$2:$AE$10000,MATCH(Z64,'CAMD Facility Data 2023'!$AE$2:$AE$10000,0),1)&gt;0,INDEX('CAMD Facility Data 2023'!$AC$2:$AE$10000,MATCH(Z64,'CAMD Facility Data 2023'!$AE$2:$AE$10000,0),1),"")</f>
        <v>521.4</v>
      </c>
      <c r="AC64" s="1" t="str">
        <f>IF(INDEX('CAMD Facility Data 2023'!$AE$2:$AG$10000,MATCH(Z64,'CAMD Facility Data 2023'!$AE$2:$AE$10000,0),3)&gt;0,INDEX('CAMD Facility Data 2023'!$AE$2:$AG$10000,MATCH(Z64,'CAMD Facility Data 2023'!$AE$2:$AE$10000,0),3),"")</f>
        <v>Y</v>
      </c>
      <c r="AD64" s="20">
        <f t="shared" si="1"/>
        <v>0.10340237825469986</v>
      </c>
      <c r="AE64" s="25">
        <f t="shared" si="2"/>
        <v>0.17818864144304147</v>
      </c>
    </row>
    <row r="65" spans="1:31" x14ac:dyDescent="0.2">
      <c r="A65" s="1" t="s">
        <v>234</v>
      </c>
      <c r="B65" s="1" t="s">
        <v>271</v>
      </c>
      <c r="C65" s="1">
        <v>120</v>
      </c>
      <c r="D65" s="1" t="s">
        <v>107</v>
      </c>
      <c r="F65" s="1">
        <v>2023</v>
      </c>
      <c r="G65" s="5">
        <v>2420</v>
      </c>
      <c r="H65" s="5">
        <v>2080.71</v>
      </c>
      <c r="I65" s="5">
        <v>86594.55</v>
      </c>
      <c r="K65" s="5">
        <v>0.253</v>
      </c>
      <c r="L65" s="5">
        <v>1E-3</v>
      </c>
      <c r="M65" s="5">
        <v>50113.688000000002</v>
      </c>
      <c r="N65" s="6">
        <v>5.9200000000000003E-2</v>
      </c>
      <c r="O65" s="5">
        <v>4.601</v>
      </c>
      <c r="P65" s="6">
        <v>1.77E-2</v>
      </c>
      <c r="Q65" s="5">
        <v>843219.21</v>
      </c>
      <c r="R65" s="1" t="s">
        <v>44</v>
      </c>
      <c r="T65" s="1" t="s">
        <v>93</v>
      </c>
      <c r="V65" s="1" t="s">
        <v>223</v>
      </c>
      <c r="Y65" s="1" t="s">
        <v>247</v>
      </c>
      <c r="Z65" s="1" t="str">
        <f t="shared" si="0"/>
        <v>120 CT6</v>
      </c>
      <c r="AA65" s="3">
        <f>IF(INDEX('CAMD Facility Data 2023'!$AA$2:$AE$10000,MATCH(Z65,'CAMD Facility Data 2023'!$AE$2:$AE$10000,0),1)&gt;0,INDEX('CAMD Facility Data 2023'!$AA$2:$AE$10000,MATCH(Z65,'CAMD Facility Data 2023'!$AE$2:$AE$10000,0),1),"")</f>
        <v>39622</v>
      </c>
      <c r="AB65" s="5">
        <f>IF(INDEX('CAMD Facility Data 2023'!$AC$2:$AE$10000,MATCH(Z65,'CAMD Facility Data 2023'!$AE$2:$AE$10000,0),1)&gt;0,INDEX('CAMD Facility Data 2023'!$AC$2:$AE$10000,MATCH(Z65,'CAMD Facility Data 2023'!$AE$2:$AE$10000,0),1),"")</f>
        <v>521.4</v>
      </c>
      <c r="AC65" s="1" t="str">
        <f>IF(INDEX('CAMD Facility Data 2023'!$AE$2:$AG$10000,MATCH(Z65,'CAMD Facility Data 2023'!$AE$2:$AE$10000,0),3)&gt;0,INDEX('CAMD Facility Data 2023'!$AE$2:$AG$10000,MATCH(Z65,'CAMD Facility Data 2023'!$AE$2:$AE$10000,0),3),"")</f>
        <v>Y</v>
      </c>
      <c r="AD65" s="20">
        <f t="shared" si="1"/>
        <v>0.1062653481079352</v>
      </c>
      <c r="AE65" s="25">
        <f t="shared" si="2"/>
        <v>0.18461430894693423</v>
      </c>
    </row>
    <row r="66" spans="1:31" x14ac:dyDescent="0.2">
      <c r="A66" s="1" t="s">
        <v>234</v>
      </c>
      <c r="B66" s="1" t="s">
        <v>279</v>
      </c>
      <c r="C66" s="1">
        <v>124</v>
      </c>
      <c r="D66" s="1" t="s">
        <v>280</v>
      </c>
      <c r="F66" s="1">
        <v>2023</v>
      </c>
      <c r="G66" s="5">
        <v>53</v>
      </c>
      <c r="H66" s="5">
        <v>34.08</v>
      </c>
      <c r="I66" s="5">
        <v>1343.8</v>
      </c>
      <c r="K66" s="5">
        <v>3.2000000000000001E-2</v>
      </c>
      <c r="L66" s="5">
        <v>3.3999999999999998E-3</v>
      </c>
      <c r="M66" s="5">
        <v>1099.4760000000001</v>
      </c>
      <c r="N66" s="6">
        <v>5.9200000000000003E-2</v>
      </c>
      <c r="O66" s="5">
        <v>0.48099999999999998</v>
      </c>
      <c r="P66" s="6">
        <v>7.22E-2</v>
      </c>
      <c r="Q66" s="5">
        <v>18501.683000000001</v>
      </c>
      <c r="R66" s="1" t="s">
        <v>284</v>
      </c>
      <c r="T66" s="1" t="s">
        <v>93</v>
      </c>
      <c r="V66" s="1" t="s">
        <v>140</v>
      </c>
      <c r="Y66" s="1" t="s">
        <v>247</v>
      </c>
      <c r="Z66" s="1" t="str">
        <f t="shared" si="0"/>
        <v>124 GT1</v>
      </c>
      <c r="AA66" s="3">
        <f>IF(INDEX('CAMD Facility Data 2023'!$AA$2:$AE$10000,MATCH(Z66,'CAMD Facility Data 2023'!$AE$2:$AE$10000,0),1)&gt;0,INDEX('CAMD Facility Data 2023'!$AA$2:$AE$10000,MATCH(Z66,'CAMD Facility Data 2023'!$AE$2:$AE$10000,0),1),"")</f>
        <v>37011</v>
      </c>
      <c r="AB66" s="5">
        <f>IF(INDEX('CAMD Facility Data 2023'!$AC$2:$AE$10000,MATCH(Z66,'CAMD Facility Data 2023'!$AE$2:$AE$10000,0),1)&gt;0,INDEX('CAMD Facility Data 2023'!$AC$2:$AE$10000,MATCH(Z66,'CAMD Facility Data 2023'!$AE$2:$AE$10000,0),1),"")</f>
        <v>1140</v>
      </c>
      <c r="AC66" s="1" t="str">
        <f>IF(INDEX('CAMD Facility Data 2023'!$AE$2:$AG$10000,MATCH(Z66,'CAMD Facility Data 2023'!$AE$2:$AE$10000,0),3)&gt;0,INDEX('CAMD Facility Data 2023'!$AE$2:$AG$10000,MATCH(Z66,'CAMD Facility Data 2023'!$AE$2:$AE$10000,0),3),"")</f>
        <v/>
      </c>
      <c r="AD66" s="20">
        <f t="shared" si="1"/>
        <v>0.71588033933621076</v>
      </c>
      <c r="AE66" s="25">
        <f t="shared" si="2"/>
        <v>1.8526879556196429E-3</v>
      </c>
    </row>
    <row r="67" spans="1:31" x14ac:dyDescent="0.2">
      <c r="A67" s="1" t="s">
        <v>234</v>
      </c>
      <c r="B67" s="1" t="s">
        <v>286</v>
      </c>
      <c r="C67" s="1">
        <v>126</v>
      </c>
      <c r="D67" s="1">
        <v>3</v>
      </c>
      <c r="F67" s="1">
        <v>2023</v>
      </c>
      <c r="G67" s="5">
        <v>6158</v>
      </c>
      <c r="H67" s="5">
        <v>6148.75</v>
      </c>
      <c r="I67" s="5">
        <v>332954.42</v>
      </c>
      <c r="K67" s="5">
        <v>6.3860000000000001</v>
      </c>
      <c r="L67" s="5">
        <v>3.5999999999999999E-3</v>
      </c>
      <c r="M67" s="5">
        <v>216870.125</v>
      </c>
      <c r="N67" s="6">
        <v>5.91E-2</v>
      </c>
      <c r="O67" s="5">
        <v>386.75599999999997</v>
      </c>
      <c r="P67" s="6">
        <v>0.19939999999999999</v>
      </c>
      <c r="Q67" s="5">
        <v>3649258.0789999999</v>
      </c>
      <c r="R67" s="1" t="s">
        <v>284</v>
      </c>
      <c r="S67" s="1" t="s">
        <v>173</v>
      </c>
      <c r="T67" s="1" t="s">
        <v>43</v>
      </c>
      <c r="Y67" s="1" t="s">
        <v>247</v>
      </c>
      <c r="Z67" s="1" t="str">
        <f t="shared" ref="Z67:Z130" si="3">C67&amp;" "&amp;D67</f>
        <v>126 3</v>
      </c>
      <c r="AA67" s="3">
        <f>IF(INDEX('CAMD Facility Data 2023'!$AA$2:$AE$10000,MATCH(Z67,'CAMD Facility Data 2023'!$AE$2:$AE$10000,0),1)&gt;0,INDEX('CAMD Facility Data 2023'!$AA$2:$AE$10000,MATCH(Z67,'CAMD Facility Data 2023'!$AE$2:$AE$10000,0),1),"")</f>
        <v>22767</v>
      </c>
      <c r="AB67" s="5">
        <f>IF(INDEX('CAMD Facility Data 2023'!$AC$2:$AE$10000,MATCH(Z67,'CAMD Facility Data 2023'!$AE$2:$AE$10000,0),1)&gt;0,INDEX('CAMD Facility Data 2023'!$AC$2:$AE$10000,MATCH(Z67,'CAMD Facility Data 2023'!$AE$2:$AE$10000,0),1),"")</f>
        <v>1210</v>
      </c>
      <c r="AC67" s="1" t="str">
        <f>IF(INDEX('CAMD Facility Data 2023'!$AE$2:$AG$10000,MATCH(Z67,'CAMD Facility Data 2023'!$AE$2:$AE$10000,0),3)&gt;0,INDEX('CAMD Facility Data 2023'!$AE$2:$AG$10000,MATCH(Z67,'CAMD Facility Data 2023'!$AE$2:$AE$10000,0),3),"")</f>
        <v/>
      </c>
      <c r="AD67" s="20">
        <f t="shared" ref="AD67:AD130" si="4">IF(ISNUMBER(O67*2000/I67),O67*2000/I67,"")</f>
        <v>2.3231768480502528</v>
      </c>
      <c r="AE67" s="25">
        <f t="shared" ref="AE67:AE130" si="5">Q67/(AB67*8760)</f>
        <v>0.34428262189139214</v>
      </c>
    </row>
    <row r="68" spans="1:31" x14ac:dyDescent="0.2">
      <c r="A68" s="1" t="s">
        <v>234</v>
      </c>
      <c r="B68" s="1" t="s">
        <v>286</v>
      </c>
      <c r="C68" s="1">
        <v>126</v>
      </c>
      <c r="D68" s="1">
        <v>4</v>
      </c>
      <c r="F68" s="1">
        <v>2023</v>
      </c>
      <c r="G68" s="5">
        <v>5702</v>
      </c>
      <c r="H68" s="5">
        <v>5694.47</v>
      </c>
      <c r="I68" s="5">
        <v>523994.23</v>
      </c>
      <c r="K68" s="5">
        <v>9.3659999999999997</v>
      </c>
      <c r="L68" s="5">
        <v>3.5999999999999999E-3</v>
      </c>
      <c r="M68" s="5">
        <v>318037.86</v>
      </c>
      <c r="N68" s="6">
        <v>5.91E-2</v>
      </c>
      <c r="O68" s="5">
        <v>429.74099999999999</v>
      </c>
      <c r="P68" s="6">
        <v>0.16059999999999999</v>
      </c>
      <c r="Q68" s="5">
        <v>5351589.1809999999</v>
      </c>
      <c r="R68" s="1" t="s">
        <v>284</v>
      </c>
      <c r="S68" s="1" t="s">
        <v>288</v>
      </c>
      <c r="T68" s="1" t="s">
        <v>89</v>
      </c>
      <c r="V68" s="1" t="s">
        <v>289</v>
      </c>
      <c r="Y68" s="1" t="s">
        <v>247</v>
      </c>
      <c r="Z68" s="1" t="str">
        <f t="shared" si="3"/>
        <v>126 4</v>
      </c>
      <c r="AA68" s="3">
        <f>IF(INDEX('CAMD Facility Data 2023'!$AA$2:$AE$10000,MATCH(Z68,'CAMD Facility Data 2023'!$AE$2:$AE$10000,0),1)&gt;0,INDEX('CAMD Facility Data 2023'!$AA$2:$AE$10000,MATCH(Z68,'CAMD Facility Data 2023'!$AE$2:$AE$10000,0),1),"")</f>
        <v>24593</v>
      </c>
      <c r="AB68" s="5">
        <f>IF(INDEX('CAMD Facility Data 2023'!$AC$2:$AE$10000,MATCH(Z68,'CAMD Facility Data 2023'!$AE$2:$AE$10000,0),1)&gt;0,INDEX('CAMD Facility Data 2023'!$AC$2:$AE$10000,MATCH(Z68,'CAMD Facility Data 2023'!$AE$2:$AE$10000,0),1),"")</f>
        <v>1750</v>
      </c>
      <c r="AC68" s="1" t="str">
        <f>IF(INDEX('CAMD Facility Data 2023'!$AE$2:$AG$10000,MATCH(Z68,'CAMD Facility Data 2023'!$AE$2:$AE$10000,0),3)&gt;0,INDEX('CAMD Facility Data 2023'!$AE$2:$AG$10000,MATCH(Z68,'CAMD Facility Data 2023'!$AE$2:$AE$10000,0),3),"")</f>
        <v/>
      </c>
      <c r="AD68" s="20">
        <f t="shared" si="4"/>
        <v>1.6402508859687253</v>
      </c>
      <c r="AE68" s="25">
        <f t="shared" si="5"/>
        <v>0.34909257540769734</v>
      </c>
    </row>
    <row r="69" spans="1:31" x14ac:dyDescent="0.2">
      <c r="A69" s="1" t="s">
        <v>291</v>
      </c>
      <c r="B69" s="1" t="s">
        <v>292</v>
      </c>
      <c r="C69" s="1">
        <v>130</v>
      </c>
      <c r="D69" s="1">
        <v>1</v>
      </c>
      <c r="F69" s="1">
        <v>2023</v>
      </c>
      <c r="G69" s="5">
        <v>3592</v>
      </c>
      <c r="H69" s="5">
        <v>3572.32</v>
      </c>
      <c r="I69" s="5">
        <v>1287556.99</v>
      </c>
      <c r="K69" s="5">
        <v>690.096</v>
      </c>
      <c r="L69" s="5">
        <v>8.7599999999999997E-2</v>
      </c>
      <c r="M69" s="5">
        <v>1382813.4820000001</v>
      </c>
      <c r="N69" s="6">
        <v>0.10299999999999999</v>
      </c>
      <c r="O69" s="5">
        <v>544.92399999999998</v>
      </c>
      <c r="P69" s="6">
        <v>7.9799999999999996E-2</v>
      </c>
      <c r="Q69" s="5">
        <v>13477723.305</v>
      </c>
      <c r="R69" s="1" t="s">
        <v>55</v>
      </c>
      <c r="S69" s="1" t="s">
        <v>173</v>
      </c>
      <c r="T69" s="1" t="s">
        <v>89</v>
      </c>
      <c r="U69" s="1" t="s">
        <v>56</v>
      </c>
      <c r="V69" s="1" t="s">
        <v>297</v>
      </c>
      <c r="W69" s="1" t="s">
        <v>58</v>
      </c>
      <c r="Y69" s="1" t="s">
        <v>293</v>
      </c>
      <c r="Z69" s="1" t="str">
        <f t="shared" si="3"/>
        <v>130 1</v>
      </c>
      <c r="AA69" s="3">
        <f>IF(INDEX('CAMD Facility Data 2023'!$AA$2:$AE$10000,MATCH(Z69,'CAMD Facility Data 2023'!$AE$2:$AE$10000,0),1)&gt;0,INDEX('CAMD Facility Data 2023'!$AA$2:$AE$10000,MATCH(Z69,'CAMD Facility Data 2023'!$AE$2:$AE$10000,0),1),"")</f>
        <v>34669</v>
      </c>
      <c r="AB69" s="5">
        <f>IF(INDEX('CAMD Facility Data 2023'!$AC$2:$AE$10000,MATCH(Z69,'CAMD Facility Data 2023'!$AE$2:$AE$10000,0),1)&gt;0,INDEX('CAMD Facility Data 2023'!$AC$2:$AE$10000,MATCH(Z69,'CAMD Facility Data 2023'!$AE$2:$AE$10000,0),1),"")</f>
        <v>6750</v>
      </c>
      <c r="AC69" s="1" t="str">
        <f>IF(INDEX('CAMD Facility Data 2023'!$AE$2:$AG$10000,MATCH(Z69,'CAMD Facility Data 2023'!$AE$2:$AE$10000,0),3)&gt;0,INDEX('CAMD Facility Data 2023'!$AE$2:$AG$10000,MATCH(Z69,'CAMD Facility Data 2023'!$AE$2:$AE$10000,0),3),"")</f>
        <v>Y</v>
      </c>
      <c r="AD69" s="20">
        <f t="shared" si="4"/>
        <v>0.84644641632522999</v>
      </c>
      <c r="AE69" s="25">
        <f t="shared" si="5"/>
        <v>0.22793376128868595</v>
      </c>
    </row>
    <row r="70" spans="1:31" x14ac:dyDescent="0.2">
      <c r="A70" s="1" t="s">
        <v>291</v>
      </c>
      <c r="B70" s="1" t="s">
        <v>292</v>
      </c>
      <c r="C70" s="1">
        <v>130</v>
      </c>
      <c r="D70" s="1">
        <v>2</v>
      </c>
      <c r="F70" s="1">
        <v>2023</v>
      </c>
      <c r="G70" s="5">
        <v>2036</v>
      </c>
      <c r="H70" s="5">
        <v>2014.76</v>
      </c>
      <c r="I70" s="5">
        <v>612178.03</v>
      </c>
      <c r="K70" s="5">
        <v>601.68899999999996</v>
      </c>
      <c r="L70" s="5">
        <v>0.16830000000000001</v>
      </c>
      <c r="M70" s="5">
        <v>652292.94499999995</v>
      </c>
      <c r="N70" s="6">
        <v>0.1028</v>
      </c>
      <c r="O70" s="5">
        <v>233.93</v>
      </c>
      <c r="P70" s="6">
        <v>7.1599999999999997E-2</v>
      </c>
      <c r="Q70" s="5">
        <v>6357646.7640000004</v>
      </c>
      <c r="R70" s="1" t="s">
        <v>55</v>
      </c>
      <c r="S70" s="1" t="s">
        <v>173</v>
      </c>
      <c r="T70" s="1" t="s">
        <v>43</v>
      </c>
      <c r="U70" s="1" t="s">
        <v>56</v>
      </c>
      <c r="V70" s="1" t="s">
        <v>299</v>
      </c>
      <c r="W70" s="1" t="s">
        <v>58</v>
      </c>
      <c r="Y70" s="1" t="s">
        <v>293</v>
      </c>
      <c r="Z70" s="1" t="str">
        <f t="shared" si="3"/>
        <v>130 2</v>
      </c>
      <c r="AA70" s="3">
        <f>IF(INDEX('CAMD Facility Data 2023'!$AA$2:$AE$10000,MATCH(Z70,'CAMD Facility Data 2023'!$AE$2:$AE$10000,0),1)&gt;0,INDEX('CAMD Facility Data 2023'!$AA$2:$AE$10000,MATCH(Z70,'CAMD Facility Data 2023'!$AE$2:$AE$10000,0),1),"")</f>
        <v>30803</v>
      </c>
      <c r="AB70" s="5">
        <f>IF(INDEX('CAMD Facility Data 2023'!$AC$2:$AE$10000,MATCH(Z70,'CAMD Facility Data 2023'!$AE$2:$AE$10000,0),1)&gt;0,INDEX('CAMD Facility Data 2023'!$AC$2:$AE$10000,MATCH(Z70,'CAMD Facility Data 2023'!$AE$2:$AE$10000,0),1),"")</f>
        <v>6640</v>
      </c>
      <c r="AC70" s="1" t="str">
        <f>IF(INDEX('CAMD Facility Data 2023'!$AE$2:$AG$10000,MATCH(Z70,'CAMD Facility Data 2023'!$AE$2:$AE$10000,0),3)&gt;0,INDEX('CAMD Facility Data 2023'!$AE$2:$AG$10000,MATCH(Z70,'CAMD Facility Data 2023'!$AE$2:$AE$10000,0),3),"")</f>
        <v>Y</v>
      </c>
      <c r="AD70" s="20">
        <f t="shared" si="4"/>
        <v>0.76425480345970598</v>
      </c>
      <c r="AE70" s="25">
        <f t="shared" si="5"/>
        <v>0.10930101852615944</v>
      </c>
    </row>
    <row r="71" spans="1:31" x14ac:dyDescent="0.2">
      <c r="A71" s="1" t="s">
        <v>291</v>
      </c>
      <c r="B71" s="1" t="s">
        <v>292</v>
      </c>
      <c r="C71" s="1">
        <v>130</v>
      </c>
      <c r="D71" s="1">
        <v>3</v>
      </c>
      <c r="F71" s="1">
        <v>2023</v>
      </c>
      <c r="G71" s="5">
        <v>7632</v>
      </c>
      <c r="H71" s="5">
        <v>7621.21</v>
      </c>
      <c r="I71" s="5">
        <v>3507605.91</v>
      </c>
      <c r="K71" s="5">
        <v>1770.605</v>
      </c>
      <c r="L71" s="5">
        <v>0.10100000000000001</v>
      </c>
      <c r="M71" s="5">
        <v>3336914.69</v>
      </c>
      <c r="N71" s="6">
        <v>0.10299999999999999</v>
      </c>
      <c r="O71" s="5">
        <v>1140.646</v>
      </c>
      <c r="P71" s="6">
        <v>7.0000000000000007E-2</v>
      </c>
      <c r="Q71" s="5">
        <v>32523503.142999999</v>
      </c>
      <c r="R71" s="1" t="s">
        <v>55</v>
      </c>
      <c r="S71" s="1" t="s">
        <v>94</v>
      </c>
      <c r="T71" s="1" t="s">
        <v>43</v>
      </c>
      <c r="U71" s="1" t="s">
        <v>56</v>
      </c>
      <c r="V71" s="1" t="s">
        <v>301</v>
      </c>
      <c r="W71" s="1" t="s">
        <v>58</v>
      </c>
      <c r="Y71" s="1" t="s">
        <v>293</v>
      </c>
      <c r="Z71" s="1" t="str">
        <f t="shared" si="3"/>
        <v>130 3</v>
      </c>
      <c r="AA71" s="3">
        <f>IF(INDEX('CAMD Facility Data 2023'!$AA$2:$AE$10000,MATCH(Z71,'CAMD Facility Data 2023'!$AE$2:$AE$10000,0),1)&gt;0,INDEX('CAMD Facility Data 2023'!$AA$2:$AE$10000,MATCH(Z71,'CAMD Facility Data 2023'!$AE$2:$AE$10000,0),1),"")</f>
        <v>38994</v>
      </c>
      <c r="AB71" s="5">
        <f>IF(INDEX('CAMD Facility Data 2023'!$AC$2:$AE$10000,MATCH(Z71,'CAMD Facility Data 2023'!$AE$2:$AE$10000,0),1)&gt;0,INDEX('CAMD Facility Data 2023'!$AC$2:$AE$10000,MATCH(Z71,'CAMD Facility Data 2023'!$AE$2:$AE$10000,0),1),"")</f>
        <v>6895</v>
      </c>
      <c r="AC71" s="1" t="str">
        <f>IF(INDEX('CAMD Facility Data 2023'!$AE$2:$AG$10000,MATCH(Z71,'CAMD Facility Data 2023'!$AE$2:$AE$10000,0),3)&gt;0,INDEX('CAMD Facility Data 2023'!$AE$2:$AG$10000,MATCH(Z71,'CAMD Facility Data 2023'!$AE$2:$AE$10000,0),3),"")</f>
        <v>Y</v>
      </c>
      <c r="AD71" s="20">
        <f t="shared" si="4"/>
        <v>0.65038435289898344</v>
      </c>
      <c r="AE71" s="25">
        <f t="shared" si="5"/>
        <v>0.53846681208009239</v>
      </c>
    </row>
    <row r="72" spans="1:31" x14ac:dyDescent="0.2">
      <c r="A72" s="1" t="s">
        <v>291</v>
      </c>
      <c r="B72" s="1" t="s">
        <v>292</v>
      </c>
      <c r="C72" s="1">
        <v>130</v>
      </c>
      <c r="D72" s="1">
        <v>4</v>
      </c>
      <c r="F72" s="1">
        <v>2023</v>
      </c>
      <c r="G72" s="5">
        <v>8117</v>
      </c>
      <c r="H72" s="5">
        <v>8097.9</v>
      </c>
      <c r="I72" s="5">
        <v>3757153.49</v>
      </c>
      <c r="K72" s="5">
        <v>1575.617</v>
      </c>
      <c r="L72" s="5">
        <v>7.6200000000000004E-2</v>
      </c>
      <c r="M72" s="5">
        <v>3935795.5079999999</v>
      </c>
      <c r="N72" s="6">
        <v>0.10290000000000001</v>
      </c>
      <c r="O72" s="5">
        <v>1345.028</v>
      </c>
      <c r="P72" s="6">
        <v>7.0000000000000007E-2</v>
      </c>
      <c r="Q72" s="5">
        <v>38360621.332000002</v>
      </c>
      <c r="R72" s="1" t="s">
        <v>55</v>
      </c>
      <c r="S72" s="1" t="s">
        <v>94</v>
      </c>
      <c r="T72" s="1" t="s">
        <v>43</v>
      </c>
      <c r="U72" s="1" t="s">
        <v>56</v>
      </c>
      <c r="V72" s="1" t="s">
        <v>301</v>
      </c>
      <c r="W72" s="1" t="s">
        <v>58</v>
      </c>
      <c r="Y72" s="1" t="s">
        <v>293</v>
      </c>
      <c r="Z72" s="1" t="str">
        <f t="shared" si="3"/>
        <v>130 4</v>
      </c>
      <c r="AA72" s="3">
        <f>IF(INDEX('CAMD Facility Data 2023'!$AA$2:$AE$10000,MATCH(Z72,'CAMD Facility Data 2023'!$AE$2:$AE$10000,0),1)&gt;0,INDEX('CAMD Facility Data 2023'!$AA$2:$AE$10000,MATCH(Z72,'CAMD Facility Data 2023'!$AE$2:$AE$10000,0),1),"")</f>
        <v>39564</v>
      </c>
      <c r="AB72" s="5">
        <f>IF(INDEX('CAMD Facility Data 2023'!$AC$2:$AE$10000,MATCH(Z72,'CAMD Facility Data 2023'!$AE$2:$AE$10000,0),1)&gt;0,INDEX('CAMD Facility Data 2023'!$AC$2:$AE$10000,MATCH(Z72,'CAMD Facility Data 2023'!$AE$2:$AE$10000,0),1),"")</f>
        <v>7120</v>
      </c>
      <c r="AC72" s="1" t="str">
        <f>IF(INDEX('CAMD Facility Data 2023'!$AE$2:$AG$10000,MATCH(Z72,'CAMD Facility Data 2023'!$AE$2:$AE$10000,0),3)&gt;0,INDEX('CAMD Facility Data 2023'!$AE$2:$AG$10000,MATCH(Z72,'CAMD Facility Data 2023'!$AE$2:$AE$10000,0),3),"")</f>
        <v>Y</v>
      </c>
      <c r="AD72" s="20">
        <f t="shared" si="4"/>
        <v>0.71598246043442848</v>
      </c>
      <c r="AE72" s="25">
        <f t="shared" si="5"/>
        <v>0.61503741040736759</v>
      </c>
    </row>
    <row r="73" spans="1:31" x14ac:dyDescent="0.2">
      <c r="A73" s="1" t="s">
        <v>304</v>
      </c>
      <c r="B73" s="1" t="s">
        <v>305</v>
      </c>
      <c r="C73" s="1">
        <v>136</v>
      </c>
      <c r="D73" s="1">
        <v>1</v>
      </c>
      <c r="F73" s="1">
        <v>2023</v>
      </c>
      <c r="G73" s="5">
        <v>2716</v>
      </c>
      <c r="H73" s="5">
        <v>2705.12</v>
      </c>
      <c r="I73" s="5">
        <v>1245867.94</v>
      </c>
      <c r="K73" s="5">
        <v>949.83600000000001</v>
      </c>
      <c r="L73" s="5">
        <v>0.15329999999999999</v>
      </c>
      <c r="M73" s="5">
        <v>1249984.642</v>
      </c>
      <c r="N73" s="6">
        <v>0.10299999999999999</v>
      </c>
      <c r="O73" s="5">
        <v>402.57900000000001</v>
      </c>
      <c r="P73" s="6">
        <v>6.8500000000000005E-2</v>
      </c>
      <c r="Q73" s="5">
        <v>12183103.412</v>
      </c>
      <c r="R73" s="1" t="s">
        <v>55</v>
      </c>
      <c r="S73" s="1" t="s">
        <v>94</v>
      </c>
      <c r="T73" s="1" t="s">
        <v>89</v>
      </c>
      <c r="U73" s="1" t="s">
        <v>56</v>
      </c>
      <c r="V73" s="1" t="s">
        <v>297</v>
      </c>
      <c r="W73" s="1" t="s">
        <v>58</v>
      </c>
      <c r="Y73" s="1" t="s">
        <v>236</v>
      </c>
      <c r="Z73" s="1" t="str">
        <f t="shared" si="3"/>
        <v>136 1</v>
      </c>
      <c r="AA73" s="3">
        <f>IF(INDEX('CAMD Facility Data 2023'!$AA$2:$AE$10000,MATCH(Z73,'CAMD Facility Data 2023'!$AE$2:$AE$10000,0),1)&gt;0,INDEX('CAMD Facility Data 2023'!$AA$2:$AE$10000,MATCH(Z73,'CAMD Facility Data 2023'!$AE$2:$AE$10000,0),1),"")</f>
        <v>30712</v>
      </c>
      <c r="AB73" s="5">
        <f>IF(INDEX('CAMD Facility Data 2023'!$AC$2:$AE$10000,MATCH(Z73,'CAMD Facility Data 2023'!$AE$2:$AE$10000,0),1)&gt;0,INDEX('CAMD Facility Data 2023'!$AC$2:$AE$10000,MATCH(Z73,'CAMD Facility Data 2023'!$AE$2:$AE$10000,0),1),"")</f>
        <v>7172</v>
      </c>
      <c r="AC73" s="1" t="str">
        <f>IF(INDEX('CAMD Facility Data 2023'!$AE$2:$AG$10000,MATCH(Z73,'CAMD Facility Data 2023'!$AE$2:$AE$10000,0),3)&gt;0,INDEX('CAMD Facility Data 2023'!$AE$2:$AG$10000,MATCH(Z73,'CAMD Facility Data 2023'!$AE$2:$AE$10000,0),3),"")</f>
        <v>Y</v>
      </c>
      <c r="AD73" s="20">
        <f t="shared" si="4"/>
        <v>0.64626271705811777</v>
      </c>
      <c r="AE73" s="25">
        <f t="shared" si="5"/>
        <v>0.19391595505861201</v>
      </c>
    </row>
    <row r="74" spans="1:31" x14ac:dyDescent="0.2">
      <c r="A74" s="1" t="s">
        <v>304</v>
      </c>
      <c r="B74" s="1" t="s">
        <v>305</v>
      </c>
      <c r="C74" s="1">
        <v>136</v>
      </c>
      <c r="D74" s="1">
        <v>2</v>
      </c>
      <c r="F74" s="1">
        <v>2023</v>
      </c>
      <c r="G74" s="5">
        <v>6443</v>
      </c>
      <c r="H74" s="5">
        <v>6409.62</v>
      </c>
      <c r="I74" s="5">
        <v>3000683.47</v>
      </c>
      <c r="K74" s="5">
        <v>2232.9389999999999</v>
      </c>
      <c r="L74" s="5">
        <v>0.19819999999999999</v>
      </c>
      <c r="M74" s="5">
        <v>2891354.6140000001</v>
      </c>
      <c r="N74" s="6">
        <v>0.10249999999999999</v>
      </c>
      <c r="O74" s="5">
        <v>801.40499999999997</v>
      </c>
      <c r="P74" s="6">
        <v>5.8799999999999998E-2</v>
      </c>
      <c r="Q74" s="5">
        <v>28180840.864999998</v>
      </c>
      <c r="R74" s="1" t="s">
        <v>55</v>
      </c>
      <c r="S74" s="1" t="s">
        <v>94</v>
      </c>
      <c r="T74" s="1" t="s">
        <v>89</v>
      </c>
      <c r="U74" s="1" t="s">
        <v>56</v>
      </c>
      <c r="V74" s="1" t="s">
        <v>297</v>
      </c>
      <c r="W74" s="1" t="s">
        <v>58</v>
      </c>
      <c r="Y74" s="1" t="s">
        <v>236</v>
      </c>
      <c r="Z74" s="1" t="str">
        <f t="shared" si="3"/>
        <v>136 2</v>
      </c>
      <c r="AA74" s="3">
        <f>IF(INDEX('CAMD Facility Data 2023'!$AA$2:$AE$10000,MATCH(Z74,'CAMD Facility Data 2023'!$AE$2:$AE$10000,0),1)&gt;0,INDEX('CAMD Facility Data 2023'!$AA$2:$AE$10000,MATCH(Z74,'CAMD Facility Data 2023'!$AE$2:$AE$10000,0),1),"")</f>
        <v>31047</v>
      </c>
      <c r="AB74" s="5">
        <f>IF(INDEX('CAMD Facility Data 2023'!$AC$2:$AE$10000,MATCH(Z74,'CAMD Facility Data 2023'!$AE$2:$AE$10000,0),1)&gt;0,INDEX('CAMD Facility Data 2023'!$AC$2:$AE$10000,MATCH(Z74,'CAMD Facility Data 2023'!$AE$2:$AE$10000,0),1),"")</f>
        <v>7172</v>
      </c>
      <c r="AC74" s="1" t="str">
        <f>IF(INDEX('CAMD Facility Data 2023'!$AE$2:$AG$10000,MATCH(Z74,'CAMD Facility Data 2023'!$AE$2:$AE$10000,0),3)&gt;0,INDEX('CAMD Facility Data 2023'!$AE$2:$AG$10000,MATCH(Z74,'CAMD Facility Data 2023'!$AE$2:$AE$10000,0),3),"")</f>
        <v>Y</v>
      </c>
      <c r="AD74" s="20">
        <f t="shared" si="4"/>
        <v>0.53414830855185136</v>
      </c>
      <c r="AE74" s="25">
        <f t="shared" si="5"/>
        <v>0.4485486567657837</v>
      </c>
    </row>
    <row r="75" spans="1:31" x14ac:dyDescent="0.2">
      <c r="A75" s="1" t="s">
        <v>304</v>
      </c>
      <c r="B75" s="1" t="s">
        <v>305</v>
      </c>
      <c r="C75" s="1">
        <v>136</v>
      </c>
      <c r="D75" s="1" t="s">
        <v>311</v>
      </c>
      <c r="F75" s="1">
        <v>2023</v>
      </c>
      <c r="G75" s="5">
        <v>5899</v>
      </c>
      <c r="H75" s="5">
        <v>5874.49</v>
      </c>
      <c r="I75" s="5">
        <v>3066372.8</v>
      </c>
      <c r="K75" s="5">
        <v>5.8090000000000002</v>
      </c>
      <c r="L75" s="5">
        <v>1E-3</v>
      </c>
      <c r="M75" s="5">
        <v>1150755.659</v>
      </c>
      <c r="N75" s="6">
        <v>5.8999999999999997E-2</v>
      </c>
      <c r="O75" s="5">
        <v>133.589</v>
      </c>
      <c r="P75" s="6">
        <v>1.4500000000000001E-2</v>
      </c>
      <c r="Q75" s="5">
        <v>19363740.899</v>
      </c>
      <c r="R75" s="1" t="s">
        <v>284</v>
      </c>
      <c r="T75" s="1" t="s">
        <v>71</v>
      </c>
      <c r="V75" s="1" t="s">
        <v>64</v>
      </c>
      <c r="Y75" s="1" t="s">
        <v>312</v>
      </c>
      <c r="Z75" s="1" t="str">
        <f t="shared" si="3"/>
        <v>136 CT1</v>
      </c>
      <c r="AA75" s="3">
        <f>IF(INDEX('CAMD Facility Data 2023'!$AA$2:$AE$10000,MATCH(Z75,'CAMD Facility Data 2023'!$AE$2:$AE$10000,0),1)&gt;0,INDEX('CAMD Facility Data 2023'!$AA$2:$AE$10000,MATCH(Z75,'CAMD Facility Data 2023'!$AE$2:$AE$10000,0),1),"")</f>
        <v>44713</v>
      </c>
      <c r="AB75" s="5">
        <f>IF(INDEX('CAMD Facility Data 2023'!$AC$2:$AE$10000,MATCH(Z75,'CAMD Facility Data 2023'!$AE$2:$AE$10000,0),1)&gt;0,INDEX('CAMD Facility Data 2023'!$AC$2:$AE$10000,MATCH(Z75,'CAMD Facility Data 2023'!$AE$2:$AE$10000,0),1),"")</f>
        <v>3764</v>
      </c>
      <c r="AC75" s="1" t="str">
        <f>IF(INDEX('CAMD Facility Data 2023'!$AE$2:$AG$10000,MATCH(Z75,'CAMD Facility Data 2023'!$AE$2:$AE$10000,0),3)&gt;0,INDEX('CAMD Facility Data 2023'!$AE$2:$AG$10000,MATCH(Z75,'CAMD Facility Data 2023'!$AE$2:$AE$10000,0),3),"")</f>
        <v>Y</v>
      </c>
      <c r="AD75" s="20">
        <f t="shared" si="4"/>
        <v>8.7131610350835359E-2</v>
      </c>
      <c r="AE75" s="25">
        <f t="shared" si="5"/>
        <v>0.58726692491107779</v>
      </c>
    </row>
    <row r="76" spans="1:31" x14ac:dyDescent="0.2">
      <c r="A76" s="1" t="s">
        <v>304</v>
      </c>
      <c r="B76" s="1" t="s">
        <v>305</v>
      </c>
      <c r="C76" s="1">
        <v>136</v>
      </c>
      <c r="D76" s="1" t="s">
        <v>98</v>
      </c>
      <c r="F76" s="1">
        <v>2023</v>
      </c>
      <c r="G76" s="5">
        <v>5969</v>
      </c>
      <c r="H76" s="5">
        <v>5945.79</v>
      </c>
      <c r="I76" s="5">
        <v>3085495.43</v>
      </c>
      <c r="K76" s="5">
        <v>5.8579999999999997</v>
      </c>
      <c r="L76" s="5">
        <v>1E-3</v>
      </c>
      <c r="M76" s="5">
        <v>1160499.3119999999</v>
      </c>
      <c r="N76" s="6">
        <v>5.8999999999999997E-2</v>
      </c>
      <c r="O76" s="5">
        <v>128.09899999999999</v>
      </c>
      <c r="P76" s="6">
        <v>1.5100000000000001E-2</v>
      </c>
      <c r="Q76" s="5">
        <v>19527595.513</v>
      </c>
      <c r="R76" s="1" t="s">
        <v>284</v>
      </c>
      <c r="T76" s="1" t="s">
        <v>71</v>
      </c>
      <c r="V76" s="1" t="s">
        <v>64</v>
      </c>
      <c r="Y76" s="1" t="s">
        <v>312</v>
      </c>
      <c r="Z76" s="1" t="str">
        <f t="shared" si="3"/>
        <v>136 CT2</v>
      </c>
      <c r="AA76" s="3">
        <f>IF(INDEX('CAMD Facility Data 2023'!$AA$2:$AE$10000,MATCH(Z76,'CAMD Facility Data 2023'!$AE$2:$AE$10000,0),1)&gt;0,INDEX('CAMD Facility Data 2023'!$AA$2:$AE$10000,MATCH(Z76,'CAMD Facility Data 2023'!$AE$2:$AE$10000,0),1),"")</f>
        <v>44717</v>
      </c>
      <c r="AB76" s="5">
        <f>IF(INDEX('CAMD Facility Data 2023'!$AC$2:$AE$10000,MATCH(Z76,'CAMD Facility Data 2023'!$AE$2:$AE$10000,0),1)&gt;0,INDEX('CAMD Facility Data 2023'!$AC$2:$AE$10000,MATCH(Z76,'CAMD Facility Data 2023'!$AE$2:$AE$10000,0),1),"")</f>
        <v>3790.8</v>
      </c>
      <c r="AC76" s="1" t="str">
        <f>IF(INDEX('CAMD Facility Data 2023'!$AE$2:$AG$10000,MATCH(Z76,'CAMD Facility Data 2023'!$AE$2:$AE$10000,0),3)&gt;0,INDEX('CAMD Facility Data 2023'!$AE$2:$AG$10000,MATCH(Z76,'CAMD Facility Data 2023'!$AE$2:$AE$10000,0),3),"")</f>
        <v>Y</v>
      </c>
      <c r="AD76" s="20">
        <f t="shared" si="4"/>
        <v>8.303301878492815E-2</v>
      </c>
      <c r="AE76" s="25">
        <f t="shared" si="5"/>
        <v>0.58804937479612984</v>
      </c>
    </row>
    <row r="77" spans="1:31" x14ac:dyDescent="0.2">
      <c r="A77" s="1" t="s">
        <v>234</v>
      </c>
      <c r="B77" s="1" t="s">
        <v>315</v>
      </c>
      <c r="C77" s="1">
        <v>141</v>
      </c>
      <c r="D77" s="1">
        <v>1</v>
      </c>
      <c r="F77" s="1">
        <v>2023</v>
      </c>
      <c r="G77" s="5">
        <v>1364</v>
      </c>
      <c r="H77" s="5">
        <v>1261.08</v>
      </c>
      <c r="I77" s="5">
        <v>64210.15</v>
      </c>
      <c r="K77" s="5">
        <v>0.20300000000000001</v>
      </c>
      <c r="L77" s="5">
        <v>1E-3</v>
      </c>
      <c r="M77" s="5">
        <v>40231.680999999997</v>
      </c>
      <c r="N77" s="6">
        <v>5.9200000000000003E-2</v>
      </c>
      <c r="O77" s="5">
        <v>87.733000000000004</v>
      </c>
      <c r="P77" s="6">
        <v>0.20280000000000001</v>
      </c>
      <c r="Q77" s="5">
        <v>676979.53599999996</v>
      </c>
      <c r="R77" s="1" t="s">
        <v>44</v>
      </c>
      <c r="T77" s="1" t="s">
        <v>89</v>
      </c>
      <c r="Y77" s="1" t="s">
        <v>247</v>
      </c>
      <c r="Z77" s="1" t="str">
        <f t="shared" si="3"/>
        <v>141 1</v>
      </c>
      <c r="AA77" s="3">
        <f>IF(INDEX('CAMD Facility Data 2023'!$AA$2:$AE$10000,MATCH(Z77,'CAMD Facility Data 2023'!$AE$2:$AE$10000,0),1)&gt;0,INDEX('CAMD Facility Data 2023'!$AA$2:$AE$10000,MATCH(Z77,'CAMD Facility Data 2023'!$AE$2:$AE$10000,0),1),"")</f>
        <v>21186</v>
      </c>
      <c r="AB77" s="5">
        <f>IF(INDEX('CAMD Facility Data 2023'!$AC$2:$AE$10000,MATCH(Z77,'CAMD Facility Data 2023'!$AE$2:$AE$10000,0),1)&gt;0,INDEX('CAMD Facility Data 2023'!$AC$2:$AE$10000,MATCH(Z77,'CAMD Facility Data 2023'!$AE$2:$AE$10000,0),1),"")</f>
        <v>2000</v>
      </c>
      <c r="AC77" s="1" t="str">
        <f>IF(INDEX('CAMD Facility Data 2023'!$AE$2:$AG$10000,MATCH(Z77,'CAMD Facility Data 2023'!$AE$2:$AE$10000,0),3)&gt;0,INDEX('CAMD Facility Data 2023'!$AE$2:$AG$10000,MATCH(Z77,'CAMD Facility Data 2023'!$AE$2:$AE$10000,0),3),"")</f>
        <v/>
      </c>
      <c r="AD77" s="20">
        <f t="shared" si="4"/>
        <v>2.7326832284303961</v>
      </c>
      <c r="AE77" s="25">
        <f t="shared" si="5"/>
        <v>3.8640384474885846E-2</v>
      </c>
    </row>
    <row r="78" spans="1:31" x14ac:dyDescent="0.2">
      <c r="A78" s="1" t="s">
        <v>234</v>
      </c>
      <c r="B78" s="1" t="s">
        <v>315</v>
      </c>
      <c r="C78" s="1">
        <v>141</v>
      </c>
      <c r="D78" s="1">
        <v>2</v>
      </c>
      <c r="F78" s="1">
        <v>2023</v>
      </c>
      <c r="G78" s="5">
        <v>1164</v>
      </c>
      <c r="H78" s="5">
        <v>1079.31</v>
      </c>
      <c r="I78" s="5">
        <v>51981.15</v>
      </c>
      <c r="K78" s="5">
        <v>0.16800000000000001</v>
      </c>
      <c r="L78" s="5">
        <v>1E-3</v>
      </c>
      <c r="M78" s="5">
        <v>33228.065000000002</v>
      </c>
      <c r="N78" s="6">
        <v>5.96E-2</v>
      </c>
      <c r="O78" s="5">
        <v>66.245000000000005</v>
      </c>
      <c r="P78" s="6">
        <v>0.18609999999999999</v>
      </c>
      <c r="Q78" s="5">
        <v>559117.15800000005</v>
      </c>
      <c r="R78" s="1" t="s">
        <v>44</v>
      </c>
      <c r="T78" s="1" t="s">
        <v>89</v>
      </c>
      <c r="Y78" s="1" t="s">
        <v>247</v>
      </c>
      <c r="Z78" s="1" t="str">
        <f t="shared" si="3"/>
        <v>141 2</v>
      </c>
      <c r="AA78" s="3">
        <f>IF(INDEX('CAMD Facility Data 2023'!$AA$2:$AE$10000,MATCH(Z78,'CAMD Facility Data 2023'!$AE$2:$AE$10000,0),1)&gt;0,INDEX('CAMD Facility Data 2023'!$AA$2:$AE$10000,MATCH(Z78,'CAMD Facility Data 2023'!$AE$2:$AE$10000,0),1),"")</f>
        <v>20911</v>
      </c>
      <c r="AB78" s="5">
        <f>IF(INDEX('CAMD Facility Data 2023'!$AC$2:$AE$10000,MATCH(Z78,'CAMD Facility Data 2023'!$AE$2:$AE$10000,0),1)&gt;0,INDEX('CAMD Facility Data 2023'!$AC$2:$AE$10000,MATCH(Z78,'CAMD Facility Data 2023'!$AE$2:$AE$10000,0),1),"")</f>
        <v>2000</v>
      </c>
      <c r="AC78" s="1" t="str">
        <f>IF(INDEX('CAMD Facility Data 2023'!$AE$2:$AG$10000,MATCH(Z78,'CAMD Facility Data 2023'!$AE$2:$AE$10000,0),3)&gt;0,INDEX('CAMD Facility Data 2023'!$AE$2:$AG$10000,MATCH(Z78,'CAMD Facility Data 2023'!$AE$2:$AE$10000,0),3),"")</f>
        <v/>
      </c>
      <c r="AD78" s="20">
        <f t="shared" si="4"/>
        <v>2.548808558487067</v>
      </c>
      <c r="AE78" s="25">
        <f t="shared" si="5"/>
        <v>3.191307979452055E-2</v>
      </c>
    </row>
    <row r="79" spans="1:31" x14ac:dyDescent="0.2">
      <c r="A79" s="1" t="s">
        <v>234</v>
      </c>
      <c r="B79" s="1" t="s">
        <v>315</v>
      </c>
      <c r="C79" s="1">
        <v>141</v>
      </c>
      <c r="D79" s="1">
        <v>3</v>
      </c>
      <c r="F79" s="1">
        <v>2023</v>
      </c>
      <c r="G79" s="5">
        <v>565</v>
      </c>
      <c r="H79" s="5">
        <v>537.83000000000004</v>
      </c>
      <c r="I79" s="5">
        <v>29198.04</v>
      </c>
      <c r="K79" s="5">
        <v>9.7000000000000003E-2</v>
      </c>
      <c r="L79" s="5">
        <v>1E-3</v>
      </c>
      <c r="M79" s="5">
        <v>19274.150000000001</v>
      </c>
      <c r="N79" s="6">
        <v>0.06</v>
      </c>
      <c r="O79" s="5">
        <v>58.027999999999999</v>
      </c>
      <c r="P79" s="6">
        <v>0.214</v>
      </c>
      <c r="Q79" s="5">
        <v>324309.45600000001</v>
      </c>
      <c r="R79" s="1" t="s">
        <v>44</v>
      </c>
      <c r="T79" s="1" t="s">
        <v>319</v>
      </c>
      <c r="Y79" s="1" t="s">
        <v>247</v>
      </c>
      <c r="Z79" s="1" t="str">
        <f t="shared" si="3"/>
        <v>141 3</v>
      </c>
      <c r="AA79" s="3">
        <f>IF(INDEX('CAMD Facility Data 2023'!$AA$2:$AE$10000,MATCH(Z79,'CAMD Facility Data 2023'!$AE$2:$AE$10000,0),1)&gt;0,INDEX('CAMD Facility Data 2023'!$AA$2:$AE$10000,MATCH(Z79,'CAMD Facility Data 2023'!$AE$2:$AE$10000,0),1),"")</f>
        <v>22372</v>
      </c>
      <c r="AB79" s="5">
        <f>IF(INDEX('CAMD Facility Data 2023'!$AC$2:$AE$10000,MATCH(Z79,'CAMD Facility Data 2023'!$AE$2:$AE$10000,0),1)&gt;0,INDEX('CAMD Facility Data 2023'!$AC$2:$AE$10000,MATCH(Z79,'CAMD Facility Data 2023'!$AE$2:$AE$10000,0),1),"")</f>
        <v>2350</v>
      </c>
      <c r="AC79" s="1" t="str">
        <f>IF(INDEX('CAMD Facility Data 2023'!$AE$2:$AG$10000,MATCH(Z79,'CAMD Facility Data 2023'!$AE$2:$AE$10000,0),3)&gt;0,INDEX('CAMD Facility Data 2023'!$AE$2:$AG$10000,MATCH(Z79,'CAMD Facility Data 2023'!$AE$2:$AE$10000,0),3),"")</f>
        <v/>
      </c>
      <c r="AD79" s="20">
        <f t="shared" si="4"/>
        <v>3.9747873487398468</v>
      </c>
      <c r="AE79" s="25">
        <f t="shared" si="5"/>
        <v>1.5753883998834161E-2</v>
      </c>
    </row>
    <row r="80" spans="1:31" x14ac:dyDescent="0.2">
      <c r="A80" s="1" t="s">
        <v>234</v>
      </c>
      <c r="B80" s="1" t="s">
        <v>315</v>
      </c>
      <c r="C80" s="1">
        <v>141</v>
      </c>
      <c r="D80" s="1">
        <v>7</v>
      </c>
      <c r="F80" s="1">
        <v>2023</v>
      </c>
      <c r="G80" s="5">
        <v>324</v>
      </c>
      <c r="H80" s="5">
        <v>227.25</v>
      </c>
      <c r="I80" s="5">
        <v>8351.27</v>
      </c>
      <c r="K80" s="5">
        <v>2.4E-2</v>
      </c>
      <c r="L80" s="5">
        <v>1E-3</v>
      </c>
      <c r="M80" s="5">
        <v>4666.058</v>
      </c>
      <c r="N80" s="6">
        <v>5.9400000000000001E-2</v>
      </c>
      <c r="O80" s="5">
        <v>0.627</v>
      </c>
      <c r="P80" s="6">
        <v>3.2300000000000002E-2</v>
      </c>
      <c r="Q80" s="5">
        <v>78528.853000000003</v>
      </c>
      <c r="R80" s="1" t="s">
        <v>44</v>
      </c>
      <c r="T80" s="1" t="s">
        <v>93</v>
      </c>
      <c r="V80" s="1" t="s">
        <v>176</v>
      </c>
      <c r="Y80" s="1" t="s">
        <v>247</v>
      </c>
      <c r="Z80" s="1" t="str">
        <f t="shared" si="3"/>
        <v>141 7</v>
      </c>
      <c r="AA80" s="3">
        <f>IF(INDEX('CAMD Facility Data 2023'!$AA$2:$AE$10000,MATCH(Z80,'CAMD Facility Data 2023'!$AE$2:$AE$10000,0),1)&gt;0,INDEX('CAMD Facility Data 2023'!$AA$2:$AE$10000,MATCH(Z80,'CAMD Facility Data 2023'!$AE$2:$AE$10000,0),1),"")</f>
        <v>44762</v>
      </c>
      <c r="AB80" s="5">
        <f>IF(INDEX('CAMD Facility Data 2023'!$AC$2:$AE$10000,MATCH(Z80,'CAMD Facility Data 2023'!$AE$2:$AE$10000,0),1)&gt;0,INDEX('CAMD Facility Data 2023'!$AC$2:$AE$10000,MATCH(Z80,'CAMD Facility Data 2023'!$AE$2:$AE$10000,0),1),"")</f>
        <v>439</v>
      </c>
      <c r="AC80" s="1" t="str">
        <f>IF(INDEX('CAMD Facility Data 2023'!$AE$2:$AG$10000,MATCH(Z80,'CAMD Facility Data 2023'!$AE$2:$AE$10000,0),3)&gt;0,INDEX('CAMD Facility Data 2023'!$AE$2:$AG$10000,MATCH(Z80,'CAMD Facility Data 2023'!$AE$2:$AE$10000,0),3),"")</f>
        <v>Y</v>
      </c>
      <c r="AD80" s="20">
        <f t="shared" si="4"/>
        <v>0.15015680249830266</v>
      </c>
      <c r="AE80" s="25">
        <f t="shared" si="5"/>
        <v>2.0420229922717675E-2</v>
      </c>
    </row>
    <row r="81" spans="1:31" x14ac:dyDescent="0.2">
      <c r="A81" s="1" t="s">
        <v>234</v>
      </c>
      <c r="B81" s="1" t="s">
        <v>315</v>
      </c>
      <c r="C81" s="1">
        <v>141</v>
      </c>
      <c r="D81" s="1">
        <v>8</v>
      </c>
      <c r="F81" s="1">
        <v>2023</v>
      </c>
      <c r="G81" s="5">
        <v>359</v>
      </c>
      <c r="H81" s="5">
        <v>252.56</v>
      </c>
      <c r="I81" s="5">
        <v>9766.33</v>
      </c>
      <c r="K81" s="5">
        <v>2.7E-2</v>
      </c>
      <c r="L81" s="5">
        <v>1E-3</v>
      </c>
      <c r="M81" s="5">
        <v>5344.7359999999999</v>
      </c>
      <c r="N81" s="6">
        <v>5.9299999999999999E-2</v>
      </c>
      <c r="O81" s="5">
        <v>0.64700000000000002</v>
      </c>
      <c r="P81" s="6">
        <v>3.2199999999999999E-2</v>
      </c>
      <c r="Q81" s="5">
        <v>89927.025999999998</v>
      </c>
      <c r="R81" s="1" t="s">
        <v>44</v>
      </c>
      <c r="T81" s="1" t="s">
        <v>93</v>
      </c>
      <c r="V81" s="1" t="s">
        <v>176</v>
      </c>
      <c r="Y81" s="1" t="s">
        <v>247</v>
      </c>
      <c r="Z81" s="1" t="str">
        <f t="shared" si="3"/>
        <v>141 8</v>
      </c>
      <c r="AA81" s="3">
        <f>IF(INDEX('CAMD Facility Data 2023'!$AA$2:$AE$10000,MATCH(Z81,'CAMD Facility Data 2023'!$AE$2:$AE$10000,0),1)&gt;0,INDEX('CAMD Facility Data 2023'!$AA$2:$AE$10000,MATCH(Z81,'CAMD Facility Data 2023'!$AE$2:$AE$10000,0),1),"")</f>
        <v>44777</v>
      </c>
      <c r="AB81" s="5">
        <f>IF(INDEX('CAMD Facility Data 2023'!$AC$2:$AE$10000,MATCH(Z81,'CAMD Facility Data 2023'!$AE$2:$AE$10000,0),1)&gt;0,INDEX('CAMD Facility Data 2023'!$AC$2:$AE$10000,MATCH(Z81,'CAMD Facility Data 2023'!$AE$2:$AE$10000,0),1),"")</f>
        <v>439</v>
      </c>
      <c r="AC81" s="1" t="str">
        <f>IF(INDEX('CAMD Facility Data 2023'!$AE$2:$AG$10000,MATCH(Z81,'CAMD Facility Data 2023'!$AE$2:$AE$10000,0),3)&gt;0,INDEX('CAMD Facility Data 2023'!$AE$2:$AG$10000,MATCH(Z81,'CAMD Facility Data 2023'!$AE$2:$AE$10000,0),3),"")</f>
        <v>Y</v>
      </c>
      <c r="AD81" s="20">
        <f t="shared" si="4"/>
        <v>0.13249603484625239</v>
      </c>
      <c r="AE81" s="25">
        <f t="shared" si="5"/>
        <v>2.3384150882557908E-2</v>
      </c>
    </row>
    <row r="82" spans="1:31" x14ac:dyDescent="0.2">
      <c r="A82" s="1" t="s">
        <v>234</v>
      </c>
      <c r="B82" s="1" t="s">
        <v>323</v>
      </c>
      <c r="C82" s="1">
        <v>147</v>
      </c>
      <c r="D82" s="1" t="s">
        <v>324</v>
      </c>
      <c r="F82" s="1">
        <v>2023</v>
      </c>
      <c r="G82" s="5">
        <v>6069</v>
      </c>
      <c r="H82" s="5">
        <v>5997.33</v>
      </c>
      <c r="I82" s="5">
        <v>1285009.72</v>
      </c>
      <c r="K82" s="5">
        <v>2.6760000000000002</v>
      </c>
      <c r="L82" s="5">
        <v>1E-3</v>
      </c>
      <c r="M82" s="5">
        <v>530083.42599999998</v>
      </c>
      <c r="N82" s="6">
        <v>5.8999999999999997E-2</v>
      </c>
      <c r="O82" s="5">
        <v>42.570999999999998</v>
      </c>
      <c r="P82" s="6">
        <v>1.3100000000000001E-2</v>
      </c>
      <c r="Q82" s="5">
        <v>8919617.0879999995</v>
      </c>
      <c r="R82" s="1" t="s">
        <v>44</v>
      </c>
      <c r="T82" s="1" t="s">
        <v>71</v>
      </c>
      <c r="V82" s="1" t="s">
        <v>64</v>
      </c>
      <c r="Y82" s="1" t="s">
        <v>247</v>
      </c>
      <c r="Z82" s="1" t="str">
        <f t="shared" si="3"/>
        <v>147 K-7</v>
      </c>
      <c r="AA82" s="3">
        <f>IF(INDEX('CAMD Facility Data 2023'!$AA$2:$AE$10000,MATCH(Z82,'CAMD Facility Data 2023'!$AE$2:$AE$10000,0),1)&gt;0,INDEX('CAMD Facility Data 2023'!$AA$2:$AE$10000,MATCH(Z82,'CAMD Facility Data 2023'!$AE$2:$AE$10000,0),1),"")</f>
        <v>37322</v>
      </c>
      <c r="AB82" s="5">
        <f>IF(INDEX('CAMD Facility Data 2023'!$AC$2:$AE$10000,MATCH(Z82,'CAMD Facility Data 2023'!$AE$2:$AE$10000,0),1)&gt;0,INDEX('CAMD Facility Data 2023'!$AC$2:$AE$10000,MATCH(Z82,'CAMD Facility Data 2023'!$AE$2:$AE$10000,0),1),"")</f>
        <v>2310</v>
      </c>
      <c r="AC82" s="1" t="str">
        <f>IF(INDEX('CAMD Facility Data 2023'!$AE$2:$AG$10000,MATCH(Z82,'CAMD Facility Data 2023'!$AE$2:$AE$10000,0),3)&gt;0,INDEX('CAMD Facility Data 2023'!$AE$2:$AG$10000,MATCH(Z82,'CAMD Facility Data 2023'!$AE$2:$AE$10000,0),3),"")</f>
        <v>Y</v>
      </c>
      <c r="AD82" s="20">
        <f t="shared" si="4"/>
        <v>6.6257864570860997E-2</v>
      </c>
      <c r="AE82" s="25">
        <f t="shared" si="5"/>
        <v>0.44078836743165506</v>
      </c>
    </row>
    <row r="83" spans="1:31" x14ac:dyDescent="0.2">
      <c r="A83" s="1" t="s">
        <v>234</v>
      </c>
      <c r="B83" s="1" t="s">
        <v>326</v>
      </c>
      <c r="C83" s="1">
        <v>160</v>
      </c>
      <c r="D83" s="1">
        <v>1</v>
      </c>
      <c r="F83" s="1">
        <v>2023</v>
      </c>
      <c r="G83" s="5">
        <v>4695</v>
      </c>
      <c r="H83" s="5">
        <v>4683.41</v>
      </c>
      <c r="I83" s="5">
        <v>204101.85</v>
      </c>
      <c r="K83" s="5">
        <v>0.67900000000000005</v>
      </c>
      <c r="L83" s="5">
        <v>1E-3</v>
      </c>
      <c r="M83" s="5">
        <v>134427.42499999999</v>
      </c>
      <c r="N83" s="6">
        <v>5.91E-2</v>
      </c>
      <c r="O83" s="5">
        <v>42.274000000000001</v>
      </c>
      <c r="P83" s="6">
        <v>3.73E-2</v>
      </c>
      <c r="Q83" s="5">
        <v>2261985.1940000001</v>
      </c>
      <c r="R83" s="1" t="s">
        <v>44</v>
      </c>
      <c r="T83" s="1" t="s">
        <v>89</v>
      </c>
      <c r="Y83" s="1" t="s">
        <v>247</v>
      </c>
      <c r="Z83" s="1" t="str">
        <f t="shared" si="3"/>
        <v>160 1</v>
      </c>
      <c r="AA83" s="3">
        <f>IF(INDEX('CAMD Facility Data 2023'!$AA$2:$AE$10000,MATCH(Z83,'CAMD Facility Data 2023'!$AE$2:$AE$10000,0),1)&gt;0,INDEX('CAMD Facility Data 2023'!$AA$2:$AE$10000,MATCH(Z83,'CAMD Facility Data 2023'!$AE$2:$AE$10000,0),1),"")</f>
        <v>23621</v>
      </c>
      <c r="AB83" s="5">
        <f>IF(INDEX('CAMD Facility Data 2023'!$AC$2:$AE$10000,MATCH(Z83,'CAMD Facility Data 2023'!$AE$2:$AE$10000,0),1)&gt;0,INDEX('CAMD Facility Data 2023'!$AC$2:$AE$10000,MATCH(Z83,'CAMD Facility Data 2023'!$AE$2:$AE$10000,0),1),"")</f>
        <v>919</v>
      </c>
      <c r="AC83" s="1" t="str">
        <f>IF(INDEX('CAMD Facility Data 2023'!$AE$2:$AG$10000,MATCH(Z83,'CAMD Facility Data 2023'!$AE$2:$AE$10000,0),3)&gt;0,INDEX('CAMD Facility Data 2023'!$AE$2:$AG$10000,MATCH(Z83,'CAMD Facility Data 2023'!$AE$2:$AE$10000,0),3),"")</f>
        <v/>
      </c>
      <c r="AD83" s="20">
        <f t="shared" si="4"/>
        <v>0.41424416290200211</v>
      </c>
      <c r="AE83" s="25">
        <f t="shared" si="5"/>
        <v>0.28097659183845852</v>
      </c>
    </row>
    <row r="84" spans="1:31" x14ac:dyDescent="0.2">
      <c r="A84" s="1" t="s">
        <v>234</v>
      </c>
      <c r="B84" s="1" t="s">
        <v>326</v>
      </c>
      <c r="C84" s="1">
        <v>160</v>
      </c>
      <c r="D84" s="1">
        <v>2</v>
      </c>
      <c r="F84" s="1">
        <v>2023</v>
      </c>
      <c r="G84" s="5">
        <v>5549</v>
      </c>
      <c r="H84" s="5">
        <v>5523.98</v>
      </c>
      <c r="I84" s="5">
        <v>605459.44999999995</v>
      </c>
      <c r="K84" s="5">
        <v>1.8640000000000001</v>
      </c>
      <c r="L84" s="5">
        <v>1E-3</v>
      </c>
      <c r="M84" s="5">
        <v>370786.48499999999</v>
      </c>
      <c r="N84" s="6">
        <v>5.8599999999999999E-2</v>
      </c>
      <c r="O84" s="5">
        <v>182.5</v>
      </c>
      <c r="P84" s="6">
        <v>5.8299999999999998E-2</v>
      </c>
      <c r="Q84" s="5">
        <v>6254897.4479999999</v>
      </c>
      <c r="R84" s="1" t="s">
        <v>44</v>
      </c>
      <c r="T84" s="1" t="s">
        <v>319</v>
      </c>
      <c r="U84" s="1" t="s">
        <v>241</v>
      </c>
      <c r="V84" s="1" t="s">
        <v>220</v>
      </c>
      <c r="W84" s="1" t="s">
        <v>331</v>
      </c>
      <c r="Y84" s="1" t="s">
        <v>236</v>
      </c>
      <c r="Z84" s="1" t="str">
        <f t="shared" si="3"/>
        <v>160 2</v>
      </c>
      <c r="AA84" s="3">
        <f>IF(INDEX('CAMD Facility Data 2023'!$AA$2:$AE$10000,MATCH(Z84,'CAMD Facility Data 2023'!$AE$2:$AE$10000,0),1)&gt;0,INDEX('CAMD Facility Data 2023'!$AA$2:$AE$10000,MATCH(Z84,'CAMD Facility Data 2023'!$AE$2:$AE$10000,0),1),"")</f>
        <v>28856</v>
      </c>
      <c r="AB84" s="5">
        <f>IF(INDEX('CAMD Facility Data 2023'!$AC$2:$AE$10000,MATCH(Z84,'CAMD Facility Data 2023'!$AE$2:$AE$10000,0),1)&gt;0,INDEX('CAMD Facility Data 2023'!$AC$2:$AE$10000,MATCH(Z84,'CAMD Facility Data 2023'!$AE$2:$AE$10000,0),1),"")</f>
        <v>1900</v>
      </c>
      <c r="AC84" s="1" t="str">
        <f>IF(INDEX('CAMD Facility Data 2023'!$AE$2:$AG$10000,MATCH(Z84,'CAMD Facility Data 2023'!$AE$2:$AE$10000,0),3)&gt;0,INDEX('CAMD Facility Data 2023'!$AE$2:$AG$10000,MATCH(Z84,'CAMD Facility Data 2023'!$AE$2:$AE$10000,0),3),"")</f>
        <v/>
      </c>
      <c r="AD84" s="20">
        <f t="shared" si="4"/>
        <v>0.60284796942222973</v>
      </c>
      <c r="AE84" s="25">
        <f t="shared" si="5"/>
        <v>0.37580494160057676</v>
      </c>
    </row>
    <row r="85" spans="1:31" x14ac:dyDescent="0.2">
      <c r="A85" s="1" t="s">
        <v>234</v>
      </c>
      <c r="B85" s="1" t="s">
        <v>326</v>
      </c>
      <c r="C85" s="1">
        <v>160</v>
      </c>
      <c r="D85" s="1">
        <v>3</v>
      </c>
      <c r="F85" s="1">
        <v>2023</v>
      </c>
      <c r="G85" s="5">
        <v>6933</v>
      </c>
      <c r="H85" s="5">
        <v>6917.01</v>
      </c>
      <c r="I85" s="5">
        <v>1103443.31</v>
      </c>
      <c r="K85" s="5">
        <v>135.94399999999999</v>
      </c>
      <c r="L85" s="5">
        <v>2.1700000000000001E-2</v>
      </c>
      <c r="M85" s="5">
        <v>898737.49399999995</v>
      </c>
      <c r="N85" s="6">
        <v>8.0100000000000005E-2</v>
      </c>
      <c r="O85" s="5">
        <v>944.66499999999996</v>
      </c>
      <c r="P85" s="6">
        <v>0.16470000000000001</v>
      </c>
      <c r="Q85" s="5">
        <v>10838290.971999999</v>
      </c>
      <c r="R85" s="1" t="s">
        <v>55</v>
      </c>
      <c r="S85" s="1" t="s">
        <v>44</v>
      </c>
      <c r="T85" s="1" t="s">
        <v>319</v>
      </c>
      <c r="U85" s="1" t="s">
        <v>241</v>
      </c>
      <c r="V85" s="1" t="s">
        <v>220</v>
      </c>
      <c r="W85" s="1" t="s">
        <v>331</v>
      </c>
      <c r="Y85" s="1" t="s">
        <v>236</v>
      </c>
      <c r="Z85" s="1" t="str">
        <f t="shared" si="3"/>
        <v>160 3</v>
      </c>
      <c r="AA85" s="3">
        <f>IF(INDEX('CAMD Facility Data 2023'!$AA$2:$AE$10000,MATCH(Z85,'CAMD Facility Data 2023'!$AE$2:$AE$10000,0),1)&gt;0,INDEX('CAMD Facility Data 2023'!$AA$2:$AE$10000,MATCH(Z85,'CAMD Facility Data 2023'!$AE$2:$AE$10000,0),1),"")</f>
        <v>29099</v>
      </c>
      <c r="AB85" s="5">
        <f>IF(INDEX('CAMD Facility Data 2023'!$AC$2:$AE$10000,MATCH(Z85,'CAMD Facility Data 2023'!$AE$2:$AE$10000,0),1)&gt;0,INDEX('CAMD Facility Data 2023'!$AC$2:$AE$10000,MATCH(Z85,'CAMD Facility Data 2023'!$AE$2:$AE$10000,0),1),"")</f>
        <v>1900</v>
      </c>
      <c r="AC85" s="1" t="str">
        <f>IF(INDEX('CAMD Facility Data 2023'!$AE$2:$AG$10000,MATCH(Z85,'CAMD Facility Data 2023'!$AE$2:$AE$10000,0),3)&gt;0,INDEX('CAMD Facility Data 2023'!$AE$2:$AG$10000,MATCH(Z85,'CAMD Facility Data 2023'!$AE$2:$AE$10000,0),3),"")</f>
        <v/>
      </c>
      <c r="AD85" s="20">
        <f t="shared" si="4"/>
        <v>1.7122130179936474</v>
      </c>
      <c r="AE85" s="25">
        <f t="shared" si="5"/>
        <v>0.65118306729151643</v>
      </c>
    </row>
    <row r="86" spans="1:31" x14ac:dyDescent="0.2">
      <c r="A86" s="1" t="s">
        <v>234</v>
      </c>
      <c r="B86" s="1" t="s">
        <v>326</v>
      </c>
      <c r="C86" s="1">
        <v>160</v>
      </c>
      <c r="D86" s="1">
        <v>4</v>
      </c>
      <c r="F86" s="1">
        <v>2023</v>
      </c>
      <c r="G86" s="5">
        <v>4081</v>
      </c>
      <c r="H86" s="5">
        <v>3802.49</v>
      </c>
      <c r="I86" s="5">
        <v>124919.63</v>
      </c>
      <c r="K86" s="5">
        <v>0.4</v>
      </c>
      <c r="L86" s="5">
        <v>1E-3</v>
      </c>
      <c r="M86" s="5">
        <v>79170.619000000006</v>
      </c>
      <c r="N86" s="6">
        <v>5.9299999999999999E-2</v>
      </c>
      <c r="O86" s="5">
        <v>13.664999999999999</v>
      </c>
      <c r="P86" s="6">
        <v>2.58E-2</v>
      </c>
      <c r="Q86" s="5">
        <v>1332189.4979999999</v>
      </c>
      <c r="R86" s="1" t="s">
        <v>44</v>
      </c>
      <c r="T86" s="1" t="s">
        <v>93</v>
      </c>
      <c r="V86" s="1" t="s">
        <v>176</v>
      </c>
      <c r="Y86" s="1" t="s">
        <v>247</v>
      </c>
      <c r="Z86" s="1" t="str">
        <f t="shared" si="3"/>
        <v>160 4</v>
      </c>
      <c r="AA86" s="3">
        <f>IF(INDEX('CAMD Facility Data 2023'!$AA$2:$AE$10000,MATCH(Z86,'CAMD Facility Data 2023'!$AE$2:$AE$10000,0),1)&gt;0,INDEX('CAMD Facility Data 2023'!$AA$2:$AE$10000,MATCH(Z86,'CAMD Facility Data 2023'!$AE$2:$AE$10000,0),1),"")</f>
        <v>37561</v>
      </c>
      <c r="AB86" s="5">
        <f>IF(INDEX('CAMD Facility Data 2023'!$AC$2:$AE$10000,MATCH(Z86,'CAMD Facility Data 2023'!$AE$2:$AE$10000,0),1)&gt;0,INDEX('CAMD Facility Data 2023'!$AC$2:$AE$10000,MATCH(Z86,'CAMD Facility Data 2023'!$AE$2:$AE$10000,0),1),"")</f>
        <v>413.1</v>
      </c>
      <c r="AC86" s="1" t="str">
        <f>IF(INDEX('CAMD Facility Data 2023'!$AE$2:$AG$10000,MATCH(Z86,'CAMD Facility Data 2023'!$AE$2:$AE$10000,0),3)&gt;0,INDEX('CAMD Facility Data 2023'!$AE$2:$AG$10000,MATCH(Z86,'CAMD Facility Data 2023'!$AE$2:$AE$10000,0),3),"")</f>
        <v>Y</v>
      </c>
      <c r="AD86" s="20">
        <f t="shared" si="4"/>
        <v>0.21878066721779435</v>
      </c>
      <c r="AE86" s="25">
        <f t="shared" si="5"/>
        <v>0.36813465677155349</v>
      </c>
    </row>
    <row r="87" spans="1:31" x14ac:dyDescent="0.2">
      <c r="A87" s="1" t="s">
        <v>335</v>
      </c>
      <c r="B87" s="1" t="s">
        <v>336</v>
      </c>
      <c r="C87" s="1">
        <v>165</v>
      </c>
      <c r="D87" s="1">
        <v>1</v>
      </c>
      <c r="F87" s="1">
        <v>2023</v>
      </c>
      <c r="G87" s="5">
        <v>0</v>
      </c>
      <c r="H87" s="5">
        <v>0</v>
      </c>
      <c r="R87" s="1" t="s">
        <v>55</v>
      </c>
      <c r="S87" s="1" t="s">
        <v>341</v>
      </c>
      <c r="T87" s="1" t="s">
        <v>89</v>
      </c>
      <c r="V87" s="1" t="s">
        <v>220</v>
      </c>
      <c r="W87" s="1" t="s">
        <v>58</v>
      </c>
      <c r="Y87" s="1" t="s">
        <v>337</v>
      </c>
      <c r="Z87" s="1" t="str">
        <f t="shared" si="3"/>
        <v>165 1</v>
      </c>
      <c r="AA87" s="3">
        <f>IF(INDEX('CAMD Facility Data 2023'!$AA$2:$AE$10000,MATCH(Z87,'CAMD Facility Data 2023'!$AE$2:$AE$10000,0),1)&gt;0,INDEX('CAMD Facility Data 2023'!$AA$2:$AE$10000,MATCH(Z87,'CAMD Facility Data 2023'!$AE$2:$AE$10000,0),1),"")</f>
        <v>29952</v>
      </c>
      <c r="AB87" s="5">
        <f>IF(INDEX('CAMD Facility Data 2023'!$AC$2:$AE$10000,MATCH(Z87,'CAMD Facility Data 2023'!$AE$2:$AE$10000,0),1)&gt;0,INDEX('CAMD Facility Data 2023'!$AC$2:$AE$10000,MATCH(Z87,'CAMD Facility Data 2023'!$AE$2:$AE$10000,0),1),"")</f>
        <v>6100</v>
      </c>
      <c r="AC87" s="1" t="str">
        <f>IF(INDEX('CAMD Facility Data 2023'!$AE$2:$AG$10000,MATCH(Z87,'CAMD Facility Data 2023'!$AE$2:$AE$10000,0),3)&gt;0,INDEX('CAMD Facility Data 2023'!$AE$2:$AG$10000,MATCH(Z87,'CAMD Facility Data 2023'!$AE$2:$AE$10000,0),3),"")</f>
        <v/>
      </c>
      <c r="AD87" s="20" t="str">
        <f t="shared" si="4"/>
        <v/>
      </c>
      <c r="AE87" s="25">
        <f t="shared" si="5"/>
        <v>0</v>
      </c>
    </row>
    <row r="88" spans="1:31" x14ac:dyDescent="0.2">
      <c r="A88" s="1" t="s">
        <v>335</v>
      </c>
      <c r="B88" s="1" t="s">
        <v>336</v>
      </c>
      <c r="C88" s="1">
        <v>165</v>
      </c>
      <c r="D88" s="1">
        <v>2</v>
      </c>
      <c r="F88" s="1">
        <v>2023</v>
      </c>
      <c r="G88" s="5">
        <v>3140</v>
      </c>
      <c r="H88" s="5">
        <v>3100.24</v>
      </c>
      <c r="I88" s="5">
        <v>848229.09</v>
      </c>
      <c r="K88" s="5">
        <v>779.63400000000001</v>
      </c>
      <c r="L88" s="5">
        <v>0.15540000000000001</v>
      </c>
      <c r="M88" s="5">
        <v>1009177.0330000001</v>
      </c>
      <c r="N88" s="6">
        <v>9.64E-2</v>
      </c>
      <c r="O88" s="5">
        <v>734.56299999999999</v>
      </c>
      <c r="P88" s="6">
        <v>0.12970000000000001</v>
      </c>
      <c r="Q88" s="5">
        <v>9747312.3870000001</v>
      </c>
      <c r="R88" s="1" t="s">
        <v>55</v>
      </c>
      <c r="S88" s="1" t="s">
        <v>341</v>
      </c>
      <c r="T88" s="1" t="s">
        <v>89</v>
      </c>
      <c r="U88" s="1" t="s">
        <v>212</v>
      </c>
      <c r="V88" s="1" t="s">
        <v>289</v>
      </c>
      <c r="W88" s="1" t="s">
        <v>232</v>
      </c>
      <c r="X88" s="1" t="s">
        <v>344</v>
      </c>
      <c r="Y88" s="1" t="s">
        <v>337</v>
      </c>
      <c r="Z88" s="1" t="str">
        <f t="shared" si="3"/>
        <v>165 2</v>
      </c>
      <c r="AA88" s="3">
        <f>IF(INDEX('CAMD Facility Data 2023'!$AA$2:$AE$10000,MATCH(Z88,'CAMD Facility Data 2023'!$AE$2:$AE$10000,0),1)&gt;0,INDEX('CAMD Facility Data 2023'!$AA$2:$AE$10000,MATCH(Z88,'CAMD Facility Data 2023'!$AE$2:$AE$10000,0),1),"")</f>
        <v>31503</v>
      </c>
      <c r="AB88" s="5">
        <f>IF(INDEX('CAMD Facility Data 2023'!$AC$2:$AE$10000,MATCH(Z88,'CAMD Facility Data 2023'!$AE$2:$AE$10000,0),1)&gt;0,INDEX('CAMD Facility Data 2023'!$AC$2:$AE$10000,MATCH(Z88,'CAMD Facility Data 2023'!$AE$2:$AE$10000,0),1),"")</f>
        <v>6400</v>
      </c>
      <c r="AC88" s="1" t="str">
        <f>IF(INDEX('CAMD Facility Data 2023'!$AE$2:$AG$10000,MATCH(Z88,'CAMD Facility Data 2023'!$AE$2:$AE$10000,0),3)&gt;0,INDEX('CAMD Facility Data 2023'!$AE$2:$AG$10000,MATCH(Z88,'CAMD Facility Data 2023'!$AE$2:$AE$10000,0),3),"")</f>
        <v/>
      </c>
      <c r="AD88" s="20">
        <f t="shared" si="4"/>
        <v>1.731992002302114</v>
      </c>
      <c r="AE88" s="25">
        <f t="shared" si="5"/>
        <v>0.17386045210830481</v>
      </c>
    </row>
    <row r="89" spans="1:31" x14ac:dyDescent="0.2">
      <c r="A89" s="1" t="s">
        <v>335</v>
      </c>
      <c r="B89" s="1" t="s">
        <v>336</v>
      </c>
      <c r="C89" s="1">
        <v>165</v>
      </c>
      <c r="D89" s="1">
        <v>3</v>
      </c>
      <c r="F89" s="1">
        <v>2023</v>
      </c>
      <c r="G89" s="5">
        <v>7327</v>
      </c>
      <c r="H89" s="5">
        <v>7305.37</v>
      </c>
      <c r="I89" s="5">
        <v>2942005.71</v>
      </c>
      <c r="K89" s="5">
        <v>5.7770000000000001</v>
      </c>
      <c r="L89" s="5">
        <v>1E-3</v>
      </c>
      <c r="M89" s="5">
        <v>1144409.5120000001</v>
      </c>
      <c r="N89" s="6">
        <v>5.8999999999999997E-2</v>
      </c>
      <c r="O89" s="5">
        <v>262.16699999999997</v>
      </c>
      <c r="P89" s="6">
        <v>2.7900000000000001E-2</v>
      </c>
      <c r="Q89" s="5">
        <v>19256874.528999999</v>
      </c>
      <c r="R89" s="1" t="s">
        <v>44</v>
      </c>
      <c r="T89" s="1" t="s">
        <v>71</v>
      </c>
      <c r="V89" s="1" t="s">
        <v>223</v>
      </c>
      <c r="Y89" s="1" t="s">
        <v>346</v>
      </c>
      <c r="Z89" s="1" t="str">
        <f t="shared" si="3"/>
        <v>165 3</v>
      </c>
      <c r="AA89" s="3">
        <f>IF(INDEX('CAMD Facility Data 2023'!$AA$2:$AE$10000,MATCH(Z89,'CAMD Facility Data 2023'!$AE$2:$AE$10000,0),1)&gt;0,INDEX('CAMD Facility Data 2023'!$AA$2:$AE$10000,MATCH(Z89,'CAMD Facility Data 2023'!$AE$2:$AE$10000,0),1),"")</f>
        <v>42811</v>
      </c>
      <c r="AB89" s="5">
        <f>IF(INDEX('CAMD Facility Data 2023'!$AC$2:$AE$10000,MATCH(Z89,'CAMD Facility Data 2023'!$AE$2:$AE$10000,0),1)&gt;0,INDEX('CAMD Facility Data 2023'!$AC$2:$AE$10000,MATCH(Z89,'CAMD Facility Data 2023'!$AE$2:$AE$10000,0),1),"")</f>
        <v>3627</v>
      </c>
      <c r="AC89" s="1" t="str">
        <f>IF(INDEX('CAMD Facility Data 2023'!$AE$2:$AG$10000,MATCH(Z89,'CAMD Facility Data 2023'!$AE$2:$AE$10000,0),3)&gt;0,INDEX('CAMD Facility Data 2023'!$AE$2:$AG$10000,MATCH(Z89,'CAMD Facility Data 2023'!$AE$2:$AE$10000,0),3),"")</f>
        <v>Y</v>
      </c>
      <c r="AD89" s="20">
        <f t="shared" si="4"/>
        <v>0.17822331147005149</v>
      </c>
      <c r="AE89" s="25">
        <f t="shared" si="5"/>
        <v>0.60608584175885327</v>
      </c>
    </row>
    <row r="90" spans="1:31" x14ac:dyDescent="0.2">
      <c r="A90" s="1" t="s">
        <v>348</v>
      </c>
      <c r="B90" s="1" t="s">
        <v>349</v>
      </c>
      <c r="C90" s="1">
        <v>170</v>
      </c>
      <c r="D90" s="1">
        <v>4</v>
      </c>
      <c r="F90" s="1">
        <v>2023</v>
      </c>
      <c r="G90" s="5">
        <v>798</v>
      </c>
      <c r="H90" s="5">
        <v>783.65</v>
      </c>
      <c r="I90" s="5">
        <v>175675.9</v>
      </c>
      <c r="K90" s="5">
        <v>0.55800000000000005</v>
      </c>
      <c r="L90" s="5">
        <v>1E-3</v>
      </c>
      <c r="M90" s="5">
        <v>110584.027</v>
      </c>
      <c r="N90" s="6">
        <v>5.8999999999999997E-2</v>
      </c>
      <c r="O90" s="5">
        <v>234.077</v>
      </c>
      <c r="P90" s="6">
        <v>0.215</v>
      </c>
      <c r="Q90" s="5">
        <v>1860793.213</v>
      </c>
      <c r="R90" s="1" t="s">
        <v>44</v>
      </c>
      <c r="T90" s="1" t="s">
        <v>89</v>
      </c>
      <c r="Y90" s="1" t="s">
        <v>346</v>
      </c>
      <c r="Z90" s="1" t="str">
        <f t="shared" si="3"/>
        <v>170 4</v>
      </c>
      <c r="AA90" s="3">
        <f>IF(INDEX('CAMD Facility Data 2023'!$AA$2:$AE$10000,MATCH(Z90,'CAMD Facility Data 2023'!$AE$2:$AE$10000,0),1)&gt;0,INDEX('CAMD Facility Data 2023'!$AA$2:$AE$10000,MATCH(Z90,'CAMD Facility Data 2023'!$AE$2:$AE$10000,0),1),"")</f>
        <v>25665</v>
      </c>
      <c r="AB90" s="5">
        <f>IF(INDEX('CAMD Facility Data 2023'!$AC$2:$AE$10000,MATCH(Z90,'CAMD Facility Data 2023'!$AE$2:$AE$10000,0),1)&gt;0,INDEX('CAMD Facility Data 2023'!$AC$2:$AE$10000,MATCH(Z90,'CAMD Facility Data 2023'!$AE$2:$AE$10000,0),1),"")</f>
        <v>7606</v>
      </c>
      <c r="AC90" s="1" t="str">
        <f>IF(INDEX('CAMD Facility Data 2023'!$AE$2:$AG$10000,MATCH(Z90,'CAMD Facility Data 2023'!$AE$2:$AE$10000,0),3)&gt;0,INDEX('CAMD Facility Data 2023'!$AE$2:$AG$10000,MATCH(Z90,'CAMD Facility Data 2023'!$AE$2:$AE$10000,0),3),"")</f>
        <v/>
      </c>
      <c r="AD90" s="20">
        <f t="shared" si="4"/>
        <v>2.6648732125465133</v>
      </c>
      <c r="AE90" s="25">
        <f t="shared" si="5"/>
        <v>2.7927861760782463E-2</v>
      </c>
    </row>
    <row r="91" spans="1:31" x14ac:dyDescent="0.2">
      <c r="A91" s="1" t="s">
        <v>348</v>
      </c>
      <c r="B91" s="1" t="s">
        <v>355</v>
      </c>
      <c r="C91" s="1">
        <v>201</v>
      </c>
      <c r="D91" s="1">
        <v>2</v>
      </c>
      <c r="F91" s="1">
        <v>2023</v>
      </c>
      <c r="G91" s="5">
        <v>3225</v>
      </c>
      <c r="H91" s="5">
        <v>3173.83</v>
      </c>
      <c r="I91" s="5">
        <v>411773.43</v>
      </c>
      <c r="K91" s="5">
        <v>1.153</v>
      </c>
      <c r="L91" s="5">
        <v>1.1000000000000001E-3</v>
      </c>
      <c r="M91" s="5">
        <v>211302.11799999999</v>
      </c>
      <c r="N91" s="6">
        <v>5.8999999999999997E-2</v>
      </c>
      <c r="O91" s="5">
        <v>143.35599999999999</v>
      </c>
      <c r="P91" s="6">
        <v>8.1199999999999994E-2</v>
      </c>
      <c r="Q91" s="5">
        <v>3555359.6880000001</v>
      </c>
      <c r="R91" s="1" t="s">
        <v>44</v>
      </c>
      <c r="S91" s="1" t="s">
        <v>94</v>
      </c>
      <c r="T91" s="1" t="s">
        <v>71</v>
      </c>
      <c r="V91" s="1" t="s">
        <v>183</v>
      </c>
      <c r="Y91" s="1" t="s">
        <v>346</v>
      </c>
      <c r="Z91" s="1" t="str">
        <f t="shared" si="3"/>
        <v>201 2</v>
      </c>
      <c r="AA91" s="3">
        <f>IF(INDEX('CAMD Facility Data 2023'!$AA$2:$AE$10000,MATCH(Z91,'CAMD Facility Data 2023'!$AE$2:$AE$10000,0),1)&gt;0,INDEX('CAMD Facility Data 2023'!$AA$2:$AE$10000,MATCH(Z91,'CAMD Facility Data 2023'!$AE$2:$AE$10000,0),1),"")</f>
        <v>37621</v>
      </c>
      <c r="AB91" s="5">
        <f>IF(INDEX('CAMD Facility Data 2023'!$AC$2:$AE$10000,MATCH(Z91,'CAMD Facility Data 2023'!$AE$2:$AE$10000,0),1)&gt;0,INDEX('CAMD Facility Data 2023'!$AC$2:$AE$10000,MATCH(Z91,'CAMD Facility Data 2023'!$AE$2:$AE$10000,0),1),"")</f>
        <v>1750</v>
      </c>
      <c r="AC91" s="1" t="str">
        <f>IF(INDEX('CAMD Facility Data 2023'!$AE$2:$AG$10000,MATCH(Z91,'CAMD Facility Data 2023'!$AE$2:$AE$10000,0),3)&gt;0,INDEX('CAMD Facility Data 2023'!$AE$2:$AG$10000,MATCH(Z91,'CAMD Facility Data 2023'!$AE$2:$AE$10000,0),3),"")</f>
        <v/>
      </c>
      <c r="AD91" s="20">
        <f t="shared" si="4"/>
        <v>0.69628581912145227</v>
      </c>
      <c r="AE91" s="25">
        <f t="shared" si="5"/>
        <v>0.23192170176125246</v>
      </c>
    </row>
    <row r="92" spans="1:31" x14ac:dyDescent="0.2">
      <c r="A92" s="1" t="s">
        <v>348</v>
      </c>
      <c r="B92" s="1" t="s">
        <v>361</v>
      </c>
      <c r="C92" s="1">
        <v>202</v>
      </c>
      <c r="D92" s="1">
        <v>1</v>
      </c>
      <c r="F92" s="1">
        <v>2023</v>
      </c>
      <c r="G92" s="5">
        <v>0</v>
      </c>
      <c r="H92" s="5">
        <v>0</v>
      </c>
      <c r="R92" s="1" t="s">
        <v>44</v>
      </c>
      <c r="S92" s="1" t="s">
        <v>173</v>
      </c>
      <c r="T92" s="1" t="s">
        <v>89</v>
      </c>
      <c r="Y92" s="1" t="s">
        <v>346</v>
      </c>
      <c r="Z92" s="1" t="str">
        <f t="shared" si="3"/>
        <v>202 1</v>
      </c>
      <c r="AA92" s="3">
        <f>IF(INDEX('CAMD Facility Data 2023'!$AA$2:$AE$10000,MATCH(Z92,'CAMD Facility Data 2023'!$AE$2:$AE$10000,0),1)&gt;0,INDEX('CAMD Facility Data 2023'!$AA$2:$AE$10000,MATCH(Z92,'CAMD Facility Data 2023'!$AE$2:$AE$10000,0),1),"")</f>
        <v>24181</v>
      </c>
      <c r="AB92" s="5">
        <f>IF(INDEX('CAMD Facility Data 2023'!$AC$2:$AE$10000,MATCH(Z92,'CAMD Facility Data 2023'!$AE$2:$AE$10000,0),1)&gt;0,INDEX('CAMD Facility Data 2023'!$AC$2:$AE$10000,MATCH(Z92,'CAMD Facility Data 2023'!$AE$2:$AE$10000,0),1),"")</f>
        <v>1436</v>
      </c>
      <c r="AC92" s="1" t="str">
        <f>IF(INDEX('CAMD Facility Data 2023'!$AE$2:$AG$10000,MATCH(Z92,'CAMD Facility Data 2023'!$AE$2:$AE$10000,0),3)&gt;0,INDEX('CAMD Facility Data 2023'!$AE$2:$AG$10000,MATCH(Z92,'CAMD Facility Data 2023'!$AE$2:$AE$10000,0),3),"")</f>
        <v/>
      </c>
      <c r="AD92" s="20" t="str">
        <f t="shared" si="4"/>
        <v/>
      </c>
      <c r="AE92" s="25">
        <f t="shared" si="5"/>
        <v>0</v>
      </c>
    </row>
    <row r="93" spans="1:31" x14ac:dyDescent="0.2">
      <c r="A93" s="1" t="s">
        <v>348</v>
      </c>
      <c r="B93" s="1" t="s">
        <v>366</v>
      </c>
      <c r="C93" s="1">
        <v>203</v>
      </c>
      <c r="D93" s="1">
        <v>1</v>
      </c>
      <c r="F93" s="1">
        <v>2023</v>
      </c>
      <c r="G93" s="5">
        <v>982</v>
      </c>
      <c r="H93" s="5">
        <v>936.26</v>
      </c>
      <c r="J93" s="5">
        <v>297379.09999999998</v>
      </c>
      <c r="K93" s="5">
        <v>0.67</v>
      </c>
      <c r="L93" s="5">
        <v>2E-3</v>
      </c>
      <c r="M93" s="5">
        <v>28488.873</v>
      </c>
      <c r="N93" s="6">
        <v>5.8500000000000003E-2</v>
      </c>
      <c r="O93" s="5">
        <v>80.596999999999994</v>
      </c>
      <c r="P93" s="6">
        <v>0.2344</v>
      </c>
      <c r="Q93" s="5">
        <v>488713.48800000001</v>
      </c>
      <c r="R93" s="1" t="s">
        <v>44</v>
      </c>
      <c r="S93" s="1" t="s">
        <v>173</v>
      </c>
      <c r="T93" s="1" t="s">
        <v>89</v>
      </c>
      <c r="Y93" s="1" t="s">
        <v>346</v>
      </c>
      <c r="Z93" s="1" t="str">
        <f t="shared" si="3"/>
        <v>203 1</v>
      </c>
      <c r="AA93" s="3">
        <f>IF(INDEX('CAMD Facility Data 2023'!$AA$2:$AE$10000,MATCH(Z93,'CAMD Facility Data 2023'!$AE$2:$AE$10000,0),1)&gt;0,INDEX('CAMD Facility Data 2023'!$AA$2:$AE$10000,MATCH(Z93,'CAMD Facility Data 2023'!$AE$2:$AE$10000,0),1),"")</f>
        <v>25659</v>
      </c>
      <c r="AB93" s="5">
        <f>IF(INDEX('CAMD Facility Data 2023'!$AC$2:$AE$10000,MATCH(Z93,'CAMD Facility Data 2023'!$AE$2:$AE$10000,0),1)&gt;0,INDEX('CAMD Facility Data 2023'!$AC$2:$AE$10000,MATCH(Z93,'CAMD Facility Data 2023'!$AE$2:$AE$10000,0),1),"")</f>
        <v>1436</v>
      </c>
      <c r="AC93" s="1" t="str">
        <f>IF(INDEX('CAMD Facility Data 2023'!$AE$2:$AG$10000,MATCH(Z93,'CAMD Facility Data 2023'!$AE$2:$AE$10000,0),3)&gt;0,INDEX('CAMD Facility Data 2023'!$AE$2:$AG$10000,MATCH(Z93,'CAMD Facility Data 2023'!$AE$2:$AE$10000,0),3),"")</f>
        <v/>
      </c>
      <c r="AD93" s="20" t="str">
        <f t="shared" si="4"/>
        <v/>
      </c>
      <c r="AE93" s="25">
        <f t="shared" si="5"/>
        <v>3.8850425458846871E-2</v>
      </c>
    </row>
    <row r="94" spans="1:31" x14ac:dyDescent="0.2">
      <c r="A94" s="1" t="s">
        <v>370</v>
      </c>
      <c r="B94" s="1" t="s">
        <v>371</v>
      </c>
      <c r="C94" s="1">
        <v>260</v>
      </c>
      <c r="D94" s="1" t="s">
        <v>372</v>
      </c>
      <c r="F94" s="1">
        <v>2023</v>
      </c>
      <c r="G94" s="5">
        <v>6784</v>
      </c>
      <c r="H94" s="5">
        <v>6535.09</v>
      </c>
      <c r="I94" s="5">
        <v>1544994.31</v>
      </c>
      <c r="K94" s="5">
        <v>3.3109999999999999</v>
      </c>
      <c r="L94" s="5">
        <v>1E-3</v>
      </c>
      <c r="M94" s="5">
        <v>621842.12100000004</v>
      </c>
      <c r="N94" s="6">
        <v>6.2399999999999997E-2</v>
      </c>
      <c r="O94" s="5">
        <v>46.106000000000002</v>
      </c>
      <c r="P94" s="6">
        <v>1.32E-2</v>
      </c>
      <c r="Q94" s="5">
        <v>11037482.277000001</v>
      </c>
      <c r="R94" s="1" t="s">
        <v>44</v>
      </c>
      <c r="T94" s="1" t="s">
        <v>71</v>
      </c>
      <c r="V94" s="1" t="s">
        <v>64</v>
      </c>
      <c r="Y94" s="1" t="s">
        <v>247</v>
      </c>
      <c r="Z94" s="1" t="str">
        <f t="shared" si="3"/>
        <v>260 1A</v>
      </c>
      <c r="AA94" s="3">
        <f>IF(INDEX('CAMD Facility Data 2023'!$AA$2:$AE$10000,MATCH(Z94,'CAMD Facility Data 2023'!$AE$2:$AE$10000,0),1)&gt;0,INDEX('CAMD Facility Data 2023'!$AA$2:$AE$10000,MATCH(Z94,'CAMD Facility Data 2023'!$AE$2:$AE$10000,0),1),"")</f>
        <v>37355</v>
      </c>
      <c r="AB94" s="5">
        <f>IF(INDEX('CAMD Facility Data 2023'!$AC$2:$AE$10000,MATCH(Z94,'CAMD Facility Data 2023'!$AE$2:$AE$10000,0),1)&gt;0,INDEX('CAMD Facility Data 2023'!$AC$2:$AE$10000,MATCH(Z94,'CAMD Facility Data 2023'!$AE$2:$AE$10000,0),1),"")</f>
        <v>2057</v>
      </c>
      <c r="AC94" s="1" t="str">
        <f>IF(INDEX('CAMD Facility Data 2023'!$AE$2:$AG$10000,MATCH(Z94,'CAMD Facility Data 2023'!$AE$2:$AE$10000,0),3)&gt;0,INDEX('CAMD Facility Data 2023'!$AE$2:$AG$10000,MATCH(Z94,'CAMD Facility Data 2023'!$AE$2:$AE$10000,0),3),"")</f>
        <v>Y</v>
      </c>
      <c r="AD94" s="20">
        <f t="shared" si="4"/>
        <v>5.9684362203249797E-2</v>
      </c>
      <c r="AE94" s="25">
        <f t="shared" si="5"/>
        <v>0.61253600452181334</v>
      </c>
    </row>
    <row r="95" spans="1:31" x14ac:dyDescent="0.2">
      <c r="A95" s="1" t="s">
        <v>370</v>
      </c>
      <c r="B95" s="1" t="s">
        <v>371</v>
      </c>
      <c r="C95" s="1">
        <v>260</v>
      </c>
      <c r="D95" s="1" t="s">
        <v>377</v>
      </c>
      <c r="F95" s="1">
        <v>2023</v>
      </c>
      <c r="G95" s="5">
        <v>6477</v>
      </c>
      <c r="H95" s="5">
        <v>6206.65</v>
      </c>
      <c r="I95" s="5">
        <v>1484996.44</v>
      </c>
      <c r="K95" s="5">
        <v>3.15</v>
      </c>
      <c r="L95" s="5">
        <v>1E-3</v>
      </c>
      <c r="M95" s="5">
        <v>591557.11300000001</v>
      </c>
      <c r="N95" s="6">
        <v>6.5500000000000003E-2</v>
      </c>
      <c r="O95" s="5">
        <v>44.515000000000001</v>
      </c>
      <c r="P95" s="6">
        <v>1.43E-2</v>
      </c>
      <c r="Q95" s="5">
        <v>10500439.885</v>
      </c>
      <c r="R95" s="1" t="s">
        <v>44</v>
      </c>
      <c r="T95" s="1" t="s">
        <v>71</v>
      </c>
      <c r="V95" s="1" t="s">
        <v>64</v>
      </c>
      <c r="Y95" s="1" t="s">
        <v>247</v>
      </c>
      <c r="Z95" s="1" t="str">
        <f t="shared" si="3"/>
        <v>260 2A</v>
      </c>
      <c r="AA95" s="3">
        <f>IF(INDEX('CAMD Facility Data 2023'!$AA$2:$AE$10000,MATCH(Z95,'CAMD Facility Data 2023'!$AE$2:$AE$10000,0),1)&gt;0,INDEX('CAMD Facility Data 2023'!$AA$2:$AE$10000,MATCH(Z95,'CAMD Facility Data 2023'!$AE$2:$AE$10000,0),1),"")</f>
        <v>37355</v>
      </c>
      <c r="AB95" s="5">
        <f>IF(INDEX('CAMD Facility Data 2023'!$AC$2:$AE$10000,MATCH(Z95,'CAMD Facility Data 2023'!$AE$2:$AE$10000,0),1)&gt;0,INDEX('CAMD Facility Data 2023'!$AC$2:$AE$10000,MATCH(Z95,'CAMD Facility Data 2023'!$AE$2:$AE$10000,0),1),"")</f>
        <v>2057</v>
      </c>
      <c r="AC95" s="1" t="str">
        <f>IF(INDEX('CAMD Facility Data 2023'!$AE$2:$AG$10000,MATCH(Z95,'CAMD Facility Data 2023'!$AE$2:$AE$10000,0),3)&gt;0,INDEX('CAMD Facility Data 2023'!$AE$2:$AG$10000,MATCH(Z95,'CAMD Facility Data 2023'!$AE$2:$AE$10000,0),3),"")</f>
        <v>Y</v>
      </c>
      <c r="AD95" s="20">
        <f t="shared" si="4"/>
        <v>5.9953005678586004E-2</v>
      </c>
      <c r="AE95" s="25">
        <f t="shared" si="5"/>
        <v>0.5827323053811132</v>
      </c>
    </row>
    <row r="96" spans="1:31" x14ac:dyDescent="0.2">
      <c r="A96" s="1" t="s">
        <v>370</v>
      </c>
      <c r="B96" s="1" t="s">
        <v>371</v>
      </c>
      <c r="C96" s="1">
        <v>260</v>
      </c>
      <c r="D96" s="1" t="s">
        <v>379</v>
      </c>
      <c r="F96" s="1">
        <v>2023</v>
      </c>
      <c r="G96" s="5">
        <v>5930</v>
      </c>
      <c r="H96" s="5">
        <v>5612.42</v>
      </c>
      <c r="I96" s="5">
        <v>1289318.17</v>
      </c>
      <c r="K96" s="5">
        <v>2.7759999999999998</v>
      </c>
      <c r="L96" s="5">
        <v>1E-3</v>
      </c>
      <c r="M96" s="5">
        <v>521244.64399999997</v>
      </c>
      <c r="N96" s="6">
        <v>6.4100000000000004E-2</v>
      </c>
      <c r="O96" s="5">
        <v>39.902999999999999</v>
      </c>
      <c r="P96" s="6">
        <v>1.5900000000000001E-2</v>
      </c>
      <c r="Q96" s="5">
        <v>9253701.5470000003</v>
      </c>
      <c r="R96" s="1" t="s">
        <v>44</v>
      </c>
      <c r="T96" s="1" t="s">
        <v>71</v>
      </c>
      <c r="V96" s="1" t="s">
        <v>64</v>
      </c>
      <c r="Y96" s="1" t="s">
        <v>247</v>
      </c>
      <c r="Z96" s="1" t="str">
        <f t="shared" si="3"/>
        <v>260 3A</v>
      </c>
      <c r="AA96" s="3">
        <f>IF(INDEX('CAMD Facility Data 2023'!$AA$2:$AE$10000,MATCH(Z96,'CAMD Facility Data 2023'!$AE$2:$AE$10000,0),1)&gt;0,INDEX('CAMD Facility Data 2023'!$AA$2:$AE$10000,MATCH(Z96,'CAMD Facility Data 2023'!$AE$2:$AE$10000,0),1),"")</f>
        <v>37400</v>
      </c>
      <c r="AB96" s="5">
        <f>IF(INDEX('CAMD Facility Data 2023'!$AC$2:$AE$10000,MATCH(Z96,'CAMD Facility Data 2023'!$AE$2:$AE$10000,0),1)&gt;0,INDEX('CAMD Facility Data 2023'!$AC$2:$AE$10000,MATCH(Z96,'CAMD Facility Data 2023'!$AE$2:$AE$10000,0),1),"")</f>
        <v>2057</v>
      </c>
      <c r="AC96" s="1" t="str">
        <f>IF(INDEX('CAMD Facility Data 2023'!$AE$2:$AG$10000,MATCH(Z96,'CAMD Facility Data 2023'!$AE$2:$AE$10000,0),3)&gt;0,INDEX('CAMD Facility Data 2023'!$AE$2:$AG$10000,MATCH(Z96,'CAMD Facility Data 2023'!$AE$2:$AE$10000,0),3),"")</f>
        <v>Y</v>
      </c>
      <c r="AD96" s="20">
        <f t="shared" si="4"/>
        <v>6.1897832402377458E-2</v>
      </c>
      <c r="AE96" s="25">
        <f t="shared" si="5"/>
        <v>0.51354332721767526</v>
      </c>
    </row>
    <row r="97" spans="1:31" x14ac:dyDescent="0.2">
      <c r="A97" s="1" t="s">
        <v>370</v>
      </c>
      <c r="B97" s="1" t="s">
        <v>371</v>
      </c>
      <c r="C97" s="1">
        <v>260</v>
      </c>
      <c r="D97" s="1" t="s">
        <v>381</v>
      </c>
      <c r="F97" s="1">
        <v>2023</v>
      </c>
      <c r="G97" s="5">
        <v>5677</v>
      </c>
      <c r="H97" s="5">
        <v>5369.32</v>
      </c>
      <c r="I97" s="5">
        <v>1246605.51</v>
      </c>
      <c r="K97" s="5">
        <v>2.649</v>
      </c>
      <c r="L97" s="5">
        <v>1E-3</v>
      </c>
      <c r="M97" s="5">
        <v>497385.26400000002</v>
      </c>
      <c r="N97" s="6">
        <v>6.5299999999999997E-2</v>
      </c>
      <c r="O97" s="5">
        <v>39.89</v>
      </c>
      <c r="P97" s="6">
        <v>1.61E-2</v>
      </c>
      <c r="Q97" s="5">
        <v>8828851.2719999999</v>
      </c>
      <c r="R97" s="1" t="s">
        <v>44</v>
      </c>
      <c r="T97" s="1" t="s">
        <v>71</v>
      </c>
      <c r="V97" s="1" t="s">
        <v>64</v>
      </c>
      <c r="Y97" s="1" t="s">
        <v>247</v>
      </c>
      <c r="Z97" s="1" t="str">
        <f t="shared" si="3"/>
        <v>260 4A</v>
      </c>
      <c r="AA97" s="3">
        <f>IF(INDEX('CAMD Facility Data 2023'!$AA$2:$AE$10000,MATCH(Z97,'CAMD Facility Data 2023'!$AE$2:$AE$10000,0),1)&gt;0,INDEX('CAMD Facility Data 2023'!$AA$2:$AE$10000,MATCH(Z97,'CAMD Facility Data 2023'!$AE$2:$AE$10000,0),1),"")</f>
        <v>37402</v>
      </c>
      <c r="AB97" s="5">
        <f>IF(INDEX('CAMD Facility Data 2023'!$AC$2:$AE$10000,MATCH(Z97,'CAMD Facility Data 2023'!$AE$2:$AE$10000,0),1)&gt;0,INDEX('CAMD Facility Data 2023'!$AC$2:$AE$10000,MATCH(Z97,'CAMD Facility Data 2023'!$AE$2:$AE$10000,0),1),"")</f>
        <v>2057</v>
      </c>
      <c r="AC97" s="1" t="str">
        <f>IF(INDEX('CAMD Facility Data 2023'!$AE$2:$AG$10000,MATCH(Z97,'CAMD Facility Data 2023'!$AE$2:$AE$10000,0),3)&gt;0,INDEX('CAMD Facility Data 2023'!$AE$2:$AG$10000,MATCH(Z97,'CAMD Facility Data 2023'!$AE$2:$AE$10000,0),3),"")</f>
        <v>Y</v>
      </c>
      <c r="AD97" s="20">
        <f t="shared" si="4"/>
        <v>6.3997791891678701E-2</v>
      </c>
      <c r="AE97" s="25">
        <f t="shared" si="5"/>
        <v>0.48996584066435361</v>
      </c>
    </row>
    <row r="98" spans="1:31" x14ac:dyDescent="0.2">
      <c r="A98" s="1" t="s">
        <v>383</v>
      </c>
      <c r="B98" s="1" t="s">
        <v>384</v>
      </c>
      <c r="C98" s="1">
        <v>298</v>
      </c>
      <c r="D98" s="1" t="s">
        <v>385</v>
      </c>
      <c r="F98" s="1">
        <v>2023</v>
      </c>
      <c r="G98" s="5">
        <v>6734</v>
      </c>
      <c r="H98" s="5">
        <v>6725.94</v>
      </c>
      <c r="I98" s="5">
        <v>3354639.56</v>
      </c>
      <c r="K98" s="5">
        <v>2760.9340000000002</v>
      </c>
      <c r="L98" s="5">
        <v>0.15429999999999999</v>
      </c>
      <c r="M98" s="5">
        <v>3688397.179</v>
      </c>
      <c r="N98" s="6">
        <v>0.104</v>
      </c>
      <c r="O98" s="5">
        <v>2626.2339999999999</v>
      </c>
      <c r="P98" s="6">
        <v>0.1487</v>
      </c>
      <c r="Q98" s="5">
        <v>35185420.442000002</v>
      </c>
      <c r="R98" s="1" t="s">
        <v>55</v>
      </c>
      <c r="T98" s="1" t="s">
        <v>43</v>
      </c>
      <c r="U98" s="1" t="s">
        <v>56</v>
      </c>
      <c r="V98" s="1" t="s">
        <v>220</v>
      </c>
      <c r="W98" s="1" t="s">
        <v>58</v>
      </c>
      <c r="X98" s="1" t="s">
        <v>214</v>
      </c>
      <c r="Y98" s="1" t="s">
        <v>386</v>
      </c>
      <c r="Z98" s="1" t="str">
        <f t="shared" si="3"/>
        <v>298 LIM1</v>
      </c>
      <c r="AA98" s="3">
        <f>IF(INDEX('CAMD Facility Data 2023'!$AA$2:$AE$10000,MATCH(Z98,'CAMD Facility Data 2023'!$AE$2:$AE$10000,0),1)&gt;0,INDEX('CAMD Facility Data 2023'!$AA$2:$AE$10000,MATCH(Z98,'CAMD Facility Data 2023'!$AE$2:$AE$10000,0),1),"")</f>
        <v>31382</v>
      </c>
      <c r="AB98" s="5">
        <f>IF(INDEX('CAMD Facility Data 2023'!$AC$2:$AE$10000,MATCH(Z98,'CAMD Facility Data 2023'!$AE$2:$AE$10000,0),1)&gt;0,INDEX('CAMD Facility Data 2023'!$AC$2:$AE$10000,MATCH(Z98,'CAMD Facility Data 2023'!$AE$2:$AE$10000,0),1),"")</f>
        <v>11107</v>
      </c>
      <c r="AC98" s="1" t="str">
        <f>IF(INDEX('CAMD Facility Data 2023'!$AE$2:$AG$10000,MATCH(Z98,'CAMD Facility Data 2023'!$AE$2:$AE$10000,0),3)&gt;0,INDEX('CAMD Facility Data 2023'!$AE$2:$AG$10000,MATCH(Z98,'CAMD Facility Data 2023'!$AE$2:$AE$10000,0),3),"")</f>
        <v/>
      </c>
      <c r="AD98" s="20">
        <f t="shared" si="4"/>
        <v>1.5657324448889525</v>
      </c>
      <c r="AE98" s="25">
        <f t="shared" si="5"/>
        <v>0.36162784794072439</v>
      </c>
    </row>
    <row r="99" spans="1:31" x14ac:dyDescent="0.2">
      <c r="A99" s="1" t="s">
        <v>383</v>
      </c>
      <c r="B99" s="1" t="s">
        <v>384</v>
      </c>
      <c r="C99" s="1">
        <v>298</v>
      </c>
      <c r="D99" s="1" t="s">
        <v>392</v>
      </c>
      <c r="F99" s="1">
        <v>2023</v>
      </c>
      <c r="G99" s="5">
        <v>6446</v>
      </c>
      <c r="H99" s="5">
        <v>6433.49</v>
      </c>
      <c r="I99" s="5">
        <v>3357182.64</v>
      </c>
      <c r="K99" s="5">
        <v>2830.4050000000002</v>
      </c>
      <c r="L99" s="5">
        <v>0.1613</v>
      </c>
      <c r="M99" s="5">
        <v>3547604.4849999999</v>
      </c>
      <c r="N99" s="6">
        <v>0.1031</v>
      </c>
      <c r="O99" s="5">
        <v>2884.7109999999998</v>
      </c>
      <c r="P99" s="6">
        <v>0.1678</v>
      </c>
      <c r="Q99" s="5">
        <v>33858820.600000001</v>
      </c>
      <c r="R99" s="1" t="s">
        <v>55</v>
      </c>
      <c r="T99" s="1" t="s">
        <v>43</v>
      </c>
      <c r="U99" s="1" t="s">
        <v>56</v>
      </c>
      <c r="V99" s="1" t="s">
        <v>220</v>
      </c>
      <c r="W99" s="1" t="s">
        <v>58</v>
      </c>
      <c r="X99" s="1" t="s">
        <v>214</v>
      </c>
      <c r="Y99" s="1" t="s">
        <v>386</v>
      </c>
      <c r="Z99" s="1" t="str">
        <f t="shared" si="3"/>
        <v>298 LIM2</v>
      </c>
      <c r="AA99" s="3">
        <f>IF(INDEX('CAMD Facility Data 2023'!$AA$2:$AE$10000,MATCH(Z99,'CAMD Facility Data 2023'!$AE$2:$AE$10000,0),1)&gt;0,INDEX('CAMD Facility Data 2023'!$AA$2:$AE$10000,MATCH(Z99,'CAMD Facility Data 2023'!$AE$2:$AE$10000,0),1),"")</f>
        <v>31382</v>
      </c>
      <c r="AB99" s="5">
        <f>IF(INDEX('CAMD Facility Data 2023'!$AC$2:$AE$10000,MATCH(Z99,'CAMD Facility Data 2023'!$AE$2:$AE$10000,0),1)&gt;0,INDEX('CAMD Facility Data 2023'!$AC$2:$AE$10000,MATCH(Z99,'CAMD Facility Data 2023'!$AE$2:$AE$10000,0),1),"")</f>
        <v>11107</v>
      </c>
      <c r="AC99" s="1" t="str">
        <f>IF(INDEX('CAMD Facility Data 2023'!$AE$2:$AG$10000,MATCH(Z99,'CAMD Facility Data 2023'!$AE$2:$AE$10000,0),3)&gt;0,INDEX('CAMD Facility Data 2023'!$AE$2:$AG$10000,MATCH(Z99,'CAMD Facility Data 2023'!$AE$2:$AE$10000,0),3),"")</f>
        <v/>
      </c>
      <c r="AD99" s="20">
        <f t="shared" si="4"/>
        <v>1.7185308690861096</v>
      </c>
      <c r="AE99" s="25">
        <f t="shared" si="5"/>
        <v>0.34799335274599547</v>
      </c>
    </row>
    <row r="100" spans="1:31" x14ac:dyDescent="0.2">
      <c r="A100" s="1" t="s">
        <v>370</v>
      </c>
      <c r="B100" s="1" t="s">
        <v>394</v>
      </c>
      <c r="C100" s="1">
        <v>302</v>
      </c>
      <c r="D100" s="1">
        <v>10</v>
      </c>
      <c r="F100" s="1">
        <v>2023</v>
      </c>
      <c r="G100" s="5">
        <v>831</v>
      </c>
      <c r="H100" s="5">
        <v>608.61</v>
      </c>
      <c r="I100" s="5">
        <v>43256.75</v>
      </c>
      <c r="K100" s="5">
        <v>0.125</v>
      </c>
      <c r="L100" s="5">
        <v>1E-3</v>
      </c>
      <c r="M100" s="5">
        <v>24745.684000000001</v>
      </c>
      <c r="N100" s="6">
        <v>5.9200000000000003E-2</v>
      </c>
      <c r="O100" s="5">
        <v>1.5940000000000001</v>
      </c>
      <c r="P100" s="6">
        <v>1.7100000000000001E-2</v>
      </c>
      <c r="Q100" s="5">
        <v>416383.94400000002</v>
      </c>
      <c r="R100" s="1" t="s">
        <v>44</v>
      </c>
      <c r="T100" s="1" t="s">
        <v>93</v>
      </c>
      <c r="V100" s="1" t="s">
        <v>176</v>
      </c>
      <c r="Y100" s="1" t="s">
        <v>247</v>
      </c>
      <c r="Z100" s="1" t="str">
        <f t="shared" si="3"/>
        <v>302 10</v>
      </c>
      <c r="AA100" s="3">
        <f>IF(INDEX('CAMD Facility Data 2023'!$AA$2:$AE$10000,MATCH(Z100,'CAMD Facility Data 2023'!$AE$2:$AE$10000,0),1)&gt;0,INDEX('CAMD Facility Data 2023'!$AA$2:$AE$10000,MATCH(Z100,'CAMD Facility Data 2023'!$AE$2:$AE$10000,0),1),"")</f>
        <v>43224</v>
      </c>
      <c r="AB100" s="5">
        <f>IF(INDEX('CAMD Facility Data 2023'!$AC$2:$AE$10000,MATCH(Z100,'CAMD Facility Data 2023'!$AE$2:$AE$10000,0),1)&gt;0,INDEX('CAMD Facility Data 2023'!$AC$2:$AE$10000,MATCH(Z100,'CAMD Facility Data 2023'!$AE$2:$AE$10000,0),1),"")</f>
        <v>1010</v>
      </c>
      <c r="AC100" s="1" t="str">
        <f>IF(INDEX('CAMD Facility Data 2023'!$AE$2:$AG$10000,MATCH(Z100,'CAMD Facility Data 2023'!$AE$2:$AE$10000,0),3)&gt;0,INDEX('CAMD Facility Data 2023'!$AE$2:$AG$10000,MATCH(Z100,'CAMD Facility Data 2023'!$AE$2:$AE$10000,0),3),"")</f>
        <v>Y</v>
      </c>
      <c r="AD100" s="20">
        <f t="shared" si="4"/>
        <v>7.3699480427910094E-2</v>
      </c>
      <c r="AE100" s="25">
        <f t="shared" si="5"/>
        <v>4.7061795741217959E-2</v>
      </c>
    </row>
    <row r="101" spans="1:31" x14ac:dyDescent="0.2">
      <c r="A101" s="1" t="s">
        <v>370</v>
      </c>
      <c r="B101" s="1" t="s">
        <v>394</v>
      </c>
      <c r="C101" s="1">
        <v>302</v>
      </c>
      <c r="D101" s="1">
        <v>6</v>
      </c>
      <c r="F101" s="1">
        <v>2023</v>
      </c>
      <c r="G101" s="5">
        <v>1300</v>
      </c>
      <c r="H101" s="5">
        <v>998.55</v>
      </c>
      <c r="I101" s="5">
        <v>69795.14</v>
      </c>
      <c r="K101" s="5">
        <v>0.20300000000000001</v>
      </c>
      <c r="L101" s="5">
        <v>1E-3</v>
      </c>
      <c r="M101" s="5">
        <v>40119.699999999997</v>
      </c>
      <c r="N101" s="6">
        <v>5.91E-2</v>
      </c>
      <c r="O101" s="5">
        <v>2.6589999999999998</v>
      </c>
      <c r="P101" s="6">
        <v>1.7299999999999999E-2</v>
      </c>
      <c r="Q101" s="5">
        <v>675062.29099999997</v>
      </c>
      <c r="R101" s="1" t="s">
        <v>44</v>
      </c>
      <c r="T101" s="1" t="s">
        <v>93</v>
      </c>
      <c r="V101" s="1" t="s">
        <v>176</v>
      </c>
      <c r="Y101" s="1" t="s">
        <v>247</v>
      </c>
      <c r="Z101" s="1" t="str">
        <f t="shared" si="3"/>
        <v>302 6</v>
      </c>
      <c r="AA101" s="3">
        <f>IF(INDEX('CAMD Facility Data 2023'!$AA$2:$AE$10000,MATCH(Z101,'CAMD Facility Data 2023'!$AE$2:$AE$10000,0),1)&gt;0,INDEX('CAMD Facility Data 2023'!$AA$2:$AE$10000,MATCH(Z101,'CAMD Facility Data 2023'!$AE$2:$AE$10000,0),1),"")</f>
        <v>43336</v>
      </c>
      <c r="AB101" s="5">
        <f>IF(INDEX('CAMD Facility Data 2023'!$AC$2:$AE$10000,MATCH(Z101,'CAMD Facility Data 2023'!$AE$2:$AE$10000,0),1)&gt;0,INDEX('CAMD Facility Data 2023'!$AC$2:$AE$10000,MATCH(Z101,'CAMD Facility Data 2023'!$AE$2:$AE$10000,0),1),"")</f>
        <v>1010</v>
      </c>
      <c r="AC101" s="1" t="str">
        <f>IF(INDEX('CAMD Facility Data 2023'!$AE$2:$AG$10000,MATCH(Z101,'CAMD Facility Data 2023'!$AE$2:$AE$10000,0),3)&gt;0,INDEX('CAMD Facility Data 2023'!$AE$2:$AG$10000,MATCH(Z101,'CAMD Facility Data 2023'!$AE$2:$AE$10000,0),3),"")</f>
        <v>Y</v>
      </c>
      <c r="AD101" s="20">
        <f t="shared" si="4"/>
        <v>7.6194416975164742E-2</v>
      </c>
      <c r="AE101" s="25">
        <f t="shared" si="5"/>
        <v>7.6298916203264164E-2</v>
      </c>
    </row>
    <row r="102" spans="1:31" x14ac:dyDescent="0.2">
      <c r="A102" s="1" t="s">
        <v>370</v>
      </c>
      <c r="B102" s="1" t="s">
        <v>394</v>
      </c>
      <c r="C102" s="1">
        <v>302</v>
      </c>
      <c r="D102" s="1">
        <v>7</v>
      </c>
      <c r="F102" s="1">
        <v>2023</v>
      </c>
      <c r="G102" s="5">
        <v>1138</v>
      </c>
      <c r="H102" s="5">
        <v>865.28</v>
      </c>
      <c r="I102" s="5">
        <v>61821.72</v>
      </c>
      <c r="K102" s="5">
        <v>0.17899999999999999</v>
      </c>
      <c r="L102" s="5">
        <v>1E-3</v>
      </c>
      <c r="M102" s="5">
        <v>35422.576999999997</v>
      </c>
      <c r="N102" s="6">
        <v>5.91E-2</v>
      </c>
      <c r="O102" s="5">
        <v>2.395</v>
      </c>
      <c r="P102" s="6">
        <v>1.7299999999999999E-2</v>
      </c>
      <c r="Q102" s="5">
        <v>596057.902</v>
      </c>
      <c r="R102" s="1" t="s">
        <v>44</v>
      </c>
      <c r="T102" s="1" t="s">
        <v>93</v>
      </c>
      <c r="V102" s="1" t="s">
        <v>176</v>
      </c>
      <c r="Y102" s="1" t="s">
        <v>247</v>
      </c>
      <c r="Z102" s="1" t="str">
        <f t="shared" si="3"/>
        <v>302 7</v>
      </c>
      <c r="AA102" s="3">
        <f>IF(INDEX('CAMD Facility Data 2023'!$AA$2:$AE$10000,MATCH(Z102,'CAMD Facility Data 2023'!$AE$2:$AE$10000,0),1)&gt;0,INDEX('CAMD Facility Data 2023'!$AA$2:$AE$10000,MATCH(Z102,'CAMD Facility Data 2023'!$AE$2:$AE$10000,0),1),"")</f>
        <v>43327</v>
      </c>
      <c r="AB102" s="5">
        <f>IF(INDEX('CAMD Facility Data 2023'!$AC$2:$AE$10000,MATCH(Z102,'CAMD Facility Data 2023'!$AE$2:$AE$10000,0),1)&gt;0,INDEX('CAMD Facility Data 2023'!$AC$2:$AE$10000,MATCH(Z102,'CAMD Facility Data 2023'!$AE$2:$AE$10000,0),1),"")</f>
        <v>1010</v>
      </c>
      <c r="AC102" s="1" t="str">
        <f>IF(INDEX('CAMD Facility Data 2023'!$AE$2:$AG$10000,MATCH(Z102,'CAMD Facility Data 2023'!$AE$2:$AE$10000,0),3)&gt;0,INDEX('CAMD Facility Data 2023'!$AE$2:$AG$10000,MATCH(Z102,'CAMD Facility Data 2023'!$AE$2:$AE$10000,0),3),"")</f>
        <v>Y</v>
      </c>
      <c r="AD102" s="20">
        <f t="shared" si="4"/>
        <v>7.7480859477866357E-2</v>
      </c>
      <c r="AE102" s="25">
        <f t="shared" si="5"/>
        <v>6.7369445047244444E-2</v>
      </c>
    </row>
    <row r="103" spans="1:31" x14ac:dyDescent="0.2">
      <c r="A103" s="1" t="s">
        <v>370</v>
      </c>
      <c r="B103" s="1" t="s">
        <v>394</v>
      </c>
      <c r="C103" s="1">
        <v>302</v>
      </c>
      <c r="D103" s="1">
        <v>8</v>
      </c>
      <c r="F103" s="1">
        <v>2023</v>
      </c>
      <c r="G103" s="5">
        <v>1285</v>
      </c>
      <c r="H103" s="5">
        <v>975.75</v>
      </c>
      <c r="I103" s="5">
        <v>68948.320000000007</v>
      </c>
      <c r="K103" s="5">
        <v>0.2</v>
      </c>
      <c r="L103" s="5">
        <v>1E-3</v>
      </c>
      <c r="M103" s="5">
        <v>39651.205999999998</v>
      </c>
      <c r="N103" s="6">
        <v>5.91E-2</v>
      </c>
      <c r="O103" s="5">
        <v>2.5550000000000002</v>
      </c>
      <c r="P103" s="6">
        <v>1.7299999999999999E-2</v>
      </c>
      <c r="Q103" s="5">
        <v>667217.30500000005</v>
      </c>
      <c r="R103" s="1" t="s">
        <v>44</v>
      </c>
      <c r="T103" s="1" t="s">
        <v>93</v>
      </c>
      <c r="V103" s="1" t="s">
        <v>176</v>
      </c>
      <c r="Y103" s="1" t="s">
        <v>247</v>
      </c>
      <c r="Z103" s="1" t="str">
        <f t="shared" si="3"/>
        <v>302 8</v>
      </c>
      <c r="AA103" s="3">
        <f>IF(INDEX('CAMD Facility Data 2023'!$AA$2:$AE$10000,MATCH(Z103,'CAMD Facility Data 2023'!$AE$2:$AE$10000,0),1)&gt;0,INDEX('CAMD Facility Data 2023'!$AA$2:$AE$10000,MATCH(Z103,'CAMD Facility Data 2023'!$AE$2:$AE$10000,0),1),"")</f>
        <v>43288</v>
      </c>
      <c r="AB103" s="5">
        <f>IF(INDEX('CAMD Facility Data 2023'!$AC$2:$AE$10000,MATCH(Z103,'CAMD Facility Data 2023'!$AE$2:$AE$10000,0),1)&gt;0,INDEX('CAMD Facility Data 2023'!$AC$2:$AE$10000,MATCH(Z103,'CAMD Facility Data 2023'!$AE$2:$AE$10000,0),1),"")</f>
        <v>1010</v>
      </c>
      <c r="AC103" s="1" t="str">
        <f>IF(INDEX('CAMD Facility Data 2023'!$AE$2:$AG$10000,MATCH(Z103,'CAMD Facility Data 2023'!$AE$2:$AE$10000,0),3)&gt;0,INDEX('CAMD Facility Data 2023'!$AE$2:$AG$10000,MATCH(Z103,'CAMD Facility Data 2023'!$AE$2:$AE$10000,0),3),"")</f>
        <v>Y</v>
      </c>
      <c r="AD103" s="20">
        <f t="shared" si="4"/>
        <v>7.4113480937606599E-2</v>
      </c>
      <c r="AE103" s="25">
        <f t="shared" si="5"/>
        <v>7.5412236651747372E-2</v>
      </c>
    </row>
    <row r="104" spans="1:31" x14ac:dyDescent="0.2">
      <c r="A104" s="1" t="s">
        <v>370</v>
      </c>
      <c r="B104" s="1" t="s">
        <v>394</v>
      </c>
      <c r="C104" s="1">
        <v>302</v>
      </c>
      <c r="D104" s="1">
        <v>9</v>
      </c>
      <c r="F104" s="1">
        <v>2023</v>
      </c>
      <c r="G104" s="5">
        <v>1271</v>
      </c>
      <c r="H104" s="5">
        <v>965.23</v>
      </c>
      <c r="I104" s="5">
        <v>67750.19</v>
      </c>
      <c r="K104" s="5">
        <v>0.19600000000000001</v>
      </c>
      <c r="L104" s="5">
        <v>1E-3</v>
      </c>
      <c r="M104" s="5">
        <v>38753.464</v>
      </c>
      <c r="N104" s="6">
        <v>5.91E-2</v>
      </c>
      <c r="O104" s="5">
        <v>2.516</v>
      </c>
      <c r="P104" s="6">
        <v>1.66E-2</v>
      </c>
      <c r="Q104" s="5">
        <v>652105.31000000006</v>
      </c>
      <c r="R104" s="1" t="s">
        <v>44</v>
      </c>
      <c r="T104" s="1" t="s">
        <v>93</v>
      </c>
      <c r="V104" s="1" t="s">
        <v>176</v>
      </c>
      <c r="Y104" s="1" t="s">
        <v>247</v>
      </c>
      <c r="Z104" s="1" t="str">
        <f t="shared" si="3"/>
        <v>302 9</v>
      </c>
      <c r="AA104" s="3">
        <f>IF(INDEX('CAMD Facility Data 2023'!$AA$2:$AE$10000,MATCH(Z104,'CAMD Facility Data 2023'!$AE$2:$AE$10000,0),1)&gt;0,INDEX('CAMD Facility Data 2023'!$AA$2:$AE$10000,MATCH(Z104,'CAMD Facility Data 2023'!$AE$2:$AE$10000,0),1),"")</f>
        <v>43257</v>
      </c>
      <c r="AB104" s="5">
        <f>IF(INDEX('CAMD Facility Data 2023'!$AC$2:$AE$10000,MATCH(Z104,'CAMD Facility Data 2023'!$AE$2:$AE$10000,0),1)&gt;0,INDEX('CAMD Facility Data 2023'!$AC$2:$AE$10000,MATCH(Z104,'CAMD Facility Data 2023'!$AE$2:$AE$10000,0),1),"")</f>
        <v>1010</v>
      </c>
      <c r="AC104" s="1" t="str">
        <f>IF(INDEX('CAMD Facility Data 2023'!$AE$2:$AG$10000,MATCH(Z104,'CAMD Facility Data 2023'!$AE$2:$AE$10000,0),3)&gt;0,INDEX('CAMD Facility Data 2023'!$AE$2:$AG$10000,MATCH(Z104,'CAMD Facility Data 2023'!$AE$2:$AE$10000,0),3),"")</f>
        <v>Y</v>
      </c>
      <c r="AD104" s="20">
        <f t="shared" si="4"/>
        <v>7.427285443775139E-2</v>
      </c>
      <c r="AE104" s="25">
        <f t="shared" si="5"/>
        <v>7.3704203399792043E-2</v>
      </c>
    </row>
    <row r="105" spans="1:31" x14ac:dyDescent="0.2">
      <c r="A105" s="1" t="s">
        <v>370</v>
      </c>
      <c r="B105" s="1" t="s">
        <v>403</v>
      </c>
      <c r="C105" s="1">
        <v>315</v>
      </c>
      <c r="D105" s="1">
        <v>3</v>
      </c>
      <c r="F105" s="1">
        <v>2023</v>
      </c>
      <c r="G105" s="5">
        <v>4870</v>
      </c>
      <c r="H105" s="5">
        <v>4870</v>
      </c>
      <c r="I105" s="5">
        <v>263739</v>
      </c>
      <c r="K105" s="5">
        <v>1.0569999999999999</v>
      </c>
      <c r="L105" s="5">
        <v>1E-3</v>
      </c>
      <c r="M105" s="5">
        <v>209380.9</v>
      </c>
      <c r="N105" s="6">
        <v>5.9200000000000003E-2</v>
      </c>
      <c r="O105" s="5">
        <v>13.988</v>
      </c>
      <c r="P105" s="6">
        <v>7.4000000000000003E-3</v>
      </c>
      <c r="Q105" s="5">
        <v>3523231.1</v>
      </c>
      <c r="R105" s="1" t="s">
        <v>44</v>
      </c>
      <c r="S105" s="1" t="s">
        <v>173</v>
      </c>
      <c r="T105" s="1" t="s">
        <v>43</v>
      </c>
      <c r="Y105" s="1" t="s">
        <v>247</v>
      </c>
      <c r="Z105" s="1" t="str">
        <f t="shared" si="3"/>
        <v>315 3</v>
      </c>
      <c r="AA105" s="3">
        <f>IF(INDEX('CAMD Facility Data 2023'!$AA$2:$AE$10000,MATCH(Z105,'CAMD Facility Data 2023'!$AE$2:$AE$10000,0),1)&gt;0,INDEX('CAMD Facility Data 2023'!$AA$2:$AE$10000,MATCH(Z105,'CAMD Facility Data 2023'!$AE$2:$AE$10000,0),1),"")</f>
        <v>22555</v>
      </c>
      <c r="AB105" s="5">
        <f>IF(INDEX('CAMD Facility Data 2023'!$AC$2:$AE$10000,MATCH(Z105,'CAMD Facility Data 2023'!$AE$2:$AE$10000,0),1)&gt;0,INDEX('CAMD Facility Data 2023'!$AC$2:$AE$10000,MATCH(Z105,'CAMD Facility Data 2023'!$AE$2:$AE$10000,0),1),"")</f>
        <v>3439</v>
      </c>
      <c r="AC105" s="1" t="str">
        <f>IF(INDEX('CAMD Facility Data 2023'!$AE$2:$AG$10000,MATCH(Z105,'CAMD Facility Data 2023'!$AE$2:$AE$10000,0),3)&gt;0,INDEX('CAMD Facility Data 2023'!$AE$2:$AG$10000,MATCH(Z105,'CAMD Facility Data 2023'!$AE$2:$AE$10000,0),3),"")</f>
        <v/>
      </c>
      <c r="AD105" s="20">
        <f t="shared" si="4"/>
        <v>0.10607456614304293</v>
      </c>
      <c r="AE105" s="25">
        <f t="shared" si="5"/>
        <v>0.11695124485322138</v>
      </c>
    </row>
    <row r="106" spans="1:31" x14ac:dyDescent="0.2">
      <c r="A106" s="1" t="s">
        <v>370</v>
      </c>
      <c r="B106" s="1" t="s">
        <v>403</v>
      </c>
      <c r="C106" s="1">
        <v>315</v>
      </c>
      <c r="D106" s="1">
        <v>4</v>
      </c>
      <c r="F106" s="1">
        <v>2023</v>
      </c>
      <c r="G106" s="5">
        <v>4717</v>
      </c>
      <c r="H106" s="5">
        <v>4717</v>
      </c>
      <c r="I106" s="5">
        <v>236639</v>
      </c>
      <c r="K106" s="5">
        <v>0.98099999999999998</v>
      </c>
      <c r="L106" s="5">
        <v>1E-3</v>
      </c>
      <c r="M106" s="5">
        <v>194328.7</v>
      </c>
      <c r="N106" s="6">
        <v>5.91E-2</v>
      </c>
      <c r="O106" s="5">
        <v>12.69</v>
      </c>
      <c r="P106" s="6">
        <v>7.4999999999999997E-3</v>
      </c>
      <c r="Q106" s="5">
        <v>3269947.9</v>
      </c>
      <c r="R106" s="1" t="s">
        <v>44</v>
      </c>
      <c r="S106" s="1" t="s">
        <v>173</v>
      </c>
      <c r="T106" s="1" t="s">
        <v>43</v>
      </c>
      <c r="Y106" s="1" t="s">
        <v>247</v>
      </c>
      <c r="Z106" s="1" t="str">
        <f t="shared" si="3"/>
        <v>315 4</v>
      </c>
      <c r="AA106" s="3">
        <f>IF(INDEX('CAMD Facility Data 2023'!$AA$2:$AE$10000,MATCH(Z106,'CAMD Facility Data 2023'!$AE$2:$AE$10000,0),1)&gt;0,INDEX('CAMD Facility Data 2023'!$AA$2:$AE$10000,MATCH(Z106,'CAMD Facility Data 2023'!$AE$2:$AE$10000,0),1),"")</f>
        <v>22737</v>
      </c>
      <c r="AB106" s="5">
        <f>IF(INDEX('CAMD Facility Data 2023'!$AC$2:$AE$10000,MATCH(Z106,'CAMD Facility Data 2023'!$AE$2:$AE$10000,0),1)&gt;0,INDEX('CAMD Facility Data 2023'!$AC$2:$AE$10000,MATCH(Z106,'CAMD Facility Data 2023'!$AE$2:$AE$10000,0),1),"")</f>
        <v>3439</v>
      </c>
      <c r="AC106" s="1" t="str">
        <f>IF(INDEX('CAMD Facility Data 2023'!$AE$2:$AG$10000,MATCH(Z106,'CAMD Facility Data 2023'!$AE$2:$AE$10000,0),3)&gt;0,INDEX('CAMD Facility Data 2023'!$AE$2:$AG$10000,MATCH(Z106,'CAMD Facility Data 2023'!$AE$2:$AE$10000,0),3),"")</f>
        <v/>
      </c>
      <c r="AD106" s="20">
        <f t="shared" si="4"/>
        <v>0.10725197452659958</v>
      </c>
      <c r="AE106" s="25">
        <f t="shared" si="5"/>
        <v>0.10854368239147782</v>
      </c>
    </row>
    <row r="107" spans="1:31" x14ac:dyDescent="0.2">
      <c r="A107" s="1" t="s">
        <v>370</v>
      </c>
      <c r="B107" s="1" t="s">
        <v>403</v>
      </c>
      <c r="C107" s="1">
        <v>315</v>
      </c>
      <c r="D107" s="1">
        <v>5</v>
      </c>
      <c r="F107" s="1">
        <v>2023</v>
      </c>
      <c r="G107" s="5">
        <v>759</v>
      </c>
      <c r="H107" s="5">
        <v>759</v>
      </c>
      <c r="I107" s="5">
        <v>149123</v>
      </c>
      <c r="K107" s="5">
        <v>0.497</v>
      </c>
      <c r="L107" s="5">
        <v>1E-3</v>
      </c>
      <c r="M107" s="5">
        <v>98546.9</v>
      </c>
      <c r="N107" s="6">
        <v>5.8999999999999997E-2</v>
      </c>
      <c r="O107" s="5">
        <v>3.6110000000000002</v>
      </c>
      <c r="P107" s="6">
        <v>6.3E-3</v>
      </c>
      <c r="Q107" s="5">
        <v>1658232.2</v>
      </c>
      <c r="R107" s="1" t="s">
        <v>44</v>
      </c>
      <c r="S107" s="1" t="s">
        <v>173</v>
      </c>
      <c r="T107" s="1" t="s">
        <v>89</v>
      </c>
      <c r="Y107" s="1" t="s">
        <v>247</v>
      </c>
      <c r="Z107" s="1" t="str">
        <f t="shared" si="3"/>
        <v>315 5</v>
      </c>
      <c r="AA107" s="3">
        <f>IF(INDEX('CAMD Facility Data 2023'!$AA$2:$AE$10000,MATCH(Z107,'CAMD Facility Data 2023'!$AE$2:$AE$10000,0),1)&gt;0,INDEX('CAMD Facility Data 2023'!$AA$2:$AE$10000,MATCH(Z107,'CAMD Facility Data 2023'!$AE$2:$AE$10000,0),1),"")</f>
        <v>24077</v>
      </c>
      <c r="AB107" s="5">
        <f>IF(INDEX('CAMD Facility Data 2023'!$AC$2:$AE$10000,MATCH(Z107,'CAMD Facility Data 2023'!$AE$2:$AE$10000,0),1)&gt;0,INDEX('CAMD Facility Data 2023'!$AC$2:$AE$10000,MATCH(Z107,'CAMD Facility Data 2023'!$AE$2:$AE$10000,0),1),"")</f>
        <v>5070</v>
      </c>
      <c r="AC107" s="1" t="str">
        <f>IF(INDEX('CAMD Facility Data 2023'!$AE$2:$AG$10000,MATCH(Z107,'CAMD Facility Data 2023'!$AE$2:$AE$10000,0),3)&gt;0,INDEX('CAMD Facility Data 2023'!$AE$2:$AG$10000,MATCH(Z107,'CAMD Facility Data 2023'!$AE$2:$AE$10000,0),3),"")</f>
        <v/>
      </c>
      <c r="AD107" s="20">
        <f t="shared" si="4"/>
        <v>4.8429819679056886E-2</v>
      </c>
      <c r="AE107" s="25">
        <f t="shared" si="5"/>
        <v>3.7336472039844013E-2</v>
      </c>
    </row>
    <row r="108" spans="1:31" x14ac:dyDescent="0.2">
      <c r="A108" s="1" t="s">
        <v>370</v>
      </c>
      <c r="B108" s="1" t="s">
        <v>403</v>
      </c>
      <c r="C108" s="1">
        <v>315</v>
      </c>
      <c r="D108" s="1" t="s">
        <v>311</v>
      </c>
      <c r="F108" s="1">
        <v>2023</v>
      </c>
      <c r="G108" s="5">
        <v>5827</v>
      </c>
      <c r="H108" s="5">
        <v>5466.77</v>
      </c>
      <c r="I108" s="5">
        <v>1426511.86</v>
      </c>
      <c r="K108" s="5">
        <v>2.9980000000000002</v>
      </c>
      <c r="L108" s="5">
        <v>1E-3</v>
      </c>
      <c r="M108" s="5">
        <v>593767.30900000001</v>
      </c>
      <c r="N108" s="6">
        <v>5.8999999999999997E-2</v>
      </c>
      <c r="O108" s="5">
        <v>26.861000000000001</v>
      </c>
      <c r="P108" s="6">
        <v>8.5000000000000006E-3</v>
      </c>
      <c r="Q108" s="5">
        <v>9991321.4690000005</v>
      </c>
      <c r="R108" s="1" t="s">
        <v>44</v>
      </c>
      <c r="T108" s="1" t="s">
        <v>71</v>
      </c>
      <c r="V108" s="1" t="s">
        <v>64</v>
      </c>
      <c r="Y108" s="1" t="s">
        <v>247</v>
      </c>
      <c r="Z108" s="1" t="str">
        <f t="shared" si="3"/>
        <v>315 CT1</v>
      </c>
      <c r="AA108" s="3">
        <f>IF(INDEX('CAMD Facility Data 2023'!$AA$2:$AE$10000,MATCH(Z108,'CAMD Facility Data 2023'!$AE$2:$AE$10000,0),1)&gt;0,INDEX('CAMD Facility Data 2023'!$AA$2:$AE$10000,MATCH(Z108,'CAMD Facility Data 2023'!$AE$2:$AE$10000,0),1),"")</f>
        <v>43741</v>
      </c>
      <c r="AB108" s="5">
        <f>IF(INDEX('CAMD Facility Data 2023'!$AC$2:$AE$10000,MATCH(Z108,'CAMD Facility Data 2023'!$AE$2:$AE$10000,0),1)&gt;0,INDEX('CAMD Facility Data 2023'!$AC$2:$AE$10000,MATCH(Z108,'CAMD Facility Data 2023'!$AE$2:$AE$10000,0),1),"")</f>
        <v>2350</v>
      </c>
      <c r="AC108" s="1" t="str">
        <f>IF(INDEX('CAMD Facility Data 2023'!$AE$2:$AG$10000,MATCH(Z108,'CAMD Facility Data 2023'!$AE$2:$AE$10000,0),3)&gt;0,INDEX('CAMD Facility Data 2023'!$AE$2:$AG$10000,MATCH(Z108,'CAMD Facility Data 2023'!$AE$2:$AE$10000,0),3),"")</f>
        <v>Y</v>
      </c>
      <c r="AD108" s="20">
        <f t="shared" si="4"/>
        <v>3.7659693905384005E-2</v>
      </c>
      <c r="AE108" s="25">
        <f t="shared" si="5"/>
        <v>0.48534545171475763</v>
      </c>
    </row>
    <row r="109" spans="1:31" x14ac:dyDescent="0.2">
      <c r="A109" s="1" t="s">
        <v>370</v>
      </c>
      <c r="B109" s="1" t="s">
        <v>403</v>
      </c>
      <c r="C109" s="1">
        <v>315</v>
      </c>
      <c r="D109" s="1" t="s">
        <v>98</v>
      </c>
      <c r="F109" s="1">
        <v>2023</v>
      </c>
      <c r="G109" s="5">
        <v>5584</v>
      </c>
      <c r="H109" s="5">
        <v>5215.96</v>
      </c>
      <c r="I109" s="5">
        <v>1374737.04</v>
      </c>
      <c r="K109" s="5">
        <v>2.879</v>
      </c>
      <c r="L109" s="5">
        <v>1E-3</v>
      </c>
      <c r="M109" s="5">
        <v>570282.56999999995</v>
      </c>
      <c r="N109" s="6">
        <v>5.8999999999999997E-2</v>
      </c>
      <c r="O109" s="5">
        <v>26.058</v>
      </c>
      <c r="P109" s="6">
        <v>8.5000000000000006E-3</v>
      </c>
      <c r="Q109" s="5">
        <v>9596104.0199999996</v>
      </c>
      <c r="R109" s="1" t="s">
        <v>44</v>
      </c>
      <c r="T109" s="1" t="s">
        <v>71</v>
      </c>
      <c r="V109" s="1" t="s">
        <v>64</v>
      </c>
      <c r="Y109" s="1" t="s">
        <v>247</v>
      </c>
      <c r="Z109" s="1" t="str">
        <f t="shared" si="3"/>
        <v>315 CT2</v>
      </c>
      <c r="AA109" s="3">
        <f>IF(INDEX('CAMD Facility Data 2023'!$AA$2:$AE$10000,MATCH(Z109,'CAMD Facility Data 2023'!$AE$2:$AE$10000,0),1)&gt;0,INDEX('CAMD Facility Data 2023'!$AA$2:$AE$10000,MATCH(Z109,'CAMD Facility Data 2023'!$AE$2:$AE$10000,0),1),"")</f>
        <v>43749</v>
      </c>
      <c r="AB109" s="5">
        <f>IF(INDEX('CAMD Facility Data 2023'!$AC$2:$AE$10000,MATCH(Z109,'CAMD Facility Data 2023'!$AE$2:$AE$10000,0),1)&gt;0,INDEX('CAMD Facility Data 2023'!$AC$2:$AE$10000,MATCH(Z109,'CAMD Facility Data 2023'!$AE$2:$AE$10000,0),1),"")</f>
        <v>2350</v>
      </c>
      <c r="AC109" s="1" t="str">
        <f>IF(INDEX('CAMD Facility Data 2023'!$AE$2:$AG$10000,MATCH(Z109,'CAMD Facility Data 2023'!$AE$2:$AE$10000,0),3)&gt;0,INDEX('CAMD Facility Data 2023'!$AE$2:$AG$10000,MATCH(Z109,'CAMD Facility Data 2023'!$AE$2:$AE$10000,0),3),"")</f>
        <v>Y</v>
      </c>
      <c r="AD109" s="20">
        <f t="shared" si="4"/>
        <v>3.7909795461683347E-2</v>
      </c>
      <c r="AE109" s="25">
        <f t="shared" si="5"/>
        <v>0.46614709122704751</v>
      </c>
    </row>
    <row r="110" spans="1:31" x14ac:dyDescent="0.2">
      <c r="A110" s="1" t="s">
        <v>370</v>
      </c>
      <c r="B110" s="1" t="s">
        <v>412</v>
      </c>
      <c r="C110" s="1">
        <v>330</v>
      </c>
      <c r="D110" s="1">
        <v>5</v>
      </c>
      <c r="F110" s="1">
        <v>2023</v>
      </c>
      <c r="G110" s="5">
        <v>341</v>
      </c>
      <c r="H110" s="5">
        <v>295.60000000000002</v>
      </c>
      <c r="I110" s="5">
        <v>61983.15</v>
      </c>
      <c r="K110" s="5">
        <v>0.16</v>
      </c>
      <c r="L110" s="5">
        <v>1E-3</v>
      </c>
      <c r="M110" s="5">
        <v>31676.345000000001</v>
      </c>
      <c r="N110" s="6">
        <v>5.8999999999999997E-2</v>
      </c>
      <c r="O110" s="5">
        <v>1.536</v>
      </c>
      <c r="P110" s="6">
        <v>8.9999999999999993E-3</v>
      </c>
      <c r="Q110" s="5">
        <v>533013.64800000004</v>
      </c>
      <c r="R110" s="1" t="s">
        <v>44</v>
      </c>
      <c r="T110" s="1" t="s">
        <v>71</v>
      </c>
      <c r="V110" s="1" t="s">
        <v>64</v>
      </c>
      <c r="Y110" s="1" t="s">
        <v>247</v>
      </c>
      <c r="Z110" s="1" t="str">
        <f t="shared" si="3"/>
        <v>330 5</v>
      </c>
      <c r="AA110" s="3">
        <f>IF(INDEX('CAMD Facility Data 2023'!$AA$2:$AE$10000,MATCH(Z110,'CAMD Facility Data 2023'!$AE$2:$AE$10000,0),1)&gt;0,INDEX('CAMD Facility Data 2023'!$AA$2:$AE$10000,MATCH(Z110,'CAMD Facility Data 2023'!$AE$2:$AE$10000,0),1),"")</f>
        <v>41397</v>
      </c>
      <c r="AB110" s="5">
        <f>IF(INDEX('CAMD Facility Data 2023'!$AC$2:$AE$10000,MATCH(Z110,'CAMD Facility Data 2023'!$AE$2:$AE$10000,0),1)&gt;0,INDEX('CAMD Facility Data 2023'!$AC$2:$AE$10000,MATCH(Z110,'CAMD Facility Data 2023'!$AE$2:$AE$10000,0),1),"")</f>
        <v>2600</v>
      </c>
      <c r="AC110" s="1" t="str">
        <f>IF(INDEX('CAMD Facility Data 2023'!$AE$2:$AG$10000,MATCH(Z110,'CAMD Facility Data 2023'!$AE$2:$AE$10000,0),3)&gt;0,INDEX('CAMD Facility Data 2023'!$AE$2:$AG$10000,MATCH(Z110,'CAMD Facility Data 2023'!$AE$2:$AE$10000,0),3),"")</f>
        <v>Y</v>
      </c>
      <c r="AD110" s="20">
        <f t="shared" si="4"/>
        <v>4.9561856730417859E-2</v>
      </c>
      <c r="AE110" s="25">
        <f t="shared" si="5"/>
        <v>2.3402425711275029E-2</v>
      </c>
    </row>
    <row r="111" spans="1:31" x14ac:dyDescent="0.2">
      <c r="A111" s="1" t="s">
        <v>370</v>
      </c>
      <c r="B111" s="1" t="s">
        <v>412</v>
      </c>
      <c r="C111" s="1">
        <v>330</v>
      </c>
      <c r="D111" s="1">
        <v>7</v>
      </c>
      <c r="F111" s="1">
        <v>2023</v>
      </c>
      <c r="G111" s="5">
        <v>515</v>
      </c>
      <c r="H111" s="5">
        <v>449.97</v>
      </c>
      <c r="I111" s="5">
        <v>94913.84</v>
      </c>
      <c r="K111" s="5">
        <v>0.23799999999999999</v>
      </c>
      <c r="L111" s="5">
        <v>1E-3</v>
      </c>
      <c r="M111" s="5">
        <v>47081.169000000002</v>
      </c>
      <c r="N111" s="6">
        <v>5.8999999999999997E-2</v>
      </c>
      <c r="O111" s="5">
        <v>2.4590000000000001</v>
      </c>
      <c r="P111" s="6">
        <v>9.1000000000000004E-3</v>
      </c>
      <c r="Q111" s="5">
        <v>792230.97199999995</v>
      </c>
      <c r="R111" s="1" t="s">
        <v>44</v>
      </c>
      <c r="T111" s="1" t="s">
        <v>71</v>
      </c>
      <c r="V111" s="1" t="s">
        <v>64</v>
      </c>
      <c r="Y111" s="1" t="s">
        <v>247</v>
      </c>
      <c r="Z111" s="1" t="str">
        <f t="shared" si="3"/>
        <v>330 7</v>
      </c>
      <c r="AA111" s="3">
        <f>IF(INDEX('CAMD Facility Data 2023'!$AA$2:$AE$10000,MATCH(Z111,'CAMD Facility Data 2023'!$AE$2:$AE$10000,0),1)&gt;0,INDEX('CAMD Facility Data 2023'!$AA$2:$AE$10000,MATCH(Z111,'CAMD Facility Data 2023'!$AE$2:$AE$10000,0),1),"")</f>
        <v>41374</v>
      </c>
      <c r="AB111" s="5">
        <f>IF(INDEX('CAMD Facility Data 2023'!$AC$2:$AE$10000,MATCH(Z111,'CAMD Facility Data 2023'!$AE$2:$AE$10000,0),1)&gt;0,INDEX('CAMD Facility Data 2023'!$AC$2:$AE$10000,MATCH(Z111,'CAMD Facility Data 2023'!$AE$2:$AE$10000,0),1),"")</f>
        <v>2400</v>
      </c>
      <c r="AC111" s="1" t="str">
        <f>IF(INDEX('CAMD Facility Data 2023'!$AE$2:$AG$10000,MATCH(Z111,'CAMD Facility Data 2023'!$AE$2:$AE$10000,0),3)&gt;0,INDEX('CAMD Facility Data 2023'!$AE$2:$AG$10000,MATCH(Z111,'CAMD Facility Data 2023'!$AE$2:$AE$10000,0),3),"")</f>
        <v>Y</v>
      </c>
      <c r="AD111" s="20">
        <f t="shared" si="4"/>
        <v>5.1815414906824973E-2</v>
      </c>
      <c r="AE111" s="25">
        <f t="shared" si="5"/>
        <v>3.7682218987823438E-2</v>
      </c>
    </row>
    <row r="112" spans="1:31" x14ac:dyDescent="0.2">
      <c r="A112" s="1" t="s">
        <v>370</v>
      </c>
      <c r="B112" s="1" t="s">
        <v>417</v>
      </c>
      <c r="C112" s="1">
        <v>335</v>
      </c>
      <c r="D112" s="1">
        <v>2</v>
      </c>
      <c r="F112" s="1">
        <v>2023</v>
      </c>
      <c r="G112" s="5">
        <v>2465</v>
      </c>
      <c r="H112" s="5">
        <v>2465</v>
      </c>
      <c r="I112" s="5">
        <v>176079</v>
      </c>
      <c r="K112" s="5">
        <v>0.57699999999999996</v>
      </c>
      <c r="L112" s="5">
        <v>1E-3</v>
      </c>
      <c r="M112" s="5">
        <v>114334.2</v>
      </c>
      <c r="N112" s="6">
        <v>5.91E-2</v>
      </c>
      <c r="O112" s="5">
        <v>8.6359999999999992</v>
      </c>
      <c r="P112" s="6">
        <v>1.9300000000000001E-2</v>
      </c>
      <c r="Q112" s="5">
        <v>1923884.8</v>
      </c>
      <c r="R112" s="1" t="s">
        <v>44</v>
      </c>
      <c r="S112" s="1" t="s">
        <v>173</v>
      </c>
      <c r="T112" s="1" t="s">
        <v>89</v>
      </c>
      <c r="Y112" s="1" t="s">
        <v>247</v>
      </c>
      <c r="Z112" s="1" t="str">
        <f t="shared" si="3"/>
        <v>335 2</v>
      </c>
      <c r="AA112" s="3">
        <f>IF(INDEX('CAMD Facility Data 2023'!$AA$2:$AE$10000,MATCH(Z112,'CAMD Facility Data 2023'!$AE$2:$AE$10000,0),1)&gt;0,INDEX('CAMD Facility Data 2023'!$AA$2:$AE$10000,MATCH(Z112,'CAMD Facility Data 2023'!$AE$2:$AE$10000,0),1),"")</f>
        <v>21459</v>
      </c>
      <c r="AB112" s="5">
        <f>IF(INDEX('CAMD Facility Data 2023'!$AC$2:$AE$10000,MATCH(Z112,'CAMD Facility Data 2023'!$AE$2:$AE$10000,0),1)&gt;0,INDEX('CAMD Facility Data 2023'!$AC$2:$AE$10000,MATCH(Z112,'CAMD Facility Data 2023'!$AE$2:$AE$10000,0),1),"")</f>
        <v>2400</v>
      </c>
      <c r="AC112" s="1" t="str">
        <f>IF(INDEX('CAMD Facility Data 2023'!$AE$2:$AG$10000,MATCH(Z112,'CAMD Facility Data 2023'!$AE$2:$AE$10000,0),3)&gt;0,INDEX('CAMD Facility Data 2023'!$AE$2:$AG$10000,MATCH(Z112,'CAMD Facility Data 2023'!$AE$2:$AE$10000,0),3),"")</f>
        <v/>
      </c>
      <c r="AD112" s="20">
        <f t="shared" si="4"/>
        <v>9.8092333554824829E-2</v>
      </c>
      <c r="AE112" s="25">
        <f t="shared" si="5"/>
        <v>9.1508980213089799E-2</v>
      </c>
    </row>
    <row r="113" spans="1:31" x14ac:dyDescent="0.2">
      <c r="A113" s="1" t="s">
        <v>370</v>
      </c>
      <c r="B113" s="1" t="s">
        <v>417</v>
      </c>
      <c r="C113" s="1">
        <v>335</v>
      </c>
      <c r="D113" s="1" t="s">
        <v>311</v>
      </c>
      <c r="F113" s="1">
        <v>2023</v>
      </c>
      <c r="G113" s="5">
        <v>5795</v>
      </c>
      <c r="H113" s="5">
        <v>5478.84</v>
      </c>
      <c r="I113" s="5">
        <v>1563381.62</v>
      </c>
      <c r="K113" s="5">
        <v>3.2509999999999999</v>
      </c>
      <c r="L113" s="5">
        <v>1E-3</v>
      </c>
      <c r="M113" s="5">
        <v>643895.56400000001</v>
      </c>
      <c r="N113" s="6">
        <v>5.8999999999999997E-2</v>
      </c>
      <c r="O113" s="5">
        <v>34.087000000000003</v>
      </c>
      <c r="P113" s="6">
        <v>7.9000000000000008E-3</v>
      </c>
      <c r="Q113" s="5">
        <v>10834798.302999999</v>
      </c>
      <c r="R113" s="1" t="s">
        <v>44</v>
      </c>
      <c r="T113" s="1" t="s">
        <v>71</v>
      </c>
      <c r="V113" s="1" t="s">
        <v>64</v>
      </c>
      <c r="Y113" s="1" t="s">
        <v>247</v>
      </c>
      <c r="Z113" s="1" t="str">
        <f t="shared" si="3"/>
        <v>335 CT1</v>
      </c>
      <c r="AA113" s="3">
        <f>IF(INDEX('CAMD Facility Data 2023'!$AA$2:$AE$10000,MATCH(Z113,'CAMD Facility Data 2023'!$AE$2:$AE$10000,0),1)&gt;0,INDEX('CAMD Facility Data 2023'!$AA$2:$AE$10000,MATCH(Z113,'CAMD Facility Data 2023'!$AE$2:$AE$10000,0),1),"")</f>
        <v>43742</v>
      </c>
      <c r="AB113" s="5">
        <f>IF(INDEX('CAMD Facility Data 2023'!$AC$2:$AE$10000,MATCH(Z113,'CAMD Facility Data 2023'!$AE$2:$AE$10000,0),1)&gt;0,INDEX('CAMD Facility Data 2023'!$AC$2:$AE$10000,MATCH(Z113,'CAMD Facility Data 2023'!$AE$2:$AE$10000,0),1),"")</f>
        <v>2400</v>
      </c>
      <c r="AC113" s="1" t="str">
        <f>IF(INDEX('CAMD Facility Data 2023'!$AE$2:$AG$10000,MATCH(Z113,'CAMD Facility Data 2023'!$AE$2:$AE$10000,0),3)&gt;0,INDEX('CAMD Facility Data 2023'!$AE$2:$AG$10000,MATCH(Z113,'CAMD Facility Data 2023'!$AE$2:$AE$10000,0),3),"")</f>
        <v>Y</v>
      </c>
      <c r="AD113" s="20">
        <f t="shared" si="4"/>
        <v>4.3606755463838701E-2</v>
      </c>
      <c r="AE113" s="25">
        <f t="shared" si="5"/>
        <v>0.51535380056126334</v>
      </c>
    </row>
    <row r="114" spans="1:31" x14ac:dyDescent="0.2">
      <c r="A114" s="1" t="s">
        <v>370</v>
      </c>
      <c r="B114" s="1" t="s">
        <v>417</v>
      </c>
      <c r="C114" s="1">
        <v>335</v>
      </c>
      <c r="D114" s="1" t="s">
        <v>98</v>
      </c>
      <c r="F114" s="1">
        <v>2023</v>
      </c>
      <c r="G114" s="5">
        <v>5775</v>
      </c>
      <c r="H114" s="5">
        <v>5427.47</v>
      </c>
      <c r="I114" s="5">
        <v>1559671.48</v>
      </c>
      <c r="K114" s="5">
        <v>3.234</v>
      </c>
      <c r="L114" s="5">
        <v>1E-3</v>
      </c>
      <c r="M114" s="5">
        <v>640635.33700000006</v>
      </c>
      <c r="N114" s="6">
        <v>5.8999999999999997E-2</v>
      </c>
      <c r="O114" s="5">
        <v>34.276000000000003</v>
      </c>
      <c r="P114" s="6">
        <v>8.2000000000000007E-3</v>
      </c>
      <c r="Q114" s="5">
        <v>10779806.822000001</v>
      </c>
      <c r="R114" s="1" t="s">
        <v>44</v>
      </c>
      <c r="T114" s="1" t="s">
        <v>71</v>
      </c>
      <c r="V114" s="1" t="s">
        <v>64</v>
      </c>
      <c r="Y114" s="1" t="s">
        <v>247</v>
      </c>
      <c r="Z114" s="1" t="str">
        <f t="shared" si="3"/>
        <v>335 CT2</v>
      </c>
      <c r="AA114" s="3">
        <f>IF(INDEX('CAMD Facility Data 2023'!$AA$2:$AE$10000,MATCH(Z114,'CAMD Facility Data 2023'!$AE$2:$AE$10000,0),1)&gt;0,INDEX('CAMD Facility Data 2023'!$AA$2:$AE$10000,MATCH(Z114,'CAMD Facility Data 2023'!$AE$2:$AE$10000,0),1),"")</f>
        <v>43751</v>
      </c>
      <c r="AB114" s="5">
        <f>IF(INDEX('CAMD Facility Data 2023'!$AC$2:$AE$10000,MATCH(Z114,'CAMD Facility Data 2023'!$AE$2:$AE$10000,0),1)&gt;0,INDEX('CAMD Facility Data 2023'!$AC$2:$AE$10000,MATCH(Z114,'CAMD Facility Data 2023'!$AE$2:$AE$10000,0),1),"")</f>
        <v>2400</v>
      </c>
      <c r="AC114" s="1" t="str">
        <f>IF(INDEX('CAMD Facility Data 2023'!$AE$2:$AG$10000,MATCH(Z114,'CAMD Facility Data 2023'!$AE$2:$AE$10000,0),3)&gt;0,INDEX('CAMD Facility Data 2023'!$AE$2:$AG$10000,MATCH(Z114,'CAMD Facility Data 2023'!$AE$2:$AE$10000,0),3),"")</f>
        <v>Y</v>
      </c>
      <c r="AD114" s="20">
        <f t="shared" si="4"/>
        <v>4.3952845762108825E-2</v>
      </c>
      <c r="AE114" s="25">
        <f t="shared" si="5"/>
        <v>0.51273814792617967</v>
      </c>
    </row>
    <row r="115" spans="1:31" x14ac:dyDescent="0.2">
      <c r="A115" s="1" t="s">
        <v>370</v>
      </c>
      <c r="B115" s="1" t="s">
        <v>422</v>
      </c>
      <c r="C115" s="1">
        <v>341</v>
      </c>
      <c r="D115" s="1">
        <v>1</v>
      </c>
      <c r="F115" s="1">
        <v>2023</v>
      </c>
      <c r="G115" s="5">
        <v>70</v>
      </c>
      <c r="H115" s="5">
        <v>53.95</v>
      </c>
      <c r="I115" s="5">
        <v>0</v>
      </c>
      <c r="K115" s="5">
        <v>1.0999999999999999E-2</v>
      </c>
      <c r="L115" s="5">
        <v>1E-3</v>
      </c>
      <c r="M115" s="5">
        <v>2238.0770000000002</v>
      </c>
      <c r="N115" s="6">
        <v>5.91E-2</v>
      </c>
      <c r="O115" s="5">
        <v>1.6719999999999999</v>
      </c>
      <c r="P115" s="6">
        <v>0.1411</v>
      </c>
      <c r="Q115" s="5">
        <v>37656.273999999998</v>
      </c>
      <c r="R115" s="1" t="s">
        <v>44</v>
      </c>
      <c r="T115" s="1" t="s">
        <v>93</v>
      </c>
      <c r="V115" s="1" t="s">
        <v>176</v>
      </c>
      <c r="Y115" s="1" t="s">
        <v>247</v>
      </c>
      <c r="Z115" s="1" t="str">
        <f t="shared" si="3"/>
        <v>341 1</v>
      </c>
      <c r="AA115" s="3">
        <f>IF(INDEX('CAMD Facility Data 2023'!$AA$2:$AE$10000,MATCH(Z115,'CAMD Facility Data 2023'!$AE$2:$AE$10000,0),1)&gt;0,INDEX('CAMD Facility Data 2023'!$AA$2:$AE$10000,MATCH(Z115,'CAMD Facility Data 2023'!$AE$2:$AE$10000,0),1),"")</f>
        <v>39295</v>
      </c>
      <c r="AB115" s="5">
        <f>IF(INDEX('CAMD Facility Data 2023'!$AC$2:$AE$10000,MATCH(Z115,'CAMD Facility Data 2023'!$AE$2:$AE$10000,0),1)&gt;0,INDEX('CAMD Facility Data 2023'!$AC$2:$AE$10000,MATCH(Z115,'CAMD Facility Data 2023'!$AE$2:$AE$10000,0),1),"")</f>
        <v>1125</v>
      </c>
      <c r="AC115" s="1" t="str">
        <f>IF(INDEX('CAMD Facility Data 2023'!$AE$2:$AG$10000,MATCH(Z115,'CAMD Facility Data 2023'!$AE$2:$AE$10000,0),3)&gt;0,INDEX('CAMD Facility Data 2023'!$AE$2:$AG$10000,MATCH(Z115,'CAMD Facility Data 2023'!$AE$2:$AE$10000,0),3),"")</f>
        <v>Y</v>
      </c>
      <c r="AD115" s="20" t="str">
        <f t="shared" si="4"/>
        <v/>
      </c>
      <c r="AE115" s="25">
        <f t="shared" si="5"/>
        <v>3.821032369355657E-3</v>
      </c>
    </row>
    <row r="116" spans="1:31" x14ac:dyDescent="0.2">
      <c r="A116" s="1" t="s">
        <v>370</v>
      </c>
      <c r="B116" s="1" t="s">
        <v>422</v>
      </c>
      <c r="C116" s="1">
        <v>341</v>
      </c>
      <c r="D116" s="1">
        <v>2</v>
      </c>
      <c r="F116" s="1">
        <v>2023</v>
      </c>
      <c r="G116" s="5">
        <v>81</v>
      </c>
      <c r="H116" s="5">
        <v>63.25</v>
      </c>
      <c r="I116" s="5">
        <v>2621.89</v>
      </c>
      <c r="K116" s="5">
        <v>1.2999999999999999E-2</v>
      </c>
      <c r="L116" s="5">
        <v>1E-3</v>
      </c>
      <c r="M116" s="5">
        <v>2555.9929999999999</v>
      </c>
      <c r="N116" s="6">
        <v>6.0100000000000001E-2</v>
      </c>
      <c r="O116" s="5">
        <v>0.624</v>
      </c>
      <c r="P116" s="6">
        <v>9.1800000000000007E-2</v>
      </c>
      <c r="Q116" s="5">
        <v>43006.936999999998</v>
      </c>
      <c r="R116" s="1" t="s">
        <v>44</v>
      </c>
      <c r="T116" s="1" t="s">
        <v>93</v>
      </c>
      <c r="V116" s="1" t="s">
        <v>176</v>
      </c>
      <c r="Y116" s="1" t="s">
        <v>247</v>
      </c>
      <c r="Z116" s="1" t="str">
        <f t="shared" si="3"/>
        <v>341 2</v>
      </c>
      <c r="AA116" s="3">
        <f>IF(INDEX('CAMD Facility Data 2023'!$AA$2:$AE$10000,MATCH(Z116,'CAMD Facility Data 2023'!$AE$2:$AE$10000,0),1)&gt;0,INDEX('CAMD Facility Data 2023'!$AA$2:$AE$10000,MATCH(Z116,'CAMD Facility Data 2023'!$AE$2:$AE$10000,0),1),"")</f>
        <v>39295</v>
      </c>
      <c r="AB116" s="5">
        <f>IF(INDEX('CAMD Facility Data 2023'!$AC$2:$AE$10000,MATCH(Z116,'CAMD Facility Data 2023'!$AE$2:$AE$10000,0),1)&gt;0,INDEX('CAMD Facility Data 2023'!$AC$2:$AE$10000,MATCH(Z116,'CAMD Facility Data 2023'!$AE$2:$AE$10000,0),1),"")</f>
        <v>1100</v>
      </c>
      <c r="AC116" s="1" t="str">
        <f>IF(INDEX('CAMD Facility Data 2023'!$AE$2:$AG$10000,MATCH(Z116,'CAMD Facility Data 2023'!$AE$2:$AE$10000,0),3)&gt;0,INDEX('CAMD Facility Data 2023'!$AE$2:$AG$10000,MATCH(Z116,'CAMD Facility Data 2023'!$AE$2:$AE$10000,0),3),"")</f>
        <v>Y</v>
      </c>
      <c r="AD116" s="20">
        <f t="shared" si="4"/>
        <v>0.47599250922044789</v>
      </c>
      <c r="AE116" s="25">
        <f t="shared" si="5"/>
        <v>4.4631524491490241E-3</v>
      </c>
    </row>
    <row r="117" spans="1:31" x14ac:dyDescent="0.2">
      <c r="A117" s="1" t="s">
        <v>370</v>
      </c>
      <c r="B117" s="1" t="s">
        <v>422</v>
      </c>
      <c r="C117" s="1">
        <v>341</v>
      </c>
      <c r="D117" s="1">
        <v>3</v>
      </c>
      <c r="F117" s="1">
        <v>2023</v>
      </c>
      <c r="G117" s="5">
        <v>80</v>
      </c>
      <c r="H117" s="5">
        <v>61.61</v>
      </c>
      <c r="I117" s="5">
        <v>2687.54</v>
      </c>
      <c r="K117" s="5">
        <v>1.4E-2</v>
      </c>
      <c r="L117" s="5">
        <v>1E-3</v>
      </c>
      <c r="M117" s="5">
        <v>2784.7930000000001</v>
      </c>
      <c r="N117" s="6">
        <v>5.91E-2</v>
      </c>
      <c r="O117" s="5">
        <v>0.60799999999999998</v>
      </c>
      <c r="P117" s="6">
        <v>7.8700000000000006E-2</v>
      </c>
      <c r="Q117" s="5">
        <v>46860.188000000002</v>
      </c>
      <c r="R117" s="1" t="s">
        <v>44</v>
      </c>
      <c r="T117" s="1" t="s">
        <v>93</v>
      </c>
      <c r="V117" s="1" t="s">
        <v>176</v>
      </c>
      <c r="Y117" s="1" t="s">
        <v>247</v>
      </c>
      <c r="Z117" s="1" t="str">
        <f t="shared" si="3"/>
        <v>341 3</v>
      </c>
      <c r="AA117" s="3">
        <f>IF(INDEX('CAMD Facility Data 2023'!$AA$2:$AE$10000,MATCH(Z117,'CAMD Facility Data 2023'!$AE$2:$AE$10000,0),1)&gt;0,INDEX('CAMD Facility Data 2023'!$AA$2:$AE$10000,MATCH(Z117,'CAMD Facility Data 2023'!$AE$2:$AE$10000,0),1),"")</f>
        <v>39295</v>
      </c>
      <c r="AB117" s="5">
        <f>IF(INDEX('CAMD Facility Data 2023'!$AC$2:$AE$10000,MATCH(Z117,'CAMD Facility Data 2023'!$AE$2:$AE$10000,0),1)&gt;0,INDEX('CAMD Facility Data 2023'!$AC$2:$AE$10000,MATCH(Z117,'CAMD Facility Data 2023'!$AE$2:$AE$10000,0),1),"")</f>
        <v>1136</v>
      </c>
      <c r="AC117" s="1" t="str">
        <f>IF(INDEX('CAMD Facility Data 2023'!$AE$2:$AG$10000,MATCH(Z117,'CAMD Facility Data 2023'!$AE$2:$AE$10000,0),3)&gt;0,INDEX('CAMD Facility Data 2023'!$AE$2:$AG$10000,MATCH(Z117,'CAMD Facility Data 2023'!$AE$2:$AE$10000,0),3),"")</f>
        <v>Y</v>
      </c>
      <c r="AD117" s="20">
        <f t="shared" si="4"/>
        <v>0.45245838201477934</v>
      </c>
      <c r="AE117" s="25">
        <f t="shared" si="5"/>
        <v>4.7089230014791946E-3</v>
      </c>
    </row>
    <row r="118" spans="1:31" x14ac:dyDescent="0.2">
      <c r="A118" s="1" t="s">
        <v>370</v>
      </c>
      <c r="B118" s="1" t="s">
        <v>422</v>
      </c>
      <c r="C118" s="1">
        <v>341</v>
      </c>
      <c r="D118" s="1">
        <v>4</v>
      </c>
      <c r="F118" s="1">
        <v>2023</v>
      </c>
      <c r="G118" s="5">
        <v>72</v>
      </c>
      <c r="H118" s="5">
        <v>57.44</v>
      </c>
      <c r="I118" s="5">
        <v>2492.73</v>
      </c>
      <c r="K118" s="5">
        <v>1.4E-2</v>
      </c>
      <c r="L118" s="5">
        <v>1E-3</v>
      </c>
      <c r="M118" s="5">
        <v>2680.067</v>
      </c>
      <c r="N118" s="6">
        <v>5.91E-2</v>
      </c>
      <c r="O118" s="5">
        <v>0.61899999999999999</v>
      </c>
      <c r="P118" s="6">
        <v>6.54E-2</v>
      </c>
      <c r="Q118" s="5">
        <v>45093.824000000001</v>
      </c>
      <c r="R118" s="1" t="s">
        <v>44</v>
      </c>
      <c r="T118" s="1" t="s">
        <v>93</v>
      </c>
      <c r="V118" s="1" t="s">
        <v>176</v>
      </c>
      <c r="Y118" s="1" t="s">
        <v>247</v>
      </c>
      <c r="Z118" s="1" t="str">
        <f t="shared" si="3"/>
        <v>341 4</v>
      </c>
      <c r="AA118" s="3">
        <f>IF(INDEX('CAMD Facility Data 2023'!$AA$2:$AE$10000,MATCH(Z118,'CAMD Facility Data 2023'!$AE$2:$AE$10000,0),1)&gt;0,INDEX('CAMD Facility Data 2023'!$AA$2:$AE$10000,MATCH(Z118,'CAMD Facility Data 2023'!$AE$2:$AE$10000,0),1),"")</f>
        <v>39295</v>
      </c>
      <c r="AB118" s="5">
        <f>IF(INDEX('CAMD Facility Data 2023'!$AC$2:$AE$10000,MATCH(Z118,'CAMD Facility Data 2023'!$AE$2:$AE$10000,0),1)&gt;0,INDEX('CAMD Facility Data 2023'!$AC$2:$AE$10000,MATCH(Z118,'CAMD Facility Data 2023'!$AE$2:$AE$10000,0),1),"")</f>
        <v>1100</v>
      </c>
      <c r="AC118" s="1" t="str">
        <f>IF(INDEX('CAMD Facility Data 2023'!$AE$2:$AG$10000,MATCH(Z118,'CAMD Facility Data 2023'!$AE$2:$AE$10000,0),3)&gt;0,INDEX('CAMD Facility Data 2023'!$AE$2:$AG$10000,MATCH(Z118,'CAMD Facility Data 2023'!$AE$2:$AE$10000,0),3),"")</f>
        <v>Y</v>
      </c>
      <c r="AD118" s="20">
        <f t="shared" si="4"/>
        <v>0.49664424145414865</v>
      </c>
      <c r="AE118" s="25">
        <f t="shared" si="5"/>
        <v>4.6797243669572438E-3</v>
      </c>
    </row>
    <row r="119" spans="1:31" x14ac:dyDescent="0.2">
      <c r="A119" s="1" t="s">
        <v>370</v>
      </c>
      <c r="B119" s="1" t="s">
        <v>428</v>
      </c>
      <c r="C119" s="1">
        <v>350</v>
      </c>
      <c r="D119" s="1">
        <v>1</v>
      </c>
      <c r="F119" s="1">
        <v>2023</v>
      </c>
      <c r="G119" s="5">
        <v>437</v>
      </c>
      <c r="H119" s="5">
        <v>424.07</v>
      </c>
      <c r="I119" s="5">
        <v>72108.69</v>
      </c>
      <c r="K119" s="5">
        <v>0.26600000000000001</v>
      </c>
      <c r="L119" s="5">
        <v>1E-3</v>
      </c>
      <c r="M119" s="5">
        <v>52696.160000000003</v>
      </c>
      <c r="N119" s="6">
        <v>5.9200000000000003E-2</v>
      </c>
      <c r="O119" s="5">
        <v>3.536</v>
      </c>
      <c r="P119" s="6">
        <v>1.17E-2</v>
      </c>
      <c r="Q119" s="5">
        <v>886704.00100000005</v>
      </c>
      <c r="R119" s="1" t="s">
        <v>44</v>
      </c>
      <c r="T119" s="1" t="s">
        <v>89</v>
      </c>
      <c r="V119" s="1" t="s">
        <v>223</v>
      </c>
      <c r="Y119" s="1" t="s">
        <v>247</v>
      </c>
      <c r="Z119" s="1" t="str">
        <f t="shared" si="3"/>
        <v>350 1</v>
      </c>
      <c r="AA119" s="3">
        <f>IF(INDEX('CAMD Facility Data 2023'!$AA$2:$AE$10000,MATCH(Z119,'CAMD Facility Data 2023'!$AE$2:$AE$10000,0),1)&gt;0,INDEX('CAMD Facility Data 2023'!$AA$2:$AE$10000,MATCH(Z119,'CAMD Facility Data 2023'!$AE$2:$AE$10000,0),1),"")</f>
        <v>26268</v>
      </c>
      <c r="AB119" s="5">
        <f>IF(INDEX('CAMD Facility Data 2023'!$AC$2:$AE$10000,MATCH(Z119,'CAMD Facility Data 2023'!$AE$2:$AE$10000,0),1)&gt;0,INDEX('CAMD Facility Data 2023'!$AC$2:$AE$10000,MATCH(Z119,'CAMD Facility Data 2023'!$AE$2:$AE$10000,0),1),"")</f>
        <v>7500</v>
      </c>
      <c r="AC119" s="1" t="str">
        <f>IF(INDEX('CAMD Facility Data 2023'!$AE$2:$AG$10000,MATCH(Z119,'CAMD Facility Data 2023'!$AE$2:$AE$10000,0),3)&gt;0,INDEX('CAMD Facility Data 2023'!$AE$2:$AG$10000,MATCH(Z119,'CAMD Facility Data 2023'!$AE$2:$AE$10000,0),3),"")</f>
        <v>Y</v>
      </c>
      <c r="AD119" s="20">
        <f t="shared" si="4"/>
        <v>9.8074171088117112E-2</v>
      </c>
      <c r="AE119" s="25">
        <f t="shared" si="5"/>
        <v>1.3496255722983259E-2</v>
      </c>
    </row>
    <row r="120" spans="1:31" x14ac:dyDescent="0.2">
      <c r="A120" s="1" t="s">
        <v>370</v>
      </c>
      <c r="B120" s="1" t="s">
        <v>428</v>
      </c>
      <c r="C120" s="1">
        <v>350</v>
      </c>
      <c r="D120" s="1">
        <v>2</v>
      </c>
      <c r="F120" s="1">
        <v>2023</v>
      </c>
      <c r="G120" s="5">
        <v>938</v>
      </c>
      <c r="H120" s="5">
        <v>920.67</v>
      </c>
      <c r="I120" s="5">
        <v>195783.41</v>
      </c>
      <c r="K120" s="5">
        <v>0.64600000000000002</v>
      </c>
      <c r="L120" s="5">
        <v>1E-3</v>
      </c>
      <c r="M120" s="5">
        <v>128035.469</v>
      </c>
      <c r="N120" s="6">
        <v>5.91E-2</v>
      </c>
      <c r="O120" s="5">
        <v>7.3380000000000001</v>
      </c>
      <c r="P120" s="6">
        <v>7.1000000000000004E-3</v>
      </c>
      <c r="Q120" s="5">
        <v>2154446.0690000001</v>
      </c>
      <c r="R120" s="1" t="s">
        <v>44</v>
      </c>
      <c r="T120" s="1" t="s">
        <v>89</v>
      </c>
      <c r="V120" s="1" t="s">
        <v>223</v>
      </c>
      <c r="Y120" s="1" t="s">
        <v>247</v>
      </c>
      <c r="Z120" s="1" t="str">
        <f t="shared" si="3"/>
        <v>350 2</v>
      </c>
      <c r="AA120" s="3">
        <f>IF(INDEX('CAMD Facility Data 2023'!$AA$2:$AE$10000,MATCH(Z120,'CAMD Facility Data 2023'!$AE$2:$AE$10000,0),1)&gt;0,INDEX('CAMD Facility Data 2023'!$AA$2:$AE$10000,MATCH(Z120,'CAMD Facility Data 2023'!$AE$2:$AE$10000,0),1),"")</f>
        <v>26816</v>
      </c>
      <c r="AB120" s="5">
        <f>IF(INDEX('CAMD Facility Data 2023'!$AC$2:$AE$10000,MATCH(Z120,'CAMD Facility Data 2023'!$AE$2:$AE$10000,0),1)&gt;0,INDEX('CAMD Facility Data 2023'!$AC$2:$AE$10000,MATCH(Z120,'CAMD Facility Data 2023'!$AE$2:$AE$10000,0),1),"")</f>
        <v>7500</v>
      </c>
      <c r="AC120" s="1" t="str">
        <f>IF(INDEX('CAMD Facility Data 2023'!$AE$2:$AG$10000,MATCH(Z120,'CAMD Facility Data 2023'!$AE$2:$AE$10000,0),3)&gt;0,INDEX('CAMD Facility Data 2023'!$AE$2:$AG$10000,MATCH(Z120,'CAMD Facility Data 2023'!$AE$2:$AE$10000,0),3),"")</f>
        <v>Y</v>
      </c>
      <c r="AD120" s="20">
        <f t="shared" si="4"/>
        <v>7.4960386071526691E-2</v>
      </c>
      <c r="AE120" s="25">
        <f t="shared" si="5"/>
        <v>3.2792177610350075E-2</v>
      </c>
    </row>
    <row r="121" spans="1:31" x14ac:dyDescent="0.2">
      <c r="A121" s="1" t="s">
        <v>370</v>
      </c>
      <c r="B121" s="1" t="s">
        <v>434</v>
      </c>
      <c r="C121" s="1">
        <v>356</v>
      </c>
      <c r="D121" s="1">
        <v>5</v>
      </c>
      <c r="F121" s="1">
        <v>2023</v>
      </c>
      <c r="G121" s="5">
        <v>3621</v>
      </c>
      <c r="H121" s="5">
        <v>3621</v>
      </c>
      <c r="I121" s="5">
        <v>76389</v>
      </c>
      <c r="K121" s="5">
        <v>0.44800000000000001</v>
      </c>
      <c r="L121" s="5">
        <v>1E-3</v>
      </c>
      <c r="M121" s="5">
        <v>88653.9</v>
      </c>
      <c r="N121" s="6">
        <v>5.9200000000000003E-2</v>
      </c>
      <c r="O121" s="5">
        <v>5.7320000000000002</v>
      </c>
      <c r="P121" s="6">
        <v>8.3000000000000001E-3</v>
      </c>
      <c r="Q121" s="5">
        <v>1491802.9</v>
      </c>
      <c r="R121" s="1" t="s">
        <v>44</v>
      </c>
      <c r="S121" s="1" t="s">
        <v>173</v>
      </c>
      <c r="T121" s="1" t="s">
        <v>89</v>
      </c>
      <c r="Y121" s="1" t="s">
        <v>247</v>
      </c>
      <c r="Z121" s="1" t="str">
        <f t="shared" si="3"/>
        <v>356 5</v>
      </c>
      <c r="AA121" s="3">
        <f>IF(INDEX('CAMD Facility Data 2023'!$AA$2:$AE$10000,MATCH(Z121,'CAMD Facility Data 2023'!$AE$2:$AE$10000,0),1)&gt;0,INDEX('CAMD Facility Data 2023'!$AA$2:$AE$10000,MATCH(Z121,'CAMD Facility Data 2023'!$AE$2:$AE$10000,0),1),"")</f>
        <v>19968</v>
      </c>
      <c r="AB121" s="5">
        <f>IF(INDEX('CAMD Facility Data 2023'!$AC$2:$AE$10000,MATCH(Z121,'CAMD Facility Data 2023'!$AE$2:$AE$10000,0),1)&gt;0,INDEX('CAMD Facility Data 2023'!$AC$2:$AE$10000,MATCH(Z121,'CAMD Facility Data 2023'!$AE$2:$AE$10000,0),1),"")</f>
        <v>2000</v>
      </c>
      <c r="AC121" s="1" t="str">
        <f>IF(INDEX('CAMD Facility Data 2023'!$AE$2:$AG$10000,MATCH(Z121,'CAMD Facility Data 2023'!$AE$2:$AE$10000,0),3)&gt;0,INDEX('CAMD Facility Data 2023'!$AE$2:$AG$10000,MATCH(Z121,'CAMD Facility Data 2023'!$AE$2:$AE$10000,0),3),"")</f>
        <v/>
      </c>
      <c r="AD121" s="20">
        <f t="shared" si="4"/>
        <v>0.15007396352878033</v>
      </c>
      <c r="AE121" s="25">
        <f t="shared" si="5"/>
        <v>8.5148567351598162E-2</v>
      </c>
    </row>
    <row r="122" spans="1:31" x14ac:dyDescent="0.2">
      <c r="A122" s="1" t="s">
        <v>370</v>
      </c>
      <c r="B122" s="1" t="s">
        <v>434</v>
      </c>
      <c r="C122" s="1">
        <v>356</v>
      </c>
      <c r="D122" s="1">
        <v>6</v>
      </c>
      <c r="F122" s="1">
        <v>2023</v>
      </c>
      <c r="G122" s="5">
        <v>4559</v>
      </c>
      <c r="H122" s="5">
        <v>4559</v>
      </c>
      <c r="I122" s="5">
        <v>92585</v>
      </c>
      <c r="K122" s="5">
        <v>0.624</v>
      </c>
      <c r="L122" s="5">
        <v>1E-3</v>
      </c>
      <c r="M122" s="5">
        <v>123558.8</v>
      </c>
      <c r="N122" s="6">
        <v>5.9200000000000003E-2</v>
      </c>
      <c r="O122" s="5">
        <v>9.0860000000000003</v>
      </c>
      <c r="P122" s="6">
        <v>9.2999999999999992E-3</v>
      </c>
      <c r="Q122" s="5">
        <v>2079116.9</v>
      </c>
      <c r="R122" s="1" t="s">
        <v>44</v>
      </c>
      <c r="S122" s="1" t="s">
        <v>173</v>
      </c>
      <c r="T122" s="1" t="s">
        <v>89</v>
      </c>
      <c r="Y122" s="1" t="s">
        <v>247</v>
      </c>
      <c r="Z122" s="1" t="str">
        <f t="shared" si="3"/>
        <v>356 6</v>
      </c>
      <c r="AA122" s="3">
        <f>IF(INDEX('CAMD Facility Data 2023'!$AA$2:$AE$10000,MATCH(Z122,'CAMD Facility Data 2023'!$AE$2:$AE$10000,0),1)&gt;0,INDEX('CAMD Facility Data 2023'!$AA$2:$AE$10000,MATCH(Z122,'CAMD Facility Data 2023'!$AE$2:$AE$10000,0),1),"")</f>
        <v>20972</v>
      </c>
      <c r="AB122" s="5">
        <f>IF(INDEX('CAMD Facility Data 2023'!$AC$2:$AE$10000,MATCH(Z122,'CAMD Facility Data 2023'!$AE$2:$AE$10000,0),1)&gt;0,INDEX('CAMD Facility Data 2023'!$AC$2:$AE$10000,MATCH(Z122,'CAMD Facility Data 2023'!$AE$2:$AE$10000,0),1),"")</f>
        <v>1850</v>
      </c>
      <c r="AC122" s="1" t="str">
        <f>IF(INDEX('CAMD Facility Data 2023'!$AE$2:$AG$10000,MATCH(Z122,'CAMD Facility Data 2023'!$AE$2:$AE$10000,0),3)&gt;0,INDEX('CAMD Facility Data 2023'!$AE$2:$AG$10000,MATCH(Z122,'CAMD Facility Data 2023'!$AE$2:$AE$10000,0),3),"")</f>
        <v/>
      </c>
      <c r="AD122" s="20">
        <f t="shared" si="4"/>
        <v>0.19627369444294432</v>
      </c>
      <c r="AE122" s="25">
        <f t="shared" si="5"/>
        <v>0.12829303344440329</v>
      </c>
    </row>
    <row r="123" spans="1:31" x14ac:dyDescent="0.2">
      <c r="A123" s="1" t="s">
        <v>370</v>
      </c>
      <c r="B123" s="1" t="s">
        <v>434</v>
      </c>
      <c r="C123" s="1">
        <v>356</v>
      </c>
      <c r="D123" s="1">
        <v>8</v>
      </c>
      <c r="F123" s="1">
        <v>2023</v>
      </c>
      <c r="G123" s="5">
        <v>652</v>
      </c>
      <c r="H123" s="5">
        <v>652</v>
      </c>
      <c r="I123" s="5">
        <v>120192</v>
      </c>
      <c r="K123" s="5">
        <v>0.42299999999999999</v>
      </c>
      <c r="L123" s="5">
        <v>1E-3</v>
      </c>
      <c r="M123" s="5">
        <v>83799.100000000006</v>
      </c>
      <c r="N123" s="6">
        <v>5.8999999999999997E-2</v>
      </c>
      <c r="O123" s="5">
        <v>7.6239999999999997</v>
      </c>
      <c r="P123" s="6">
        <v>2.5399999999999999E-2</v>
      </c>
      <c r="Q123" s="5">
        <v>1410115.4</v>
      </c>
      <c r="R123" s="1" t="s">
        <v>44</v>
      </c>
      <c r="S123" s="1" t="s">
        <v>173</v>
      </c>
      <c r="T123" s="1" t="s">
        <v>89</v>
      </c>
      <c r="Y123" s="1" t="s">
        <v>247</v>
      </c>
      <c r="Z123" s="1" t="str">
        <f t="shared" si="3"/>
        <v>356 8</v>
      </c>
      <c r="AA123" s="3">
        <f>IF(INDEX('CAMD Facility Data 2023'!$AA$2:$AE$10000,MATCH(Z123,'CAMD Facility Data 2023'!$AE$2:$AE$10000,0),1)&gt;0,INDEX('CAMD Facility Data 2023'!$AA$2:$AE$10000,MATCH(Z123,'CAMD Facility Data 2023'!$AE$2:$AE$10000,0),1),"")</f>
        <v>24563</v>
      </c>
      <c r="AB123" s="5">
        <f>IF(INDEX('CAMD Facility Data 2023'!$AC$2:$AE$10000,MATCH(Z123,'CAMD Facility Data 2023'!$AE$2:$AE$10000,0),1)&gt;0,INDEX('CAMD Facility Data 2023'!$AC$2:$AE$10000,MATCH(Z123,'CAMD Facility Data 2023'!$AE$2:$AE$10000,0),1),"")</f>
        <v>5000</v>
      </c>
      <c r="AC123" s="1" t="str">
        <f>IF(INDEX('CAMD Facility Data 2023'!$AE$2:$AG$10000,MATCH(Z123,'CAMD Facility Data 2023'!$AE$2:$AE$10000,0),3)&gt;0,INDEX('CAMD Facility Data 2023'!$AE$2:$AG$10000,MATCH(Z123,'CAMD Facility Data 2023'!$AE$2:$AE$10000,0),3),"")</f>
        <v/>
      </c>
      <c r="AD123" s="20">
        <f t="shared" si="4"/>
        <v>0.12686368477103302</v>
      </c>
      <c r="AE123" s="25">
        <f t="shared" si="5"/>
        <v>3.2194415525114151E-2</v>
      </c>
    </row>
    <row r="124" spans="1:31" x14ac:dyDescent="0.2">
      <c r="A124" s="1" t="s">
        <v>370</v>
      </c>
      <c r="B124" s="1" t="s">
        <v>438</v>
      </c>
      <c r="C124" s="1">
        <v>358</v>
      </c>
      <c r="D124" s="2">
        <v>45352</v>
      </c>
      <c r="F124" s="1">
        <v>2023</v>
      </c>
      <c r="G124" s="5">
        <v>4300</v>
      </c>
      <c r="H124" s="5">
        <v>4160.03</v>
      </c>
      <c r="I124" s="5">
        <v>790266.05</v>
      </c>
      <c r="K124" s="5">
        <v>1.7430000000000001</v>
      </c>
      <c r="L124" s="5">
        <v>1E-3</v>
      </c>
      <c r="M124" s="5">
        <v>345312.51899999997</v>
      </c>
      <c r="N124" s="6">
        <v>5.8999999999999997E-2</v>
      </c>
      <c r="O124" s="5">
        <v>20.204999999999998</v>
      </c>
      <c r="P124" s="6">
        <v>1.29E-2</v>
      </c>
      <c r="Q124" s="5">
        <v>5810559.6390000004</v>
      </c>
      <c r="R124" s="1" t="s">
        <v>44</v>
      </c>
      <c r="T124" s="1" t="s">
        <v>71</v>
      </c>
      <c r="V124" s="1" t="s">
        <v>442</v>
      </c>
      <c r="Y124" s="1" t="s">
        <v>247</v>
      </c>
      <c r="Z124" s="1" t="str">
        <f t="shared" si="3"/>
        <v>358 45352</v>
      </c>
      <c r="AA124" s="3">
        <f>IF(INDEX('CAMD Facility Data 2023'!$AA$2:$AE$10000,MATCH(Z124,'CAMD Facility Data 2023'!$AE$2:$AE$10000,0),1)&gt;0,INDEX('CAMD Facility Data 2023'!$AA$2:$AE$10000,MATCH(Z124,'CAMD Facility Data 2023'!$AE$2:$AE$10000,0),1),"")</f>
        <v>38574</v>
      </c>
      <c r="AB124" s="5">
        <f>IF(INDEX('CAMD Facility Data 2023'!$AC$2:$AE$10000,MATCH(Z124,'CAMD Facility Data 2023'!$AE$2:$AE$10000,0),1)&gt;0,INDEX('CAMD Facility Data 2023'!$AC$2:$AE$10000,MATCH(Z124,'CAMD Facility Data 2023'!$AE$2:$AE$10000,0),1),"")</f>
        <v>2113</v>
      </c>
      <c r="AC124" s="1" t="str">
        <f>IF(INDEX('CAMD Facility Data 2023'!$AE$2:$AG$10000,MATCH(Z124,'CAMD Facility Data 2023'!$AE$2:$AE$10000,0),3)&gt;0,INDEX('CAMD Facility Data 2023'!$AE$2:$AG$10000,MATCH(Z124,'CAMD Facility Data 2023'!$AE$2:$AE$10000,0),3),"")</f>
        <v>Y</v>
      </c>
      <c r="AD124" s="20">
        <f t="shared" si="4"/>
        <v>5.1134677998630966E-2</v>
      </c>
      <c r="AE124" s="25">
        <f t="shared" si="5"/>
        <v>0.31391665634785315</v>
      </c>
    </row>
    <row r="125" spans="1:31" x14ac:dyDescent="0.2">
      <c r="A125" s="1" t="s">
        <v>370</v>
      </c>
      <c r="B125" s="1" t="s">
        <v>438</v>
      </c>
      <c r="C125" s="1">
        <v>358</v>
      </c>
      <c r="D125" s="2">
        <v>45353</v>
      </c>
      <c r="F125" s="1">
        <v>2023</v>
      </c>
      <c r="G125" s="5">
        <v>3837</v>
      </c>
      <c r="H125" s="5">
        <v>3700.8</v>
      </c>
      <c r="I125" s="5">
        <v>725830.82</v>
      </c>
      <c r="K125" s="5">
        <v>1.6180000000000001</v>
      </c>
      <c r="L125" s="5">
        <v>1E-3</v>
      </c>
      <c r="M125" s="5">
        <v>320588.57299999997</v>
      </c>
      <c r="N125" s="6">
        <v>5.8999999999999997E-2</v>
      </c>
      <c r="O125" s="5">
        <v>15.055999999999999</v>
      </c>
      <c r="P125" s="6">
        <v>9.5999999999999992E-3</v>
      </c>
      <c r="Q125" s="5">
        <v>5394498.5619999999</v>
      </c>
      <c r="R125" s="1" t="s">
        <v>44</v>
      </c>
      <c r="T125" s="1" t="s">
        <v>71</v>
      </c>
      <c r="V125" s="1" t="s">
        <v>442</v>
      </c>
      <c r="Y125" s="1" t="s">
        <v>247</v>
      </c>
      <c r="Z125" s="1" t="str">
        <f t="shared" si="3"/>
        <v>358 45353</v>
      </c>
      <c r="AA125" s="3">
        <f>IF(INDEX('CAMD Facility Data 2023'!$AA$2:$AE$10000,MATCH(Z125,'CAMD Facility Data 2023'!$AE$2:$AE$10000,0),1)&gt;0,INDEX('CAMD Facility Data 2023'!$AA$2:$AE$10000,MATCH(Z125,'CAMD Facility Data 2023'!$AE$2:$AE$10000,0),1),"")</f>
        <v>38584</v>
      </c>
      <c r="AB125" s="5">
        <f>IF(INDEX('CAMD Facility Data 2023'!$AC$2:$AE$10000,MATCH(Z125,'CAMD Facility Data 2023'!$AE$2:$AE$10000,0),1)&gt;0,INDEX('CAMD Facility Data 2023'!$AC$2:$AE$10000,MATCH(Z125,'CAMD Facility Data 2023'!$AE$2:$AE$10000,0),1),"")</f>
        <v>2113</v>
      </c>
      <c r="AC125" s="1" t="str">
        <f>IF(INDEX('CAMD Facility Data 2023'!$AE$2:$AG$10000,MATCH(Z125,'CAMD Facility Data 2023'!$AE$2:$AE$10000,0),3)&gt;0,INDEX('CAMD Facility Data 2023'!$AE$2:$AG$10000,MATCH(Z125,'CAMD Facility Data 2023'!$AE$2:$AE$10000,0),3),"")</f>
        <v>Y</v>
      </c>
      <c r="AD125" s="20">
        <f t="shared" si="4"/>
        <v>4.1486251575814877E-2</v>
      </c>
      <c r="AE125" s="25">
        <f t="shared" si="5"/>
        <v>0.291438872753362</v>
      </c>
    </row>
    <row r="126" spans="1:31" x14ac:dyDescent="0.2">
      <c r="A126" s="1" t="s">
        <v>370</v>
      </c>
      <c r="B126" s="1" t="s">
        <v>438</v>
      </c>
      <c r="C126" s="1">
        <v>358</v>
      </c>
      <c r="D126" s="2">
        <v>45383</v>
      </c>
      <c r="F126" s="1">
        <v>2023</v>
      </c>
      <c r="G126" s="5">
        <v>3461</v>
      </c>
      <c r="H126" s="5">
        <v>3325.29</v>
      </c>
      <c r="I126" s="5">
        <v>613004.88</v>
      </c>
      <c r="K126" s="5">
        <v>1.3620000000000001</v>
      </c>
      <c r="L126" s="5">
        <v>1E-3</v>
      </c>
      <c r="M126" s="5">
        <v>269883.80200000003</v>
      </c>
      <c r="N126" s="6">
        <v>5.8999999999999997E-2</v>
      </c>
      <c r="O126" s="5">
        <v>16.216999999999999</v>
      </c>
      <c r="P126" s="6">
        <v>1.38E-2</v>
      </c>
      <c r="Q126" s="5">
        <v>4541332.6069999998</v>
      </c>
      <c r="R126" s="1" t="s">
        <v>44</v>
      </c>
      <c r="T126" s="1" t="s">
        <v>71</v>
      </c>
      <c r="V126" s="1" t="s">
        <v>442</v>
      </c>
      <c r="Y126" s="1" t="s">
        <v>247</v>
      </c>
      <c r="Z126" s="1" t="str">
        <f t="shared" si="3"/>
        <v>358 45383</v>
      </c>
      <c r="AA126" s="3">
        <f>IF(INDEX('CAMD Facility Data 2023'!$AA$2:$AE$10000,MATCH(Z126,'CAMD Facility Data 2023'!$AE$2:$AE$10000,0),1)&gt;0,INDEX('CAMD Facility Data 2023'!$AA$2:$AE$10000,MATCH(Z126,'CAMD Facility Data 2023'!$AE$2:$AE$10000,0),1),"")</f>
        <v>38660</v>
      </c>
      <c r="AB126" s="5">
        <f>IF(INDEX('CAMD Facility Data 2023'!$AC$2:$AE$10000,MATCH(Z126,'CAMD Facility Data 2023'!$AE$2:$AE$10000,0),1)&gt;0,INDEX('CAMD Facility Data 2023'!$AC$2:$AE$10000,MATCH(Z126,'CAMD Facility Data 2023'!$AE$2:$AE$10000,0),1),"")</f>
        <v>2113</v>
      </c>
      <c r="AC126" s="1" t="str">
        <f>IF(INDEX('CAMD Facility Data 2023'!$AE$2:$AG$10000,MATCH(Z126,'CAMD Facility Data 2023'!$AE$2:$AE$10000,0),3)&gt;0,INDEX('CAMD Facility Data 2023'!$AE$2:$AG$10000,MATCH(Z126,'CAMD Facility Data 2023'!$AE$2:$AE$10000,0),3),"")</f>
        <v>Y</v>
      </c>
      <c r="AD126" s="20">
        <f t="shared" si="4"/>
        <v>5.2909856117295505E-2</v>
      </c>
      <c r="AE126" s="25">
        <f t="shared" si="5"/>
        <v>0.24534640997132343</v>
      </c>
    </row>
    <row r="127" spans="1:31" x14ac:dyDescent="0.2">
      <c r="A127" s="1" t="s">
        <v>370</v>
      </c>
      <c r="B127" s="1" t="s">
        <v>438</v>
      </c>
      <c r="C127" s="1">
        <v>358</v>
      </c>
      <c r="D127" s="2">
        <v>45384</v>
      </c>
      <c r="F127" s="1">
        <v>2023</v>
      </c>
      <c r="G127" s="5">
        <v>2956</v>
      </c>
      <c r="H127" s="5">
        <v>2831.21</v>
      </c>
      <c r="I127" s="5">
        <v>522521.73</v>
      </c>
      <c r="K127" s="5">
        <v>1.1479999999999999</v>
      </c>
      <c r="L127" s="5">
        <v>1E-3</v>
      </c>
      <c r="M127" s="5">
        <v>227382.97700000001</v>
      </c>
      <c r="N127" s="6">
        <v>5.8999999999999997E-2</v>
      </c>
      <c r="O127" s="5">
        <v>12.124000000000001</v>
      </c>
      <c r="P127" s="6">
        <v>1.26E-2</v>
      </c>
      <c r="Q127" s="5">
        <v>3826195.35</v>
      </c>
      <c r="R127" s="1" t="s">
        <v>44</v>
      </c>
      <c r="T127" s="1" t="s">
        <v>71</v>
      </c>
      <c r="V127" s="1" t="s">
        <v>442</v>
      </c>
      <c r="Y127" s="1" t="s">
        <v>247</v>
      </c>
      <c r="Z127" s="1" t="str">
        <f t="shared" si="3"/>
        <v>358 45384</v>
      </c>
      <c r="AA127" s="3">
        <f>IF(INDEX('CAMD Facility Data 2023'!$AA$2:$AE$10000,MATCH(Z127,'CAMD Facility Data 2023'!$AE$2:$AE$10000,0),1)&gt;0,INDEX('CAMD Facility Data 2023'!$AA$2:$AE$10000,MATCH(Z127,'CAMD Facility Data 2023'!$AE$2:$AE$10000,0),1),"")</f>
        <v>38677</v>
      </c>
      <c r="AB127" s="5">
        <f>IF(INDEX('CAMD Facility Data 2023'!$AC$2:$AE$10000,MATCH(Z127,'CAMD Facility Data 2023'!$AE$2:$AE$10000,0),1)&gt;0,INDEX('CAMD Facility Data 2023'!$AC$2:$AE$10000,MATCH(Z127,'CAMD Facility Data 2023'!$AE$2:$AE$10000,0),1),"")</f>
        <v>2113</v>
      </c>
      <c r="AC127" s="1" t="str">
        <f>IF(INDEX('CAMD Facility Data 2023'!$AE$2:$AG$10000,MATCH(Z127,'CAMD Facility Data 2023'!$AE$2:$AE$10000,0),3)&gt;0,INDEX('CAMD Facility Data 2023'!$AE$2:$AG$10000,MATCH(Z127,'CAMD Facility Data 2023'!$AE$2:$AE$10000,0),3),"")</f>
        <v>Y</v>
      </c>
      <c r="AD127" s="20">
        <f t="shared" si="4"/>
        <v>4.6405725557097884E-2</v>
      </c>
      <c r="AE127" s="25">
        <f t="shared" si="5"/>
        <v>0.20671097543582131</v>
      </c>
    </row>
    <row r="128" spans="1:31" x14ac:dyDescent="0.2">
      <c r="A128" s="1" t="s">
        <v>370</v>
      </c>
      <c r="B128" s="1" t="s">
        <v>447</v>
      </c>
      <c r="C128" s="1">
        <v>377</v>
      </c>
      <c r="D128" s="1">
        <v>4</v>
      </c>
      <c r="F128" s="1">
        <v>2023</v>
      </c>
      <c r="G128" s="5">
        <v>3053</v>
      </c>
      <c r="H128" s="5">
        <v>3045.28</v>
      </c>
      <c r="I128" s="5">
        <v>8419.9699999999993</v>
      </c>
      <c r="K128" s="5">
        <v>2.5999999999999999E-2</v>
      </c>
      <c r="L128" s="5">
        <v>0</v>
      </c>
      <c r="M128" s="5">
        <v>11497.629000000001</v>
      </c>
      <c r="N128" s="6">
        <v>5.8799999999999998E-2</v>
      </c>
      <c r="O128" s="5">
        <v>2.42</v>
      </c>
      <c r="P128" s="6">
        <v>1.5800000000000002E-2</v>
      </c>
      <c r="Q128" s="5">
        <v>194322.73499999999</v>
      </c>
      <c r="R128" s="1" t="s">
        <v>44</v>
      </c>
      <c r="S128" s="1" t="s">
        <v>450</v>
      </c>
      <c r="T128" s="1" t="s">
        <v>89</v>
      </c>
      <c r="V128" s="1" t="s">
        <v>90</v>
      </c>
      <c r="Y128" s="1" t="s">
        <v>247</v>
      </c>
      <c r="Z128" s="1" t="str">
        <f t="shared" si="3"/>
        <v>377 4</v>
      </c>
      <c r="AA128" s="3">
        <f>IF(INDEX('CAMD Facility Data 2023'!$AA$2:$AE$10000,MATCH(Z128,'CAMD Facility Data 2023'!$AE$2:$AE$10000,0),1)&gt;0,INDEX('CAMD Facility Data 2023'!$AA$2:$AE$10000,MATCH(Z128,'CAMD Facility Data 2023'!$AE$2:$AE$10000,0),1),"")</f>
        <v>21808</v>
      </c>
      <c r="AB128" s="5">
        <f>IF(INDEX('CAMD Facility Data 2023'!$AC$2:$AE$10000,MATCH(Z128,'CAMD Facility Data 2023'!$AE$2:$AE$10000,0),1)&gt;0,INDEX('CAMD Facility Data 2023'!$AC$2:$AE$10000,MATCH(Z128,'CAMD Facility Data 2023'!$AE$2:$AE$10000,0),1),"")</f>
        <v>650</v>
      </c>
      <c r="AC128" s="1" t="str">
        <f>IF(INDEX('CAMD Facility Data 2023'!$AE$2:$AG$10000,MATCH(Z128,'CAMD Facility Data 2023'!$AE$2:$AE$10000,0),3)&gt;0,INDEX('CAMD Facility Data 2023'!$AE$2:$AG$10000,MATCH(Z128,'CAMD Facility Data 2023'!$AE$2:$AE$10000,0),3),"")</f>
        <v/>
      </c>
      <c r="AD128" s="20">
        <f t="shared" si="4"/>
        <v>0.57482390079774637</v>
      </c>
      <c r="AE128" s="25">
        <f t="shared" si="5"/>
        <v>3.4127631717597466E-2</v>
      </c>
    </row>
    <row r="129" spans="1:31" x14ac:dyDescent="0.2">
      <c r="A129" s="1" t="s">
        <v>370</v>
      </c>
      <c r="B129" s="1" t="s">
        <v>447</v>
      </c>
      <c r="C129" s="1">
        <v>377</v>
      </c>
      <c r="D129" s="1">
        <v>5</v>
      </c>
      <c r="F129" s="1">
        <v>2023</v>
      </c>
      <c r="G129" s="5">
        <v>2385</v>
      </c>
      <c r="H129" s="5">
        <v>2382.7199999999998</v>
      </c>
      <c r="I129" s="5">
        <v>2</v>
      </c>
      <c r="K129" s="5">
        <v>0</v>
      </c>
      <c r="L129" s="5">
        <v>0</v>
      </c>
      <c r="M129" s="5">
        <v>4366.4399999999996</v>
      </c>
      <c r="N129" s="6">
        <v>5.8900000000000001E-2</v>
      </c>
      <c r="O129" s="5">
        <v>0.26400000000000001</v>
      </c>
      <c r="P129" s="6">
        <v>7.1000000000000004E-3</v>
      </c>
      <c r="Q129" s="5">
        <v>74082.479000000007</v>
      </c>
      <c r="R129" s="1" t="s">
        <v>44</v>
      </c>
      <c r="S129" s="1" t="s">
        <v>453</v>
      </c>
      <c r="T129" s="1" t="s">
        <v>89</v>
      </c>
      <c r="V129" s="1" t="s">
        <v>454</v>
      </c>
      <c r="Y129" s="1" t="s">
        <v>247</v>
      </c>
      <c r="Z129" s="1" t="str">
        <f t="shared" si="3"/>
        <v>377 5</v>
      </c>
      <c r="AA129" s="3">
        <f>IF(INDEX('CAMD Facility Data 2023'!$AA$2:$AE$10000,MATCH(Z129,'CAMD Facility Data 2023'!$AE$2:$AE$10000,0),1)&gt;0,INDEX('CAMD Facility Data 2023'!$AA$2:$AE$10000,MATCH(Z129,'CAMD Facility Data 2023'!$AE$2:$AE$10000,0),1),"")</f>
        <v>23621</v>
      </c>
      <c r="AB129" s="5">
        <f>IF(INDEX('CAMD Facility Data 2023'!$AC$2:$AE$10000,MATCH(Z129,'CAMD Facility Data 2023'!$AE$2:$AE$10000,0),1)&gt;0,INDEX('CAMD Facility Data 2023'!$AC$2:$AE$10000,MATCH(Z129,'CAMD Facility Data 2023'!$AE$2:$AE$10000,0),1),"")</f>
        <v>650</v>
      </c>
      <c r="AC129" s="1" t="str">
        <f>IF(INDEX('CAMD Facility Data 2023'!$AE$2:$AG$10000,MATCH(Z129,'CAMD Facility Data 2023'!$AE$2:$AE$10000,0),3)&gt;0,INDEX('CAMD Facility Data 2023'!$AE$2:$AG$10000,MATCH(Z129,'CAMD Facility Data 2023'!$AE$2:$AE$10000,0),3),"")</f>
        <v/>
      </c>
      <c r="AD129" s="20">
        <f t="shared" si="4"/>
        <v>264</v>
      </c>
      <c r="AE129" s="25">
        <f t="shared" si="5"/>
        <v>1.3010621531436601E-2</v>
      </c>
    </row>
    <row r="130" spans="1:31" x14ac:dyDescent="0.2">
      <c r="A130" s="1" t="s">
        <v>370</v>
      </c>
      <c r="B130" s="1" t="s">
        <v>447</v>
      </c>
      <c r="C130" s="1">
        <v>377</v>
      </c>
      <c r="D130" s="1">
        <v>9</v>
      </c>
      <c r="F130" s="1">
        <v>2023</v>
      </c>
      <c r="G130" s="5">
        <v>699</v>
      </c>
      <c r="H130" s="5">
        <v>650.99</v>
      </c>
      <c r="I130" s="5">
        <v>25911.05</v>
      </c>
      <c r="K130" s="5">
        <v>8.6999999999999994E-2</v>
      </c>
      <c r="L130" s="5">
        <v>1E-3</v>
      </c>
      <c r="M130" s="5">
        <v>15341.816000000001</v>
      </c>
      <c r="N130" s="6">
        <v>5.9200000000000003E-2</v>
      </c>
      <c r="O130" s="5">
        <v>2.1389999999999998</v>
      </c>
      <c r="P130" s="6">
        <v>1.7500000000000002E-2</v>
      </c>
      <c r="Q130" s="5">
        <v>258154.726</v>
      </c>
      <c r="R130" s="1" t="s">
        <v>44</v>
      </c>
      <c r="T130" s="1" t="s">
        <v>93</v>
      </c>
      <c r="V130" s="1" t="s">
        <v>223</v>
      </c>
      <c r="Y130" s="1" t="s">
        <v>247</v>
      </c>
      <c r="Z130" s="1" t="str">
        <f t="shared" si="3"/>
        <v>377 9</v>
      </c>
      <c r="AA130" s="3">
        <f>IF(INDEX('CAMD Facility Data 2023'!$AA$2:$AE$10000,MATCH(Z130,'CAMD Facility Data 2023'!$AE$2:$AE$10000,0),1)&gt;0,INDEX('CAMD Facility Data 2023'!$AA$2:$AE$10000,MATCH(Z130,'CAMD Facility Data 2023'!$AE$2:$AE$10000,0),1),"")</f>
        <v>38000</v>
      </c>
      <c r="AB130" s="5">
        <f>IF(INDEX('CAMD Facility Data 2023'!$AC$2:$AE$10000,MATCH(Z130,'CAMD Facility Data 2023'!$AE$2:$AE$10000,0),1)&gt;0,INDEX('CAMD Facility Data 2023'!$AC$2:$AE$10000,MATCH(Z130,'CAMD Facility Data 2023'!$AE$2:$AE$10000,0),1),"")</f>
        <v>470</v>
      </c>
      <c r="AC130" s="1" t="str">
        <f>IF(INDEX('CAMD Facility Data 2023'!$AE$2:$AG$10000,MATCH(Z130,'CAMD Facility Data 2023'!$AE$2:$AE$10000,0),3)&gt;0,INDEX('CAMD Facility Data 2023'!$AE$2:$AG$10000,MATCH(Z130,'CAMD Facility Data 2023'!$AE$2:$AE$10000,0),3),"")</f>
        <v>Y</v>
      </c>
      <c r="AD130" s="20">
        <f t="shared" si="4"/>
        <v>0.16510330534656065</v>
      </c>
      <c r="AE130" s="25">
        <f t="shared" si="5"/>
        <v>6.2701526765763141E-2</v>
      </c>
    </row>
    <row r="131" spans="1:31" x14ac:dyDescent="0.2">
      <c r="A131" s="1" t="s">
        <v>458</v>
      </c>
      <c r="B131" s="1" t="s">
        <v>459</v>
      </c>
      <c r="C131" s="1">
        <v>384</v>
      </c>
      <c r="D131" s="1">
        <v>71</v>
      </c>
      <c r="E131" s="1" t="s">
        <v>460</v>
      </c>
      <c r="F131" s="1">
        <v>2023</v>
      </c>
      <c r="G131" s="5">
        <v>1234</v>
      </c>
      <c r="H131" s="5">
        <v>1223.51</v>
      </c>
      <c r="I131" s="5">
        <v>198584.66</v>
      </c>
      <c r="K131" s="5">
        <v>0.59899999999999998</v>
      </c>
      <c r="L131" s="5">
        <v>1E-3</v>
      </c>
      <c r="M131" s="5">
        <v>118333.556</v>
      </c>
      <c r="N131" s="6">
        <v>5.8900000000000001E-2</v>
      </c>
      <c r="O131" s="5">
        <v>94.379000000000005</v>
      </c>
      <c r="P131" s="6">
        <v>8.2699999999999996E-2</v>
      </c>
      <c r="Q131" s="5">
        <v>1996178.152</v>
      </c>
      <c r="R131" s="1" t="s">
        <v>44</v>
      </c>
      <c r="T131" s="1" t="s">
        <v>43</v>
      </c>
      <c r="V131" s="1" t="s">
        <v>213</v>
      </c>
      <c r="W131" s="1" t="s">
        <v>58</v>
      </c>
      <c r="Y131" s="1" t="s">
        <v>461</v>
      </c>
      <c r="Z131" s="1" t="str">
        <f t="shared" ref="Z131:Z194" si="6">C131&amp;" "&amp;D131</f>
        <v>384 71</v>
      </c>
      <c r="AA131" s="3">
        <f>IF(INDEX('CAMD Facility Data 2023'!$AA$2:$AE$10000,MATCH(Z131,'CAMD Facility Data 2023'!$AE$2:$AE$10000,0),1)&gt;0,INDEX('CAMD Facility Data 2023'!$AA$2:$AE$10000,MATCH(Z131,'CAMD Facility Data 2023'!$AE$2:$AE$10000,0),1),"")</f>
        <v>23841</v>
      </c>
      <c r="AB131" s="5">
        <f>IF(INDEX('CAMD Facility Data 2023'!$AC$2:$AE$10000,MATCH(Z131,'CAMD Facility Data 2023'!$AE$2:$AE$10000,0),1)&gt;0,INDEX('CAMD Facility Data 2023'!$AC$2:$AE$10000,MATCH(Z131,'CAMD Facility Data 2023'!$AE$2:$AE$10000,0),1),"")</f>
        <v>3356</v>
      </c>
      <c r="AC131" s="1" t="str">
        <f>IF(INDEX('CAMD Facility Data 2023'!$AE$2:$AG$10000,MATCH(Z131,'CAMD Facility Data 2023'!$AE$2:$AE$10000,0),3)&gt;0,INDEX('CAMD Facility Data 2023'!$AE$2:$AG$10000,MATCH(Z131,'CAMD Facility Data 2023'!$AE$2:$AE$10000,0),3),"")</f>
        <v/>
      </c>
      <c r="AD131" s="20">
        <f t="shared" ref="AD131:AD194" si="7">IF(ISNUMBER(O131*2000/I131),O131*2000/I131,"")</f>
        <v>0.95051652025891631</v>
      </c>
      <c r="AE131" s="25">
        <f t="shared" ref="AE131:AE194" si="8">Q131/(AB131*8760)</f>
        <v>6.7900541795244393E-2</v>
      </c>
    </row>
    <row r="132" spans="1:31" x14ac:dyDescent="0.2">
      <c r="A132" s="1" t="s">
        <v>458</v>
      </c>
      <c r="B132" s="1" t="s">
        <v>459</v>
      </c>
      <c r="C132" s="1">
        <v>384</v>
      </c>
      <c r="D132" s="1">
        <v>72</v>
      </c>
      <c r="E132" s="1" t="s">
        <v>460</v>
      </c>
      <c r="F132" s="1">
        <v>2023</v>
      </c>
      <c r="G132" s="5">
        <v>1231</v>
      </c>
      <c r="H132" s="5">
        <v>1220.5999999999999</v>
      </c>
      <c r="I132" s="5">
        <v>195519.99</v>
      </c>
      <c r="K132" s="5">
        <v>0.59</v>
      </c>
      <c r="L132" s="5">
        <v>1E-3</v>
      </c>
      <c r="M132" s="5">
        <v>116543.647</v>
      </c>
      <c r="N132" s="6">
        <v>5.8900000000000001E-2</v>
      </c>
      <c r="O132" s="5">
        <v>92.894999999999996</v>
      </c>
      <c r="P132" s="6">
        <v>8.2799999999999999E-2</v>
      </c>
      <c r="Q132" s="5">
        <v>1965983.605</v>
      </c>
      <c r="R132" s="1" t="s">
        <v>44</v>
      </c>
      <c r="T132" s="1" t="s">
        <v>43</v>
      </c>
      <c r="V132" s="1" t="s">
        <v>213</v>
      </c>
      <c r="W132" s="1" t="s">
        <v>58</v>
      </c>
      <c r="Y132" s="1" t="s">
        <v>461</v>
      </c>
      <c r="Z132" s="1" t="str">
        <f t="shared" si="6"/>
        <v>384 72</v>
      </c>
      <c r="AA132" s="3">
        <f>IF(INDEX('CAMD Facility Data 2023'!$AA$2:$AE$10000,MATCH(Z132,'CAMD Facility Data 2023'!$AE$2:$AE$10000,0),1)&gt;0,INDEX('CAMD Facility Data 2023'!$AA$2:$AE$10000,MATCH(Z132,'CAMD Facility Data 2023'!$AE$2:$AE$10000,0),1),"")</f>
        <v>23841</v>
      </c>
      <c r="AB132" s="5">
        <f>IF(INDEX('CAMD Facility Data 2023'!$AC$2:$AE$10000,MATCH(Z132,'CAMD Facility Data 2023'!$AE$2:$AE$10000,0),1)&gt;0,INDEX('CAMD Facility Data 2023'!$AC$2:$AE$10000,MATCH(Z132,'CAMD Facility Data 2023'!$AE$2:$AE$10000,0),1),"")</f>
        <v>3356</v>
      </c>
      <c r="AC132" s="1" t="str">
        <f>IF(INDEX('CAMD Facility Data 2023'!$AE$2:$AG$10000,MATCH(Z132,'CAMD Facility Data 2023'!$AE$2:$AE$10000,0),3)&gt;0,INDEX('CAMD Facility Data 2023'!$AE$2:$AG$10000,MATCH(Z132,'CAMD Facility Data 2023'!$AE$2:$AE$10000,0),3),"")</f>
        <v/>
      </c>
      <c r="AD132" s="20">
        <f t="shared" si="7"/>
        <v>0.95023531864951516</v>
      </c>
      <c r="AE132" s="25">
        <f t="shared" si="8"/>
        <v>6.6873466081331878E-2</v>
      </c>
    </row>
    <row r="133" spans="1:31" x14ac:dyDescent="0.2">
      <c r="A133" s="1" t="s">
        <v>458</v>
      </c>
      <c r="B133" s="1" t="s">
        <v>459</v>
      </c>
      <c r="C133" s="1">
        <v>384</v>
      </c>
      <c r="D133" s="1">
        <v>81</v>
      </c>
      <c r="E133" s="1" t="s">
        <v>468</v>
      </c>
      <c r="F133" s="1">
        <v>2023</v>
      </c>
      <c r="G133" s="5">
        <v>1206</v>
      </c>
      <c r="H133" s="5">
        <v>1196.18</v>
      </c>
      <c r="I133" s="5">
        <v>169827.32</v>
      </c>
      <c r="K133" s="5">
        <v>0.52900000000000003</v>
      </c>
      <c r="L133" s="5">
        <v>1E-3</v>
      </c>
      <c r="M133" s="5">
        <v>104332.40700000001</v>
      </c>
      <c r="N133" s="6">
        <v>5.8900000000000001E-2</v>
      </c>
      <c r="O133" s="5">
        <v>93.512</v>
      </c>
      <c r="P133" s="6">
        <v>0.1012</v>
      </c>
      <c r="Q133" s="5">
        <v>1760009.392</v>
      </c>
      <c r="R133" s="1" t="s">
        <v>44</v>
      </c>
      <c r="T133" s="1" t="s">
        <v>43</v>
      </c>
      <c r="V133" s="1" t="s">
        <v>213</v>
      </c>
      <c r="W133" s="1" t="s">
        <v>58</v>
      </c>
      <c r="Y133" s="1" t="s">
        <v>461</v>
      </c>
      <c r="Z133" s="1" t="str">
        <f t="shared" si="6"/>
        <v>384 81</v>
      </c>
      <c r="AA133" s="3">
        <f>IF(INDEX('CAMD Facility Data 2023'!$AA$2:$AE$10000,MATCH(Z133,'CAMD Facility Data 2023'!$AE$2:$AE$10000,0),1)&gt;0,INDEX('CAMD Facility Data 2023'!$AA$2:$AE$10000,MATCH(Z133,'CAMD Facility Data 2023'!$AE$2:$AE$10000,0),1),"")</f>
        <v>24187</v>
      </c>
      <c r="AB133" s="5">
        <f>IF(INDEX('CAMD Facility Data 2023'!$AC$2:$AE$10000,MATCH(Z133,'CAMD Facility Data 2023'!$AE$2:$AE$10000,0),1)&gt;0,INDEX('CAMD Facility Data 2023'!$AC$2:$AE$10000,MATCH(Z133,'CAMD Facility Data 2023'!$AE$2:$AE$10000,0),1),"")</f>
        <v>3356</v>
      </c>
      <c r="AC133" s="1" t="str">
        <f>IF(INDEX('CAMD Facility Data 2023'!$AE$2:$AG$10000,MATCH(Z133,'CAMD Facility Data 2023'!$AE$2:$AE$10000,0),3)&gt;0,INDEX('CAMD Facility Data 2023'!$AE$2:$AG$10000,MATCH(Z133,'CAMD Facility Data 2023'!$AE$2:$AE$10000,0),3),"")</f>
        <v/>
      </c>
      <c r="AD133" s="20">
        <f t="shared" si="7"/>
        <v>1.1012597973046974</v>
      </c>
      <c r="AE133" s="25">
        <f t="shared" si="8"/>
        <v>5.986719730490201E-2</v>
      </c>
    </row>
    <row r="134" spans="1:31" x14ac:dyDescent="0.2">
      <c r="A134" s="1" t="s">
        <v>458</v>
      </c>
      <c r="B134" s="1" t="s">
        <v>459</v>
      </c>
      <c r="C134" s="1">
        <v>384</v>
      </c>
      <c r="D134" s="1">
        <v>82</v>
      </c>
      <c r="E134" s="1" t="s">
        <v>468</v>
      </c>
      <c r="F134" s="1">
        <v>2023</v>
      </c>
      <c r="G134" s="5">
        <v>1208</v>
      </c>
      <c r="H134" s="5">
        <v>1198.78</v>
      </c>
      <c r="I134" s="5">
        <v>181603.36</v>
      </c>
      <c r="K134" s="5">
        <v>0.56499999999999995</v>
      </c>
      <c r="L134" s="5">
        <v>1E-3</v>
      </c>
      <c r="M134" s="5">
        <v>111384.47199999999</v>
      </c>
      <c r="N134" s="6">
        <v>5.8900000000000001E-2</v>
      </c>
      <c r="O134" s="5">
        <v>100.345</v>
      </c>
      <c r="P134" s="6">
        <v>0.1011</v>
      </c>
      <c r="Q134" s="5">
        <v>1878972.6610000001</v>
      </c>
      <c r="R134" s="1" t="s">
        <v>44</v>
      </c>
      <c r="T134" s="1" t="s">
        <v>43</v>
      </c>
      <c r="V134" s="1" t="s">
        <v>213</v>
      </c>
      <c r="W134" s="1" t="s">
        <v>58</v>
      </c>
      <c r="Y134" s="1" t="s">
        <v>461</v>
      </c>
      <c r="Z134" s="1" t="str">
        <f t="shared" si="6"/>
        <v>384 82</v>
      </c>
      <c r="AA134" s="3">
        <f>IF(INDEX('CAMD Facility Data 2023'!$AA$2:$AE$10000,MATCH(Z134,'CAMD Facility Data 2023'!$AE$2:$AE$10000,0),1)&gt;0,INDEX('CAMD Facility Data 2023'!$AA$2:$AE$10000,MATCH(Z134,'CAMD Facility Data 2023'!$AE$2:$AE$10000,0),1),"")</f>
        <v>24187</v>
      </c>
      <c r="AB134" s="5">
        <f>IF(INDEX('CAMD Facility Data 2023'!$AC$2:$AE$10000,MATCH(Z134,'CAMD Facility Data 2023'!$AE$2:$AE$10000,0),1)&gt;0,INDEX('CAMD Facility Data 2023'!$AC$2:$AE$10000,MATCH(Z134,'CAMD Facility Data 2023'!$AE$2:$AE$10000,0),1),"")</f>
        <v>3356</v>
      </c>
      <c r="AC134" s="1" t="str">
        <f>IF(INDEX('CAMD Facility Data 2023'!$AE$2:$AG$10000,MATCH(Z134,'CAMD Facility Data 2023'!$AE$2:$AE$10000,0),3)&gt;0,INDEX('CAMD Facility Data 2023'!$AE$2:$AG$10000,MATCH(Z134,'CAMD Facility Data 2023'!$AE$2:$AE$10000,0),3),"")</f>
        <v/>
      </c>
      <c r="AD134" s="20">
        <f t="shared" si="7"/>
        <v>1.1051006985773832</v>
      </c>
      <c r="AE134" s="25">
        <f t="shared" si="8"/>
        <v>6.3913765198023303E-2</v>
      </c>
    </row>
    <row r="135" spans="1:31" x14ac:dyDescent="0.2">
      <c r="A135" s="1" t="s">
        <v>370</v>
      </c>
      <c r="B135" s="1" t="s">
        <v>470</v>
      </c>
      <c r="C135" s="1">
        <v>389</v>
      </c>
      <c r="D135" s="2">
        <v>45324</v>
      </c>
      <c r="F135" s="1">
        <v>2023</v>
      </c>
      <c r="G135" s="5">
        <v>2847</v>
      </c>
      <c r="H135" s="5">
        <v>2842.39</v>
      </c>
      <c r="I135" s="5">
        <v>239980.96</v>
      </c>
      <c r="K135" s="5">
        <v>0.65100000000000002</v>
      </c>
      <c r="L135" s="5">
        <v>1E-3</v>
      </c>
      <c r="M135" s="5">
        <v>129019.59</v>
      </c>
      <c r="N135" s="6">
        <v>5.8999999999999997E-2</v>
      </c>
      <c r="O135" s="5">
        <v>34.601999999999997</v>
      </c>
      <c r="P135" s="6">
        <v>3.1899999999999998E-2</v>
      </c>
      <c r="Q135" s="5">
        <v>2170967.7689999999</v>
      </c>
      <c r="R135" s="1" t="s">
        <v>44</v>
      </c>
      <c r="S135" s="1" t="s">
        <v>94</v>
      </c>
      <c r="T135" s="1" t="s">
        <v>71</v>
      </c>
      <c r="V135" s="1" t="s">
        <v>223</v>
      </c>
      <c r="Y135" s="1" t="s">
        <v>247</v>
      </c>
      <c r="Z135" s="1" t="str">
        <f t="shared" si="6"/>
        <v>389 45324</v>
      </c>
      <c r="AA135" s="3">
        <f>IF(INDEX('CAMD Facility Data 2023'!$AA$2:$AE$10000,MATCH(Z135,'CAMD Facility Data 2023'!$AE$2:$AE$10000,0),1)&gt;0,INDEX('CAMD Facility Data 2023'!$AA$2:$AE$10000,MATCH(Z135,'CAMD Facility Data 2023'!$AE$2:$AE$10000,0),1),"")</f>
        <v>34121</v>
      </c>
      <c r="AB135" s="5">
        <f>IF(INDEX('CAMD Facility Data 2023'!$AC$2:$AE$10000,MATCH(Z135,'CAMD Facility Data 2023'!$AE$2:$AE$10000,0),1)&gt;0,INDEX('CAMD Facility Data 2023'!$AC$2:$AE$10000,MATCH(Z135,'CAMD Facility Data 2023'!$AE$2:$AE$10000,0),1),"")</f>
        <v>950</v>
      </c>
      <c r="AC135" s="1" t="str">
        <f>IF(INDEX('CAMD Facility Data 2023'!$AE$2:$AG$10000,MATCH(Z135,'CAMD Facility Data 2023'!$AE$2:$AE$10000,0),3)&gt;0,INDEX('CAMD Facility Data 2023'!$AE$2:$AG$10000,MATCH(Z135,'CAMD Facility Data 2023'!$AE$2:$AE$10000,0),3),"")</f>
        <v>Y</v>
      </c>
      <c r="AD135" s="20">
        <f t="shared" si="7"/>
        <v>0.2883728775816215</v>
      </c>
      <c r="AE135" s="25">
        <f t="shared" si="8"/>
        <v>0.26087091672674834</v>
      </c>
    </row>
    <row r="136" spans="1:31" x14ac:dyDescent="0.2">
      <c r="A136" s="1" t="s">
        <v>370</v>
      </c>
      <c r="B136" s="1" t="s">
        <v>470</v>
      </c>
      <c r="C136" s="1">
        <v>389</v>
      </c>
      <c r="D136" s="2">
        <v>45352</v>
      </c>
      <c r="F136" s="1">
        <v>2023</v>
      </c>
      <c r="G136" s="5">
        <v>7494</v>
      </c>
      <c r="H136" s="5">
        <v>7483.36</v>
      </c>
      <c r="I136" s="5">
        <v>373349.38</v>
      </c>
      <c r="K136" s="5">
        <v>0.84099999999999997</v>
      </c>
      <c r="L136" s="5">
        <v>1E-3</v>
      </c>
      <c r="M136" s="5">
        <v>166659.20199999999</v>
      </c>
      <c r="N136" s="6">
        <v>5.9200000000000003E-2</v>
      </c>
      <c r="O136" s="5">
        <v>7.6689999999999996</v>
      </c>
      <c r="P136" s="6">
        <v>5.7000000000000002E-3</v>
      </c>
      <c r="Q136" s="5">
        <v>2804335.574</v>
      </c>
      <c r="R136" s="1" t="s">
        <v>44</v>
      </c>
      <c r="T136" s="1" t="s">
        <v>71</v>
      </c>
      <c r="V136" s="1" t="s">
        <v>64</v>
      </c>
      <c r="Y136" s="1" t="s">
        <v>247</v>
      </c>
      <c r="Z136" s="1" t="str">
        <f t="shared" si="6"/>
        <v>389 45352</v>
      </c>
      <c r="AA136" s="3">
        <f>IF(INDEX('CAMD Facility Data 2023'!$AA$2:$AE$10000,MATCH(Z136,'CAMD Facility Data 2023'!$AE$2:$AE$10000,0),1)&gt;0,INDEX('CAMD Facility Data 2023'!$AA$2:$AE$10000,MATCH(Z136,'CAMD Facility Data 2023'!$AE$2:$AE$10000,0),1),"")</f>
        <v>40969</v>
      </c>
      <c r="AB136" s="5">
        <f>IF(INDEX('CAMD Facility Data 2023'!$AC$2:$AE$10000,MATCH(Z136,'CAMD Facility Data 2023'!$AE$2:$AE$10000,0),1)&gt;0,INDEX('CAMD Facility Data 2023'!$AC$2:$AE$10000,MATCH(Z136,'CAMD Facility Data 2023'!$AE$2:$AE$10000,0),1),"")</f>
        <v>525</v>
      </c>
      <c r="AC136" s="1" t="str">
        <f>IF(INDEX('CAMD Facility Data 2023'!$AE$2:$AG$10000,MATCH(Z136,'CAMD Facility Data 2023'!$AE$2:$AE$10000,0),3)&gt;0,INDEX('CAMD Facility Data 2023'!$AE$2:$AG$10000,MATCH(Z136,'CAMD Facility Data 2023'!$AE$2:$AE$10000,0),3),"")</f>
        <v>Y</v>
      </c>
      <c r="AD136" s="20">
        <f t="shared" si="7"/>
        <v>4.1082162772039424E-2</v>
      </c>
      <c r="AE136" s="25">
        <f t="shared" si="8"/>
        <v>0.60977072711459013</v>
      </c>
    </row>
    <row r="137" spans="1:31" x14ac:dyDescent="0.2">
      <c r="A137" s="1" t="s">
        <v>370</v>
      </c>
      <c r="B137" s="1" t="s">
        <v>470</v>
      </c>
      <c r="C137" s="1">
        <v>389</v>
      </c>
      <c r="D137" s="2">
        <v>45353</v>
      </c>
      <c r="F137" s="1">
        <v>2023</v>
      </c>
      <c r="G137" s="5">
        <v>7246</v>
      </c>
      <c r="H137" s="5">
        <v>7239.24</v>
      </c>
      <c r="I137" s="5">
        <v>360016.91</v>
      </c>
      <c r="K137" s="5">
        <v>0.81</v>
      </c>
      <c r="L137" s="5">
        <v>1E-3</v>
      </c>
      <c r="M137" s="5">
        <v>160448.38800000001</v>
      </c>
      <c r="N137" s="6">
        <v>5.9200000000000003E-2</v>
      </c>
      <c r="O137" s="5">
        <v>6.7009999999999996</v>
      </c>
      <c r="P137" s="6">
        <v>5.1999999999999998E-3</v>
      </c>
      <c r="Q137" s="5">
        <v>2699839.932</v>
      </c>
      <c r="R137" s="1" t="s">
        <v>44</v>
      </c>
      <c r="T137" s="1" t="s">
        <v>71</v>
      </c>
      <c r="V137" s="1" t="s">
        <v>64</v>
      </c>
      <c r="Y137" s="1" t="s">
        <v>247</v>
      </c>
      <c r="Z137" s="1" t="str">
        <f t="shared" si="6"/>
        <v>389 45353</v>
      </c>
      <c r="AA137" s="3">
        <f>IF(INDEX('CAMD Facility Data 2023'!$AA$2:$AE$10000,MATCH(Z137,'CAMD Facility Data 2023'!$AE$2:$AE$10000,0),1)&gt;0,INDEX('CAMD Facility Data 2023'!$AA$2:$AE$10000,MATCH(Z137,'CAMD Facility Data 2023'!$AE$2:$AE$10000,0),1),"")</f>
        <v>40974</v>
      </c>
      <c r="AB137" s="5">
        <f>IF(INDEX('CAMD Facility Data 2023'!$AC$2:$AE$10000,MATCH(Z137,'CAMD Facility Data 2023'!$AE$2:$AE$10000,0),1)&gt;0,INDEX('CAMD Facility Data 2023'!$AC$2:$AE$10000,MATCH(Z137,'CAMD Facility Data 2023'!$AE$2:$AE$10000,0),1),"")</f>
        <v>525</v>
      </c>
      <c r="AC137" s="1" t="str">
        <f>IF(INDEX('CAMD Facility Data 2023'!$AE$2:$AG$10000,MATCH(Z137,'CAMD Facility Data 2023'!$AE$2:$AE$10000,0),3)&gt;0,INDEX('CAMD Facility Data 2023'!$AE$2:$AG$10000,MATCH(Z137,'CAMD Facility Data 2023'!$AE$2:$AE$10000,0),3),"")</f>
        <v>Y</v>
      </c>
      <c r="AD137" s="20">
        <f t="shared" si="7"/>
        <v>3.7226029188462288E-2</v>
      </c>
      <c r="AE137" s="25">
        <f t="shared" si="8"/>
        <v>0.58704934377038487</v>
      </c>
    </row>
    <row r="138" spans="1:31" x14ac:dyDescent="0.2">
      <c r="A138" s="1" t="s">
        <v>370</v>
      </c>
      <c r="B138" s="1" t="s">
        <v>470</v>
      </c>
      <c r="C138" s="1">
        <v>389</v>
      </c>
      <c r="D138" s="1">
        <v>4</v>
      </c>
      <c r="F138" s="1">
        <v>2023</v>
      </c>
      <c r="G138" s="5">
        <v>5390</v>
      </c>
      <c r="H138" s="5">
        <v>5381.25</v>
      </c>
      <c r="I138" s="5">
        <v>161956.23000000001</v>
      </c>
      <c r="K138" s="5">
        <v>0.53400000000000003</v>
      </c>
      <c r="L138" s="5">
        <v>1E-3</v>
      </c>
      <c r="M138" s="5">
        <v>105672.109</v>
      </c>
      <c r="N138" s="6">
        <v>5.9299999999999999E-2</v>
      </c>
      <c r="O138" s="5">
        <v>58.494999999999997</v>
      </c>
      <c r="P138" s="6">
        <v>6.8699999999999997E-2</v>
      </c>
      <c r="Q138" s="5">
        <v>1778121.5090000001</v>
      </c>
      <c r="R138" s="1" t="s">
        <v>44</v>
      </c>
      <c r="S138" s="1" t="s">
        <v>173</v>
      </c>
      <c r="T138" s="1" t="s">
        <v>89</v>
      </c>
      <c r="V138" s="1" t="s">
        <v>223</v>
      </c>
      <c r="Y138" s="1" t="s">
        <v>247</v>
      </c>
      <c r="Z138" s="1" t="str">
        <f t="shared" si="6"/>
        <v>389 4</v>
      </c>
      <c r="AA138" s="3">
        <f>IF(INDEX('CAMD Facility Data 2023'!$AA$2:$AE$10000,MATCH(Z138,'CAMD Facility Data 2023'!$AE$2:$AE$10000,0),1)&gt;0,INDEX('CAMD Facility Data 2023'!$AA$2:$AE$10000,MATCH(Z138,'CAMD Facility Data 2023'!$AE$2:$AE$10000,0),1),"")</f>
        <v>25051</v>
      </c>
      <c r="AB138" s="5">
        <f>IF(INDEX('CAMD Facility Data 2023'!$AC$2:$AE$10000,MATCH(Z138,'CAMD Facility Data 2023'!$AE$2:$AE$10000,0),1)&gt;0,INDEX('CAMD Facility Data 2023'!$AC$2:$AE$10000,MATCH(Z138,'CAMD Facility Data 2023'!$AE$2:$AE$10000,0),1),"")</f>
        <v>819</v>
      </c>
      <c r="AC138" s="1" t="str">
        <f>IF(INDEX('CAMD Facility Data 2023'!$AE$2:$AG$10000,MATCH(Z138,'CAMD Facility Data 2023'!$AE$2:$AE$10000,0),3)&gt;0,INDEX('CAMD Facility Data 2023'!$AE$2:$AG$10000,MATCH(Z138,'CAMD Facility Data 2023'!$AE$2:$AE$10000,0),3),"")</f>
        <v>Y</v>
      </c>
      <c r="AD138" s="20">
        <f t="shared" si="7"/>
        <v>0.72235566362590675</v>
      </c>
      <c r="AE138" s="25">
        <f t="shared" si="8"/>
        <v>0.24784115680108831</v>
      </c>
    </row>
    <row r="139" spans="1:31" x14ac:dyDescent="0.2">
      <c r="A139" s="1" t="s">
        <v>370</v>
      </c>
      <c r="B139" s="1" t="s">
        <v>478</v>
      </c>
      <c r="C139" s="1">
        <v>399</v>
      </c>
      <c r="D139" s="1">
        <v>10</v>
      </c>
      <c r="F139" s="1">
        <v>2023</v>
      </c>
      <c r="G139" s="5">
        <v>457</v>
      </c>
      <c r="H139" s="5">
        <v>353.6</v>
      </c>
      <c r="I139" s="5">
        <v>13666.49</v>
      </c>
      <c r="K139" s="5">
        <v>4.2999999999999997E-2</v>
      </c>
      <c r="L139" s="5">
        <v>1E-3</v>
      </c>
      <c r="M139" s="5">
        <v>8257.866</v>
      </c>
      <c r="N139" s="6">
        <v>5.8999999999999997E-2</v>
      </c>
      <c r="O139" s="5">
        <v>1.006</v>
      </c>
      <c r="P139" s="6">
        <v>1.4800000000000001E-2</v>
      </c>
      <c r="Q139" s="5">
        <v>140573.413</v>
      </c>
      <c r="R139" s="1" t="s">
        <v>44</v>
      </c>
      <c r="S139" s="1" t="s">
        <v>94</v>
      </c>
      <c r="T139" s="1" t="s">
        <v>93</v>
      </c>
      <c r="V139" s="1" t="s">
        <v>223</v>
      </c>
      <c r="Y139" s="1" t="s">
        <v>247</v>
      </c>
      <c r="Z139" s="1" t="str">
        <f t="shared" si="6"/>
        <v>399 10</v>
      </c>
      <c r="AA139" s="3">
        <f>IF(INDEX('CAMD Facility Data 2023'!$AA$2:$AE$10000,MATCH(Z139,'CAMD Facility Data 2023'!$AE$2:$AE$10000,0),1)&gt;0,INDEX('CAMD Facility Data 2023'!$AA$2:$AE$10000,MATCH(Z139,'CAMD Facility Data 2023'!$AE$2:$AE$10000,0),1),"")</f>
        <v>37192</v>
      </c>
      <c r="AB139" s="5">
        <f>IF(INDEX('CAMD Facility Data 2023'!$AC$2:$AE$10000,MATCH(Z139,'CAMD Facility Data 2023'!$AE$2:$AE$10000,0),1)&gt;0,INDEX('CAMD Facility Data 2023'!$AC$2:$AE$10000,MATCH(Z139,'CAMD Facility Data 2023'!$AE$2:$AE$10000,0),1),"")</f>
        <v>500</v>
      </c>
      <c r="AC139" s="1" t="str">
        <f>IF(INDEX('CAMD Facility Data 2023'!$AE$2:$AG$10000,MATCH(Z139,'CAMD Facility Data 2023'!$AE$2:$AE$10000,0),3)&gt;0,INDEX('CAMD Facility Data 2023'!$AE$2:$AG$10000,MATCH(Z139,'CAMD Facility Data 2023'!$AE$2:$AE$10000,0),3),"")</f>
        <v>Y</v>
      </c>
      <c r="AD139" s="20">
        <f t="shared" si="7"/>
        <v>0.14722141530122218</v>
      </c>
      <c r="AE139" s="25">
        <f t="shared" si="8"/>
        <v>3.2094386529680365E-2</v>
      </c>
    </row>
    <row r="140" spans="1:31" x14ac:dyDescent="0.2">
      <c r="A140" s="1" t="s">
        <v>370</v>
      </c>
      <c r="B140" s="1" t="s">
        <v>478</v>
      </c>
      <c r="C140" s="1">
        <v>399</v>
      </c>
      <c r="D140" s="1" t="s">
        <v>485</v>
      </c>
      <c r="F140" s="1">
        <v>2023</v>
      </c>
      <c r="G140" s="5">
        <v>876</v>
      </c>
      <c r="H140" s="5">
        <v>818.32</v>
      </c>
      <c r="I140" s="5">
        <v>71523.100000000006</v>
      </c>
      <c r="K140" s="5">
        <v>0.20399999999999999</v>
      </c>
      <c r="L140" s="5">
        <v>1E-3</v>
      </c>
      <c r="M140" s="5">
        <v>39810.442999999999</v>
      </c>
      <c r="N140" s="6">
        <v>5.8999999999999997E-2</v>
      </c>
      <c r="O140" s="5">
        <v>6.5389999999999997</v>
      </c>
      <c r="P140" s="6">
        <v>2.1100000000000001E-2</v>
      </c>
      <c r="Q140" s="5">
        <v>678352.45200000005</v>
      </c>
      <c r="R140" s="1" t="s">
        <v>44</v>
      </c>
      <c r="S140" s="1" t="s">
        <v>94</v>
      </c>
      <c r="T140" s="1" t="s">
        <v>71</v>
      </c>
      <c r="V140" s="1" t="s">
        <v>223</v>
      </c>
      <c r="Y140" s="1" t="s">
        <v>247</v>
      </c>
      <c r="Z140" s="1" t="str">
        <f t="shared" si="6"/>
        <v>399 **10A</v>
      </c>
      <c r="AA140" s="3">
        <f>IF(INDEX('CAMD Facility Data 2023'!$AA$2:$AE$10000,MATCH(Z140,'CAMD Facility Data 2023'!$AE$2:$AE$10000,0),1)&gt;0,INDEX('CAMD Facility Data 2023'!$AA$2:$AE$10000,MATCH(Z140,'CAMD Facility Data 2023'!$AE$2:$AE$10000,0),1),"")</f>
        <v>34608</v>
      </c>
      <c r="AB140" s="5">
        <f>IF(INDEX('CAMD Facility Data 2023'!$AC$2:$AE$10000,MATCH(Z140,'CAMD Facility Data 2023'!$AE$2:$AE$10000,0),1)&gt;0,INDEX('CAMD Facility Data 2023'!$AC$2:$AE$10000,MATCH(Z140,'CAMD Facility Data 2023'!$AE$2:$AE$10000,0),1),"")</f>
        <v>1088</v>
      </c>
      <c r="AC140" s="1" t="str">
        <f>IF(INDEX('CAMD Facility Data 2023'!$AE$2:$AG$10000,MATCH(Z140,'CAMD Facility Data 2023'!$AE$2:$AE$10000,0),3)&gt;0,INDEX('CAMD Facility Data 2023'!$AE$2:$AG$10000,MATCH(Z140,'CAMD Facility Data 2023'!$AE$2:$AE$10000,0),3),"")</f>
        <v>Y</v>
      </c>
      <c r="AD140" s="20">
        <f t="shared" si="7"/>
        <v>0.18285001628844386</v>
      </c>
      <c r="AE140" s="25">
        <f t="shared" si="8"/>
        <v>7.1174167757856566E-2</v>
      </c>
    </row>
    <row r="141" spans="1:31" x14ac:dyDescent="0.2">
      <c r="A141" s="1" t="s">
        <v>370</v>
      </c>
      <c r="B141" s="1" t="s">
        <v>478</v>
      </c>
      <c r="C141" s="1">
        <v>399</v>
      </c>
      <c r="D141" s="1" t="s">
        <v>487</v>
      </c>
      <c r="F141" s="1">
        <v>2023</v>
      </c>
      <c r="G141" s="5">
        <v>705</v>
      </c>
      <c r="H141" s="5">
        <v>653.41</v>
      </c>
      <c r="I141" s="5">
        <v>57895.839999999997</v>
      </c>
      <c r="K141" s="5">
        <v>0.16400000000000001</v>
      </c>
      <c r="L141" s="5">
        <v>1E-3</v>
      </c>
      <c r="M141" s="5">
        <v>32136.335999999999</v>
      </c>
      <c r="N141" s="6">
        <v>5.8999999999999997E-2</v>
      </c>
      <c r="O141" s="5">
        <v>5.2009999999999996</v>
      </c>
      <c r="P141" s="6">
        <v>2.06E-2</v>
      </c>
      <c r="Q141" s="5">
        <v>547613.71100000001</v>
      </c>
      <c r="R141" s="1" t="s">
        <v>44</v>
      </c>
      <c r="S141" s="1" t="s">
        <v>94</v>
      </c>
      <c r="T141" s="1" t="s">
        <v>71</v>
      </c>
      <c r="V141" s="1" t="s">
        <v>223</v>
      </c>
      <c r="Y141" s="1" t="s">
        <v>247</v>
      </c>
      <c r="Z141" s="1" t="str">
        <f t="shared" si="6"/>
        <v>399 **10B</v>
      </c>
      <c r="AA141" s="3">
        <f>IF(INDEX('CAMD Facility Data 2023'!$AA$2:$AE$10000,MATCH(Z141,'CAMD Facility Data 2023'!$AE$2:$AE$10000,0),1)&gt;0,INDEX('CAMD Facility Data 2023'!$AA$2:$AE$10000,MATCH(Z141,'CAMD Facility Data 2023'!$AE$2:$AE$10000,0),1),"")</f>
        <v>34608</v>
      </c>
      <c r="AB141" s="5">
        <f>IF(INDEX('CAMD Facility Data 2023'!$AC$2:$AE$10000,MATCH(Z141,'CAMD Facility Data 2023'!$AE$2:$AE$10000,0),1)&gt;0,INDEX('CAMD Facility Data 2023'!$AC$2:$AE$10000,MATCH(Z141,'CAMD Facility Data 2023'!$AE$2:$AE$10000,0),1),"")</f>
        <v>1088</v>
      </c>
      <c r="AC141" s="1" t="str">
        <f>IF(INDEX('CAMD Facility Data 2023'!$AE$2:$AG$10000,MATCH(Z141,'CAMD Facility Data 2023'!$AE$2:$AE$10000,0),3)&gt;0,INDEX('CAMD Facility Data 2023'!$AE$2:$AG$10000,MATCH(Z141,'CAMD Facility Data 2023'!$AE$2:$AE$10000,0),3),"")</f>
        <v>Y</v>
      </c>
      <c r="AD141" s="20">
        <f t="shared" si="7"/>
        <v>0.17966748560863788</v>
      </c>
      <c r="AE141" s="25">
        <f t="shared" si="8"/>
        <v>5.7456783738752348E-2</v>
      </c>
    </row>
    <row r="142" spans="1:31" x14ac:dyDescent="0.2">
      <c r="A142" s="1" t="s">
        <v>370</v>
      </c>
      <c r="B142" s="1" t="s">
        <v>478</v>
      </c>
      <c r="C142" s="1">
        <v>399</v>
      </c>
      <c r="D142" s="1">
        <v>11</v>
      </c>
      <c r="F142" s="1">
        <v>2023</v>
      </c>
      <c r="G142" s="5">
        <v>362</v>
      </c>
      <c r="H142" s="5">
        <v>280.36</v>
      </c>
      <c r="I142" s="5">
        <v>10330.59</v>
      </c>
      <c r="K142" s="5">
        <v>3.3000000000000002E-2</v>
      </c>
      <c r="L142" s="5">
        <v>1E-3</v>
      </c>
      <c r="M142" s="5">
        <v>6456.241</v>
      </c>
      <c r="N142" s="6">
        <v>5.91E-2</v>
      </c>
      <c r="O142" s="5">
        <v>0.89500000000000002</v>
      </c>
      <c r="P142" s="6">
        <v>1.8800000000000001E-2</v>
      </c>
      <c r="Q142" s="5">
        <v>109851.67200000001</v>
      </c>
      <c r="R142" s="1" t="s">
        <v>44</v>
      </c>
      <c r="S142" s="1" t="s">
        <v>94</v>
      </c>
      <c r="T142" s="1" t="s">
        <v>93</v>
      </c>
      <c r="V142" s="1" t="s">
        <v>223</v>
      </c>
      <c r="Y142" s="1" t="s">
        <v>247</v>
      </c>
      <c r="Z142" s="1" t="str">
        <f t="shared" si="6"/>
        <v>399 11</v>
      </c>
      <c r="AA142" s="3">
        <f>IF(INDEX('CAMD Facility Data 2023'!$AA$2:$AE$10000,MATCH(Z142,'CAMD Facility Data 2023'!$AE$2:$AE$10000,0),1)&gt;0,INDEX('CAMD Facility Data 2023'!$AA$2:$AE$10000,MATCH(Z142,'CAMD Facility Data 2023'!$AE$2:$AE$10000,0),1),"")</f>
        <v>37194</v>
      </c>
      <c r="AB142" s="5">
        <f>IF(INDEX('CAMD Facility Data 2023'!$AC$2:$AE$10000,MATCH(Z142,'CAMD Facility Data 2023'!$AE$2:$AE$10000,0),1)&gt;0,INDEX('CAMD Facility Data 2023'!$AC$2:$AE$10000,MATCH(Z142,'CAMD Facility Data 2023'!$AE$2:$AE$10000,0),1),"")</f>
        <v>800</v>
      </c>
      <c r="AC142" s="1" t="str">
        <f>IF(INDEX('CAMD Facility Data 2023'!$AE$2:$AG$10000,MATCH(Z142,'CAMD Facility Data 2023'!$AE$2:$AE$10000,0),3)&gt;0,INDEX('CAMD Facility Data 2023'!$AE$2:$AG$10000,MATCH(Z142,'CAMD Facility Data 2023'!$AE$2:$AE$10000,0),3),"")</f>
        <v>Y</v>
      </c>
      <c r="AD142" s="20">
        <f t="shared" si="7"/>
        <v>0.17327180732175027</v>
      </c>
      <c r="AE142" s="25">
        <f t="shared" si="8"/>
        <v>1.5675181506849316E-2</v>
      </c>
    </row>
    <row r="143" spans="1:31" x14ac:dyDescent="0.2">
      <c r="A143" s="1" t="s">
        <v>370</v>
      </c>
      <c r="B143" s="1" t="s">
        <v>478</v>
      </c>
      <c r="C143" s="1">
        <v>399</v>
      </c>
      <c r="D143" s="1">
        <v>12</v>
      </c>
      <c r="F143" s="1">
        <v>2023</v>
      </c>
      <c r="G143" s="5">
        <v>240</v>
      </c>
      <c r="H143" s="5">
        <v>188.94</v>
      </c>
      <c r="I143" s="5">
        <v>6951.03</v>
      </c>
      <c r="K143" s="5">
        <v>2.1999999999999999E-2</v>
      </c>
      <c r="L143" s="5">
        <v>1E-3</v>
      </c>
      <c r="M143" s="5">
        <v>4280.1149999999998</v>
      </c>
      <c r="N143" s="6">
        <v>5.8999999999999997E-2</v>
      </c>
      <c r="O143" s="5">
        <v>0.53300000000000003</v>
      </c>
      <c r="P143" s="6">
        <v>1.6E-2</v>
      </c>
      <c r="Q143" s="5">
        <v>72917.748999999996</v>
      </c>
      <c r="R143" s="1" t="s">
        <v>44</v>
      </c>
      <c r="S143" s="1" t="s">
        <v>94</v>
      </c>
      <c r="T143" s="1" t="s">
        <v>93</v>
      </c>
      <c r="V143" s="1" t="s">
        <v>223</v>
      </c>
      <c r="Y143" s="1" t="s">
        <v>247</v>
      </c>
      <c r="Z143" s="1" t="str">
        <f t="shared" si="6"/>
        <v>399 12</v>
      </c>
      <c r="AA143" s="3">
        <f>IF(INDEX('CAMD Facility Data 2023'!$AA$2:$AE$10000,MATCH(Z143,'CAMD Facility Data 2023'!$AE$2:$AE$10000,0),1)&gt;0,INDEX('CAMD Facility Data 2023'!$AA$2:$AE$10000,MATCH(Z143,'CAMD Facility Data 2023'!$AE$2:$AE$10000,0),1),"")</f>
        <v>37190</v>
      </c>
      <c r="AB143" s="5">
        <f>IF(INDEX('CAMD Facility Data 2023'!$AC$2:$AE$10000,MATCH(Z143,'CAMD Facility Data 2023'!$AE$2:$AE$10000,0),1)&gt;0,INDEX('CAMD Facility Data 2023'!$AC$2:$AE$10000,MATCH(Z143,'CAMD Facility Data 2023'!$AE$2:$AE$10000,0),1),"")</f>
        <v>800</v>
      </c>
      <c r="AC143" s="1" t="str">
        <f>IF(INDEX('CAMD Facility Data 2023'!$AE$2:$AG$10000,MATCH(Z143,'CAMD Facility Data 2023'!$AE$2:$AE$10000,0),3)&gt;0,INDEX('CAMD Facility Data 2023'!$AE$2:$AG$10000,MATCH(Z143,'CAMD Facility Data 2023'!$AE$2:$AE$10000,0),3),"")</f>
        <v>Y</v>
      </c>
      <c r="AD143" s="20">
        <f t="shared" si="7"/>
        <v>0.15335856700373901</v>
      </c>
      <c r="AE143" s="25">
        <f t="shared" si="8"/>
        <v>1.0404929937214612E-2</v>
      </c>
    </row>
    <row r="144" spans="1:31" x14ac:dyDescent="0.2">
      <c r="A144" s="1" t="s">
        <v>370</v>
      </c>
      <c r="B144" s="1" t="s">
        <v>478</v>
      </c>
      <c r="C144" s="1">
        <v>399</v>
      </c>
      <c r="D144" s="1">
        <v>13</v>
      </c>
      <c r="F144" s="1">
        <v>2023</v>
      </c>
      <c r="G144" s="5">
        <v>293</v>
      </c>
      <c r="H144" s="5">
        <v>228.06</v>
      </c>
      <c r="I144" s="5">
        <v>8263.14</v>
      </c>
      <c r="K144" s="5">
        <v>2.5999999999999999E-2</v>
      </c>
      <c r="L144" s="5">
        <v>1E-3</v>
      </c>
      <c r="M144" s="5">
        <v>5131.6440000000002</v>
      </c>
      <c r="N144" s="6">
        <v>5.8999999999999997E-2</v>
      </c>
      <c r="O144" s="5">
        <v>0.65200000000000002</v>
      </c>
      <c r="P144" s="6">
        <v>1.8100000000000002E-2</v>
      </c>
      <c r="Q144" s="5">
        <v>87329.171000000002</v>
      </c>
      <c r="R144" s="1" t="s">
        <v>44</v>
      </c>
      <c r="S144" s="1" t="s">
        <v>94</v>
      </c>
      <c r="T144" s="1" t="s">
        <v>93</v>
      </c>
      <c r="V144" s="1" t="s">
        <v>223</v>
      </c>
      <c r="Y144" s="1" t="s">
        <v>247</v>
      </c>
      <c r="Z144" s="1" t="str">
        <f t="shared" si="6"/>
        <v>399 13</v>
      </c>
      <c r="AA144" s="3">
        <f>IF(INDEX('CAMD Facility Data 2023'!$AA$2:$AE$10000,MATCH(Z144,'CAMD Facility Data 2023'!$AE$2:$AE$10000,0),1)&gt;0,INDEX('CAMD Facility Data 2023'!$AA$2:$AE$10000,MATCH(Z144,'CAMD Facility Data 2023'!$AE$2:$AE$10000,0),1),"")</f>
        <v>37196</v>
      </c>
      <c r="AB144" s="5">
        <f>IF(INDEX('CAMD Facility Data 2023'!$AC$2:$AE$10000,MATCH(Z144,'CAMD Facility Data 2023'!$AE$2:$AE$10000,0),1)&gt;0,INDEX('CAMD Facility Data 2023'!$AC$2:$AE$10000,MATCH(Z144,'CAMD Facility Data 2023'!$AE$2:$AE$10000,0),1),"")</f>
        <v>500</v>
      </c>
      <c r="AC144" s="1" t="str">
        <f>IF(INDEX('CAMD Facility Data 2023'!$AE$2:$AG$10000,MATCH(Z144,'CAMD Facility Data 2023'!$AE$2:$AE$10000,0),3)&gt;0,INDEX('CAMD Facility Data 2023'!$AE$2:$AG$10000,MATCH(Z144,'CAMD Facility Data 2023'!$AE$2:$AE$10000,0),3),"")</f>
        <v>Y</v>
      </c>
      <c r="AD144" s="20">
        <f t="shared" si="7"/>
        <v>0.15780925894998754</v>
      </c>
      <c r="AE144" s="25">
        <f t="shared" si="8"/>
        <v>1.9938166894977169E-2</v>
      </c>
    </row>
    <row r="145" spans="1:31" x14ac:dyDescent="0.2">
      <c r="A145" s="1" t="s">
        <v>370</v>
      </c>
      <c r="B145" s="1" t="s">
        <v>478</v>
      </c>
      <c r="C145" s="1">
        <v>399</v>
      </c>
      <c r="D145" s="1">
        <v>14</v>
      </c>
      <c r="F145" s="1">
        <v>2023</v>
      </c>
      <c r="G145" s="5">
        <v>2</v>
      </c>
      <c r="H145" s="5">
        <v>2</v>
      </c>
      <c r="I145" s="5">
        <v>0</v>
      </c>
      <c r="K145" s="5">
        <v>0</v>
      </c>
      <c r="L145" s="5">
        <v>1E-3</v>
      </c>
      <c r="M145" s="5">
        <v>4.8</v>
      </c>
      <c r="N145" s="6">
        <v>5.8000000000000003E-2</v>
      </c>
      <c r="O145" s="5">
        <v>3.0000000000000001E-3</v>
      </c>
      <c r="P145" s="6">
        <v>7.0000000000000007E-2</v>
      </c>
      <c r="Q145" s="5">
        <v>82.6</v>
      </c>
      <c r="R145" s="1" t="s">
        <v>44</v>
      </c>
      <c r="S145" s="1" t="s">
        <v>94</v>
      </c>
      <c r="T145" s="1" t="s">
        <v>93</v>
      </c>
      <c r="V145" s="1" t="s">
        <v>223</v>
      </c>
      <c r="Y145" s="1" t="s">
        <v>247</v>
      </c>
      <c r="Z145" s="1" t="str">
        <f t="shared" si="6"/>
        <v>399 14</v>
      </c>
      <c r="AA145" s="3">
        <f>IF(INDEX('CAMD Facility Data 2023'!$AA$2:$AE$10000,MATCH(Z145,'CAMD Facility Data 2023'!$AE$2:$AE$10000,0),1)&gt;0,INDEX('CAMD Facility Data 2023'!$AA$2:$AE$10000,MATCH(Z145,'CAMD Facility Data 2023'!$AE$2:$AE$10000,0),1),"")</f>
        <v>37196</v>
      </c>
      <c r="AB145" s="5">
        <f>IF(INDEX('CAMD Facility Data 2023'!$AC$2:$AE$10000,MATCH(Z145,'CAMD Facility Data 2023'!$AE$2:$AE$10000,0),1)&gt;0,INDEX('CAMD Facility Data 2023'!$AC$2:$AE$10000,MATCH(Z145,'CAMD Facility Data 2023'!$AE$2:$AE$10000,0),1),"")</f>
        <v>556.29999999999995</v>
      </c>
      <c r="AC145" s="1" t="str">
        <f>IF(INDEX('CAMD Facility Data 2023'!$AE$2:$AG$10000,MATCH(Z145,'CAMD Facility Data 2023'!$AE$2:$AE$10000,0),3)&gt;0,INDEX('CAMD Facility Data 2023'!$AE$2:$AG$10000,MATCH(Z145,'CAMD Facility Data 2023'!$AE$2:$AE$10000,0),3),"")</f>
        <v>Y</v>
      </c>
      <c r="AD145" s="20" t="str">
        <f t="shared" si="7"/>
        <v/>
      </c>
      <c r="AE145" s="25">
        <f t="shared" si="8"/>
        <v>1.6949889887277073E-5</v>
      </c>
    </row>
    <row r="146" spans="1:31" x14ac:dyDescent="0.2">
      <c r="A146" s="1" t="s">
        <v>370</v>
      </c>
      <c r="B146" s="1" t="s">
        <v>489</v>
      </c>
      <c r="C146" s="1">
        <v>400</v>
      </c>
      <c r="D146" s="1">
        <v>1</v>
      </c>
      <c r="F146" s="1">
        <v>2023</v>
      </c>
      <c r="G146" s="5">
        <v>4639</v>
      </c>
      <c r="H146" s="5">
        <v>4617.01</v>
      </c>
      <c r="I146" s="5">
        <v>309853.7</v>
      </c>
      <c r="K146" s="5">
        <v>1.042</v>
      </c>
      <c r="L146" s="5">
        <v>1E-3</v>
      </c>
      <c r="M146" s="5">
        <v>202720.52</v>
      </c>
      <c r="N146" s="6">
        <v>5.8000000000000003E-2</v>
      </c>
      <c r="O146" s="5">
        <v>2.8769999999999998</v>
      </c>
      <c r="P146" s="6">
        <v>3.0999999999999999E-3</v>
      </c>
      <c r="Q146" s="5">
        <v>3471241.068</v>
      </c>
      <c r="R146" s="1" t="s">
        <v>44</v>
      </c>
      <c r="T146" s="1" t="s">
        <v>89</v>
      </c>
      <c r="V146" s="1" t="s">
        <v>223</v>
      </c>
      <c r="Y146" s="1" t="s">
        <v>247</v>
      </c>
      <c r="Z146" s="1" t="str">
        <f t="shared" si="6"/>
        <v>400 1</v>
      </c>
      <c r="AA146" s="3">
        <f>IF(INDEX('CAMD Facility Data 2023'!$AA$2:$AE$10000,MATCH(Z146,'CAMD Facility Data 2023'!$AE$2:$AE$10000,0),1)&gt;0,INDEX('CAMD Facility Data 2023'!$AA$2:$AE$10000,MATCH(Z146,'CAMD Facility Data 2023'!$AE$2:$AE$10000,0),1),"")</f>
        <v>22828</v>
      </c>
      <c r="AB146" s="5">
        <f>IF(INDEX('CAMD Facility Data 2023'!$AC$2:$AE$10000,MATCH(Z146,'CAMD Facility Data 2023'!$AE$2:$AE$10000,0),1)&gt;0,INDEX('CAMD Facility Data 2023'!$AC$2:$AE$10000,MATCH(Z146,'CAMD Facility Data 2023'!$AE$2:$AE$10000,0),1),"")</f>
        <v>2180</v>
      </c>
      <c r="AC146" s="1" t="str">
        <f>IF(INDEX('CAMD Facility Data 2023'!$AE$2:$AG$10000,MATCH(Z146,'CAMD Facility Data 2023'!$AE$2:$AE$10000,0),3)&gt;0,INDEX('CAMD Facility Data 2023'!$AE$2:$AG$10000,MATCH(Z146,'CAMD Facility Data 2023'!$AE$2:$AE$10000,0),3),"")</f>
        <v>Y</v>
      </c>
      <c r="AD146" s="20">
        <f t="shared" si="7"/>
        <v>1.8570054190090356E-2</v>
      </c>
      <c r="AE146" s="25">
        <f t="shared" si="8"/>
        <v>0.1817708238029408</v>
      </c>
    </row>
    <row r="147" spans="1:31" x14ac:dyDescent="0.2">
      <c r="A147" s="1" t="s">
        <v>370</v>
      </c>
      <c r="B147" s="1" t="s">
        <v>489</v>
      </c>
      <c r="C147" s="1">
        <v>400</v>
      </c>
      <c r="D147" s="1">
        <v>10</v>
      </c>
      <c r="F147" s="1">
        <v>2023</v>
      </c>
      <c r="G147" s="5">
        <v>5041</v>
      </c>
      <c r="H147" s="5">
        <v>4989.16</v>
      </c>
      <c r="I147" s="5">
        <v>1112123.81</v>
      </c>
      <c r="K147" s="5">
        <v>2.35</v>
      </c>
      <c r="L147" s="5">
        <v>1E-3</v>
      </c>
      <c r="M147" s="5">
        <v>457509.85600000003</v>
      </c>
      <c r="N147" s="6">
        <v>5.8000000000000003E-2</v>
      </c>
      <c r="O147" s="5">
        <v>25.783999999999999</v>
      </c>
      <c r="P147" s="6">
        <v>7.4999999999999997E-3</v>
      </c>
      <c r="Q147" s="5">
        <v>7834093.6150000002</v>
      </c>
      <c r="R147" s="1" t="s">
        <v>44</v>
      </c>
      <c r="T147" s="1" t="s">
        <v>71</v>
      </c>
      <c r="V147" s="1" t="s">
        <v>64</v>
      </c>
      <c r="Y147" s="1" t="s">
        <v>247</v>
      </c>
      <c r="Z147" s="1" t="str">
        <f t="shared" si="6"/>
        <v>400 10</v>
      </c>
      <c r="AA147" s="3">
        <f>IF(INDEX('CAMD Facility Data 2023'!$AA$2:$AE$10000,MATCH(Z147,'CAMD Facility Data 2023'!$AE$2:$AE$10000,0),1)&gt;0,INDEX('CAMD Facility Data 2023'!$AA$2:$AE$10000,MATCH(Z147,'CAMD Facility Data 2023'!$AE$2:$AE$10000,0),1),"")</f>
        <v>38322</v>
      </c>
      <c r="AB147" s="5">
        <f>IF(INDEX('CAMD Facility Data 2023'!$AC$2:$AE$10000,MATCH(Z147,'CAMD Facility Data 2023'!$AE$2:$AE$10000,0),1)&gt;0,INDEX('CAMD Facility Data 2023'!$AC$2:$AE$10000,MATCH(Z147,'CAMD Facility Data 2023'!$AE$2:$AE$10000,0),1),"")</f>
        <v>2043.6</v>
      </c>
      <c r="AC147" s="1" t="str">
        <f>IF(INDEX('CAMD Facility Data 2023'!$AE$2:$AG$10000,MATCH(Z147,'CAMD Facility Data 2023'!$AE$2:$AE$10000,0),3)&gt;0,INDEX('CAMD Facility Data 2023'!$AE$2:$AG$10000,MATCH(Z147,'CAMD Facility Data 2023'!$AE$2:$AE$10000,0),3),"")</f>
        <v>Y</v>
      </c>
      <c r="AD147" s="20">
        <f t="shared" si="7"/>
        <v>4.636893800520285E-2</v>
      </c>
      <c r="AE147" s="25">
        <f t="shared" si="8"/>
        <v>0.43761153067467118</v>
      </c>
    </row>
    <row r="148" spans="1:31" x14ac:dyDescent="0.2">
      <c r="A148" s="1" t="s">
        <v>370</v>
      </c>
      <c r="B148" s="1" t="s">
        <v>489</v>
      </c>
      <c r="C148" s="1">
        <v>400</v>
      </c>
      <c r="D148" s="1">
        <v>11</v>
      </c>
      <c r="F148" s="1">
        <v>2023</v>
      </c>
      <c r="G148" s="5">
        <v>94</v>
      </c>
      <c r="H148" s="5">
        <v>79.05</v>
      </c>
      <c r="I148" s="5">
        <v>6148.99</v>
      </c>
      <c r="K148" s="5">
        <v>1.7999999999999999E-2</v>
      </c>
      <c r="L148" s="5">
        <v>1E-3</v>
      </c>
      <c r="M148" s="5">
        <v>3407.471</v>
      </c>
      <c r="N148" s="6">
        <v>5.8099999999999999E-2</v>
      </c>
      <c r="O148" s="5">
        <v>0.22600000000000001</v>
      </c>
      <c r="P148" s="6">
        <v>7.9000000000000008E-3</v>
      </c>
      <c r="Q148" s="5">
        <v>58351.171000000002</v>
      </c>
      <c r="R148" s="1" t="s">
        <v>44</v>
      </c>
      <c r="T148" s="1" t="s">
        <v>93</v>
      </c>
      <c r="V148" s="1" t="s">
        <v>176</v>
      </c>
      <c r="Y148" s="1" t="s">
        <v>247</v>
      </c>
      <c r="Z148" s="1" t="str">
        <f t="shared" si="6"/>
        <v>400 11</v>
      </c>
      <c r="AA148" s="3">
        <f>IF(INDEX('CAMD Facility Data 2023'!$AA$2:$AE$10000,MATCH(Z148,'CAMD Facility Data 2023'!$AE$2:$AE$10000,0),1)&gt;0,INDEX('CAMD Facility Data 2023'!$AA$2:$AE$10000,MATCH(Z148,'CAMD Facility Data 2023'!$AE$2:$AE$10000,0),1),"")</f>
        <v>41378</v>
      </c>
      <c r="AB148" s="5">
        <f>IF(INDEX('CAMD Facility Data 2023'!$AC$2:$AE$10000,MATCH(Z148,'CAMD Facility Data 2023'!$AE$2:$AE$10000,0),1)&gt;0,INDEX('CAMD Facility Data 2023'!$AC$2:$AE$10000,MATCH(Z148,'CAMD Facility Data 2023'!$AE$2:$AE$10000,0),1),"")</f>
        <v>906.6</v>
      </c>
      <c r="AC148" s="1" t="str">
        <f>IF(INDEX('CAMD Facility Data 2023'!$AE$2:$AG$10000,MATCH(Z148,'CAMD Facility Data 2023'!$AE$2:$AE$10000,0),3)&gt;0,INDEX('CAMD Facility Data 2023'!$AE$2:$AG$10000,MATCH(Z148,'CAMD Facility Data 2023'!$AE$2:$AE$10000,0),3),"")</f>
        <v>Y</v>
      </c>
      <c r="AD148" s="20">
        <f t="shared" si="7"/>
        <v>7.3508007006028636E-2</v>
      </c>
      <c r="AE148" s="25">
        <f t="shared" si="8"/>
        <v>7.3473335317766116E-3</v>
      </c>
    </row>
    <row r="149" spans="1:31" x14ac:dyDescent="0.2">
      <c r="A149" s="1" t="s">
        <v>370</v>
      </c>
      <c r="B149" s="1" t="s">
        <v>489</v>
      </c>
      <c r="C149" s="1">
        <v>400</v>
      </c>
      <c r="D149" s="1">
        <v>12</v>
      </c>
      <c r="F149" s="1">
        <v>2023</v>
      </c>
      <c r="G149" s="5">
        <v>425</v>
      </c>
      <c r="H149" s="5">
        <v>363.11</v>
      </c>
      <c r="I149" s="5">
        <v>32774.6</v>
      </c>
      <c r="K149" s="5">
        <v>8.8999999999999996E-2</v>
      </c>
      <c r="L149" s="5">
        <v>1E-3</v>
      </c>
      <c r="M149" s="5">
        <v>17250.260999999999</v>
      </c>
      <c r="N149" s="6">
        <v>5.8099999999999999E-2</v>
      </c>
      <c r="O149" s="5">
        <v>1.2549999999999999</v>
      </c>
      <c r="P149" s="6">
        <v>8.2000000000000007E-3</v>
      </c>
      <c r="Q149" s="5">
        <v>295365.36700000003</v>
      </c>
      <c r="R149" s="1" t="s">
        <v>44</v>
      </c>
      <c r="T149" s="1" t="s">
        <v>93</v>
      </c>
      <c r="V149" s="1" t="s">
        <v>176</v>
      </c>
      <c r="Y149" s="1" t="s">
        <v>247</v>
      </c>
      <c r="Z149" s="1" t="str">
        <f t="shared" si="6"/>
        <v>400 12</v>
      </c>
      <c r="AA149" s="3">
        <f>IF(INDEX('CAMD Facility Data 2023'!$AA$2:$AE$10000,MATCH(Z149,'CAMD Facility Data 2023'!$AE$2:$AE$10000,0),1)&gt;0,INDEX('CAMD Facility Data 2023'!$AA$2:$AE$10000,MATCH(Z149,'CAMD Facility Data 2023'!$AE$2:$AE$10000,0),1),"")</f>
        <v>41377</v>
      </c>
      <c r="AB149" s="5">
        <f>IF(INDEX('CAMD Facility Data 2023'!$AC$2:$AE$10000,MATCH(Z149,'CAMD Facility Data 2023'!$AE$2:$AE$10000,0),1)&gt;0,INDEX('CAMD Facility Data 2023'!$AC$2:$AE$10000,MATCH(Z149,'CAMD Facility Data 2023'!$AE$2:$AE$10000,0),1),"")</f>
        <v>906.6</v>
      </c>
      <c r="AC149" s="1" t="str">
        <f>IF(INDEX('CAMD Facility Data 2023'!$AE$2:$AG$10000,MATCH(Z149,'CAMD Facility Data 2023'!$AE$2:$AE$10000,0),3)&gt;0,INDEX('CAMD Facility Data 2023'!$AE$2:$AG$10000,MATCH(Z149,'CAMD Facility Data 2023'!$AE$2:$AE$10000,0),3),"")</f>
        <v>Y</v>
      </c>
      <c r="AD149" s="20">
        <f t="shared" si="7"/>
        <v>7.6583695910857799E-2</v>
      </c>
      <c r="AE149" s="25">
        <f t="shared" si="8"/>
        <v>3.7191162197663608E-2</v>
      </c>
    </row>
    <row r="150" spans="1:31" x14ac:dyDescent="0.2">
      <c r="A150" s="1" t="s">
        <v>370</v>
      </c>
      <c r="B150" s="1" t="s">
        <v>489</v>
      </c>
      <c r="C150" s="1">
        <v>400</v>
      </c>
      <c r="D150" s="1">
        <v>13</v>
      </c>
      <c r="F150" s="1">
        <v>2023</v>
      </c>
      <c r="G150" s="5">
        <v>553</v>
      </c>
      <c r="H150" s="5">
        <v>484.28</v>
      </c>
      <c r="I150" s="5">
        <v>42934.49</v>
      </c>
      <c r="K150" s="5">
        <v>0.11600000000000001</v>
      </c>
      <c r="L150" s="5">
        <v>1E-3</v>
      </c>
      <c r="M150" s="5">
        <v>22646.281999999999</v>
      </c>
      <c r="N150" s="6">
        <v>5.8000000000000003E-2</v>
      </c>
      <c r="O150" s="5">
        <v>1.611</v>
      </c>
      <c r="P150" s="6">
        <v>8.0000000000000002E-3</v>
      </c>
      <c r="Q150" s="5">
        <v>387775.94699999999</v>
      </c>
      <c r="R150" s="1" t="s">
        <v>44</v>
      </c>
      <c r="T150" s="1" t="s">
        <v>93</v>
      </c>
      <c r="V150" s="1" t="s">
        <v>176</v>
      </c>
      <c r="Y150" s="1" t="s">
        <v>247</v>
      </c>
      <c r="Z150" s="1" t="str">
        <f t="shared" si="6"/>
        <v>400 13</v>
      </c>
      <c r="AA150" s="3">
        <f>IF(INDEX('CAMD Facility Data 2023'!$AA$2:$AE$10000,MATCH(Z150,'CAMD Facility Data 2023'!$AE$2:$AE$10000,0),1)&gt;0,INDEX('CAMD Facility Data 2023'!$AA$2:$AE$10000,MATCH(Z150,'CAMD Facility Data 2023'!$AE$2:$AE$10000,0),1),"")</f>
        <v>41322</v>
      </c>
      <c r="AB150" s="5">
        <f>IF(INDEX('CAMD Facility Data 2023'!$AC$2:$AE$10000,MATCH(Z150,'CAMD Facility Data 2023'!$AE$2:$AE$10000,0),1)&gt;0,INDEX('CAMD Facility Data 2023'!$AC$2:$AE$10000,MATCH(Z150,'CAMD Facility Data 2023'!$AE$2:$AE$10000,0),1),"")</f>
        <v>906.6</v>
      </c>
      <c r="AC150" s="1" t="str">
        <f>IF(INDEX('CAMD Facility Data 2023'!$AE$2:$AG$10000,MATCH(Z150,'CAMD Facility Data 2023'!$AE$2:$AE$10000,0),3)&gt;0,INDEX('CAMD Facility Data 2023'!$AE$2:$AG$10000,MATCH(Z150,'CAMD Facility Data 2023'!$AE$2:$AE$10000,0),3),"")</f>
        <v>Y</v>
      </c>
      <c r="AD150" s="20">
        <f t="shared" si="7"/>
        <v>7.5044562075850904E-2</v>
      </c>
      <c r="AE150" s="25">
        <f t="shared" si="8"/>
        <v>4.8827112967613454E-2</v>
      </c>
    </row>
    <row r="151" spans="1:31" x14ac:dyDescent="0.2">
      <c r="A151" s="1" t="s">
        <v>370</v>
      </c>
      <c r="B151" s="1" t="s">
        <v>489</v>
      </c>
      <c r="C151" s="1">
        <v>400</v>
      </c>
      <c r="D151" s="1">
        <v>14</v>
      </c>
      <c r="F151" s="1">
        <v>2023</v>
      </c>
      <c r="G151" s="5">
        <v>394</v>
      </c>
      <c r="H151" s="5">
        <v>322.99</v>
      </c>
      <c r="I151" s="5">
        <v>27151.69</v>
      </c>
      <c r="K151" s="5">
        <v>7.4999999999999997E-2</v>
      </c>
      <c r="L151" s="5">
        <v>1E-3</v>
      </c>
      <c r="M151" s="5">
        <v>14638.477999999999</v>
      </c>
      <c r="N151" s="6">
        <v>5.8099999999999999E-2</v>
      </c>
      <c r="O151" s="5">
        <v>1.113</v>
      </c>
      <c r="P151" s="6">
        <v>8.5000000000000006E-3</v>
      </c>
      <c r="Q151" s="5">
        <v>250662.609</v>
      </c>
      <c r="R151" s="1" t="s">
        <v>44</v>
      </c>
      <c r="T151" s="1" t="s">
        <v>93</v>
      </c>
      <c r="V151" s="1" t="s">
        <v>176</v>
      </c>
      <c r="Y151" s="1" t="s">
        <v>247</v>
      </c>
      <c r="Z151" s="1" t="str">
        <f t="shared" si="6"/>
        <v>400 14</v>
      </c>
      <c r="AA151" s="3">
        <f>IF(INDEX('CAMD Facility Data 2023'!$AA$2:$AE$10000,MATCH(Z151,'CAMD Facility Data 2023'!$AE$2:$AE$10000,0),1)&gt;0,INDEX('CAMD Facility Data 2023'!$AA$2:$AE$10000,MATCH(Z151,'CAMD Facility Data 2023'!$AE$2:$AE$10000,0),1),"")</f>
        <v>41338</v>
      </c>
      <c r="AB151" s="5">
        <f>IF(INDEX('CAMD Facility Data 2023'!$AC$2:$AE$10000,MATCH(Z151,'CAMD Facility Data 2023'!$AE$2:$AE$10000,0),1)&gt;0,INDEX('CAMD Facility Data 2023'!$AC$2:$AE$10000,MATCH(Z151,'CAMD Facility Data 2023'!$AE$2:$AE$10000,0),1),"")</f>
        <v>906.6</v>
      </c>
      <c r="AC151" s="1" t="str">
        <f>IF(INDEX('CAMD Facility Data 2023'!$AE$2:$AG$10000,MATCH(Z151,'CAMD Facility Data 2023'!$AE$2:$AE$10000,0),3)&gt;0,INDEX('CAMD Facility Data 2023'!$AE$2:$AG$10000,MATCH(Z151,'CAMD Facility Data 2023'!$AE$2:$AE$10000,0),3),"")</f>
        <v>Y</v>
      </c>
      <c r="AD151" s="20">
        <f t="shared" si="7"/>
        <v>8.1983847045984992E-2</v>
      </c>
      <c r="AE151" s="25">
        <f t="shared" si="8"/>
        <v>3.1562379309719592E-2</v>
      </c>
    </row>
    <row r="152" spans="1:31" x14ac:dyDescent="0.2">
      <c r="A152" s="1" t="s">
        <v>370</v>
      </c>
      <c r="B152" s="1" t="s">
        <v>489</v>
      </c>
      <c r="C152" s="1">
        <v>400</v>
      </c>
      <c r="D152" s="1">
        <v>15</v>
      </c>
      <c r="F152" s="1">
        <v>2023</v>
      </c>
      <c r="G152" s="5">
        <v>732</v>
      </c>
      <c r="H152" s="5">
        <v>636.82000000000005</v>
      </c>
      <c r="I152" s="5">
        <v>56226.15</v>
      </c>
      <c r="K152" s="5">
        <v>0.153</v>
      </c>
      <c r="L152" s="5">
        <v>1E-3</v>
      </c>
      <c r="M152" s="5">
        <v>29849.327000000001</v>
      </c>
      <c r="N152" s="6">
        <v>5.8000000000000003E-2</v>
      </c>
      <c r="O152" s="5">
        <v>2.2549999999999999</v>
      </c>
      <c r="P152" s="6">
        <v>8.6999999999999994E-3</v>
      </c>
      <c r="Q152" s="5">
        <v>511110.2</v>
      </c>
      <c r="R152" s="1" t="s">
        <v>44</v>
      </c>
      <c r="T152" s="1" t="s">
        <v>93</v>
      </c>
      <c r="V152" s="1" t="s">
        <v>176</v>
      </c>
      <c r="Y152" s="1" t="s">
        <v>247</v>
      </c>
      <c r="Z152" s="1" t="str">
        <f t="shared" si="6"/>
        <v>400 15</v>
      </c>
      <c r="AA152" s="3">
        <f>IF(INDEX('CAMD Facility Data 2023'!$AA$2:$AE$10000,MATCH(Z152,'CAMD Facility Data 2023'!$AE$2:$AE$10000,0),1)&gt;0,INDEX('CAMD Facility Data 2023'!$AA$2:$AE$10000,MATCH(Z152,'CAMD Facility Data 2023'!$AE$2:$AE$10000,0),1),"")</f>
        <v>41408</v>
      </c>
      <c r="AB152" s="5">
        <f>IF(INDEX('CAMD Facility Data 2023'!$AC$2:$AE$10000,MATCH(Z152,'CAMD Facility Data 2023'!$AE$2:$AE$10000,0),1)&gt;0,INDEX('CAMD Facility Data 2023'!$AC$2:$AE$10000,MATCH(Z152,'CAMD Facility Data 2023'!$AE$2:$AE$10000,0),1),"")</f>
        <v>906.6</v>
      </c>
      <c r="AC152" s="1" t="str">
        <f>IF(INDEX('CAMD Facility Data 2023'!$AE$2:$AG$10000,MATCH(Z152,'CAMD Facility Data 2023'!$AE$2:$AE$10000,0),3)&gt;0,INDEX('CAMD Facility Data 2023'!$AE$2:$AG$10000,MATCH(Z152,'CAMD Facility Data 2023'!$AE$2:$AE$10000,0),3),"")</f>
        <v>Y</v>
      </c>
      <c r="AD152" s="20">
        <f t="shared" si="7"/>
        <v>8.0211787575709875E-2</v>
      </c>
      <c r="AE152" s="25">
        <f t="shared" si="8"/>
        <v>6.4356842314150814E-2</v>
      </c>
    </row>
    <row r="153" spans="1:31" x14ac:dyDescent="0.2">
      <c r="A153" s="1" t="s">
        <v>370</v>
      </c>
      <c r="B153" s="1" t="s">
        <v>489</v>
      </c>
      <c r="C153" s="1">
        <v>400</v>
      </c>
      <c r="D153" s="1">
        <v>16</v>
      </c>
      <c r="F153" s="1">
        <v>2023</v>
      </c>
      <c r="G153" s="5">
        <v>438</v>
      </c>
      <c r="H153" s="5">
        <v>377.76</v>
      </c>
      <c r="I153" s="5">
        <v>32168.51</v>
      </c>
      <c r="K153" s="5">
        <v>8.7999999999999995E-2</v>
      </c>
      <c r="L153" s="5">
        <v>1E-3</v>
      </c>
      <c r="M153" s="5">
        <v>17216.04</v>
      </c>
      <c r="N153" s="6">
        <v>5.8000000000000003E-2</v>
      </c>
      <c r="O153" s="5">
        <v>1.272</v>
      </c>
      <c r="P153" s="6">
        <v>8.3999999999999995E-3</v>
      </c>
      <c r="Q153" s="5">
        <v>294787.75400000002</v>
      </c>
      <c r="R153" s="1" t="s">
        <v>44</v>
      </c>
      <c r="T153" s="1" t="s">
        <v>93</v>
      </c>
      <c r="V153" s="1" t="s">
        <v>176</v>
      </c>
      <c r="Y153" s="1" t="s">
        <v>247</v>
      </c>
      <c r="Z153" s="1" t="str">
        <f t="shared" si="6"/>
        <v>400 16</v>
      </c>
      <c r="AA153" s="3">
        <f>IF(INDEX('CAMD Facility Data 2023'!$AA$2:$AE$10000,MATCH(Z153,'CAMD Facility Data 2023'!$AE$2:$AE$10000,0),1)&gt;0,INDEX('CAMD Facility Data 2023'!$AA$2:$AE$10000,MATCH(Z153,'CAMD Facility Data 2023'!$AE$2:$AE$10000,0),1),"")</f>
        <v>41382</v>
      </c>
      <c r="AB153" s="5">
        <f>IF(INDEX('CAMD Facility Data 2023'!$AC$2:$AE$10000,MATCH(Z153,'CAMD Facility Data 2023'!$AE$2:$AE$10000,0),1)&gt;0,INDEX('CAMD Facility Data 2023'!$AC$2:$AE$10000,MATCH(Z153,'CAMD Facility Data 2023'!$AE$2:$AE$10000,0),1),"")</f>
        <v>906.6</v>
      </c>
      <c r="AC153" s="1" t="str">
        <f>IF(INDEX('CAMD Facility Data 2023'!$AE$2:$AG$10000,MATCH(Z153,'CAMD Facility Data 2023'!$AE$2:$AE$10000,0),3)&gt;0,INDEX('CAMD Facility Data 2023'!$AE$2:$AG$10000,MATCH(Z153,'CAMD Facility Data 2023'!$AE$2:$AE$10000,0),3),"")</f>
        <v>Y</v>
      </c>
      <c r="AD153" s="20">
        <f t="shared" si="7"/>
        <v>7.9083550963348945E-2</v>
      </c>
      <c r="AE153" s="25">
        <f t="shared" si="8"/>
        <v>3.7118431603048979E-2</v>
      </c>
    </row>
    <row r="154" spans="1:31" x14ac:dyDescent="0.2">
      <c r="A154" s="1" t="s">
        <v>370</v>
      </c>
      <c r="B154" s="1" t="s">
        <v>489</v>
      </c>
      <c r="C154" s="1">
        <v>400</v>
      </c>
      <c r="D154" s="1">
        <v>2</v>
      </c>
      <c r="F154" s="1">
        <v>2023</v>
      </c>
      <c r="G154" s="5">
        <v>31</v>
      </c>
      <c r="H154" s="5">
        <v>26.97</v>
      </c>
      <c r="I154" s="5">
        <v>523.52</v>
      </c>
      <c r="K154" s="5">
        <v>3.0000000000000001E-3</v>
      </c>
      <c r="L154" s="5">
        <v>1E-3</v>
      </c>
      <c r="M154" s="5">
        <v>541.37599999999998</v>
      </c>
      <c r="N154" s="6">
        <v>5.8200000000000002E-2</v>
      </c>
      <c r="O154" s="5">
        <v>0.108</v>
      </c>
      <c r="P154" s="6">
        <v>2.3E-2</v>
      </c>
      <c r="Q154" s="5">
        <v>9272.4760000000006</v>
      </c>
      <c r="R154" s="1" t="s">
        <v>44</v>
      </c>
      <c r="T154" s="1" t="s">
        <v>89</v>
      </c>
      <c r="V154" s="1" t="s">
        <v>223</v>
      </c>
      <c r="Y154" s="1" t="s">
        <v>247</v>
      </c>
      <c r="Z154" s="1" t="str">
        <f t="shared" si="6"/>
        <v>400 2</v>
      </c>
      <c r="AA154" s="3">
        <f>IF(INDEX('CAMD Facility Data 2023'!$AA$2:$AE$10000,MATCH(Z154,'CAMD Facility Data 2023'!$AE$2:$AE$10000,0),1)&gt;0,INDEX('CAMD Facility Data 2023'!$AA$2:$AE$10000,MATCH(Z154,'CAMD Facility Data 2023'!$AE$2:$AE$10000,0),1),"")</f>
        <v>23043</v>
      </c>
      <c r="AB154" s="5">
        <f>IF(INDEX('CAMD Facility Data 2023'!$AC$2:$AE$10000,MATCH(Z154,'CAMD Facility Data 2023'!$AE$2:$AE$10000,0),1)&gt;0,INDEX('CAMD Facility Data 2023'!$AC$2:$AE$10000,MATCH(Z154,'CAMD Facility Data 2023'!$AE$2:$AE$10000,0),1),"")</f>
        <v>2160</v>
      </c>
      <c r="AC154" s="1" t="str">
        <f>IF(INDEX('CAMD Facility Data 2023'!$AE$2:$AG$10000,MATCH(Z154,'CAMD Facility Data 2023'!$AE$2:$AE$10000,0),3)&gt;0,INDEX('CAMD Facility Data 2023'!$AE$2:$AG$10000,MATCH(Z154,'CAMD Facility Data 2023'!$AE$2:$AE$10000,0),3),"")</f>
        <v>Y</v>
      </c>
      <c r="AD154" s="20">
        <f t="shared" si="7"/>
        <v>0.41259168704156479</v>
      </c>
      <c r="AE154" s="25">
        <f t="shared" si="8"/>
        <v>4.9004714189074922E-4</v>
      </c>
    </row>
    <row r="155" spans="1:31" x14ac:dyDescent="0.2">
      <c r="A155" s="1" t="s">
        <v>370</v>
      </c>
      <c r="B155" s="1" t="s">
        <v>489</v>
      </c>
      <c r="C155" s="1">
        <v>400</v>
      </c>
      <c r="D155" s="1">
        <v>9</v>
      </c>
      <c r="F155" s="1">
        <v>2023</v>
      </c>
      <c r="G155" s="5">
        <v>4645</v>
      </c>
      <c r="H155" s="5">
        <v>4556.82</v>
      </c>
      <c r="I155" s="5">
        <v>1017678.32</v>
      </c>
      <c r="K155" s="5">
        <v>2.1469999999999998</v>
      </c>
      <c r="L155" s="5">
        <v>1E-3</v>
      </c>
      <c r="M155" s="5">
        <v>417977.21600000001</v>
      </c>
      <c r="N155" s="6">
        <v>5.8000000000000003E-2</v>
      </c>
      <c r="O155" s="5">
        <v>24.797999999999998</v>
      </c>
      <c r="P155" s="6">
        <v>8.6999999999999994E-3</v>
      </c>
      <c r="Q155" s="5">
        <v>7157105.2470000004</v>
      </c>
      <c r="R155" s="1" t="s">
        <v>44</v>
      </c>
      <c r="T155" s="1" t="s">
        <v>71</v>
      </c>
      <c r="V155" s="1" t="s">
        <v>64</v>
      </c>
      <c r="Y155" s="1" t="s">
        <v>247</v>
      </c>
      <c r="Z155" s="1" t="str">
        <f t="shared" si="6"/>
        <v>400 9</v>
      </c>
      <c r="AA155" s="3">
        <f>IF(INDEX('CAMD Facility Data 2023'!$AA$2:$AE$10000,MATCH(Z155,'CAMD Facility Data 2023'!$AE$2:$AE$10000,0),1)&gt;0,INDEX('CAMD Facility Data 2023'!$AA$2:$AE$10000,MATCH(Z155,'CAMD Facility Data 2023'!$AE$2:$AE$10000,0),1),"")</f>
        <v>38349</v>
      </c>
      <c r="AB155" s="5">
        <f>IF(INDEX('CAMD Facility Data 2023'!$AC$2:$AE$10000,MATCH(Z155,'CAMD Facility Data 2023'!$AE$2:$AE$10000,0),1)&gt;0,INDEX('CAMD Facility Data 2023'!$AC$2:$AE$10000,MATCH(Z155,'CAMD Facility Data 2023'!$AE$2:$AE$10000,0),1),"")</f>
        <v>2043.6</v>
      </c>
      <c r="AC155" s="1" t="str">
        <f>IF(INDEX('CAMD Facility Data 2023'!$AE$2:$AG$10000,MATCH(Z155,'CAMD Facility Data 2023'!$AE$2:$AE$10000,0),3)&gt;0,INDEX('CAMD Facility Data 2023'!$AE$2:$AG$10000,MATCH(Z155,'CAMD Facility Data 2023'!$AE$2:$AE$10000,0),3),"")</f>
        <v>Y</v>
      </c>
      <c r="AD155" s="20">
        <f t="shared" si="7"/>
        <v>4.8734456679788561E-2</v>
      </c>
      <c r="AE155" s="25">
        <f t="shared" si="8"/>
        <v>0.39979504155304768</v>
      </c>
    </row>
    <row r="156" spans="1:31" x14ac:dyDescent="0.2">
      <c r="A156" s="1" t="s">
        <v>370</v>
      </c>
      <c r="B156" s="1" t="s">
        <v>500</v>
      </c>
      <c r="C156" s="1">
        <v>404</v>
      </c>
      <c r="D156" s="1">
        <v>1</v>
      </c>
      <c r="F156" s="1">
        <v>2023</v>
      </c>
      <c r="G156" s="5">
        <v>964</v>
      </c>
      <c r="H156" s="5">
        <v>938.33</v>
      </c>
      <c r="I156" s="5">
        <v>36609.9</v>
      </c>
      <c r="K156" s="5">
        <v>0.13600000000000001</v>
      </c>
      <c r="L156" s="5">
        <v>1E-3</v>
      </c>
      <c r="M156" s="5">
        <v>26498.535</v>
      </c>
      <c r="N156" s="6">
        <v>5.8799999999999998E-2</v>
      </c>
      <c r="O156" s="5">
        <v>1.0509999999999999</v>
      </c>
      <c r="P156" s="6">
        <v>1.03E-2</v>
      </c>
      <c r="Q156" s="5">
        <v>452417.14399999997</v>
      </c>
      <c r="R156" s="1" t="s">
        <v>44</v>
      </c>
      <c r="S156" s="1" t="s">
        <v>288</v>
      </c>
      <c r="T156" s="1" t="s">
        <v>89</v>
      </c>
      <c r="V156" s="1" t="s">
        <v>223</v>
      </c>
      <c r="Y156" s="1" t="s">
        <v>247</v>
      </c>
      <c r="Z156" s="1" t="str">
        <f t="shared" si="6"/>
        <v>404 1</v>
      </c>
      <c r="AA156" s="3">
        <f>IF(INDEX('CAMD Facility Data 2023'!$AA$2:$AE$10000,MATCH(Z156,'CAMD Facility Data 2023'!$AE$2:$AE$10000,0),1)&gt;0,INDEX('CAMD Facility Data 2023'!$AA$2:$AE$10000,MATCH(Z156,'CAMD Facility Data 2023'!$AE$2:$AE$10000,0),1),"")</f>
        <v>21520</v>
      </c>
      <c r="AB156" s="5">
        <f>IF(INDEX('CAMD Facility Data 2023'!$AC$2:$AE$10000,MATCH(Z156,'CAMD Facility Data 2023'!$AE$2:$AE$10000,0),1)&gt;0,INDEX('CAMD Facility Data 2023'!$AC$2:$AE$10000,MATCH(Z156,'CAMD Facility Data 2023'!$AE$2:$AE$10000,0),1),"")</f>
        <v>1220</v>
      </c>
      <c r="AC156" s="1" t="str">
        <f>IF(INDEX('CAMD Facility Data 2023'!$AE$2:$AG$10000,MATCH(Z156,'CAMD Facility Data 2023'!$AE$2:$AE$10000,0),3)&gt;0,INDEX('CAMD Facility Data 2023'!$AE$2:$AG$10000,MATCH(Z156,'CAMD Facility Data 2023'!$AE$2:$AE$10000,0),3),"")</f>
        <v>Y</v>
      </c>
      <c r="AD156" s="20">
        <f t="shared" si="7"/>
        <v>5.7416163387499004E-2</v>
      </c>
      <c r="AE156" s="25">
        <f t="shared" si="8"/>
        <v>4.2332616962347476E-2</v>
      </c>
    </row>
    <row r="157" spans="1:31" x14ac:dyDescent="0.2">
      <c r="A157" s="1" t="s">
        <v>370</v>
      </c>
      <c r="B157" s="1" t="s">
        <v>500</v>
      </c>
      <c r="C157" s="1">
        <v>404</v>
      </c>
      <c r="D157" s="1">
        <v>2</v>
      </c>
      <c r="F157" s="1">
        <v>2023</v>
      </c>
      <c r="G157" s="5">
        <v>660</v>
      </c>
      <c r="H157" s="5">
        <v>643.45000000000005</v>
      </c>
      <c r="I157" s="5">
        <v>29807.14</v>
      </c>
      <c r="K157" s="5">
        <v>0.10199999999999999</v>
      </c>
      <c r="L157" s="5">
        <v>1E-3</v>
      </c>
      <c r="M157" s="5">
        <v>19961.094000000001</v>
      </c>
      <c r="N157" s="6">
        <v>5.8799999999999998E-2</v>
      </c>
      <c r="O157" s="5">
        <v>0.88700000000000001</v>
      </c>
      <c r="P157" s="6">
        <v>6.7999999999999996E-3</v>
      </c>
      <c r="Q157" s="5">
        <v>340802.44099999999</v>
      </c>
      <c r="R157" s="1" t="s">
        <v>44</v>
      </c>
      <c r="S157" s="1" t="s">
        <v>288</v>
      </c>
      <c r="T157" s="1" t="s">
        <v>89</v>
      </c>
      <c r="V157" s="1" t="s">
        <v>223</v>
      </c>
      <c r="Y157" s="1" t="s">
        <v>247</v>
      </c>
      <c r="Z157" s="1" t="str">
        <f t="shared" si="6"/>
        <v>404 2</v>
      </c>
      <c r="AA157" s="3">
        <f>IF(INDEX('CAMD Facility Data 2023'!$AA$2:$AE$10000,MATCH(Z157,'CAMD Facility Data 2023'!$AE$2:$AE$10000,0),1)&gt;0,INDEX('CAMD Facility Data 2023'!$AA$2:$AE$10000,MATCH(Z157,'CAMD Facility Data 2023'!$AE$2:$AE$10000,0),1),"")</f>
        <v>21732</v>
      </c>
      <c r="AB157" s="5">
        <f>IF(INDEX('CAMD Facility Data 2023'!$AC$2:$AE$10000,MATCH(Z157,'CAMD Facility Data 2023'!$AE$2:$AE$10000,0),1)&gt;0,INDEX('CAMD Facility Data 2023'!$AC$2:$AE$10000,MATCH(Z157,'CAMD Facility Data 2023'!$AE$2:$AE$10000,0),1),"")</f>
        <v>1750</v>
      </c>
      <c r="AC157" s="1" t="str">
        <f>IF(INDEX('CAMD Facility Data 2023'!$AE$2:$AG$10000,MATCH(Z157,'CAMD Facility Data 2023'!$AE$2:$AE$10000,0),3)&gt;0,INDEX('CAMD Facility Data 2023'!$AE$2:$AG$10000,MATCH(Z157,'CAMD Facility Data 2023'!$AE$2:$AE$10000,0),3),"")</f>
        <v>Y</v>
      </c>
      <c r="AD157" s="20">
        <f t="shared" si="7"/>
        <v>5.9515941482477019E-2</v>
      </c>
      <c r="AE157" s="25">
        <f t="shared" si="8"/>
        <v>2.2231078995433789E-2</v>
      </c>
    </row>
    <row r="158" spans="1:31" x14ac:dyDescent="0.2">
      <c r="A158" s="1" t="s">
        <v>370</v>
      </c>
      <c r="B158" s="1" t="s">
        <v>500</v>
      </c>
      <c r="C158" s="1">
        <v>404</v>
      </c>
      <c r="D158" s="1">
        <v>4</v>
      </c>
      <c r="F158" s="1">
        <v>2023</v>
      </c>
      <c r="G158" s="5">
        <v>4517</v>
      </c>
      <c r="H158" s="5">
        <v>4463.59</v>
      </c>
      <c r="I158" s="5">
        <v>1148133.8799999999</v>
      </c>
      <c r="K158" s="5">
        <v>2.468</v>
      </c>
      <c r="L158" s="5">
        <v>1E-3</v>
      </c>
      <c r="M158" s="5">
        <v>481804.951</v>
      </c>
      <c r="N158" s="6">
        <v>5.8999999999999997E-2</v>
      </c>
      <c r="O158" s="5">
        <v>22.948</v>
      </c>
      <c r="P158" s="6">
        <v>6.1000000000000004E-3</v>
      </c>
      <c r="Q158" s="5">
        <v>8225878.2230000002</v>
      </c>
      <c r="R158" s="1" t="s">
        <v>44</v>
      </c>
      <c r="T158" s="1" t="s">
        <v>71</v>
      </c>
      <c r="V158" s="1" t="s">
        <v>223</v>
      </c>
      <c r="Y158" s="1" t="s">
        <v>247</v>
      </c>
      <c r="Z158" s="1" t="str">
        <f t="shared" si="6"/>
        <v>404 4</v>
      </c>
      <c r="AA158" s="3">
        <f>IF(INDEX('CAMD Facility Data 2023'!$AA$2:$AE$10000,MATCH(Z158,'CAMD Facility Data 2023'!$AE$2:$AE$10000,0),1)&gt;0,INDEX('CAMD Facility Data 2023'!$AA$2:$AE$10000,MATCH(Z158,'CAMD Facility Data 2023'!$AE$2:$AE$10000,0),1),"")</f>
        <v>42286</v>
      </c>
      <c r="AB158" s="5">
        <f>IF(INDEX('CAMD Facility Data 2023'!$AC$2:$AE$10000,MATCH(Z158,'CAMD Facility Data 2023'!$AE$2:$AE$10000,0),1)&gt;0,INDEX('CAMD Facility Data 2023'!$AC$2:$AE$10000,MATCH(Z158,'CAMD Facility Data 2023'!$AE$2:$AE$10000,0),1),"")</f>
        <v>2080.9</v>
      </c>
      <c r="AC158" s="1" t="str">
        <f>IF(INDEX('CAMD Facility Data 2023'!$AE$2:$AG$10000,MATCH(Z158,'CAMD Facility Data 2023'!$AE$2:$AE$10000,0),3)&gt;0,INDEX('CAMD Facility Data 2023'!$AE$2:$AG$10000,MATCH(Z158,'CAMD Facility Data 2023'!$AE$2:$AE$10000,0),3),"")</f>
        <v>Y</v>
      </c>
      <c r="AD158" s="20">
        <f t="shared" si="7"/>
        <v>3.9974432250009038E-2</v>
      </c>
      <c r="AE158" s="25">
        <f t="shared" si="8"/>
        <v>0.45126012514123348</v>
      </c>
    </row>
    <row r="159" spans="1:31" x14ac:dyDescent="0.2">
      <c r="A159" s="1" t="s">
        <v>370</v>
      </c>
      <c r="B159" s="1" t="s">
        <v>500</v>
      </c>
      <c r="C159" s="1">
        <v>404</v>
      </c>
      <c r="D159" s="1">
        <v>6</v>
      </c>
      <c r="F159" s="1">
        <v>2023</v>
      </c>
      <c r="G159" s="5">
        <v>1215</v>
      </c>
      <c r="H159" s="5">
        <v>1046.08</v>
      </c>
      <c r="I159" s="5">
        <v>95067.87</v>
      </c>
      <c r="K159" s="5">
        <v>0.25900000000000001</v>
      </c>
      <c r="L159" s="5">
        <v>1E-3</v>
      </c>
      <c r="M159" s="5">
        <v>50641.305</v>
      </c>
      <c r="N159" s="6">
        <v>5.8900000000000001E-2</v>
      </c>
      <c r="O159" s="5">
        <v>3.4409999999999998</v>
      </c>
      <c r="P159" s="6">
        <v>7.9000000000000008E-3</v>
      </c>
      <c r="Q159" s="5">
        <v>864583.71200000006</v>
      </c>
      <c r="R159" s="1" t="s">
        <v>44</v>
      </c>
      <c r="T159" s="1" t="s">
        <v>93</v>
      </c>
      <c r="V159" s="1" t="s">
        <v>176</v>
      </c>
      <c r="Y159" s="1" t="s">
        <v>247</v>
      </c>
      <c r="Z159" s="1" t="str">
        <f t="shared" si="6"/>
        <v>404 6</v>
      </c>
      <c r="AA159" s="3">
        <f>IF(INDEX('CAMD Facility Data 2023'!$AA$2:$AE$10000,MATCH(Z159,'CAMD Facility Data 2023'!$AE$2:$AE$10000,0),1)&gt;0,INDEX('CAMD Facility Data 2023'!$AA$2:$AE$10000,MATCH(Z159,'CAMD Facility Data 2023'!$AE$2:$AE$10000,0),1),"")</f>
        <v>42225</v>
      </c>
      <c r="AB159" s="5">
        <f>IF(INDEX('CAMD Facility Data 2023'!$AC$2:$AE$10000,MATCH(Z159,'CAMD Facility Data 2023'!$AE$2:$AE$10000,0),1)&gt;0,INDEX('CAMD Facility Data 2023'!$AC$2:$AE$10000,MATCH(Z159,'CAMD Facility Data 2023'!$AE$2:$AE$10000,0),1),"")</f>
        <v>903.4</v>
      </c>
      <c r="AC159" s="1" t="str">
        <f>IF(INDEX('CAMD Facility Data 2023'!$AE$2:$AG$10000,MATCH(Z159,'CAMD Facility Data 2023'!$AE$2:$AE$10000,0),3)&gt;0,INDEX('CAMD Facility Data 2023'!$AE$2:$AG$10000,MATCH(Z159,'CAMD Facility Data 2023'!$AE$2:$AE$10000,0),3),"")</f>
        <v>Y</v>
      </c>
      <c r="AD159" s="20">
        <f t="shared" si="7"/>
        <v>7.2390388045929718E-2</v>
      </c>
      <c r="AE159" s="25">
        <f t="shared" si="8"/>
        <v>0.10925035507666118</v>
      </c>
    </row>
    <row r="160" spans="1:31" x14ac:dyDescent="0.2">
      <c r="A160" s="1" t="s">
        <v>370</v>
      </c>
      <c r="B160" s="1" t="s">
        <v>500</v>
      </c>
      <c r="C160" s="1">
        <v>404</v>
      </c>
      <c r="D160" s="1">
        <v>7</v>
      </c>
      <c r="F160" s="1">
        <v>2023</v>
      </c>
      <c r="G160" s="5">
        <v>1158</v>
      </c>
      <c r="H160" s="5">
        <v>990.6</v>
      </c>
      <c r="I160" s="5">
        <v>91867.65</v>
      </c>
      <c r="K160" s="5">
        <v>0.248</v>
      </c>
      <c r="L160" s="5">
        <v>1E-3</v>
      </c>
      <c r="M160" s="5">
        <v>48497.438999999998</v>
      </c>
      <c r="N160" s="6">
        <v>5.8900000000000001E-2</v>
      </c>
      <c r="O160" s="5">
        <v>3.2730000000000001</v>
      </c>
      <c r="P160" s="6">
        <v>7.4000000000000003E-3</v>
      </c>
      <c r="Q160" s="5">
        <v>828031.58100000001</v>
      </c>
      <c r="R160" s="1" t="s">
        <v>44</v>
      </c>
      <c r="T160" s="1" t="s">
        <v>93</v>
      </c>
      <c r="V160" s="1" t="s">
        <v>176</v>
      </c>
      <c r="Y160" s="1" t="s">
        <v>247</v>
      </c>
      <c r="Z160" s="1" t="str">
        <f t="shared" si="6"/>
        <v>404 7</v>
      </c>
      <c r="AA160" s="3">
        <f>IF(INDEX('CAMD Facility Data 2023'!$AA$2:$AE$10000,MATCH(Z160,'CAMD Facility Data 2023'!$AE$2:$AE$10000,0),1)&gt;0,INDEX('CAMD Facility Data 2023'!$AA$2:$AE$10000,MATCH(Z160,'CAMD Facility Data 2023'!$AE$2:$AE$10000,0),1),"")</f>
        <v>42261</v>
      </c>
      <c r="AB160" s="5">
        <f>IF(INDEX('CAMD Facility Data 2023'!$AC$2:$AE$10000,MATCH(Z160,'CAMD Facility Data 2023'!$AE$2:$AE$10000,0),1)&gt;0,INDEX('CAMD Facility Data 2023'!$AC$2:$AE$10000,MATCH(Z160,'CAMD Facility Data 2023'!$AE$2:$AE$10000,0),1),"")</f>
        <v>903.4</v>
      </c>
      <c r="AC160" s="1" t="str">
        <f>IF(INDEX('CAMD Facility Data 2023'!$AE$2:$AG$10000,MATCH(Z160,'CAMD Facility Data 2023'!$AE$2:$AE$10000,0),3)&gt;0,INDEX('CAMD Facility Data 2023'!$AE$2:$AG$10000,MATCH(Z160,'CAMD Facility Data 2023'!$AE$2:$AE$10000,0),3),"")</f>
        <v>Y</v>
      </c>
      <c r="AD160" s="20">
        <f t="shared" si="7"/>
        <v>7.1254679966234039E-2</v>
      </c>
      <c r="AE160" s="25">
        <f t="shared" si="8"/>
        <v>0.10463156196833272</v>
      </c>
    </row>
    <row r="161" spans="1:31" x14ac:dyDescent="0.2">
      <c r="A161" s="1" t="s">
        <v>370</v>
      </c>
      <c r="B161" s="1" t="s">
        <v>506</v>
      </c>
      <c r="C161" s="1">
        <v>408</v>
      </c>
      <c r="D161" s="1">
        <v>5</v>
      </c>
      <c r="F161" s="1">
        <v>2023</v>
      </c>
      <c r="G161" s="5">
        <v>417</v>
      </c>
      <c r="H161" s="5">
        <v>323.36</v>
      </c>
      <c r="I161" s="5">
        <v>12129.58</v>
      </c>
      <c r="K161" s="5">
        <v>3.7999999999999999E-2</v>
      </c>
      <c r="L161" s="5">
        <v>1E-3</v>
      </c>
      <c r="M161" s="5">
        <v>7410.634</v>
      </c>
      <c r="N161" s="6">
        <v>5.91E-2</v>
      </c>
      <c r="O161" s="5">
        <v>1.002</v>
      </c>
      <c r="P161" s="6">
        <v>2.1299999999999999E-2</v>
      </c>
      <c r="Q161" s="5">
        <v>126117.84699999999</v>
      </c>
      <c r="R161" s="1" t="s">
        <v>44</v>
      </c>
      <c r="S161" s="1" t="s">
        <v>94</v>
      </c>
      <c r="T161" s="1" t="s">
        <v>93</v>
      </c>
      <c r="V161" s="1" t="s">
        <v>223</v>
      </c>
      <c r="Y161" s="1" t="s">
        <v>247</v>
      </c>
      <c r="Z161" s="1" t="str">
        <f t="shared" si="6"/>
        <v>408 5</v>
      </c>
      <c r="AA161" s="3">
        <f>IF(INDEX('CAMD Facility Data 2023'!$AA$2:$AE$10000,MATCH(Z161,'CAMD Facility Data 2023'!$AE$2:$AE$10000,0),1)&gt;0,INDEX('CAMD Facility Data 2023'!$AA$2:$AE$10000,MATCH(Z161,'CAMD Facility Data 2023'!$AE$2:$AE$10000,0),1),"")</f>
        <v>37130</v>
      </c>
      <c r="AB161" s="5">
        <f>IF(INDEX('CAMD Facility Data 2023'!$AC$2:$AE$10000,MATCH(Z161,'CAMD Facility Data 2023'!$AE$2:$AE$10000,0),1)&gt;0,INDEX('CAMD Facility Data 2023'!$AC$2:$AE$10000,MATCH(Z161,'CAMD Facility Data 2023'!$AE$2:$AE$10000,0),1),"")</f>
        <v>480</v>
      </c>
      <c r="AC161" s="1" t="str">
        <f>IF(INDEX('CAMD Facility Data 2023'!$AE$2:$AG$10000,MATCH(Z161,'CAMD Facility Data 2023'!$AE$2:$AE$10000,0),3)&gt;0,INDEX('CAMD Facility Data 2023'!$AE$2:$AG$10000,MATCH(Z161,'CAMD Facility Data 2023'!$AE$2:$AE$10000,0),3),"")</f>
        <v>Y</v>
      </c>
      <c r="AD161" s="20">
        <f t="shared" si="7"/>
        <v>0.16521594317363009</v>
      </c>
      <c r="AE161" s="25">
        <f t="shared" si="8"/>
        <v>2.9993780203576865E-2</v>
      </c>
    </row>
    <row r="162" spans="1:31" x14ac:dyDescent="0.2">
      <c r="A162" s="1" t="s">
        <v>370</v>
      </c>
      <c r="B162" s="1" t="s">
        <v>506</v>
      </c>
      <c r="C162" s="1">
        <v>408</v>
      </c>
      <c r="D162" s="1">
        <v>6</v>
      </c>
      <c r="F162" s="1">
        <v>2023</v>
      </c>
      <c r="G162" s="5">
        <v>3474</v>
      </c>
      <c r="H162" s="5">
        <v>3378.53</v>
      </c>
      <c r="I162" s="5">
        <v>726226.9</v>
      </c>
      <c r="K162" s="5">
        <v>1.512</v>
      </c>
      <c r="L162" s="5">
        <v>1E-3</v>
      </c>
      <c r="M162" s="5">
        <v>295778.02899999998</v>
      </c>
      <c r="N162" s="6">
        <v>5.8999999999999997E-2</v>
      </c>
      <c r="O162" s="5">
        <v>21.879000000000001</v>
      </c>
      <c r="P162" s="6">
        <v>1.1599999999999999E-2</v>
      </c>
      <c r="Q162" s="5">
        <v>5040033.1279999996</v>
      </c>
      <c r="R162" s="1" t="s">
        <v>44</v>
      </c>
      <c r="T162" s="1" t="s">
        <v>71</v>
      </c>
      <c r="V162" s="1" t="s">
        <v>64</v>
      </c>
      <c r="Y162" s="1" t="s">
        <v>247</v>
      </c>
      <c r="Z162" s="1" t="str">
        <f t="shared" si="6"/>
        <v>408 6</v>
      </c>
      <c r="AA162" s="3">
        <f>IF(INDEX('CAMD Facility Data 2023'!$AA$2:$AE$10000,MATCH(Z162,'CAMD Facility Data 2023'!$AE$2:$AE$10000,0),1)&gt;0,INDEX('CAMD Facility Data 2023'!$AA$2:$AE$10000,MATCH(Z162,'CAMD Facility Data 2023'!$AE$2:$AE$10000,0),1),"")</f>
        <v>37865</v>
      </c>
      <c r="AB162" s="5">
        <f>IF(INDEX('CAMD Facility Data 2023'!$AC$2:$AE$10000,MATCH(Z162,'CAMD Facility Data 2023'!$AE$2:$AE$10000,0),1)&gt;0,INDEX('CAMD Facility Data 2023'!$AC$2:$AE$10000,MATCH(Z162,'CAMD Facility Data 2023'!$AE$2:$AE$10000,0),1),"")</f>
        <v>2000</v>
      </c>
      <c r="AC162" s="1" t="str">
        <f>IF(INDEX('CAMD Facility Data 2023'!$AE$2:$AG$10000,MATCH(Z162,'CAMD Facility Data 2023'!$AE$2:$AE$10000,0),3)&gt;0,INDEX('CAMD Facility Data 2023'!$AE$2:$AG$10000,MATCH(Z162,'CAMD Facility Data 2023'!$AE$2:$AE$10000,0),3),"")</f>
        <v>Y</v>
      </c>
      <c r="AD162" s="20">
        <f t="shared" si="7"/>
        <v>6.0253895855413783E-2</v>
      </c>
      <c r="AE162" s="25">
        <f t="shared" si="8"/>
        <v>0.28767312374429221</v>
      </c>
    </row>
    <row r="163" spans="1:31" x14ac:dyDescent="0.2">
      <c r="A163" s="1" t="s">
        <v>370</v>
      </c>
      <c r="B163" s="1" t="s">
        <v>506</v>
      </c>
      <c r="C163" s="1">
        <v>408</v>
      </c>
      <c r="D163" s="1">
        <v>7</v>
      </c>
      <c r="F163" s="1">
        <v>2023</v>
      </c>
      <c r="G163" s="5">
        <v>3960</v>
      </c>
      <c r="H163" s="5">
        <v>3828.23</v>
      </c>
      <c r="I163" s="5">
        <v>787597.9</v>
      </c>
      <c r="K163" s="5">
        <v>1.6659999999999999</v>
      </c>
      <c r="L163" s="5">
        <v>1E-3</v>
      </c>
      <c r="M163" s="5">
        <v>325822.364</v>
      </c>
      <c r="N163" s="6">
        <v>5.8999999999999997E-2</v>
      </c>
      <c r="O163" s="5">
        <v>25.437000000000001</v>
      </c>
      <c r="P163" s="6">
        <v>1.26E-2</v>
      </c>
      <c r="Q163" s="5">
        <v>5551973.2149999999</v>
      </c>
      <c r="R163" s="1" t="s">
        <v>44</v>
      </c>
      <c r="T163" s="1" t="s">
        <v>71</v>
      </c>
      <c r="V163" s="1" t="s">
        <v>64</v>
      </c>
      <c r="Y163" s="1" t="s">
        <v>247</v>
      </c>
      <c r="Z163" s="1" t="str">
        <f t="shared" si="6"/>
        <v>408 7</v>
      </c>
      <c r="AA163" s="3">
        <f>IF(INDEX('CAMD Facility Data 2023'!$AA$2:$AE$10000,MATCH(Z163,'CAMD Facility Data 2023'!$AE$2:$AE$10000,0),1)&gt;0,INDEX('CAMD Facility Data 2023'!$AA$2:$AE$10000,MATCH(Z163,'CAMD Facility Data 2023'!$AE$2:$AE$10000,0),1),"")</f>
        <v>37865</v>
      </c>
      <c r="AB163" s="5">
        <f>IF(INDEX('CAMD Facility Data 2023'!$AC$2:$AE$10000,MATCH(Z163,'CAMD Facility Data 2023'!$AE$2:$AE$10000,0),1)&gt;0,INDEX('CAMD Facility Data 2023'!$AC$2:$AE$10000,MATCH(Z163,'CAMD Facility Data 2023'!$AE$2:$AE$10000,0),1),"")</f>
        <v>2000</v>
      </c>
      <c r="AC163" s="1" t="str">
        <f>IF(INDEX('CAMD Facility Data 2023'!$AE$2:$AG$10000,MATCH(Z163,'CAMD Facility Data 2023'!$AE$2:$AE$10000,0),3)&gt;0,INDEX('CAMD Facility Data 2023'!$AE$2:$AG$10000,MATCH(Z163,'CAMD Facility Data 2023'!$AE$2:$AE$10000,0),3),"")</f>
        <v>Y</v>
      </c>
      <c r="AD163" s="20">
        <f t="shared" si="7"/>
        <v>6.4593874615460498E-2</v>
      </c>
      <c r="AE163" s="25">
        <f t="shared" si="8"/>
        <v>0.31689344834474886</v>
      </c>
    </row>
    <row r="164" spans="1:31" x14ac:dyDescent="0.2">
      <c r="A164" s="1" t="s">
        <v>370</v>
      </c>
      <c r="B164" s="1" t="s">
        <v>510</v>
      </c>
      <c r="C164" s="1">
        <v>422</v>
      </c>
      <c r="D164" s="1" t="s">
        <v>246</v>
      </c>
      <c r="F164" s="1">
        <v>2023</v>
      </c>
      <c r="G164" s="5">
        <v>553</v>
      </c>
      <c r="H164" s="5">
        <v>447.58</v>
      </c>
      <c r="I164" s="5">
        <v>10454.969999999999</v>
      </c>
      <c r="K164" s="5">
        <v>3.5000000000000003E-2</v>
      </c>
      <c r="L164" s="5">
        <v>5.0000000000000001E-4</v>
      </c>
      <c r="M164" s="5">
        <v>7254.41</v>
      </c>
      <c r="N164" s="6">
        <v>5.9400000000000001E-2</v>
      </c>
      <c r="O164" s="5">
        <v>1.393</v>
      </c>
      <c r="P164" s="6">
        <v>2.7300000000000001E-2</v>
      </c>
      <c r="Q164" s="5">
        <v>122040.065</v>
      </c>
      <c r="R164" s="1" t="s">
        <v>44</v>
      </c>
      <c r="T164" s="1" t="s">
        <v>93</v>
      </c>
      <c r="V164" s="1" t="s">
        <v>223</v>
      </c>
      <c r="Y164" s="1" t="s">
        <v>247</v>
      </c>
      <c r="Z164" s="1" t="str">
        <f t="shared" si="6"/>
        <v>422 GT3</v>
      </c>
      <c r="AA164" s="3">
        <f>IF(INDEX('CAMD Facility Data 2023'!$AA$2:$AE$10000,MATCH(Z164,'CAMD Facility Data 2023'!$AE$2:$AE$10000,0),1)&gt;0,INDEX('CAMD Facility Data 2023'!$AA$2:$AE$10000,MATCH(Z164,'CAMD Facility Data 2023'!$AE$2:$AE$10000,0),1),"")</f>
        <v>37773</v>
      </c>
      <c r="AB164" s="5">
        <f>IF(INDEX('CAMD Facility Data 2023'!$AC$2:$AE$10000,MATCH(Z164,'CAMD Facility Data 2023'!$AE$2:$AE$10000,0),1)&gt;0,INDEX('CAMD Facility Data 2023'!$AC$2:$AE$10000,MATCH(Z164,'CAMD Facility Data 2023'!$AE$2:$AE$10000,0),1),"")</f>
        <v>475</v>
      </c>
      <c r="AC164" s="1" t="str">
        <f>IF(INDEX('CAMD Facility Data 2023'!$AE$2:$AG$10000,MATCH(Z164,'CAMD Facility Data 2023'!$AE$2:$AE$10000,0),3)&gt;0,INDEX('CAMD Facility Data 2023'!$AE$2:$AG$10000,MATCH(Z164,'CAMD Facility Data 2023'!$AE$2:$AE$10000,0),3),"")</f>
        <v>Y</v>
      </c>
      <c r="AD164" s="20">
        <f t="shared" si="7"/>
        <v>0.26647613527346325</v>
      </c>
      <c r="AE164" s="25">
        <f t="shared" si="8"/>
        <v>2.932950372506609E-2</v>
      </c>
    </row>
    <row r="165" spans="1:31" x14ac:dyDescent="0.2">
      <c r="A165" s="1" t="s">
        <v>370</v>
      </c>
      <c r="B165" s="1" t="s">
        <v>510</v>
      </c>
      <c r="C165" s="1">
        <v>422</v>
      </c>
      <c r="D165" s="1" t="s">
        <v>251</v>
      </c>
      <c r="F165" s="1">
        <v>2023</v>
      </c>
      <c r="G165" s="5">
        <v>547</v>
      </c>
      <c r="H165" s="5">
        <v>421.88</v>
      </c>
      <c r="I165" s="5">
        <v>10275.44</v>
      </c>
      <c r="K165" s="5">
        <v>3.3000000000000002E-2</v>
      </c>
      <c r="L165" s="5">
        <v>5.0000000000000001E-4</v>
      </c>
      <c r="M165" s="5">
        <v>7143</v>
      </c>
      <c r="N165" s="6">
        <v>5.9299999999999999E-2</v>
      </c>
      <c r="O165" s="5">
        <v>1.5149999999999999</v>
      </c>
      <c r="P165" s="6">
        <v>2.92E-2</v>
      </c>
      <c r="Q165" s="5">
        <v>120192.522</v>
      </c>
      <c r="R165" s="1" t="s">
        <v>44</v>
      </c>
      <c r="T165" s="1" t="s">
        <v>93</v>
      </c>
      <c r="V165" s="1" t="s">
        <v>223</v>
      </c>
      <c r="Y165" s="1" t="s">
        <v>247</v>
      </c>
      <c r="Z165" s="1" t="str">
        <f t="shared" si="6"/>
        <v>422 GT4</v>
      </c>
      <c r="AA165" s="3">
        <f>IF(INDEX('CAMD Facility Data 2023'!$AA$2:$AE$10000,MATCH(Z165,'CAMD Facility Data 2023'!$AE$2:$AE$10000,0),1)&gt;0,INDEX('CAMD Facility Data 2023'!$AA$2:$AE$10000,MATCH(Z165,'CAMD Facility Data 2023'!$AE$2:$AE$10000,0),1),"")</f>
        <v>37773</v>
      </c>
      <c r="AB165" s="5">
        <f>IF(INDEX('CAMD Facility Data 2023'!$AC$2:$AE$10000,MATCH(Z165,'CAMD Facility Data 2023'!$AE$2:$AE$10000,0),1)&gt;0,INDEX('CAMD Facility Data 2023'!$AC$2:$AE$10000,MATCH(Z165,'CAMD Facility Data 2023'!$AE$2:$AE$10000,0),1),"")</f>
        <v>475</v>
      </c>
      <c r="AC165" s="1" t="str">
        <f>IF(INDEX('CAMD Facility Data 2023'!$AE$2:$AG$10000,MATCH(Z165,'CAMD Facility Data 2023'!$AE$2:$AE$10000,0),3)&gt;0,INDEX('CAMD Facility Data 2023'!$AE$2:$AG$10000,MATCH(Z165,'CAMD Facility Data 2023'!$AE$2:$AE$10000,0),3),"")</f>
        <v>Y</v>
      </c>
      <c r="AD165" s="20">
        <f t="shared" si="7"/>
        <v>0.29487788357481526</v>
      </c>
      <c r="AE165" s="25">
        <f t="shared" si="8"/>
        <v>2.8885489545782263E-2</v>
      </c>
    </row>
    <row r="166" spans="1:31" x14ac:dyDescent="0.2">
      <c r="A166" s="1" t="s">
        <v>370</v>
      </c>
      <c r="B166" s="1" t="s">
        <v>510</v>
      </c>
      <c r="C166" s="1">
        <v>422</v>
      </c>
      <c r="D166" s="1" t="s">
        <v>253</v>
      </c>
      <c r="F166" s="1">
        <v>2023</v>
      </c>
      <c r="G166" s="5">
        <v>691</v>
      </c>
      <c r="H166" s="5">
        <v>585.76</v>
      </c>
      <c r="I166" s="5">
        <v>18940.63</v>
      </c>
      <c r="K166" s="5">
        <v>5.3999999999999999E-2</v>
      </c>
      <c r="L166" s="5">
        <v>5.9999999999999995E-4</v>
      </c>
      <c r="M166" s="5">
        <v>10863.495000000001</v>
      </c>
      <c r="N166" s="6">
        <v>5.9299999999999999E-2</v>
      </c>
      <c r="O166" s="5">
        <v>0.81699999999999995</v>
      </c>
      <c r="P166" s="6">
        <v>1.12E-2</v>
      </c>
      <c r="Q166" s="5">
        <v>182802.07</v>
      </c>
      <c r="R166" s="1" t="s">
        <v>44</v>
      </c>
      <c r="T166" s="1" t="s">
        <v>71</v>
      </c>
      <c r="V166" s="1" t="s">
        <v>176</v>
      </c>
      <c r="Y166" s="1" t="s">
        <v>247</v>
      </c>
      <c r="Z166" s="1" t="str">
        <f t="shared" si="6"/>
        <v>422 GT5</v>
      </c>
      <c r="AA166" s="3">
        <f>IF(INDEX('CAMD Facility Data 2023'!$AA$2:$AE$10000,MATCH(Z166,'CAMD Facility Data 2023'!$AE$2:$AE$10000,0),1)&gt;0,INDEX('CAMD Facility Data 2023'!$AA$2:$AE$10000,MATCH(Z166,'CAMD Facility Data 2023'!$AE$2:$AE$10000,0),1),"")</f>
        <v>42469</v>
      </c>
      <c r="AB166" s="5">
        <f>IF(INDEX('CAMD Facility Data 2023'!$AC$2:$AE$10000,MATCH(Z166,'CAMD Facility Data 2023'!$AE$2:$AE$10000,0),1)&gt;0,INDEX('CAMD Facility Data 2023'!$AC$2:$AE$10000,MATCH(Z166,'CAMD Facility Data 2023'!$AE$2:$AE$10000,0),1),"")</f>
        <v>547.5</v>
      </c>
      <c r="AC166" s="1" t="str">
        <f>IF(INDEX('CAMD Facility Data 2023'!$AE$2:$AG$10000,MATCH(Z166,'CAMD Facility Data 2023'!$AE$2:$AE$10000,0),3)&gt;0,INDEX('CAMD Facility Data 2023'!$AE$2:$AG$10000,MATCH(Z166,'CAMD Facility Data 2023'!$AE$2:$AE$10000,0),3),"")</f>
        <v>Y</v>
      </c>
      <c r="AD166" s="20">
        <f t="shared" si="7"/>
        <v>8.6269569702802917E-2</v>
      </c>
      <c r="AE166" s="25">
        <f t="shared" si="8"/>
        <v>3.8114732803736368E-2</v>
      </c>
    </row>
    <row r="167" spans="1:31" x14ac:dyDescent="0.2">
      <c r="A167" s="1" t="s">
        <v>516</v>
      </c>
      <c r="B167" s="1" t="s">
        <v>517</v>
      </c>
      <c r="C167" s="1">
        <v>469</v>
      </c>
      <c r="D167" s="1">
        <v>4</v>
      </c>
      <c r="F167" s="1">
        <v>2023</v>
      </c>
      <c r="G167" s="5">
        <v>3224</v>
      </c>
      <c r="H167" s="5">
        <v>3203.6</v>
      </c>
      <c r="I167" s="5">
        <v>613059.44999999995</v>
      </c>
      <c r="K167" s="5">
        <v>1.8620000000000001</v>
      </c>
      <c r="L167" s="5">
        <v>1E-3</v>
      </c>
      <c r="M167" s="5">
        <v>368759.59299999999</v>
      </c>
      <c r="N167" s="6">
        <v>5.8999999999999997E-2</v>
      </c>
      <c r="O167" s="5">
        <v>194.066</v>
      </c>
      <c r="P167" s="6">
        <v>6.0400000000000002E-2</v>
      </c>
      <c r="Q167" s="5">
        <v>6205090.0889999997</v>
      </c>
      <c r="R167" s="1" t="s">
        <v>44</v>
      </c>
      <c r="T167" s="1" t="s">
        <v>43</v>
      </c>
      <c r="V167" s="1" t="s">
        <v>213</v>
      </c>
      <c r="Y167" s="1" t="s">
        <v>247</v>
      </c>
      <c r="Z167" s="1" t="str">
        <f t="shared" si="6"/>
        <v>469 4</v>
      </c>
      <c r="AA167" s="3">
        <f>IF(INDEX('CAMD Facility Data 2023'!$AA$2:$AE$10000,MATCH(Z167,'CAMD Facility Data 2023'!$AE$2:$AE$10000,0),1)&gt;0,INDEX('CAMD Facility Data 2023'!$AA$2:$AE$10000,MATCH(Z167,'CAMD Facility Data 2023'!$AE$2:$AE$10000,0),1),"")</f>
        <v>25143</v>
      </c>
      <c r="AB167" s="5">
        <f>IF(INDEX('CAMD Facility Data 2023'!$AC$2:$AE$10000,MATCH(Z167,'CAMD Facility Data 2023'!$AE$2:$AE$10000,0),1)&gt;0,INDEX('CAMD Facility Data 2023'!$AC$2:$AE$10000,MATCH(Z167,'CAMD Facility Data 2023'!$AE$2:$AE$10000,0),1),"")</f>
        <v>3520</v>
      </c>
      <c r="AC167" s="1" t="str">
        <f>IF(INDEX('CAMD Facility Data 2023'!$AE$2:$AG$10000,MATCH(Z167,'CAMD Facility Data 2023'!$AE$2:$AE$10000,0),3)&gt;0,INDEX('CAMD Facility Data 2023'!$AE$2:$AG$10000,MATCH(Z167,'CAMD Facility Data 2023'!$AE$2:$AE$10000,0),3),"")</f>
        <v/>
      </c>
      <c r="AD167" s="20">
        <f t="shared" si="7"/>
        <v>0.63310662611921242</v>
      </c>
      <c r="AE167" s="25">
        <f t="shared" si="8"/>
        <v>0.20123398223458902</v>
      </c>
    </row>
    <row r="168" spans="1:31" x14ac:dyDescent="0.2">
      <c r="A168" s="1" t="s">
        <v>516</v>
      </c>
      <c r="B168" s="1" t="s">
        <v>517</v>
      </c>
      <c r="C168" s="1">
        <v>469</v>
      </c>
      <c r="D168" s="1">
        <v>5</v>
      </c>
      <c r="F168" s="1">
        <v>2023</v>
      </c>
      <c r="G168" s="5">
        <v>7558</v>
      </c>
      <c r="H168" s="5">
        <v>7547.92</v>
      </c>
      <c r="I168" s="5">
        <v>1548816.95</v>
      </c>
      <c r="K168" s="5">
        <v>3.1760000000000002</v>
      </c>
      <c r="L168" s="5">
        <v>1E-3</v>
      </c>
      <c r="M168" s="5">
        <v>630860.98800000001</v>
      </c>
      <c r="N168" s="6">
        <v>5.8999999999999997E-2</v>
      </c>
      <c r="O168" s="5">
        <v>59.741999999999997</v>
      </c>
      <c r="P168" s="6">
        <v>1.18E-2</v>
      </c>
      <c r="Q168" s="5">
        <v>10615422.105</v>
      </c>
      <c r="R168" s="1" t="s">
        <v>44</v>
      </c>
      <c r="T168" s="1" t="s">
        <v>71</v>
      </c>
      <c r="V168" s="1" t="s">
        <v>223</v>
      </c>
      <c r="Y168" s="1" t="s">
        <v>247</v>
      </c>
      <c r="Z168" s="1" t="str">
        <f t="shared" si="6"/>
        <v>469 5</v>
      </c>
      <c r="AA168" s="3">
        <f>IF(INDEX('CAMD Facility Data 2023'!$AA$2:$AE$10000,MATCH(Z168,'CAMD Facility Data 2023'!$AE$2:$AE$10000,0),1)&gt;0,INDEX('CAMD Facility Data 2023'!$AA$2:$AE$10000,MATCH(Z168,'CAMD Facility Data 2023'!$AE$2:$AE$10000,0),1),"")</f>
        <v>42142</v>
      </c>
      <c r="AB168" s="5">
        <f>IF(INDEX('CAMD Facility Data 2023'!$AC$2:$AE$10000,MATCH(Z168,'CAMD Facility Data 2023'!$AE$2:$AE$10000,0),1)&gt;0,INDEX('CAMD Facility Data 2023'!$AC$2:$AE$10000,MATCH(Z168,'CAMD Facility Data 2023'!$AE$2:$AE$10000,0),1),"")</f>
        <v>2400</v>
      </c>
      <c r="AC168" s="1" t="str">
        <f>IF(INDEX('CAMD Facility Data 2023'!$AE$2:$AG$10000,MATCH(Z168,'CAMD Facility Data 2023'!$AE$2:$AE$10000,0),3)&gt;0,INDEX('CAMD Facility Data 2023'!$AE$2:$AG$10000,MATCH(Z168,'CAMD Facility Data 2023'!$AE$2:$AE$10000,0),3),"")</f>
        <v>Y</v>
      </c>
      <c r="AD168" s="20">
        <f t="shared" si="7"/>
        <v>7.7145333410768777E-2</v>
      </c>
      <c r="AE168" s="25">
        <f t="shared" si="8"/>
        <v>0.50491924015410961</v>
      </c>
    </row>
    <row r="169" spans="1:31" x14ac:dyDescent="0.2">
      <c r="A169" s="1" t="s">
        <v>516</v>
      </c>
      <c r="B169" s="1" t="s">
        <v>517</v>
      </c>
      <c r="C169" s="1">
        <v>469</v>
      </c>
      <c r="D169" s="1">
        <v>6</v>
      </c>
      <c r="F169" s="1">
        <v>2023</v>
      </c>
      <c r="G169" s="5">
        <v>7899</v>
      </c>
      <c r="H169" s="5">
        <v>7891.22</v>
      </c>
      <c r="I169" s="5">
        <v>1626434.41</v>
      </c>
      <c r="K169" s="5">
        <v>3.3250000000000002</v>
      </c>
      <c r="L169" s="5">
        <v>1E-3</v>
      </c>
      <c r="M169" s="5">
        <v>660048.84499999997</v>
      </c>
      <c r="N169" s="6">
        <v>5.8999999999999997E-2</v>
      </c>
      <c r="O169" s="5">
        <v>71.744</v>
      </c>
      <c r="P169" s="6">
        <v>1.37E-2</v>
      </c>
      <c r="Q169" s="5">
        <v>11106638.798</v>
      </c>
      <c r="R169" s="1" t="s">
        <v>44</v>
      </c>
      <c r="T169" s="1" t="s">
        <v>71</v>
      </c>
      <c r="V169" s="1" t="s">
        <v>223</v>
      </c>
      <c r="Y169" s="1" t="s">
        <v>247</v>
      </c>
      <c r="Z169" s="1" t="str">
        <f t="shared" si="6"/>
        <v>469 6</v>
      </c>
      <c r="AA169" s="3">
        <f>IF(INDEX('CAMD Facility Data 2023'!$AA$2:$AE$10000,MATCH(Z169,'CAMD Facility Data 2023'!$AE$2:$AE$10000,0),1)&gt;0,INDEX('CAMD Facility Data 2023'!$AA$2:$AE$10000,MATCH(Z169,'CAMD Facility Data 2023'!$AE$2:$AE$10000,0),1),"")</f>
        <v>42146</v>
      </c>
      <c r="AB169" s="5">
        <f>IF(INDEX('CAMD Facility Data 2023'!$AC$2:$AE$10000,MATCH(Z169,'CAMD Facility Data 2023'!$AE$2:$AE$10000,0),1)&gt;0,INDEX('CAMD Facility Data 2023'!$AC$2:$AE$10000,MATCH(Z169,'CAMD Facility Data 2023'!$AE$2:$AE$10000,0),1),"")</f>
        <v>2400</v>
      </c>
      <c r="AC169" s="1" t="str">
        <f>IF(INDEX('CAMD Facility Data 2023'!$AE$2:$AG$10000,MATCH(Z169,'CAMD Facility Data 2023'!$AE$2:$AE$10000,0),3)&gt;0,INDEX('CAMD Facility Data 2023'!$AE$2:$AG$10000,MATCH(Z169,'CAMD Facility Data 2023'!$AE$2:$AE$10000,0),3),"")</f>
        <v>Y</v>
      </c>
      <c r="AD169" s="20">
        <f t="shared" si="7"/>
        <v>8.8222432529572473E-2</v>
      </c>
      <c r="AE169" s="25">
        <f t="shared" si="8"/>
        <v>0.52828380888508375</v>
      </c>
    </row>
    <row r="170" spans="1:31" x14ac:dyDescent="0.2">
      <c r="A170" s="1" t="s">
        <v>516</v>
      </c>
      <c r="B170" s="1" t="s">
        <v>523</v>
      </c>
      <c r="C170" s="1">
        <v>470</v>
      </c>
      <c r="D170" s="1">
        <v>2</v>
      </c>
      <c r="F170" s="1">
        <v>2023</v>
      </c>
      <c r="G170" s="5">
        <v>8163</v>
      </c>
      <c r="H170" s="5">
        <v>8158.32</v>
      </c>
      <c r="I170" s="5">
        <v>2161093.98</v>
      </c>
      <c r="K170" s="5">
        <v>987.56200000000001</v>
      </c>
      <c r="L170" s="5">
        <v>8.9800000000000005E-2</v>
      </c>
      <c r="M170" s="5">
        <v>2381571.838</v>
      </c>
      <c r="N170" s="6">
        <v>0.1032</v>
      </c>
      <c r="O170" s="5">
        <v>1551.8489999999999</v>
      </c>
      <c r="P170" s="6">
        <v>0.13350000000000001</v>
      </c>
      <c r="Q170" s="5">
        <v>22995515.263999999</v>
      </c>
      <c r="R170" s="1" t="s">
        <v>55</v>
      </c>
      <c r="S170" s="1" t="s">
        <v>284</v>
      </c>
      <c r="T170" s="1" t="s">
        <v>89</v>
      </c>
      <c r="U170" s="1" t="s">
        <v>212</v>
      </c>
      <c r="V170" s="1" t="s">
        <v>289</v>
      </c>
      <c r="W170" s="1" t="s">
        <v>232</v>
      </c>
      <c r="X170" s="1" t="s">
        <v>214</v>
      </c>
      <c r="Y170" s="1" t="s">
        <v>236</v>
      </c>
      <c r="Z170" s="1" t="str">
        <f t="shared" si="6"/>
        <v>470 2</v>
      </c>
      <c r="AA170" s="3">
        <f>IF(INDEX('CAMD Facility Data 2023'!$AA$2:$AE$10000,MATCH(Z170,'CAMD Facility Data 2023'!$AE$2:$AE$10000,0),1)&gt;0,INDEX('CAMD Facility Data 2023'!$AA$2:$AE$10000,MATCH(Z170,'CAMD Facility Data 2023'!$AE$2:$AE$10000,0),1),"")</f>
        <v>27699</v>
      </c>
      <c r="AB170" s="5">
        <f>IF(INDEX('CAMD Facility Data 2023'!$AC$2:$AE$10000,MATCH(Z170,'CAMD Facility Data 2023'!$AE$2:$AE$10000,0),1)&gt;0,INDEX('CAMD Facility Data 2023'!$AC$2:$AE$10000,MATCH(Z170,'CAMD Facility Data 2023'!$AE$2:$AE$10000,0),1),"")</f>
        <v>4350</v>
      </c>
      <c r="AC170" s="1" t="str">
        <f>IF(INDEX('CAMD Facility Data 2023'!$AE$2:$AG$10000,MATCH(Z170,'CAMD Facility Data 2023'!$AE$2:$AE$10000,0),3)&gt;0,INDEX('CAMD Facility Data 2023'!$AE$2:$AG$10000,MATCH(Z170,'CAMD Facility Data 2023'!$AE$2:$AE$10000,0),3),"")</f>
        <v/>
      </c>
      <c r="AD170" s="20">
        <f t="shared" si="7"/>
        <v>1.43616984209081</v>
      </c>
      <c r="AE170" s="25">
        <f t="shared" si="8"/>
        <v>0.60346179772214348</v>
      </c>
    </row>
    <row r="171" spans="1:31" x14ac:dyDescent="0.2">
      <c r="A171" s="1" t="s">
        <v>516</v>
      </c>
      <c r="B171" s="1" t="s">
        <v>523</v>
      </c>
      <c r="C171" s="1">
        <v>470</v>
      </c>
      <c r="D171" s="1">
        <v>3</v>
      </c>
      <c r="F171" s="1">
        <v>2023</v>
      </c>
      <c r="G171" s="5">
        <v>8043</v>
      </c>
      <c r="H171" s="5">
        <v>8026.33</v>
      </c>
      <c r="I171" s="5">
        <v>5037512.1500000004</v>
      </c>
      <c r="K171" s="5">
        <v>2216.6309999999999</v>
      </c>
      <c r="L171" s="5">
        <v>9.11E-2</v>
      </c>
      <c r="M171" s="5">
        <v>5284350.9139999999</v>
      </c>
      <c r="N171" s="6">
        <v>0.1019</v>
      </c>
      <c r="O171" s="5">
        <v>1759.9349999999999</v>
      </c>
      <c r="P171" s="6">
        <v>6.7799999999999999E-2</v>
      </c>
      <c r="Q171" s="5">
        <v>51474519.689999998</v>
      </c>
      <c r="R171" s="1" t="s">
        <v>55</v>
      </c>
      <c r="S171" s="1" t="s">
        <v>284</v>
      </c>
      <c r="T171" s="1" t="s">
        <v>43</v>
      </c>
      <c r="U171" s="1" t="s">
        <v>212</v>
      </c>
      <c r="V171" s="1" t="s">
        <v>223</v>
      </c>
      <c r="W171" s="1" t="s">
        <v>232</v>
      </c>
      <c r="X171" s="1" t="s">
        <v>214</v>
      </c>
      <c r="Y171" s="1" t="s">
        <v>236</v>
      </c>
      <c r="Z171" s="1" t="str">
        <f t="shared" si="6"/>
        <v>470 3</v>
      </c>
      <c r="AA171" s="3">
        <f>IF(INDEX('CAMD Facility Data 2023'!$AA$2:$AE$10000,MATCH(Z171,'CAMD Facility Data 2023'!$AE$2:$AE$10000,0),1)&gt;0,INDEX('CAMD Facility Data 2023'!$AA$2:$AE$10000,MATCH(Z171,'CAMD Facility Data 2023'!$AE$2:$AE$10000,0),1),"")</f>
        <v>40189</v>
      </c>
      <c r="AB171" s="5">
        <f>IF(INDEX('CAMD Facility Data 2023'!$AC$2:$AE$10000,MATCH(Z171,'CAMD Facility Data 2023'!$AE$2:$AE$10000,0),1)&gt;0,INDEX('CAMD Facility Data 2023'!$AC$2:$AE$10000,MATCH(Z171,'CAMD Facility Data 2023'!$AE$2:$AE$10000,0),1),"")</f>
        <v>9050</v>
      </c>
      <c r="AC171" s="1" t="str">
        <f>IF(INDEX('CAMD Facility Data 2023'!$AE$2:$AG$10000,MATCH(Z171,'CAMD Facility Data 2023'!$AE$2:$AE$10000,0),3)&gt;0,INDEX('CAMD Facility Data 2023'!$AE$2:$AG$10000,MATCH(Z171,'CAMD Facility Data 2023'!$AE$2:$AE$10000,0),3),"")</f>
        <v>Y</v>
      </c>
      <c r="AD171" s="20">
        <f t="shared" si="7"/>
        <v>0.69873181348058877</v>
      </c>
      <c r="AE171" s="25">
        <f t="shared" si="8"/>
        <v>0.64929135056383858</v>
      </c>
    </row>
    <row r="172" spans="1:31" x14ac:dyDescent="0.2">
      <c r="A172" s="1" t="s">
        <v>516</v>
      </c>
      <c r="B172" s="1" t="s">
        <v>529</v>
      </c>
      <c r="C172" s="1">
        <v>492</v>
      </c>
      <c r="D172" s="1" t="s">
        <v>530</v>
      </c>
      <c r="F172" s="1">
        <v>2023</v>
      </c>
      <c r="G172" s="5">
        <v>1058</v>
      </c>
      <c r="H172" s="5">
        <v>933.87</v>
      </c>
      <c r="I172" s="5">
        <v>22558.23</v>
      </c>
      <c r="K172" s="5">
        <v>8.4000000000000005E-2</v>
      </c>
      <c r="L172" s="5">
        <v>8.0000000000000004E-4</v>
      </c>
      <c r="M172" s="5">
        <v>13886.977000000001</v>
      </c>
      <c r="N172" s="6">
        <v>0.06</v>
      </c>
      <c r="O172" s="5">
        <v>9.6709999999999994</v>
      </c>
      <c r="P172" s="6">
        <v>8.8999999999999996E-2</v>
      </c>
      <c r="Q172" s="5">
        <v>231120.079</v>
      </c>
      <c r="R172" s="1" t="s">
        <v>44</v>
      </c>
      <c r="S172" s="1" t="s">
        <v>94</v>
      </c>
      <c r="T172" s="1" t="s">
        <v>534</v>
      </c>
      <c r="V172" s="1" t="s">
        <v>140</v>
      </c>
      <c r="Y172" s="1" t="s">
        <v>247</v>
      </c>
      <c r="Z172" s="1" t="str">
        <f t="shared" si="6"/>
        <v>492 A1</v>
      </c>
      <c r="AA172" s="3">
        <f>IF(INDEX('CAMD Facility Data 2023'!$AA$2:$AE$10000,MATCH(Z172,'CAMD Facility Data 2023'!$AE$2:$AE$10000,0),1)&gt;0,INDEX('CAMD Facility Data 2023'!$AA$2:$AE$10000,MATCH(Z172,'CAMD Facility Data 2023'!$AE$2:$AE$10000,0),1),"")</f>
        <v>44995</v>
      </c>
      <c r="AB172" s="5">
        <f>IF(INDEX('CAMD Facility Data 2023'!$AC$2:$AE$10000,MATCH(Z172,'CAMD Facility Data 2023'!$AE$2:$AE$10000,0),1)&gt;0,INDEX('CAMD Facility Data 2023'!$AC$2:$AE$10000,MATCH(Z172,'CAMD Facility Data 2023'!$AE$2:$AE$10000,0),1),"")</f>
        <v>298.7</v>
      </c>
      <c r="AC172" s="1" t="str">
        <f>IF(INDEX('CAMD Facility Data 2023'!$AE$2:$AG$10000,MATCH(Z172,'CAMD Facility Data 2023'!$AE$2:$AE$10000,0),3)&gt;0,INDEX('CAMD Facility Data 2023'!$AE$2:$AG$10000,MATCH(Z172,'CAMD Facility Data 2023'!$AE$2:$AE$10000,0),3),"")</f>
        <v/>
      </c>
      <c r="AD172" s="20">
        <f t="shared" si="7"/>
        <v>0.85742542743823436</v>
      </c>
      <c r="AE172" s="25">
        <f t="shared" si="8"/>
        <v>8.8327990164380504E-2</v>
      </c>
    </row>
    <row r="173" spans="1:31" x14ac:dyDescent="0.2">
      <c r="A173" s="1" t="s">
        <v>516</v>
      </c>
      <c r="B173" s="1" t="s">
        <v>529</v>
      </c>
      <c r="C173" s="1">
        <v>492</v>
      </c>
      <c r="D173" s="1" t="s">
        <v>537</v>
      </c>
      <c r="F173" s="1">
        <v>2023</v>
      </c>
      <c r="G173" s="5">
        <v>1172</v>
      </c>
      <c r="H173" s="5">
        <v>1026.75</v>
      </c>
      <c r="I173" s="5">
        <v>25444.18</v>
      </c>
      <c r="K173" s="5">
        <v>9.4E-2</v>
      </c>
      <c r="L173" s="5">
        <v>8.0000000000000004E-4</v>
      </c>
      <c r="M173" s="5">
        <v>15353.07</v>
      </c>
      <c r="N173" s="6">
        <v>5.9900000000000002E-2</v>
      </c>
      <c r="O173" s="5">
        <v>8.6649999999999991</v>
      </c>
      <c r="P173" s="6">
        <v>7.4099999999999999E-2</v>
      </c>
      <c r="Q173" s="5">
        <v>256672.84400000001</v>
      </c>
      <c r="R173" s="1" t="s">
        <v>44</v>
      </c>
      <c r="S173" s="1" t="s">
        <v>94</v>
      </c>
      <c r="T173" s="1" t="s">
        <v>538</v>
      </c>
      <c r="V173" s="1" t="s">
        <v>140</v>
      </c>
      <c r="Y173" s="1" t="s">
        <v>247</v>
      </c>
      <c r="Z173" s="1" t="str">
        <f t="shared" si="6"/>
        <v>492 A2</v>
      </c>
      <c r="AA173" s="3">
        <f>IF(INDEX('CAMD Facility Data 2023'!$AA$2:$AE$10000,MATCH(Z173,'CAMD Facility Data 2023'!$AE$2:$AE$10000,0),1)&gt;0,INDEX('CAMD Facility Data 2023'!$AA$2:$AE$10000,MATCH(Z173,'CAMD Facility Data 2023'!$AE$2:$AE$10000,0),1),"")</f>
        <v>44995</v>
      </c>
      <c r="AB173" s="5">
        <f>IF(INDEX('CAMD Facility Data 2023'!$AC$2:$AE$10000,MATCH(Z173,'CAMD Facility Data 2023'!$AE$2:$AE$10000,0),1)&gt;0,INDEX('CAMD Facility Data 2023'!$AC$2:$AE$10000,MATCH(Z173,'CAMD Facility Data 2023'!$AE$2:$AE$10000,0),1),"")</f>
        <v>298.7</v>
      </c>
      <c r="AC173" s="1" t="str">
        <f>IF(INDEX('CAMD Facility Data 2023'!$AE$2:$AG$10000,MATCH(Z173,'CAMD Facility Data 2023'!$AE$2:$AE$10000,0),3)&gt;0,INDEX('CAMD Facility Data 2023'!$AE$2:$AG$10000,MATCH(Z173,'CAMD Facility Data 2023'!$AE$2:$AE$10000,0),3),"")</f>
        <v/>
      </c>
      <c r="AD173" s="20">
        <f t="shared" si="7"/>
        <v>0.68109878172532967</v>
      </c>
      <c r="AE173" s="25">
        <f t="shared" si="8"/>
        <v>9.8093582082479175E-2</v>
      </c>
    </row>
    <row r="174" spans="1:31" x14ac:dyDescent="0.2">
      <c r="A174" s="1" t="s">
        <v>516</v>
      </c>
      <c r="B174" s="1" t="s">
        <v>529</v>
      </c>
      <c r="C174" s="1">
        <v>492</v>
      </c>
      <c r="D174" s="1" t="s">
        <v>541</v>
      </c>
      <c r="F174" s="1">
        <v>2023</v>
      </c>
      <c r="G174" s="5">
        <v>986</v>
      </c>
      <c r="H174" s="5">
        <v>858.31</v>
      </c>
      <c r="I174" s="5">
        <v>20589.759999999998</v>
      </c>
      <c r="K174" s="5">
        <v>5.8999999999999997E-2</v>
      </c>
      <c r="L174" s="5">
        <v>5.0000000000000001E-4</v>
      </c>
      <c r="M174" s="5">
        <v>12286.43</v>
      </c>
      <c r="N174" s="6">
        <v>0.06</v>
      </c>
      <c r="O174" s="5">
        <v>8.08</v>
      </c>
      <c r="P174" s="6">
        <v>8.3900000000000002E-2</v>
      </c>
      <c r="Q174" s="5">
        <v>205127.742</v>
      </c>
      <c r="R174" s="1" t="s">
        <v>44</v>
      </c>
      <c r="S174" s="1" t="s">
        <v>94</v>
      </c>
      <c r="T174" s="1" t="s">
        <v>542</v>
      </c>
      <c r="V174" s="1" t="s">
        <v>140</v>
      </c>
      <c r="Y174" s="1" t="s">
        <v>247</v>
      </c>
      <c r="Z174" s="1" t="str">
        <f t="shared" si="6"/>
        <v>492 A3</v>
      </c>
      <c r="AA174" s="3">
        <f>IF(INDEX('CAMD Facility Data 2023'!$AA$2:$AE$10000,MATCH(Z174,'CAMD Facility Data 2023'!$AE$2:$AE$10000,0),1)&gt;0,INDEX('CAMD Facility Data 2023'!$AA$2:$AE$10000,MATCH(Z174,'CAMD Facility Data 2023'!$AE$2:$AE$10000,0),1),"")</f>
        <v>45005</v>
      </c>
      <c r="AB174" s="5">
        <f>IF(INDEX('CAMD Facility Data 2023'!$AC$2:$AE$10000,MATCH(Z174,'CAMD Facility Data 2023'!$AE$2:$AE$10000,0),1)&gt;0,INDEX('CAMD Facility Data 2023'!$AC$2:$AE$10000,MATCH(Z174,'CAMD Facility Data 2023'!$AE$2:$AE$10000,0),1),"")</f>
        <v>298.7</v>
      </c>
      <c r="AC174" s="1" t="str">
        <f>IF(INDEX('CAMD Facility Data 2023'!$AE$2:$AG$10000,MATCH(Z174,'CAMD Facility Data 2023'!$AE$2:$AE$10000,0),3)&gt;0,INDEX('CAMD Facility Data 2023'!$AE$2:$AG$10000,MATCH(Z174,'CAMD Facility Data 2023'!$AE$2:$AE$10000,0),3),"")</f>
        <v/>
      </c>
      <c r="AD174" s="20">
        <f t="shared" si="7"/>
        <v>0.78485616150941051</v>
      </c>
      <c r="AE174" s="25">
        <f t="shared" si="8"/>
        <v>7.839440543726009E-2</v>
      </c>
    </row>
    <row r="175" spans="1:31" x14ac:dyDescent="0.2">
      <c r="A175" s="1" t="s">
        <v>516</v>
      </c>
      <c r="B175" s="1" t="s">
        <v>529</v>
      </c>
      <c r="C175" s="1">
        <v>492</v>
      </c>
      <c r="D175" s="1" t="s">
        <v>545</v>
      </c>
      <c r="F175" s="1">
        <v>2023</v>
      </c>
      <c r="G175" s="5">
        <v>1119</v>
      </c>
      <c r="H175" s="5">
        <v>992.89</v>
      </c>
      <c r="I175" s="5">
        <v>24429.73</v>
      </c>
      <c r="K175" s="5">
        <v>9.1999999999999998E-2</v>
      </c>
      <c r="L175" s="5">
        <v>8.0000000000000004E-4</v>
      </c>
      <c r="M175" s="5">
        <v>15074.216</v>
      </c>
      <c r="N175" s="6">
        <v>6.0100000000000001E-2</v>
      </c>
      <c r="O175" s="5">
        <v>12.006</v>
      </c>
      <c r="P175" s="6">
        <v>0.1046</v>
      </c>
      <c r="Q175" s="5">
        <v>251303.894</v>
      </c>
      <c r="R175" s="1" t="s">
        <v>44</v>
      </c>
      <c r="S175" s="1" t="s">
        <v>94</v>
      </c>
      <c r="T175" s="1" t="s">
        <v>546</v>
      </c>
      <c r="V175" s="1" t="s">
        <v>140</v>
      </c>
      <c r="Y175" s="1" t="s">
        <v>247</v>
      </c>
      <c r="Z175" s="1" t="str">
        <f t="shared" si="6"/>
        <v>492 A4</v>
      </c>
      <c r="AA175" s="3">
        <f>IF(INDEX('CAMD Facility Data 2023'!$AA$2:$AE$10000,MATCH(Z175,'CAMD Facility Data 2023'!$AE$2:$AE$10000,0),1)&gt;0,INDEX('CAMD Facility Data 2023'!$AA$2:$AE$10000,MATCH(Z175,'CAMD Facility Data 2023'!$AE$2:$AE$10000,0),1),"")</f>
        <v>45015</v>
      </c>
      <c r="AB175" s="5">
        <f>IF(INDEX('CAMD Facility Data 2023'!$AC$2:$AE$10000,MATCH(Z175,'CAMD Facility Data 2023'!$AE$2:$AE$10000,0),1)&gt;0,INDEX('CAMD Facility Data 2023'!$AC$2:$AE$10000,MATCH(Z175,'CAMD Facility Data 2023'!$AE$2:$AE$10000,0),1),"")</f>
        <v>298.7</v>
      </c>
      <c r="AC175" s="1" t="str">
        <f>IF(INDEX('CAMD Facility Data 2023'!$AE$2:$AG$10000,MATCH(Z175,'CAMD Facility Data 2023'!$AE$2:$AE$10000,0),3)&gt;0,INDEX('CAMD Facility Data 2023'!$AE$2:$AG$10000,MATCH(Z175,'CAMD Facility Data 2023'!$AE$2:$AE$10000,0),3),"")</f>
        <v/>
      </c>
      <c r="AD175" s="20">
        <f t="shared" si="7"/>
        <v>0.98290075248477982</v>
      </c>
      <c r="AE175" s="25">
        <f t="shared" si="8"/>
        <v>9.6041711189889828E-2</v>
      </c>
    </row>
    <row r="176" spans="1:31" x14ac:dyDescent="0.2">
      <c r="A176" s="1" t="s">
        <v>516</v>
      </c>
      <c r="B176" s="1" t="s">
        <v>529</v>
      </c>
      <c r="C176" s="1">
        <v>492</v>
      </c>
      <c r="D176" s="1" t="s">
        <v>549</v>
      </c>
      <c r="F176" s="1">
        <v>2023</v>
      </c>
      <c r="G176" s="5">
        <v>1104</v>
      </c>
      <c r="H176" s="5">
        <v>978.97</v>
      </c>
      <c r="I176" s="5">
        <v>23784.54</v>
      </c>
      <c r="K176" s="5">
        <v>5.3999999999999999E-2</v>
      </c>
      <c r="L176" s="5">
        <v>2.0000000000000001E-4</v>
      </c>
      <c r="M176" s="5">
        <v>13923.416999999999</v>
      </c>
      <c r="N176" s="6">
        <v>0.06</v>
      </c>
      <c r="O176" s="5">
        <v>9.0969999999999995</v>
      </c>
      <c r="P176" s="6">
        <v>8.5000000000000006E-2</v>
      </c>
      <c r="Q176" s="5">
        <v>232248.02100000001</v>
      </c>
      <c r="R176" s="1" t="s">
        <v>44</v>
      </c>
      <c r="S176" s="1" t="s">
        <v>94</v>
      </c>
      <c r="T176" s="1" t="s">
        <v>550</v>
      </c>
      <c r="V176" s="1" t="s">
        <v>140</v>
      </c>
      <c r="Y176" s="1" t="s">
        <v>247</v>
      </c>
      <c r="Z176" s="1" t="str">
        <f t="shared" si="6"/>
        <v>492 A5</v>
      </c>
      <c r="AA176" s="3">
        <f>IF(INDEX('CAMD Facility Data 2023'!$AA$2:$AE$10000,MATCH(Z176,'CAMD Facility Data 2023'!$AE$2:$AE$10000,0),1)&gt;0,INDEX('CAMD Facility Data 2023'!$AA$2:$AE$10000,MATCH(Z176,'CAMD Facility Data 2023'!$AE$2:$AE$10000,0),1),"")</f>
        <v>45014</v>
      </c>
      <c r="AB176" s="5">
        <f>IF(INDEX('CAMD Facility Data 2023'!$AC$2:$AE$10000,MATCH(Z176,'CAMD Facility Data 2023'!$AE$2:$AE$10000,0),1)&gt;0,INDEX('CAMD Facility Data 2023'!$AC$2:$AE$10000,MATCH(Z176,'CAMD Facility Data 2023'!$AE$2:$AE$10000,0),1),"")</f>
        <v>298.7</v>
      </c>
      <c r="AC176" s="1" t="str">
        <f>IF(INDEX('CAMD Facility Data 2023'!$AE$2:$AG$10000,MATCH(Z176,'CAMD Facility Data 2023'!$AE$2:$AE$10000,0),3)&gt;0,INDEX('CAMD Facility Data 2023'!$AE$2:$AG$10000,MATCH(Z176,'CAMD Facility Data 2023'!$AE$2:$AE$10000,0),3),"")</f>
        <v/>
      </c>
      <c r="AD176" s="20">
        <f t="shared" si="7"/>
        <v>0.76495067804548667</v>
      </c>
      <c r="AE176" s="25">
        <f t="shared" si="8"/>
        <v>8.8759059807109353E-2</v>
      </c>
    </row>
    <row r="177" spans="1:31" x14ac:dyDescent="0.2">
      <c r="A177" s="1" t="s">
        <v>516</v>
      </c>
      <c r="B177" s="1" t="s">
        <v>529</v>
      </c>
      <c r="C177" s="1">
        <v>492</v>
      </c>
      <c r="D177" s="1" t="s">
        <v>553</v>
      </c>
      <c r="F177" s="1">
        <v>2023</v>
      </c>
      <c r="G177" s="5">
        <v>1015</v>
      </c>
      <c r="H177" s="5">
        <v>873.8</v>
      </c>
      <c r="I177" s="5">
        <v>21218.47</v>
      </c>
      <c r="K177" s="5">
        <v>0.08</v>
      </c>
      <c r="L177" s="5">
        <v>8.0000000000000004E-4</v>
      </c>
      <c r="M177" s="5">
        <v>13187.3</v>
      </c>
      <c r="N177" s="6">
        <v>6.0499999999999998E-2</v>
      </c>
      <c r="O177" s="5">
        <v>11.063000000000001</v>
      </c>
      <c r="P177" s="6">
        <v>0.1094</v>
      </c>
      <c r="Q177" s="5">
        <v>219358.065</v>
      </c>
      <c r="R177" s="1" t="s">
        <v>44</v>
      </c>
      <c r="S177" s="1" t="s">
        <v>94</v>
      </c>
      <c r="T177" s="1" t="s">
        <v>554</v>
      </c>
      <c r="V177" s="1" t="s">
        <v>140</v>
      </c>
      <c r="Y177" s="1" t="s">
        <v>247</v>
      </c>
      <c r="Z177" s="1" t="str">
        <f t="shared" si="6"/>
        <v>492 A6</v>
      </c>
      <c r="AA177" s="3">
        <f>IF(INDEX('CAMD Facility Data 2023'!$AA$2:$AE$10000,MATCH(Z177,'CAMD Facility Data 2023'!$AE$2:$AE$10000,0),1)&gt;0,INDEX('CAMD Facility Data 2023'!$AA$2:$AE$10000,MATCH(Z177,'CAMD Facility Data 2023'!$AE$2:$AE$10000,0),1),"")</f>
        <v>45050</v>
      </c>
      <c r="AB177" s="5">
        <f>IF(INDEX('CAMD Facility Data 2023'!$AC$2:$AE$10000,MATCH(Z177,'CAMD Facility Data 2023'!$AE$2:$AE$10000,0),1)&gt;0,INDEX('CAMD Facility Data 2023'!$AC$2:$AE$10000,MATCH(Z177,'CAMD Facility Data 2023'!$AE$2:$AE$10000,0),1),"")</f>
        <v>298.7</v>
      </c>
      <c r="AC177" s="1" t="str">
        <f>IF(INDEX('CAMD Facility Data 2023'!$AE$2:$AG$10000,MATCH(Z177,'CAMD Facility Data 2023'!$AE$2:$AE$10000,0),3)&gt;0,INDEX('CAMD Facility Data 2023'!$AE$2:$AG$10000,MATCH(Z177,'CAMD Facility Data 2023'!$AE$2:$AE$10000,0),3),"")</f>
        <v/>
      </c>
      <c r="AD177" s="20">
        <f t="shared" si="7"/>
        <v>1.0427707558556294</v>
      </c>
      <c r="AE177" s="25">
        <f t="shared" si="8"/>
        <v>8.383285905590894E-2</v>
      </c>
    </row>
    <row r="178" spans="1:31" x14ac:dyDescent="0.2">
      <c r="A178" s="1" t="s">
        <v>516</v>
      </c>
      <c r="B178" s="1" t="s">
        <v>557</v>
      </c>
      <c r="C178" s="1">
        <v>525</v>
      </c>
      <c r="D178" s="1" t="s">
        <v>558</v>
      </c>
      <c r="F178" s="1">
        <v>2023</v>
      </c>
      <c r="G178" s="5">
        <v>8036</v>
      </c>
      <c r="H178" s="5">
        <v>8025.85</v>
      </c>
      <c r="I178" s="5">
        <v>1125436.46</v>
      </c>
      <c r="K178" s="5">
        <v>683.49</v>
      </c>
      <c r="L178" s="5">
        <v>0.11459999999999999</v>
      </c>
      <c r="M178" s="5">
        <v>1236863.602</v>
      </c>
      <c r="N178" s="6">
        <v>0.10299999999999999</v>
      </c>
      <c r="O178" s="5">
        <v>326.38400000000001</v>
      </c>
      <c r="P178" s="6">
        <v>5.4600000000000003E-2</v>
      </c>
      <c r="Q178" s="5">
        <v>12055202.089</v>
      </c>
      <c r="R178" s="1" t="s">
        <v>55</v>
      </c>
      <c r="S178" s="1" t="s">
        <v>562</v>
      </c>
      <c r="T178" s="1" t="s">
        <v>89</v>
      </c>
      <c r="U178" s="1" t="s">
        <v>212</v>
      </c>
      <c r="V178" s="1" t="s">
        <v>563</v>
      </c>
      <c r="W178" s="1" t="s">
        <v>232</v>
      </c>
      <c r="Y178" s="1" t="s">
        <v>236</v>
      </c>
      <c r="Z178" s="1" t="str">
        <f t="shared" si="6"/>
        <v>525 H1</v>
      </c>
      <c r="AA178" s="3">
        <f>IF(INDEX('CAMD Facility Data 2023'!$AA$2:$AE$10000,MATCH(Z178,'CAMD Facility Data 2023'!$AE$2:$AE$10000,0),1)&gt;0,INDEX('CAMD Facility Data 2023'!$AA$2:$AE$10000,MATCH(Z178,'CAMD Facility Data 2023'!$AE$2:$AE$10000,0),1),"")</f>
        <v>23924</v>
      </c>
      <c r="AB178" s="5">
        <f>IF(INDEX('CAMD Facility Data 2023'!$AC$2:$AE$10000,MATCH(Z178,'CAMD Facility Data 2023'!$AE$2:$AE$10000,0),1)&gt;0,INDEX('CAMD Facility Data 2023'!$AC$2:$AE$10000,MATCH(Z178,'CAMD Facility Data 2023'!$AE$2:$AE$10000,0),1),"")</f>
        <v>2680</v>
      </c>
      <c r="AC178" s="1" t="str">
        <f>IF(INDEX('CAMD Facility Data 2023'!$AE$2:$AG$10000,MATCH(Z178,'CAMD Facility Data 2023'!$AE$2:$AE$10000,0),3)&gt;0,INDEX('CAMD Facility Data 2023'!$AE$2:$AG$10000,MATCH(Z178,'CAMD Facility Data 2023'!$AE$2:$AE$10000,0),3),"")</f>
        <v>Y</v>
      </c>
      <c r="AD178" s="20">
        <f t="shared" si="7"/>
        <v>0.58001319772419668</v>
      </c>
      <c r="AE178" s="25">
        <f t="shared" si="8"/>
        <v>0.51349426195222514</v>
      </c>
    </row>
    <row r="179" spans="1:31" x14ac:dyDescent="0.2">
      <c r="A179" s="1" t="s">
        <v>516</v>
      </c>
      <c r="B179" s="1" t="s">
        <v>557</v>
      </c>
      <c r="C179" s="1">
        <v>525</v>
      </c>
      <c r="D179" s="1" t="s">
        <v>565</v>
      </c>
      <c r="F179" s="1">
        <v>2023</v>
      </c>
      <c r="G179" s="5">
        <v>7682</v>
      </c>
      <c r="H179" s="5">
        <v>7664.82</v>
      </c>
      <c r="I179" s="5">
        <v>1601032.18</v>
      </c>
      <c r="K179" s="5">
        <v>998.20299999999997</v>
      </c>
      <c r="L179" s="5">
        <v>0.1237</v>
      </c>
      <c r="M179" s="5">
        <v>1689214.5530000001</v>
      </c>
      <c r="N179" s="6">
        <v>0.10290000000000001</v>
      </c>
      <c r="O179" s="5">
        <v>428.21600000000001</v>
      </c>
      <c r="P179" s="6">
        <v>5.2200000000000003E-2</v>
      </c>
      <c r="Q179" s="5">
        <v>16464094.305</v>
      </c>
      <c r="R179" s="1" t="s">
        <v>55</v>
      </c>
      <c r="S179" s="1" t="s">
        <v>94</v>
      </c>
      <c r="T179" s="1" t="s">
        <v>43</v>
      </c>
      <c r="U179" s="1" t="s">
        <v>212</v>
      </c>
      <c r="V179" s="1" t="s">
        <v>301</v>
      </c>
      <c r="W179" s="1" t="s">
        <v>232</v>
      </c>
      <c r="Y179" s="1" t="s">
        <v>236</v>
      </c>
      <c r="Z179" s="1" t="str">
        <f t="shared" si="6"/>
        <v>525 H2</v>
      </c>
      <c r="AA179" s="3">
        <f>IF(INDEX('CAMD Facility Data 2023'!$AA$2:$AE$10000,MATCH(Z179,'CAMD Facility Data 2023'!$AE$2:$AE$10000,0),1)&gt;0,INDEX('CAMD Facility Data 2023'!$AA$2:$AE$10000,MATCH(Z179,'CAMD Facility Data 2023'!$AE$2:$AE$10000,0),1),"")</f>
        <v>28004</v>
      </c>
      <c r="AB179" s="5">
        <f>IF(INDEX('CAMD Facility Data 2023'!$AC$2:$AE$10000,MATCH(Z179,'CAMD Facility Data 2023'!$AE$2:$AE$10000,0),1)&gt;0,INDEX('CAMD Facility Data 2023'!$AC$2:$AE$10000,MATCH(Z179,'CAMD Facility Data 2023'!$AE$2:$AE$10000,0),1),"")</f>
        <v>3060</v>
      </c>
      <c r="AC179" s="1" t="str">
        <f>IF(INDEX('CAMD Facility Data 2023'!$AE$2:$AG$10000,MATCH(Z179,'CAMD Facility Data 2023'!$AE$2:$AE$10000,0),3)&gt;0,INDEX('CAMD Facility Data 2023'!$AE$2:$AG$10000,MATCH(Z179,'CAMD Facility Data 2023'!$AE$2:$AE$10000,0),3),"")</f>
        <v>Y</v>
      </c>
      <c r="AD179" s="20">
        <f t="shared" si="7"/>
        <v>0.53492491325189984</v>
      </c>
      <c r="AE179" s="25">
        <f t="shared" si="8"/>
        <v>0.61420353601486255</v>
      </c>
    </row>
    <row r="180" spans="1:31" x14ac:dyDescent="0.2">
      <c r="A180" s="1" t="s">
        <v>32</v>
      </c>
      <c r="B180" s="1" t="s">
        <v>568</v>
      </c>
      <c r="C180" s="1">
        <v>533</v>
      </c>
      <c r="D180" s="1" t="s">
        <v>569</v>
      </c>
      <c r="F180" s="1">
        <v>2023</v>
      </c>
      <c r="G180" s="5">
        <v>2967</v>
      </c>
      <c r="H180" s="5">
        <v>2823.81</v>
      </c>
      <c r="I180" s="5">
        <v>279862.31</v>
      </c>
      <c r="K180" s="5">
        <v>0.997</v>
      </c>
      <c r="L180" s="5">
        <v>1E-3</v>
      </c>
      <c r="M180" s="5">
        <v>181992.68299999999</v>
      </c>
      <c r="N180" s="6">
        <v>5.8999999999999997E-2</v>
      </c>
      <c r="O180" s="5">
        <v>67.697999999999993</v>
      </c>
      <c r="P180" s="6">
        <v>4.7600000000000003E-2</v>
      </c>
      <c r="Q180" s="5">
        <v>3060619.19</v>
      </c>
      <c r="R180" s="1" t="s">
        <v>44</v>
      </c>
      <c r="S180" s="1" t="s">
        <v>94</v>
      </c>
      <c r="T180" s="1" t="s">
        <v>71</v>
      </c>
      <c r="V180" s="1" t="s">
        <v>183</v>
      </c>
      <c r="Y180" s="1" t="s">
        <v>35</v>
      </c>
      <c r="Z180" s="1" t="str">
        <f t="shared" si="6"/>
        <v>533 **4</v>
      </c>
      <c r="AA180" s="3">
        <f>IF(INDEX('CAMD Facility Data 2023'!$AA$2:$AE$10000,MATCH(Z180,'CAMD Facility Data 2023'!$AE$2:$AE$10000,0),1)&gt;0,INDEX('CAMD Facility Data 2023'!$AA$2:$AE$10000,MATCH(Z180,'CAMD Facility Data 2023'!$AE$2:$AE$10000,0),1),"")</f>
        <v>35278</v>
      </c>
      <c r="AB180" s="5">
        <f>IF(INDEX('CAMD Facility Data 2023'!$AC$2:$AE$10000,MATCH(Z180,'CAMD Facility Data 2023'!$AE$2:$AE$10000,0),1)&gt;0,INDEX('CAMD Facility Data 2023'!$AC$2:$AE$10000,MATCH(Z180,'CAMD Facility Data 2023'!$AE$2:$AE$10000,0),1),"")</f>
        <v>1380</v>
      </c>
      <c r="AC180" s="1" t="str">
        <f>IF(INDEX('CAMD Facility Data 2023'!$AE$2:$AG$10000,MATCH(Z180,'CAMD Facility Data 2023'!$AE$2:$AE$10000,0),3)&gt;0,INDEX('CAMD Facility Data 2023'!$AE$2:$AG$10000,MATCH(Z180,'CAMD Facility Data 2023'!$AE$2:$AE$10000,0),3),"")</f>
        <v/>
      </c>
      <c r="AD180" s="20">
        <f t="shared" si="7"/>
        <v>0.4837950490725243</v>
      </c>
      <c r="AE180" s="25">
        <f t="shared" si="8"/>
        <v>0.25317808136456887</v>
      </c>
    </row>
    <row r="181" spans="1:31" x14ac:dyDescent="0.2">
      <c r="A181" s="1" t="s">
        <v>32</v>
      </c>
      <c r="B181" s="1" t="s">
        <v>568</v>
      </c>
      <c r="C181" s="1">
        <v>533</v>
      </c>
      <c r="D181" s="1" t="s">
        <v>573</v>
      </c>
      <c r="F181" s="1">
        <v>2023</v>
      </c>
      <c r="G181" s="5">
        <v>6757</v>
      </c>
      <c r="H181" s="5">
        <v>6735.28</v>
      </c>
      <c r="I181" s="5">
        <v>1109012.79</v>
      </c>
      <c r="K181" s="5">
        <v>3.5979999999999999</v>
      </c>
      <c r="L181" s="5">
        <v>1E-3</v>
      </c>
      <c r="M181" s="5">
        <v>712686.49800000002</v>
      </c>
      <c r="N181" s="6">
        <v>5.8999999999999997E-2</v>
      </c>
      <c r="O181" s="5">
        <v>71.287999999999997</v>
      </c>
      <c r="P181" s="6">
        <v>1.26E-2</v>
      </c>
      <c r="Q181" s="5">
        <v>11992393.369999999</v>
      </c>
      <c r="R181" s="1" t="s">
        <v>44</v>
      </c>
      <c r="T181" s="1" t="s">
        <v>71</v>
      </c>
      <c r="V181" s="1" t="s">
        <v>64</v>
      </c>
      <c r="Y181" s="1" t="s">
        <v>35</v>
      </c>
      <c r="Z181" s="1" t="str">
        <f t="shared" si="6"/>
        <v>533 **V1</v>
      </c>
      <c r="AA181" s="3">
        <f>IF(INDEX('CAMD Facility Data 2023'!$AA$2:$AE$10000,MATCH(Z181,'CAMD Facility Data 2023'!$AE$2:$AE$10000,0),1)&gt;0,INDEX('CAMD Facility Data 2023'!$AA$2:$AE$10000,MATCH(Z181,'CAMD Facility Data 2023'!$AE$2:$AE$10000,0),1),"")</f>
        <v>37098</v>
      </c>
      <c r="AB181" s="5">
        <f>IF(INDEX('CAMD Facility Data 2023'!$AC$2:$AE$10000,MATCH(Z181,'CAMD Facility Data 2023'!$AE$2:$AE$10000,0),1)&gt;0,INDEX('CAMD Facility Data 2023'!$AC$2:$AE$10000,MATCH(Z181,'CAMD Facility Data 2023'!$AE$2:$AE$10000,0),1),"")</f>
        <v>2100</v>
      </c>
      <c r="AC181" s="1" t="str">
        <f>IF(INDEX('CAMD Facility Data 2023'!$AE$2:$AG$10000,MATCH(Z181,'CAMD Facility Data 2023'!$AE$2:$AE$10000,0),3)&gt;0,INDEX('CAMD Facility Data 2023'!$AE$2:$AG$10000,MATCH(Z181,'CAMD Facility Data 2023'!$AE$2:$AE$10000,0),3),"")</f>
        <v>Y</v>
      </c>
      <c r="AD181" s="20">
        <f t="shared" si="7"/>
        <v>0.1285611863863175</v>
      </c>
      <c r="AE181" s="25">
        <f t="shared" si="8"/>
        <v>0.65190222711459012</v>
      </c>
    </row>
    <row r="182" spans="1:31" x14ac:dyDescent="0.2">
      <c r="A182" s="1" t="s">
        <v>32</v>
      </c>
      <c r="B182" s="1" t="s">
        <v>568</v>
      </c>
      <c r="C182" s="1">
        <v>533</v>
      </c>
      <c r="D182" s="1" t="s">
        <v>575</v>
      </c>
      <c r="F182" s="1">
        <v>2023</v>
      </c>
      <c r="G182" s="5">
        <v>6892</v>
      </c>
      <c r="H182" s="5">
        <v>6863.78</v>
      </c>
      <c r="I182" s="5">
        <v>1145565.1599999999</v>
      </c>
      <c r="K182" s="5">
        <v>3.5489999999999999</v>
      </c>
      <c r="L182" s="5">
        <v>1E-3</v>
      </c>
      <c r="M182" s="5">
        <v>702947.92200000002</v>
      </c>
      <c r="N182" s="6">
        <v>5.8999999999999997E-2</v>
      </c>
      <c r="O182" s="5">
        <v>67.549000000000007</v>
      </c>
      <c r="P182" s="6">
        <v>1.2E-2</v>
      </c>
      <c r="Q182" s="5">
        <v>11828344.075999999</v>
      </c>
      <c r="R182" s="1" t="s">
        <v>44</v>
      </c>
      <c r="T182" s="1" t="s">
        <v>71</v>
      </c>
      <c r="V182" s="1" t="s">
        <v>64</v>
      </c>
      <c r="Y182" s="1" t="s">
        <v>35</v>
      </c>
      <c r="Z182" s="1" t="str">
        <f t="shared" si="6"/>
        <v>533 **V2</v>
      </c>
      <c r="AA182" s="3">
        <f>IF(INDEX('CAMD Facility Data 2023'!$AA$2:$AE$10000,MATCH(Z182,'CAMD Facility Data 2023'!$AE$2:$AE$10000,0),1)&gt;0,INDEX('CAMD Facility Data 2023'!$AA$2:$AE$10000,MATCH(Z182,'CAMD Facility Data 2023'!$AE$2:$AE$10000,0),1),"")</f>
        <v>37113</v>
      </c>
      <c r="AB182" s="5">
        <f>IF(INDEX('CAMD Facility Data 2023'!$AC$2:$AE$10000,MATCH(Z182,'CAMD Facility Data 2023'!$AE$2:$AE$10000,0),1)&gt;0,INDEX('CAMD Facility Data 2023'!$AC$2:$AE$10000,MATCH(Z182,'CAMD Facility Data 2023'!$AE$2:$AE$10000,0),1),"")</f>
        <v>2100</v>
      </c>
      <c r="AC182" s="1" t="str">
        <f>IF(INDEX('CAMD Facility Data 2023'!$AE$2:$AG$10000,MATCH(Z182,'CAMD Facility Data 2023'!$AE$2:$AE$10000,0),3)&gt;0,INDEX('CAMD Facility Data 2023'!$AE$2:$AG$10000,MATCH(Z182,'CAMD Facility Data 2023'!$AE$2:$AE$10000,0),3),"")</f>
        <v>Y</v>
      </c>
      <c r="AD182" s="20">
        <f t="shared" si="7"/>
        <v>0.11793130999200431</v>
      </c>
      <c r="AE182" s="25">
        <f t="shared" si="8"/>
        <v>0.642984565992607</v>
      </c>
    </row>
    <row r="183" spans="1:31" x14ac:dyDescent="0.2">
      <c r="A183" s="1" t="s">
        <v>577</v>
      </c>
      <c r="B183" s="1" t="s">
        <v>578</v>
      </c>
      <c r="C183" s="1">
        <v>544</v>
      </c>
      <c r="D183" s="1">
        <v>11</v>
      </c>
      <c r="F183" s="1">
        <v>2023</v>
      </c>
      <c r="G183" s="5">
        <v>46</v>
      </c>
      <c r="H183" s="5">
        <v>28.36</v>
      </c>
      <c r="I183" s="5">
        <v>843.01</v>
      </c>
      <c r="K183" s="5">
        <v>0.19500000000000001</v>
      </c>
      <c r="L183" s="5">
        <v>3.5299999999999998E-2</v>
      </c>
      <c r="M183" s="5">
        <v>880.8</v>
      </c>
      <c r="N183" s="6">
        <v>7.8200000000000006E-2</v>
      </c>
      <c r="O183" s="5">
        <v>4.1059999999999999</v>
      </c>
      <c r="P183" s="6">
        <v>0.88829999999999998</v>
      </c>
      <c r="Q183" s="5">
        <v>11344</v>
      </c>
      <c r="R183" s="1" t="s">
        <v>44</v>
      </c>
      <c r="S183" s="1" t="s">
        <v>94</v>
      </c>
      <c r="T183" s="1" t="s">
        <v>93</v>
      </c>
      <c r="V183" s="1" t="s">
        <v>95</v>
      </c>
      <c r="Y183" s="1" t="s">
        <v>579</v>
      </c>
      <c r="Z183" s="1" t="str">
        <f t="shared" si="6"/>
        <v>544 11</v>
      </c>
      <c r="AA183" s="3">
        <f>IF(INDEX('CAMD Facility Data 2023'!$AA$2:$AE$10000,MATCH(Z183,'CAMD Facility Data 2023'!$AE$2:$AE$10000,0),1)&gt;0,INDEX('CAMD Facility Data 2023'!$AA$2:$AE$10000,MATCH(Z183,'CAMD Facility Data 2023'!$AE$2:$AE$10000,0),1),"")</f>
        <v>35247</v>
      </c>
      <c r="AB183" s="5">
        <f>IF(INDEX('CAMD Facility Data 2023'!$AC$2:$AE$10000,MATCH(Z183,'CAMD Facility Data 2023'!$AE$2:$AE$10000,0),1)&gt;0,INDEX('CAMD Facility Data 2023'!$AC$2:$AE$10000,MATCH(Z183,'CAMD Facility Data 2023'!$AE$2:$AE$10000,0),1),"")</f>
        <v>400</v>
      </c>
      <c r="AC183" s="1" t="str">
        <f>IF(INDEX('CAMD Facility Data 2023'!$AE$2:$AG$10000,MATCH(Z183,'CAMD Facility Data 2023'!$AE$2:$AE$10000,0),3)&gt;0,INDEX('CAMD Facility Data 2023'!$AE$2:$AG$10000,MATCH(Z183,'CAMD Facility Data 2023'!$AE$2:$AE$10000,0),3),"")</f>
        <v/>
      </c>
      <c r="AD183" s="20">
        <f t="shared" si="7"/>
        <v>9.7412842077792678</v>
      </c>
      <c r="AE183" s="25">
        <f t="shared" si="8"/>
        <v>3.2374429223744291E-3</v>
      </c>
    </row>
    <row r="184" spans="1:31" x14ac:dyDescent="0.2">
      <c r="A184" s="1" t="s">
        <v>577</v>
      </c>
      <c r="B184" s="1" t="s">
        <v>578</v>
      </c>
      <c r="C184" s="1">
        <v>544</v>
      </c>
      <c r="D184" s="1">
        <v>12</v>
      </c>
      <c r="F184" s="1">
        <v>2023</v>
      </c>
      <c r="G184" s="5">
        <v>57</v>
      </c>
      <c r="H184" s="5">
        <v>31.98</v>
      </c>
      <c r="I184" s="5">
        <v>876.26</v>
      </c>
      <c r="K184" s="5">
        <v>0.22600000000000001</v>
      </c>
      <c r="L184" s="5">
        <v>3.4200000000000001E-2</v>
      </c>
      <c r="M184" s="5">
        <v>999.6</v>
      </c>
      <c r="N184" s="6">
        <v>7.7499999999999999E-2</v>
      </c>
      <c r="O184" s="5">
        <v>4.6269999999999998</v>
      </c>
      <c r="P184" s="6">
        <v>0.89</v>
      </c>
      <c r="Q184" s="5">
        <v>12792</v>
      </c>
      <c r="R184" s="1" t="s">
        <v>44</v>
      </c>
      <c r="S184" s="1" t="s">
        <v>94</v>
      </c>
      <c r="T184" s="1" t="s">
        <v>93</v>
      </c>
      <c r="V184" s="1" t="s">
        <v>95</v>
      </c>
      <c r="Y184" s="1" t="s">
        <v>579</v>
      </c>
      <c r="Z184" s="1" t="str">
        <f t="shared" si="6"/>
        <v>544 12</v>
      </c>
      <c r="AA184" s="3">
        <f>IF(INDEX('CAMD Facility Data 2023'!$AA$2:$AE$10000,MATCH(Z184,'CAMD Facility Data 2023'!$AE$2:$AE$10000,0),1)&gt;0,INDEX('CAMD Facility Data 2023'!$AA$2:$AE$10000,MATCH(Z184,'CAMD Facility Data 2023'!$AE$2:$AE$10000,0),1),"")</f>
        <v>35247</v>
      </c>
      <c r="AB184" s="5">
        <f>IF(INDEX('CAMD Facility Data 2023'!$AC$2:$AE$10000,MATCH(Z184,'CAMD Facility Data 2023'!$AE$2:$AE$10000,0),1)&gt;0,INDEX('CAMD Facility Data 2023'!$AC$2:$AE$10000,MATCH(Z184,'CAMD Facility Data 2023'!$AE$2:$AE$10000,0),1),"")</f>
        <v>400</v>
      </c>
      <c r="AC184" s="1" t="str">
        <f>IF(INDEX('CAMD Facility Data 2023'!$AE$2:$AG$10000,MATCH(Z184,'CAMD Facility Data 2023'!$AE$2:$AE$10000,0),3)&gt;0,INDEX('CAMD Facility Data 2023'!$AE$2:$AG$10000,MATCH(Z184,'CAMD Facility Data 2023'!$AE$2:$AE$10000,0),3),"")</f>
        <v/>
      </c>
      <c r="AD184" s="20">
        <f t="shared" si="7"/>
        <v>10.560792458859243</v>
      </c>
      <c r="AE184" s="25">
        <f t="shared" si="8"/>
        <v>3.6506849315068495E-3</v>
      </c>
    </row>
    <row r="185" spans="1:31" x14ac:dyDescent="0.2">
      <c r="A185" s="1" t="s">
        <v>577</v>
      </c>
      <c r="B185" s="1" t="s">
        <v>578</v>
      </c>
      <c r="C185" s="1">
        <v>544</v>
      </c>
      <c r="D185" s="1">
        <v>13</v>
      </c>
      <c r="F185" s="1">
        <v>2023</v>
      </c>
      <c r="G185" s="5">
        <v>36</v>
      </c>
      <c r="H185" s="5">
        <v>20.79</v>
      </c>
      <c r="I185" s="5">
        <v>562.6</v>
      </c>
      <c r="K185" s="5">
        <v>0.14799999999999999</v>
      </c>
      <c r="L185" s="5">
        <v>3.5000000000000003E-2</v>
      </c>
      <c r="M185" s="5">
        <v>651.20000000000005</v>
      </c>
      <c r="N185" s="6">
        <v>7.8E-2</v>
      </c>
      <c r="O185" s="5">
        <v>2.879</v>
      </c>
      <c r="P185" s="6">
        <v>0.87290000000000001</v>
      </c>
      <c r="Q185" s="5">
        <v>8316</v>
      </c>
      <c r="R185" s="1" t="s">
        <v>44</v>
      </c>
      <c r="S185" s="1" t="s">
        <v>94</v>
      </c>
      <c r="T185" s="1" t="s">
        <v>93</v>
      </c>
      <c r="V185" s="1" t="s">
        <v>95</v>
      </c>
      <c r="Y185" s="1" t="s">
        <v>579</v>
      </c>
      <c r="Z185" s="1" t="str">
        <f t="shared" si="6"/>
        <v>544 13</v>
      </c>
      <c r="AA185" s="3">
        <f>IF(INDEX('CAMD Facility Data 2023'!$AA$2:$AE$10000,MATCH(Z185,'CAMD Facility Data 2023'!$AE$2:$AE$10000,0),1)&gt;0,INDEX('CAMD Facility Data 2023'!$AA$2:$AE$10000,MATCH(Z185,'CAMD Facility Data 2023'!$AE$2:$AE$10000,0),1),"")</f>
        <v>35247</v>
      </c>
      <c r="AB185" s="5">
        <f>IF(INDEX('CAMD Facility Data 2023'!$AC$2:$AE$10000,MATCH(Z185,'CAMD Facility Data 2023'!$AE$2:$AE$10000,0),1)&gt;0,INDEX('CAMD Facility Data 2023'!$AC$2:$AE$10000,MATCH(Z185,'CAMD Facility Data 2023'!$AE$2:$AE$10000,0),1),"")</f>
        <v>400</v>
      </c>
      <c r="AC185" s="1" t="str">
        <f>IF(INDEX('CAMD Facility Data 2023'!$AE$2:$AG$10000,MATCH(Z185,'CAMD Facility Data 2023'!$AE$2:$AE$10000,0),3)&gt;0,INDEX('CAMD Facility Data 2023'!$AE$2:$AG$10000,MATCH(Z185,'CAMD Facility Data 2023'!$AE$2:$AE$10000,0),3),"")</f>
        <v/>
      </c>
      <c r="AD185" s="20">
        <f t="shared" si="7"/>
        <v>10.234624955563454</v>
      </c>
      <c r="AE185" s="25">
        <f t="shared" si="8"/>
        <v>2.3732876712328765E-3</v>
      </c>
    </row>
    <row r="186" spans="1:31" x14ac:dyDescent="0.2">
      <c r="A186" s="1" t="s">
        <v>577</v>
      </c>
      <c r="B186" s="1" t="s">
        <v>578</v>
      </c>
      <c r="C186" s="1">
        <v>544</v>
      </c>
      <c r="D186" s="1">
        <v>14</v>
      </c>
      <c r="F186" s="1">
        <v>2023</v>
      </c>
      <c r="G186" s="5">
        <v>29</v>
      </c>
      <c r="H186" s="5">
        <v>17.579999999999998</v>
      </c>
      <c r="I186" s="5">
        <v>468.54</v>
      </c>
      <c r="K186" s="5">
        <v>0.129</v>
      </c>
      <c r="L186" s="5">
        <v>3.5000000000000003E-2</v>
      </c>
      <c r="M186" s="5">
        <v>555.4</v>
      </c>
      <c r="N186" s="6">
        <v>7.8100000000000003E-2</v>
      </c>
      <c r="O186" s="5">
        <v>2.613</v>
      </c>
      <c r="P186" s="6">
        <v>0.88170000000000004</v>
      </c>
      <c r="Q186" s="5">
        <v>7032</v>
      </c>
      <c r="R186" s="1" t="s">
        <v>44</v>
      </c>
      <c r="S186" s="1" t="s">
        <v>94</v>
      </c>
      <c r="T186" s="1" t="s">
        <v>93</v>
      </c>
      <c r="V186" s="1" t="s">
        <v>95</v>
      </c>
      <c r="Y186" s="1" t="s">
        <v>579</v>
      </c>
      <c r="Z186" s="1" t="str">
        <f t="shared" si="6"/>
        <v>544 14</v>
      </c>
      <c r="AA186" s="3">
        <f>IF(INDEX('CAMD Facility Data 2023'!$AA$2:$AE$10000,MATCH(Z186,'CAMD Facility Data 2023'!$AE$2:$AE$10000,0),1)&gt;0,INDEX('CAMD Facility Data 2023'!$AA$2:$AE$10000,MATCH(Z186,'CAMD Facility Data 2023'!$AE$2:$AE$10000,0),1),"")</f>
        <v>35247</v>
      </c>
      <c r="AB186" s="5">
        <f>IF(INDEX('CAMD Facility Data 2023'!$AC$2:$AE$10000,MATCH(Z186,'CAMD Facility Data 2023'!$AE$2:$AE$10000,0),1)&gt;0,INDEX('CAMD Facility Data 2023'!$AC$2:$AE$10000,MATCH(Z186,'CAMD Facility Data 2023'!$AE$2:$AE$10000,0),1),"")</f>
        <v>400</v>
      </c>
      <c r="AC186" s="1" t="str">
        <f>IF(INDEX('CAMD Facility Data 2023'!$AE$2:$AG$10000,MATCH(Z186,'CAMD Facility Data 2023'!$AE$2:$AE$10000,0),3)&gt;0,INDEX('CAMD Facility Data 2023'!$AE$2:$AG$10000,MATCH(Z186,'CAMD Facility Data 2023'!$AE$2:$AE$10000,0),3),"")</f>
        <v/>
      </c>
      <c r="AD186" s="20">
        <f t="shared" si="7"/>
        <v>11.153796901011653</v>
      </c>
      <c r="AE186" s="25">
        <f t="shared" si="8"/>
        <v>2.0068493150684932E-3</v>
      </c>
    </row>
    <row r="187" spans="1:31" x14ac:dyDescent="0.2">
      <c r="A187" s="1" t="s">
        <v>577</v>
      </c>
      <c r="B187" s="1" t="s">
        <v>578</v>
      </c>
      <c r="C187" s="1">
        <v>544</v>
      </c>
      <c r="D187" s="1">
        <v>15</v>
      </c>
      <c r="F187" s="1">
        <v>2023</v>
      </c>
      <c r="G187" s="5">
        <v>71</v>
      </c>
      <c r="H187" s="5">
        <v>44.41</v>
      </c>
      <c r="I187" s="5">
        <v>1771.32</v>
      </c>
      <c r="K187" s="5">
        <v>6.0000000000000001E-3</v>
      </c>
      <c r="L187" s="5">
        <v>8.9999999999999998E-4</v>
      </c>
      <c r="M187" s="5">
        <v>1481.5160000000001</v>
      </c>
      <c r="N187" s="6">
        <v>8.1000000000000003E-2</v>
      </c>
      <c r="O187" s="5">
        <v>0.111</v>
      </c>
      <c r="P187" s="6">
        <v>1.01E-2</v>
      </c>
      <c r="Q187" s="5">
        <v>18257.862000000001</v>
      </c>
      <c r="R187" s="1" t="s">
        <v>94</v>
      </c>
      <c r="S187" s="1" t="s">
        <v>44</v>
      </c>
      <c r="T187" s="1" t="s">
        <v>93</v>
      </c>
      <c r="V187" s="1" t="s">
        <v>176</v>
      </c>
      <c r="Y187" s="1" t="s">
        <v>579</v>
      </c>
      <c r="Z187" s="1" t="str">
        <f t="shared" si="6"/>
        <v>544 15</v>
      </c>
      <c r="AA187" s="3">
        <f>IF(INDEX('CAMD Facility Data 2023'!$AA$2:$AE$10000,MATCH(Z187,'CAMD Facility Data 2023'!$AE$2:$AE$10000,0),1)&gt;0,INDEX('CAMD Facility Data 2023'!$AA$2:$AE$10000,MATCH(Z187,'CAMD Facility Data 2023'!$AE$2:$AE$10000,0),1),"")</f>
        <v>40369</v>
      </c>
      <c r="AB187" s="5">
        <f>IF(INDEX('CAMD Facility Data 2023'!$AC$2:$AE$10000,MATCH(Z187,'CAMD Facility Data 2023'!$AE$2:$AE$10000,0),1)&gt;0,INDEX('CAMD Facility Data 2023'!$AC$2:$AE$10000,MATCH(Z187,'CAMD Facility Data 2023'!$AE$2:$AE$10000,0),1),"")</f>
        <v>498</v>
      </c>
      <c r="AC187" s="1" t="str">
        <f>IF(INDEX('CAMD Facility Data 2023'!$AE$2:$AG$10000,MATCH(Z187,'CAMD Facility Data 2023'!$AE$2:$AE$10000,0),3)&gt;0,INDEX('CAMD Facility Data 2023'!$AE$2:$AG$10000,MATCH(Z187,'CAMD Facility Data 2023'!$AE$2:$AE$10000,0),3),"")</f>
        <v>Y</v>
      </c>
      <c r="AD187" s="20">
        <f t="shared" si="7"/>
        <v>0.12533026217735926</v>
      </c>
      <c r="AE187" s="25">
        <f t="shared" si="8"/>
        <v>4.1852024536502179E-3</v>
      </c>
    </row>
    <row r="188" spans="1:31" x14ac:dyDescent="0.2">
      <c r="A188" s="1" t="s">
        <v>577</v>
      </c>
      <c r="B188" s="1" t="s">
        <v>578</v>
      </c>
      <c r="C188" s="1">
        <v>544</v>
      </c>
      <c r="D188" s="1">
        <v>16</v>
      </c>
      <c r="F188" s="1">
        <v>2023</v>
      </c>
      <c r="G188" s="5">
        <v>71</v>
      </c>
      <c r="H188" s="5">
        <v>43.36</v>
      </c>
      <c r="I188" s="5">
        <v>1773.39</v>
      </c>
      <c r="K188" s="5">
        <v>5.0000000000000001E-3</v>
      </c>
      <c r="L188" s="5">
        <v>8.9999999999999998E-4</v>
      </c>
      <c r="M188" s="5">
        <v>1398.9</v>
      </c>
      <c r="N188" s="6">
        <v>7.9200000000000007E-2</v>
      </c>
      <c r="O188" s="5">
        <v>7.3999999999999996E-2</v>
      </c>
      <c r="P188" s="6">
        <v>7.6E-3</v>
      </c>
      <c r="Q188" s="5">
        <v>17392.117999999999</v>
      </c>
      <c r="R188" s="1" t="s">
        <v>94</v>
      </c>
      <c r="S188" s="1" t="s">
        <v>44</v>
      </c>
      <c r="T188" s="1" t="s">
        <v>93</v>
      </c>
      <c r="V188" s="1" t="s">
        <v>176</v>
      </c>
      <c r="Y188" s="1" t="s">
        <v>579</v>
      </c>
      <c r="Z188" s="1" t="str">
        <f t="shared" si="6"/>
        <v>544 16</v>
      </c>
      <c r="AA188" s="3">
        <f>IF(INDEX('CAMD Facility Data 2023'!$AA$2:$AE$10000,MATCH(Z188,'CAMD Facility Data 2023'!$AE$2:$AE$10000,0),1)&gt;0,INDEX('CAMD Facility Data 2023'!$AA$2:$AE$10000,MATCH(Z188,'CAMD Facility Data 2023'!$AE$2:$AE$10000,0),1),"")</f>
        <v>40354</v>
      </c>
      <c r="AB188" s="5">
        <f>IF(INDEX('CAMD Facility Data 2023'!$AC$2:$AE$10000,MATCH(Z188,'CAMD Facility Data 2023'!$AE$2:$AE$10000,0),1)&gt;0,INDEX('CAMD Facility Data 2023'!$AC$2:$AE$10000,MATCH(Z188,'CAMD Facility Data 2023'!$AE$2:$AE$10000,0),1),"")</f>
        <v>498</v>
      </c>
      <c r="AC188" s="1" t="str">
        <f>IF(INDEX('CAMD Facility Data 2023'!$AE$2:$AG$10000,MATCH(Z188,'CAMD Facility Data 2023'!$AE$2:$AE$10000,0),3)&gt;0,INDEX('CAMD Facility Data 2023'!$AE$2:$AG$10000,MATCH(Z188,'CAMD Facility Data 2023'!$AE$2:$AE$10000,0),3),"")</f>
        <v>Y</v>
      </c>
      <c r="AD188" s="20">
        <f t="shared" si="7"/>
        <v>8.3455979790119483E-2</v>
      </c>
      <c r="AE188" s="25">
        <f t="shared" si="8"/>
        <v>3.9867501971355742E-3</v>
      </c>
    </row>
    <row r="189" spans="1:31" x14ac:dyDescent="0.2">
      <c r="A189" s="1" t="s">
        <v>577</v>
      </c>
      <c r="B189" s="1" t="s">
        <v>578</v>
      </c>
      <c r="C189" s="1">
        <v>544</v>
      </c>
      <c r="D189" s="1">
        <v>17</v>
      </c>
      <c r="F189" s="1">
        <v>2023</v>
      </c>
      <c r="G189" s="5">
        <v>34</v>
      </c>
      <c r="H189" s="5">
        <v>23.16</v>
      </c>
      <c r="I189" s="5">
        <v>1012.32</v>
      </c>
      <c r="K189" s="5">
        <v>3.0000000000000001E-3</v>
      </c>
      <c r="L189" s="5">
        <v>1E-3</v>
      </c>
      <c r="M189" s="5">
        <v>817.34</v>
      </c>
      <c r="N189" s="6">
        <v>7.7799999999999994E-2</v>
      </c>
      <c r="O189" s="5">
        <v>4.9000000000000002E-2</v>
      </c>
      <c r="P189" s="6">
        <v>8.0999999999999996E-3</v>
      </c>
      <c r="Q189" s="5">
        <v>10428.726000000001</v>
      </c>
      <c r="R189" s="1" t="s">
        <v>94</v>
      </c>
      <c r="S189" s="1" t="s">
        <v>44</v>
      </c>
      <c r="T189" s="1" t="s">
        <v>93</v>
      </c>
      <c r="V189" s="1" t="s">
        <v>176</v>
      </c>
      <c r="Y189" s="1" t="s">
        <v>579</v>
      </c>
      <c r="Z189" s="1" t="str">
        <f t="shared" si="6"/>
        <v>544 17</v>
      </c>
      <c r="AA189" s="3">
        <f>IF(INDEX('CAMD Facility Data 2023'!$AA$2:$AE$10000,MATCH(Z189,'CAMD Facility Data 2023'!$AE$2:$AE$10000,0),1)&gt;0,INDEX('CAMD Facility Data 2023'!$AA$2:$AE$10000,MATCH(Z189,'CAMD Facility Data 2023'!$AE$2:$AE$10000,0),1),"")</f>
        <v>40339</v>
      </c>
      <c r="AB189" s="5">
        <f>IF(INDEX('CAMD Facility Data 2023'!$AC$2:$AE$10000,MATCH(Z189,'CAMD Facility Data 2023'!$AE$2:$AE$10000,0),1)&gt;0,INDEX('CAMD Facility Data 2023'!$AC$2:$AE$10000,MATCH(Z189,'CAMD Facility Data 2023'!$AE$2:$AE$10000,0),1),"")</f>
        <v>498</v>
      </c>
      <c r="AC189" s="1" t="str">
        <f>IF(INDEX('CAMD Facility Data 2023'!$AE$2:$AG$10000,MATCH(Z189,'CAMD Facility Data 2023'!$AE$2:$AE$10000,0),3)&gt;0,INDEX('CAMD Facility Data 2023'!$AE$2:$AG$10000,MATCH(Z189,'CAMD Facility Data 2023'!$AE$2:$AE$10000,0),3),"")</f>
        <v>Y</v>
      </c>
      <c r="AD189" s="20">
        <f t="shared" si="7"/>
        <v>9.6807333649438915E-2</v>
      </c>
      <c r="AE189" s="25">
        <f t="shared" si="8"/>
        <v>2.3905498707157396E-3</v>
      </c>
    </row>
    <row r="190" spans="1:31" x14ac:dyDescent="0.2">
      <c r="A190" s="1" t="s">
        <v>577</v>
      </c>
      <c r="B190" s="1" t="s">
        <v>578</v>
      </c>
      <c r="C190" s="1">
        <v>544</v>
      </c>
      <c r="D190" s="1">
        <v>18</v>
      </c>
      <c r="F190" s="1">
        <v>2023</v>
      </c>
      <c r="G190" s="5">
        <v>74</v>
      </c>
      <c r="H190" s="5">
        <v>47.49</v>
      </c>
      <c r="I190" s="5">
        <v>1940.98</v>
      </c>
      <c r="K190" s="5">
        <v>6.0000000000000001E-3</v>
      </c>
      <c r="L190" s="5">
        <v>8.9999999999999998E-4</v>
      </c>
      <c r="M190" s="5">
        <v>1598.12</v>
      </c>
      <c r="N190" s="6">
        <v>8.0100000000000005E-2</v>
      </c>
      <c r="O190" s="5">
        <v>9.6000000000000002E-2</v>
      </c>
      <c r="P190" s="6">
        <v>9.1000000000000004E-3</v>
      </c>
      <c r="Q190" s="5">
        <v>19914.494999999999</v>
      </c>
      <c r="R190" s="1" t="s">
        <v>94</v>
      </c>
      <c r="S190" s="1" t="s">
        <v>44</v>
      </c>
      <c r="T190" s="1" t="s">
        <v>93</v>
      </c>
      <c r="V190" s="1" t="s">
        <v>176</v>
      </c>
      <c r="Y190" s="1" t="s">
        <v>579</v>
      </c>
      <c r="Z190" s="1" t="str">
        <f t="shared" si="6"/>
        <v>544 18</v>
      </c>
      <c r="AA190" s="3">
        <f>IF(INDEX('CAMD Facility Data 2023'!$AA$2:$AE$10000,MATCH(Z190,'CAMD Facility Data 2023'!$AE$2:$AE$10000,0),1)&gt;0,INDEX('CAMD Facility Data 2023'!$AA$2:$AE$10000,MATCH(Z190,'CAMD Facility Data 2023'!$AE$2:$AE$10000,0),1),"")</f>
        <v>40330</v>
      </c>
      <c r="AB190" s="5">
        <f>IF(INDEX('CAMD Facility Data 2023'!$AC$2:$AE$10000,MATCH(Z190,'CAMD Facility Data 2023'!$AE$2:$AE$10000,0),1)&gt;0,INDEX('CAMD Facility Data 2023'!$AC$2:$AE$10000,MATCH(Z190,'CAMD Facility Data 2023'!$AE$2:$AE$10000,0),1),"")</f>
        <v>498</v>
      </c>
      <c r="AC190" s="1" t="str">
        <f>IF(INDEX('CAMD Facility Data 2023'!$AE$2:$AG$10000,MATCH(Z190,'CAMD Facility Data 2023'!$AE$2:$AE$10000,0),3)&gt;0,INDEX('CAMD Facility Data 2023'!$AE$2:$AG$10000,MATCH(Z190,'CAMD Facility Data 2023'!$AE$2:$AE$10000,0),3),"")</f>
        <v>Y</v>
      </c>
      <c r="AD190" s="20">
        <f t="shared" si="7"/>
        <v>9.8919102721305732E-2</v>
      </c>
      <c r="AE190" s="25">
        <f t="shared" si="8"/>
        <v>4.5649481487594207E-3</v>
      </c>
    </row>
    <row r="191" spans="1:31" x14ac:dyDescent="0.2">
      <c r="A191" s="1" t="s">
        <v>577</v>
      </c>
      <c r="B191" s="1" t="s">
        <v>593</v>
      </c>
      <c r="C191" s="1">
        <v>546</v>
      </c>
      <c r="D191" s="1">
        <v>5</v>
      </c>
      <c r="F191" s="1">
        <v>2023</v>
      </c>
      <c r="G191" s="5">
        <v>423</v>
      </c>
      <c r="H191" s="5">
        <v>411.99</v>
      </c>
      <c r="I191" s="5">
        <v>19007.990000000002</v>
      </c>
      <c r="K191" s="5">
        <v>9.6769999999999996</v>
      </c>
      <c r="L191" s="5">
        <v>7.4899999999999994E-2</v>
      </c>
      <c r="M191" s="5">
        <v>14826.748</v>
      </c>
      <c r="N191" s="6">
        <v>6.4299999999999996E-2</v>
      </c>
      <c r="O191" s="5">
        <v>9.41</v>
      </c>
      <c r="P191" s="6">
        <v>7.1400000000000005E-2</v>
      </c>
      <c r="Q191" s="5">
        <v>227159.927</v>
      </c>
      <c r="R191" s="1" t="s">
        <v>173</v>
      </c>
      <c r="S191" s="1" t="s">
        <v>44</v>
      </c>
      <c r="T191" s="1" t="s">
        <v>43</v>
      </c>
      <c r="Y191" s="1" t="s">
        <v>594</v>
      </c>
      <c r="Z191" s="1" t="str">
        <f t="shared" si="6"/>
        <v>546 5</v>
      </c>
      <c r="AA191" s="3">
        <f>IF(INDEX('CAMD Facility Data 2023'!$AA$2:$AE$10000,MATCH(Z191,'CAMD Facility Data 2023'!$AE$2:$AE$10000,0),1)&gt;0,INDEX('CAMD Facility Data 2023'!$AA$2:$AE$10000,MATCH(Z191,'CAMD Facility Data 2023'!$AE$2:$AE$10000,0),1),"")</f>
        <v>19725</v>
      </c>
      <c r="AB191" s="5">
        <f>IF(INDEX('CAMD Facility Data 2023'!$AC$2:$AE$10000,MATCH(Z191,'CAMD Facility Data 2023'!$AE$2:$AE$10000,0),1)&gt;0,INDEX('CAMD Facility Data 2023'!$AC$2:$AE$10000,MATCH(Z191,'CAMD Facility Data 2023'!$AE$2:$AE$10000,0),1),"")</f>
        <v>905</v>
      </c>
      <c r="AC191" s="1" t="str">
        <f>IF(INDEX('CAMD Facility Data 2023'!$AE$2:$AG$10000,MATCH(Z191,'CAMD Facility Data 2023'!$AE$2:$AE$10000,0),3)&gt;0,INDEX('CAMD Facility Data 2023'!$AE$2:$AG$10000,MATCH(Z191,'CAMD Facility Data 2023'!$AE$2:$AE$10000,0),3),"")</f>
        <v/>
      </c>
      <c r="AD191" s="20">
        <f t="shared" si="7"/>
        <v>0.99010994850060419</v>
      </c>
      <c r="AE191" s="25">
        <f t="shared" si="8"/>
        <v>2.8653589520421806E-2</v>
      </c>
    </row>
    <row r="192" spans="1:31" x14ac:dyDescent="0.2">
      <c r="A192" s="1" t="s">
        <v>577</v>
      </c>
      <c r="B192" s="1" t="s">
        <v>593</v>
      </c>
      <c r="C192" s="1">
        <v>546</v>
      </c>
      <c r="D192" s="1">
        <v>6</v>
      </c>
      <c r="F192" s="1">
        <v>2023</v>
      </c>
      <c r="G192" s="5">
        <v>196</v>
      </c>
      <c r="H192" s="5">
        <v>188.64</v>
      </c>
      <c r="I192" s="5">
        <v>21649.72</v>
      </c>
      <c r="K192" s="5">
        <v>34.712000000000003</v>
      </c>
      <c r="L192" s="5">
        <v>0.2437</v>
      </c>
      <c r="M192" s="5">
        <v>19036.598999999998</v>
      </c>
      <c r="N192" s="6">
        <v>8.1000000000000003E-2</v>
      </c>
      <c r="O192" s="5">
        <v>21.582999999999998</v>
      </c>
      <c r="P192" s="6">
        <v>0.14069999999999999</v>
      </c>
      <c r="Q192" s="5">
        <v>234625.856</v>
      </c>
      <c r="R192" s="1" t="s">
        <v>173</v>
      </c>
      <c r="T192" s="1" t="s">
        <v>43</v>
      </c>
      <c r="Y192" s="1" t="s">
        <v>594</v>
      </c>
      <c r="Z192" s="1" t="str">
        <f t="shared" si="6"/>
        <v>546 6</v>
      </c>
      <c r="AA192" s="3">
        <f>IF(INDEX('CAMD Facility Data 2023'!$AA$2:$AE$10000,MATCH(Z192,'CAMD Facility Data 2023'!$AE$2:$AE$10000,0),1)&gt;0,INDEX('CAMD Facility Data 2023'!$AA$2:$AE$10000,MATCH(Z192,'CAMD Facility Data 2023'!$AE$2:$AE$10000,0),1),"")</f>
        <v>25934</v>
      </c>
      <c r="AB192" s="5">
        <f>IF(INDEX('CAMD Facility Data 2023'!$AC$2:$AE$10000,MATCH(Z192,'CAMD Facility Data 2023'!$AE$2:$AE$10000,0),1)&gt;0,INDEX('CAMD Facility Data 2023'!$AC$2:$AE$10000,MATCH(Z192,'CAMD Facility Data 2023'!$AE$2:$AE$10000,0),1),"")</f>
        <v>4658</v>
      </c>
      <c r="AC192" s="1" t="str">
        <f>IF(INDEX('CAMD Facility Data 2023'!$AE$2:$AG$10000,MATCH(Z192,'CAMD Facility Data 2023'!$AE$2:$AE$10000,0),3)&gt;0,INDEX('CAMD Facility Data 2023'!$AE$2:$AG$10000,MATCH(Z192,'CAMD Facility Data 2023'!$AE$2:$AE$10000,0),3),"")</f>
        <v/>
      </c>
      <c r="AD192" s="20">
        <f t="shared" si="7"/>
        <v>1.9938364098935228</v>
      </c>
      <c r="AE192" s="25">
        <f t="shared" si="8"/>
        <v>5.7500587196182345E-3</v>
      </c>
    </row>
    <row r="193" spans="1:31" x14ac:dyDescent="0.2">
      <c r="A193" s="1" t="s">
        <v>577</v>
      </c>
      <c r="B193" s="1" t="s">
        <v>600</v>
      </c>
      <c r="C193" s="1">
        <v>562</v>
      </c>
      <c r="D193" s="1">
        <v>12</v>
      </c>
      <c r="F193" s="1">
        <v>2023</v>
      </c>
      <c r="G193" s="5">
        <v>67</v>
      </c>
      <c r="H193" s="5">
        <v>47.75</v>
      </c>
      <c r="I193" s="5">
        <v>1912.76</v>
      </c>
      <c r="K193" s="5">
        <v>6.0000000000000001E-3</v>
      </c>
      <c r="L193" s="5">
        <v>1E-3</v>
      </c>
      <c r="M193" s="5">
        <v>1435.1189999999999</v>
      </c>
      <c r="N193" s="6">
        <v>7.7399999999999997E-2</v>
      </c>
      <c r="O193" s="5">
        <v>9.6000000000000002E-2</v>
      </c>
      <c r="P193" s="6">
        <v>7.9000000000000008E-3</v>
      </c>
      <c r="Q193" s="5">
        <v>18585.163</v>
      </c>
      <c r="R193" s="1" t="s">
        <v>94</v>
      </c>
      <c r="S193" s="1" t="s">
        <v>44</v>
      </c>
      <c r="T193" s="1" t="s">
        <v>93</v>
      </c>
      <c r="V193" s="1" t="s">
        <v>611</v>
      </c>
      <c r="Y193" s="1" t="s">
        <v>579</v>
      </c>
      <c r="Z193" s="1" t="str">
        <f t="shared" si="6"/>
        <v>562 12</v>
      </c>
      <c r="AA193" s="3">
        <f>IF(INDEX('CAMD Facility Data 2023'!$AA$2:$AE$10000,MATCH(Z193,'CAMD Facility Data 2023'!$AE$2:$AE$10000,0),1)&gt;0,INDEX('CAMD Facility Data 2023'!$AA$2:$AE$10000,MATCH(Z193,'CAMD Facility Data 2023'!$AE$2:$AE$10000,0),1),"")</f>
        <v>40648</v>
      </c>
      <c r="AB193" s="5">
        <f>IF(INDEX('CAMD Facility Data 2023'!$AC$2:$AE$10000,MATCH(Z193,'CAMD Facility Data 2023'!$AE$2:$AE$10000,0),1)&gt;0,INDEX('CAMD Facility Data 2023'!$AC$2:$AE$10000,MATCH(Z193,'CAMD Facility Data 2023'!$AE$2:$AE$10000,0),1),"")</f>
        <v>474.9</v>
      </c>
      <c r="AC193" s="1" t="str">
        <f>IF(INDEX('CAMD Facility Data 2023'!$AE$2:$AG$10000,MATCH(Z193,'CAMD Facility Data 2023'!$AE$2:$AE$10000,0),3)&gt;0,INDEX('CAMD Facility Data 2023'!$AE$2:$AG$10000,MATCH(Z193,'CAMD Facility Data 2023'!$AE$2:$AE$10000,0),3),"")</f>
        <v>Y</v>
      </c>
      <c r="AD193" s="20">
        <f t="shared" si="7"/>
        <v>0.10037851063384846</v>
      </c>
      <c r="AE193" s="25">
        <f t="shared" si="8"/>
        <v>4.4674540951183186E-3</v>
      </c>
    </row>
    <row r="194" spans="1:31" x14ac:dyDescent="0.2">
      <c r="A194" s="1" t="s">
        <v>577</v>
      </c>
      <c r="B194" s="1" t="s">
        <v>600</v>
      </c>
      <c r="C194" s="1">
        <v>562</v>
      </c>
      <c r="D194" s="1">
        <v>13</v>
      </c>
      <c r="F194" s="1">
        <v>2023</v>
      </c>
      <c r="G194" s="5">
        <v>68</v>
      </c>
      <c r="H194" s="5">
        <v>44.12</v>
      </c>
      <c r="I194" s="5">
        <v>1804.78</v>
      </c>
      <c r="K194" s="5">
        <v>6.0000000000000001E-3</v>
      </c>
      <c r="L194" s="5">
        <v>1E-3</v>
      </c>
      <c r="M194" s="5">
        <v>1318.085</v>
      </c>
      <c r="N194" s="6">
        <v>7.7399999999999997E-2</v>
      </c>
      <c r="O194" s="5">
        <v>7.2999999999999995E-2</v>
      </c>
      <c r="P194" s="6">
        <v>7.0000000000000001E-3</v>
      </c>
      <c r="Q194" s="5">
        <v>17193.832999999999</v>
      </c>
      <c r="R194" s="1" t="s">
        <v>94</v>
      </c>
      <c r="S194" s="1" t="s">
        <v>44</v>
      </c>
      <c r="T194" s="1" t="s">
        <v>93</v>
      </c>
      <c r="V194" s="1" t="s">
        <v>611</v>
      </c>
      <c r="Y194" s="1" t="s">
        <v>579</v>
      </c>
      <c r="Z194" s="1" t="str">
        <f t="shared" si="6"/>
        <v>562 13</v>
      </c>
      <c r="AA194" s="3">
        <f>IF(INDEX('CAMD Facility Data 2023'!$AA$2:$AE$10000,MATCH(Z194,'CAMD Facility Data 2023'!$AE$2:$AE$10000,0),1)&gt;0,INDEX('CAMD Facility Data 2023'!$AA$2:$AE$10000,MATCH(Z194,'CAMD Facility Data 2023'!$AE$2:$AE$10000,0),1),"")</f>
        <v>40638</v>
      </c>
      <c r="AB194" s="5">
        <f>IF(INDEX('CAMD Facility Data 2023'!$AC$2:$AE$10000,MATCH(Z194,'CAMD Facility Data 2023'!$AE$2:$AE$10000,0),1)&gt;0,INDEX('CAMD Facility Data 2023'!$AC$2:$AE$10000,MATCH(Z194,'CAMD Facility Data 2023'!$AE$2:$AE$10000,0),1),"")</f>
        <v>474.9</v>
      </c>
      <c r="AC194" s="1" t="str">
        <f>IF(INDEX('CAMD Facility Data 2023'!$AE$2:$AG$10000,MATCH(Z194,'CAMD Facility Data 2023'!$AE$2:$AE$10000,0),3)&gt;0,INDEX('CAMD Facility Data 2023'!$AE$2:$AG$10000,MATCH(Z194,'CAMD Facility Data 2023'!$AE$2:$AE$10000,0),3),"")</f>
        <v>Y</v>
      </c>
      <c r="AD194" s="20">
        <f t="shared" si="7"/>
        <v>8.0896286527997879E-2</v>
      </c>
      <c r="AE194" s="25">
        <f t="shared" si="8"/>
        <v>4.1330097372097559E-3</v>
      </c>
    </row>
    <row r="195" spans="1:31" x14ac:dyDescent="0.2">
      <c r="A195" s="1" t="s">
        <v>577</v>
      </c>
      <c r="B195" s="1" t="s">
        <v>600</v>
      </c>
      <c r="C195" s="1">
        <v>562</v>
      </c>
      <c r="D195" s="1">
        <v>14</v>
      </c>
      <c r="F195" s="1">
        <v>2023</v>
      </c>
      <c r="G195" s="5">
        <v>77</v>
      </c>
      <c r="H195" s="5">
        <v>49.52</v>
      </c>
      <c r="I195" s="5">
        <v>1964.11</v>
      </c>
      <c r="K195" s="5">
        <v>7.0000000000000001E-3</v>
      </c>
      <c r="L195" s="5">
        <v>8.9999999999999998E-4</v>
      </c>
      <c r="M195" s="5">
        <v>1486.59</v>
      </c>
      <c r="N195" s="6">
        <v>7.7799999999999994E-2</v>
      </c>
      <c r="O195" s="5">
        <v>4.3999999999999997E-2</v>
      </c>
      <c r="P195" s="6">
        <v>4.1000000000000003E-3</v>
      </c>
      <c r="Q195" s="5">
        <v>19056.538</v>
      </c>
      <c r="R195" s="1" t="s">
        <v>94</v>
      </c>
      <c r="S195" s="1" t="s">
        <v>44</v>
      </c>
      <c r="T195" s="1" t="s">
        <v>93</v>
      </c>
      <c r="V195" s="1" t="s">
        <v>611</v>
      </c>
      <c r="Y195" s="1" t="s">
        <v>579</v>
      </c>
      <c r="Z195" s="1" t="str">
        <f t="shared" ref="Z195:Z258" si="9">C195&amp;" "&amp;D195</f>
        <v>562 14</v>
      </c>
      <c r="AA195" s="3">
        <f>IF(INDEX('CAMD Facility Data 2023'!$AA$2:$AE$10000,MATCH(Z195,'CAMD Facility Data 2023'!$AE$2:$AE$10000,0),1)&gt;0,INDEX('CAMD Facility Data 2023'!$AA$2:$AE$10000,MATCH(Z195,'CAMD Facility Data 2023'!$AE$2:$AE$10000,0),1),"")</f>
        <v>40671</v>
      </c>
      <c r="AB195" s="5">
        <f>IF(INDEX('CAMD Facility Data 2023'!$AC$2:$AE$10000,MATCH(Z195,'CAMD Facility Data 2023'!$AE$2:$AE$10000,0),1)&gt;0,INDEX('CAMD Facility Data 2023'!$AC$2:$AE$10000,MATCH(Z195,'CAMD Facility Data 2023'!$AE$2:$AE$10000,0),1),"")</f>
        <v>474.9</v>
      </c>
      <c r="AC195" s="1" t="str">
        <f>IF(INDEX('CAMD Facility Data 2023'!$AE$2:$AG$10000,MATCH(Z195,'CAMD Facility Data 2023'!$AE$2:$AE$10000,0),3)&gt;0,INDEX('CAMD Facility Data 2023'!$AE$2:$AG$10000,MATCH(Z195,'CAMD Facility Data 2023'!$AE$2:$AE$10000,0),3),"")</f>
        <v>Y</v>
      </c>
      <c r="AD195" s="20">
        <f t="shared" ref="AD195:AD258" si="10">IF(ISNUMBER(O195*2000/I195),O195*2000/I195,"")</f>
        <v>4.4804007922163221E-2</v>
      </c>
      <c r="AE195" s="25">
        <f t="shared" ref="AE195:AE258" si="11">Q195/(AB195*8760)</f>
        <v>4.5807620157476076E-3</v>
      </c>
    </row>
    <row r="196" spans="1:31" x14ac:dyDescent="0.2">
      <c r="A196" s="1" t="s">
        <v>577</v>
      </c>
      <c r="B196" s="1" t="s">
        <v>600</v>
      </c>
      <c r="C196" s="1">
        <v>562</v>
      </c>
      <c r="D196" s="1">
        <v>15</v>
      </c>
      <c r="F196" s="1">
        <v>2023</v>
      </c>
      <c r="G196" s="5">
        <v>80</v>
      </c>
      <c r="H196" s="5">
        <v>49.71</v>
      </c>
      <c r="I196" s="5">
        <v>1937.25</v>
      </c>
      <c r="K196" s="5">
        <v>6.0000000000000001E-3</v>
      </c>
      <c r="L196" s="5">
        <v>1E-3</v>
      </c>
      <c r="M196" s="5">
        <v>1475.413</v>
      </c>
      <c r="N196" s="6">
        <v>7.8600000000000003E-2</v>
      </c>
      <c r="O196" s="5">
        <v>5.6000000000000001E-2</v>
      </c>
      <c r="P196" s="6">
        <v>5.7000000000000002E-3</v>
      </c>
      <c r="Q196" s="5">
        <v>18880.478999999999</v>
      </c>
      <c r="R196" s="1" t="s">
        <v>94</v>
      </c>
      <c r="S196" s="1" t="s">
        <v>44</v>
      </c>
      <c r="T196" s="1" t="s">
        <v>93</v>
      </c>
      <c r="V196" s="1" t="s">
        <v>176</v>
      </c>
      <c r="Y196" s="1" t="s">
        <v>579</v>
      </c>
      <c r="Z196" s="1" t="str">
        <f t="shared" si="9"/>
        <v>562 15</v>
      </c>
      <c r="AA196" s="3">
        <f>IF(INDEX('CAMD Facility Data 2023'!$AA$2:$AE$10000,MATCH(Z196,'CAMD Facility Data 2023'!$AE$2:$AE$10000,0),1)&gt;0,INDEX('CAMD Facility Data 2023'!$AA$2:$AE$10000,MATCH(Z196,'CAMD Facility Data 2023'!$AE$2:$AE$10000,0),1),"")</f>
        <v>40671</v>
      </c>
      <c r="AB196" s="5">
        <f>IF(INDEX('CAMD Facility Data 2023'!$AC$2:$AE$10000,MATCH(Z196,'CAMD Facility Data 2023'!$AE$2:$AE$10000,0),1)&gt;0,INDEX('CAMD Facility Data 2023'!$AC$2:$AE$10000,MATCH(Z196,'CAMD Facility Data 2023'!$AE$2:$AE$10000,0),1),"")</f>
        <v>474.9</v>
      </c>
      <c r="AC196" s="1" t="str">
        <f>IF(INDEX('CAMD Facility Data 2023'!$AE$2:$AG$10000,MATCH(Z196,'CAMD Facility Data 2023'!$AE$2:$AE$10000,0),3)&gt;0,INDEX('CAMD Facility Data 2023'!$AE$2:$AG$10000,MATCH(Z196,'CAMD Facility Data 2023'!$AE$2:$AE$10000,0),3),"")</f>
        <v>Y</v>
      </c>
      <c r="AD196" s="20">
        <f t="shared" si="10"/>
        <v>5.7813911472448055E-2</v>
      </c>
      <c r="AE196" s="25">
        <f t="shared" si="11"/>
        <v>4.5384414022274335E-3</v>
      </c>
    </row>
    <row r="197" spans="1:31" x14ac:dyDescent="0.2">
      <c r="A197" s="1" t="s">
        <v>577</v>
      </c>
      <c r="B197" s="1" t="s">
        <v>600</v>
      </c>
      <c r="C197" s="1">
        <v>562</v>
      </c>
      <c r="D197" s="1">
        <v>2</v>
      </c>
      <c r="F197" s="1">
        <v>2023</v>
      </c>
      <c r="G197" s="5">
        <v>1252</v>
      </c>
      <c r="H197" s="5">
        <v>1242.3</v>
      </c>
      <c r="I197" s="5">
        <v>116731.99</v>
      </c>
      <c r="K197" s="5">
        <v>11.635</v>
      </c>
      <c r="L197" s="5">
        <v>2.3800000000000002E-2</v>
      </c>
      <c r="M197" s="5">
        <v>71217.854000000007</v>
      </c>
      <c r="N197" s="6">
        <v>6.0299999999999999E-2</v>
      </c>
      <c r="O197" s="5">
        <v>52.970999999999997</v>
      </c>
      <c r="P197" s="6">
        <v>8.3000000000000004E-2</v>
      </c>
      <c r="Q197" s="5">
        <v>1179788.8149999999</v>
      </c>
      <c r="R197" s="1" t="s">
        <v>44</v>
      </c>
      <c r="S197" s="1" t="s">
        <v>173</v>
      </c>
      <c r="T197" s="1" t="s">
        <v>89</v>
      </c>
      <c r="V197" s="1" t="s">
        <v>604</v>
      </c>
      <c r="W197" s="1" t="s">
        <v>58</v>
      </c>
      <c r="Y197" s="1" t="s">
        <v>579</v>
      </c>
      <c r="Z197" s="1" t="str">
        <f t="shared" si="9"/>
        <v>562 2</v>
      </c>
      <c r="AA197" s="3">
        <f>IF(INDEX('CAMD Facility Data 2023'!$AA$2:$AE$10000,MATCH(Z197,'CAMD Facility Data 2023'!$AE$2:$AE$10000,0),1)&gt;0,INDEX('CAMD Facility Data 2023'!$AA$2:$AE$10000,MATCH(Z197,'CAMD Facility Data 2023'!$AE$2:$AE$10000,0),1),"")</f>
        <v>21490</v>
      </c>
      <c r="AB197" s="5">
        <f>IF(INDEX('CAMD Facility Data 2023'!$AC$2:$AE$10000,MATCH(Z197,'CAMD Facility Data 2023'!$AE$2:$AE$10000,0),1)&gt;0,INDEX('CAMD Facility Data 2023'!$AC$2:$AE$10000,MATCH(Z197,'CAMD Facility Data 2023'!$AE$2:$AE$10000,0),1),"")</f>
        <v>1380</v>
      </c>
      <c r="AC197" s="1" t="str">
        <f>IF(INDEX('CAMD Facility Data 2023'!$AE$2:$AG$10000,MATCH(Z197,'CAMD Facility Data 2023'!$AE$2:$AE$10000,0),3)&gt;0,INDEX('CAMD Facility Data 2023'!$AE$2:$AG$10000,MATCH(Z197,'CAMD Facility Data 2023'!$AE$2:$AE$10000,0),3),"")</f>
        <v>Y</v>
      </c>
      <c r="AD197" s="20">
        <f t="shared" si="10"/>
        <v>0.90756612647484203</v>
      </c>
      <c r="AE197" s="25">
        <f t="shared" si="11"/>
        <v>9.7593542369796837E-2</v>
      </c>
    </row>
    <row r="198" spans="1:31" x14ac:dyDescent="0.2">
      <c r="A198" s="1" t="s">
        <v>577</v>
      </c>
      <c r="B198" s="1" t="s">
        <v>600</v>
      </c>
      <c r="C198" s="1">
        <v>562</v>
      </c>
      <c r="D198" s="1">
        <v>3</v>
      </c>
      <c r="F198" s="1">
        <v>2023</v>
      </c>
      <c r="G198" s="5">
        <v>494</v>
      </c>
      <c r="H198" s="5">
        <v>481.41</v>
      </c>
      <c r="I198" s="5">
        <v>57669.41</v>
      </c>
      <c r="K198" s="5">
        <v>24.245999999999999</v>
      </c>
      <c r="L198" s="5">
        <v>7.6799999999999993E-2</v>
      </c>
      <c r="M198" s="5">
        <v>37306.095000000001</v>
      </c>
      <c r="N198" s="6">
        <v>6.4299999999999996E-2</v>
      </c>
      <c r="O198" s="5">
        <v>56.984999999999999</v>
      </c>
      <c r="P198" s="6">
        <v>0.17080000000000001</v>
      </c>
      <c r="Q198" s="5">
        <v>572956.61499999999</v>
      </c>
      <c r="R198" s="1" t="s">
        <v>44</v>
      </c>
      <c r="S198" s="1" t="s">
        <v>173</v>
      </c>
      <c r="T198" s="1" t="s">
        <v>606</v>
      </c>
      <c r="V198" s="1" t="s">
        <v>607</v>
      </c>
      <c r="W198" s="1" t="s">
        <v>58</v>
      </c>
      <c r="Y198" s="1" t="s">
        <v>579</v>
      </c>
      <c r="Z198" s="1" t="str">
        <f t="shared" si="9"/>
        <v>562 3</v>
      </c>
      <c r="AA198" s="3">
        <f>IF(INDEX('CAMD Facility Data 2023'!$AA$2:$AE$10000,MATCH(Z198,'CAMD Facility Data 2023'!$AE$2:$AE$10000,0),1)&gt;0,INDEX('CAMD Facility Data 2023'!$AA$2:$AE$10000,MATCH(Z198,'CAMD Facility Data 2023'!$AE$2:$AE$10000,0),1),"")</f>
        <v>23712</v>
      </c>
      <c r="AB198" s="5">
        <f>IF(INDEX('CAMD Facility Data 2023'!$AC$2:$AE$10000,MATCH(Z198,'CAMD Facility Data 2023'!$AE$2:$AE$10000,0),1)&gt;0,INDEX('CAMD Facility Data 2023'!$AC$2:$AE$10000,MATCH(Z198,'CAMD Facility Data 2023'!$AE$2:$AE$10000,0),1),"")</f>
        <v>2500</v>
      </c>
      <c r="AC198" s="1" t="str">
        <f>IF(INDEX('CAMD Facility Data 2023'!$AE$2:$AG$10000,MATCH(Z198,'CAMD Facility Data 2023'!$AE$2:$AE$10000,0),3)&gt;0,INDEX('CAMD Facility Data 2023'!$AE$2:$AG$10000,MATCH(Z198,'CAMD Facility Data 2023'!$AE$2:$AE$10000,0),3),"")</f>
        <v>Y</v>
      </c>
      <c r="AD198" s="20">
        <f t="shared" si="10"/>
        <v>1.9762643661518298</v>
      </c>
      <c r="AE198" s="25">
        <f t="shared" si="11"/>
        <v>2.6162402511415526E-2</v>
      </c>
    </row>
    <row r="199" spans="1:31" x14ac:dyDescent="0.2">
      <c r="A199" s="1" t="s">
        <v>577</v>
      </c>
      <c r="B199" s="1" t="s">
        <v>600</v>
      </c>
      <c r="C199" s="1">
        <v>562</v>
      </c>
      <c r="D199" s="1">
        <v>4</v>
      </c>
      <c r="F199" s="1">
        <v>2023</v>
      </c>
      <c r="G199" s="5">
        <v>109</v>
      </c>
      <c r="H199" s="5">
        <v>105.5</v>
      </c>
      <c r="I199" s="5">
        <v>19612.88</v>
      </c>
      <c r="K199" s="5">
        <v>35.340000000000003</v>
      </c>
      <c r="L199" s="5">
        <v>0.30270000000000002</v>
      </c>
      <c r="M199" s="5">
        <v>18731.325000000001</v>
      </c>
      <c r="N199" s="6">
        <v>8.1000000000000003E-2</v>
      </c>
      <c r="O199" s="5">
        <v>22.353999999999999</v>
      </c>
      <c r="P199" s="6">
        <v>0.1608</v>
      </c>
      <c r="Q199" s="5">
        <v>230836.47700000001</v>
      </c>
      <c r="R199" s="1" t="s">
        <v>173</v>
      </c>
      <c r="T199" s="1" t="s">
        <v>43</v>
      </c>
      <c r="Y199" s="1" t="s">
        <v>594</v>
      </c>
      <c r="Z199" s="1" t="str">
        <f t="shared" si="9"/>
        <v>562 4</v>
      </c>
      <c r="AA199" s="3">
        <f>IF(INDEX('CAMD Facility Data 2023'!$AA$2:$AE$10000,MATCH(Z199,'CAMD Facility Data 2023'!$AE$2:$AE$10000,0),1)&gt;0,INDEX('CAMD Facility Data 2023'!$AA$2:$AE$10000,MATCH(Z199,'CAMD Facility Data 2023'!$AE$2:$AE$10000,0),1),"")</f>
        <v>26724</v>
      </c>
      <c r="AB199" s="5">
        <f>IF(INDEX('CAMD Facility Data 2023'!$AC$2:$AE$10000,MATCH(Z199,'CAMD Facility Data 2023'!$AE$2:$AE$10000,0),1)&gt;0,INDEX('CAMD Facility Data 2023'!$AC$2:$AE$10000,MATCH(Z199,'CAMD Facility Data 2023'!$AE$2:$AE$10000,0),1),"")</f>
        <v>4684</v>
      </c>
      <c r="AC199" s="1" t="str">
        <f>IF(INDEX('CAMD Facility Data 2023'!$AE$2:$AG$10000,MATCH(Z199,'CAMD Facility Data 2023'!$AE$2:$AE$10000,0),3)&gt;0,INDEX('CAMD Facility Data 2023'!$AE$2:$AG$10000,MATCH(Z199,'CAMD Facility Data 2023'!$AE$2:$AE$10000,0),3),"")</f>
        <v/>
      </c>
      <c r="AD199" s="20">
        <f t="shared" si="10"/>
        <v>2.2795224362765691</v>
      </c>
      <c r="AE199" s="25">
        <f t="shared" si="11"/>
        <v>5.6257890701465014E-3</v>
      </c>
    </row>
    <row r="200" spans="1:31" x14ac:dyDescent="0.2">
      <c r="A200" s="1" t="s">
        <v>577</v>
      </c>
      <c r="B200" s="1" t="s">
        <v>615</v>
      </c>
      <c r="C200" s="1">
        <v>563</v>
      </c>
      <c r="D200" s="1" t="s">
        <v>616</v>
      </c>
      <c r="F200" s="1">
        <v>2023</v>
      </c>
      <c r="G200" s="5">
        <v>4</v>
      </c>
      <c r="H200" s="5">
        <v>0.12</v>
      </c>
      <c r="I200" s="5">
        <v>0</v>
      </c>
      <c r="M200" s="5">
        <v>0.4</v>
      </c>
      <c r="N200" s="6">
        <v>8.2799999999999999E-2</v>
      </c>
      <c r="O200" s="5">
        <v>2E-3</v>
      </c>
      <c r="P200" s="6">
        <v>0.69399999999999995</v>
      </c>
      <c r="Q200" s="5">
        <v>4.9000000000000004</v>
      </c>
      <c r="R200" s="1" t="s">
        <v>94</v>
      </c>
      <c r="T200" s="1" t="s">
        <v>93</v>
      </c>
      <c r="Y200" s="1" t="s">
        <v>617</v>
      </c>
      <c r="Z200" s="1" t="str">
        <f t="shared" si="9"/>
        <v>563 11A</v>
      </c>
      <c r="AA200" s="3">
        <f>IF(INDEX('CAMD Facility Data 2023'!$AA$2:$AE$10000,MATCH(Z200,'CAMD Facility Data 2023'!$AE$2:$AE$10000,0),1)&gt;0,INDEX('CAMD Facility Data 2023'!$AA$2:$AE$10000,MATCH(Z200,'CAMD Facility Data 2023'!$AE$2:$AE$10000,0),1),"")</f>
        <v>25781</v>
      </c>
      <c r="AB200" s="5">
        <f>IF(INDEX('CAMD Facility Data 2023'!$AC$2:$AE$10000,MATCH(Z200,'CAMD Facility Data 2023'!$AE$2:$AE$10000,0),1)&gt;0,INDEX('CAMD Facility Data 2023'!$AC$2:$AE$10000,MATCH(Z200,'CAMD Facility Data 2023'!$AE$2:$AE$10000,0),1),"")</f>
        <v>266</v>
      </c>
      <c r="AC200" s="1" t="str">
        <f>IF(INDEX('CAMD Facility Data 2023'!$AE$2:$AG$10000,MATCH(Z200,'CAMD Facility Data 2023'!$AE$2:$AE$10000,0),3)&gt;0,INDEX('CAMD Facility Data 2023'!$AE$2:$AG$10000,MATCH(Z200,'CAMD Facility Data 2023'!$AE$2:$AE$10000,0),3),"")</f>
        <v/>
      </c>
      <c r="AD200" s="20" t="str">
        <f t="shared" si="10"/>
        <v/>
      </c>
      <c r="AE200" s="25">
        <f t="shared" si="11"/>
        <v>2.1028598894496516E-6</v>
      </c>
    </row>
    <row r="201" spans="1:31" x14ac:dyDescent="0.2">
      <c r="A201" s="1" t="s">
        <v>577</v>
      </c>
      <c r="B201" s="1" t="s">
        <v>615</v>
      </c>
      <c r="C201" s="1">
        <v>563</v>
      </c>
      <c r="D201" s="1" t="s">
        <v>623</v>
      </c>
      <c r="F201" s="1">
        <v>2023</v>
      </c>
      <c r="G201" s="5">
        <v>4</v>
      </c>
      <c r="H201" s="5">
        <v>0.12</v>
      </c>
      <c r="I201" s="5">
        <v>0</v>
      </c>
      <c r="M201" s="5">
        <v>0.4</v>
      </c>
      <c r="N201" s="6">
        <v>8.2799999999999999E-2</v>
      </c>
      <c r="O201" s="5">
        <v>2E-3</v>
      </c>
      <c r="P201" s="6">
        <v>0.75180000000000002</v>
      </c>
      <c r="Q201" s="5">
        <v>4.9000000000000004</v>
      </c>
      <c r="R201" s="1" t="s">
        <v>94</v>
      </c>
      <c r="T201" s="1" t="s">
        <v>93</v>
      </c>
      <c r="Y201" s="1" t="s">
        <v>617</v>
      </c>
      <c r="Z201" s="1" t="str">
        <f t="shared" si="9"/>
        <v>563 11B</v>
      </c>
      <c r="AA201" s="3">
        <f>IF(INDEX('CAMD Facility Data 2023'!$AA$2:$AE$10000,MATCH(Z201,'CAMD Facility Data 2023'!$AE$2:$AE$10000,0),1)&gt;0,INDEX('CAMD Facility Data 2023'!$AA$2:$AE$10000,MATCH(Z201,'CAMD Facility Data 2023'!$AE$2:$AE$10000,0),1),"")</f>
        <v>25781</v>
      </c>
      <c r="AB201" s="5">
        <f>IF(INDEX('CAMD Facility Data 2023'!$AC$2:$AE$10000,MATCH(Z201,'CAMD Facility Data 2023'!$AE$2:$AE$10000,0),1)&gt;0,INDEX('CAMD Facility Data 2023'!$AC$2:$AE$10000,MATCH(Z201,'CAMD Facility Data 2023'!$AE$2:$AE$10000,0),1),"")</f>
        <v>266</v>
      </c>
      <c r="AC201" s="1" t="str">
        <f>IF(INDEX('CAMD Facility Data 2023'!$AE$2:$AG$10000,MATCH(Z201,'CAMD Facility Data 2023'!$AE$2:$AE$10000,0),3)&gt;0,INDEX('CAMD Facility Data 2023'!$AE$2:$AG$10000,MATCH(Z201,'CAMD Facility Data 2023'!$AE$2:$AE$10000,0),3),"")</f>
        <v/>
      </c>
      <c r="AD201" s="20" t="str">
        <f t="shared" si="10"/>
        <v/>
      </c>
      <c r="AE201" s="25">
        <f t="shared" si="11"/>
        <v>2.1028598894496516E-6</v>
      </c>
    </row>
    <row r="202" spans="1:31" x14ac:dyDescent="0.2">
      <c r="A202" s="1" t="s">
        <v>577</v>
      </c>
      <c r="B202" s="1" t="s">
        <v>615</v>
      </c>
      <c r="C202" s="1">
        <v>563</v>
      </c>
      <c r="D202" s="1" t="s">
        <v>624</v>
      </c>
      <c r="F202" s="1">
        <v>2023</v>
      </c>
      <c r="G202" s="5">
        <v>4</v>
      </c>
      <c r="H202" s="5">
        <v>0.12</v>
      </c>
      <c r="I202" s="5">
        <v>0</v>
      </c>
      <c r="M202" s="5">
        <v>0.4</v>
      </c>
      <c r="N202" s="6">
        <v>8.2799999999999999E-2</v>
      </c>
      <c r="O202" s="5">
        <v>2E-3</v>
      </c>
      <c r="P202" s="6">
        <v>0.69399999999999995</v>
      </c>
      <c r="Q202" s="5">
        <v>4.9000000000000004</v>
      </c>
      <c r="R202" s="1" t="s">
        <v>94</v>
      </c>
      <c r="T202" s="1" t="s">
        <v>93</v>
      </c>
      <c r="Y202" s="1" t="s">
        <v>617</v>
      </c>
      <c r="Z202" s="1" t="str">
        <f t="shared" si="9"/>
        <v>563 12A</v>
      </c>
      <c r="AA202" s="3">
        <f>IF(INDEX('CAMD Facility Data 2023'!$AA$2:$AE$10000,MATCH(Z202,'CAMD Facility Data 2023'!$AE$2:$AE$10000,0),1)&gt;0,INDEX('CAMD Facility Data 2023'!$AA$2:$AE$10000,MATCH(Z202,'CAMD Facility Data 2023'!$AE$2:$AE$10000,0),1),"")</f>
        <v>25781</v>
      </c>
      <c r="AB202" s="5">
        <f>IF(INDEX('CAMD Facility Data 2023'!$AC$2:$AE$10000,MATCH(Z202,'CAMD Facility Data 2023'!$AE$2:$AE$10000,0),1)&gt;0,INDEX('CAMD Facility Data 2023'!$AC$2:$AE$10000,MATCH(Z202,'CAMD Facility Data 2023'!$AE$2:$AE$10000,0),1),"")</f>
        <v>266</v>
      </c>
      <c r="AC202" s="1" t="str">
        <f>IF(INDEX('CAMD Facility Data 2023'!$AE$2:$AG$10000,MATCH(Z202,'CAMD Facility Data 2023'!$AE$2:$AE$10000,0),3)&gt;0,INDEX('CAMD Facility Data 2023'!$AE$2:$AG$10000,MATCH(Z202,'CAMD Facility Data 2023'!$AE$2:$AE$10000,0),3),"")</f>
        <v/>
      </c>
      <c r="AD202" s="20" t="str">
        <f t="shared" si="10"/>
        <v/>
      </c>
      <c r="AE202" s="25">
        <f t="shared" si="11"/>
        <v>2.1028598894496516E-6</v>
      </c>
    </row>
    <row r="203" spans="1:31" x14ac:dyDescent="0.2">
      <c r="A203" s="1" t="s">
        <v>577</v>
      </c>
      <c r="B203" s="1" t="s">
        <v>615</v>
      </c>
      <c r="C203" s="1">
        <v>563</v>
      </c>
      <c r="D203" s="1" t="s">
        <v>626</v>
      </c>
      <c r="F203" s="1">
        <v>2023</v>
      </c>
      <c r="G203" s="5">
        <v>4</v>
      </c>
      <c r="H203" s="5">
        <v>0.12</v>
      </c>
      <c r="I203" s="5">
        <v>0</v>
      </c>
      <c r="M203" s="5">
        <v>0.4</v>
      </c>
      <c r="N203" s="6">
        <v>8.2799999999999999E-2</v>
      </c>
      <c r="O203" s="5">
        <v>2E-3</v>
      </c>
      <c r="P203" s="6">
        <v>0.69399999999999995</v>
      </c>
      <c r="Q203" s="5">
        <v>4.9000000000000004</v>
      </c>
      <c r="R203" s="1" t="s">
        <v>94</v>
      </c>
      <c r="T203" s="1" t="s">
        <v>93</v>
      </c>
      <c r="Y203" s="1" t="s">
        <v>617</v>
      </c>
      <c r="Z203" s="1" t="str">
        <f t="shared" si="9"/>
        <v>563 12B</v>
      </c>
      <c r="AA203" s="3">
        <f>IF(INDEX('CAMD Facility Data 2023'!$AA$2:$AE$10000,MATCH(Z203,'CAMD Facility Data 2023'!$AE$2:$AE$10000,0),1)&gt;0,INDEX('CAMD Facility Data 2023'!$AA$2:$AE$10000,MATCH(Z203,'CAMD Facility Data 2023'!$AE$2:$AE$10000,0),1),"")</f>
        <v>25781</v>
      </c>
      <c r="AB203" s="5">
        <f>IF(INDEX('CAMD Facility Data 2023'!$AC$2:$AE$10000,MATCH(Z203,'CAMD Facility Data 2023'!$AE$2:$AE$10000,0),1)&gt;0,INDEX('CAMD Facility Data 2023'!$AC$2:$AE$10000,MATCH(Z203,'CAMD Facility Data 2023'!$AE$2:$AE$10000,0),1),"")</f>
        <v>266</v>
      </c>
      <c r="AC203" s="1" t="str">
        <f>IF(INDEX('CAMD Facility Data 2023'!$AE$2:$AG$10000,MATCH(Z203,'CAMD Facility Data 2023'!$AE$2:$AE$10000,0),3)&gt;0,INDEX('CAMD Facility Data 2023'!$AE$2:$AG$10000,MATCH(Z203,'CAMD Facility Data 2023'!$AE$2:$AE$10000,0),3),"")</f>
        <v/>
      </c>
      <c r="AD203" s="20" t="str">
        <f t="shared" si="10"/>
        <v/>
      </c>
      <c r="AE203" s="25">
        <f t="shared" si="11"/>
        <v>2.1028598894496516E-6</v>
      </c>
    </row>
    <row r="204" spans="1:31" x14ac:dyDescent="0.2">
      <c r="A204" s="1" t="s">
        <v>577</v>
      </c>
      <c r="B204" s="1" t="s">
        <v>615</v>
      </c>
      <c r="C204" s="1">
        <v>563</v>
      </c>
      <c r="D204" s="1" t="s">
        <v>627</v>
      </c>
      <c r="F204" s="1">
        <v>2023</v>
      </c>
      <c r="G204" s="5">
        <v>1</v>
      </c>
      <c r="H204" s="5">
        <v>0.03</v>
      </c>
      <c r="I204" s="5">
        <v>0</v>
      </c>
      <c r="M204" s="5">
        <v>0.1</v>
      </c>
      <c r="N204" s="6">
        <v>0.1</v>
      </c>
      <c r="O204" s="5">
        <v>0</v>
      </c>
      <c r="P204" s="6">
        <v>0.7</v>
      </c>
      <c r="Q204" s="5">
        <v>1</v>
      </c>
      <c r="R204" s="1" t="s">
        <v>94</v>
      </c>
      <c r="T204" s="1" t="s">
        <v>93</v>
      </c>
      <c r="Y204" s="1" t="s">
        <v>617</v>
      </c>
      <c r="Z204" s="1" t="str">
        <f t="shared" si="9"/>
        <v>563 13A</v>
      </c>
      <c r="AA204" s="3">
        <f>IF(INDEX('CAMD Facility Data 2023'!$AA$2:$AE$10000,MATCH(Z204,'CAMD Facility Data 2023'!$AE$2:$AE$10000,0),1)&gt;0,INDEX('CAMD Facility Data 2023'!$AA$2:$AE$10000,MATCH(Z204,'CAMD Facility Data 2023'!$AE$2:$AE$10000,0),1),"")</f>
        <v>25781</v>
      </c>
      <c r="AB204" s="5">
        <f>IF(INDEX('CAMD Facility Data 2023'!$AC$2:$AE$10000,MATCH(Z204,'CAMD Facility Data 2023'!$AE$2:$AE$10000,0),1)&gt;0,INDEX('CAMD Facility Data 2023'!$AC$2:$AE$10000,MATCH(Z204,'CAMD Facility Data 2023'!$AE$2:$AE$10000,0),1),"")</f>
        <v>266</v>
      </c>
      <c r="AC204" s="1" t="str">
        <f>IF(INDEX('CAMD Facility Data 2023'!$AE$2:$AG$10000,MATCH(Z204,'CAMD Facility Data 2023'!$AE$2:$AE$10000,0),3)&gt;0,INDEX('CAMD Facility Data 2023'!$AE$2:$AG$10000,MATCH(Z204,'CAMD Facility Data 2023'!$AE$2:$AE$10000,0),3),"")</f>
        <v/>
      </c>
      <c r="AD204" s="20" t="str">
        <f t="shared" si="10"/>
        <v/>
      </c>
      <c r="AE204" s="25">
        <f t="shared" si="11"/>
        <v>4.2915507947952071E-7</v>
      </c>
    </row>
    <row r="205" spans="1:31" x14ac:dyDescent="0.2">
      <c r="A205" s="1" t="s">
        <v>577</v>
      </c>
      <c r="B205" s="1" t="s">
        <v>615</v>
      </c>
      <c r="C205" s="1">
        <v>563</v>
      </c>
      <c r="D205" s="1" t="s">
        <v>629</v>
      </c>
      <c r="F205" s="1">
        <v>2023</v>
      </c>
      <c r="G205" s="5">
        <v>4</v>
      </c>
      <c r="H205" s="5">
        <v>0.16</v>
      </c>
      <c r="I205" s="5">
        <v>0</v>
      </c>
      <c r="M205" s="5">
        <v>0.5</v>
      </c>
      <c r="N205" s="6">
        <v>8.4500000000000006E-2</v>
      </c>
      <c r="O205" s="5">
        <v>2E-3</v>
      </c>
      <c r="P205" s="6">
        <v>0.71899999999999997</v>
      </c>
      <c r="Q205" s="5">
        <v>6</v>
      </c>
      <c r="R205" s="1" t="s">
        <v>94</v>
      </c>
      <c r="T205" s="1" t="s">
        <v>93</v>
      </c>
      <c r="Y205" s="1" t="s">
        <v>617</v>
      </c>
      <c r="Z205" s="1" t="str">
        <f t="shared" si="9"/>
        <v>563 13B</v>
      </c>
      <c r="AA205" s="3">
        <f>IF(INDEX('CAMD Facility Data 2023'!$AA$2:$AE$10000,MATCH(Z205,'CAMD Facility Data 2023'!$AE$2:$AE$10000,0),1)&gt;0,INDEX('CAMD Facility Data 2023'!$AA$2:$AE$10000,MATCH(Z205,'CAMD Facility Data 2023'!$AE$2:$AE$10000,0),1),"")</f>
        <v>25781</v>
      </c>
      <c r="AB205" s="5">
        <f>IF(INDEX('CAMD Facility Data 2023'!$AC$2:$AE$10000,MATCH(Z205,'CAMD Facility Data 2023'!$AE$2:$AE$10000,0),1)&gt;0,INDEX('CAMD Facility Data 2023'!$AC$2:$AE$10000,MATCH(Z205,'CAMD Facility Data 2023'!$AE$2:$AE$10000,0),1),"")</f>
        <v>266</v>
      </c>
      <c r="AC205" s="1" t="str">
        <f>IF(INDEX('CAMD Facility Data 2023'!$AE$2:$AG$10000,MATCH(Z205,'CAMD Facility Data 2023'!$AE$2:$AE$10000,0),3)&gt;0,INDEX('CAMD Facility Data 2023'!$AE$2:$AG$10000,MATCH(Z205,'CAMD Facility Data 2023'!$AE$2:$AE$10000,0),3),"")</f>
        <v/>
      </c>
      <c r="AD205" s="20" t="str">
        <f t="shared" si="10"/>
        <v/>
      </c>
      <c r="AE205" s="25">
        <f t="shared" si="11"/>
        <v>2.5749304768771243E-6</v>
      </c>
    </row>
    <row r="206" spans="1:31" x14ac:dyDescent="0.2">
      <c r="A206" s="1" t="s">
        <v>577</v>
      </c>
      <c r="B206" s="1" t="s">
        <v>615</v>
      </c>
      <c r="C206" s="1">
        <v>563</v>
      </c>
      <c r="D206" s="1" t="s">
        <v>630</v>
      </c>
      <c r="F206" s="1">
        <v>2023</v>
      </c>
      <c r="G206" s="5">
        <v>4</v>
      </c>
      <c r="H206" s="5">
        <v>0.12</v>
      </c>
      <c r="I206" s="5">
        <v>0</v>
      </c>
      <c r="M206" s="5">
        <v>0.4</v>
      </c>
      <c r="N206" s="6">
        <v>0.1</v>
      </c>
      <c r="O206" s="5">
        <v>1E-3</v>
      </c>
      <c r="P206" s="6">
        <v>0.7</v>
      </c>
      <c r="Q206" s="5">
        <v>4</v>
      </c>
      <c r="R206" s="1" t="s">
        <v>94</v>
      </c>
      <c r="T206" s="1" t="s">
        <v>93</v>
      </c>
      <c r="Y206" s="1" t="s">
        <v>617</v>
      </c>
      <c r="Z206" s="1" t="str">
        <f t="shared" si="9"/>
        <v>563 14A</v>
      </c>
      <c r="AA206" s="3">
        <f>IF(INDEX('CAMD Facility Data 2023'!$AA$2:$AE$10000,MATCH(Z206,'CAMD Facility Data 2023'!$AE$2:$AE$10000,0),1)&gt;0,INDEX('CAMD Facility Data 2023'!$AA$2:$AE$10000,MATCH(Z206,'CAMD Facility Data 2023'!$AE$2:$AE$10000,0),1),"")</f>
        <v>25781</v>
      </c>
      <c r="AB206" s="5">
        <f>IF(INDEX('CAMD Facility Data 2023'!$AC$2:$AE$10000,MATCH(Z206,'CAMD Facility Data 2023'!$AE$2:$AE$10000,0),1)&gt;0,INDEX('CAMD Facility Data 2023'!$AC$2:$AE$10000,MATCH(Z206,'CAMD Facility Data 2023'!$AE$2:$AE$10000,0),1),"")</f>
        <v>266</v>
      </c>
      <c r="AC206" s="1" t="str">
        <f>IF(INDEX('CAMD Facility Data 2023'!$AE$2:$AG$10000,MATCH(Z206,'CAMD Facility Data 2023'!$AE$2:$AE$10000,0),3)&gt;0,INDEX('CAMD Facility Data 2023'!$AE$2:$AG$10000,MATCH(Z206,'CAMD Facility Data 2023'!$AE$2:$AE$10000,0),3),"")</f>
        <v/>
      </c>
      <c r="AD206" s="20" t="str">
        <f t="shared" si="10"/>
        <v/>
      </c>
      <c r="AE206" s="25">
        <f t="shared" si="11"/>
        <v>1.7166203179180828E-6</v>
      </c>
    </row>
    <row r="207" spans="1:31" x14ac:dyDescent="0.2">
      <c r="A207" s="1" t="s">
        <v>577</v>
      </c>
      <c r="B207" s="1" t="s">
        <v>615</v>
      </c>
      <c r="C207" s="1">
        <v>563</v>
      </c>
      <c r="D207" s="1" t="s">
        <v>632</v>
      </c>
      <c r="F207" s="1">
        <v>2023</v>
      </c>
      <c r="G207" s="5">
        <v>4</v>
      </c>
      <c r="H207" s="5">
        <v>0.12</v>
      </c>
      <c r="I207" s="5">
        <v>0</v>
      </c>
      <c r="M207" s="5">
        <v>0.4</v>
      </c>
      <c r="N207" s="6">
        <v>0.1</v>
      </c>
      <c r="O207" s="5">
        <v>1E-3</v>
      </c>
      <c r="P207" s="6">
        <v>0.7</v>
      </c>
      <c r="Q207" s="5">
        <v>4</v>
      </c>
      <c r="R207" s="1" t="s">
        <v>94</v>
      </c>
      <c r="T207" s="1" t="s">
        <v>93</v>
      </c>
      <c r="Y207" s="1" t="s">
        <v>617</v>
      </c>
      <c r="Z207" s="1" t="str">
        <f t="shared" si="9"/>
        <v>563 14B</v>
      </c>
      <c r="AA207" s="3">
        <f>IF(INDEX('CAMD Facility Data 2023'!$AA$2:$AE$10000,MATCH(Z207,'CAMD Facility Data 2023'!$AE$2:$AE$10000,0),1)&gt;0,INDEX('CAMD Facility Data 2023'!$AA$2:$AE$10000,MATCH(Z207,'CAMD Facility Data 2023'!$AE$2:$AE$10000,0),1),"")</f>
        <v>25781</v>
      </c>
      <c r="AB207" s="5">
        <f>IF(INDEX('CAMD Facility Data 2023'!$AC$2:$AE$10000,MATCH(Z207,'CAMD Facility Data 2023'!$AE$2:$AE$10000,0),1)&gt;0,INDEX('CAMD Facility Data 2023'!$AC$2:$AE$10000,MATCH(Z207,'CAMD Facility Data 2023'!$AE$2:$AE$10000,0),1),"")</f>
        <v>266</v>
      </c>
      <c r="AC207" s="1" t="str">
        <f>IF(INDEX('CAMD Facility Data 2023'!$AE$2:$AG$10000,MATCH(Z207,'CAMD Facility Data 2023'!$AE$2:$AE$10000,0),3)&gt;0,INDEX('CAMD Facility Data 2023'!$AE$2:$AG$10000,MATCH(Z207,'CAMD Facility Data 2023'!$AE$2:$AE$10000,0),3),"")</f>
        <v/>
      </c>
      <c r="AD207" s="20" t="str">
        <f t="shared" si="10"/>
        <v/>
      </c>
      <c r="AE207" s="25">
        <f t="shared" si="11"/>
        <v>1.7166203179180828E-6</v>
      </c>
    </row>
    <row r="208" spans="1:31" x14ac:dyDescent="0.2">
      <c r="A208" s="1" t="s">
        <v>304</v>
      </c>
      <c r="B208" s="1" t="s">
        <v>633</v>
      </c>
      <c r="C208" s="1">
        <v>564</v>
      </c>
      <c r="D208" s="1">
        <v>1</v>
      </c>
      <c r="F208" s="1">
        <v>2023</v>
      </c>
      <c r="G208" s="5">
        <v>7222</v>
      </c>
      <c r="H208" s="5">
        <v>7206.31</v>
      </c>
      <c r="I208" s="5">
        <v>1657528.26</v>
      </c>
      <c r="K208" s="5">
        <v>847.04100000000005</v>
      </c>
      <c r="L208" s="5">
        <v>7.0199999999999999E-2</v>
      </c>
      <c r="M208" s="5">
        <v>1655072.656</v>
      </c>
      <c r="N208" s="6">
        <v>9.3600000000000003E-2</v>
      </c>
      <c r="O208" s="5">
        <v>2140.5149999999999</v>
      </c>
      <c r="P208" s="6">
        <v>0.23880000000000001</v>
      </c>
      <c r="Q208" s="5">
        <v>17344061.888</v>
      </c>
      <c r="R208" s="1" t="s">
        <v>55</v>
      </c>
      <c r="S208" s="1" t="s">
        <v>44</v>
      </c>
      <c r="T208" s="1" t="s">
        <v>89</v>
      </c>
      <c r="U208" s="1" t="s">
        <v>241</v>
      </c>
      <c r="V208" s="1" t="s">
        <v>90</v>
      </c>
      <c r="W208" s="1" t="s">
        <v>58</v>
      </c>
      <c r="Y208" s="1" t="s">
        <v>236</v>
      </c>
      <c r="Z208" s="1" t="str">
        <f t="shared" si="9"/>
        <v>564 1</v>
      </c>
      <c r="AA208" s="3">
        <f>IF(INDEX('CAMD Facility Data 2023'!$AA$2:$AE$10000,MATCH(Z208,'CAMD Facility Data 2023'!$AE$2:$AE$10000,0),1)&gt;0,INDEX('CAMD Facility Data 2023'!$AA$2:$AE$10000,MATCH(Z208,'CAMD Facility Data 2023'!$AE$2:$AE$10000,0),1),"")</f>
        <v>31909</v>
      </c>
      <c r="AB208" s="5">
        <f>IF(INDEX('CAMD Facility Data 2023'!$AC$2:$AE$10000,MATCH(Z208,'CAMD Facility Data 2023'!$AE$2:$AE$10000,0),1)&gt;0,INDEX('CAMD Facility Data 2023'!$AC$2:$AE$10000,MATCH(Z208,'CAMD Facility Data 2023'!$AE$2:$AE$10000,0),1),"")</f>
        <v>5000</v>
      </c>
      <c r="AC208" s="1" t="str">
        <f>IF(INDEX('CAMD Facility Data 2023'!$AE$2:$AG$10000,MATCH(Z208,'CAMD Facility Data 2023'!$AE$2:$AE$10000,0),3)&gt;0,INDEX('CAMD Facility Data 2023'!$AE$2:$AG$10000,MATCH(Z208,'CAMD Facility Data 2023'!$AE$2:$AE$10000,0),3),"")</f>
        <v/>
      </c>
      <c r="AD208" s="20">
        <f t="shared" si="10"/>
        <v>2.582779493605738</v>
      </c>
      <c r="AE208" s="25">
        <f t="shared" si="11"/>
        <v>0.3959831481278539</v>
      </c>
    </row>
    <row r="209" spans="1:31" x14ac:dyDescent="0.2">
      <c r="A209" s="1" t="s">
        <v>304</v>
      </c>
      <c r="B209" s="1" t="s">
        <v>633</v>
      </c>
      <c r="C209" s="1">
        <v>564</v>
      </c>
      <c r="D209" s="1">
        <v>2</v>
      </c>
      <c r="F209" s="1">
        <v>2023</v>
      </c>
      <c r="G209" s="5">
        <v>7482</v>
      </c>
      <c r="H209" s="5">
        <v>7468.59</v>
      </c>
      <c r="I209" s="5">
        <v>2023164.68</v>
      </c>
      <c r="K209" s="5">
        <v>620.68600000000004</v>
      </c>
      <c r="L209" s="5">
        <v>5.1299999999999998E-2</v>
      </c>
      <c r="M209" s="5">
        <v>1875194.7879999999</v>
      </c>
      <c r="N209" s="6">
        <v>9.3600000000000003E-2</v>
      </c>
      <c r="O209" s="5">
        <v>1356.019</v>
      </c>
      <c r="P209" s="6">
        <v>0.13569999999999999</v>
      </c>
      <c r="Q209" s="5">
        <v>19690787.991</v>
      </c>
      <c r="R209" s="1" t="s">
        <v>55</v>
      </c>
      <c r="S209" s="1" t="s">
        <v>638</v>
      </c>
      <c r="T209" s="1" t="s">
        <v>89</v>
      </c>
      <c r="U209" s="1" t="s">
        <v>241</v>
      </c>
      <c r="V209" s="1" t="s">
        <v>639</v>
      </c>
      <c r="W209" s="1" t="s">
        <v>58</v>
      </c>
      <c r="Y209" s="1" t="s">
        <v>236</v>
      </c>
      <c r="Z209" s="1" t="str">
        <f t="shared" si="9"/>
        <v>564 2</v>
      </c>
      <c r="AA209" s="3">
        <f>IF(INDEX('CAMD Facility Data 2023'!$AA$2:$AE$10000,MATCH(Z209,'CAMD Facility Data 2023'!$AE$2:$AE$10000,0),1)&gt;0,INDEX('CAMD Facility Data 2023'!$AA$2:$AE$10000,MATCH(Z209,'CAMD Facility Data 2023'!$AE$2:$AE$10000,0),1),"")</f>
        <v>35153</v>
      </c>
      <c r="AB209" s="5">
        <f>IF(INDEX('CAMD Facility Data 2023'!$AC$2:$AE$10000,MATCH(Z209,'CAMD Facility Data 2023'!$AE$2:$AE$10000,0),1)&gt;0,INDEX('CAMD Facility Data 2023'!$AC$2:$AE$10000,MATCH(Z209,'CAMD Facility Data 2023'!$AE$2:$AE$10000,0),1),"")</f>
        <v>5000</v>
      </c>
      <c r="AC209" s="1" t="str">
        <f>IF(INDEX('CAMD Facility Data 2023'!$AE$2:$AG$10000,MATCH(Z209,'CAMD Facility Data 2023'!$AE$2:$AE$10000,0),3)&gt;0,INDEX('CAMD Facility Data 2023'!$AE$2:$AG$10000,MATCH(Z209,'CAMD Facility Data 2023'!$AE$2:$AE$10000,0),3),"")</f>
        <v>Y</v>
      </c>
      <c r="AD209" s="20">
        <f t="shared" si="10"/>
        <v>1.3404929548295594</v>
      </c>
      <c r="AE209" s="25">
        <f t="shared" si="11"/>
        <v>0.44956136965753424</v>
      </c>
    </row>
    <row r="210" spans="1:31" x14ac:dyDescent="0.2">
      <c r="A210" s="1" t="s">
        <v>304</v>
      </c>
      <c r="B210" s="1" t="s">
        <v>633</v>
      </c>
      <c r="C210" s="1">
        <v>564</v>
      </c>
      <c r="D210" s="1" t="s">
        <v>641</v>
      </c>
      <c r="F210" s="1">
        <v>2023</v>
      </c>
      <c r="G210" s="5">
        <v>7792</v>
      </c>
      <c r="H210" s="5">
        <v>7783.58</v>
      </c>
      <c r="I210" s="5">
        <v>1820660.75</v>
      </c>
      <c r="K210" s="5">
        <v>3.9510000000000001</v>
      </c>
      <c r="L210" s="5">
        <v>1E-3</v>
      </c>
      <c r="M210" s="5">
        <v>782547.53500000003</v>
      </c>
      <c r="N210" s="6">
        <v>5.8999999999999997E-2</v>
      </c>
      <c r="O210" s="5">
        <v>25.48</v>
      </c>
      <c r="P210" s="6">
        <v>4.4000000000000003E-3</v>
      </c>
      <c r="Q210" s="5">
        <v>13167840.311000001</v>
      </c>
      <c r="R210" s="1" t="s">
        <v>44</v>
      </c>
      <c r="S210" s="1" t="s">
        <v>94</v>
      </c>
      <c r="T210" s="1" t="s">
        <v>71</v>
      </c>
      <c r="V210" s="1" t="s">
        <v>643</v>
      </c>
      <c r="Y210" s="1" t="s">
        <v>247</v>
      </c>
      <c r="Z210" s="1" t="str">
        <f t="shared" si="9"/>
        <v>564 CCB</v>
      </c>
      <c r="AA210" s="3">
        <f>IF(INDEX('CAMD Facility Data 2023'!$AA$2:$AE$10000,MATCH(Z210,'CAMD Facility Data 2023'!$AE$2:$AE$10000,0),1)&gt;0,INDEX('CAMD Facility Data 2023'!$AA$2:$AE$10000,MATCH(Z210,'CAMD Facility Data 2023'!$AE$2:$AE$10000,0),1),"")</f>
        <v>40113</v>
      </c>
      <c r="AB210" s="5">
        <f>IF(INDEX('CAMD Facility Data 2023'!$AC$2:$AE$10000,MATCH(Z210,'CAMD Facility Data 2023'!$AE$2:$AE$10000,0),1)&gt;0,INDEX('CAMD Facility Data 2023'!$AC$2:$AE$10000,MATCH(Z210,'CAMD Facility Data 2023'!$AE$2:$AE$10000,0),1),"")</f>
        <v>2453</v>
      </c>
      <c r="AC210" s="1" t="str">
        <f>IF(INDEX('CAMD Facility Data 2023'!$AE$2:$AG$10000,MATCH(Z210,'CAMD Facility Data 2023'!$AE$2:$AE$10000,0),3)&gt;0,INDEX('CAMD Facility Data 2023'!$AE$2:$AG$10000,MATCH(Z210,'CAMD Facility Data 2023'!$AE$2:$AE$10000,0),3),"")</f>
        <v>Y</v>
      </c>
      <c r="AD210" s="20">
        <f t="shared" si="10"/>
        <v>2.7989838304582553E-2</v>
      </c>
      <c r="AE210" s="25">
        <f t="shared" si="11"/>
        <v>0.61279173163231304</v>
      </c>
    </row>
    <row r="211" spans="1:31" x14ac:dyDescent="0.2">
      <c r="A211" s="1" t="s">
        <v>577</v>
      </c>
      <c r="B211" s="1" t="s">
        <v>645</v>
      </c>
      <c r="C211" s="1">
        <v>568</v>
      </c>
      <c r="D211" s="1" t="s">
        <v>646</v>
      </c>
      <c r="F211" s="1">
        <v>2023</v>
      </c>
      <c r="G211" s="5">
        <v>6942</v>
      </c>
      <c r="H211" s="5">
        <v>6932.91</v>
      </c>
      <c r="I211" s="5">
        <v>3048904.13</v>
      </c>
      <c r="K211" s="5">
        <v>5.93</v>
      </c>
      <c r="L211" s="5">
        <v>1E-3</v>
      </c>
      <c r="M211" s="5">
        <v>1174019.7879999999</v>
      </c>
      <c r="N211" s="6">
        <v>5.9200000000000003E-2</v>
      </c>
      <c r="O211" s="5">
        <v>62.201999999999998</v>
      </c>
      <c r="P211" s="6">
        <v>6.4000000000000003E-3</v>
      </c>
      <c r="Q211" s="5">
        <v>19699226.567000002</v>
      </c>
      <c r="R211" s="1" t="s">
        <v>44</v>
      </c>
      <c r="S211" s="1" t="s">
        <v>94</v>
      </c>
      <c r="T211" s="1" t="s">
        <v>71</v>
      </c>
      <c r="V211" s="1" t="s">
        <v>643</v>
      </c>
      <c r="Y211" s="1" t="s">
        <v>579</v>
      </c>
      <c r="Z211" s="1" t="str">
        <f t="shared" si="9"/>
        <v>568 BHB5</v>
      </c>
      <c r="AA211" s="3">
        <f>IF(INDEX('CAMD Facility Data 2023'!$AA$2:$AE$10000,MATCH(Z211,'CAMD Facility Data 2023'!$AE$2:$AE$10000,0),1)&gt;0,INDEX('CAMD Facility Data 2023'!$AA$2:$AE$10000,MATCH(Z211,'CAMD Facility Data 2023'!$AE$2:$AE$10000,0),1),"")</f>
        <v>43594</v>
      </c>
      <c r="AB211" s="5">
        <f>IF(INDEX('CAMD Facility Data 2023'!$AC$2:$AE$10000,MATCH(Z211,'CAMD Facility Data 2023'!$AE$2:$AE$10000,0),1)&gt;0,INDEX('CAMD Facility Data 2023'!$AC$2:$AE$10000,MATCH(Z211,'CAMD Facility Data 2023'!$AE$2:$AE$10000,0),1),"")</f>
        <v>3706</v>
      </c>
      <c r="AC211" s="1" t="str">
        <f>IF(INDEX('CAMD Facility Data 2023'!$AE$2:$AG$10000,MATCH(Z211,'CAMD Facility Data 2023'!$AE$2:$AE$10000,0),3)&gt;0,INDEX('CAMD Facility Data 2023'!$AE$2:$AG$10000,MATCH(Z211,'CAMD Facility Data 2023'!$AE$2:$AE$10000,0),3),"")</f>
        <v>Y</v>
      </c>
      <c r="AD211" s="20">
        <f t="shared" si="10"/>
        <v>4.0802857254813064E-2</v>
      </c>
      <c r="AE211" s="25">
        <f t="shared" si="11"/>
        <v>0.60679173126018038</v>
      </c>
    </row>
    <row r="212" spans="1:31" x14ac:dyDescent="0.2">
      <c r="A212" s="1" t="s">
        <v>651</v>
      </c>
      <c r="B212" s="1" t="s">
        <v>652</v>
      </c>
      <c r="C212" s="1">
        <v>589</v>
      </c>
      <c r="D212" s="1">
        <v>1</v>
      </c>
      <c r="F212" s="1">
        <v>2023</v>
      </c>
      <c r="G212" s="5">
        <v>4118</v>
      </c>
      <c r="H212" s="5">
        <v>4107.5</v>
      </c>
      <c r="I212" s="5">
        <v>209141.5</v>
      </c>
      <c r="K212" s="5">
        <v>0.94</v>
      </c>
      <c r="L212" s="5">
        <v>1E-3</v>
      </c>
      <c r="M212" s="5">
        <v>329390</v>
      </c>
      <c r="N212" s="6">
        <v>0.104</v>
      </c>
      <c r="O212" s="5">
        <v>109.048</v>
      </c>
      <c r="P212" s="6">
        <v>6.83E-2</v>
      </c>
      <c r="Q212" s="5">
        <v>3145989.875</v>
      </c>
      <c r="R212" s="1" t="s">
        <v>657</v>
      </c>
      <c r="S212" s="1" t="s">
        <v>341</v>
      </c>
      <c r="T212" s="1" t="s">
        <v>656</v>
      </c>
      <c r="V212" s="1" t="s">
        <v>454</v>
      </c>
      <c r="W212" s="1" t="s">
        <v>658</v>
      </c>
      <c r="Y212" s="1" t="s">
        <v>247</v>
      </c>
      <c r="Z212" s="1" t="str">
        <f t="shared" si="9"/>
        <v>589 1</v>
      </c>
      <c r="AA212" s="3">
        <f>IF(INDEX('CAMD Facility Data 2023'!$AA$2:$AE$10000,MATCH(Z212,'CAMD Facility Data 2023'!$AE$2:$AE$10000,0),1)&gt;0,INDEX('CAMD Facility Data 2023'!$AA$2:$AE$10000,MATCH(Z212,'CAMD Facility Data 2023'!$AE$2:$AE$10000,0),1),"")</f>
        <v>30835</v>
      </c>
      <c r="AB212" s="5">
        <f>IF(INDEX('CAMD Facility Data 2023'!$AC$2:$AE$10000,MATCH(Z212,'CAMD Facility Data 2023'!$AE$2:$AE$10000,0),1)&gt;0,INDEX('CAMD Facility Data 2023'!$AC$2:$AE$10000,MATCH(Z212,'CAMD Facility Data 2023'!$AE$2:$AE$10000,0),1),"")</f>
        <v>842</v>
      </c>
      <c r="AC212" s="1" t="str">
        <f>IF(INDEX('CAMD Facility Data 2023'!$AE$2:$AG$10000,MATCH(Z212,'CAMD Facility Data 2023'!$AE$2:$AE$10000,0),3)&gt;0,INDEX('CAMD Facility Data 2023'!$AE$2:$AG$10000,MATCH(Z212,'CAMD Facility Data 2023'!$AE$2:$AE$10000,0),3),"")</f>
        <v/>
      </c>
      <c r="AD212" s="20">
        <f t="shared" si="10"/>
        <v>1.0428155100733236</v>
      </c>
      <c r="AE212" s="25">
        <f t="shared" si="11"/>
        <v>0.42652169153136149</v>
      </c>
    </row>
    <row r="213" spans="1:31" x14ac:dyDescent="0.2">
      <c r="A213" s="1" t="s">
        <v>660</v>
      </c>
      <c r="B213" s="1" t="s">
        <v>661</v>
      </c>
      <c r="C213" s="1">
        <v>591</v>
      </c>
      <c r="D213" s="1">
        <v>11</v>
      </c>
      <c r="F213" s="1">
        <v>2023</v>
      </c>
      <c r="G213" s="5">
        <v>18</v>
      </c>
      <c r="H213" s="5">
        <v>13.83</v>
      </c>
      <c r="I213" s="5">
        <v>237.89</v>
      </c>
      <c r="M213" s="5">
        <v>390.1</v>
      </c>
      <c r="N213" s="6">
        <v>8.2600000000000007E-2</v>
      </c>
      <c r="O213" s="5">
        <v>1.54</v>
      </c>
      <c r="P213" s="6">
        <v>0.62290000000000001</v>
      </c>
      <c r="Q213" s="5">
        <v>4816.8</v>
      </c>
      <c r="R213" s="1" t="s">
        <v>94</v>
      </c>
      <c r="T213" s="1" t="s">
        <v>93</v>
      </c>
      <c r="V213" s="1" t="s">
        <v>95</v>
      </c>
      <c r="Y213" s="1" t="s">
        <v>617</v>
      </c>
      <c r="Z213" s="1" t="str">
        <f t="shared" si="9"/>
        <v>591 11</v>
      </c>
      <c r="AA213" s="3">
        <f>IF(INDEX('CAMD Facility Data 2023'!$AA$2:$AE$10000,MATCH(Z213,'CAMD Facility Data 2023'!$AE$2:$AE$10000,0),1)&gt;0,INDEX('CAMD Facility Data 2023'!$AA$2:$AE$10000,MATCH(Z213,'CAMD Facility Data 2023'!$AE$2:$AE$10000,0),1),"")</f>
        <v>26969</v>
      </c>
      <c r="AB213" s="5">
        <f>IF(INDEX('CAMD Facility Data 2023'!$AC$2:$AE$10000,MATCH(Z213,'CAMD Facility Data 2023'!$AE$2:$AE$10000,0),1)&gt;0,INDEX('CAMD Facility Data 2023'!$AC$2:$AE$10000,MATCH(Z213,'CAMD Facility Data 2023'!$AE$2:$AE$10000,0),1),"")</f>
        <v>391</v>
      </c>
      <c r="AC213" s="1" t="str">
        <f>IF(INDEX('CAMD Facility Data 2023'!$AE$2:$AG$10000,MATCH(Z213,'CAMD Facility Data 2023'!$AE$2:$AE$10000,0),3)&gt;0,INDEX('CAMD Facility Data 2023'!$AE$2:$AG$10000,MATCH(Z213,'CAMD Facility Data 2023'!$AE$2:$AE$10000,0),3),"")</f>
        <v/>
      </c>
      <c r="AD213" s="20">
        <f t="shared" si="10"/>
        <v>12.947160452309891</v>
      </c>
      <c r="AE213" s="25">
        <f t="shared" si="11"/>
        <v>1.4062992677714326E-3</v>
      </c>
    </row>
    <row r="214" spans="1:31" x14ac:dyDescent="0.2">
      <c r="A214" s="1" t="s">
        <v>660</v>
      </c>
      <c r="B214" s="1" t="s">
        <v>661</v>
      </c>
      <c r="C214" s="1">
        <v>591</v>
      </c>
      <c r="D214" s="1">
        <v>14</v>
      </c>
      <c r="F214" s="1">
        <v>2023</v>
      </c>
      <c r="G214" s="5">
        <v>17</v>
      </c>
      <c r="H214" s="5">
        <v>14.05</v>
      </c>
      <c r="I214" s="5">
        <v>242.22</v>
      </c>
      <c r="M214" s="5">
        <v>503.1</v>
      </c>
      <c r="N214" s="6">
        <v>8.1100000000000005E-2</v>
      </c>
      <c r="O214" s="5">
        <v>2.093</v>
      </c>
      <c r="P214" s="6">
        <v>0.49619999999999997</v>
      </c>
      <c r="Q214" s="5">
        <v>6210.2</v>
      </c>
      <c r="R214" s="1" t="s">
        <v>94</v>
      </c>
      <c r="T214" s="1" t="s">
        <v>93</v>
      </c>
      <c r="V214" s="1" t="s">
        <v>95</v>
      </c>
      <c r="Y214" s="1" t="s">
        <v>617</v>
      </c>
      <c r="Z214" s="1" t="str">
        <f t="shared" si="9"/>
        <v>591 14</v>
      </c>
      <c r="AA214" s="3">
        <f>IF(INDEX('CAMD Facility Data 2023'!$AA$2:$AE$10000,MATCH(Z214,'CAMD Facility Data 2023'!$AE$2:$AE$10000,0),1)&gt;0,INDEX('CAMD Facility Data 2023'!$AA$2:$AE$10000,MATCH(Z214,'CAMD Facility Data 2023'!$AE$2:$AE$10000,0),1),"")</f>
        <v>26969</v>
      </c>
      <c r="AB214" s="5">
        <f>IF(INDEX('CAMD Facility Data 2023'!$AC$2:$AE$10000,MATCH(Z214,'CAMD Facility Data 2023'!$AE$2:$AE$10000,0),1)&gt;0,INDEX('CAMD Facility Data 2023'!$AC$2:$AE$10000,MATCH(Z214,'CAMD Facility Data 2023'!$AE$2:$AE$10000,0),1),"")</f>
        <v>391</v>
      </c>
      <c r="AC214" s="1" t="str">
        <f>IF(INDEX('CAMD Facility Data 2023'!$AE$2:$AG$10000,MATCH(Z214,'CAMD Facility Data 2023'!$AE$2:$AE$10000,0),3)&gt;0,INDEX('CAMD Facility Data 2023'!$AE$2:$AG$10000,MATCH(Z214,'CAMD Facility Data 2023'!$AE$2:$AE$10000,0),3),"")</f>
        <v/>
      </c>
      <c r="AD214" s="20">
        <f t="shared" si="10"/>
        <v>17.281809924861697</v>
      </c>
      <c r="AE214" s="25">
        <f t="shared" si="11"/>
        <v>1.813112380151584E-3</v>
      </c>
    </row>
    <row r="215" spans="1:31" x14ac:dyDescent="0.2">
      <c r="A215" s="1" t="s">
        <v>660</v>
      </c>
      <c r="B215" s="1" t="s">
        <v>667</v>
      </c>
      <c r="C215" s="1">
        <v>593</v>
      </c>
      <c r="D215" s="1">
        <v>3</v>
      </c>
      <c r="F215" s="1">
        <v>2023</v>
      </c>
      <c r="G215" s="5">
        <v>1019</v>
      </c>
      <c r="H215" s="5">
        <v>981.18</v>
      </c>
      <c r="I215" s="5">
        <v>36900.879999999997</v>
      </c>
      <c r="K215" s="5">
        <v>0.13100000000000001</v>
      </c>
      <c r="L215" s="5">
        <v>1E-3</v>
      </c>
      <c r="M215" s="5">
        <v>26058.830999999998</v>
      </c>
      <c r="N215" s="6">
        <v>5.8999999999999997E-2</v>
      </c>
      <c r="O215" s="5">
        <v>12.997999999999999</v>
      </c>
      <c r="P215" s="6">
        <v>5.3499999999999999E-2</v>
      </c>
      <c r="Q215" s="5">
        <v>439605.38500000001</v>
      </c>
      <c r="R215" s="1" t="s">
        <v>44</v>
      </c>
      <c r="S215" s="1" t="s">
        <v>173</v>
      </c>
      <c r="T215" s="1" t="s">
        <v>43</v>
      </c>
      <c r="V215" s="1" t="s">
        <v>669</v>
      </c>
      <c r="W215" s="1" t="s">
        <v>58</v>
      </c>
      <c r="Y215" s="1" t="s">
        <v>579</v>
      </c>
      <c r="Z215" s="1" t="str">
        <f t="shared" si="9"/>
        <v>593 3</v>
      </c>
      <c r="AA215" s="3">
        <f>IF(INDEX('CAMD Facility Data 2023'!$AA$2:$AE$10000,MATCH(Z215,'CAMD Facility Data 2023'!$AE$2:$AE$10000,0),1)&gt;0,INDEX('CAMD Facility Data 2023'!$AA$2:$AE$10000,MATCH(Z215,'CAMD Facility Data 2023'!$AE$2:$AE$10000,0),1),"")</f>
        <v>20059</v>
      </c>
      <c r="AB215" s="5">
        <f>IF(INDEX('CAMD Facility Data 2023'!$AC$2:$AE$10000,MATCH(Z215,'CAMD Facility Data 2023'!$AE$2:$AE$10000,0),1)&gt;0,INDEX('CAMD Facility Data 2023'!$AC$2:$AE$10000,MATCH(Z215,'CAMD Facility Data 2023'!$AE$2:$AE$10000,0),1),"")</f>
        <v>1400</v>
      </c>
      <c r="AC215" s="1" t="str">
        <f>IF(INDEX('CAMD Facility Data 2023'!$AE$2:$AG$10000,MATCH(Z215,'CAMD Facility Data 2023'!$AE$2:$AE$10000,0),3)&gt;0,INDEX('CAMD Facility Data 2023'!$AE$2:$AG$10000,MATCH(Z215,'CAMD Facility Data 2023'!$AE$2:$AE$10000,0),3),"")</f>
        <v>Y</v>
      </c>
      <c r="AD215" s="20">
        <f t="shared" si="10"/>
        <v>0.70448184433541972</v>
      </c>
      <c r="AE215" s="25">
        <f t="shared" si="11"/>
        <v>3.5845187948467055E-2</v>
      </c>
    </row>
    <row r="216" spans="1:31" x14ac:dyDescent="0.2">
      <c r="A216" s="1" t="s">
        <v>660</v>
      </c>
      <c r="B216" s="1" t="s">
        <v>667</v>
      </c>
      <c r="C216" s="1">
        <v>593</v>
      </c>
      <c r="D216" s="1">
        <v>4</v>
      </c>
      <c r="F216" s="1">
        <v>2023</v>
      </c>
      <c r="G216" s="5">
        <v>1041</v>
      </c>
      <c r="H216" s="5">
        <v>1002.64</v>
      </c>
      <c r="I216" s="5">
        <v>86326.9</v>
      </c>
      <c r="K216" s="5">
        <v>0.27500000000000002</v>
      </c>
      <c r="L216" s="5">
        <v>1E-3</v>
      </c>
      <c r="M216" s="5">
        <v>53530.974999999999</v>
      </c>
      <c r="N216" s="6">
        <v>5.8999999999999997E-2</v>
      </c>
      <c r="O216" s="5">
        <v>21.295999999999999</v>
      </c>
      <c r="P216" s="6">
        <v>4.6100000000000002E-2</v>
      </c>
      <c r="Q216" s="5">
        <v>903017.728</v>
      </c>
      <c r="R216" s="1" t="s">
        <v>44</v>
      </c>
      <c r="S216" s="1" t="s">
        <v>173</v>
      </c>
      <c r="T216" s="1" t="s">
        <v>43</v>
      </c>
      <c r="V216" s="1" t="s">
        <v>242</v>
      </c>
      <c r="W216" s="1" t="s">
        <v>58</v>
      </c>
      <c r="Y216" s="1" t="s">
        <v>579</v>
      </c>
      <c r="Z216" s="1" t="str">
        <f t="shared" si="9"/>
        <v>593 4</v>
      </c>
      <c r="AA216" s="3">
        <f>IF(INDEX('CAMD Facility Data 2023'!$AA$2:$AE$10000,MATCH(Z216,'CAMD Facility Data 2023'!$AE$2:$AE$10000,0),1)&gt;0,INDEX('CAMD Facility Data 2023'!$AA$2:$AE$10000,MATCH(Z216,'CAMD Facility Data 2023'!$AE$2:$AE$10000,0),1),"")</f>
        <v>24198</v>
      </c>
      <c r="AB216" s="5">
        <f>IF(INDEX('CAMD Facility Data 2023'!$AC$2:$AE$10000,MATCH(Z216,'CAMD Facility Data 2023'!$AE$2:$AE$10000,0),1)&gt;0,INDEX('CAMD Facility Data 2023'!$AC$2:$AE$10000,MATCH(Z216,'CAMD Facility Data 2023'!$AE$2:$AE$10000,0),1),"")</f>
        <v>1867</v>
      </c>
      <c r="AC216" s="1" t="str">
        <f>IF(INDEX('CAMD Facility Data 2023'!$AE$2:$AG$10000,MATCH(Z216,'CAMD Facility Data 2023'!$AE$2:$AE$10000,0),3)&gt;0,INDEX('CAMD Facility Data 2023'!$AE$2:$AG$10000,MATCH(Z216,'CAMD Facility Data 2023'!$AE$2:$AE$10000,0),3),"")</f>
        <v/>
      </c>
      <c r="AD216" s="20">
        <f t="shared" si="10"/>
        <v>0.49338039475528489</v>
      </c>
      <c r="AE216" s="25">
        <f t="shared" si="11"/>
        <v>5.5213827276440364E-2</v>
      </c>
    </row>
    <row r="217" spans="1:31" x14ac:dyDescent="0.2">
      <c r="A217" s="1" t="s">
        <v>660</v>
      </c>
      <c r="B217" s="1" t="s">
        <v>667</v>
      </c>
      <c r="C217" s="1">
        <v>593</v>
      </c>
      <c r="D217" s="1">
        <v>5</v>
      </c>
      <c r="F217" s="1">
        <v>2023</v>
      </c>
      <c r="G217" s="5">
        <v>1167</v>
      </c>
      <c r="H217" s="5">
        <v>1121.19</v>
      </c>
      <c r="I217" s="5">
        <v>143220.93</v>
      </c>
      <c r="K217" s="5">
        <v>26.91</v>
      </c>
      <c r="L217" s="5">
        <v>1.6400000000000001E-2</v>
      </c>
      <c r="M217" s="5">
        <v>99639.813999999998</v>
      </c>
      <c r="N217" s="6">
        <v>5.9700000000000003E-2</v>
      </c>
      <c r="O217" s="5">
        <v>57.872999999999998</v>
      </c>
      <c r="P217" s="6">
        <v>5.6099999999999997E-2</v>
      </c>
      <c r="Q217" s="5">
        <v>1639062.814</v>
      </c>
      <c r="R217" s="1" t="s">
        <v>173</v>
      </c>
      <c r="S217" s="1" t="s">
        <v>44</v>
      </c>
      <c r="T217" s="1" t="s">
        <v>89</v>
      </c>
      <c r="V217" s="1" t="s">
        <v>289</v>
      </c>
      <c r="W217" s="1" t="s">
        <v>672</v>
      </c>
      <c r="Y217" s="1" t="s">
        <v>594</v>
      </c>
      <c r="Z217" s="1" t="str">
        <f t="shared" si="9"/>
        <v>593 5</v>
      </c>
      <c r="AA217" s="3">
        <f>IF(INDEX('CAMD Facility Data 2023'!$AA$2:$AE$10000,MATCH(Z217,'CAMD Facility Data 2023'!$AE$2:$AE$10000,0),1)&gt;0,INDEX('CAMD Facility Data 2023'!$AA$2:$AE$10000,MATCH(Z217,'CAMD Facility Data 2023'!$AE$2:$AE$10000,0),1),"")</f>
        <v>26877</v>
      </c>
      <c r="AB217" s="5">
        <f>IF(INDEX('CAMD Facility Data 2023'!$AC$2:$AE$10000,MATCH(Z217,'CAMD Facility Data 2023'!$AE$2:$AE$10000,0),1)&gt;0,INDEX('CAMD Facility Data 2023'!$AC$2:$AE$10000,MATCH(Z217,'CAMD Facility Data 2023'!$AE$2:$AE$10000,0),1),"")</f>
        <v>4695</v>
      </c>
      <c r="AC217" s="1" t="str">
        <f>IF(INDEX('CAMD Facility Data 2023'!$AE$2:$AG$10000,MATCH(Z217,'CAMD Facility Data 2023'!$AE$2:$AE$10000,0),3)&gt;0,INDEX('CAMD Facility Data 2023'!$AE$2:$AG$10000,MATCH(Z217,'CAMD Facility Data 2023'!$AE$2:$AE$10000,0),3),"")</f>
        <v/>
      </c>
      <c r="AD217" s="20">
        <f t="shared" si="10"/>
        <v>0.8081640022865374</v>
      </c>
      <c r="AE217" s="25">
        <f t="shared" si="11"/>
        <v>3.9852529748445109E-2</v>
      </c>
    </row>
    <row r="218" spans="1:31" x14ac:dyDescent="0.2">
      <c r="A218" s="1" t="s">
        <v>660</v>
      </c>
      <c r="B218" s="1" t="s">
        <v>674</v>
      </c>
      <c r="C218" s="1">
        <v>594</v>
      </c>
      <c r="D218" s="1">
        <v>4</v>
      </c>
      <c r="F218" s="1">
        <v>2023</v>
      </c>
      <c r="G218" s="5">
        <v>291</v>
      </c>
      <c r="H218" s="5">
        <v>279.32</v>
      </c>
      <c r="I218" s="5">
        <v>26070.6</v>
      </c>
      <c r="K218" s="5">
        <v>129.114</v>
      </c>
      <c r="L218" s="5">
        <v>0.67830000000000001</v>
      </c>
      <c r="M218" s="5">
        <v>31534.173999999999</v>
      </c>
      <c r="N218" s="6">
        <v>0.1028</v>
      </c>
      <c r="O218" s="5">
        <v>21.669</v>
      </c>
      <c r="P218" s="6">
        <v>0.104</v>
      </c>
      <c r="Q218" s="5">
        <v>307359.68800000002</v>
      </c>
      <c r="R218" s="1" t="s">
        <v>55</v>
      </c>
      <c r="T218" s="1" t="s">
        <v>319</v>
      </c>
      <c r="U218" s="1" t="s">
        <v>212</v>
      </c>
      <c r="V218" s="1" t="s">
        <v>678</v>
      </c>
      <c r="W218" s="1" t="s">
        <v>58</v>
      </c>
      <c r="Y218" s="1" t="s">
        <v>594</v>
      </c>
      <c r="Z218" s="1" t="str">
        <f t="shared" si="9"/>
        <v>594 4</v>
      </c>
      <c r="AA218" s="3">
        <f>IF(INDEX('CAMD Facility Data 2023'!$AA$2:$AE$10000,MATCH(Z218,'CAMD Facility Data 2023'!$AE$2:$AE$10000,0),1)&gt;0,INDEX('CAMD Facility Data 2023'!$AA$2:$AE$10000,MATCH(Z218,'CAMD Facility Data 2023'!$AE$2:$AE$10000,0),1),"")</f>
        <v>29373</v>
      </c>
      <c r="AB218" s="5">
        <f>IF(INDEX('CAMD Facility Data 2023'!$AC$2:$AE$10000,MATCH(Z218,'CAMD Facility Data 2023'!$AE$2:$AE$10000,0),1)&gt;0,INDEX('CAMD Facility Data 2023'!$AC$2:$AE$10000,MATCH(Z218,'CAMD Facility Data 2023'!$AE$2:$AE$10000,0),1),"")</f>
        <v>5091</v>
      </c>
      <c r="AC218" s="1" t="str">
        <f>IF(INDEX('CAMD Facility Data 2023'!$AE$2:$AG$10000,MATCH(Z218,'CAMD Facility Data 2023'!$AE$2:$AE$10000,0),3)&gt;0,INDEX('CAMD Facility Data 2023'!$AE$2:$AG$10000,MATCH(Z218,'CAMD Facility Data 2023'!$AE$2:$AE$10000,0),3),"")</f>
        <v>Y</v>
      </c>
      <c r="AD218" s="20">
        <f t="shared" si="10"/>
        <v>1.6623322823410278</v>
      </c>
      <c r="AE218" s="25">
        <f t="shared" si="11"/>
        <v>6.8919116822685573E-3</v>
      </c>
    </row>
    <row r="219" spans="1:31" x14ac:dyDescent="0.2">
      <c r="A219" s="1" t="s">
        <v>680</v>
      </c>
      <c r="B219" s="1" t="s">
        <v>681</v>
      </c>
      <c r="C219" s="1">
        <v>602</v>
      </c>
      <c r="D219" s="1">
        <v>1</v>
      </c>
      <c r="F219" s="1">
        <v>2023</v>
      </c>
      <c r="G219" s="5">
        <v>1961</v>
      </c>
      <c r="H219" s="5">
        <v>1947.52</v>
      </c>
      <c r="I219" s="5">
        <v>544329.49</v>
      </c>
      <c r="K219" s="5">
        <v>291.83199999999999</v>
      </c>
      <c r="L219" s="5">
        <v>8.5199999999999998E-2</v>
      </c>
      <c r="M219" s="5">
        <v>649917.36199999996</v>
      </c>
      <c r="N219" s="6">
        <v>0.1028</v>
      </c>
      <c r="O219" s="5">
        <v>308.15899999999999</v>
      </c>
      <c r="P219" s="6">
        <v>9.7900000000000001E-2</v>
      </c>
      <c r="Q219" s="5">
        <v>6334463.4210000001</v>
      </c>
      <c r="R219" s="1" t="s">
        <v>55</v>
      </c>
      <c r="T219" s="1" t="s">
        <v>89</v>
      </c>
      <c r="U219" s="1" t="s">
        <v>241</v>
      </c>
      <c r="V219" s="1" t="s">
        <v>563</v>
      </c>
      <c r="W219" s="1" t="s">
        <v>687</v>
      </c>
      <c r="Y219" s="1" t="s">
        <v>682</v>
      </c>
      <c r="Z219" s="1" t="str">
        <f t="shared" si="9"/>
        <v>602 1</v>
      </c>
      <c r="AA219" s="3">
        <f>IF(INDEX('CAMD Facility Data 2023'!$AA$2:$AE$10000,MATCH(Z219,'CAMD Facility Data 2023'!$AE$2:$AE$10000,0),1)&gt;0,INDEX('CAMD Facility Data 2023'!$AA$2:$AE$10000,MATCH(Z219,'CAMD Facility Data 2023'!$AE$2:$AE$10000,0),1),"")</f>
        <v>30817</v>
      </c>
      <c r="AB219" s="5">
        <f>IF(INDEX('CAMD Facility Data 2023'!$AC$2:$AE$10000,MATCH(Z219,'CAMD Facility Data 2023'!$AE$2:$AE$10000,0),1)&gt;0,INDEX('CAMD Facility Data 2023'!$AC$2:$AE$10000,MATCH(Z219,'CAMD Facility Data 2023'!$AE$2:$AE$10000,0),1),"")</f>
        <v>8000</v>
      </c>
      <c r="AC219" s="1" t="str">
        <f>IF(INDEX('CAMD Facility Data 2023'!$AE$2:$AG$10000,MATCH(Z219,'CAMD Facility Data 2023'!$AE$2:$AE$10000,0),3)&gt;0,INDEX('CAMD Facility Data 2023'!$AE$2:$AG$10000,MATCH(Z219,'CAMD Facility Data 2023'!$AE$2:$AE$10000,0),3),"")</f>
        <v>Y</v>
      </c>
      <c r="AD219" s="20">
        <f t="shared" si="10"/>
        <v>1.1322517176131686</v>
      </c>
      <c r="AE219" s="25">
        <f t="shared" si="11"/>
        <v>9.0389032833904107E-2</v>
      </c>
    </row>
    <row r="220" spans="1:31" x14ac:dyDescent="0.2">
      <c r="A220" s="1" t="s">
        <v>680</v>
      </c>
      <c r="B220" s="1" t="s">
        <v>681</v>
      </c>
      <c r="C220" s="1">
        <v>602</v>
      </c>
      <c r="D220" s="1">
        <v>2</v>
      </c>
      <c r="F220" s="1">
        <v>2023</v>
      </c>
      <c r="G220" s="5">
        <v>2543</v>
      </c>
      <c r="H220" s="5">
        <v>2529.9699999999998</v>
      </c>
      <c r="I220" s="5">
        <v>722368.77</v>
      </c>
      <c r="K220" s="5">
        <v>241.31100000000001</v>
      </c>
      <c r="L220" s="5">
        <v>7.9299999999999995E-2</v>
      </c>
      <c r="M220" s="5">
        <v>701886.49399999995</v>
      </c>
      <c r="N220" s="6">
        <v>0.1028</v>
      </c>
      <c r="O220" s="5">
        <v>314.18900000000002</v>
      </c>
      <c r="P220" s="6">
        <v>9.0899999999999995E-2</v>
      </c>
      <c r="Q220" s="5">
        <v>6840999.4179999996</v>
      </c>
      <c r="R220" s="1" t="s">
        <v>55</v>
      </c>
      <c r="T220" s="1" t="s">
        <v>89</v>
      </c>
      <c r="U220" s="1" t="s">
        <v>56</v>
      </c>
      <c r="V220" s="1" t="s">
        <v>563</v>
      </c>
      <c r="W220" s="1" t="s">
        <v>687</v>
      </c>
      <c r="Y220" s="1" t="s">
        <v>682</v>
      </c>
      <c r="Z220" s="1" t="str">
        <f t="shared" si="9"/>
        <v>602 2</v>
      </c>
      <c r="AA220" s="3">
        <f>IF(INDEX('CAMD Facility Data 2023'!$AA$2:$AE$10000,MATCH(Z220,'CAMD Facility Data 2023'!$AE$2:$AE$10000,0),1)&gt;0,INDEX('CAMD Facility Data 2023'!$AA$2:$AE$10000,MATCH(Z220,'CAMD Facility Data 2023'!$AE$2:$AE$10000,0),1),"")</f>
        <v>33386</v>
      </c>
      <c r="AB220" s="5">
        <f>IF(INDEX('CAMD Facility Data 2023'!$AC$2:$AE$10000,MATCH(Z220,'CAMD Facility Data 2023'!$AE$2:$AE$10000,0),1)&gt;0,INDEX('CAMD Facility Data 2023'!$AC$2:$AE$10000,MATCH(Z220,'CAMD Facility Data 2023'!$AE$2:$AE$10000,0),1),"")</f>
        <v>8000</v>
      </c>
      <c r="AC220" s="1" t="str">
        <f>IF(INDEX('CAMD Facility Data 2023'!$AE$2:$AG$10000,MATCH(Z220,'CAMD Facility Data 2023'!$AE$2:$AE$10000,0),3)&gt;0,INDEX('CAMD Facility Data 2023'!$AE$2:$AG$10000,MATCH(Z220,'CAMD Facility Data 2023'!$AE$2:$AE$10000,0),3),"")</f>
        <v>Y</v>
      </c>
      <c r="AD220" s="20">
        <f t="shared" si="10"/>
        <v>0.8698853357129489</v>
      </c>
      <c r="AE220" s="25">
        <f t="shared" si="11"/>
        <v>9.7617000827625561E-2</v>
      </c>
    </row>
    <row r="221" spans="1:31" x14ac:dyDescent="0.2">
      <c r="A221" s="1" t="s">
        <v>690</v>
      </c>
      <c r="B221" s="1" t="s">
        <v>691</v>
      </c>
      <c r="C221" s="1">
        <v>607</v>
      </c>
      <c r="D221" s="1" t="s">
        <v>101</v>
      </c>
      <c r="F221" s="1">
        <v>2023</v>
      </c>
      <c r="G221" s="5">
        <v>3102</v>
      </c>
      <c r="H221" s="5">
        <v>2973.7</v>
      </c>
      <c r="I221" s="5">
        <v>150831.75</v>
      </c>
      <c r="K221" s="5">
        <v>1.4059999999999999</v>
      </c>
      <c r="L221" s="5">
        <v>2E-3</v>
      </c>
      <c r="M221" s="5">
        <v>92146.767000000007</v>
      </c>
      <c r="N221" s="6">
        <v>5.9299999999999999E-2</v>
      </c>
      <c r="O221" s="5">
        <v>16.512</v>
      </c>
      <c r="P221" s="6">
        <v>2.3E-2</v>
      </c>
      <c r="Q221" s="5">
        <v>1546729.3540000001</v>
      </c>
      <c r="R221" s="1" t="s">
        <v>284</v>
      </c>
      <c r="S221" s="1" t="s">
        <v>94</v>
      </c>
      <c r="T221" s="1" t="s">
        <v>93</v>
      </c>
      <c r="V221" s="1" t="s">
        <v>176</v>
      </c>
      <c r="Y221" s="1" t="s">
        <v>247</v>
      </c>
      <c r="Z221" s="1" t="str">
        <f t="shared" si="9"/>
        <v>607 CT3</v>
      </c>
      <c r="AA221" s="3">
        <f>IF(INDEX('CAMD Facility Data 2023'!$AA$2:$AE$10000,MATCH(Z221,'CAMD Facility Data 2023'!$AE$2:$AE$10000,0),1)&gt;0,INDEX('CAMD Facility Data 2023'!$AA$2:$AE$10000,MATCH(Z221,'CAMD Facility Data 2023'!$AE$2:$AE$10000,0),1),"")</f>
        <v>37080</v>
      </c>
      <c r="AB221" s="5">
        <f>IF(INDEX('CAMD Facility Data 2023'!$AC$2:$AE$10000,MATCH(Z221,'CAMD Facility Data 2023'!$AE$2:$AE$10000,0),1)&gt;0,INDEX('CAMD Facility Data 2023'!$AC$2:$AE$10000,MATCH(Z221,'CAMD Facility Data 2023'!$AE$2:$AE$10000,0),1),"")</f>
        <v>675</v>
      </c>
      <c r="AC221" s="1" t="str">
        <f>IF(INDEX('CAMD Facility Data 2023'!$AE$2:$AG$10000,MATCH(Z221,'CAMD Facility Data 2023'!$AE$2:$AE$10000,0),3)&gt;0,INDEX('CAMD Facility Data 2023'!$AE$2:$AG$10000,MATCH(Z221,'CAMD Facility Data 2023'!$AE$2:$AE$10000,0),3),"")</f>
        <v>Y</v>
      </c>
      <c r="AD221" s="20">
        <f t="shared" si="10"/>
        <v>0.21894594473643647</v>
      </c>
      <c r="AE221" s="25">
        <f t="shared" si="11"/>
        <v>0.2615811523761204</v>
      </c>
    </row>
    <row r="222" spans="1:31" x14ac:dyDescent="0.2">
      <c r="A222" s="1" t="s">
        <v>690</v>
      </c>
      <c r="B222" s="1" t="s">
        <v>691</v>
      </c>
      <c r="C222" s="1">
        <v>607</v>
      </c>
      <c r="D222" s="1" t="s">
        <v>103</v>
      </c>
      <c r="F222" s="1">
        <v>2023</v>
      </c>
      <c r="G222" s="5">
        <v>2905</v>
      </c>
      <c r="H222" s="5">
        <v>2781.34</v>
      </c>
      <c r="I222" s="5">
        <v>139710.56</v>
      </c>
      <c r="K222" s="5">
        <v>1.3480000000000001</v>
      </c>
      <c r="L222" s="5">
        <v>2E-3</v>
      </c>
      <c r="M222" s="5">
        <v>88292.392999999996</v>
      </c>
      <c r="N222" s="6">
        <v>5.9299999999999999E-2</v>
      </c>
      <c r="O222" s="5">
        <v>14.948</v>
      </c>
      <c r="P222" s="6">
        <v>2.3699999999999999E-2</v>
      </c>
      <c r="Q222" s="5">
        <v>1482540.84</v>
      </c>
      <c r="R222" s="1" t="s">
        <v>284</v>
      </c>
      <c r="S222" s="1" t="s">
        <v>94</v>
      </c>
      <c r="T222" s="1" t="s">
        <v>93</v>
      </c>
      <c r="V222" s="1" t="s">
        <v>176</v>
      </c>
      <c r="Y222" s="1" t="s">
        <v>247</v>
      </c>
      <c r="Z222" s="1" t="str">
        <f t="shared" si="9"/>
        <v>607 CT4</v>
      </c>
      <c r="AA222" s="3">
        <f>IF(INDEX('CAMD Facility Data 2023'!$AA$2:$AE$10000,MATCH(Z222,'CAMD Facility Data 2023'!$AE$2:$AE$10000,0),1)&gt;0,INDEX('CAMD Facility Data 2023'!$AA$2:$AE$10000,MATCH(Z222,'CAMD Facility Data 2023'!$AE$2:$AE$10000,0),1),"")</f>
        <v>37087</v>
      </c>
      <c r="AB222" s="5">
        <f>IF(INDEX('CAMD Facility Data 2023'!$AC$2:$AE$10000,MATCH(Z222,'CAMD Facility Data 2023'!$AE$2:$AE$10000,0),1)&gt;0,INDEX('CAMD Facility Data 2023'!$AC$2:$AE$10000,MATCH(Z222,'CAMD Facility Data 2023'!$AE$2:$AE$10000,0),1),"")</f>
        <v>675</v>
      </c>
      <c r="AC222" s="1" t="str">
        <f>IF(INDEX('CAMD Facility Data 2023'!$AE$2:$AG$10000,MATCH(Z222,'CAMD Facility Data 2023'!$AE$2:$AE$10000,0),3)&gt;0,INDEX('CAMD Facility Data 2023'!$AE$2:$AG$10000,MATCH(Z222,'CAMD Facility Data 2023'!$AE$2:$AE$10000,0),3),"")</f>
        <v>Y</v>
      </c>
      <c r="AD222" s="20">
        <f t="shared" si="10"/>
        <v>0.21398525637575286</v>
      </c>
      <c r="AE222" s="25">
        <f t="shared" si="11"/>
        <v>0.25072566210045666</v>
      </c>
    </row>
    <row r="223" spans="1:31" x14ac:dyDescent="0.2">
      <c r="A223" s="1" t="s">
        <v>304</v>
      </c>
      <c r="B223" s="1" t="s">
        <v>698</v>
      </c>
      <c r="C223" s="1">
        <v>609</v>
      </c>
      <c r="D223" s="1" t="s">
        <v>699</v>
      </c>
      <c r="F223" s="1">
        <v>2023</v>
      </c>
      <c r="G223" s="5">
        <v>7466</v>
      </c>
      <c r="H223" s="5">
        <v>7366.74</v>
      </c>
      <c r="I223" s="5">
        <v>2583453.91</v>
      </c>
      <c r="K223" s="5">
        <v>5.0030000000000001</v>
      </c>
      <c r="L223" s="5">
        <v>1E-3</v>
      </c>
      <c r="M223" s="5">
        <v>988923.53700000001</v>
      </c>
      <c r="N223" s="6">
        <v>5.91E-2</v>
      </c>
      <c r="O223" s="5">
        <v>63.195</v>
      </c>
      <c r="P223" s="6">
        <v>8.6999999999999994E-3</v>
      </c>
      <c r="Q223" s="5">
        <v>16629373.069</v>
      </c>
      <c r="R223" s="1" t="s">
        <v>44</v>
      </c>
      <c r="S223" s="1" t="s">
        <v>94</v>
      </c>
      <c r="T223" s="1" t="s">
        <v>71</v>
      </c>
      <c r="V223" s="1" t="s">
        <v>643</v>
      </c>
      <c r="Y223" s="1" t="s">
        <v>247</v>
      </c>
      <c r="Z223" s="1" t="str">
        <f t="shared" si="9"/>
        <v>609 CCCT3A</v>
      </c>
      <c r="AA223" s="3">
        <f>IF(INDEX('CAMD Facility Data 2023'!$AA$2:$AE$10000,MATCH(Z223,'CAMD Facility Data 2023'!$AE$2:$AE$10000,0),1)&gt;0,INDEX('CAMD Facility Data 2023'!$AA$2:$AE$10000,MATCH(Z223,'CAMD Facility Data 2023'!$AE$2:$AE$10000,0),1),"")</f>
        <v>41259</v>
      </c>
      <c r="AB223" s="5">
        <f>IF(INDEX('CAMD Facility Data 2023'!$AC$2:$AE$10000,MATCH(Z223,'CAMD Facility Data 2023'!$AE$2:$AE$10000,0),1)&gt;0,INDEX('CAMD Facility Data 2023'!$AC$2:$AE$10000,MATCH(Z223,'CAMD Facility Data 2023'!$AE$2:$AE$10000,0),1),"")</f>
        <v>3046</v>
      </c>
      <c r="AC223" s="1" t="str">
        <f>IF(INDEX('CAMD Facility Data 2023'!$AE$2:$AG$10000,MATCH(Z223,'CAMD Facility Data 2023'!$AE$2:$AE$10000,0),3)&gt;0,INDEX('CAMD Facility Data 2023'!$AE$2:$AG$10000,MATCH(Z223,'CAMD Facility Data 2023'!$AE$2:$AE$10000,0),3),"")</f>
        <v>Y</v>
      </c>
      <c r="AD223" s="20">
        <f t="shared" si="10"/>
        <v>4.8922877822890981E-2</v>
      </c>
      <c r="AE223" s="25">
        <f t="shared" si="11"/>
        <v>0.62322070223843229</v>
      </c>
    </row>
    <row r="224" spans="1:31" x14ac:dyDescent="0.2">
      <c r="A224" s="1" t="s">
        <v>304</v>
      </c>
      <c r="B224" s="1" t="s">
        <v>698</v>
      </c>
      <c r="C224" s="1">
        <v>609</v>
      </c>
      <c r="D224" s="1" t="s">
        <v>704</v>
      </c>
      <c r="F224" s="1">
        <v>2023</v>
      </c>
      <c r="G224" s="5">
        <v>6488</v>
      </c>
      <c r="H224" s="5">
        <v>6412.29</v>
      </c>
      <c r="I224" s="5">
        <v>2270466.5299999998</v>
      </c>
      <c r="K224" s="5">
        <v>4.4050000000000002</v>
      </c>
      <c r="L224" s="5">
        <v>1E-3</v>
      </c>
      <c r="M224" s="5">
        <v>871309.95</v>
      </c>
      <c r="N224" s="6">
        <v>5.91E-2</v>
      </c>
      <c r="O224" s="5">
        <v>55.148000000000003</v>
      </c>
      <c r="P224" s="6">
        <v>8.6999999999999994E-3</v>
      </c>
      <c r="Q224" s="5">
        <v>14654472.17</v>
      </c>
      <c r="R224" s="1" t="s">
        <v>44</v>
      </c>
      <c r="S224" s="1" t="s">
        <v>94</v>
      </c>
      <c r="T224" s="1" t="s">
        <v>71</v>
      </c>
      <c r="V224" s="1" t="s">
        <v>643</v>
      </c>
      <c r="Y224" s="1" t="s">
        <v>247</v>
      </c>
      <c r="Z224" s="1" t="str">
        <f t="shared" si="9"/>
        <v>609 CCCT3B</v>
      </c>
      <c r="AA224" s="3">
        <f>IF(INDEX('CAMD Facility Data 2023'!$AA$2:$AE$10000,MATCH(Z224,'CAMD Facility Data 2023'!$AE$2:$AE$10000,0),1)&gt;0,INDEX('CAMD Facility Data 2023'!$AA$2:$AE$10000,MATCH(Z224,'CAMD Facility Data 2023'!$AE$2:$AE$10000,0),1),"")</f>
        <v>41249</v>
      </c>
      <c r="AB224" s="5">
        <f>IF(INDEX('CAMD Facility Data 2023'!$AC$2:$AE$10000,MATCH(Z224,'CAMD Facility Data 2023'!$AE$2:$AE$10000,0),1)&gt;0,INDEX('CAMD Facility Data 2023'!$AC$2:$AE$10000,MATCH(Z224,'CAMD Facility Data 2023'!$AE$2:$AE$10000,0),1),"")</f>
        <v>3046</v>
      </c>
      <c r="AC224" s="1" t="str">
        <f>IF(INDEX('CAMD Facility Data 2023'!$AE$2:$AG$10000,MATCH(Z224,'CAMD Facility Data 2023'!$AE$2:$AE$10000,0),3)&gt;0,INDEX('CAMD Facility Data 2023'!$AE$2:$AG$10000,MATCH(Z224,'CAMD Facility Data 2023'!$AE$2:$AE$10000,0),3),"")</f>
        <v>Y</v>
      </c>
      <c r="AD224" s="20">
        <f t="shared" si="10"/>
        <v>4.8578562397922694E-2</v>
      </c>
      <c r="AE224" s="25">
        <f t="shared" si="11"/>
        <v>0.54920714081196387</v>
      </c>
    </row>
    <row r="225" spans="1:31" x14ac:dyDescent="0.2">
      <c r="A225" s="1" t="s">
        <v>304</v>
      </c>
      <c r="B225" s="1" t="s">
        <v>698</v>
      </c>
      <c r="C225" s="1">
        <v>609</v>
      </c>
      <c r="D225" s="1" t="s">
        <v>706</v>
      </c>
      <c r="F225" s="1">
        <v>2023</v>
      </c>
      <c r="G225" s="5">
        <v>6859</v>
      </c>
      <c r="H225" s="5">
        <v>6727.08</v>
      </c>
      <c r="I225" s="5">
        <v>2375012.7000000002</v>
      </c>
      <c r="K225" s="5">
        <v>4.6379999999999999</v>
      </c>
      <c r="L225" s="5">
        <v>1E-3</v>
      </c>
      <c r="M225" s="5">
        <v>917070.60600000003</v>
      </c>
      <c r="N225" s="6">
        <v>5.91E-2</v>
      </c>
      <c r="O225" s="5">
        <v>60.307000000000002</v>
      </c>
      <c r="P225" s="6">
        <v>9.4999999999999998E-3</v>
      </c>
      <c r="Q225" s="5">
        <v>15422458.641000001</v>
      </c>
      <c r="R225" s="1" t="s">
        <v>44</v>
      </c>
      <c r="S225" s="1" t="s">
        <v>94</v>
      </c>
      <c r="T225" s="1" t="s">
        <v>71</v>
      </c>
      <c r="V225" s="1" t="s">
        <v>643</v>
      </c>
      <c r="Y225" s="1" t="s">
        <v>247</v>
      </c>
      <c r="Z225" s="1" t="str">
        <f t="shared" si="9"/>
        <v>609 CCCT3C</v>
      </c>
      <c r="AA225" s="3">
        <f>IF(INDEX('CAMD Facility Data 2023'!$AA$2:$AE$10000,MATCH(Z225,'CAMD Facility Data 2023'!$AE$2:$AE$10000,0),1)&gt;0,INDEX('CAMD Facility Data 2023'!$AA$2:$AE$10000,MATCH(Z225,'CAMD Facility Data 2023'!$AE$2:$AE$10000,0),1),"")</f>
        <v>41236</v>
      </c>
      <c r="AB225" s="5">
        <f>IF(INDEX('CAMD Facility Data 2023'!$AC$2:$AE$10000,MATCH(Z225,'CAMD Facility Data 2023'!$AE$2:$AE$10000,0),1)&gt;0,INDEX('CAMD Facility Data 2023'!$AC$2:$AE$10000,MATCH(Z225,'CAMD Facility Data 2023'!$AE$2:$AE$10000,0),1),"")</f>
        <v>3046</v>
      </c>
      <c r="AC225" s="1" t="str">
        <f>IF(INDEX('CAMD Facility Data 2023'!$AE$2:$AG$10000,MATCH(Z225,'CAMD Facility Data 2023'!$AE$2:$AE$10000,0),3)&gt;0,INDEX('CAMD Facility Data 2023'!$AE$2:$AG$10000,MATCH(Z225,'CAMD Facility Data 2023'!$AE$2:$AE$10000,0),3),"")</f>
        <v>Y</v>
      </c>
      <c r="AD225" s="20">
        <f t="shared" si="10"/>
        <v>5.0784570541454362E-2</v>
      </c>
      <c r="AE225" s="25">
        <f t="shared" si="11"/>
        <v>0.57798904772933746</v>
      </c>
    </row>
    <row r="226" spans="1:31" x14ac:dyDescent="0.2">
      <c r="A226" s="1" t="s">
        <v>304</v>
      </c>
      <c r="B226" s="1" t="s">
        <v>708</v>
      </c>
      <c r="C226" s="1">
        <v>612</v>
      </c>
      <c r="D226" s="1" t="s">
        <v>709</v>
      </c>
      <c r="F226" s="1">
        <v>2023</v>
      </c>
      <c r="G226" s="5">
        <v>7035</v>
      </c>
      <c r="H226" s="5">
        <v>6993.49</v>
      </c>
      <c r="I226" s="5">
        <v>1683241.47</v>
      </c>
      <c r="K226" s="5">
        <v>3.4950000000000001</v>
      </c>
      <c r="L226" s="5">
        <v>1E-3</v>
      </c>
      <c r="M226" s="5">
        <v>692220.28200000001</v>
      </c>
      <c r="N226" s="6">
        <v>5.8999999999999997E-2</v>
      </c>
      <c r="O226" s="5">
        <v>153.99199999999999</v>
      </c>
      <c r="P226" s="6">
        <v>2.76E-2</v>
      </c>
      <c r="Q226" s="5">
        <v>11647890.646</v>
      </c>
      <c r="R226" s="1" t="s">
        <v>44</v>
      </c>
      <c r="T226" s="1" t="s">
        <v>71</v>
      </c>
      <c r="V226" s="1" t="s">
        <v>140</v>
      </c>
      <c r="Y226" s="1" t="s">
        <v>247</v>
      </c>
      <c r="Z226" s="1" t="str">
        <f t="shared" si="9"/>
        <v>612 FMCT2A</v>
      </c>
      <c r="AA226" s="3">
        <f>IF(INDEX('CAMD Facility Data 2023'!$AA$2:$AE$10000,MATCH(Z226,'CAMD Facility Data 2023'!$AE$2:$AE$10000,0),1)&gt;0,INDEX('CAMD Facility Data 2023'!$AA$2:$AE$10000,MATCH(Z226,'CAMD Facility Data 2023'!$AE$2:$AE$10000,0),1),"")</f>
        <v>36791</v>
      </c>
      <c r="AB226" s="5">
        <f>IF(INDEX('CAMD Facility Data 2023'!$AC$2:$AE$10000,MATCH(Z226,'CAMD Facility Data 2023'!$AE$2:$AE$10000,0),1)&gt;0,INDEX('CAMD Facility Data 2023'!$AC$2:$AE$10000,MATCH(Z226,'CAMD Facility Data 2023'!$AE$2:$AE$10000,0),1),"")</f>
        <v>2190</v>
      </c>
      <c r="AC226" s="1" t="str">
        <f>IF(INDEX('CAMD Facility Data 2023'!$AE$2:$AG$10000,MATCH(Z226,'CAMD Facility Data 2023'!$AE$2:$AE$10000,0),3)&gt;0,INDEX('CAMD Facility Data 2023'!$AE$2:$AG$10000,MATCH(Z226,'CAMD Facility Data 2023'!$AE$2:$AE$10000,0),3),"")</f>
        <v/>
      </c>
      <c r="AD226" s="20">
        <f t="shared" si="10"/>
        <v>0.18297077721118646</v>
      </c>
      <c r="AE226" s="25">
        <f t="shared" si="11"/>
        <v>0.60715428400158455</v>
      </c>
    </row>
    <row r="227" spans="1:31" x14ac:dyDescent="0.2">
      <c r="A227" s="1" t="s">
        <v>304</v>
      </c>
      <c r="B227" s="1" t="s">
        <v>708</v>
      </c>
      <c r="C227" s="1">
        <v>612</v>
      </c>
      <c r="D227" s="1" t="s">
        <v>713</v>
      </c>
      <c r="F227" s="1">
        <v>2023</v>
      </c>
      <c r="G227" s="5">
        <v>6935</v>
      </c>
      <c r="H227" s="5">
        <v>6860.66</v>
      </c>
      <c r="I227" s="5">
        <v>1651863.08</v>
      </c>
      <c r="K227" s="5">
        <v>3.3660000000000001</v>
      </c>
      <c r="L227" s="5">
        <v>1E-3</v>
      </c>
      <c r="M227" s="5">
        <v>666777.27</v>
      </c>
      <c r="N227" s="6">
        <v>5.8999999999999997E-2</v>
      </c>
      <c r="O227" s="5">
        <v>153.035</v>
      </c>
      <c r="P227" s="6">
        <v>2.9399999999999999E-2</v>
      </c>
      <c r="Q227" s="5">
        <v>11219756.501</v>
      </c>
      <c r="R227" s="1" t="s">
        <v>44</v>
      </c>
      <c r="T227" s="1" t="s">
        <v>71</v>
      </c>
      <c r="V227" s="1" t="s">
        <v>140</v>
      </c>
      <c r="Y227" s="1" t="s">
        <v>247</v>
      </c>
      <c r="Z227" s="1" t="str">
        <f t="shared" si="9"/>
        <v>612 FMCT2B</v>
      </c>
      <c r="AA227" s="3">
        <f>IF(INDEX('CAMD Facility Data 2023'!$AA$2:$AE$10000,MATCH(Z227,'CAMD Facility Data 2023'!$AE$2:$AE$10000,0),1)&gt;0,INDEX('CAMD Facility Data 2023'!$AA$2:$AE$10000,MATCH(Z227,'CAMD Facility Data 2023'!$AE$2:$AE$10000,0),1),"")</f>
        <v>36791</v>
      </c>
      <c r="AB227" s="5">
        <f>IF(INDEX('CAMD Facility Data 2023'!$AC$2:$AE$10000,MATCH(Z227,'CAMD Facility Data 2023'!$AE$2:$AE$10000,0),1)&gt;0,INDEX('CAMD Facility Data 2023'!$AC$2:$AE$10000,MATCH(Z227,'CAMD Facility Data 2023'!$AE$2:$AE$10000,0),1),"")</f>
        <v>2190</v>
      </c>
      <c r="AC227" s="1" t="str">
        <f>IF(INDEX('CAMD Facility Data 2023'!$AE$2:$AG$10000,MATCH(Z227,'CAMD Facility Data 2023'!$AE$2:$AE$10000,0),3)&gt;0,INDEX('CAMD Facility Data 2023'!$AE$2:$AG$10000,MATCH(Z227,'CAMD Facility Data 2023'!$AE$2:$AE$10000,0),3),"")</f>
        <v/>
      </c>
      <c r="AD227" s="20">
        <f t="shared" si="10"/>
        <v>0.18528775399471969</v>
      </c>
      <c r="AE227" s="25">
        <f t="shared" si="11"/>
        <v>0.58483749822772668</v>
      </c>
    </row>
    <row r="228" spans="1:31" x14ac:dyDescent="0.2">
      <c r="A228" s="1" t="s">
        <v>304</v>
      </c>
      <c r="B228" s="1" t="s">
        <v>708</v>
      </c>
      <c r="C228" s="1">
        <v>612</v>
      </c>
      <c r="D228" s="1" t="s">
        <v>715</v>
      </c>
      <c r="F228" s="1">
        <v>2023</v>
      </c>
      <c r="G228" s="5">
        <v>7530</v>
      </c>
      <c r="H228" s="5">
        <v>7486.95</v>
      </c>
      <c r="I228" s="5">
        <v>1817775.19</v>
      </c>
      <c r="K228" s="5">
        <v>3.7269999999999999</v>
      </c>
      <c r="L228" s="5">
        <v>1E-3</v>
      </c>
      <c r="M228" s="5">
        <v>738247.42200000002</v>
      </c>
      <c r="N228" s="6">
        <v>5.8999999999999997E-2</v>
      </c>
      <c r="O228" s="5">
        <v>161.87899999999999</v>
      </c>
      <c r="P228" s="6">
        <v>2.7E-2</v>
      </c>
      <c r="Q228" s="5">
        <v>12422388.862</v>
      </c>
      <c r="R228" s="1" t="s">
        <v>44</v>
      </c>
      <c r="T228" s="1" t="s">
        <v>71</v>
      </c>
      <c r="V228" s="1" t="s">
        <v>140</v>
      </c>
      <c r="Y228" s="1" t="s">
        <v>247</v>
      </c>
      <c r="Z228" s="1" t="str">
        <f t="shared" si="9"/>
        <v>612 FMCT2C</v>
      </c>
      <c r="AA228" s="3">
        <f>IF(INDEX('CAMD Facility Data 2023'!$AA$2:$AE$10000,MATCH(Z228,'CAMD Facility Data 2023'!$AE$2:$AE$10000,0),1)&gt;0,INDEX('CAMD Facility Data 2023'!$AA$2:$AE$10000,MATCH(Z228,'CAMD Facility Data 2023'!$AE$2:$AE$10000,0),1),"")</f>
        <v>36892</v>
      </c>
      <c r="AB228" s="5">
        <f>IF(INDEX('CAMD Facility Data 2023'!$AC$2:$AE$10000,MATCH(Z228,'CAMD Facility Data 2023'!$AE$2:$AE$10000,0),1)&gt;0,INDEX('CAMD Facility Data 2023'!$AC$2:$AE$10000,MATCH(Z228,'CAMD Facility Data 2023'!$AE$2:$AE$10000,0),1),"")</f>
        <v>2190</v>
      </c>
      <c r="AC228" s="1" t="str">
        <f>IF(INDEX('CAMD Facility Data 2023'!$AE$2:$AG$10000,MATCH(Z228,'CAMD Facility Data 2023'!$AE$2:$AE$10000,0),3)&gt;0,INDEX('CAMD Facility Data 2023'!$AE$2:$AG$10000,MATCH(Z228,'CAMD Facility Data 2023'!$AE$2:$AE$10000,0),3),"")</f>
        <v/>
      </c>
      <c r="AD228" s="20">
        <f t="shared" si="10"/>
        <v>0.17810673276930356</v>
      </c>
      <c r="AE228" s="25">
        <f t="shared" si="11"/>
        <v>0.64752553439252725</v>
      </c>
    </row>
    <row r="229" spans="1:31" x14ac:dyDescent="0.2">
      <c r="A229" s="1" t="s">
        <v>304</v>
      </c>
      <c r="B229" s="1" t="s">
        <v>708</v>
      </c>
      <c r="C229" s="1">
        <v>612</v>
      </c>
      <c r="D229" s="1" t="s">
        <v>717</v>
      </c>
      <c r="F229" s="1">
        <v>2023</v>
      </c>
      <c r="G229" s="5">
        <v>7316</v>
      </c>
      <c r="H229" s="5">
        <v>7231.6</v>
      </c>
      <c r="I229" s="5">
        <v>1778114.33</v>
      </c>
      <c r="K229" s="5">
        <v>3.6080000000000001</v>
      </c>
      <c r="L229" s="5">
        <v>1E-3</v>
      </c>
      <c r="M229" s="5">
        <v>714749.28</v>
      </c>
      <c r="N229" s="6">
        <v>5.8999999999999997E-2</v>
      </c>
      <c r="O229" s="5">
        <v>155.239</v>
      </c>
      <c r="P229" s="6">
        <v>2.7799999999999998E-2</v>
      </c>
      <c r="Q229" s="5">
        <v>12027023.732999999</v>
      </c>
      <c r="R229" s="1" t="s">
        <v>44</v>
      </c>
      <c r="T229" s="1" t="s">
        <v>71</v>
      </c>
      <c r="V229" s="1" t="s">
        <v>140</v>
      </c>
      <c r="Y229" s="1" t="s">
        <v>247</v>
      </c>
      <c r="Z229" s="1" t="str">
        <f t="shared" si="9"/>
        <v>612 FMCT2D</v>
      </c>
      <c r="AA229" s="3">
        <f>IF(INDEX('CAMD Facility Data 2023'!$AA$2:$AE$10000,MATCH(Z229,'CAMD Facility Data 2023'!$AE$2:$AE$10000,0),1)&gt;0,INDEX('CAMD Facility Data 2023'!$AA$2:$AE$10000,MATCH(Z229,'CAMD Facility Data 2023'!$AE$2:$AE$10000,0),1),"")</f>
        <v>36982</v>
      </c>
      <c r="AB229" s="5">
        <f>IF(INDEX('CAMD Facility Data 2023'!$AC$2:$AE$10000,MATCH(Z229,'CAMD Facility Data 2023'!$AE$2:$AE$10000,0),1)&gt;0,INDEX('CAMD Facility Data 2023'!$AC$2:$AE$10000,MATCH(Z229,'CAMD Facility Data 2023'!$AE$2:$AE$10000,0),1),"")</f>
        <v>2190</v>
      </c>
      <c r="AC229" s="1" t="str">
        <f>IF(INDEX('CAMD Facility Data 2023'!$AE$2:$AG$10000,MATCH(Z229,'CAMD Facility Data 2023'!$AE$2:$AE$10000,0),3)&gt;0,INDEX('CAMD Facility Data 2023'!$AE$2:$AG$10000,MATCH(Z229,'CAMD Facility Data 2023'!$AE$2:$AE$10000,0),3),"")</f>
        <v/>
      </c>
      <c r="AD229" s="20">
        <f t="shared" si="10"/>
        <v>0.17461081931666339</v>
      </c>
      <c r="AE229" s="25">
        <f t="shared" si="11"/>
        <v>0.62691685603928182</v>
      </c>
    </row>
    <row r="230" spans="1:31" x14ac:dyDescent="0.2">
      <c r="A230" s="1" t="s">
        <v>304</v>
      </c>
      <c r="B230" s="1" t="s">
        <v>708</v>
      </c>
      <c r="C230" s="1">
        <v>612</v>
      </c>
      <c r="D230" s="1" t="s">
        <v>719</v>
      </c>
      <c r="F230" s="1">
        <v>2023</v>
      </c>
      <c r="G230" s="5">
        <v>7707</v>
      </c>
      <c r="H230" s="5">
        <v>7661.73</v>
      </c>
      <c r="I230" s="5">
        <v>1860209.64</v>
      </c>
      <c r="K230" s="5">
        <v>3.8650000000000002</v>
      </c>
      <c r="L230" s="5">
        <v>1E-3</v>
      </c>
      <c r="M230" s="5">
        <v>765695.93200000003</v>
      </c>
      <c r="N230" s="6">
        <v>5.8999999999999997E-2</v>
      </c>
      <c r="O230" s="5">
        <v>161.97999999999999</v>
      </c>
      <c r="P230" s="6">
        <v>2.63E-2</v>
      </c>
      <c r="Q230" s="5">
        <v>12884243.694</v>
      </c>
      <c r="R230" s="1" t="s">
        <v>44</v>
      </c>
      <c r="T230" s="1" t="s">
        <v>71</v>
      </c>
      <c r="V230" s="1" t="s">
        <v>140</v>
      </c>
      <c r="Y230" s="1" t="s">
        <v>247</v>
      </c>
      <c r="Z230" s="1" t="str">
        <f t="shared" si="9"/>
        <v>612 FMCT2E</v>
      </c>
      <c r="AA230" s="3">
        <f>IF(INDEX('CAMD Facility Data 2023'!$AA$2:$AE$10000,MATCH(Z230,'CAMD Facility Data 2023'!$AE$2:$AE$10000,0),1)&gt;0,INDEX('CAMD Facility Data 2023'!$AA$2:$AE$10000,MATCH(Z230,'CAMD Facility Data 2023'!$AE$2:$AE$10000,0),1),"")</f>
        <v>36982</v>
      </c>
      <c r="AB230" s="5">
        <f>IF(INDEX('CAMD Facility Data 2023'!$AC$2:$AE$10000,MATCH(Z230,'CAMD Facility Data 2023'!$AE$2:$AE$10000,0),1)&gt;0,INDEX('CAMD Facility Data 2023'!$AC$2:$AE$10000,MATCH(Z230,'CAMD Facility Data 2023'!$AE$2:$AE$10000,0),1),"")</f>
        <v>2190</v>
      </c>
      <c r="AC230" s="1" t="str">
        <f>IF(INDEX('CAMD Facility Data 2023'!$AE$2:$AG$10000,MATCH(Z230,'CAMD Facility Data 2023'!$AE$2:$AE$10000,0),3)&gt;0,INDEX('CAMD Facility Data 2023'!$AE$2:$AG$10000,MATCH(Z230,'CAMD Facility Data 2023'!$AE$2:$AE$10000,0),3),"")</f>
        <v/>
      </c>
      <c r="AD230" s="20">
        <f t="shared" si="10"/>
        <v>0.17415241434830969</v>
      </c>
      <c r="AE230" s="25">
        <f t="shared" si="11"/>
        <v>0.67160003409019831</v>
      </c>
    </row>
    <row r="231" spans="1:31" x14ac:dyDescent="0.2">
      <c r="A231" s="1" t="s">
        <v>304</v>
      </c>
      <c r="B231" s="1" t="s">
        <v>708</v>
      </c>
      <c r="C231" s="1">
        <v>612</v>
      </c>
      <c r="D231" s="1" t="s">
        <v>721</v>
      </c>
      <c r="F231" s="1">
        <v>2023</v>
      </c>
      <c r="G231" s="5">
        <v>7286</v>
      </c>
      <c r="H231" s="5">
        <v>7232.82</v>
      </c>
      <c r="I231" s="5">
        <v>1732242.76</v>
      </c>
      <c r="K231" s="5">
        <v>3.5840000000000001</v>
      </c>
      <c r="L231" s="5">
        <v>1E-3</v>
      </c>
      <c r="M231" s="5">
        <v>709979.65300000005</v>
      </c>
      <c r="N231" s="6">
        <v>5.8999999999999997E-2</v>
      </c>
      <c r="O231" s="5">
        <v>161.54499999999999</v>
      </c>
      <c r="P231" s="6">
        <v>2.9499999999999998E-2</v>
      </c>
      <c r="Q231" s="5">
        <v>11946811.671</v>
      </c>
      <c r="R231" s="1" t="s">
        <v>44</v>
      </c>
      <c r="T231" s="1" t="s">
        <v>71</v>
      </c>
      <c r="V231" s="1" t="s">
        <v>140</v>
      </c>
      <c r="Y231" s="1" t="s">
        <v>247</v>
      </c>
      <c r="Z231" s="1" t="str">
        <f t="shared" si="9"/>
        <v>612 FMCT2F</v>
      </c>
      <c r="AA231" s="3">
        <f>IF(INDEX('CAMD Facility Data 2023'!$AA$2:$AE$10000,MATCH(Z231,'CAMD Facility Data 2023'!$AE$2:$AE$10000,0),1)&gt;0,INDEX('CAMD Facility Data 2023'!$AA$2:$AE$10000,MATCH(Z231,'CAMD Facility Data 2023'!$AE$2:$AE$10000,0),1),"")</f>
        <v>37003</v>
      </c>
      <c r="AB231" s="5">
        <f>IF(INDEX('CAMD Facility Data 2023'!$AC$2:$AE$10000,MATCH(Z231,'CAMD Facility Data 2023'!$AE$2:$AE$10000,0),1)&gt;0,INDEX('CAMD Facility Data 2023'!$AC$2:$AE$10000,MATCH(Z231,'CAMD Facility Data 2023'!$AE$2:$AE$10000,0),1),"")</f>
        <v>2190</v>
      </c>
      <c r="AC231" s="1" t="str">
        <f>IF(INDEX('CAMD Facility Data 2023'!$AE$2:$AG$10000,MATCH(Z231,'CAMD Facility Data 2023'!$AE$2:$AE$10000,0),3)&gt;0,INDEX('CAMD Facility Data 2023'!$AE$2:$AG$10000,MATCH(Z231,'CAMD Facility Data 2023'!$AE$2:$AE$10000,0),3),"")</f>
        <v/>
      </c>
      <c r="AD231" s="20">
        <f t="shared" si="10"/>
        <v>0.18651542812625177</v>
      </c>
      <c r="AE231" s="25">
        <f t="shared" si="11"/>
        <v>0.62273574732595238</v>
      </c>
    </row>
    <row r="232" spans="1:31" x14ac:dyDescent="0.2">
      <c r="A232" s="1" t="s">
        <v>304</v>
      </c>
      <c r="B232" s="1" t="s">
        <v>708</v>
      </c>
      <c r="C232" s="1">
        <v>612</v>
      </c>
      <c r="D232" s="1" t="s">
        <v>723</v>
      </c>
      <c r="F232" s="1">
        <v>2023</v>
      </c>
      <c r="G232" s="5">
        <v>864</v>
      </c>
      <c r="H232" s="5">
        <v>729.02</v>
      </c>
      <c r="I232" s="5">
        <v>91626.69</v>
      </c>
      <c r="K232" s="5">
        <v>0.74199999999999999</v>
      </c>
      <c r="L232" s="5">
        <v>1.9E-3</v>
      </c>
      <c r="M232" s="5">
        <v>60849.404999999999</v>
      </c>
      <c r="N232" s="6">
        <v>5.9400000000000001E-2</v>
      </c>
      <c r="O232" s="5">
        <v>16.295000000000002</v>
      </c>
      <c r="P232" s="6">
        <v>3.6600000000000001E-2</v>
      </c>
      <c r="Q232" s="5">
        <v>1017403.741</v>
      </c>
      <c r="R232" s="1" t="s">
        <v>44</v>
      </c>
      <c r="S232" s="1" t="s">
        <v>94</v>
      </c>
      <c r="T232" s="1" t="s">
        <v>93</v>
      </c>
      <c r="V232" s="1" t="s">
        <v>183</v>
      </c>
      <c r="Y232" s="1" t="s">
        <v>247</v>
      </c>
      <c r="Z232" s="1" t="str">
        <f t="shared" si="9"/>
        <v>612 PFM3A</v>
      </c>
      <c r="AA232" s="3">
        <f>IF(INDEX('CAMD Facility Data 2023'!$AA$2:$AE$10000,MATCH(Z232,'CAMD Facility Data 2023'!$AE$2:$AE$10000,0),1)&gt;0,INDEX('CAMD Facility Data 2023'!$AA$2:$AE$10000,MATCH(Z232,'CAMD Facility Data 2023'!$AE$2:$AE$10000,0),1),"")</f>
        <v>37725</v>
      </c>
      <c r="AB232" s="5">
        <f>IF(INDEX('CAMD Facility Data 2023'!$AC$2:$AE$10000,MATCH(Z232,'CAMD Facility Data 2023'!$AE$2:$AE$10000,0),1)&gt;0,INDEX('CAMD Facility Data 2023'!$AC$2:$AE$10000,MATCH(Z232,'CAMD Facility Data 2023'!$AE$2:$AE$10000,0),1),"")</f>
        <v>2093</v>
      </c>
      <c r="AC232" s="1" t="str">
        <f>IF(INDEX('CAMD Facility Data 2023'!$AE$2:$AG$10000,MATCH(Z232,'CAMD Facility Data 2023'!$AE$2:$AE$10000,0),3)&gt;0,INDEX('CAMD Facility Data 2023'!$AE$2:$AG$10000,MATCH(Z232,'CAMD Facility Data 2023'!$AE$2:$AE$10000,0),3),"")</f>
        <v/>
      </c>
      <c r="AD232" s="20">
        <f t="shared" si="10"/>
        <v>0.355682389050614</v>
      </c>
      <c r="AE232" s="25">
        <f t="shared" si="11"/>
        <v>5.5490673466894437E-2</v>
      </c>
    </row>
    <row r="233" spans="1:31" x14ac:dyDescent="0.2">
      <c r="A233" s="1" t="s">
        <v>304</v>
      </c>
      <c r="B233" s="1" t="s">
        <v>708</v>
      </c>
      <c r="C233" s="1">
        <v>612</v>
      </c>
      <c r="D233" s="1" t="s">
        <v>725</v>
      </c>
      <c r="F233" s="1">
        <v>2023</v>
      </c>
      <c r="G233" s="5">
        <v>764</v>
      </c>
      <c r="H233" s="5">
        <v>640.23</v>
      </c>
      <c r="I233" s="5">
        <v>70292.33</v>
      </c>
      <c r="K233" s="5">
        <v>0.9</v>
      </c>
      <c r="L233" s="5">
        <v>2.2000000000000001E-3</v>
      </c>
      <c r="M233" s="5">
        <v>53961.968000000001</v>
      </c>
      <c r="N233" s="6">
        <v>5.9499999999999997E-2</v>
      </c>
      <c r="O233" s="5">
        <v>15.757999999999999</v>
      </c>
      <c r="P233" s="6">
        <v>4.0800000000000003E-2</v>
      </c>
      <c r="Q233" s="5">
        <v>898653.59400000004</v>
      </c>
      <c r="R233" s="1" t="s">
        <v>44</v>
      </c>
      <c r="S233" s="1" t="s">
        <v>94</v>
      </c>
      <c r="T233" s="1" t="s">
        <v>93</v>
      </c>
      <c r="V233" s="1" t="s">
        <v>183</v>
      </c>
      <c r="Y233" s="1" t="s">
        <v>247</v>
      </c>
      <c r="Z233" s="1" t="str">
        <f t="shared" si="9"/>
        <v>612 PFM3B</v>
      </c>
      <c r="AA233" s="3">
        <f>IF(INDEX('CAMD Facility Data 2023'!$AA$2:$AE$10000,MATCH(Z233,'CAMD Facility Data 2023'!$AE$2:$AE$10000,0),1)&gt;0,INDEX('CAMD Facility Data 2023'!$AA$2:$AE$10000,MATCH(Z233,'CAMD Facility Data 2023'!$AE$2:$AE$10000,0),1),"")</f>
        <v>37698</v>
      </c>
      <c r="AB233" s="5">
        <f>IF(INDEX('CAMD Facility Data 2023'!$AC$2:$AE$10000,MATCH(Z233,'CAMD Facility Data 2023'!$AE$2:$AE$10000,0),1)&gt;0,INDEX('CAMD Facility Data 2023'!$AC$2:$AE$10000,MATCH(Z233,'CAMD Facility Data 2023'!$AE$2:$AE$10000,0),1),"")</f>
        <v>2093</v>
      </c>
      <c r="AC233" s="1" t="str">
        <f>IF(INDEX('CAMD Facility Data 2023'!$AE$2:$AG$10000,MATCH(Z233,'CAMD Facility Data 2023'!$AE$2:$AE$10000,0),3)&gt;0,INDEX('CAMD Facility Data 2023'!$AE$2:$AG$10000,MATCH(Z233,'CAMD Facility Data 2023'!$AE$2:$AE$10000,0),3),"")</f>
        <v/>
      </c>
      <c r="AD233" s="20">
        <f t="shared" si="10"/>
        <v>0.4483561720034035</v>
      </c>
      <c r="AE233" s="25">
        <f t="shared" si="11"/>
        <v>4.9013868472206769E-2</v>
      </c>
    </row>
    <row r="234" spans="1:31" x14ac:dyDescent="0.2">
      <c r="A234" s="1" t="s">
        <v>304</v>
      </c>
      <c r="B234" s="1" t="s">
        <v>708</v>
      </c>
      <c r="C234" s="1">
        <v>612</v>
      </c>
      <c r="D234" s="1" t="s">
        <v>727</v>
      </c>
      <c r="F234" s="1">
        <v>2023</v>
      </c>
      <c r="G234" s="5">
        <v>732</v>
      </c>
      <c r="H234" s="5">
        <v>619.58000000000004</v>
      </c>
      <c r="I234" s="5">
        <v>93182.74</v>
      </c>
      <c r="K234" s="5">
        <v>0.54900000000000004</v>
      </c>
      <c r="L234" s="5">
        <v>1.6000000000000001E-3</v>
      </c>
      <c r="M234" s="5">
        <v>60081.754000000001</v>
      </c>
      <c r="N234" s="6">
        <v>5.9299999999999999E-2</v>
      </c>
      <c r="O234" s="5">
        <v>14.353999999999999</v>
      </c>
      <c r="P234" s="6">
        <v>3.1099999999999999E-2</v>
      </c>
      <c r="Q234" s="5">
        <v>1007310.746</v>
      </c>
      <c r="R234" s="1" t="s">
        <v>44</v>
      </c>
      <c r="S234" s="1" t="s">
        <v>94</v>
      </c>
      <c r="T234" s="1" t="s">
        <v>93</v>
      </c>
      <c r="V234" s="1" t="s">
        <v>183</v>
      </c>
      <c r="Y234" s="1" t="s">
        <v>247</v>
      </c>
      <c r="Z234" s="1" t="str">
        <f t="shared" si="9"/>
        <v>612 PFM3C</v>
      </c>
      <c r="AA234" s="3">
        <f>IF(INDEX('CAMD Facility Data 2023'!$AA$2:$AE$10000,MATCH(Z234,'CAMD Facility Data 2023'!$AE$2:$AE$10000,0),1)&gt;0,INDEX('CAMD Facility Data 2023'!$AA$2:$AE$10000,MATCH(Z234,'CAMD Facility Data 2023'!$AE$2:$AE$10000,0),1),"")</f>
        <v>42675</v>
      </c>
      <c r="AB234" s="5">
        <f>IF(INDEX('CAMD Facility Data 2023'!$AC$2:$AE$10000,MATCH(Z234,'CAMD Facility Data 2023'!$AE$2:$AE$10000,0),1)&gt;0,INDEX('CAMD Facility Data 2023'!$AC$2:$AE$10000,MATCH(Z234,'CAMD Facility Data 2023'!$AE$2:$AE$10000,0),1),"")</f>
        <v>2454</v>
      </c>
      <c r="AC234" s="1" t="str">
        <f>IF(INDEX('CAMD Facility Data 2023'!$AE$2:$AG$10000,MATCH(Z234,'CAMD Facility Data 2023'!$AE$2:$AE$10000,0),3)&gt;0,INDEX('CAMD Facility Data 2023'!$AE$2:$AG$10000,MATCH(Z234,'CAMD Facility Data 2023'!$AE$2:$AE$10000,0),3),"")</f>
        <v/>
      </c>
      <c r="AD234" s="20">
        <f t="shared" si="10"/>
        <v>0.30808280589302267</v>
      </c>
      <c r="AE234" s="25">
        <f t="shared" si="11"/>
        <v>4.6858113768221119E-2</v>
      </c>
    </row>
    <row r="235" spans="1:31" x14ac:dyDescent="0.2">
      <c r="A235" s="1" t="s">
        <v>304</v>
      </c>
      <c r="B235" s="1" t="s">
        <v>708</v>
      </c>
      <c r="C235" s="1">
        <v>612</v>
      </c>
      <c r="D235" s="1" t="s">
        <v>729</v>
      </c>
      <c r="F235" s="1">
        <v>2023</v>
      </c>
      <c r="G235" s="5">
        <v>1014</v>
      </c>
      <c r="H235" s="5">
        <v>870.64</v>
      </c>
      <c r="I235" s="5">
        <v>122941.16</v>
      </c>
      <c r="K235" s="5">
        <v>0.59899999999999998</v>
      </c>
      <c r="L235" s="5">
        <v>1.2999999999999999E-3</v>
      </c>
      <c r="M235" s="5">
        <v>81516.269</v>
      </c>
      <c r="N235" s="6">
        <v>5.9200000000000003E-2</v>
      </c>
      <c r="O235" s="5">
        <v>20.010000000000002</v>
      </c>
      <c r="P235" s="6">
        <v>3.2800000000000003E-2</v>
      </c>
      <c r="Q235" s="5">
        <v>1368861.645</v>
      </c>
      <c r="R235" s="1" t="s">
        <v>44</v>
      </c>
      <c r="S235" s="1" t="s">
        <v>94</v>
      </c>
      <c r="T235" s="1" t="s">
        <v>93</v>
      </c>
      <c r="V235" s="1" t="s">
        <v>183</v>
      </c>
      <c r="Y235" s="1" t="s">
        <v>247</v>
      </c>
      <c r="Z235" s="1" t="str">
        <f t="shared" si="9"/>
        <v>612 PFM3D</v>
      </c>
      <c r="AA235" s="3">
        <f>IF(INDEX('CAMD Facility Data 2023'!$AA$2:$AE$10000,MATCH(Z235,'CAMD Facility Data 2023'!$AE$2:$AE$10000,0),1)&gt;0,INDEX('CAMD Facility Data 2023'!$AA$2:$AE$10000,MATCH(Z235,'CAMD Facility Data 2023'!$AE$2:$AE$10000,0),1),"")</f>
        <v>42693</v>
      </c>
      <c r="AB235" s="5">
        <f>IF(INDEX('CAMD Facility Data 2023'!$AC$2:$AE$10000,MATCH(Z235,'CAMD Facility Data 2023'!$AE$2:$AE$10000,0),1)&gt;0,INDEX('CAMD Facility Data 2023'!$AC$2:$AE$10000,MATCH(Z235,'CAMD Facility Data 2023'!$AE$2:$AE$10000,0),1),"")</f>
        <v>2454</v>
      </c>
      <c r="AC235" s="1" t="str">
        <f>IF(INDEX('CAMD Facility Data 2023'!$AE$2:$AG$10000,MATCH(Z235,'CAMD Facility Data 2023'!$AE$2:$AE$10000,0),3)&gt;0,INDEX('CAMD Facility Data 2023'!$AE$2:$AG$10000,MATCH(Z235,'CAMD Facility Data 2023'!$AE$2:$AE$10000,0),3),"")</f>
        <v/>
      </c>
      <c r="AD235" s="20">
        <f t="shared" si="10"/>
        <v>0.32552157471102433</v>
      </c>
      <c r="AE235" s="25">
        <f t="shared" si="11"/>
        <v>6.3676750147927341E-2</v>
      </c>
    </row>
    <row r="236" spans="1:31" x14ac:dyDescent="0.2">
      <c r="A236" s="1" t="s">
        <v>304</v>
      </c>
      <c r="B236" s="1" t="s">
        <v>731</v>
      </c>
      <c r="C236" s="1">
        <v>613</v>
      </c>
      <c r="D236" s="1" t="s">
        <v>732</v>
      </c>
      <c r="F236" s="1">
        <v>2023</v>
      </c>
      <c r="G236" s="5">
        <v>462</v>
      </c>
      <c r="H236" s="5">
        <v>364.49</v>
      </c>
      <c r="I236" s="5">
        <v>53676</v>
      </c>
      <c r="K236" s="5">
        <v>0.192</v>
      </c>
      <c r="L236" s="5">
        <v>1E-3</v>
      </c>
      <c r="M236" s="5">
        <v>36168.254000000001</v>
      </c>
      <c r="N236" s="6">
        <v>5.9799999999999999E-2</v>
      </c>
      <c r="O236" s="5">
        <v>9.82</v>
      </c>
      <c r="P236" s="6">
        <v>3.8300000000000001E-2</v>
      </c>
      <c r="Q236" s="5">
        <v>598584.62600000005</v>
      </c>
      <c r="R236" s="1" t="s">
        <v>44</v>
      </c>
      <c r="S236" s="1" t="s">
        <v>94</v>
      </c>
      <c r="T236" s="1" t="s">
        <v>93</v>
      </c>
      <c r="V236" s="1" t="s">
        <v>183</v>
      </c>
      <c r="Y236" s="1" t="s">
        <v>247</v>
      </c>
      <c r="Z236" s="1" t="str">
        <f t="shared" si="9"/>
        <v>613 PFL6A</v>
      </c>
      <c r="AA236" s="3">
        <f>IF(INDEX('CAMD Facility Data 2023'!$AA$2:$AE$10000,MATCH(Z236,'CAMD Facility Data 2023'!$AE$2:$AE$10000,0),1)&gt;0,INDEX('CAMD Facility Data 2023'!$AA$2:$AE$10000,MATCH(Z236,'CAMD Facility Data 2023'!$AE$2:$AE$10000,0),1),"")</f>
        <v>42699</v>
      </c>
      <c r="AB236" s="5">
        <f>IF(INDEX('CAMD Facility Data 2023'!$AC$2:$AE$10000,MATCH(Z236,'CAMD Facility Data 2023'!$AE$2:$AE$10000,0),1)&gt;0,INDEX('CAMD Facility Data 2023'!$AC$2:$AE$10000,MATCH(Z236,'CAMD Facility Data 2023'!$AE$2:$AE$10000,0),1),"")</f>
        <v>2454</v>
      </c>
      <c r="AC236" s="1" t="str">
        <f>IF(INDEX('CAMD Facility Data 2023'!$AE$2:$AG$10000,MATCH(Z236,'CAMD Facility Data 2023'!$AE$2:$AE$10000,0),3)&gt;0,INDEX('CAMD Facility Data 2023'!$AE$2:$AG$10000,MATCH(Z236,'CAMD Facility Data 2023'!$AE$2:$AE$10000,0),3),"")</f>
        <v/>
      </c>
      <c r="AD236" s="20">
        <f t="shared" si="10"/>
        <v>0.36589909829346451</v>
      </c>
      <c r="AE236" s="25">
        <f t="shared" si="11"/>
        <v>2.7844978936634998E-2</v>
      </c>
    </row>
    <row r="237" spans="1:31" x14ac:dyDescent="0.2">
      <c r="A237" s="1" t="s">
        <v>304</v>
      </c>
      <c r="B237" s="1" t="s">
        <v>731</v>
      </c>
      <c r="C237" s="1">
        <v>613</v>
      </c>
      <c r="D237" s="1" t="s">
        <v>736</v>
      </c>
      <c r="F237" s="1">
        <v>2023</v>
      </c>
      <c r="G237" s="5">
        <v>440</v>
      </c>
      <c r="H237" s="5">
        <v>354.25</v>
      </c>
      <c r="I237" s="5">
        <v>51122.75</v>
      </c>
      <c r="K237" s="5">
        <v>0.2</v>
      </c>
      <c r="L237" s="5">
        <v>1E-3</v>
      </c>
      <c r="M237" s="5">
        <v>36012.080999999998</v>
      </c>
      <c r="N237" s="6">
        <v>6.0400000000000002E-2</v>
      </c>
      <c r="O237" s="5">
        <v>10.792999999999999</v>
      </c>
      <c r="P237" s="6">
        <v>4.1099999999999998E-2</v>
      </c>
      <c r="Q237" s="5">
        <v>587562.69299999997</v>
      </c>
      <c r="R237" s="1" t="s">
        <v>44</v>
      </c>
      <c r="S237" s="1" t="s">
        <v>94</v>
      </c>
      <c r="T237" s="1" t="s">
        <v>93</v>
      </c>
      <c r="V237" s="1" t="s">
        <v>183</v>
      </c>
      <c r="Y237" s="1" t="s">
        <v>247</v>
      </c>
      <c r="Z237" s="1" t="str">
        <f t="shared" si="9"/>
        <v>613 PFL6B</v>
      </c>
      <c r="AA237" s="3">
        <f>IF(INDEX('CAMD Facility Data 2023'!$AA$2:$AE$10000,MATCH(Z237,'CAMD Facility Data 2023'!$AE$2:$AE$10000,0),1)&gt;0,INDEX('CAMD Facility Data 2023'!$AA$2:$AE$10000,MATCH(Z237,'CAMD Facility Data 2023'!$AE$2:$AE$10000,0),1),"")</f>
        <v>42686</v>
      </c>
      <c r="AB237" s="5">
        <f>IF(INDEX('CAMD Facility Data 2023'!$AC$2:$AE$10000,MATCH(Z237,'CAMD Facility Data 2023'!$AE$2:$AE$10000,0),1)&gt;0,INDEX('CAMD Facility Data 2023'!$AC$2:$AE$10000,MATCH(Z237,'CAMD Facility Data 2023'!$AE$2:$AE$10000,0),1),"")</f>
        <v>2454</v>
      </c>
      <c r="AC237" s="1" t="str">
        <f>IF(INDEX('CAMD Facility Data 2023'!$AE$2:$AG$10000,MATCH(Z237,'CAMD Facility Data 2023'!$AE$2:$AE$10000,0),3)&gt;0,INDEX('CAMD Facility Data 2023'!$AE$2:$AG$10000,MATCH(Z237,'CAMD Facility Data 2023'!$AE$2:$AE$10000,0),3),"")</f>
        <v/>
      </c>
      <c r="AD237" s="20">
        <f t="shared" si="10"/>
        <v>0.42223863152901597</v>
      </c>
      <c r="AE237" s="25">
        <f t="shared" si="11"/>
        <v>2.7332260301883422E-2</v>
      </c>
    </row>
    <row r="238" spans="1:31" x14ac:dyDescent="0.2">
      <c r="A238" s="1" t="s">
        <v>304</v>
      </c>
      <c r="B238" s="1" t="s">
        <v>731</v>
      </c>
      <c r="C238" s="1">
        <v>613</v>
      </c>
      <c r="D238" s="1" t="s">
        <v>738</v>
      </c>
      <c r="F238" s="1">
        <v>2023</v>
      </c>
      <c r="G238" s="5">
        <v>359</v>
      </c>
      <c r="H238" s="5">
        <v>276.77</v>
      </c>
      <c r="I238" s="5">
        <v>40721.769999999997</v>
      </c>
      <c r="K238" s="5">
        <v>0.16</v>
      </c>
      <c r="L238" s="5">
        <v>1.1000000000000001E-3</v>
      </c>
      <c r="M238" s="5">
        <v>27805.982</v>
      </c>
      <c r="N238" s="6">
        <v>6.1100000000000002E-2</v>
      </c>
      <c r="O238" s="5">
        <v>8.7100000000000009</v>
      </c>
      <c r="P238" s="6">
        <v>4.3400000000000001E-2</v>
      </c>
      <c r="Q238" s="5">
        <v>447778.71500000003</v>
      </c>
      <c r="R238" s="1" t="s">
        <v>44</v>
      </c>
      <c r="S238" s="1" t="s">
        <v>94</v>
      </c>
      <c r="T238" s="1" t="s">
        <v>93</v>
      </c>
      <c r="V238" s="1" t="s">
        <v>183</v>
      </c>
      <c r="Y238" s="1" t="s">
        <v>247</v>
      </c>
      <c r="Z238" s="1" t="str">
        <f t="shared" si="9"/>
        <v>613 PFL6C</v>
      </c>
      <c r="AA238" s="3">
        <f>IF(INDEX('CAMD Facility Data 2023'!$AA$2:$AE$10000,MATCH(Z238,'CAMD Facility Data 2023'!$AE$2:$AE$10000,0),1)&gt;0,INDEX('CAMD Facility Data 2023'!$AA$2:$AE$10000,MATCH(Z238,'CAMD Facility Data 2023'!$AE$2:$AE$10000,0),1),"")</f>
        <v>42684</v>
      </c>
      <c r="AB238" s="5">
        <f>IF(INDEX('CAMD Facility Data 2023'!$AC$2:$AE$10000,MATCH(Z238,'CAMD Facility Data 2023'!$AE$2:$AE$10000,0),1)&gt;0,INDEX('CAMD Facility Data 2023'!$AC$2:$AE$10000,MATCH(Z238,'CAMD Facility Data 2023'!$AE$2:$AE$10000,0),1),"")</f>
        <v>2454</v>
      </c>
      <c r="AC238" s="1" t="str">
        <f>IF(INDEX('CAMD Facility Data 2023'!$AE$2:$AG$10000,MATCH(Z238,'CAMD Facility Data 2023'!$AE$2:$AE$10000,0),3)&gt;0,INDEX('CAMD Facility Data 2023'!$AE$2:$AG$10000,MATCH(Z238,'CAMD Facility Data 2023'!$AE$2:$AE$10000,0),3),"")</f>
        <v/>
      </c>
      <c r="AD238" s="20">
        <f t="shared" si="10"/>
        <v>0.42778101246581379</v>
      </c>
      <c r="AE238" s="25">
        <f t="shared" si="11"/>
        <v>2.0829784705243142E-2</v>
      </c>
    </row>
    <row r="239" spans="1:31" x14ac:dyDescent="0.2">
      <c r="A239" s="1" t="s">
        <v>304</v>
      </c>
      <c r="B239" s="1" t="s">
        <v>731</v>
      </c>
      <c r="C239" s="1">
        <v>613</v>
      </c>
      <c r="D239" s="1" t="s">
        <v>740</v>
      </c>
      <c r="F239" s="1">
        <v>2023</v>
      </c>
      <c r="G239" s="5">
        <v>621</v>
      </c>
      <c r="H239" s="5">
        <v>510.21</v>
      </c>
      <c r="I239" s="5">
        <v>72109.990000000005</v>
      </c>
      <c r="K239" s="5">
        <v>0.28799999999999998</v>
      </c>
      <c r="L239" s="5">
        <v>1.1000000000000001E-3</v>
      </c>
      <c r="M239" s="5">
        <v>49430.226000000002</v>
      </c>
      <c r="N239" s="6">
        <v>6.1400000000000003E-2</v>
      </c>
      <c r="O239" s="5">
        <v>14.569000000000001</v>
      </c>
      <c r="P239" s="6">
        <v>3.8800000000000001E-2</v>
      </c>
      <c r="Q239" s="5">
        <v>792046.76300000004</v>
      </c>
      <c r="R239" s="1" t="s">
        <v>44</v>
      </c>
      <c r="S239" s="1" t="s">
        <v>94</v>
      </c>
      <c r="T239" s="1" t="s">
        <v>93</v>
      </c>
      <c r="V239" s="1" t="s">
        <v>183</v>
      </c>
      <c r="Y239" s="1" t="s">
        <v>247</v>
      </c>
      <c r="Z239" s="1" t="str">
        <f t="shared" si="9"/>
        <v>613 PFL6D</v>
      </c>
      <c r="AA239" s="3">
        <f>IF(INDEX('CAMD Facility Data 2023'!$AA$2:$AE$10000,MATCH(Z239,'CAMD Facility Data 2023'!$AE$2:$AE$10000,0),1)&gt;0,INDEX('CAMD Facility Data 2023'!$AA$2:$AE$10000,MATCH(Z239,'CAMD Facility Data 2023'!$AE$2:$AE$10000,0),1),"")</f>
        <v>42674</v>
      </c>
      <c r="AB239" s="5">
        <f>IF(INDEX('CAMD Facility Data 2023'!$AC$2:$AE$10000,MATCH(Z239,'CAMD Facility Data 2023'!$AE$2:$AE$10000,0),1)&gt;0,INDEX('CAMD Facility Data 2023'!$AC$2:$AE$10000,MATCH(Z239,'CAMD Facility Data 2023'!$AE$2:$AE$10000,0),1),"")</f>
        <v>2454</v>
      </c>
      <c r="AC239" s="1" t="str">
        <f>IF(INDEX('CAMD Facility Data 2023'!$AE$2:$AG$10000,MATCH(Z239,'CAMD Facility Data 2023'!$AE$2:$AE$10000,0),3)&gt;0,INDEX('CAMD Facility Data 2023'!$AE$2:$AG$10000,MATCH(Z239,'CAMD Facility Data 2023'!$AE$2:$AE$10000,0),3),"")</f>
        <v/>
      </c>
      <c r="AD239" s="20">
        <f t="shared" si="10"/>
        <v>0.40407716046001391</v>
      </c>
      <c r="AE239" s="25">
        <f t="shared" si="11"/>
        <v>3.6844456864759054E-2</v>
      </c>
    </row>
    <row r="240" spans="1:31" x14ac:dyDescent="0.2">
      <c r="A240" s="1" t="s">
        <v>304</v>
      </c>
      <c r="B240" s="1" t="s">
        <v>731</v>
      </c>
      <c r="C240" s="1">
        <v>613</v>
      </c>
      <c r="D240" s="1" t="s">
        <v>742</v>
      </c>
      <c r="F240" s="1">
        <v>2023</v>
      </c>
      <c r="G240" s="5">
        <v>522</v>
      </c>
      <c r="H240" s="5">
        <v>427.92</v>
      </c>
      <c r="I240" s="5">
        <v>63596.83</v>
      </c>
      <c r="K240" s="5">
        <v>0.23499999999999999</v>
      </c>
      <c r="L240" s="5">
        <v>1E-3</v>
      </c>
      <c r="M240" s="5">
        <v>41678.262000000002</v>
      </c>
      <c r="N240" s="6">
        <v>6.0900000000000003E-2</v>
      </c>
      <c r="O240" s="5">
        <v>12.426</v>
      </c>
      <c r="P240" s="6">
        <v>4.0399999999999998E-2</v>
      </c>
      <c r="Q240" s="5">
        <v>676142.52399999998</v>
      </c>
      <c r="R240" s="1" t="s">
        <v>44</v>
      </c>
      <c r="S240" s="1" t="s">
        <v>94</v>
      </c>
      <c r="T240" s="1" t="s">
        <v>93</v>
      </c>
      <c r="V240" s="1" t="s">
        <v>183</v>
      </c>
      <c r="Y240" s="1" t="s">
        <v>247</v>
      </c>
      <c r="Z240" s="1" t="str">
        <f t="shared" si="9"/>
        <v>613 PFL6E</v>
      </c>
      <c r="AA240" s="3">
        <f>IF(INDEX('CAMD Facility Data 2023'!$AA$2:$AE$10000,MATCH(Z240,'CAMD Facility Data 2023'!$AE$2:$AE$10000,0),1)&gt;0,INDEX('CAMD Facility Data 2023'!$AA$2:$AE$10000,MATCH(Z240,'CAMD Facility Data 2023'!$AE$2:$AE$10000,0),1),"")</f>
        <v>42627</v>
      </c>
      <c r="AB240" s="5">
        <f>IF(INDEX('CAMD Facility Data 2023'!$AC$2:$AE$10000,MATCH(Z240,'CAMD Facility Data 2023'!$AE$2:$AE$10000,0),1)&gt;0,INDEX('CAMD Facility Data 2023'!$AC$2:$AE$10000,MATCH(Z240,'CAMD Facility Data 2023'!$AE$2:$AE$10000,0),1),"")</f>
        <v>2454</v>
      </c>
      <c r="AC240" s="1" t="str">
        <f>IF(INDEX('CAMD Facility Data 2023'!$AE$2:$AG$10000,MATCH(Z240,'CAMD Facility Data 2023'!$AE$2:$AE$10000,0),3)&gt;0,INDEX('CAMD Facility Data 2023'!$AE$2:$AG$10000,MATCH(Z240,'CAMD Facility Data 2023'!$AE$2:$AE$10000,0),3),"")</f>
        <v/>
      </c>
      <c r="AD240" s="20">
        <f t="shared" si="10"/>
        <v>0.39077419424836113</v>
      </c>
      <c r="AE240" s="25">
        <f t="shared" si="11"/>
        <v>3.1452819737042864E-2</v>
      </c>
    </row>
    <row r="241" spans="1:31" x14ac:dyDescent="0.2">
      <c r="A241" s="1" t="s">
        <v>304</v>
      </c>
      <c r="B241" s="1" t="s">
        <v>731</v>
      </c>
      <c r="C241" s="1">
        <v>613</v>
      </c>
      <c r="D241" s="1" t="s">
        <v>744</v>
      </c>
      <c r="F241" s="1">
        <v>2023</v>
      </c>
      <c r="G241" s="5">
        <v>6061</v>
      </c>
      <c r="H241" s="5">
        <v>6037.39</v>
      </c>
      <c r="I241" s="5">
        <v>2847463.29</v>
      </c>
      <c r="K241" s="5">
        <v>5.4649999999999999</v>
      </c>
      <c r="L241" s="5">
        <v>1E-3</v>
      </c>
      <c r="M241" s="5">
        <v>1079140.8799999999</v>
      </c>
      <c r="N241" s="6">
        <v>5.91E-2</v>
      </c>
      <c r="O241" s="5">
        <v>64.525000000000006</v>
      </c>
      <c r="P241" s="6">
        <v>8.0000000000000002E-3</v>
      </c>
      <c r="Q241" s="5">
        <v>18139829.813999999</v>
      </c>
      <c r="R241" s="1" t="s">
        <v>44</v>
      </c>
      <c r="S241" s="1" t="s">
        <v>94</v>
      </c>
      <c r="T241" s="1" t="s">
        <v>71</v>
      </c>
      <c r="V241" s="1" t="s">
        <v>64</v>
      </c>
      <c r="Y241" s="1" t="s">
        <v>312</v>
      </c>
      <c r="Z241" s="1" t="str">
        <f t="shared" si="9"/>
        <v>613 PFL7A</v>
      </c>
      <c r="AA241" s="3">
        <f>IF(INDEX('CAMD Facility Data 2023'!$AA$2:$AE$10000,MATCH(Z241,'CAMD Facility Data 2023'!$AE$2:$AE$10000,0),1)&gt;0,INDEX('CAMD Facility Data 2023'!$AA$2:$AE$10000,MATCH(Z241,'CAMD Facility Data 2023'!$AE$2:$AE$10000,0),1),"")</f>
        <v>44589</v>
      </c>
      <c r="AB241" s="5">
        <f>IF(INDEX('CAMD Facility Data 2023'!$AC$2:$AE$10000,MATCH(Z241,'CAMD Facility Data 2023'!$AE$2:$AE$10000,0),1)&gt;0,INDEX('CAMD Facility Data 2023'!$AC$2:$AE$10000,MATCH(Z241,'CAMD Facility Data 2023'!$AE$2:$AE$10000,0),1),"")</f>
        <v>4040</v>
      </c>
      <c r="AC241" s="1" t="str">
        <f>IF(INDEX('CAMD Facility Data 2023'!$AE$2:$AG$10000,MATCH(Z241,'CAMD Facility Data 2023'!$AE$2:$AE$10000,0),3)&gt;0,INDEX('CAMD Facility Data 2023'!$AE$2:$AG$10000,MATCH(Z241,'CAMD Facility Data 2023'!$AE$2:$AE$10000,0),3),"")</f>
        <v>Y</v>
      </c>
      <c r="AD241" s="20">
        <f t="shared" si="10"/>
        <v>4.5321040820161022E-2</v>
      </c>
      <c r="AE241" s="25">
        <f t="shared" si="11"/>
        <v>0.51256357130747321</v>
      </c>
    </row>
    <row r="242" spans="1:31" x14ac:dyDescent="0.2">
      <c r="A242" s="1" t="s">
        <v>304</v>
      </c>
      <c r="B242" s="1" t="s">
        <v>731</v>
      </c>
      <c r="C242" s="1">
        <v>613</v>
      </c>
      <c r="D242" s="1" t="s">
        <v>746</v>
      </c>
      <c r="F242" s="1">
        <v>2023</v>
      </c>
      <c r="G242" s="5">
        <v>7112</v>
      </c>
      <c r="H242" s="5">
        <v>7083.71</v>
      </c>
      <c r="I242" s="5">
        <v>3373778.23</v>
      </c>
      <c r="K242" s="5">
        <v>6.4560000000000004</v>
      </c>
      <c r="L242" s="5">
        <v>1E-3</v>
      </c>
      <c r="M242" s="5">
        <v>1278914.182</v>
      </c>
      <c r="N242" s="6">
        <v>5.8999999999999997E-2</v>
      </c>
      <c r="O242" s="5">
        <v>74.105999999999995</v>
      </c>
      <c r="P242" s="6">
        <v>7.7999999999999996E-3</v>
      </c>
      <c r="Q242" s="5">
        <v>21520056.204999998</v>
      </c>
      <c r="R242" s="1" t="s">
        <v>44</v>
      </c>
      <c r="S242" s="1" t="s">
        <v>94</v>
      </c>
      <c r="T242" s="1" t="s">
        <v>71</v>
      </c>
      <c r="V242" s="1" t="s">
        <v>64</v>
      </c>
      <c r="Y242" s="1" t="s">
        <v>312</v>
      </c>
      <c r="Z242" s="1" t="str">
        <f t="shared" si="9"/>
        <v>613 PFL7B</v>
      </c>
      <c r="AA242" s="3">
        <f>IF(INDEX('CAMD Facility Data 2023'!$AA$2:$AE$10000,MATCH(Z242,'CAMD Facility Data 2023'!$AE$2:$AE$10000,0),1)&gt;0,INDEX('CAMD Facility Data 2023'!$AA$2:$AE$10000,MATCH(Z242,'CAMD Facility Data 2023'!$AE$2:$AE$10000,0),1),"")</f>
        <v>44587</v>
      </c>
      <c r="AB242" s="5">
        <f>IF(INDEX('CAMD Facility Data 2023'!$AC$2:$AE$10000,MATCH(Z242,'CAMD Facility Data 2023'!$AE$2:$AE$10000,0),1)&gt;0,INDEX('CAMD Facility Data 2023'!$AC$2:$AE$10000,MATCH(Z242,'CAMD Facility Data 2023'!$AE$2:$AE$10000,0),1),"")</f>
        <v>4040</v>
      </c>
      <c r="AC242" s="1" t="str">
        <f>IF(INDEX('CAMD Facility Data 2023'!$AE$2:$AG$10000,MATCH(Z242,'CAMD Facility Data 2023'!$AE$2:$AE$10000,0),3)&gt;0,INDEX('CAMD Facility Data 2023'!$AE$2:$AG$10000,MATCH(Z242,'CAMD Facility Data 2023'!$AE$2:$AE$10000,0),3),"")</f>
        <v>Y</v>
      </c>
      <c r="AD242" s="20">
        <f t="shared" si="10"/>
        <v>4.3930569793261133E-2</v>
      </c>
      <c r="AE242" s="25">
        <f t="shared" si="11"/>
        <v>0.60807609422329212</v>
      </c>
    </row>
    <row r="243" spans="1:31" x14ac:dyDescent="0.2">
      <c r="A243" s="1" t="s">
        <v>304</v>
      </c>
      <c r="B243" s="1" t="s">
        <v>748</v>
      </c>
      <c r="C243" s="1">
        <v>617</v>
      </c>
      <c r="D243" s="1" t="s">
        <v>749</v>
      </c>
      <c r="F243" s="1">
        <v>2023</v>
      </c>
      <c r="G243" s="5">
        <v>6021</v>
      </c>
      <c r="H243" s="5">
        <v>5946.6</v>
      </c>
      <c r="I243" s="5">
        <v>1880307.23</v>
      </c>
      <c r="K243" s="5">
        <v>3.661</v>
      </c>
      <c r="L243" s="5">
        <v>1E-3</v>
      </c>
      <c r="M243" s="5">
        <v>723344.63</v>
      </c>
      <c r="N243" s="6">
        <v>5.91E-2</v>
      </c>
      <c r="O243" s="5">
        <v>47.207999999999998</v>
      </c>
      <c r="P243" s="6">
        <v>9.1999999999999998E-3</v>
      </c>
      <c r="Q243" s="5">
        <v>12161238.983999999</v>
      </c>
      <c r="R243" s="1" t="s">
        <v>44</v>
      </c>
      <c r="S243" s="1" t="s">
        <v>94</v>
      </c>
      <c r="T243" s="1" t="s">
        <v>71</v>
      </c>
      <c r="V243" s="1" t="s">
        <v>643</v>
      </c>
      <c r="Y243" s="1" t="s">
        <v>247</v>
      </c>
      <c r="Z243" s="1" t="str">
        <f t="shared" si="9"/>
        <v>617 PECT5A</v>
      </c>
      <c r="AA243" s="3">
        <f>IF(INDEX('CAMD Facility Data 2023'!$AA$2:$AE$10000,MATCH(Z243,'CAMD Facility Data 2023'!$AE$2:$AE$10000,0),1)&gt;0,INDEX('CAMD Facility Data 2023'!$AA$2:$AE$10000,MATCH(Z243,'CAMD Facility Data 2023'!$AE$2:$AE$10000,0),1),"")</f>
        <v>42206</v>
      </c>
      <c r="AB243" s="5">
        <f>IF(INDEX('CAMD Facility Data 2023'!$AC$2:$AE$10000,MATCH(Z243,'CAMD Facility Data 2023'!$AE$2:$AE$10000,0),1)&gt;0,INDEX('CAMD Facility Data 2023'!$AC$2:$AE$10000,MATCH(Z243,'CAMD Facility Data 2023'!$AE$2:$AE$10000,0),1),"")</f>
        <v>2700</v>
      </c>
      <c r="AC243" s="1" t="str">
        <f>IF(INDEX('CAMD Facility Data 2023'!$AE$2:$AG$10000,MATCH(Z243,'CAMD Facility Data 2023'!$AE$2:$AE$10000,0),3)&gt;0,INDEX('CAMD Facility Data 2023'!$AE$2:$AG$10000,MATCH(Z243,'CAMD Facility Data 2023'!$AE$2:$AE$10000,0),3),"")</f>
        <v>Y</v>
      </c>
      <c r="AD243" s="20">
        <f t="shared" si="10"/>
        <v>5.021307076503663E-2</v>
      </c>
      <c r="AE243" s="25">
        <f t="shared" si="11"/>
        <v>0.51417381126331807</v>
      </c>
    </row>
    <row r="244" spans="1:31" x14ac:dyDescent="0.2">
      <c r="A244" s="1" t="s">
        <v>304</v>
      </c>
      <c r="B244" s="1" t="s">
        <v>748</v>
      </c>
      <c r="C244" s="1">
        <v>617</v>
      </c>
      <c r="D244" s="1" t="s">
        <v>751</v>
      </c>
      <c r="F244" s="1">
        <v>2023</v>
      </c>
      <c r="G244" s="5">
        <v>6468</v>
      </c>
      <c r="H244" s="5">
        <v>6392.99</v>
      </c>
      <c r="I244" s="5">
        <v>2046800.67</v>
      </c>
      <c r="K244" s="5">
        <v>3.9540000000000002</v>
      </c>
      <c r="L244" s="5">
        <v>1E-3</v>
      </c>
      <c r="M244" s="5">
        <v>781872.24300000002</v>
      </c>
      <c r="N244" s="6">
        <v>5.91E-2</v>
      </c>
      <c r="O244" s="5">
        <v>49.936999999999998</v>
      </c>
      <c r="P244" s="6">
        <v>8.6E-3</v>
      </c>
      <c r="Q244" s="5">
        <v>13148800.848999999</v>
      </c>
      <c r="R244" s="1" t="s">
        <v>44</v>
      </c>
      <c r="S244" s="1" t="s">
        <v>94</v>
      </c>
      <c r="T244" s="1" t="s">
        <v>71</v>
      </c>
      <c r="V244" s="1" t="s">
        <v>643</v>
      </c>
      <c r="Y244" s="1" t="s">
        <v>247</v>
      </c>
      <c r="Z244" s="1" t="str">
        <f t="shared" si="9"/>
        <v>617 PECT5B</v>
      </c>
      <c r="AA244" s="3">
        <f>IF(INDEX('CAMD Facility Data 2023'!$AA$2:$AE$10000,MATCH(Z244,'CAMD Facility Data 2023'!$AE$2:$AE$10000,0),1)&gt;0,INDEX('CAMD Facility Data 2023'!$AA$2:$AE$10000,MATCH(Z244,'CAMD Facility Data 2023'!$AE$2:$AE$10000,0),1),"")</f>
        <v>42216</v>
      </c>
      <c r="AB244" s="5">
        <f>IF(INDEX('CAMD Facility Data 2023'!$AC$2:$AE$10000,MATCH(Z244,'CAMD Facility Data 2023'!$AE$2:$AE$10000,0),1)&gt;0,INDEX('CAMD Facility Data 2023'!$AC$2:$AE$10000,MATCH(Z244,'CAMD Facility Data 2023'!$AE$2:$AE$10000,0),1),"")</f>
        <v>2700</v>
      </c>
      <c r="AC244" s="1" t="str">
        <f>IF(INDEX('CAMD Facility Data 2023'!$AE$2:$AG$10000,MATCH(Z244,'CAMD Facility Data 2023'!$AE$2:$AE$10000,0),3)&gt;0,INDEX('CAMD Facility Data 2023'!$AE$2:$AG$10000,MATCH(Z244,'CAMD Facility Data 2023'!$AE$2:$AE$10000,0),3),"")</f>
        <v>Y</v>
      </c>
      <c r="AD244" s="20">
        <f t="shared" si="10"/>
        <v>4.8795176522978177E-2</v>
      </c>
      <c r="AE244" s="25">
        <f t="shared" si="11"/>
        <v>0.55592765301031621</v>
      </c>
    </row>
    <row r="245" spans="1:31" x14ac:dyDescent="0.2">
      <c r="A245" s="1" t="s">
        <v>304</v>
      </c>
      <c r="B245" s="1" t="s">
        <v>748</v>
      </c>
      <c r="C245" s="1">
        <v>617</v>
      </c>
      <c r="D245" s="1" t="s">
        <v>753</v>
      </c>
      <c r="F245" s="1">
        <v>2023</v>
      </c>
      <c r="G245" s="5">
        <v>5842</v>
      </c>
      <c r="H245" s="5">
        <v>5758.57</v>
      </c>
      <c r="I245" s="5">
        <v>1885366.6</v>
      </c>
      <c r="K245" s="5">
        <v>3.6789999999999998</v>
      </c>
      <c r="L245" s="5">
        <v>1E-3</v>
      </c>
      <c r="M245" s="5">
        <v>727401.76599999995</v>
      </c>
      <c r="N245" s="6">
        <v>5.91E-2</v>
      </c>
      <c r="O245" s="5">
        <v>46.957000000000001</v>
      </c>
      <c r="P245" s="6">
        <v>8.8000000000000005E-3</v>
      </c>
      <c r="Q245" s="5">
        <v>12232656.182</v>
      </c>
      <c r="R245" s="1" t="s">
        <v>44</v>
      </c>
      <c r="S245" s="1" t="s">
        <v>94</v>
      </c>
      <c r="T245" s="1" t="s">
        <v>71</v>
      </c>
      <c r="V245" s="1" t="s">
        <v>643</v>
      </c>
      <c r="Y245" s="1" t="s">
        <v>247</v>
      </c>
      <c r="Z245" s="1" t="str">
        <f t="shared" si="9"/>
        <v>617 PECT5C</v>
      </c>
      <c r="AA245" s="3">
        <f>IF(INDEX('CAMD Facility Data 2023'!$AA$2:$AE$10000,MATCH(Z245,'CAMD Facility Data 2023'!$AE$2:$AE$10000,0),1)&gt;0,INDEX('CAMD Facility Data 2023'!$AA$2:$AE$10000,MATCH(Z245,'CAMD Facility Data 2023'!$AE$2:$AE$10000,0),1),"")</f>
        <v>42315</v>
      </c>
      <c r="AB245" s="5">
        <f>IF(INDEX('CAMD Facility Data 2023'!$AC$2:$AE$10000,MATCH(Z245,'CAMD Facility Data 2023'!$AE$2:$AE$10000,0),1)&gt;0,INDEX('CAMD Facility Data 2023'!$AC$2:$AE$10000,MATCH(Z245,'CAMD Facility Data 2023'!$AE$2:$AE$10000,0),1),"")</f>
        <v>2700</v>
      </c>
      <c r="AC245" s="1" t="str">
        <f>IF(INDEX('CAMD Facility Data 2023'!$AE$2:$AG$10000,MATCH(Z245,'CAMD Facility Data 2023'!$AE$2:$AE$10000,0),3)&gt;0,INDEX('CAMD Facility Data 2023'!$AE$2:$AG$10000,MATCH(Z245,'CAMD Facility Data 2023'!$AE$2:$AE$10000,0),3),"")</f>
        <v>Y</v>
      </c>
      <c r="AD245" s="20">
        <f t="shared" si="10"/>
        <v>4.9812063075690423E-2</v>
      </c>
      <c r="AE245" s="25">
        <f t="shared" si="11"/>
        <v>0.51719331058684259</v>
      </c>
    </row>
    <row r="246" spans="1:31" x14ac:dyDescent="0.2">
      <c r="A246" s="1" t="s">
        <v>304</v>
      </c>
      <c r="B246" s="1" t="s">
        <v>755</v>
      </c>
      <c r="C246" s="1">
        <v>619</v>
      </c>
      <c r="D246" s="1" t="s">
        <v>756</v>
      </c>
      <c r="F246" s="1">
        <v>2023</v>
      </c>
      <c r="G246" s="5">
        <v>5927</v>
      </c>
      <c r="H246" s="5">
        <v>5745.73</v>
      </c>
      <c r="I246" s="5">
        <v>2053778.45</v>
      </c>
      <c r="K246" s="5">
        <v>3.9769999999999999</v>
      </c>
      <c r="L246" s="5">
        <v>1E-3</v>
      </c>
      <c r="M246" s="5">
        <v>784652.45</v>
      </c>
      <c r="N246" s="6">
        <v>5.91E-2</v>
      </c>
      <c r="O246" s="5">
        <v>62.607999999999997</v>
      </c>
      <c r="P246" s="6">
        <v>1.3899999999999999E-2</v>
      </c>
      <c r="Q246" s="5">
        <v>13185917.176000001</v>
      </c>
      <c r="R246" s="1" t="s">
        <v>44</v>
      </c>
      <c r="S246" s="1" t="s">
        <v>94</v>
      </c>
      <c r="T246" s="1" t="s">
        <v>71</v>
      </c>
      <c r="V246" s="1" t="s">
        <v>643</v>
      </c>
      <c r="Y246" s="1" t="s">
        <v>247</v>
      </c>
      <c r="Z246" s="1" t="str">
        <f t="shared" si="9"/>
        <v>619 RBCT5A</v>
      </c>
      <c r="AA246" s="3">
        <f>IF(INDEX('CAMD Facility Data 2023'!$AA$2:$AE$10000,MATCH(Z246,'CAMD Facility Data 2023'!$AE$2:$AE$10000,0),1)&gt;0,INDEX('CAMD Facility Data 2023'!$AA$2:$AE$10000,MATCH(Z246,'CAMD Facility Data 2023'!$AE$2:$AE$10000,0),1),"")</f>
        <v>41577</v>
      </c>
      <c r="AB246" s="5">
        <f>IF(INDEX('CAMD Facility Data 2023'!$AC$2:$AE$10000,MATCH(Z246,'CAMD Facility Data 2023'!$AE$2:$AE$10000,0),1)&gt;0,INDEX('CAMD Facility Data 2023'!$AC$2:$AE$10000,MATCH(Z246,'CAMD Facility Data 2023'!$AE$2:$AE$10000,0),1),"")</f>
        <v>3046</v>
      </c>
      <c r="AC246" s="1" t="str">
        <f>IF(INDEX('CAMD Facility Data 2023'!$AE$2:$AG$10000,MATCH(Z246,'CAMD Facility Data 2023'!$AE$2:$AE$10000,0),3)&gt;0,INDEX('CAMD Facility Data 2023'!$AE$2:$AG$10000,MATCH(Z246,'CAMD Facility Data 2023'!$AE$2:$AE$10000,0),3),"")</f>
        <v>Y</v>
      </c>
      <c r="AD246" s="20">
        <f t="shared" si="10"/>
        <v>6.0968601554856124E-2</v>
      </c>
      <c r="AE246" s="25">
        <f t="shared" si="11"/>
        <v>0.49416995625672716</v>
      </c>
    </row>
    <row r="247" spans="1:31" x14ac:dyDescent="0.2">
      <c r="A247" s="1" t="s">
        <v>304</v>
      </c>
      <c r="B247" s="1" t="s">
        <v>755</v>
      </c>
      <c r="C247" s="1">
        <v>619</v>
      </c>
      <c r="D247" s="1" t="s">
        <v>760</v>
      </c>
      <c r="F247" s="1">
        <v>2023</v>
      </c>
      <c r="G247" s="5">
        <v>7510</v>
      </c>
      <c r="H247" s="5">
        <v>7436.94</v>
      </c>
      <c r="I247" s="5">
        <v>2798801.68</v>
      </c>
      <c r="K247" s="5">
        <v>5.2670000000000003</v>
      </c>
      <c r="L247" s="5">
        <v>1E-3</v>
      </c>
      <c r="M247" s="5">
        <v>1041524.095</v>
      </c>
      <c r="N247" s="6">
        <v>5.91E-2</v>
      </c>
      <c r="O247" s="5">
        <v>66.084000000000003</v>
      </c>
      <c r="P247" s="6">
        <v>8.5000000000000006E-3</v>
      </c>
      <c r="Q247" s="5">
        <v>17515884.204</v>
      </c>
      <c r="R247" s="1" t="s">
        <v>44</v>
      </c>
      <c r="S247" s="1" t="s">
        <v>94</v>
      </c>
      <c r="T247" s="1" t="s">
        <v>71</v>
      </c>
      <c r="V247" s="1" t="s">
        <v>643</v>
      </c>
      <c r="Y247" s="1" t="s">
        <v>247</v>
      </c>
      <c r="Z247" s="1" t="str">
        <f t="shared" si="9"/>
        <v>619 RBCT5B</v>
      </c>
      <c r="AA247" s="3">
        <f>IF(INDEX('CAMD Facility Data 2023'!$AA$2:$AE$10000,MATCH(Z247,'CAMD Facility Data 2023'!$AE$2:$AE$10000,0),1)&gt;0,INDEX('CAMD Facility Data 2023'!$AA$2:$AE$10000,MATCH(Z247,'CAMD Facility Data 2023'!$AE$2:$AE$10000,0),1),"")</f>
        <v>41555</v>
      </c>
      <c r="AB247" s="5">
        <f>IF(INDEX('CAMD Facility Data 2023'!$AC$2:$AE$10000,MATCH(Z247,'CAMD Facility Data 2023'!$AE$2:$AE$10000,0),1)&gt;0,INDEX('CAMD Facility Data 2023'!$AC$2:$AE$10000,MATCH(Z247,'CAMD Facility Data 2023'!$AE$2:$AE$10000,0),1),"")</f>
        <v>3046</v>
      </c>
      <c r="AC247" s="1" t="str">
        <f>IF(INDEX('CAMD Facility Data 2023'!$AE$2:$AG$10000,MATCH(Z247,'CAMD Facility Data 2023'!$AE$2:$AE$10000,0),3)&gt;0,INDEX('CAMD Facility Data 2023'!$AE$2:$AG$10000,MATCH(Z247,'CAMD Facility Data 2023'!$AE$2:$AE$10000,0),3),"")</f>
        <v>Y</v>
      </c>
      <c r="AD247" s="20">
        <f t="shared" si="10"/>
        <v>4.7223067266416674E-2</v>
      </c>
      <c r="AE247" s="25">
        <f t="shared" si="11"/>
        <v>0.65644457001771916</v>
      </c>
    </row>
    <row r="248" spans="1:31" x14ac:dyDescent="0.2">
      <c r="A248" s="1" t="s">
        <v>304</v>
      </c>
      <c r="B248" s="1" t="s">
        <v>755</v>
      </c>
      <c r="C248" s="1">
        <v>619</v>
      </c>
      <c r="D248" s="1" t="s">
        <v>762</v>
      </c>
      <c r="F248" s="1">
        <v>2023</v>
      </c>
      <c r="G248" s="5">
        <v>6621</v>
      </c>
      <c r="H248" s="5">
        <v>6485.51</v>
      </c>
      <c r="I248" s="5">
        <v>2526752.04</v>
      </c>
      <c r="K248" s="5">
        <v>4.7430000000000003</v>
      </c>
      <c r="L248" s="5">
        <v>1E-3</v>
      </c>
      <c r="M248" s="5">
        <v>938029.17500000005</v>
      </c>
      <c r="N248" s="6">
        <v>5.91E-2</v>
      </c>
      <c r="O248" s="5">
        <v>62.439</v>
      </c>
      <c r="P248" s="6">
        <v>1.0200000000000001E-2</v>
      </c>
      <c r="Q248" s="5">
        <v>15775689.218</v>
      </c>
      <c r="R248" s="1" t="s">
        <v>44</v>
      </c>
      <c r="S248" s="1" t="s">
        <v>94</v>
      </c>
      <c r="T248" s="1" t="s">
        <v>71</v>
      </c>
      <c r="V248" s="1" t="s">
        <v>643</v>
      </c>
      <c r="Y248" s="1" t="s">
        <v>247</v>
      </c>
      <c r="Z248" s="1" t="str">
        <f t="shared" si="9"/>
        <v>619 RBCT5C</v>
      </c>
      <c r="AA248" s="3">
        <f>IF(INDEX('CAMD Facility Data 2023'!$AA$2:$AE$10000,MATCH(Z248,'CAMD Facility Data 2023'!$AE$2:$AE$10000,0),1)&gt;0,INDEX('CAMD Facility Data 2023'!$AA$2:$AE$10000,MATCH(Z248,'CAMD Facility Data 2023'!$AE$2:$AE$10000,0),1),"")</f>
        <v>41539</v>
      </c>
      <c r="AB248" s="5">
        <f>IF(INDEX('CAMD Facility Data 2023'!$AC$2:$AE$10000,MATCH(Z248,'CAMD Facility Data 2023'!$AE$2:$AE$10000,0),1)&gt;0,INDEX('CAMD Facility Data 2023'!$AC$2:$AE$10000,MATCH(Z248,'CAMD Facility Data 2023'!$AE$2:$AE$10000,0),1),"")</f>
        <v>3046</v>
      </c>
      <c r="AC248" s="1" t="str">
        <f>IF(INDEX('CAMD Facility Data 2023'!$AE$2:$AG$10000,MATCH(Z248,'CAMD Facility Data 2023'!$AE$2:$AE$10000,0),3)&gt;0,INDEX('CAMD Facility Data 2023'!$AE$2:$AG$10000,MATCH(Z248,'CAMD Facility Data 2023'!$AE$2:$AE$10000,0),3),"")</f>
        <v>Y</v>
      </c>
      <c r="AD248" s="20">
        <f t="shared" si="10"/>
        <v>4.9422340626664736E-2</v>
      </c>
      <c r="AE248" s="25">
        <f t="shared" si="11"/>
        <v>0.59122710591328698</v>
      </c>
    </row>
    <row r="249" spans="1:31" x14ac:dyDescent="0.2">
      <c r="A249" s="1" t="s">
        <v>304</v>
      </c>
      <c r="B249" s="1" t="s">
        <v>764</v>
      </c>
      <c r="C249" s="1">
        <v>620</v>
      </c>
      <c r="D249" s="1" t="s">
        <v>765</v>
      </c>
      <c r="F249" s="1">
        <v>2023</v>
      </c>
      <c r="G249" s="5">
        <v>5823</v>
      </c>
      <c r="H249" s="5">
        <v>5716.7</v>
      </c>
      <c r="I249" s="5">
        <v>1203321.1100000001</v>
      </c>
      <c r="K249" s="5">
        <v>2.5099999999999998</v>
      </c>
      <c r="L249" s="5">
        <v>1E-3</v>
      </c>
      <c r="M249" s="5">
        <v>497212.68599999999</v>
      </c>
      <c r="N249" s="6">
        <v>5.8999999999999997E-2</v>
      </c>
      <c r="O249" s="5">
        <v>109.351</v>
      </c>
      <c r="P249" s="6">
        <v>2.8400000000000002E-2</v>
      </c>
      <c r="Q249" s="5">
        <v>8366569.21</v>
      </c>
      <c r="R249" s="1" t="s">
        <v>44</v>
      </c>
      <c r="T249" s="1" t="s">
        <v>71</v>
      </c>
      <c r="V249" s="1" t="s">
        <v>140</v>
      </c>
      <c r="Y249" s="1" t="s">
        <v>247</v>
      </c>
      <c r="Z249" s="1" t="str">
        <f t="shared" si="9"/>
        <v>620 SNCT4A</v>
      </c>
      <c r="AA249" s="3">
        <f>IF(INDEX('CAMD Facility Data 2023'!$AA$2:$AE$10000,MATCH(Z249,'CAMD Facility Data 2023'!$AE$2:$AE$10000,0),1)&gt;0,INDEX('CAMD Facility Data 2023'!$AA$2:$AE$10000,MATCH(Z249,'CAMD Facility Data 2023'!$AE$2:$AE$10000,0),1),"")</f>
        <v>37596</v>
      </c>
      <c r="AB249" s="5">
        <f>IF(INDEX('CAMD Facility Data 2023'!$AC$2:$AE$10000,MATCH(Z249,'CAMD Facility Data 2023'!$AE$2:$AE$10000,0),1)&gt;0,INDEX('CAMD Facility Data 2023'!$AC$2:$AE$10000,MATCH(Z249,'CAMD Facility Data 2023'!$AE$2:$AE$10000,0),1),"")</f>
        <v>2070</v>
      </c>
      <c r="AC249" s="1" t="str">
        <f>IF(INDEX('CAMD Facility Data 2023'!$AE$2:$AG$10000,MATCH(Z249,'CAMD Facility Data 2023'!$AE$2:$AE$10000,0),3)&gt;0,INDEX('CAMD Facility Data 2023'!$AE$2:$AG$10000,MATCH(Z249,'CAMD Facility Data 2023'!$AE$2:$AE$10000,0),3),"")</f>
        <v/>
      </c>
      <c r="AD249" s="20">
        <f t="shared" si="10"/>
        <v>0.18174866058819494</v>
      </c>
      <c r="AE249" s="25">
        <f t="shared" si="11"/>
        <v>0.46139507698586019</v>
      </c>
    </row>
    <row r="250" spans="1:31" x14ac:dyDescent="0.2">
      <c r="A250" s="1" t="s">
        <v>304</v>
      </c>
      <c r="B250" s="1" t="s">
        <v>764</v>
      </c>
      <c r="C250" s="1">
        <v>620</v>
      </c>
      <c r="D250" s="1" t="s">
        <v>769</v>
      </c>
      <c r="F250" s="1">
        <v>2023</v>
      </c>
      <c r="G250" s="5">
        <v>4858</v>
      </c>
      <c r="H250" s="5">
        <v>4736.41</v>
      </c>
      <c r="I250" s="5">
        <v>998475.38</v>
      </c>
      <c r="K250" s="5">
        <v>2.0790000000000002</v>
      </c>
      <c r="L250" s="5">
        <v>1E-3</v>
      </c>
      <c r="M250" s="5">
        <v>411738.96100000001</v>
      </c>
      <c r="N250" s="6">
        <v>5.8999999999999997E-2</v>
      </c>
      <c r="O250" s="5">
        <v>90.688999999999993</v>
      </c>
      <c r="P250" s="6">
        <v>2.87E-2</v>
      </c>
      <c r="Q250" s="5">
        <v>6928367.3909999998</v>
      </c>
      <c r="R250" s="1" t="s">
        <v>44</v>
      </c>
      <c r="T250" s="1" t="s">
        <v>71</v>
      </c>
      <c r="V250" s="1" t="s">
        <v>140</v>
      </c>
      <c r="Y250" s="1" t="s">
        <v>247</v>
      </c>
      <c r="Z250" s="1" t="str">
        <f t="shared" si="9"/>
        <v>620 SNCT4B</v>
      </c>
      <c r="AA250" s="3">
        <f>IF(INDEX('CAMD Facility Data 2023'!$AA$2:$AE$10000,MATCH(Z250,'CAMD Facility Data 2023'!$AE$2:$AE$10000,0),1)&gt;0,INDEX('CAMD Facility Data 2023'!$AA$2:$AE$10000,MATCH(Z250,'CAMD Facility Data 2023'!$AE$2:$AE$10000,0),1),"")</f>
        <v>37597</v>
      </c>
      <c r="AB250" s="5">
        <f>IF(INDEX('CAMD Facility Data 2023'!$AC$2:$AE$10000,MATCH(Z250,'CAMD Facility Data 2023'!$AE$2:$AE$10000,0),1)&gt;0,INDEX('CAMD Facility Data 2023'!$AC$2:$AE$10000,MATCH(Z250,'CAMD Facility Data 2023'!$AE$2:$AE$10000,0),1),"")</f>
        <v>2070</v>
      </c>
      <c r="AC250" s="1" t="str">
        <f>IF(INDEX('CAMD Facility Data 2023'!$AE$2:$AG$10000,MATCH(Z250,'CAMD Facility Data 2023'!$AE$2:$AE$10000,0),3)&gt;0,INDEX('CAMD Facility Data 2023'!$AE$2:$AG$10000,MATCH(Z250,'CAMD Facility Data 2023'!$AE$2:$AE$10000,0),3),"")</f>
        <v/>
      </c>
      <c r="AD250" s="20">
        <f t="shared" si="10"/>
        <v>0.18165495477715235</v>
      </c>
      <c r="AE250" s="25">
        <f t="shared" si="11"/>
        <v>0.38208189348818739</v>
      </c>
    </row>
    <row r="251" spans="1:31" x14ac:dyDescent="0.2">
      <c r="A251" s="1" t="s">
        <v>304</v>
      </c>
      <c r="B251" s="1" t="s">
        <v>764</v>
      </c>
      <c r="C251" s="1">
        <v>620</v>
      </c>
      <c r="D251" s="1" t="s">
        <v>771</v>
      </c>
      <c r="F251" s="1">
        <v>2023</v>
      </c>
      <c r="G251" s="5">
        <v>5285</v>
      </c>
      <c r="H251" s="5">
        <v>5183.78</v>
      </c>
      <c r="I251" s="5">
        <v>1088090.43</v>
      </c>
      <c r="K251" s="5">
        <v>2.2519999999999998</v>
      </c>
      <c r="L251" s="5">
        <v>1E-3</v>
      </c>
      <c r="M251" s="5">
        <v>446072.84299999999</v>
      </c>
      <c r="N251" s="6">
        <v>5.8999999999999997E-2</v>
      </c>
      <c r="O251" s="5">
        <v>97.06</v>
      </c>
      <c r="P251" s="6">
        <v>2.8299999999999999E-2</v>
      </c>
      <c r="Q251" s="5">
        <v>7506038.8720000004</v>
      </c>
      <c r="R251" s="1" t="s">
        <v>44</v>
      </c>
      <c r="T251" s="1" t="s">
        <v>71</v>
      </c>
      <c r="V251" s="1" t="s">
        <v>140</v>
      </c>
      <c r="Y251" s="1" t="s">
        <v>247</v>
      </c>
      <c r="Z251" s="1" t="str">
        <f t="shared" si="9"/>
        <v>620 SNCT4C</v>
      </c>
      <c r="AA251" s="3">
        <f>IF(INDEX('CAMD Facility Data 2023'!$AA$2:$AE$10000,MATCH(Z251,'CAMD Facility Data 2023'!$AE$2:$AE$10000,0),1)&gt;0,INDEX('CAMD Facility Data 2023'!$AA$2:$AE$10000,MATCH(Z251,'CAMD Facility Data 2023'!$AE$2:$AE$10000,0),1),"")</f>
        <v>37591</v>
      </c>
      <c r="AB251" s="5">
        <f>IF(INDEX('CAMD Facility Data 2023'!$AC$2:$AE$10000,MATCH(Z251,'CAMD Facility Data 2023'!$AE$2:$AE$10000,0),1)&gt;0,INDEX('CAMD Facility Data 2023'!$AC$2:$AE$10000,MATCH(Z251,'CAMD Facility Data 2023'!$AE$2:$AE$10000,0),1),"")</f>
        <v>2070</v>
      </c>
      <c r="AC251" s="1" t="str">
        <f>IF(INDEX('CAMD Facility Data 2023'!$AE$2:$AG$10000,MATCH(Z251,'CAMD Facility Data 2023'!$AE$2:$AE$10000,0),3)&gt;0,INDEX('CAMD Facility Data 2023'!$AE$2:$AG$10000,MATCH(Z251,'CAMD Facility Data 2023'!$AE$2:$AE$10000,0),3),"")</f>
        <v/>
      </c>
      <c r="AD251" s="20">
        <f t="shared" si="10"/>
        <v>0.17840428943024525</v>
      </c>
      <c r="AE251" s="25">
        <f t="shared" si="11"/>
        <v>0.41393901087508</v>
      </c>
    </row>
    <row r="252" spans="1:31" x14ac:dyDescent="0.2">
      <c r="A252" s="1" t="s">
        <v>304</v>
      </c>
      <c r="B252" s="1" t="s">
        <v>764</v>
      </c>
      <c r="C252" s="1">
        <v>620</v>
      </c>
      <c r="D252" s="1" t="s">
        <v>773</v>
      </c>
      <c r="F252" s="1">
        <v>2023</v>
      </c>
      <c r="G252" s="5">
        <v>4551</v>
      </c>
      <c r="H252" s="5">
        <v>4365.7299999999996</v>
      </c>
      <c r="I252" s="5">
        <v>912375.37</v>
      </c>
      <c r="K252" s="5">
        <v>1.915</v>
      </c>
      <c r="L252" s="5">
        <v>1E-3</v>
      </c>
      <c r="M252" s="5">
        <v>379237.076</v>
      </c>
      <c r="N252" s="6">
        <v>5.8999999999999997E-2</v>
      </c>
      <c r="O252" s="5">
        <v>89.328000000000003</v>
      </c>
      <c r="P252" s="6">
        <v>3.2000000000000001E-2</v>
      </c>
      <c r="Q252" s="5">
        <v>6381363.4450000003</v>
      </c>
      <c r="R252" s="1" t="s">
        <v>44</v>
      </c>
      <c r="T252" s="1" t="s">
        <v>71</v>
      </c>
      <c r="V252" s="1" t="s">
        <v>140</v>
      </c>
      <c r="Y252" s="1" t="s">
        <v>247</v>
      </c>
      <c r="Z252" s="1" t="str">
        <f t="shared" si="9"/>
        <v>620 SNCT4D</v>
      </c>
      <c r="AA252" s="3">
        <f>IF(INDEX('CAMD Facility Data 2023'!$AA$2:$AE$10000,MATCH(Z252,'CAMD Facility Data 2023'!$AE$2:$AE$10000,0),1)&gt;0,INDEX('CAMD Facility Data 2023'!$AA$2:$AE$10000,MATCH(Z252,'CAMD Facility Data 2023'!$AE$2:$AE$10000,0),1),"")</f>
        <v>37591</v>
      </c>
      <c r="AB252" s="5">
        <f>IF(INDEX('CAMD Facility Data 2023'!$AC$2:$AE$10000,MATCH(Z252,'CAMD Facility Data 2023'!$AE$2:$AE$10000,0),1)&gt;0,INDEX('CAMD Facility Data 2023'!$AC$2:$AE$10000,MATCH(Z252,'CAMD Facility Data 2023'!$AE$2:$AE$10000,0),1),"")</f>
        <v>2070</v>
      </c>
      <c r="AC252" s="1" t="str">
        <f>IF(INDEX('CAMD Facility Data 2023'!$AE$2:$AG$10000,MATCH(Z252,'CAMD Facility Data 2023'!$AE$2:$AE$10000,0),3)&gt;0,INDEX('CAMD Facility Data 2023'!$AE$2:$AG$10000,MATCH(Z252,'CAMD Facility Data 2023'!$AE$2:$AE$10000,0),3),"")</f>
        <v/>
      </c>
      <c r="AD252" s="20">
        <f t="shared" si="10"/>
        <v>0.19581414171669276</v>
      </c>
      <c r="AE252" s="25">
        <f t="shared" si="11"/>
        <v>0.35191601289347718</v>
      </c>
    </row>
    <row r="253" spans="1:31" x14ac:dyDescent="0.2">
      <c r="A253" s="1" t="s">
        <v>304</v>
      </c>
      <c r="B253" s="1" t="s">
        <v>764</v>
      </c>
      <c r="C253" s="1">
        <v>620</v>
      </c>
      <c r="D253" s="1" t="s">
        <v>775</v>
      </c>
      <c r="F253" s="1">
        <v>2023</v>
      </c>
      <c r="G253" s="5">
        <v>4914</v>
      </c>
      <c r="H253" s="5">
        <v>4737.82</v>
      </c>
      <c r="I253" s="5">
        <v>1033681.46</v>
      </c>
      <c r="K253" s="5">
        <v>2.181</v>
      </c>
      <c r="L253" s="5">
        <v>1E-3</v>
      </c>
      <c r="M253" s="5">
        <v>432011.103</v>
      </c>
      <c r="N253" s="6">
        <v>5.8999999999999997E-2</v>
      </c>
      <c r="O253" s="5">
        <v>96.838999999999999</v>
      </c>
      <c r="P253" s="6">
        <v>3.0499999999999999E-2</v>
      </c>
      <c r="Q253" s="5">
        <v>7269404.648</v>
      </c>
      <c r="R253" s="1" t="s">
        <v>44</v>
      </c>
      <c r="T253" s="1" t="s">
        <v>71</v>
      </c>
      <c r="V253" s="1" t="s">
        <v>140</v>
      </c>
      <c r="Y253" s="1" t="s">
        <v>247</v>
      </c>
      <c r="Z253" s="1" t="str">
        <f t="shared" si="9"/>
        <v>620 SNCT5A</v>
      </c>
      <c r="AA253" s="3">
        <f>IF(INDEX('CAMD Facility Data 2023'!$AA$2:$AE$10000,MATCH(Z253,'CAMD Facility Data 2023'!$AE$2:$AE$10000,0),1)&gt;0,INDEX('CAMD Facility Data 2023'!$AA$2:$AE$10000,MATCH(Z253,'CAMD Facility Data 2023'!$AE$2:$AE$10000,0),1),"")</f>
        <v>37308</v>
      </c>
      <c r="AB253" s="5">
        <f>IF(INDEX('CAMD Facility Data 2023'!$AC$2:$AE$10000,MATCH(Z253,'CAMD Facility Data 2023'!$AE$2:$AE$10000,0),1)&gt;0,INDEX('CAMD Facility Data 2023'!$AC$2:$AE$10000,MATCH(Z253,'CAMD Facility Data 2023'!$AE$2:$AE$10000,0),1),"")</f>
        <v>2110</v>
      </c>
      <c r="AC253" s="1" t="str">
        <f>IF(INDEX('CAMD Facility Data 2023'!$AE$2:$AG$10000,MATCH(Z253,'CAMD Facility Data 2023'!$AE$2:$AE$10000,0),3)&gt;0,INDEX('CAMD Facility Data 2023'!$AE$2:$AG$10000,MATCH(Z253,'CAMD Facility Data 2023'!$AE$2:$AE$10000,0),3),"")</f>
        <v/>
      </c>
      <c r="AD253" s="20">
        <f t="shared" si="10"/>
        <v>0.1873671991756532</v>
      </c>
      <c r="AE253" s="25">
        <f t="shared" si="11"/>
        <v>0.39328943755545459</v>
      </c>
    </row>
    <row r="254" spans="1:31" x14ac:dyDescent="0.2">
      <c r="A254" s="1" t="s">
        <v>304</v>
      </c>
      <c r="B254" s="1" t="s">
        <v>764</v>
      </c>
      <c r="C254" s="1">
        <v>620</v>
      </c>
      <c r="D254" s="1" t="s">
        <v>777</v>
      </c>
      <c r="F254" s="1">
        <v>2023</v>
      </c>
      <c r="G254" s="5">
        <v>4360</v>
      </c>
      <c r="H254" s="5">
        <v>4176.54</v>
      </c>
      <c r="I254" s="5">
        <v>896590.94</v>
      </c>
      <c r="K254" s="5">
        <v>1.86</v>
      </c>
      <c r="L254" s="5">
        <v>1E-3</v>
      </c>
      <c r="M254" s="5">
        <v>368346.94400000002</v>
      </c>
      <c r="N254" s="6">
        <v>5.8999999999999997E-2</v>
      </c>
      <c r="O254" s="5">
        <v>85.960999999999999</v>
      </c>
      <c r="P254" s="6">
        <v>3.15E-2</v>
      </c>
      <c r="Q254" s="5">
        <v>6198104.7249999996</v>
      </c>
      <c r="R254" s="1" t="s">
        <v>44</v>
      </c>
      <c r="T254" s="1" t="s">
        <v>71</v>
      </c>
      <c r="V254" s="1" t="s">
        <v>140</v>
      </c>
      <c r="Y254" s="1" t="s">
        <v>247</v>
      </c>
      <c r="Z254" s="1" t="str">
        <f t="shared" si="9"/>
        <v>620 SNCT5B</v>
      </c>
      <c r="AA254" s="3">
        <f>IF(INDEX('CAMD Facility Data 2023'!$AA$2:$AE$10000,MATCH(Z254,'CAMD Facility Data 2023'!$AE$2:$AE$10000,0),1)&gt;0,INDEX('CAMD Facility Data 2023'!$AA$2:$AE$10000,MATCH(Z254,'CAMD Facility Data 2023'!$AE$2:$AE$10000,0),1),"")</f>
        <v>37312</v>
      </c>
      <c r="AB254" s="5">
        <f>IF(INDEX('CAMD Facility Data 2023'!$AC$2:$AE$10000,MATCH(Z254,'CAMD Facility Data 2023'!$AE$2:$AE$10000,0),1)&gt;0,INDEX('CAMD Facility Data 2023'!$AC$2:$AE$10000,MATCH(Z254,'CAMD Facility Data 2023'!$AE$2:$AE$10000,0),1),"")</f>
        <v>2010</v>
      </c>
      <c r="AC254" s="1" t="str">
        <f>IF(INDEX('CAMD Facility Data 2023'!$AE$2:$AG$10000,MATCH(Z254,'CAMD Facility Data 2023'!$AE$2:$AE$10000,0),3)&gt;0,INDEX('CAMD Facility Data 2023'!$AE$2:$AG$10000,MATCH(Z254,'CAMD Facility Data 2023'!$AE$2:$AE$10000,0),3),"")</f>
        <v/>
      </c>
      <c r="AD254" s="20">
        <f t="shared" si="10"/>
        <v>0.19175076652012568</v>
      </c>
      <c r="AE254" s="25">
        <f t="shared" si="11"/>
        <v>0.35201303556418817</v>
      </c>
    </row>
    <row r="255" spans="1:31" x14ac:dyDescent="0.2">
      <c r="A255" s="1" t="s">
        <v>304</v>
      </c>
      <c r="B255" s="1" t="s">
        <v>764</v>
      </c>
      <c r="C255" s="1">
        <v>620</v>
      </c>
      <c r="D255" s="1" t="s">
        <v>779</v>
      </c>
      <c r="F255" s="1">
        <v>2023</v>
      </c>
      <c r="G255" s="5">
        <v>4861</v>
      </c>
      <c r="H255" s="5">
        <v>4686.6899999999996</v>
      </c>
      <c r="I255" s="5">
        <v>1016585.05</v>
      </c>
      <c r="K255" s="5">
        <v>2.1480000000000001</v>
      </c>
      <c r="L255" s="5">
        <v>1E-3</v>
      </c>
      <c r="M255" s="5">
        <v>425498.80800000002</v>
      </c>
      <c r="N255" s="6">
        <v>5.8999999999999997E-2</v>
      </c>
      <c r="O255" s="5">
        <v>95.373000000000005</v>
      </c>
      <c r="P255" s="6">
        <v>3.0099999999999998E-2</v>
      </c>
      <c r="Q255" s="5">
        <v>7159831.165</v>
      </c>
      <c r="R255" s="1" t="s">
        <v>44</v>
      </c>
      <c r="T255" s="1" t="s">
        <v>71</v>
      </c>
      <c r="V255" s="1" t="s">
        <v>140</v>
      </c>
      <c r="Y255" s="1" t="s">
        <v>247</v>
      </c>
      <c r="Z255" s="1" t="str">
        <f t="shared" si="9"/>
        <v>620 SNCT5C</v>
      </c>
      <c r="AA255" s="3">
        <f>IF(INDEX('CAMD Facility Data 2023'!$AA$2:$AE$10000,MATCH(Z255,'CAMD Facility Data 2023'!$AE$2:$AE$10000,0),1)&gt;0,INDEX('CAMD Facility Data 2023'!$AA$2:$AE$10000,MATCH(Z255,'CAMD Facility Data 2023'!$AE$2:$AE$10000,0),1),"")</f>
        <v>37319</v>
      </c>
      <c r="AB255" s="5">
        <f>IF(INDEX('CAMD Facility Data 2023'!$AC$2:$AE$10000,MATCH(Z255,'CAMD Facility Data 2023'!$AE$2:$AE$10000,0),1)&gt;0,INDEX('CAMD Facility Data 2023'!$AC$2:$AE$10000,MATCH(Z255,'CAMD Facility Data 2023'!$AE$2:$AE$10000,0),1),"")</f>
        <v>2070</v>
      </c>
      <c r="AC255" s="1" t="str">
        <f>IF(INDEX('CAMD Facility Data 2023'!$AE$2:$AG$10000,MATCH(Z255,'CAMD Facility Data 2023'!$AE$2:$AE$10000,0),3)&gt;0,INDEX('CAMD Facility Data 2023'!$AE$2:$AG$10000,MATCH(Z255,'CAMD Facility Data 2023'!$AE$2:$AE$10000,0),3),"")</f>
        <v/>
      </c>
      <c r="AD255" s="20">
        <f t="shared" si="10"/>
        <v>0.18763407941126026</v>
      </c>
      <c r="AE255" s="25">
        <f t="shared" si="11"/>
        <v>0.39484653370613021</v>
      </c>
    </row>
    <row r="256" spans="1:31" x14ac:dyDescent="0.2">
      <c r="A256" s="1" t="s">
        <v>304</v>
      </c>
      <c r="B256" s="1" t="s">
        <v>764</v>
      </c>
      <c r="C256" s="1">
        <v>620</v>
      </c>
      <c r="D256" s="1" t="s">
        <v>781</v>
      </c>
      <c r="F256" s="1">
        <v>2023</v>
      </c>
      <c r="G256" s="5">
        <v>4360</v>
      </c>
      <c r="H256" s="5">
        <v>4194.62</v>
      </c>
      <c r="I256" s="5">
        <v>900125.03</v>
      </c>
      <c r="K256" s="5">
        <v>1.885</v>
      </c>
      <c r="L256" s="5">
        <v>1E-3</v>
      </c>
      <c r="M256" s="5">
        <v>373315.65700000001</v>
      </c>
      <c r="N256" s="6">
        <v>5.8999999999999997E-2</v>
      </c>
      <c r="O256" s="5">
        <v>93.891000000000005</v>
      </c>
      <c r="P256" s="6">
        <v>3.32E-2</v>
      </c>
      <c r="Q256" s="5">
        <v>6281746.1330000004</v>
      </c>
      <c r="R256" s="1" t="s">
        <v>44</v>
      </c>
      <c r="T256" s="1" t="s">
        <v>71</v>
      </c>
      <c r="V256" s="1" t="s">
        <v>140</v>
      </c>
      <c r="Y256" s="1" t="s">
        <v>247</v>
      </c>
      <c r="Z256" s="1" t="str">
        <f t="shared" si="9"/>
        <v>620 SNCT5D</v>
      </c>
      <c r="AA256" s="3">
        <f>IF(INDEX('CAMD Facility Data 2023'!$AA$2:$AE$10000,MATCH(Z256,'CAMD Facility Data 2023'!$AE$2:$AE$10000,0),1)&gt;0,INDEX('CAMD Facility Data 2023'!$AA$2:$AE$10000,MATCH(Z256,'CAMD Facility Data 2023'!$AE$2:$AE$10000,0),1),"")</f>
        <v>37326</v>
      </c>
      <c r="AB256" s="5">
        <f>IF(INDEX('CAMD Facility Data 2023'!$AC$2:$AE$10000,MATCH(Z256,'CAMD Facility Data 2023'!$AE$2:$AE$10000,0),1)&gt;0,INDEX('CAMD Facility Data 2023'!$AC$2:$AE$10000,MATCH(Z256,'CAMD Facility Data 2023'!$AE$2:$AE$10000,0),1),"")</f>
        <v>2080</v>
      </c>
      <c r="AC256" s="1" t="str">
        <f>IF(INDEX('CAMD Facility Data 2023'!$AE$2:$AG$10000,MATCH(Z256,'CAMD Facility Data 2023'!$AE$2:$AE$10000,0),3)&gt;0,INDEX('CAMD Facility Data 2023'!$AE$2:$AG$10000,MATCH(Z256,'CAMD Facility Data 2023'!$AE$2:$AE$10000,0),3),"")</f>
        <v/>
      </c>
      <c r="AD256" s="20">
        <f t="shared" si="10"/>
        <v>0.20861768503426684</v>
      </c>
      <c r="AE256" s="25">
        <f t="shared" si="11"/>
        <v>0.3447568785673516</v>
      </c>
    </row>
    <row r="257" spans="1:31" x14ac:dyDescent="0.2">
      <c r="A257" s="1" t="s">
        <v>304</v>
      </c>
      <c r="B257" s="1" t="s">
        <v>783</v>
      </c>
      <c r="C257" s="1">
        <v>621</v>
      </c>
      <c r="D257" s="1" t="s">
        <v>784</v>
      </c>
      <c r="F257" s="1">
        <v>2023</v>
      </c>
      <c r="G257" s="5">
        <v>7799</v>
      </c>
      <c r="H257" s="5">
        <v>7758.85</v>
      </c>
      <c r="I257" s="5">
        <v>1792832.25</v>
      </c>
      <c r="K257" s="5">
        <v>3.641</v>
      </c>
      <c r="L257" s="5">
        <v>1E-3</v>
      </c>
      <c r="M257" s="5">
        <v>718641.42700000003</v>
      </c>
      <c r="N257" s="6">
        <v>5.8999999999999997E-2</v>
      </c>
      <c r="O257" s="5">
        <v>42.962000000000003</v>
      </c>
      <c r="P257" s="6">
        <v>7.4999999999999997E-3</v>
      </c>
      <c r="Q257" s="5">
        <v>12091484.196</v>
      </c>
      <c r="R257" s="1" t="s">
        <v>44</v>
      </c>
      <c r="S257" s="1" t="s">
        <v>94</v>
      </c>
      <c r="T257" s="1" t="s">
        <v>71</v>
      </c>
      <c r="V257" s="1" t="s">
        <v>787</v>
      </c>
      <c r="Y257" s="1" t="s">
        <v>247</v>
      </c>
      <c r="Z257" s="1" t="str">
        <f t="shared" si="9"/>
        <v>621 TPCT5A</v>
      </c>
      <c r="AA257" s="3">
        <f>IF(INDEX('CAMD Facility Data 2023'!$AA$2:$AE$10000,MATCH(Z257,'CAMD Facility Data 2023'!$AE$2:$AE$10000,0),1)&gt;0,INDEX('CAMD Facility Data 2023'!$AA$2:$AE$10000,MATCH(Z257,'CAMD Facility Data 2023'!$AE$2:$AE$10000,0),1),"")</f>
        <v>39071</v>
      </c>
      <c r="AB257" s="5">
        <f>IF(INDEX('CAMD Facility Data 2023'!$AC$2:$AE$10000,MATCH(Z257,'CAMD Facility Data 2023'!$AE$2:$AE$10000,0),1)&gt;0,INDEX('CAMD Facility Data 2023'!$AC$2:$AE$10000,MATCH(Z257,'CAMD Facility Data 2023'!$AE$2:$AE$10000,0),1),"")</f>
        <v>2325</v>
      </c>
      <c r="AC257" s="1" t="str">
        <f>IF(INDEX('CAMD Facility Data 2023'!$AE$2:$AG$10000,MATCH(Z257,'CAMD Facility Data 2023'!$AE$2:$AE$10000,0),3)&gt;0,INDEX('CAMD Facility Data 2023'!$AE$2:$AG$10000,MATCH(Z257,'CAMD Facility Data 2023'!$AE$2:$AE$10000,0),3),"")</f>
        <v>Y</v>
      </c>
      <c r="AD257" s="20">
        <f t="shared" si="10"/>
        <v>4.7926402484114172E-2</v>
      </c>
      <c r="AE257" s="25">
        <f t="shared" si="11"/>
        <v>0.59368017852408306</v>
      </c>
    </row>
    <row r="258" spans="1:31" x14ac:dyDescent="0.2">
      <c r="A258" s="1" t="s">
        <v>304</v>
      </c>
      <c r="B258" s="1" t="s">
        <v>783</v>
      </c>
      <c r="C258" s="1">
        <v>621</v>
      </c>
      <c r="D258" s="1" t="s">
        <v>789</v>
      </c>
      <c r="F258" s="1">
        <v>2023</v>
      </c>
      <c r="G258" s="5">
        <v>7354</v>
      </c>
      <c r="H258" s="5">
        <v>7279.54</v>
      </c>
      <c r="I258" s="5">
        <v>1689087.03</v>
      </c>
      <c r="K258" s="5">
        <v>3.43</v>
      </c>
      <c r="L258" s="5">
        <v>1E-3</v>
      </c>
      <c r="M258" s="5">
        <v>672661.03399999999</v>
      </c>
      <c r="N258" s="6">
        <v>5.8999999999999997E-2</v>
      </c>
      <c r="O258" s="5">
        <v>41.228000000000002</v>
      </c>
      <c r="P258" s="6">
        <v>8.0999999999999996E-3</v>
      </c>
      <c r="Q258" s="5">
        <v>11315750.845000001</v>
      </c>
      <c r="R258" s="1" t="s">
        <v>44</v>
      </c>
      <c r="S258" s="1" t="s">
        <v>94</v>
      </c>
      <c r="T258" s="1" t="s">
        <v>71</v>
      </c>
      <c r="V258" s="1" t="s">
        <v>787</v>
      </c>
      <c r="Y258" s="1" t="s">
        <v>247</v>
      </c>
      <c r="Z258" s="1" t="str">
        <f t="shared" si="9"/>
        <v>621 TPCT5B</v>
      </c>
      <c r="AA258" s="3">
        <f>IF(INDEX('CAMD Facility Data 2023'!$AA$2:$AE$10000,MATCH(Z258,'CAMD Facility Data 2023'!$AE$2:$AE$10000,0),1)&gt;0,INDEX('CAMD Facility Data 2023'!$AA$2:$AE$10000,MATCH(Z258,'CAMD Facility Data 2023'!$AE$2:$AE$10000,0),1),"")</f>
        <v>39078</v>
      </c>
      <c r="AB258" s="5">
        <f>IF(INDEX('CAMD Facility Data 2023'!$AC$2:$AE$10000,MATCH(Z258,'CAMD Facility Data 2023'!$AE$2:$AE$10000,0),1)&gt;0,INDEX('CAMD Facility Data 2023'!$AC$2:$AE$10000,MATCH(Z258,'CAMD Facility Data 2023'!$AE$2:$AE$10000,0),1),"")</f>
        <v>2325</v>
      </c>
      <c r="AC258" s="1" t="str">
        <f>IF(INDEX('CAMD Facility Data 2023'!$AE$2:$AG$10000,MATCH(Z258,'CAMD Facility Data 2023'!$AE$2:$AE$10000,0),3)&gt;0,INDEX('CAMD Facility Data 2023'!$AE$2:$AG$10000,MATCH(Z258,'CAMD Facility Data 2023'!$AE$2:$AE$10000,0),3),"")</f>
        <v>Y</v>
      </c>
      <c r="AD258" s="20">
        <f t="shared" si="10"/>
        <v>4.881690436045797E-2</v>
      </c>
      <c r="AE258" s="25">
        <f t="shared" si="11"/>
        <v>0.55559242131880004</v>
      </c>
    </row>
    <row r="259" spans="1:31" x14ac:dyDescent="0.2">
      <c r="A259" s="1" t="s">
        <v>304</v>
      </c>
      <c r="B259" s="1" t="s">
        <v>783</v>
      </c>
      <c r="C259" s="1">
        <v>621</v>
      </c>
      <c r="D259" s="1" t="s">
        <v>791</v>
      </c>
      <c r="F259" s="1">
        <v>2023</v>
      </c>
      <c r="G259" s="5">
        <v>7341</v>
      </c>
      <c r="H259" s="5">
        <v>7306.52</v>
      </c>
      <c r="I259" s="5">
        <v>1711776</v>
      </c>
      <c r="K259" s="5">
        <v>3.4420000000000002</v>
      </c>
      <c r="L259" s="5">
        <v>1E-3</v>
      </c>
      <c r="M259" s="5">
        <v>680884.58700000006</v>
      </c>
      <c r="N259" s="6">
        <v>5.8999999999999997E-2</v>
      </c>
      <c r="O259" s="5">
        <v>41.073</v>
      </c>
      <c r="P259" s="6">
        <v>7.6E-3</v>
      </c>
      <c r="Q259" s="5">
        <v>11456713.372</v>
      </c>
      <c r="R259" s="1" t="s">
        <v>44</v>
      </c>
      <c r="S259" s="1" t="s">
        <v>94</v>
      </c>
      <c r="T259" s="1" t="s">
        <v>71</v>
      </c>
      <c r="V259" s="1" t="s">
        <v>787</v>
      </c>
      <c r="Y259" s="1" t="s">
        <v>247</v>
      </c>
      <c r="Z259" s="1" t="str">
        <f t="shared" ref="Z259:Z322" si="12">C259&amp;" "&amp;D259</f>
        <v>621 TPCT5C</v>
      </c>
      <c r="AA259" s="3">
        <f>IF(INDEX('CAMD Facility Data 2023'!$AA$2:$AE$10000,MATCH(Z259,'CAMD Facility Data 2023'!$AE$2:$AE$10000,0),1)&gt;0,INDEX('CAMD Facility Data 2023'!$AA$2:$AE$10000,MATCH(Z259,'CAMD Facility Data 2023'!$AE$2:$AE$10000,0),1),"")</f>
        <v>39063</v>
      </c>
      <c r="AB259" s="5">
        <f>IF(INDEX('CAMD Facility Data 2023'!$AC$2:$AE$10000,MATCH(Z259,'CAMD Facility Data 2023'!$AE$2:$AE$10000,0),1)&gt;0,INDEX('CAMD Facility Data 2023'!$AC$2:$AE$10000,MATCH(Z259,'CAMD Facility Data 2023'!$AE$2:$AE$10000,0),1),"")</f>
        <v>2325</v>
      </c>
      <c r="AC259" s="1" t="str">
        <f>IF(INDEX('CAMD Facility Data 2023'!$AE$2:$AG$10000,MATCH(Z259,'CAMD Facility Data 2023'!$AE$2:$AE$10000,0),3)&gt;0,INDEX('CAMD Facility Data 2023'!$AE$2:$AG$10000,MATCH(Z259,'CAMD Facility Data 2023'!$AE$2:$AE$10000,0),3),"")</f>
        <v>Y</v>
      </c>
      <c r="AD259" s="20">
        <f t="shared" ref="AD259:AD322" si="13">IF(ISNUMBER(O259*2000/I259),O259*2000/I259,"")</f>
        <v>4.7988755538107788E-2</v>
      </c>
      <c r="AE259" s="25">
        <f t="shared" ref="AE259:AE322" si="14">Q259/(AB259*8760)</f>
        <v>0.56251354504836248</v>
      </c>
    </row>
    <row r="260" spans="1:31" x14ac:dyDescent="0.2">
      <c r="A260" s="1" t="s">
        <v>304</v>
      </c>
      <c r="B260" s="1" t="s">
        <v>783</v>
      </c>
      <c r="C260" s="1">
        <v>621</v>
      </c>
      <c r="D260" s="1" t="s">
        <v>793</v>
      </c>
      <c r="F260" s="1">
        <v>2023</v>
      </c>
      <c r="G260" s="5">
        <v>6795</v>
      </c>
      <c r="H260" s="5">
        <v>6693.62</v>
      </c>
      <c r="I260" s="5">
        <v>1561880.05</v>
      </c>
      <c r="K260" s="5">
        <v>3.1549999999999998</v>
      </c>
      <c r="L260" s="5">
        <v>1E-3</v>
      </c>
      <c r="M260" s="5">
        <v>623032.88699999999</v>
      </c>
      <c r="N260" s="6">
        <v>5.8999999999999997E-2</v>
      </c>
      <c r="O260" s="5">
        <v>39.344999999999999</v>
      </c>
      <c r="P260" s="6">
        <v>8.8000000000000005E-3</v>
      </c>
      <c r="Q260" s="5">
        <v>10482928.828</v>
      </c>
      <c r="R260" s="1" t="s">
        <v>44</v>
      </c>
      <c r="S260" s="1" t="s">
        <v>94</v>
      </c>
      <c r="T260" s="1" t="s">
        <v>71</v>
      </c>
      <c r="V260" s="1" t="s">
        <v>787</v>
      </c>
      <c r="Y260" s="1" t="s">
        <v>247</v>
      </c>
      <c r="Z260" s="1" t="str">
        <f t="shared" si="12"/>
        <v>621 TPCT5D</v>
      </c>
      <c r="AA260" s="3">
        <f>IF(INDEX('CAMD Facility Data 2023'!$AA$2:$AE$10000,MATCH(Z260,'CAMD Facility Data 2023'!$AE$2:$AE$10000,0),1)&gt;0,INDEX('CAMD Facility Data 2023'!$AA$2:$AE$10000,MATCH(Z260,'CAMD Facility Data 2023'!$AE$2:$AE$10000,0),1),"")</f>
        <v>39055</v>
      </c>
      <c r="AB260" s="5">
        <f>IF(INDEX('CAMD Facility Data 2023'!$AC$2:$AE$10000,MATCH(Z260,'CAMD Facility Data 2023'!$AE$2:$AE$10000,0),1)&gt;0,INDEX('CAMD Facility Data 2023'!$AC$2:$AE$10000,MATCH(Z260,'CAMD Facility Data 2023'!$AE$2:$AE$10000,0),1),"")</f>
        <v>2325</v>
      </c>
      <c r="AC260" s="1" t="str">
        <f>IF(INDEX('CAMD Facility Data 2023'!$AE$2:$AG$10000,MATCH(Z260,'CAMD Facility Data 2023'!$AE$2:$AE$10000,0),3)&gt;0,INDEX('CAMD Facility Data 2023'!$AE$2:$AG$10000,MATCH(Z260,'CAMD Facility Data 2023'!$AE$2:$AE$10000,0),3),"")</f>
        <v>Y</v>
      </c>
      <c r="AD260" s="20">
        <f t="shared" si="13"/>
        <v>5.0381589802622806E-2</v>
      </c>
      <c r="AE260" s="25">
        <f t="shared" si="14"/>
        <v>0.51470166583198307</v>
      </c>
    </row>
    <row r="261" spans="1:31" x14ac:dyDescent="0.2">
      <c r="A261" s="1" t="s">
        <v>304</v>
      </c>
      <c r="B261" s="1" t="s">
        <v>795</v>
      </c>
      <c r="C261" s="1">
        <v>628</v>
      </c>
      <c r="D261" s="1" t="s">
        <v>803</v>
      </c>
      <c r="F261" s="1">
        <v>2023</v>
      </c>
      <c r="G261" s="5">
        <v>7806</v>
      </c>
      <c r="H261" s="5">
        <v>7798.48</v>
      </c>
      <c r="I261" s="5">
        <v>3046186.01</v>
      </c>
      <c r="K261" s="5">
        <v>6.1130000000000004</v>
      </c>
      <c r="L261" s="5">
        <v>1E-3</v>
      </c>
      <c r="M261" s="5">
        <v>1210979.625</v>
      </c>
      <c r="N261" s="6">
        <v>5.8999999999999997E-2</v>
      </c>
      <c r="O261" s="5">
        <v>512.60699999999997</v>
      </c>
      <c r="P261" s="6">
        <v>5.0799999999999998E-2</v>
      </c>
      <c r="Q261" s="5">
        <v>20377065.756999999</v>
      </c>
      <c r="R261" s="1" t="s">
        <v>44</v>
      </c>
      <c r="T261" s="1" t="s">
        <v>71</v>
      </c>
      <c r="V261" s="1" t="s">
        <v>223</v>
      </c>
      <c r="Y261" s="1" t="s">
        <v>312</v>
      </c>
      <c r="Z261" s="1" t="str">
        <f t="shared" si="12"/>
        <v>628 1GTA</v>
      </c>
      <c r="AA261" s="3">
        <f>IF(INDEX('CAMD Facility Data 2023'!$AA$2:$AE$10000,MATCH(Z261,'CAMD Facility Data 2023'!$AE$2:$AE$10000,0),1)&gt;0,INDEX('CAMD Facility Data 2023'!$AA$2:$AE$10000,MATCH(Z261,'CAMD Facility Data 2023'!$AE$2:$AE$10000,0),1),"")</f>
        <v>43339</v>
      </c>
      <c r="AB261" s="5">
        <f>IF(INDEX('CAMD Facility Data 2023'!$AC$2:$AE$10000,MATCH(Z261,'CAMD Facility Data 2023'!$AE$2:$AE$10000,0),1)&gt;0,INDEX('CAMD Facility Data 2023'!$AC$2:$AE$10000,MATCH(Z261,'CAMD Facility Data 2023'!$AE$2:$AE$10000,0),1),"")</f>
        <v>3292</v>
      </c>
      <c r="AC261" s="1" t="str">
        <f>IF(INDEX('CAMD Facility Data 2023'!$AE$2:$AG$10000,MATCH(Z261,'CAMD Facility Data 2023'!$AE$2:$AE$10000,0),3)&gt;0,INDEX('CAMD Facility Data 2023'!$AE$2:$AG$10000,MATCH(Z261,'CAMD Facility Data 2023'!$AE$2:$AE$10000,0),3),"")</f>
        <v>Y</v>
      </c>
      <c r="AD261" s="20">
        <f t="shared" si="13"/>
        <v>0.33655659786842762</v>
      </c>
      <c r="AE261" s="25">
        <f t="shared" si="14"/>
        <v>0.70660664004200024</v>
      </c>
    </row>
    <row r="262" spans="1:31" x14ac:dyDescent="0.2">
      <c r="A262" s="1" t="s">
        <v>304</v>
      </c>
      <c r="B262" s="1" t="s">
        <v>795</v>
      </c>
      <c r="C262" s="1">
        <v>628</v>
      </c>
      <c r="D262" s="1" t="s">
        <v>805</v>
      </c>
      <c r="F262" s="1">
        <v>2023</v>
      </c>
      <c r="G262" s="5">
        <v>8092</v>
      </c>
      <c r="H262" s="5">
        <v>8084.29</v>
      </c>
      <c r="I262" s="5">
        <v>3131493.81</v>
      </c>
      <c r="K262" s="5">
        <v>6.2690000000000001</v>
      </c>
      <c r="L262" s="5">
        <v>1E-3</v>
      </c>
      <c r="M262" s="5">
        <v>1241827.9029999999</v>
      </c>
      <c r="N262" s="6">
        <v>5.8999999999999997E-2</v>
      </c>
      <c r="O262" s="5">
        <v>565.25</v>
      </c>
      <c r="P262" s="6">
        <v>5.4600000000000003E-2</v>
      </c>
      <c r="Q262" s="5">
        <v>20896150.375</v>
      </c>
      <c r="R262" s="1" t="s">
        <v>44</v>
      </c>
      <c r="T262" s="1" t="s">
        <v>71</v>
      </c>
      <c r="V262" s="1" t="s">
        <v>223</v>
      </c>
      <c r="Y262" s="1" t="s">
        <v>312</v>
      </c>
      <c r="Z262" s="1" t="str">
        <f t="shared" si="12"/>
        <v>628 1GTB</v>
      </c>
      <c r="AA262" s="3">
        <f>IF(INDEX('CAMD Facility Data 2023'!$AA$2:$AE$10000,MATCH(Z262,'CAMD Facility Data 2023'!$AE$2:$AE$10000,0),1)&gt;0,INDEX('CAMD Facility Data 2023'!$AA$2:$AE$10000,MATCH(Z262,'CAMD Facility Data 2023'!$AE$2:$AE$10000,0),1),"")</f>
        <v>43335</v>
      </c>
      <c r="AB262" s="5">
        <f>IF(INDEX('CAMD Facility Data 2023'!$AC$2:$AE$10000,MATCH(Z262,'CAMD Facility Data 2023'!$AE$2:$AE$10000,0),1)&gt;0,INDEX('CAMD Facility Data 2023'!$AC$2:$AE$10000,MATCH(Z262,'CAMD Facility Data 2023'!$AE$2:$AE$10000,0),1),"")</f>
        <v>3292</v>
      </c>
      <c r="AC262" s="1" t="str">
        <f>IF(INDEX('CAMD Facility Data 2023'!$AE$2:$AG$10000,MATCH(Z262,'CAMD Facility Data 2023'!$AE$2:$AE$10000,0),3)&gt;0,INDEX('CAMD Facility Data 2023'!$AE$2:$AG$10000,MATCH(Z262,'CAMD Facility Data 2023'!$AE$2:$AE$10000,0),3),"")</f>
        <v>Y</v>
      </c>
      <c r="AD262" s="20">
        <f t="shared" si="13"/>
        <v>0.36100981467371956</v>
      </c>
      <c r="AE262" s="25">
        <f t="shared" si="14"/>
        <v>0.72460671140637045</v>
      </c>
    </row>
    <row r="263" spans="1:31" x14ac:dyDescent="0.2">
      <c r="A263" s="1" t="s">
        <v>304</v>
      </c>
      <c r="B263" s="1" t="s">
        <v>795</v>
      </c>
      <c r="C263" s="1">
        <v>628</v>
      </c>
      <c r="D263" s="1" t="s">
        <v>807</v>
      </c>
      <c r="F263" s="1">
        <v>2023</v>
      </c>
      <c r="G263" s="5">
        <v>8081</v>
      </c>
      <c r="H263" s="5">
        <v>8075.95</v>
      </c>
      <c r="I263" s="5">
        <v>3178655.91</v>
      </c>
      <c r="K263" s="5">
        <v>6.327</v>
      </c>
      <c r="L263" s="5">
        <v>1E-3</v>
      </c>
      <c r="M263" s="5">
        <v>1253371.1240000001</v>
      </c>
      <c r="N263" s="6">
        <v>5.8999999999999997E-2</v>
      </c>
      <c r="O263" s="5">
        <v>554.327</v>
      </c>
      <c r="P263" s="6">
        <v>5.33E-2</v>
      </c>
      <c r="Q263" s="5">
        <v>21090368.934999999</v>
      </c>
      <c r="R263" s="1" t="s">
        <v>44</v>
      </c>
      <c r="T263" s="1" t="s">
        <v>71</v>
      </c>
      <c r="V263" s="1" t="s">
        <v>223</v>
      </c>
      <c r="Y263" s="1" t="s">
        <v>312</v>
      </c>
      <c r="Z263" s="1" t="str">
        <f t="shared" si="12"/>
        <v>628 2GTA</v>
      </c>
      <c r="AA263" s="3">
        <f>IF(INDEX('CAMD Facility Data 2023'!$AA$2:$AE$10000,MATCH(Z263,'CAMD Facility Data 2023'!$AE$2:$AE$10000,0),1)&gt;0,INDEX('CAMD Facility Data 2023'!$AA$2:$AE$10000,MATCH(Z263,'CAMD Facility Data 2023'!$AE$2:$AE$10000,0),1),"")</f>
        <v>43380</v>
      </c>
      <c r="AB263" s="5">
        <f>IF(INDEX('CAMD Facility Data 2023'!$AC$2:$AE$10000,MATCH(Z263,'CAMD Facility Data 2023'!$AE$2:$AE$10000,0),1)&gt;0,INDEX('CAMD Facility Data 2023'!$AC$2:$AE$10000,MATCH(Z263,'CAMD Facility Data 2023'!$AE$2:$AE$10000,0),1),"")</f>
        <v>3292</v>
      </c>
      <c r="AC263" s="1" t="str">
        <f>IF(INDEX('CAMD Facility Data 2023'!$AE$2:$AG$10000,MATCH(Z263,'CAMD Facility Data 2023'!$AE$2:$AE$10000,0),3)&gt;0,INDEX('CAMD Facility Data 2023'!$AE$2:$AG$10000,MATCH(Z263,'CAMD Facility Data 2023'!$AE$2:$AE$10000,0),3),"")</f>
        <v>Y</v>
      </c>
      <c r="AD263" s="20">
        <f t="shared" si="13"/>
        <v>0.34878075242815443</v>
      </c>
      <c r="AE263" s="25">
        <f t="shared" si="14"/>
        <v>0.73134154387695083</v>
      </c>
    </row>
    <row r="264" spans="1:31" x14ac:dyDescent="0.2">
      <c r="A264" s="1" t="s">
        <v>304</v>
      </c>
      <c r="B264" s="1" t="s">
        <v>795</v>
      </c>
      <c r="C264" s="1">
        <v>628</v>
      </c>
      <c r="D264" s="1" t="s">
        <v>809</v>
      </c>
      <c r="F264" s="1">
        <v>2023</v>
      </c>
      <c r="G264" s="5">
        <v>8119</v>
      </c>
      <c r="H264" s="5">
        <v>8111.08</v>
      </c>
      <c r="I264" s="5">
        <v>3196868.87</v>
      </c>
      <c r="K264" s="5">
        <v>6.343</v>
      </c>
      <c r="L264" s="5">
        <v>1E-3</v>
      </c>
      <c r="M264" s="5">
        <v>1256499.0109999999</v>
      </c>
      <c r="N264" s="6">
        <v>5.8999999999999997E-2</v>
      </c>
      <c r="O264" s="5">
        <v>575.76400000000001</v>
      </c>
      <c r="P264" s="6">
        <v>5.5300000000000002E-2</v>
      </c>
      <c r="Q264" s="5">
        <v>21143004.313999999</v>
      </c>
      <c r="R264" s="1" t="s">
        <v>44</v>
      </c>
      <c r="T264" s="1" t="s">
        <v>71</v>
      </c>
      <c r="V264" s="1" t="s">
        <v>223</v>
      </c>
      <c r="Y264" s="1" t="s">
        <v>312</v>
      </c>
      <c r="Z264" s="1" t="str">
        <f t="shared" si="12"/>
        <v>628 2GTB</v>
      </c>
      <c r="AA264" s="3">
        <f>IF(INDEX('CAMD Facility Data 2023'!$AA$2:$AE$10000,MATCH(Z264,'CAMD Facility Data 2023'!$AE$2:$AE$10000,0),1)&gt;0,INDEX('CAMD Facility Data 2023'!$AA$2:$AE$10000,MATCH(Z264,'CAMD Facility Data 2023'!$AE$2:$AE$10000,0),1),"")</f>
        <v>43389</v>
      </c>
      <c r="AB264" s="5">
        <f>IF(INDEX('CAMD Facility Data 2023'!$AC$2:$AE$10000,MATCH(Z264,'CAMD Facility Data 2023'!$AE$2:$AE$10000,0),1)&gt;0,INDEX('CAMD Facility Data 2023'!$AC$2:$AE$10000,MATCH(Z264,'CAMD Facility Data 2023'!$AE$2:$AE$10000,0),1),"")</f>
        <v>3292</v>
      </c>
      <c r="AC264" s="1" t="str">
        <f>IF(INDEX('CAMD Facility Data 2023'!$AE$2:$AG$10000,MATCH(Z264,'CAMD Facility Data 2023'!$AE$2:$AE$10000,0),3)&gt;0,INDEX('CAMD Facility Data 2023'!$AE$2:$AG$10000,MATCH(Z264,'CAMD Facility Data 2023'!$AE$2:$AE$10000,0),3),"")</f>
        <v>Y</v>
      </c>
      <c r="AD264" s="20">
        <f t="shared" si="13"/>
        <v>0.36020495266670099</v>
      </c>
      <c r="AE264" s="25">
        <f t="shared" si="14"/>
        <v>0.73316675800473818</v>
      </c>
    </row>
    <row r="265" spans="1:31" x14ac:dyDescent="0.2">
      <c r="A265" s="1" t="s">
        <v>304</v>
      </c>
      <c r="B265" s="1" t="s">
        <v>795</v>
      </c>
      <c r="C265" s="1">
        <v>628</v>
      </c>
      <c r="D265" s="1">
        <v>4</v>
      </c>
      <c r="F265" s="1">
        <v>2023</v>
      </c>
      <c r="G265" s="5">
        <v>5473</v>
      </c>
      <c r="H265" s="5">
        <v>5456.92</v>
      </c>
      <c r="I265" s="5">
        <v>2171886.0699999998</v>
      </c>
      <c r="K265" s="5">
        <v>1810.944</v>
      </c>
      <c r="L265" s="5">
        <v>0.14249999999999999</v>
      </c>
      <c r="M265" s="5">
        <v>2161983.6179999998</v>
      </c>
      <c r="N265" s="6">
        <v>0.10299999999999999</v>
      </c>
      <c r="O265" s="5">
        <v>849.553</v>
      </c>
      <c r="P265" s="6">
        <v>8.1799999999999998E-2</v>
      </c>
      <c r="Q265" s="5">
        <v>21071965.221999999</v>
      </c>
      <c r="R265" s="1" t="s">
        <v>55</v>
      </c>
      <c r="T265" s="1" t="s">
        <v>89</v>
      </c>
      <c r="U265" s="1" t="s">
        <v>56</v>
      </c>
      <c r="V265" s="1" t="s">
        <v>639</v>
      </c>
      <c r="W265" s="1" t="s">
        <v>800</v>
      </c>
      <c r="Y265" s="1" t="s">
        <v>236</v>
      </c>
      <c r="Z265" s="1" t="str">
        <f t="shared" si="12"/>
        <v>628 4</v>
      </c>
      <c r="AA265" s="3">
        <f>IF(INDEX('CAMD Facility Data 2023'!$AA$2:$AE$10000,MATCH(Z265,'CAMD Facility Data 2023'!$AE$2:$AE$10000,0),1)&gt;0,INDEX('CAMD Facility Data 2023'!$AA$2:$AE$10000,MATCH(Z265,'CAMD Facility Data 2023'!$AE$2:$AE$10000,0),1),"")</f>
        <v>30286</v>
      </c>
      <c r="AB265" s="5">
        <f>IF(INDEX('CAMD Facility Data 2023'!$AC$2:$AE$10000,MATCH(Z265,'CAMD Facility Data 2023'!$AE$2:$AE$10000,0),1)&gt;0,INDEX('CAMD Facility Data 2023'!$AC$2:$AE$10000,MATCH(Z265,'CAMD Facility Data 2023'!$AE$2:$AE$10000,0),1),"")</f>
        <v>9200</v>
      </c>
      <c r="AC265" s="1" t="str">
        <f>IF(INDEX('CAMD Facility Data 2023'!$AE$2:$AG$10000,MATCH(Z265,'CAMD Facility Data 2023'!$AE$2:$AE$10000,0),3)&gt;0,INDEX('CAMD Facility Data 2023'!$AE$2:$AG$10000,MATCH(Z265,'CAMD Facility Data 2023'!$AE$2:$AE$10000,0),3),"")</f>
        <v>Y</v>
      </c>
      <c r="AD265" s="20">
        <f t="shared" si="13"/>
        <v>0.78231819959138105</v>
      </c>
      <c r="AE265" s="25">
        <f t="shared" si="14"/>
        <v>0.2614647263003772</v>
      </c>
    </row>
    <row r="266" spans="1:31" x14ac:dyDescent="0.2">
      <c r="A266" s="1" t="s">
        <v>304</v>
      </c>
      <c r="B266" s="1" t="s">
        <v>795</v>
      </c>
      <c r="C266" s="1">
        <v>628</v>
      </c>
      <c r="D266" s="1">
        <v>5</v>
      </c>
      <c r="F266" s="1">
        <v>2023</v>
      </c>
      <c r="G266" s="5">
        <v>5470</v>
      </c>
      <c r="H266" s="5">
        <v>5458.58</v>
      </c>
      <c r="I266" s="5">
        <v>2123397.2200000002</v>
      </c>
      <c r="K266" s="5">
        <v>1704.5519999999999</v>
      </c>
      <c r="L266" s="5">
        <v>0.20130000000000001</v>
      </c>
      <c r="M266" s="5">
        <v>2073859.882</v>
      </c>
      <c r="N266" s="6">
        <v>0.10290000000000001</v>
      </c>
      <c r="O266" s="5">
        <v>912.84</v>
      </c>
      <c r="P266" s="6">
        <v>9.9000000000000005E-2</v>
      </c>
      <c r="Q266" s="5">
        <v>20213053.447000001</v>
      </c>
      <c r="R266" s="1" t="s">
        <v>55</v>
      </c>
      <c r="T266" s="1" t="s">
        <v>89</v>
      </c>
      <c r="U266" s="1" t="s">
        <v>241</v>
      </c>
      <c r="V266" s="1" t="s">
        <v>639</v>
      </c>
      <c r="W266" s="1" t="s">
        <v>800</v>
      </c>
      <c r="Y266" s="1" t="s">
        <v>236</v>
      </c>
      <c r="Z266" s="1" t="str">
        <f t="shared" si="12"/>
        <v>628 5</v>
      </c>
      <c r="AA266" s="3">
        <f>IF(INDEX('CAMD Facility Data 2023'!$AA$2:$AE$10000,MATCH(Z266,'CAMD Facility Data 2023'!$AE$2:$AE$10000,0),1)&gt;0,INDEX('CAMD Facility Data 2023'!$AA$2:$AE$10000,MATCH(Z266,'CAMD Facility Data 2023'!$AE$2:$AE$10000,0),1),"")</f>
        <v>30956</v>
      </c>
      <c r="AB266" s="5">
        <f>IF(INDEX('CAMD Facility Data 2023'!$AC$2:$AE$10000,MATCH(Z266,'CAMD Facility Data 2023'!$AE$2:$AE$10000,0),1)&gt;0,INDEX('CAMD Facility Data 2023'!$AC$2:$AE$10000,MATCH(Z266,'CAMD Facility Data 2023'!$AE$2:$AE$10000,0),1),"")</f>
        <v>9932</v>
      </c>
      <c r="AC266" s="1" t="str">
        <f>IF(INDEX('CAMD Facility Data 2023'!$AE$2:$AG$10000,MATCH(Z266,'CAMD Facility Data 2023'!$AE$2:$AE$10000,0),3)&gt;0,INDEX('CAMD Facility Data 2023'!$AE$2:$AG$10000,MATCH(Z266,'CAMD Facility Data 2023'!$AE$2:$AE$10000,0),3),"")</f>
        <v>Y</v>
      </c>
      <c r="AD266" s="20">
        <f t="shared" si="13"/>
        <v>0.85979202704240132</v>
      </c>
      <c r="AE266" s="25">
        <f t="shared" si="14"/>
        <v>0.23232241165726025</v>
      </c>
    </row>
    <row r="267" spans="1:31" x14ac:dyDescent="0.2">
      <c r="A267" s="1" t="s">
        <v>304</v>
      </c>
      <c r="B267" s="1" t="s">
        <v>811</v>
      </c>
      <c r="C267" s="1">
        <v>634</v>
      </c>
      <c r="D267" s="1" t="s">
        <v>381</v>
      </c>
      <c r="F267" s="1">
        <v>2023</v>
      </c>
      <c r="G267" s="5">
        <v>6559</v>
      </c>
      <c r="H267" s="5">
        <v>6528.22</v>
      </c>
      <c r="I267" s="5">
        <v>1600645.1200000001</v>
      </c>
      <c r="K267" s="5">
        <v>3.44</v>
      </c>
      <c r="L267" s="5">
        <v>1E-3</v>
      </c>
      <c r="M267" s="5">
        <v>683824.60100000002</v>
      </c>
      <c r="N267" s="6">
        <v>5.8999999999999997E-2</v>
      </c>
      <c r="O267" s="5">
        <v>173.23400000000001</v>
      </c>
      <c r="P267" s="6">
        <v>3.0499999999999999E-2</v>
      </c>
      <c r="Q267" s="5">
        <v>11506695.472999999</v>
      </c>
      <c r="R267" s="1" t="s">
        <v>44</v>
      </c>
      <c r="S267" s="1" t="s">
        <v>94</v>
      </c>
      <c r="T267" s="1" t="s">
        <v>71</v>
      </c>
      <c r="V267" s="1" t="s">
        <v>643</v>
      </c>
      <c r="Y267" s="1" t="s">
        <v>247</v>
      </c>
      <c r="Z267" s="1" t="str">
        <f t="shared" si="12"/>
        <v>634 4A</v>
      </c>
      <c r="AA267" s="3">
        <f>IF(INDEX('CAMD Facility Data 2023'!$AA$2:$AE$10000,MATCH(Z267,'CAMD Facility Data 2023'!$AE$2:$AE$10000,0),1)&gt;0,INDEX('CAMD Facility Data 2023'!$AA$2:$AE$10000,MATCH(Z267,'CAMD Facility Data 2023'!$AE$2:$AE$10000,0),1),"")</f>
        <v>39787</v>
      </c>
      <c r="AB267" s="5">
        <f>IF(INDEX('CAMD Facility Data 2023'!$AC$2:$AE$10000,MATCH(Z267,'CAMD Facility Data 2023'!$AE$2:$AE$10000,0),1)&gt;0,INDEX('CAMD Facility Data 2023'!$AC$2:$AE$10000,MATCH(Z267,'CAMD Facility Data 2023'!$AE$2:$AE$10000,0),1),"")</f>
        <v>2610</v>
      </c>
      <c r="AC267" s="1" t="str">
        <f>IF(INDEX('CAMD Facility Data 2023'!$AE$2:$AG$10000,MATCH(Z267,'CAMD Facility Data 2023'!$AE$2:$AE$10000,0),3)&gt;0,INDEX('CAMD Facility Data 2023'!$AE$2:$AG$10000,MATCH(Z267,'CAMD Facility Data 2023'!$AE$2:$AE$10000,0),3),"")</f>
        <v>Y</v>
      </c>
      <c r="AD267" s="20">
        <f t="shared" si="13"/>
        <v>0.2164552252531779</v>
      </c>
      <c r="AE267" s="25">
        <f t="shared" si="14"/>
        <v>0.50327575154393878</v>
      </c>
    </row>
    <row r="268" spans="1:31" x14ac:dyDescent="0.2">
      <c r="A268" s="1" t="s">
        <v>304</v>
      </c>
      <c r="B268" s="1" t="s">
        <v>811</v>
      </c>
      <c r="C268" s="1">
        <v>634</v>
      </c>
      <c r="D268" s="1" t="s">
        <v>815</v>
      </c>
      <c r="F268" s="1">
        <v>2023</v>
      </c>
      <c r="G268" s="5">
        <v>7527</v>
      </c>
      <c r="H268" s="5">
        <v>7497.5</v>
      </c>
      <c r="I268" s="5">
        <v>1690281.02</v>
      </c>
      <c r="K268" s="5">
        <v>3.8679999999999999</v>
      </c>
      <c r="L268" s="5">
        <v>1E-3</v>
      </c>
      <c r="M268" s="5">
        <v>766072.64399999997</v>
      </c>
      <c r="N268" s="6">
        <v>5.8999999999999997E-2</v>
      </c>
      <c r="O268" s="5">
        <v>188.66499999999999</v>
      </c>
      <c r="P268" s="6">
        <v>2.9899999999999999E-2</v>
      </c>
      <c r="Q268" s="5">
        <v>12889569.106000001</v>
      </c>
      <c r="R268" s="1" t="s">
        <v>44</v>
      </c>
      <c r="S268" s="1" t="s">
        <v>94</v>
      </c>
      <c r="T268" s="1" t="s">
        <v>71</v>
      </c>
      <c r="V268" s="1" t="s">
        <v>643</v>
      </c>
      <c r="Y268" s="1" t="s">
        <v>247</v>
      </c>
      <c r="Z268" s="1" t="str">
        <f t="shared" si="12"/>
        <v>634 4B</v>
      </c>
      <c r="AA268" s="3">
        <f>IF(INDEX('CAMD Facility Data 2023'!$AA$2:$AE$10000,MATCH(Z268,'CAMD Facility Data 2023'!$AE$2:$AE$10000,0),1)&gt;0,INDEX('CAMD Facility Data 2023'!$AA$2:$AE$10000,MATCH(Z268,'CAMD Facility Data 2023'!$AE$2:$AE$10000,0),1),"")</f>
        <v>39757</v>
      </c>
      <c r="AB268" s="5">
        <f>IF(INDEX('CAMD Facility Data 2023'!$AC$2:$AE$10000,MATCH(Z268,'CAMD Facility Data 2023'!$AE$2:$AE$10000,0),1)&gt;0,INDEX('CAMD Facility Data 2023'!$AC$2:$AE$10000,MATCH(Z268,'CAMD Facility Data 2023'!$AE$2:$AE$10000,0),1),"")</f>
        <v>2610</v>
      </c>
      <c r="AC268" s="1" t="str">
        <f>IF(INDEX('CAMD Facility Data 2023'!$AE$2:$AG$10000,MATCH(Z268,'CAMD Facility Data 2023'!$AE$2:$AE$10000,0),3)&gt;0,INDEX('CAMD Facility Data 2023'!$AE$2:$AG$10000,MATCH(Z268,'CAMD Facility Data 2023'!$AE$2:$AE$10000,0),3),"")</f>
        <v>Y</v>
      </c>
      <c r="AD268" s="20">
        <f t="shared" si="13"/>
        <v>0.22323506892362785</v>
      </c>
      <c r="AE268" s="25">
        <f t="shared" si="14"/>
        <v>0.5637593863608531</v>
      </c>
    </row>
    <row r="269" spans="1:31" x14ac:dyDescent="0.2">
      <c r="A269" s="1" t="s">
        <v>304</v>
      </c>
      <c r="B269" s="1" t="s">
        <v>811</v>
      </c>
      <c r="C269" s="1">
        <v>634</v>
      </c>
      <c r="D269" s="1" t="s">
        <v>817</v>
      </c>
      <c r="F269" s="1">
        <v>2023</v>
      </c>
      <c r="G269" s="5">
        <v>6932</v>
      </c>
      <c r="H269" s="5">
        <v>6895.98</v>
      </c>
      <c r="I269" s="5">
        <v>1676271.38</v>
      </c>
      <c r="K269" s="5">
        <v>3.6920000000000002</v>
      </c>
      <c r="L269" s="5">
        <v>1E-3</v>
      </c>
      <c r="M269" s="5">
        <v>727583.84900000005</v>
      </c>
      <c r="N269" s="6">
        <v>5.8999999999999997E-2</v>
      </c>
      <c r="O269" s="5">
        <v>196.81399999999999</v>
      </c>
      <c r="P269" s="6">
        <v>3.2300000000000002E-2</v>
      </c>
      <c r="Q269" s="5">
        <v>12243088.382999999</v>
      </c>
      <c r="R269" s="1" t="s">
        <v>44</v>
      </c>
      <c r="S269" s="1" t="s">
        <v>94</v>
      </c>
      <c r="T269" s="1" t="s">
        <v>71</v>
      </c>
      <c r="V269" s="1" t="s">
        <v>643</v>
      </c>
      <c r="Y269" s="1" t="s">
        <v>247</v>
      </c>
      <c r="Z269" s="1" t="str">
        <f t="shared" si="12"/>
        <v>634 4C</v>
      </c>
      <c r="AA269" s="3">
        <f>IF(INDEX('CAMD Facility Data 2023'!$AA$2:$AE$10000,MATCH(Z269,'CAMD Facility Data 2023'!$AE$2:$AE$10000,0),1)&gt;0,INDEX('CAMD Facility Data 2023'!$AA$2:$AE$10000,MATCH(Z269,'CAMD Facility Data 2023'!$AE$2:$AE$10000,0),1),"")</f>
        <v>39771</v>
      </c>
      <c r="AB269" s="5">
        <f>IF(INDEX('CAMD Facility Data 2023'!$AC$2:$AE$10000,MATCH(Z269,'CAMD Facility Data 2023'!$AE$2:$AE$10000,0),1)&gt;0,INDEX('CAMD Facility Data 2023'!$AC$2:$AE$10000,MATCH(Z269,'CAMD Facility Data 2023'!$AE$2:$AE$10000,0),1),"")</f>
        <v>2610</v>
      </c>
      <c r="AC269" s="1" t="str">
        <f>IF(INDEX('CAMD Facility Data 2023'!$AE$2:$AG$10000,MATCH(Z269,'CAMD Facility Data 2023'!$AE$2:$AE$10000,0),3)&gt;0,INDEX('CAMD Facility Data 2023'!$AE$2:$AG$10000,MATCH(Z269,'CAMD Facility Data 2023'!$AE$2:$AE$10000,0),3),"")</f>
        <v>Y</v>
      </c>
      <c r="AD269" s="20">
        <f t="shared" si="13"/>
        <v>0.23482355225798821</v>
      </c>
      <c r="AE269" s="25">
        <f t="shared" si="14"/>
        <v>0.53548384257072379</v>
      </c>
    </row>
    <row r="270" spans="1:31" x14ac:dyDescent="0.2">
      <c r="A270" s="1" t="s">
        <v>304</v>
      </c>
      <c r="B270" s="1" t="s">
        <v>811</v>
      </c>
      <c r="C270" s="1">
        <v>634</v>
      </c>
      <c r="D270" s="1" t="s">
        <v>819</v>
      </c>
      <c r="F270" s="1">
        <v>2023</v>
      </c>
      <c r="G270" s="5">
        <v>7654</v>
      </c>
      <c r="H270" s="5">
        <v>7628.06</v>
      </c>
      <c r="I270" s="5">
        <v>1735139.38</v>
      </c>
      <c r="K270" s="5">
        <v>3.9089999999999998</v>
      </c>
      <c r="L270" s="5">
        <v>1E-3</v>
      </c>
      <c r="M270" s="5">
        <v>777104.652</v>
      </c>
      <c r="N270" s="6">
        <v>5.8999999999999997E-2</v>
      </c>
      <c r="O270" s="5">
        <v>196.62700000000001</v>
      </c>
      <c r="P270" s="6">
        <v>3.0599999999999999E-2</v>
      </c>
      <c r="Q270" s="5">
        <v>13076273.040999999</v>
      </c>
      <c r="R270" s="1" t="s">
        <v>44</v>
      </c>
      <c r="S270" s="1" t="s">
        <v>94</v>
      </c>
      <c r="T270" s="1" t="s">
        <v>71</v>
      </c>
      <c r="V270" s="1" t="s">
        <v>643</v>
      </c>
      <c r="Y270" s="1" t="s">
        <v>247</v>
      </c>
      <c r="Z270" s="1" t="str">
        <f t="shared" si="12"/>
        <v>634 4D</v>
      </c>
      <c r="AA270" s="3">
        <f>IF(INDEX('CAMD Facility Data 2023'!$AA$2:$AE$10000,MATCH(Z270,'CAMD Facility Data 2023'!$AE$2:$AE$10000,0),1)&gt;0,INDEX('CAMD Facility Data 2023'!$AA$2:$AE$10000,MATCH(Z270,'CAMD Facility Data 2023'!$AE$2:$AE$10000,0),1),"")</f>
        <v>39802</v>
      </c>
      <c r="AB270" s="5">
        <f>IF(INDEX('CAMD Facility Data 2023'!$AC$2:$AE$10000,MATCH(Z270,'CAMD Facility Data 2023'!$AE$2:$AE$10000,0),1)&gt;0,INDEX('CAMD Facility Data 2023'!$AC$2:$AE$10000,MATCH(Z270,'CAMD Facility Data 2023'!$AE$2:$AE$10000,0),1),"")</f>
        <v>2610</v>
      </c>
      <c r="AC270" s="1" t="str">
        <f>IF(INDEX('CAMD Facility Data 2023'!$AE$2:$AG$10000,MATCH(Z270,'CAMD Facility Data 2023'!$AE$2:$AE$10000,0),3)&gt;0,INDEX('CAMD Facility Data 2023'!$AE$2:$AG$10000,MATCH(Z270,'CAMD Facility Data 2023'!$AE$2:$AE$10000,0),3),"")</f>
        <v>Y</v>
      </c>
      <c r="AD270" s="20">
        <f t="shared" si="13"/>
        <v>0.22664115893675355</v>
      </c>
      <c r="AE270" s="25">
        <f t="shared" si="14"/>
        <v>0.57192537662485343</v>
      </c>
    </row>
    <row r="271" spans="1:31" x14ac:dyDescent="0.2">
      <c r="A271" s="1" t="s">
        <v>304</v>
      </c>
      <c r="B271" s="1" t="s">
        <v>821</v>
      </c>
      <c r="C271" s="1">
        <v>641</v>
      </c>
      <c r="D271" s="1">
        <v>4</v>
      </c>
      <c r="E271" s="1" t="s">
        <v>822</v>
      </c>
      <c r="F271" s="1">
        <v>2023</v>
      </c>
      <c r="G271" s="5">
        <v>2650</v>
      </c>
      <c r="H271" s="5">
        <v>2640.43</v>
      </c>
      <c r="I271" s="5">
        <v>88297.04</v>
      </c>
      <c r="K271" s="5">
        <v>0.317</v>
      </c>
      <c r="L271" s="5">
        <v>1E-3</v>
      </c>
      <c r="M271" s="5">
        <v>62596.822999999997</v>
      </c>
      <c r="N271" s="6">
        <v>5.9400000000000001E-2</v>
      </c>
      <c r="O271" s="5">
        <v>52.585999999999999</v>
      </c>
      <c r="P271" s="6">
        <v>9.1800000000000007E-2</v>
      </c>
      <c r="Q271" s="5">
        <v>1052723.9650000001</v>
      </c>
      <c r="R271" s="1" t="s">
        <v>44</v>
      </c>
      <c r="T271" s="1" t="s">
        <v>43</v>
      </c>
      <c r="Y271" s="1" t="s">
        <v>247</v>
      </c>
      <c r="Z271" s="1" t="str">
        <f t="shared" si="12"/>
        <v>641 4</v>
      </c>
      <c r="AA271" s="3">
        <f>IF(INDEX('CAMD Facility Data 2023'!$AA$2:$AE$10000,MATCH(Z271,'CAMD Facility Data 2023'!$AE$2:$AE$10000,0),1)&gt;0,INDEX('CAMD Facility Data 2023'!$AA$2:$AE$10000,MATCH(Z271,'CAMD Facility Data 2023'!$AE$2:$AE$10000,0),1),"")</f>
        <v>21732</v>
      </c>
      <c r="AB271" s="5">
        <f>IF(INDEX('CAMD Facility Data 2023'!$AC$2:$AE$10000,MATCH(Z271,'CAMD Facility Data 2023'!$AE$2:$AE$10000,0),1)&gt;0,INDEX('CAMD Facility Data 2023'!$AC$2:$AE$10000,MATCH(Z271,'CAMD Facility Data 2023'!$AE$2:$AE$10000,0),1),"")</f>
        <v>1097</v>
      </c>
      <c r="AC271" s="1" t="str">
        <f>IF(INDEX('CAMD Facility Data 2023'!$AE$2:$AG$10000,MATCH(Z271,'CAMD Facility Data 2023'!$AE$2:$AE$10000,0),3)&gt;0,INDEX('CAMD Facility Data 2023'!$AE$2:$AG$10000,MATCH(Z271,'CAMD Facility Data 2023'!$AE$2:$AE$10000,0),3),"")</f>
        <v/>
      </c>
      <c r="AD271" s="20">
        <f t="shared" si="13"/>
        <v>1.1911158063735772</v>
      </c>
      <c r="AE271" s="25">
        <f t="shared" si="14"/>
        <v>0.10954782917712484</v>
      </c>
    </row>
    <row r="272" spans="1:31" x14ac:dyDescent="0.2">
      <c r="A272" s="1" t="s">
        <v>304</v>
      </c>
      <c r="B272" s="1" t="s">
        <v>821</v>
      </c>
      <c r="C272" s="1">
        <v>641</v>
      </c>
      <c r="D272" s="1">
        <v>5</v>
      </c>
      <c r="E272" s="1" t="s">
        <v>822</v>
      </c>
      <c r="F272" s="1">
        <v>2023</v>
      </c>
      <c r="G272" s="5">
        <v>2588</v>
      </c>
      <c r="H272" s="5">
        <v>2570.91</v>
      </c>
      <c r="I272" s="5">
        <v>87507.75</v>
      </c>
      <c r="K272" s="5">
        <v>0.313</v>
      </c>
      <c r="L272" s="5">
        <v>1E-3</v>
      </c>
      <c r="M272" s="5">
        <v>61915.294000000002</v>
      </c>
      <c r="N272" s="6">
        <v>5.9200000000000003E-2</v>
      </c>
      <c r="O272" s="5">
        <v>52.927</v>
      </c>
      <c r="P272" s="6">
        <v>9.1700000000000004E-2</v>
      </c>
      <c r="Q272" s="5">
        <v>1041799.274</v>
      </c>
      <c r="R272" s="1" t="s">
        <v>44</v>
      </c>
      <c r="T272" s="1" t="s">
        <v>43</v>
      </c>
      <c r="Y272" s="1" t="s">
        <v>247</v>
      </c>
      <c r="Z272" s="1" t="str">
        <f t="shared" si="12"/>
        <v>641 5</v>
      </c>
      <c r="AA272" s="3">
        <f>IF(INDEX('CAMD Facility Data 2023'!$AA$2:$AE$10000,MATCH(Z272,'CAMD Facility Data 2023'!$AE$2:$AE$10000,0),1)&gt;0,INDEX('CAMD Facility Data 2023'!$AA$2:$AE$10000,MATCH(Z272,'CAMD Facility Data 2023'!$AE$2:$AE$10000,0),1),"")</f>
        <v>22433</v>
      </c>
      <c r="AB272" s="5">
        <f>IF(INDEX('CAMD Facility Data 2023'!$AC$2:$AE$10000,MATCH(Z272,'CAMD Facility Data 2023'!$AE$2:$AE$10000,0),1)&gt;0,INDEX('CAMD Facility Data 2023'!$AC$2:$AE$10000,MATCH(Z272,'CAMD Facility Data 2023'!$AE$2:$AE$10000,0),1),"")</f>
        <v>1097</v>
      </c>
      <c r="AC272" s="1" t="str">
        <f>IF(INDEX('CAMD Facility Data 2023'!$AE$2:$AG$10000,MATCH(Z272,'CAMD Facility Data 2023'!$AE$2:$AE$10000,0),3)&gt;0,INDEX('CAMD Facility Data 2023'!$AE$2:$AG$10000,MATCH(Z272,'CAMD Facility Data 2023'!$AE$2:$AE$10000,0),3),"")</f>
        <v/>
      </c>
      <c r="AD272" s="20">
        <f t="shared" si="13"/>
        <v>1.2096528593181746</v>
      </c>
      <c r="AE272" s="25">
        <f t="shared" si="14"/>
        <v>0.10841099157935923</v>
      </c>
    </row>
    <row r="273" spans="1:31" x14ac:dyDescent="0.2">
      <c r="A273" s="1" t="s">
        <v>304</v>
      </c>
      <c r="B273" s="1" t="s">
        <v>821</v>
      </c>
      <c r="C273" s="1">
        <v>641</v>
      </c>
      <c r="D273" s="1">
        <v>6</v>
      </c>
      <c r="E273" s="1" t="s">
        <v>827</v>
      </c>
      <c r="F273" s="1">
        <v>2023</v>
      </c>
      <c r="G273" s="5">
        <v>5495</v>
      </c>
      <c r="H273" s="5">
        <v>5468.76</v>
      </c>
      <c r="I273" s="5">
        <v>588975.75</v>
      </c>
      <c r="K273" s="5">
        <v>1.9670000000000001</v>
      </c>
      <c r="L273" s="5">
        <v>1E-3</v>
      </c>
      <c r="M273" s="5">
        <v>389524.73800000001</v>
      </c>
      <c r="N273" s="6">
        <v>5.91E-2</v>
      </c>
      <c r="O273" s="5">
        <v>357.00299999999999</v>
      </c>
      <c r="P273" s="6">
        <v>0.1028</v>
      </c>
      <c r="Q273" s="5">
        <v>6554553.926</v>
      </c>
      <c r="R273" s="1" t="s">
        <v>44</v>
      </c>
      <c r="T273" s="1" t="s">
        <v>89</v>
      </c>
      <c r="Y273" s="1" t="s">
        <v>247</v>
      </c>
      <c r="Z273" s="1" t="str">
        <f t="shared" si="12"/>
        <v>641 6</v>
      </c>
      <c r="AA273" s="3">
        <f>IF(INDEX('CAMD Facility Data 2023'!$AA$2:$AE$10000,MATCH(Z273,'CAMD Facility Data 2023'!$AE$2:$AE$10000,0),1)&gt;0,INDEX('CAMD Facility Data 2023'!$AA$2:$AE$10000,MATCH(Z273,'CAMD Facility Data 2023'!$AE$2:$AE$10000,0),1),"")</f>
        <v>25689</v>
      </c>
      <c r="AB273" s="5">
        <f>IF(INDEX('CAMD Facility Data 2023'!$AC$2:$AE$10000,MATCH(Z273,'CAMD Facility Data 2023'!$AE$2:$AE$10000,0),1)&gt;0,INDEX('CAMD Facility Data 2023'!$AC$2:$AE$10000,MATCH(Z273,'CAMD Facility Data 2023'!$AE$2:$AE$10000,0),1),"")</f>
        <v>3705</v>
      </c>
      <c r="AC273" s="1" t="str">
        <f>IF(INDEX('CAMD Facility Data 2023'!$AE$2:$AG$10000,MATCH(Z273,'CAMD Facility Data 2023'!$AE$2:$AE$10000,0),3)&gt;0,INDEX('CAMD Facility Data 2023'!$AE$2:$AG$10000,MATCH(Z273,'CAMD Facility Data 2023'!$AE$2:$AE$10000,0),3),"")</f>
        <v/>
      </c>
      <c r="AD273" s="20">
        <f t="shared" si="13"/>
        <v>1.2122842069473998</v>
      </c>
      <c r="AE273" s="25">
        <f t="shared" si="14"/>
        <v>0.20195323874315221</v>
      </c>
    </row>
    <row r="274" spans="1:31" x14ac:dyDescent="0.2">
      <c r="A274" s="1" t="s">
        <v>304</v>
      </c>
      <c r="B274" s="1" t="s">
        <v>821</v>
      </c>
      <c r="C274" s="1">
        <v>641</v>
      </c>
      <c r="D274" s="1">
        <v>7</v>
      </c>
      <c r="E274" s="1" t="s">
        <v>827</v>
      </c>
      <c r="F274" s="1">
        <v>2023</v>
      </c>
      <c r="G274" s="5">
        <v>5737</v>
      </c>
      <c r="H274" s="5">
        <v>5721.18</v>
      </c>
      <c r="I274" s="5">
        <v>1359593.48</v>
      </c>
      <c r="K274" s="5">
        <v>4.5190000000000001</v>
      </c>
      <c r="L274" s="5">
        <v>1E-3</v>
      </c>
      <c r="M274" s="5">
        <v>895235.25100000005</v>
      </c>
      <c r="N274" s="6">
        <v>5.8999999999999997E-2</v>
      </c>
      <c r="O274" s="5">
        <v>921.73599999999999</v>
      </c>
      <c r="P274" s="6">
        <v>0.1211</v>
      </c>
      <c r="Q274" s="5">
        <v>15063972.277000001</v>
      </c>
      <c r="R274" s="1" t="s">
        <v>44</v>
      </c>
      <c r="T274" s="1" t="s">
        <v>89</v>
      </c>
      <c r="Y274" s="1" t="s">
        <v>247</v>
      </c>
      <c r="Z274" s="1" t="str">
        <f t="shared" si="12"/>
        <v>641 7</v>
      </c>
      <c r="AA274" s="3">
        <f>IF(INDEX('CAMD Facility Data 2023'!$AA$2:$AE$10000,MATCH(Z274,'CAMD Facility Data 2023'!$AE$2:$AE$10000,0),1)&gt;0,INDEX('CAMD Facility Data 2023'!$AA$2:$AE$10000,MATCH(Z274,'CAMD Facility Data 2023'!$AE$2:$AE$10000,0),1),"")</f>
        <v>26877</v>
      </c>
      <c r="AB274" s="5">
        <f>IF(INDEX('CAMD Facility Data 2023'!$AC$2:$AE$10000,MATCH(Z274,'CAMD Facility Data 2023'!$AE$2:$AE$10000,0),1)&gt;0,INDEX('CAMD Facility Data 2023'!$AC$2:$AE$10000,MATCH(Z274,'CAMD Facility Data 2023'!$AE$2:$AE$10000,0),1),"")</f>
        <v>6406</v>
      </c>
      <c r="AC274" s="1" t="str">
        <f>IF(INDEX('CAMD Facility Data 2023'!$AE$2:$AG$10000,MATCH(Z274,'CAMD Facility Data 2023'!$AE$2:$AE$10000,0),3)&gt;0,INDEX('CAMD Facility Data 2023'!$AE$2:$AG$10000,MATCH(Z274,'CAMD Facility Data 2023'!$AE$2:$AE$10000,0),3),"")</f>
        <v/>
      </c>
      <c r="AD274" s="20">
        <f t="shared" si="13"/>
        <v>1.3558994119330434</v>
      </c>
      <c r="AE274" s="25">
        <f t="shared" si="14"/>
        <v>0.26844076466911015</v>
      </c>
    </row>
    <row r="275" spans="1:31" x14ac:dyDescent="0.2">
      <c r="A275" s="1" t="s">
        <v>304</v>
      </c>
      <c r="B275" s="1" t="s">
        <v>821</v>
      </c>
      <c r="C275" s="1">
        <v>641</v>
      </c>
      <c r="D275" s="1" t="s">
        <v>830</v>
      </c>
      <c r="F275" s="1">
        <v>2023</v>
      </c>
      <c r="G275" s="5">
        <v>657</v>
      </c>
      <c r="H275" s="5">
        <v>565.63</v>
      </c>
      <c r="I275" s="5">
        <v>86706.53</v>
      </c>
      <c r="K275" s="5">
        <v>0.27700000000000002</v>
      </c>
      <c r="L275" s="5">
        <v>1E-3</v>
      </c>
      <c r="M275" s="5">
        <v>54184.228999999999</v>
      </c>
      <c r="N275" s="6">
        <v>5.9400000000000001E-2</v>
      </c>
      <c r="O275" s="5">
        <v>12.632</v>
      </c>
      <c r="P275" s="6">
        <v>3.1899999999999998E-2</v>
      </c>
      <c r="Q275" s="5">
        <v>907913.39</v>
      </c>
      <c r="R275" s="1" t="s">
        <v>44</v>
      </c>
      <c r="S275" s="1" t="s">
        <v>94</v>
      </c>
      <c r="T275" s="1" t="s">
        <v>93</v>
      </c>
      <c r="V275" s="1" t="s">
        <v>183</v>
      </c>
      <c r="Y275" s="1" t="s">
        <v>247</v>
      </c>
      <c r="Z275" s="1" t="str">
        <f t="shared" si="12"/>
        <v>641 8A</v>
      </c>
      <c r="AA275" s="3">
        <f>IF(INDEX('CAMD Facility Data 2023'!$AA$2:$AE$10000,MATCH(Z275,'CAMD Facility Data 2023'!$AE$2:$AE$10000,0),1)&gt;0,INDEX('CAMD Facility Data 2023'!$AA$2:$AE$10000,MATCH(Z275,'CAMD Facility Data 2023'!$AE$2:$AE$10000,0),1),"")</f>
        <v>44492</v>
      </c>
      <c r="AB275" s="5">
        <f>IF(INDEX('CAMD Facility Data 2023'!$AC$2:$AE$10000,MATCH(Z275,'CAMD Facility Data 2023'!$AE$2:$AE$10000,0),1)&gt;0,INDEX('CAMD Facility Data 2023'!$AC$2:$AE$10000,MATCH(Z275,'CAMD Facility Data 2023'!$AE$2:$AE$10000,0),1),"")</f>
        <v>2474.4</v>
      </c>
      <c r="AC275" s="1" t="str">
        <f>IF(INDEX('CAMD Facility Data 2023'!$AE$2:$AG$10000,MATCH(Z275,'CAMD Facility Data 2023'!$AE$2:$AE$10000,0),3)&gt;0,INDEX('CAMD Facility Data 2023'!$AE$2:$AG$10000,MATCH(Z275,'CAMD Facility Data 2023'!$AE$2:$AE$10000,0),3),"")</f>
        <v/>
      </c>
      <c r="AD275" s="20">
        <f t="shared" si="13"/>
        <v>0.29137367162542427</v>
      </c>
      <c r="AE275" s="25">
        <f t="shared" si="14"/>
        <v>4.1886146560874679E-2</v>
      </c>
    </row>
    <row r="276" spans="1:31" x14ac:dyDescent="0.2">
      <c r="A276" s="1" t="s">
        <v>304</v>
      </c>
      <c r="B276" s="1" t="s">
        <v>821</v>
      </c>
      <c r="C276" s="1">
        <v>641</v>
      </c>
      <c r="D276" s="1" t="s">
        <v>832</v>
      </c>
      <c r="F276" s="1">
        <v>2023</v>
      </c>
      <c r="G276" s="5">
        <v>853</v>
      </c>
      <c r="H276" s="5">
        <v>736.55</v>
      </c>
      <c r="I276" s="5">
        <v>113250.87</v>
      </c>
      <c r="K276" s="5">
        <v>0.36199999999999999</v>
      </c>
      <c r="L276" s="5">
        <v>1E-3</v>
      </c>
      <c r="M276" s="5">
        <v>70642.649999999994</v>
      </c>
      <c r="N276" s="6">
        <v>5.9299999999999999E-2</v>
      </c>
      <c r="O276" s="5">
        <v>17.032</v>
      </c>
      <c r="P276" s="6">
        <v>3.27E-2</v>
      </c>
      <c r="Q276" s="5">
        <v>1183377.1459999999</v>
      </c>
      <c r="R276" s="1" t="s">
        <v>44</v>
      </c>
      <c r="S276" s="1" t="s">
        <v>94</v>
      </c>
      <c r="T276" s="1" t="s">
        <v>93</v>
      </c>
      <c r="V276" s="1" t="s">
        <v>183</v>
      </c>
      <c r="Y276" s="1" t="s">
        <v>247</v>
      </c>
      <c r="Z276" s="1" t="str">
        <f t="shared" si="12"/>
        <v>641 8B</v>
      </c>
      <c r="AA276" s="3">
        <f>IF(INDEX('CAMD Facility Data 2023'!$AA$2:$AE$10000,MATCH(Z276,'CAMD Facility Data 2023'!$AE$2:$AE$10000,0),1)&gt;0,INDEX('CAMD Facility Data 2023'!$AA$2:$AE$10000,MATCH(Z276,'CAMD Facility Data 2023'!$AE$2:$AE$10000,0),1),"")</f>
        <v>44470</v>
      </c>
      <c r="AB276" s="5">
        <f>IF(INDEX('CAMD Facility Data 2023'!$AC$2:$AE$10000,MATCH(Z276,'CAMD Facility Data 2023'!$AE$2:$AE$10000,0),1)&gt;0,INDEX('CAMD Facility Data 2023'!$AC$2:$AE$10000,MATCH(Z276,'CAMD Facility Data 2023'!$AE$2:$AE$10000,0),1),"")</f>
        <v>2474.4</v>
      </c>
      <c r="AC276" s="1" t="str">
        <f>IF(INDEX('CAMD Facility Data 2023'!$AE$2:$AG$10000,MATCH(Z276,'CAMD Facility Data 2023'!$AE$2:$AE$10000,0),3)&gt;0,INDEX('CAMD Facility Data 2023'!$AE$2:$AG$10000,MATCH(Z276,'CAMD Facility Data 2023'!$AE$2:$AE$10000,0),3),"")</f>
        <v/>
      </c>
      <c r="AD276" s="20">
        <f t="shared" si="13"/>
        <v>0.30078356130950695</v>
      </c>
      <c r="AE276" s="25">
        <f t="shared" si="14"/>
        <v>5.4594534148401083E-2</v>
      </c>
    </row>
    <row r="277" spans="1:31" x14ac:dyDescent="0.2">
      <c r="A277" s="1" t="s">
        <v>304</v>
      </c>
      <c r="B277" s="1" t="s">
        <v>821</v>
      </c>
      <c r="C277" s="1">
        <v>641</v>
      </c>
      <c r="D277" s="1" t="s">
        <v>834</v>
      </c>
      <c r="F277" s="1">
        <v>2023</v>
      </c>
      <c r="G277" s="5">
        <v>774</v>
      </c>
      <c r="H277" s="5">
        <v>672.88</v>
      </c>
      <c r="I277" s="5">
        <v>96830.71</v>
      </c>
      <c r="K277" s="5">
        <v>0.314</v>
      </c>
      <c r="L277" s="5">
        <v>1E-3</v>
      </c>
      <c r="M277" s="5">
        <v>61546.707999999999</v>
      </c>
      <c r="N277" s="6">
        <v>5.9299999999999999E-2</v>
      </c>
      <c r="O277" s="5">
        <v>15.625</v>
      </c>
      <c r="P277" s="6">
        <v>3.32E-2</v>
      </c>
      <c r="Q277" s="5">
        <v>1031647.9840000001</v>
      </c>
      <c r="R277" s="1" t="s">
        <v>44</v>
      </c>
      <c r="S277" s="1" t="s">
        <v>94</v>
      </c>
      <c r="T277" s="1" t="s">
        <v>93</v>
      </c>
      <c r="V277" s="1" t="s">
        <v>183</v>
      </c>
      <c r="Y277" s="1" t="s">
        <v>247</v>
      </c>
      <c r="Z277" s="1" t="str">
        <f t="shared" si="12"/>
        <v>641 8C</v>
      </c>
      <c r="AA277" s="3">
        <f>IF(INDEX('CAMD Facility Data 2023'!$AA$2:$AE$10000,MATCH(Z277,'CAMD Facility Data 2023'!$AE$2:$AE$10000,0),1)&gt;0,INDEX('CAMD Facility Data 2023'!$AA$2:$AE$10000,MATCH(Z277,'CAMD Facility Data 2023'!$AE$2:$AE$10000,0),1),"")</f>
        <v>44456</v>
      </c>
      <c r="AB277" s="5">
        <f>IF(INDEX('CAMD Facility Data 2023'!$AC$2:$AE$10000,MATCH(Z277,'CAMD Facility Data 2023'!$AE$2:$AE$10000,0),1)&gt;0,INDEX('CAMD Facility Data 2023'!$AC$2:$AE$10000,MATCH(Z277,'CAMD Facility Data 2023'!$AE$2:$AE$10000,0),1),"")</f>
        <v>2474.4</v>
      </c>
      <c r="AC277" s="1" t="str">
        <f>IF(INDEX('CAMD Facility Data 2023'!$AE$2:$AG$10000,MATCH(Z277,'CAMD Facility Data 2023'!$AE$2:$AE$10000,0),3)&gt;0,INDEX('CAMD Facility Data 2023'!$AE$2:$AG$10000,MATCH(Z277,'CAMD Facility Data 2023'!$AE$2:$AE$10000,0),3),"")</f>
        <v/>
      </c>
      <c r="AD277" s="20">
        <f t="shared" si="13"/>
        <v>0.32272819232658728</v>
      </c>
      <c r="AE277" s="25">
        <f t="shared" si="14"/>
        <v>4.7594582405106833E-2</v>
      </c>
    </row>
    <row r="278" spans="1:31" x14ac:dyDescent="0.2">
      <c r="A278" s="1" t="s">
        <v>304</v>
      </c>
      <c r="B278" s="1" t="s">
        <v>821</v>
      </c>
      <c r="C278" s="1">
        <v>641</v>
      </c>
      <c r="D278" s="1" t="s">
        <v>836</v>
      </c>
      <c r="F278" s="1">
        <v>2023</v>
      </c>
      <c r="G278" s="5">
        <v>801</v>
      </c>
      <c r="H278" s="5">
        <v>696.05</v>
      </c>
      <c r="I278" s="5">
        <v>100239.86</v>
      </c>
      <c r="K278" s="5">
        <v>0.32800000000000001</v>
      </c>
      <c r="L278" s="5">
        <v>1E-3</v>
      </c>
      <c r="M278" s="5">
        <v>64209.544999999998</v>
      </c>
      <c r="N278" s="6">
        <v>5.9400000000000001E-2</v>
      </c>
      <c r="O278" s="5">
        <v>15.259</v>
      </c>
      <c r="P278" s="6">
        <v>3.2399999999999998E-2</v>
      </c>
      <c r="Q278" s="5">
        <v>1076116.5179999999</v>
      </c>
      <c r="R278" s="1" t="s">
        <v>44</v>
      </c>
      <c r="S278" s="1" t="s">
        <v>94</v>
      </c>
      <c r="T278" s="1" t="s">
        <v>93</v>
      </c>
      <c r="V278" s="1" t="s">
        <v>183</v>
      </c>
      <c r="Y278" s="1" t="s">
        <v>247</v>
      </c>
      <c r="Z278" s="1" t="str">
        <f t="shared" si="12"/>
        <v>641 8D</v>
      </c>
      <c r="AA278" s="3">
        <f>IF(INDEX('CAMD Facility Data 2023'!$AA$2:$AE$10000,MATCH(Z278,'CAMD Facility Data 2023'!$AE$2:$AE$10000,0),1)&gt;0,INDEX('CAMD Facility Data 2023'!$AA$2:$AE$10000,MATCH(Z278,'CAMD Facility Data 2023'!$AE$2:$AE$10000,0),1),"")</f>
        <v>44507</v>
      </c>
      <c r="AB278" s="5">
        <f>IF(INDEX('CAMD Facility Data 2023'!$AC$2:$AE$10000,MATCH(Z278,'CAMD Facility Data 2023'!$AE$2:$AE$10000,0),1)&gt;0,INDEX('CAMD Facility Data 2023'!$AC$2:$AE$10000,MATCH(Z278,'CAMD Facility Data 2023'!$AE$2:$AE$10000,0),1),"")</f>
        <v>2474.4</v>
      </c>
      <c r="AC278" s="1" t="str">
        <f>IF(INDEX('CAMD Facility Data 2023'!$AE$2:$AG$10000,MATCH(Z278,'CAMD Facility Data 2023'!$AE$2:$AE$10000,0),3)&gt;0,INDEX('CAMD Facility Data 2023'!$AE$2:$AG$10000,MATCH(Z278,'CAMD Facility Data 2023'!$AE$2:$AE$10000,0),3),"")</f>
        <v/>
      </c>
      <c r="AD278" s="20">
        <f t="shared" si="13"/>
        <v>0.30444974683723619</v>
      </c>
      <c r="AE278" s="25">
        <f t="shared" si="14"/>
        <v>4.964611678381143E-2</v>
      </c>
    </row>
    <row r="279" spans="1:31" x14ac:dyDescent="0.2">
      <c r="A279" s="1" t="s">
        <v>304</v>
      </c>
      <c r="B279" s="1" t="s">
        <v>838</v>
      </c>
      <c r="C279" s="1">
        <v>643</v>
      </c>
      <c r="D279" s="1">
        <v>4</v>
      </c>
      <c r="F279" s="1">
        <v>2023</v>
      </c>
      <c r="G279" s="5">
        <v>7218</v>
      </c>
      <c r="H279" s="5">
        <v>7149.38</v>
      </c>
      <c r="I279" s="5">
        <v>2090482.45</v>
      </c>
      <c r="K279" s="5">
        <v>4.367</v>
      </c>
      <c r="L279" s="5">
        <v>1E-3</v>
      </c>
      <c r="M279" s="5">
        <v>865005.46100000001</v>
      </c>
      <c r="N279" s="6">
        <v>5.8999999999999997E-2</v>
      </c>
      <c r="O279" s="5">
        <v>196.61099999999999</v>
      </c>
      <c r="P279" s="6">
        <v>2.92E-2</v>
      </c>
      <c r="Q279" s="5">
        <v>14555394.525</v>
      </c>
      <c r="R279" s="1" t="s">
        <v>44</v>
      </c>
      <c r="T279" s="1" t="s">
        <v>71</v>
      </c>
      <c r="V279" s="1" t="s">
        <v>140</v>
      </c>
      <c r="Y279" s="1" t="s">
        <v>247</v>
      </c>
      <c r="Z279" s="1" t="str">
        <f t="shared" si="12"/>
        <v>643 4</v>
      </c>
      <c r="AA279" s="3">
        <f>IF(INDEX('CAMD Facility Data 2023'!$AA$2:$AE$10000,MATCH(Z279,'CAMD Facility Data 2023'!$AE$2:$AE$10000,0),1)&gt;0,INDEX('CAMD Facility Data 2023'!$AA$2:$AE$10000,MATCH(Z279,'CAMD Facility Data 2023'!$AE$2:$AE$10000,0),1),"")</f>
        <v>37272</v>
      </c>
      <c r="AB279" s="5">
        <f>IF(INDEX('CAMD Facility Data 2023'!$AC$2:$AE$10000,MATCH(Z279,'CAMD Facility Data 2023'!$AE$2:$AE$10000,0),1)&gt;0,INDEX('CAMD Facility Data 2023'!$AC$2:$AE$10000,MATCH(Z279,'CAMD Facility Data 2023'!$AE$2:$AE$10000,0),1),"")</f>
        <v>2918.3</v>
      </c>
      <c r="AC279" s="1" t="str">
        <f>IF(INDEX('CAMD Facility Data 2023'!$AE$2:$AG$10000,MATCH(Z279,'CAMD Facility Data 2023'!$AE$2:$AE$10000,0),3)&gt;0,INDEX('CAMD Facility Data 2023'!$AE$2:$AG$10000,MATCH(Z279,'CAMD Facility Data 2023'!$AE$2:$AE$10000,0),3),"")</f>
        <v/>
      </c>
      <c r="AD279" s="20">
        <f t="shared" si="13"/>
        <v>0.18810107685907623</v>
      </c>
      <c r="AE279" s="25">
        <f t="shared" si="14"/>
        <v>0.56936391648074336</v>
      </c>
    </row>
    <row r="280" spans="1:31" x14ac:dyDescent="0.2">
      <c r="A280" s="1" t="s">
        <v>304</v>
      </c>
      <c r="B280" s="1" t="s">
        <v>838</v>
      </c>
      <c r="C280" s="1">
        <v>643</v>
      </c>
      <c r="D280" s="1">
        <v>5</v>
      </c>
      <c r="F280" s="1">
        <v>2023</v>
      </c>
      <c r="G280" s="5">
        <v>7434</v>
      </c>
      <c r="H280" s="5">
        <v>7398.83</v>
      </c>
      <c r="I280" s="5">
        <v>2181484.7599999998</v>
      </c>
      <c r="K280" s="5">
        <v>4.5410000000000004</v>
      </c>
      <c r="L280" s="5">
        <v>1E-3</v>
      </c>
      <c r="M280" s="5">
        <v>899523.95700000005</v>
      </c>
      <c r="N280" s="6">
        <v>5.8999999999999997E-2</v>
      </c>
      <c r="O280" s="5">
        <v>208.102</v>
      </c>
      <c r="P280" s="6">
        <v>2.9000000000000001E-2</v>
      </c>
      <c r="Q280" s="5">
        <v>15136275.966</v>
      </c>
      <c r="R280" s="1" t="s">
        <v>44</v>
      </c>
      <c r="T280" s="1" t="s">
        <v>71</v>
      </c>
      <c r="V280" s="1" t="s">
        <v>140</v>
      </c>
      <c r="Y280" s="1" t="s">
        <v>247</v>
      </c>
      <c r="Z280" s="1" t="str">
        <f t="shared" si="12"/>
        <v>643 5</v>
      </c>
      <c r="AA280" s="3">
        <f>IF(INDEX('CAMD Facility Data 2023'!$AA$2:$AE$10000,MATCH(Z280,'CAMD Facility Data 2023'!$AE$2:$AE$10000,0),1)&gt;0,INDEX('CAMD Facility Data 2023'!$AA$2:$AE$10000,MATCH(Z280,'CAMD Facility Data 2023'!$AE$2:$AE$10000,0),1),"")</f>
        <v>37268</v>
      </c>
      <c r="AB280" s="5">
        <f>IF(INDEX('CAMD Facility Data 2023'!$AC$2:$AE$10000,MATCH(Z280,'CAMD Facility Data 2023'!$AE$2:$AE$10000,0),1)&gt;0,INDEX('CAMD Facility Data 2023'!$AC$2:$AE$10000,MATCH(Z280,'CAMD Facility Data 2023'!$AE$2:$AE$10000,0),1),"")</f>
        <v>2918.3</v>
      </c>
      <c r="AC280" s="1" t="str">
        <f>IF(INDEX('CAMD Facility Data 2023'!$AE$2:$AG$10000,MATCH(Z280,'CAMD Facility Data 2023'!$AE$2:$AE$10000,0),3)&gt;0,INDEX('CAMD Facility Data 2023'!$AE$2:$AG$10000,MATCH(Z280,'CAMD Facility Data 2023'!$AE$2:$AE$10000,0),3),"")</f>
        <v/>
      </c>
      <c r="AD280" s="20">
        <f t="shared" si="13"/>
        <v>0.19078932277299065</v>
      </c>
      <c r="AE280" s="25">
        <f t="shared" si="14"/>
        <v>0.59208627771187861</v>
      </c>
    </row>
    <row r="281" spans="1:31" x14ac:dyDescent="0.2">
      <c r="A281" s="1" t="s">
        <v>304</v>
      </c>
      <c r="B281" s="1" t="s">
        <v>843</v>
      </c>
      <c r="C281" s="1">
        <v>645</v>
      </c>
      <c r="D281" s="1" t="s">
        <v>844</v>
      </c>
      <c r="F281" s="1">
        <v>2023</v>
      </c>
      <c r="G281" s="5">
        <v>1530</v>
      </c>
      <c r="H281" s="5">
        <v>1523.05</v>
      </c>
      <c r="I281" s="5">
        <v>226600</v>
      </c>
      <c r="K281" s="5">
        <v>32.927999999999997</v>
      </c>
      <c r="L281" s="5">
        <v>3.1800000000000002E-2</v>
      </c>
      <c r="M281" s="5">
        <v>172717.655</v>
      </c>
      <c r="N281" s="6">
        <v>5.8900000000000001E-2</v>
      </c>
      <c r="O281" s="5">
        <v>98.293000000000006</v>
      </c>
      <c r="P281" s="6">
        <v>6.25E-2</v>
      </c>
      <c r="Q281" s="5">
        <v>2913557.6940000001</v>
      </c>
      <c r="R281" s="1" t="s">
        <v>44</v>
      </c>
      <c r="S281" s="1" t="s">
        <v>55</v>
      </c>
      <c r="T281" s="1" t="s">
        <v>848</v>
      </c>
      <c r="U281" s="1" t="s">
        <v>849</v>
      </c>
      <c r="V281" s="1" t="s">
        <v>850</v>
      </c>
      <c r="W281" s="1" t="s">
        <v>851</v>
      </c>
      <c r="Y281" s="1" t="s">
        <v>236</v>
      </c>
      <c r="Z281" s="1" t="str">
        <f t="shared" si="12"/>
        <v>645 BB03</v>
      </c>
      <c r="AA281" s="3">
        <f>IF(INDEX('CAMD Facility Data 2023'!$AA$2:$AE$10000,MATCH(Z281,'CAMD Facility Data 2023'!$AE$2:$AE$10000,0),1)&gt;0,INDEX('CAMD Facility Data 2023'!$AA$2:$AE$10000,MATCH(Z281,'CAMD Facility Data 2023'!$AE$2:$AE$10000,0),1),"")</f>
        <v>27881</v>
      </c>
      <c r="AB281" s="5">
        <f>IF(INDEX('CAMD Facility Data 2023'!$AC$2:$AE$10000,MATCH(Z281,'CAMD Facility Data 2023'!$AE$2:$AE$10000,0),1)&gt;0,INDEX('CAMD Facility Data 2023'!$AC$2:$AE$10000,MATCH(Z281,'CAMD Facility Data 2023'!$AE$2:$AE$10000,0),1),"")</f>
        <v>5600</v>
      </c>
      <c r="AC281" s="1" t="str">
        <f>IF(INDEX('CAMD Facility Data 2023'!$AE$2:$AG$10000,MATCH(Z281,'CAMD Facility Data 2023'!$AE$2:$AE$10000,0),3)&gt;0,INDEX('CAMD Facility Data 2023'!$AE$2:$AG$10000,MATCH(Z281,'CAMD Facility Data 2023'!$AE$2:$AE$10000,0),3),"")</f>
        <v>Y</v>
      </c>
      <c r="AD281" s="20">
        <f t="shared" si="13"/>
        <v>0.86754633715798768</v>
      </c>
      <c r="AE281" s="25">
        <f t="shared" si="14"/>
        <v>5.9392483977495109E-2</v>
      </c>
    </row>
    <row r="282" spans="1:31" x14ac:dyDescent="0.2">
      <c r="A282" s="1" t="s">
        <v>304</v>
      </c>
      <c r="B282" s="1" t="s">
        <v>843</v>
      </c>
      <c r="C282" s="1">
        <v>645</v>
      </c>
      <c r="D282" s="1" t="s">
        <v>854</v>
      </c>
      <c r="F282" s="1">
        <v>2023</v>
      </c>
      <c r="G282" s="5">
        <v>4578</v>
      </c>
      <c r="H282" s="5">
        <v>4552.1099999999997</v>
      </c>
      <c r="I282" s="5">
        <v>1085667.28</v>
      </c>
      <c r="K282" s="5">
        <v>572.702</v>
      </c>
      <c r="L282" s="5">
        <v>9.7299999999999998E-2</v>
      </c>
      <c r="M282" s="5">
        <v>983472.46400000004</v>
      </c>
      <c r="N282" s="6">
        <v>8.7499999999999994E-2</v>
      </c>
      <c r="O282" s="5">
        <v>450.43099999999998</v>
      </c>
      <c r="P282" s="6">
        <v>7.9399999999999998E-2</v>
      </c>
      <c r="Q282" s="5">
        <v>10823642.494999999</v>
      </c>
      <c r="R282" s="1" t="s">
        <v>55</v>
      </c>
      <c r="S282" s="1" t="s">
        <v>44</v>
      </c>
      <c r="T282" s="1" t="s">
        <v>43</v>
      </c>
      <c r="U282" s="1" t="s">
        <v>56</v>
      </c>
      <c r="V282" s="1" t="s">
        <v>855</v>
      </c>
      <c r="W282" s="1" t="s">
        <v>58</v>
      </c>
      <c r="Y282" s="1" t="s">
        <v>236</v>
      </c>
      <c r="Z282" s="1" t="str">
        <f t="shared" si="12"/>
        <v>645 BB04</v>
      </c>
      <c r="AA282" s="3">
        <f>IF(INDEX('CAMD Facility Data 2023'!$AA$2:$AE$10000,MATCH(Z282,'CAMD Facility Data 2023'!$AE$2:$AE$10000,0),1)&gt;0,INDEX('CAMD Facility Data 2023'!$AA$2:$AE$10000,MATCH(Z282,'CAMD Facility Data 2023'!$AE$2:$AE$10000,0),1),"")</f>
        <v>31079</v>
      </c>
      <c r="AB282" s="5">
        <f>IF(INDEX('CAMD Facility Data 2023'!$AC$2:$AE$10000,MATCH(Z282,'CAMD Facility Data 2023'!$AE$2:$AE$10000,0),1)&gt;0,INDEX('CAMD Facility Data 2023'!$AC$2:$AE$10000,MATCH(Z282,'CAMD Facility Data 2023'!$AE$2:$AE$10000,0),1),"")</f>
        <v>6300</v>
      </c>
      <c r="AC282" s="1" t="str">
        <f>IF(INDEX('CAMD Facility Data 2023'!$AE$2:$AG$10000,MATCH(Z282,'CAMD Facility Data 2023'!$AE$2:$AE$10000,0),3)&gt;0,INDEX('CAMD Facility Data 2023'!$AE$2:$AG$10000,MATCH(Z282,'CAMD Facility Data 2023'!$AE$2:$AE$10000,0),3),"")</f>
        <v>Y</v>
      </c>
      <c r="AD282" s="20">
        <f t="shared" si="13"/>
        <v>0.82977724077675064</v>
      </c>
      <c r="AE282" s="25">
        <f t="shared" si="14"/>
        <v>0.1961231154417627</v>
      </c>
    </row>
    <row r="283" spans="1:31" x14ac:dyDescent="0.2">
      <c r="A283" s="1" t="s">
        <v>304</v>
      </c>
      <c r="B283" s="1" t="s">
        <v>843</v>
      </c>
      <c r="C283" s="1">
        <v>645</v>
      </c>
      <c r="D283" s="1" t="s">
        <v>857</v>
      </c>
      <c r="F283" s="1">
        <v>2023</v>
      </c>
      <c r="G283" s="5">
        <v>6747</v>
      </c>
      <c r="H283" s="5">
        <v>6727.99</v>
      </c>
      <c r="I283" s="5">
        <v>2711410.4</v>
      </c>
      <c r="K283" s="5">
        <v>5.3109999999999999</v>
      </c>
      <c r="L283" s="5">
        <v>1E-3</v>
      </c>
      <c r="M283" s="5">
        <v>1052015.6029999999</v>
      </c>
      <c r="N283" s="6">
        <v>5.8999999999999997E-2</v>
      </c>
      <c r="O283" s="5">
        <v>373.45</v>
      </c>
      <c r="P283" s="6">
        <v>4.2700000000000002E-2</v>
      </c>
      <c r="Q283" s="5">
        <v>17702223.973999999</v>
      </c>
      <c r="R283" s="1" t="s">
        <v>44</v>
      </c>
      <c r="T283" s="1" t="s">
        <v>71</v>
      </c>
      <c r="V283" s="1" t="s">
        <v>858</v>
      </c>
      <c r="Y283" s="1" t="s">
        <v>312</v>
      </c>
      <c r="Z283" s="1" t="str">
        <f t="shared" si="12"/>
        <v>645 BB05</v>
      </c>
      <c r="AA283" s="3">
        <f>IF(INDEX('CAMD Facility Data 2023'!$AA$2:$AE$10000,MATCH(Z283,'CAMD Facility Data 2023'!$AE$2:$AE$10000,0),1)&gt;0,INDEX('CAMD Facility Data 2023'!$AA$2:$AE$10000,MATCH(Z283,'CAMD Facility Data 2023'!$AE$2:$AE$10000,0),1),"")</f>
        <v>44467</v>
      </c>
      <c r="AB283" s="5">
        <f>IF(INDEX('CAMD Facility Data 2023'!$AC$2:$AE$10000,MATCH(Z283,'CAMD Facility Data 2023'!$AE$2:$AE$10000,0),1)&gt;0,INDEX('CAMD Facility Data 2023'!$AC$2:$AE$10000,MATCH(Z283,'CAMD Facility Data 2023'!$AE$2:$AE$10000,0),1),"")</f>
        <v>3462</v>
      </c>
      <c r="AC283" s="1" t="str">
        <f>IF(INDEX('CAMD Facility Data 2023'!$AE$2:$AG$10000,MATCH(Z283,'CAMD Facility Data 2023'!$AE$2:$AE$10000,0),3)&gt;0,INDEX('CAMD Facility Data 2023'!$AE$2:$AG$10000,MATCH(Z283,'CAMD Facility Data 2023'!$AE$2:$AE$10000,0),3),"")</f>
        <v>Y</v>
      </c>
      <c r="AD283" s="20">
        <f t="shared" si="13"/>
        <v>0.27546549205535248</v>
      </c>
      <c r="AE283" s="25">
        <f t="shared" si="14"/>
        <v>0.58370936554476649</v>
      </c>
    </row>
    <row r="284" spans="1:31" x14ac:dyDescent="0.2">
      <c r="A284" s="1" t="s">
        <v>304</v>
      </c>
      <c r="B284" s="1" t="s">
        <v>843</v>
      </c>
      <c r="C284" s="1">
        <v>645</v>
      </c>
      <c r="D284" s="1" t="s">
        <v>860</v>
      </c>
      <c r="F284" s="1">
        <v>2023</v>
      </c>
      <c r="G284" s="5">
        <v>6955</v>
      </c>
      <c r="H284" s="5">
        <v>6934.38</v>
      </c>
      <c r="I284" s="5">
        <v>2826206.64</v>
      </c>
      <c r="K284" s="5">
        <v>5.5010000000000003</v>
      </c>
      <c r="L284" s="5">
        <v>1E-3</v>
      </c>
      <c r="M284" s="5">
        <v>1089789.922</v>
      </c>
      <c r="N284" s="6">
        <v>5.8999999999999997E-2</v>
      </c>
      <c r="O284" s="5">
        <v>367.49799999999999</v>
      </c>
      <c r="P284" s="6">
        <v>4.0500000000000001E-2</v>
      </c>
      <c r="Q284" s="5">
        <v>18337780.324000001</v>
      </c>
      <c r="R284" s="1" t="s">
        <v>44</v>
      </c>
      <c r="T284" s="1" t="s">
        <v>71</v>
      </c>
      <c r="V284" s="1" t="s">
        <v>858</v>
      </c>
      <c r="Y284" s="1" t="s">
        <v>312</v>
      </c>
      <c r="Z284" s="1" t="str">
        <f t="shared" si="12"/>
        <v>645 BB06</v>
      </c>
      <c r="AA284" s="3">
        <f>IF(INDEX('CAMD Facility Data 2023'!$AA$2:$AE$10000,MATCH(Z284,'CAMD Facility Data 2023'!$AE$2:$AE$10000,0),1)&gt;0,INDEX('CAMD Facility Data 2023'!$AA$2:$AE$10000,MATCH(Z284,'CAMD Facility Data 2023'!$AE$2:$AE$10000,0),1),"")</f>
        <v>44460</v>
      </c>
      <c r="AB284" s="5">
        <f>IF(INDEX('CAMD Facility Data 2023'!$AC$2:$AE$10000,MATCH(Z284,'CAMD Facility Data 2023'!$AE$2:$AE$10000,0),1)&gt;0,INDEX('CAMD Facility Data 2023'!$AC$2:$AE$10000,MATCH(Z284,'CAMD Facility Data 2023'!$AE$2:$AE$10000,0),1),"")</f>
        <v>3462</v>
      </c>
      <c r="AC284" s="1" t="str">
        <f>IF(INDEX('CAMD Facility Data 2023'!$AE$2:$AG$10000,MATCH(Z284,'CAMD Facility Data 2023'!$AE$2:$AE$10000,0),3)&gt;0,INDEX('CAMD Facility Data 2023'!$AE$2:$AG$10000,MATCH(Z284,'CAMD Facility Data 2023'!$AE$2:$AE$10000,0),3),"")</f>
        <v>Y</v>
      </c>
      <c r="AD284" s="20">
        <f t="shared" si="13"/>
        <v>0.26006449408101312</v>
      </c>
      <c r="AE284" s="25">
        <f t="shared" si="14"/>
        <v>0.6046660653566841</v>
      </c>
    </row>
    <row r="285" spans="1:31" x14ac:dyDescent="0.2">
      <c r="A285" s="1" t="s">
        <v>304</v>
      </c>
      <c r="B285" s="1" t="s">
        <v>843</v>
      </c>
      <c r="C285" s="1">
        <v>645</v>
      </c>
      <c r="D285" s="1" t="s">
        <v>862</v>
      </c>
      <c r="F285" s="1">
        <v>2023</v>
      </c>
      <c r="G285" s="5">
        <v>55</v>
      </c>
      <c r="H285" s="5">
        <v>41.48</v>
      </c>
      <c r="I285" s="5">
        <v>1005.32</v>
      </c>
      <c r="K285" s="5">
        <v>3.0000000000000001E-3</v>
      </c>
      <c r="L285" s="5">
        <v>1E-3</v>
      </c>
      <c r="M285" s="5">
        <v>670.54100000000005</v>
      </c>
      <c r="N285" s="6">
        <v>5.9299999999999999E-2</v>
      </c>
      <c r="O285" s="5">
        <v>0.48699999999999999</v>
      </c>
      <c r="P285" s="6">
        <v>9.1899999999999996E-2</v>
      </c>
      <c r="Q285" s="5">
        <v>11281.523999999999</v>
      </c>
      <c r="R285" s="1" t="s">
        <v>44</v>
      </c>
      <c r="S285" s="1" t="s">
        <v>94</v>
      </c>
      <c r="T285" s="1" t="s">
        <v>93</v>
      </c>
      <c r="V285" s="1" t="s">
        <v>95</v>
      </c>
      <c r="Y285" s="1" t="s">
        <v>247</v>
      </c>
      <c r="Z285" s="1" t="str">
        <f t="shared" si="12"/>
        <v>645 CT4A</v>
      </c>
      <c r="AA285" s="3">
        <f>IF(INDEX('CAMD Facility Data 2023'!$AA$2:$AE$10000,MATCH(Z285,'CAMD Facility Data 2023'!$AE$2:$AE$10000,0),1)&gt;0,INDEX('CAMD Facility Data 2023'!$AA$2:$AE$10000,MATCH(Z285,'CAMD Facility Data 2023'!$AE$2:$AE$10000,0),1),"")</f>
        <v>40031</v>
      </c>
      <c r="AB285" s="5">
        <f>IF(INDEX('CAMD Facility Data 2023'!$AC$2:$AE$10000,MATCH(Z285,'CAMD Facility Data 2023'!$AE$2:$AE$10000,0),1)&gt;0,INDEX('CAMD Facility Data 2023'!$AC$2:$AE$10000,MATCH(Z285,'CAMD Facility Data 2023'!$AE$2:$AE$10000,0),1),"")</f>
        <v>572</v>
      </c>
      <c r="AC285" s="1" t="str">
        <f>IF(INDEX('CAMD Facility Data 2023'!$AE$2:$AG$10000,MATCH(Z285,'CAMD Facility Data 2023'!$AE$2:$AE$10000,0),3)&gt;0,INDEX('CAMD Facility Data 2023'!$AE$2:$AG$10000,MATCH(Z285,'CAMD Facility Data 2023'!$AE$2:$AE$10000,0),3),"")</f>
        <v/>
      </c>
      <c r="AD285" s="20">
        <f t="shared" si="13"/>
        <v>0.96884574065969042</v>
      </c>
      <c r="AE285" s="25">
        <f t="shared" si="14"/>
        <v>2.2514776319570839E-3</v>
      </c>
    </row>
    <row r="286" spans="1:31" x14ac:dyDescent="0.2">
      <c r="A286" s="1" t="s">
        <v>304</v>
      </c>
      <c r="B286" s="1" t="s">
        <v>843</v>
      </c>
      <c r="C286" s="1">
        <v>645</v>
      </c>
      <c r="D286" s="1" t="s">
        <v>864</v>
      </c>
      <c r="F286" s="1">
        <v>2023</v>
      </c>
      <c r="G286" s="5">
        <v>80</v>
      </c>
      <c r="H286" s="5">
        <v>60.46</v>
      </c>
      <c r="I286" s="5">
        <v>1415.23</v>
      </c>
      <c r="K286" s="5">
        <v>5.0000000000000001E-3</v>
      </c>
      <c r="L286" s="5">
        <v>1E-3</v>
      </c>
      <c r="M286" s="5">
        <v>935.94600000000003</v>
      </c>
      <c r="N286" s="6">
        <v>5.9299999999999999E-2</v>
      </c>
      <c r="O286" s="5">
        <v>0.70199999999999996</v>
      </c>
      <c r="P286" s="6">
        <v>9.2700000000000005E-2</v>
      </c>
      <c r="Q286" s="5">
        <v>15748.352000000001</v>
      </c>
      <c r="R286" s="1" t="s">
        <v>44</v>
      </c>
      <c r="S286" s="1" t="s">
        <v>94</v>
      </c>
      <c r="T286" s="1" t="s">
        <v>93</v>
      </c>
      <c r="V286" s="1" t="s">
        <v>95</v>
      </c>
      <c r="Y286" s="1" t="s">
        <v>247</v>
      </c>
      <c r="Z286" s="1" t="str">
        <f t="shared" si="12"/>
        <v>645 CT4B</v>
      </c>
      <c r="AA286" s="3">
        <f>IF(INDEX('CAMD Facility Data 2023'!$AA$2:$AE$10000,MATCH(Z286,'CAMD Facility Data 2023'!$AE$2:$AE$10000,0),1)&gt;0,INDEX('CAMD Facility Data 2023'!$AA$2:$AE$10000,MATCH(Z286,'CAMD Facility Data 2023'!$AE$2:$AE$10000,0),1),"")</f>
        <v>40031</v>
      </c>
      <c r="AB286" s="5">
        <f>IF(INDEX('CAMD Facility Data 2023'!$AC$2:$AE$10000,MATCH(Z286,'CAMD Facility Data 2023'!$AE$2:$AE$10000,0),1)&gt;0,INDEX('CAMD Facility Data 2023'!$AC$2:$AE$10000,MATCH(Z286,'CAMD Facility Data 2023'!$AE$2:$AE$10000,0),1),"")</f>
        <v>572</v>
      </c>
      <c r="AC286" s="1" t="str">
        <f>IF(INDEX('CAMD Facility Data 2023'!$AE$2:$AG$10000,MATCH(Z286,'CAMD Facility Data 2023'!$AE$2:$AE$10000,0),3)&gt;0,INDEX('CAMD Facility Data 2023'!$AE$2:$AG$10000,MATCH(Z286,'CAMD Facility Data 2023'!$AE$2:$AE$10000,0),3),"")</f>
        <v/>
      </c>
      <c r="AD286" s="20">
        <f t="shared" si="13"/>
        <v>0.99206489404549081</v>
      </c>
      <c r="AE286" s="25">
        <f t="shared" si="14"/>
        <v>3.1429319538908581E-3</v>
      </c>
    </row>
    <row r="287" spans="1:31" x14ac:dyDescent="0.2">
      <c r="A287" s="1" t="s">
        <v>304</v>
      </c>
      <c r="B287" s="1" t="s">
        <v>865</v>
      </c>
      <c r="C287" s="1">
        <v>663</v>
      </c>
      <c r="D287" s="1" t="s">
        <v>866</v>
      </c>
      <c r="F287" s="1">
        <v>2023</v>
      </c>
      <c r="G287" s="5">
        <v>6711</v>
      </c>
      <c r="H287" s="5">
        <v>6704.44</v>
      </c>
      <c r="I287" s="5">
        <v>167376.76</v>
      </c>
      <c r="K287" s="5">
        <v>0.60199999999999998</v>
      </c>
      <c r="L287" s="5">
        <v>1E-3</v>
      </c>
      <c r="M287" s="5">
        <v>119268.857</v>
      </c>
      <c r="N287" s="6">
        <v>5.9299999999999999E-2</v>
      </c>
      <c r="O287" s="5">
        <v>124.58</v>
      </c>
      <c r="P287" s="6">
        <v>0.12429999999999999</v>
      </c>
      <c r="Q287" s="5">
        <v>2006873.9069999999</v>
      </c>
      <c r="R287" s="1" t="s">
        <v>44</v>
      </c>
      <c r="S287" s="1" t="s">
        <v>173</v>
      </c>
      <c r="T287" s="1" t="s">
        <v>89</v>
      </c>
      <c r="Y287" s="1" t="s">
        <v>247</v>
      </c>
      <c r="Z287" s="1" t="str">
        <f t="shared" si="12"/>
        <v>663 B1</v>
      </c>
      <c r="AA287" s="3">
        <f>IF(INDEX('CAMD Facility Data 2023'!$AA$2:$AE$10000,MATCH(Z287,'CAMD Facility Data 2023'!$AE$2:$AE$10000,0),1)&gt;0,INDEX('CAMD Facility Data 2023'!$AA$2:$AE$10000,MATCH(Z287,'CAMD Facility Data 2023'!$AE$2:$AE$10000,0),1),"")</f>
        <v>26512</v>
      </c>
      <c r="AB287" s="5">
        <f>IF(INDEX('CAMD Facility Data 2023'!$AC$2:$AE$10000,MATCH(Z287,'CAMD Facility Data 2023'!$AE$2:$AE$10000,0),1)&gt;0,INDEX('CAMD Facility Data 2023'!$AC$2:$AE$10000,MATCH(Z287,'CAMD Facility Data 2023'!$AE$2:$AE$10000,0),1),"")</f>
        <v>960</v>
      </c>
      <c r="AC287" s="1" t="str">
        <f>IF(INDEX('CAMD Facility Data 2023'!$AE$2:$AG$10000,MATCH(Z287,'CAMD Facility Data 2023'!$AE$2:$AE$10000,0),3)&gt;0,INDEX('CAMD Facility Data 2023'!$AE$2:$AG$10000,MATCH(Z287,'CAMD Facility Data 2023'!$AE$2:$AE$10000,0),3),"")</f>
        <v/>
      </c>
      <c r="AD287" s="20">
        <f t="shared" si="13"/>
        <v>1.4886176551631181</v>
      </c>
      <c r="AE287" s="25">
        <f t="shared" si="14"/>
        <v>0.23864082798230593</v>
      </c>
    </row>
    <row r="288" spans="1:31" x14ac:dyDescent="0.2">
      <c r="A288" s="1" t="s">
        <v>304</v>
      </c>
      <c r="B288" s="1" t="s">
        <v>865</v>
      </c>
      <c r="C288" s="1">
        <v>663</v>
      </c>
      <c r="D288" s="1" t="s">
        <v>871</v>
      </c>
      <c r="F288" s="1">
        <v>2023</v>
      </c>
      <c r="G288" s="5">
        <v>8735</v>
      </c>
      <c r="H288" s="5">
        <v>8728.51</v>
      </c>
      <c r="I288" s="5">
        <v>758936.54</v>
      </c>
      <c r="K288" s="5">
        <v>68.277000000000001</v>
      </c>
      <c r="L288" s="5">
        <v>1.4800000000000001E-2</v>
      </c>
      <c r="M288" s="5">
        <v>498877.46399999998</v>
      </c>
      <c r="N288" s="6">
        <v>6.0299999999999999E-2</v>
      </c>
      <c r="O288" s="5">
        <v>398.09</v>
      </c>
      <c r="P288" s="6">
        <v>8.9899999999999994E-2</v>
      </c>
      <c r="Q288" s="5">
        <v>8241738.9460000005</v>
      </c>
      <c r="R288" s="1" t="s">
        <v>55</v>
      </c>
      <c r="S288" s="1" t="s">
        <v>44</v>
      </c>
      <c r="T288" s="1" t="s">
        <v>89</v>
      </c>
      <c r="U288" s="1" t="s">
        <v>212</v>
      </c>
      <c r="V288" s="1" t="s">
        <v>872</v>
      </c>
      <c r="W288" s="1" t="s">
        <v>58</v>
      </c>
      <c r="Y288" s="1" t="s">
        <v>236</v>
      </c>
      <c r="Z288" s="1" t="str">
        <f t="shared" si="12"/>
        <v>663 B2</v>
      </c>
      <c r="AA288" s="3">
        <f>IF(INDEX('CAMD Facility Data 2023'!$AA$2:$AE$10000,MATCH(Z288,'CAMD Facility Data 2023'!$AE$2:$AE$10000,0),1)&gt;0,INDEX('CAMD Facility Data 2023'!$AA$2:$AE$10000,MATCH(Z288,'CAMD Facility Data 2023'!$AE$2:$AE$10000,0),1),"")</f>
        <v>29860</v>
      </c>
      <c r="AB288" s="5">
        <f>IF(INDEX('CAMD Facility Data 2023'!$AC$2:$AE$10000,MATCH(Z288,'CAMD Facility Data 2023'!$AE$2:$AE$10000,0),1)&gt;0,INDEX('CAMD Facility Data 2023'!$AC$2:$AE$10000,MATCH(Z288,'CAMD Facility Data 2023'!$AE$2:$AE$10000,0),1),"")</f>
        <v>2700</v>
      </c>
      <c r="AC288" s="1" t="str">
        <f>IF(INDEX('CAMD Facility Data 2023'!$AE$2:$AG$10000,MATCH(Z288,'CAMD Facility Data 2023'!$AE$2:$AE$10000,0),3)&gt;0,INDEX('CAMD Facility Data 2023'!$AE$2:$AG$10000,MATCH(Z288,'CAMD Facility Data 2023'!$AE$2:$AE$10000,0),3),"")</f>
        <v>Y</v>
      </c>
      <c r="AD288" s="20">
        <f t="shared" si="13"/>
        <v>1.0490732202721456</v>
      </c>
      <c r="AE288" s="25">
        <f t="shared" si="14"/>
        <v>0.34845843674953492</v>
      </c>
    </row>
    <row r="289" spans="1:31" x14ac:dyDescent="0.2">
      <c r="A289" s="1" t="s">
        <v>304</v>
      </c>
      <c r="B289" s="1" t="s">
        <v>865</v>
      </c>
      <c r="C289" s="1">
        <v>663</v>
      </c>
      <c r="D289" s="1" t="s">
        <v>101</v>
      </c>
      <c r="F289" s="1">
        <v>2023</v>
      </c>
      <c r="G289" s="5">
        <v>34</v>
      </c>
      <c r="H289" s="5">
        <v>25</v>
      </c>
      <c r="I289" s="5">
        <v>1224.97</v>
      </c>
      <c r="K289" s="5">
        <v>5.0000000000000001E-3</v>
      </c>
      <c r="L289" s="5">
        <v>1E-3</v>
      </c>
      <c r="M289" s="5">
        <v>982.65300000000002</v>
      </c>
      <c r="N289" s="6">
        <v>5.91E-2</v>
      </c>
      <c r="O289" s="5">
        <v>0.26500000000000001</v>
      </c>
      <c r="P289" s="6">
        <v>4.9599999999999998E-2</v>
      </c>
      <c r="Q289" s="5">
        <v>16533.175999999999</v>
      </c>
      <c r="R289" s="1" t="s">
        <v>44</v>
      </c>
      <c r="S289" s="1" t="s">
        <v>94</v>
      </c>
      <c r="T289" s="1" t="s">
        <v>93</v>
      </c>
      <c r="V289" s="1" t="s">
        <v>183</v>
      </c>
      <c r="Y289" s="1" t="s">
        <v>247</v>
      </c>
      <c r="Z289" s="1" t="str">
        <f t="shared" si="12"/>
        <v>663 CT3</v>
      </c>
      <c r="AA289" s="3">
        <f>IF(INDEX('CAMD Facility Data 2023'!$AA$2:$AE$10000,MATCH(Z289,'CAMD Facility Data 2023'!$AE$2:$AE$10000,0),1)&gt;0,INDEX('CAMD Facility Data 2023'!$AA$2:$AE$10000,MATCH(Z289,'CAMD Facility Data 2023'!$AE$2:$AE$10000,0),1),"")</f>
        <v>35065</v>
      </c>
      <c r="AB289" s="5">
        <f>IF(INDEX('CAMD Facility Data 2023'!$AC$2:$AE$10000,MATCH(Z289,'CAMD Facility Data 2023'!$AE$2:$AE$10000,0),1)&gt;0,INDEX('CAMD Facility Data 2023'!$AC$2:$AE$10000,MATCH(Z289,'CAMD Facility Data 2023'!$AE$2:$AE$10000,0),1),"")</f>
        <v>1100</v>
      </c>
      <c r="AC289" s="1" t="str">
        <f>IF(INDEX('CAMD Facility Data 2023'!$AE$2:$AG$10000,MATCH(Z289,'CAMD Facility Data 2023'!$AE$2:$AE$10000,0),3)&gt;0,INDEX('CAMD Facility Data 2023'!$AE$2:$AG$10000,MATCH(Z289,'CAMD Facility Data 2023'!$AE$2:$AE$10000,0),3),"")</f>
        <v/>
      </c>
      <c r="AD289" s="20">
        <f t="shared" si="13"/>
        <v>0.43266365706915272</v>
      </c>
      <c r="AE289" s="25">
        <f t="shared" si="14"/>
        <v>1.7157716894977168E-3</v>
      </c>
    </row>
    <row r="290" spans="1:31" x14ac:dyDescent="0.2">
      <c r="A290" s="1" t="s">
        <v>304</v>
      </c>
      <c r="B290" s="1" t="s">
        <v>875</v>
      </c>
      <c r="C290" s="1">
        <v>664</v>
      </c>
      <c r="D290" s="1" t="s">
        <v>194</v>
      </c>
      <c r="F290" s="1">
        <v>2023</v>
      </c>
      <c r="G290" s="5">
        <v>6865</v>
      </c>
      <c r="H290" s="5">
        <v>6851.25</v>
      </c>
      <c r="I290" s="5">
        <v>749021.72</v>
      </c>
      <c r="K290" s="5">
        <v>1.8260000000000001</v>
      </c>
      <c r="L290" s="5">
        <v>1E-3</v>
      </c>
      <c r="M290" s="5">
        <v>361597.185</v>
      </c>
      <c r="N290" s="6">
        <v>5.8999999999999997E-2</v>
      </c>
      <c r="O290" s="5">
        <v>75.801000000000002</v>
      </c>
      <c r="P290" s="6">
        <v>2.52E-2</v>
      </c>
      <c r="Q290" s="5">
        <v>6084593.4270000001</v>
      </c>
      <c r="R290" s="1" t="s">
        <v>44</v>
      </c>
      <c r="T290" s="1" t="s">
        <v>71</v>
      </c>
      <c r="V290" s="1" t="s">
        <v>140</v>
      </c>
      <c r="Y290" s="1" t="s">
        <v>247</v>
      </c>
      <c r="Z290" s="1" t="str">
        <f t="shared" si="12"/>
        <v>664 CC1</v>
      </c>
      <c r="AA290" s="3">
        <f>IF(INDEX('CAMD Facility Data 2023'!$AA$2:$AE$10000,MATCH(Z290,'CAMD Facility Data 2023'!$AE$2:$AE$10000,0),1)&gt;0,INDEX('CAMD Facility Data 2023'!$AA$2:$AE$10000,MATCH(Z290,'CAMD Facility Data 2023'!$AE$2:$AE$10000,0),1),"")</f>
        <v>36939</v>
      </c>
      <c r="AB290" s="5">
        <f>IF(INDEX('CAMD Facility Data 2023'!$AC$2:$AE$10000,MATCH(Z290,'CAMD Facility Data 2023'!$AE$2:$AE$10000,0),1)&gt;0,INDEX('CAMD Facility Data 2023'!$AC$2:$AE$10000,MATCH(Z290,'CAMD Facility Data 2023'!$AE$2:$AE$10000,0),1),"")</f>
        <v>1121</v>
      </c>
      <c r="AC290" s="1" t="str">
        <f>IF(INDEX('CAMD Facility Data 2023'!$AE$2:$AG$10000,MATCH(Z290,'CAMD Facility Data 2023'!$AE$2:$AE$10000,0),3)&gt;0,INDEX('CAMD Facility Data 2023'!$AE$2:$AG$10000,MATCH(Z290,'CAMD Facility Data 2023'!$AE$2:$AE$10000,0),3),"")</f>
        <v/>
      </c>
      <c r="AD290" s="20">
        <f t="shared" si="13"/>
        <v>0.20240000516940951</v>
      </c>
      <c r="AE290" s="25">
        <f t="shared" si="14"/>
        <v>0.61961488916451801</v>
      </c>
    </row>
    <row r="291" spans="1:31" x14ac:dyDescent="0.2">
      <c r="A291" s="1" t="s">
        <v>304</v>
      </c>
      <c r="B291" s="1" t="s">
        <v>877</v>
      </c>
      <c r="C291" s="1">
        <v>666</v>
      </c>
      <c r="D291" s="1">
        <v>7</v>
      </c>
      <c r="F291" s="1">
        <v>2023</v>
      </c>
      <c r="G291" s="5">
        <v>962</v>
      </c>
      <c r="H291" s="5">
        <v>852.49</v>
      </c>
      <c r="I291" s="5">
        <v>112928.29</v>
      </c>
      <c r="K291" s="5">
        <v>0.36299999999999999</v>
      </c>
      <c r="L291" s="5">
        <v>1E-3</v>
      </c>
      <c r="M291" s="5">
        <v>68405.591</v>
      </c>
      <c r="N291" s="6">
        <v>5.9200000000000003E-2</v>
      </c>
      <c r="O291" s="5">
        <v>21.2</v>
      </c>
      <c r="P291" s="6">
        <v>4.6100000000000002E-2</v>
      </c>
      <c r="Q291" s="5">
        <v>1148410.618</v>
      </c>
      <c r="R291" s="1" t="s">
        <v>44</v>
      </c>
      <c r="S291" s="1" t="s">
        <v>94</v>
      </c>
      <c r="T291" s="1" t="s">
        <v>93</v>
      </c>
      <c r="V291" s="1" t="s">
        <v>183</v>
      </c>
      <c r="Y291" s="1" t="s">
        <v>247</v>
      </c>
      <c r="Z291" s="1" t="str">
        <f t="shared" si="12"/>
        <v>666 7</v>
      </c>
      <c r="AA291" s="3">
        <f>IF(INDEX('CAMD Facility Data 2023'!$AA$2:$AE$10000,MATCH(Z291,'CAMD Facility Data 2023'!$AE$2:$AE$10000,0),1)&gt;0,INDEX('CAMD Facility Data 2023'!$AA$2:$AE$10000,MATCH(Z291,'CAMD Facility Data 2023'!$AE$2:$AE$10000,0),1),"")</f>
        <v>36737</v>
      </c>
      <c r="AB291" s="5">
        <f>IF(INDEX('CAMD Facility Data 2023'!$AC$2:$AE$10000,MATCH(Z291,'CAMD Facility Data 2023'!$AE$2:$AE$10000,0),1)&gt;0,INDEX('CAMD Facility Data 2023'!$AC$2:$AE$10000,MATCH(Z291,'CAMD Facility Data 2023'!$AE$2:$AE$10000,0),1),"")</f>
        <v>1822</v>
      </c>
      <c r="AC291" s="1" t="str">
        <f>IF(INDEX('CAMD Facility Data 2023'!$AE$2:$AG$10000,MATCH(Z291,'CAMD Facility Data 2023'!$AE$2:$AE$10000,0),3)&gt;0,INDEX('CAMD Facility Data 2023'!$AE$2:$AG$10000,MATCH(Z291,'CAMD Facility Data 2023'!$AE$2:$AE$10000,0),3),"")</f>
        <v/>
      </c>
      <c r="AD291" s="20">
        <f t="shared" si="13"/>
        <v>0.37545950620522106</v>
      </c>
      <c r="AE291" s="25">
        <f t="shared" si="14"/>
        <v>7.1952306537549679E-2</v>
      </c>
    </row>
    <row r="292" spans="1:31" x14ac:dyDescent="0.2">
      <c r="A292" s="1" t="s">
        <v>304</v>
      </c>
      <c r="B292" s="1" t="s">
        <v>877</v>
      </c>
      <c r="C292" s="1">
        <v>666</v>
      </c>
      <c r="D292" s="1" t="s">
        <v>111</v>
      </c>
      <c r="F292" s="1">
        <v>2023</v>
      </c>
      <c r="G292" s="5">
        <v>664</v>
      </c>
      <c r="H292" s="5">
        <v>592.66999999999996</v>
      </c>
      <c r="I292" s="5">
        <v>75250.94</v>
      </c>
      <c r="K292" s="5">
        <v>0.23400000000000001</v>
      </c>
      <c r="L292" s="5">
        <v>1E-3</v>
      </c>
      <c r="M292" s="5">
        <v>45156.659</v>
      </c>
      <c r="N292" s="6">
        <v>5.9200000000000003E-2</v>
      </c>
      <c r="O292" s="5">
        <v>13.903</v>
      </c>
      <c r="P292" s="6">
        <v>4.3700000000000003E-2</v>
      </c>
      <c r="Q292" s="5">
        <v>758662.56900000002</v>
      </c>
      <c r="R292" s="1" t="s">
        <v>44</v>
      </c>
      <c r="S292" s="1" t="s">
        <v>94</v>
      </c>
      <c r="T292" s="1" t="s">
        <v>93</v>
      </c>
      <c r="V292" s="1" t="s">
        <v>183</v>
      </c>
      <c r="Y292" s="1" t="s">
        <v>247</v>
      </c>
      <c r="Z292" s="1" t="str">
        <f t="shared" si="12"/>
        <v>666 CT8</v>
      </c>
      <c r="AA292" s="3">
        <f>IF(INDEX('CAMD Facility Data 2023'!$AA$2:$AE$10000,MATCH(Z292,'CAMD Facility Data 2023'!$AE$2:$AE$10000,0),1)&gt;0,INDEX('CAMD Facility Data 2023'!$AA$2:$AE$10000,MATCH(Z292,'CAMD Facility Data 2023'!$AE$2:$AE$10000,0),1),"")</f>
        <v>39921</v>
      </c>
      <c r="AB292" s="5">
        <f>IF(INDEX('CAMD Facility Data 2023'!$AC$2:$AE$10000,MATCH(Z292,'CAMD Facility Data 2023'!$AE$2:$AE$10000,0),1)&gt;0,INDEX('CAMD Facility Data 2023'!$AC$2:$AE$10000,MATCH(Z292,'CAMD Facility Data 2023'!$AE$2:$AE$10000,0),1),"")</f>
        <v>1989</v>
      </c>
      <c r="AC292" s="1" t="str">
        <f>IF(INDEX('CAMD Facility Data 2023'!$AE$2:$AG$10000,MATCH(Z292,'CAMD Facility Data 2023'!$AE$2:$AE$10000,0),3)&gt;0,INDEX('CAMD Facility Data 2023'!$AE$2:$AG$10000,MATCH(Z292,'CAMD Facility Data 2023'!$AE$2:$AE$10000,0),3),"")</f>
        <v/>
      </c>
      <c r="AD292" s="20">
        <f t="shared" si="13"/>
        <v>0.3695103343559562</v>
      </c>
      <c r="AE292" s="25">
        <f t="shared" si="14"/>
        <v>4.3542139816938365E-2</v>
      </c>
    </row>
    <row r="293" spans="1:31" x14ac:dyDescent="0.2">
      <c r="A293" s="1" t="s">
        <v>304</v>
      </c>
      <c r="B293" s="1" t="s">
        <v>883</v>
      </c>
      <c r="C293" s="1">
        <v>667</v>
      </c>
      <c r="D293" s="1" t="s">
        <v>372</v>
      </c>
      <c r="F293" s="1">
        <v>2023</v>
      </c>
      <c r="G293" s="5">
        <v>3831</v>
      </c>
      <c r="H293" s="5">
        <v>3824.96</v>
      </c>
      <c r="I293" s="5">
        <v>714827.06</v>
      </c>
      <c r="K293" s="5">
        <v>613.13699999999994</v>
      </c>
      <c r="L293" s="5">
        <v>0.1489</v>
      </c>
      <c r="M293" s="5">
        <v>809948.55099999998</v>
      </c>
      <c r="N293" s="6">
        <v>9.9099999999999994E-2</v>
      </c>
      <c r="O293" s="5">
        <v>219.267</v>
      </c>
      <c r="P293" s="6">
        <v>5.1700000000000003E-2</v>
      </c>
      <c r="Q293" s="5">
        <v>8134805.3600000003</v>
      </c>
      <c r="R293" s="1" t="s">
        <v>55</v>
      </c>
      <c r="S293" s="1" t="s">
        <v>886</v>
      </c>
      <c r="T293" s="1" t="s">
        <v>885</v>
      </c>
      <c r="U293" s="1" t="s">
        <v>212</v>
      </c>
      <c r="V293" s="1" t="s">
        <v>669</v>
      </c>
      <c r="W293" s="1" t="s">
        <v>232</v>
      </c>
      <c r="Y293" s="1" t="s">
        <v>236</v>
      </c>
      <c r="Z293" s="1" t="str">
        <f t="shared" si="12"/>
        <v>667 1A</v>
      </c>
      <c r="AA293" s="3">
        <f>IF(INDEX('CAMD Facility Data 2023'!$AA$2:$AE$10000,MATCH(Z293,'CAMD Facility Data 2023'!$AE$2:$AE$10000,0),1)&gt;0,INDEX('CAMD Facility Data 2023'!$AA$2:$AE$10000,MATCH(Z293,'CAMD Facility Data 2023'!$AE$2:$AE$10000,0),1),"")</f>
        <v>37368</v>
      </c>
      <c r="AB293" s="5">
        <f>IF(INDEX('CAMD Facility Data 2023'!$AC$2:$AE$10000,MATCH(Z293,'CAMD Facility Data 2023'!$AE$2:$AE$10000,0),1)&gt;0,INDEX('CAMD Facility Data 2023'!$AC$2:$AE$10000,MATCH(Z293,'CAMD Facility Data 2023'!$AE$2:$AE$10000,0),1),"")</f>
        <v>3523.9</v>
      </c>
      <c r="AC293" s="1" t="str">
        <f>IF(INDEX('CAMD Facility Data 2023'!$AE$2:$AG$10000,MATCH(Z293,'CAMD Facility Data 2023'!$AE$2:$AE$10000,0),3)&gt;0,INDEX('CAMD Facility Data 2023'!$AE$2:$AG$10000,MATCH(Z293,'CAMD Facility Data 2023'!$AE$2:$AE$10000,0),3),"")</f>
        <v>Y</v>
      </c>
      <c r="AD293" s="20">
        <f t="shared" si="13"/>
        <v>0.61348265131429125</v>
      </c>
      <c r="AE293" s="25">
        <f t="shared" si="14"/>
        <v>0.26352358150300731</v>
      </c>
    </row>
    <row r="294" spans="1:31" x14ac:dyDescent="0.2">
      <c r="A294" s="1" t="s">
        <v>304</v>
      </c>
      <c r="B294" s="1" t="s">
        <v>883</v>
      </c>
      <c r="C294" s="1">
        <v>667</v>
      </c>
      <c r="D294" s="1" t="s">
        <v>377</v>
      </c>
      <c r="F294" s="1">
        <v>2023</v>
      </c>
      <c r="G294" s="5">
        <v>5797</v>
      </c>
      <c r="H294" s="5">
        <v>5795.33</v>
      </c>
      <c r="I294" s="5">
        <v>1039722.21</v>
      </c>
      <c r="K294" s="5">
        <v>803.94899999999996</v>
      </c>
      <c r="L294" s="5">
        <v>0.1467</v>
      </c>
      <c r="M294" s="5">
        <v>1082263.2960000001</v>
      </c>
      <c r="N294" s="6">
        <v>9.8100000000000007E-2</v>
      </c>
      <c r="O294" s="5">
        <v>207.39599999999999</v>
      </c>
      <c r="P294" s="6">
        <v>3.6799999999999999E-2</v>
      </c>
      <c r="Q294" s="5">
        <v>10968103.297</v>
      </c>
      <c r="R294" s="1" t="s">
        <v>55</v>
      </c>
      <c r="S294" s="1" t="s">
        <v>886</v>
      </c>
      <c r="T294" s="1" t="s">
        <v>885</v>
      </c>
      <c r="U294" s="1" t="s">
        <v>212</v>
      </c>
      <c r="V294" s="1" t="s">
        <v>669</v>
      </c>
      <c r="W294" s="1" t="s">
        <v>232</v>
      </c>
      <c r="Y294" s="1" t="s">
        <v>236</v>
      </c>
      <c r="Z294" s="1" t="str">
        <f t="shared" si="12"/>
        <v>667 2A</v>
      </c>
      <c r="AA294" s="3">
        <f>IF(INDEX('CAMD Facility Data 2023'!$AA$2:$AE$10000,MATCH(Z294,'CAMD Facility Data 2023'!$AE$2:$AE$10000,0),1)&gt;0,INDEX('CAMD Facility Data 2023'!$AA$2:$AE$10000,MATCH(Z294,'CAMD Facility Data 2023'!$AE$2:$AE$10000,0),1),"")</f>
        <v>37306</v>
      </c>
      <c r="AB294" s="5">
        <f>IF(INDEX('CAMD Facility Data 2023'!$AC$2:$AE$10000,MATCH(Z294,'CAMD Facility Data 2023'!$AE$2:$AE$10000,0),1)&gt;0,INDEX('CAMD Facility Data 2023'!$AC$2:$AE$10000,MATCH(Z294,'CAMD Facility Data 2023'!$AE$2:$AE$10000,0),1),"")</f>
        <v>3273.2</v>
      </c>
      <c r="AC294" s="1" t="str">
        <f>IF(INDEX('CAMD Facility Data 2023'!$AE$2:$AG$10000,MATCH(Z294,'CAMD Facility Data 2023'!$AE$2:$AE$10000,0),3)&gt;0,INDEX('CAMD Facility Data 2023'!$AE$2:$AG$10000,MATCH(Z294,'CAMD Facility Data 2023'!$AE$2:$AE$10000,0),3),"")</f>
        <v>Y</v>
      </c>
      <c r="AD294" s="20">
        <f t="shared" si="13"/>
        <v>0.39894502205545845</v>
      </c>
      <c r="AE294" s="25">
        <f t="shared" si="14"/>
        <v>0.38252064842219391</v>
      </c>
    </row>
    <row r="295" spans="1:31" x14ac:dyDescent="0.2">
      <c r="A295" s="1" t="s">
        <v>304</v>
      </c>
      <c r="B295" s="1" t="s">
        <v>883</v>
      </c>
      <c r="C295" s="1">
        <v>667</v>
      </c>
      <c r="D295" s="1">
        <v>3</v>
      </c>
      <c r="F295" s="1">
        <v>2023</v>
      </c>
      <c r="G295" s="5">
        <v>6693</v>
      </c>
      <c r="H295" s="5">
        <v>6675.44</v>
      </c>
      <c r="I295" s="5">
        <v>1796429.49</v>
      </c>
      <c r="K295" s="5">
        <v>88.593000000000004</v>
      </c>
      <c r="L295" s="5">
        <v>6.4999999999999997E-3</v>
      </c>
      <c r="M295" s="5">
        <v>1228425.263</v>
      </c>
      <c r="N295" s="6">
        <v>5.91E-2</v>
      </c>
      <c r="O295" s="5">
        <v>1812.048</v>
      </c>
      <c r="P295" s="6">
        <v>0.15029999999999999</v>
      </c>
      <c r="Q295" s="5">
        <v>20677179.015000001</v>
      </c>
      <c r="R295" s="1" t="s">
        <v>44</v>
      </c>
      <c r="S295" s="1" t="s">
        <v>453</v>
      </c>
      <c r="T295" s="1" t="s">
        <v>89</v>
      </c>
      <c r="V295" s="1" t="s">
        <v>90</v>
      </c>
      <c r="Y295" s="1" t="s">
        <v>247</v>
      </c>
      <c r="Z295" s="1" t="str">
        <f t="shared" si="12"/>
        <v>667 3</v>
      </c>
      <c r="AA295" s="3">
        <f>IF(INDEX('CAMD Facility Data 2023'!$AA$2:$AE$10000,MATCH(Z295,'CAMD Facility Data 2023'!$AE$2:$AE$10000,0),1)&gt;0,INDEX('CAMD Facility Data 2023'!$AA$2:$AE$10000,MATCH(Z295,'CAMD Facility Data 2023'!$AE$2:$AE$10000,0),1),"")</f>
        <v>28304</v>
      </c>
      <c r="AB295" s="5">
        <f>IF(INDEX('CAMD Facility Data 2023'!$AC$2:$AE$10000,MATCH(Z295,'CAMD Facility Data 2023'!$AE$2:$AE$10000,0),1)&gt;0,INDEX('CAMD Facility Data 2023'!$AC$2:$AE$10000,MATCH(Z295,'CAMD Facility Data 2023'!$AE$2:$AE$10000,0),1),"")</f>
        <v>5925</v>
      </c>
      <c r="AC295" s="1" t="str">
        <f>IF(INDEX('CAMD Facility Data 2023'!$AE$2:$AG$10000,MATCH(Z295,'CAMD Facility Data 2023'!$AE$2:$AE$10000,0),3)&gt;0,INDEX('CAMD Facility Data 2023'!$AE$2:$AG$10000,MATCH(Z295,'CAMD Facility Data 2023'!$AE$2:$AE$10000,0),3),"")</f>
        <v/>
      </c>
      <c r="AD295" s="20">
        <f t="shared" si="13"/>
        <v>2.0173883919039874</v>
      </c>
      <c r="AE295" s="25">
        <f t="shared" si="14"/>
        <v>0.39838119212762269</v>
      </c>
    </row>
    <row r="296" spans="1:31" x14ac:dyDescent="0.2">
      <c r="A296" s="1" t="s">
        <v>304</v>
      </c>
      <c r="B296" s="1" t="s">
        <v>889</v>
      </c>
      <c r="C296" s="1">
        <v>673</v>
      </c>
      <c r="D296" s="1" t="s">
        <v>890</v>
      </c>
      <c r="F296" s="1">
        <v>2023</v>
      </c>
      <c r="G296" s="5">
        <v>17</v>
      </c>
      <c r="H296" s="5">
        <v>15.53</v>
      </c>
      <c r="I296" s="5">
        <v>83.8</v>
      </c>
      <c r="K296" s="5">
        <v>0</v>
      </c>
      <c r="L296" s="5">
        <v>8.0000000000000004E-4</v>
      </c>
      <c r="M296" s="5">
        <v>37.895000000000003</v>
      </c>
      <c r="N296" s="6">
        <v>5.2400000000000002E-2</v>
      </c>
      <c r="O296" s="5">
        <v>4.4999999999999998E-2</v>
      </c>
      <c r="P296" s="6">
        <v>8.5900000000000004E-2</v>
      </c>
      <c r="Q296" s="5">
        <v>636.87300000000005</v>
      </c>
      <c r="R296" s="1" t="s">
        <v>44</v>
      </c>
      <c r="S296" s="1" t="s">
        <v>173</v>
      </c>
      <c r="T296" s="1" t="s">
        <v>89</v>
      </c>
      <c r="Y296" s="1" t="s">
        <v>247</v>
      </c>
      <c r="Z296" s="1" t="str">
        <f t="shared" si="12"/>
        <v>673 S-3</v>
      </c>
      <c r="AA296" s="3">
        <f>IF(INDEX('CAMD Facility Data 2023'!$AA$2:$AE$10000,MATCH(Z296,'CAMD Facility Data 2023'!$AE$2:$AE$10000,0),1)&gt;0,INDEX('CAMD Facility Data 2023'!$AA$2:$AE$10000,MATCH(Z296,'CAMD Facility Data 2023'!$AE$2:$AE$10000,0),1),"")</f>
        <v>24777</v>
      </c>
      <c r="AB296" s="5">
        <f>IF(INDEX('CAMD Facility Data 2023'!$AC$2:$AE$10000,MATCH(Z296,'CAMD Facility Data 2023'!$AE$2:$AE$10000,0),1)&gt;0,INDEX('CAMD Facility Data 2023'!$AC$2:$AE$10000,MATCH(Z296,'CAMD Facility Data 2023'!$AE$2:$AE$10000,0),1),"")</f>
        <v>357</v>
      </c>
      <c r="AC296" s="1" t="str">
        <f>IF(INDEX('CAMD Facility Data 2023'!$AE$2:$AG$10000,MATCH(Z296,'CAMD Facility Data 2023'!$AE$2:$AE$10000,0),3)&gt;0,INDEX('CAMD Facility Data 2023'!$AE$2:$AG$10000,MATCH(Z296,'CAMD Facility Data 2023'!$AE$2:$AE$10000,0),3),"")</f>
        <v/>
      </c>
      <c r="AD296" s="20">
        <f t="shared" si="13"/>
        <v>1.0739856801909309</v>
      </c>
      <c r="AE296" s="25">
        <f t="shared" si="14"/>
        <v>2.0364817159740611E-4</v>
      </c>
    </row>
    <row r="297" spans="1:31" x14ac:dyDescent="0.2">
      <c r="A297" s="1" t="s">
        <v>304</v>
      </c>
      <c r="B297" s="1" t="s">
        <v>893</v>
      </c>
      <c r="C297" s="1">
        <v>675</v>
      </c>
      <c r="D297" s="1" t="s">
        <v>894</v>
      </c>
      <c r="F297" s="1">
        <v>2023</v>
      </c>
      <c r="G297" s="5">
        <v>3102</v>
      </c>
      <c r="H297" s="5">
        <v>3017.92</v>
      </c>
      <c r="I297" s="5">
        <v>171090.16</v>
      </c>
      <c r="K297" s="5">
        <v>0.68799999999999994</v>
      </c>
      <c r="L297" s="5">
        <v>1E-3</v>
      </c>
      <c r="M297" s="5">
        <v>134849.79399999999</v>
      </c>
      <c r="N297" s="6">
        <v>5.91E-2</v>
      </c>
      <c r="O297" s="5">
        <v>59.712000000000003</v>
      </c>
      <c r="P297" s="6">
        <v>5.21E-2</v>
      </c>
      <c r="Q297" s="5">
        <v>2268837.1940000001</v>
      </c>
      <c r="R297" s="1" t="s">
        <v>44</v>
      </c>
      <c r="S297" s="1" t="s">
        <v>94</v>
      </c>
      <c r="T297" s="1" t="s">
        <v>71</v>
      </c>
      <c r="V297" s="1" t="s">
        <v>95</v>
      </c>
      <c r="Y297" s="1" t="s">
        <v>247</v>
      </c>
      <c r="Z297" s="1" t="str">
        <f t="shared" si="12"/>
        <v>675 **8</v>
      </c>
      <c r="AA297" s="3">
        <f>IF(INDEX('CAMD Facility Data 2023'!$AA$2:$AE$10000,MATCH(Z297,'CAMD Facility Data 2023'!$AE$2:$AE$10000,0),1)&gt;0,INDEX('CAMD Facility Data 2023'!$AA$2:$AE$10000,MATCH(Z297,'CAMD Facility Data 2023'!$AE$2:$AE$10000,0),1),"")</f>
        <v>33786</v>
      </c>
      <c r="AB297" s="5">
        <f>IF(INDEX('CAMD Facility Data 2023'!$AC$2:$AE$10000,MATCH(Z297,'CAMD Facility Data 2023'!$AE$2:$AE$10000,0),1)&gt;0,INDEX('CAMD Facility Data 2023'!$AC$2:$AE$10000,MATCH(Z297,'CAMD Facility Data 2023'!$AE$2:$AE$10000,0),1),"")</f>
        <v>1055</v>
      </c>
      <c r="AC297" s="1" t="str">
        <f>IF(INDEX('CAMD Facility Data 2023'!$AE$2:$AG$10000,MATCH(Z297,'CAMD Facility Data 2023'!$AE$2:$AE$10000,0),3)&gt;0,INDEX('CAMD Facility Data 2023'!$AE$2:$AG$10000,MATCH(Z297,'CAMD Facility Data 2023'!$AE$2:$AE$10000,0),3),"")</f>
        <v/>
      </c>
      <c r="AD297" s="20">
        <f t="shared" si="13"/>
        <v>0.69801793393611877</v>
      </c>
      <c r="AE297" s="25">
        <f t="shared" si="14"/>
        <v>0.24549732671124674</v>
      </c>
    </row>
    <row r="298" spans="1:31" x14ac:dyDescent="0.2">
      <c r="A298" s="1" t="s">
        <v>304</v>
      </c>
      <c r="B298" s="1" t="s">
        <v>900</v>
      </c>
      <c r="C298" s="1">
        <v>676</v>
      </c>
      <c r="D298" s="1">
        <v>5</v>
      </c>
      <c r="F298" s="1">
        <v>2023</v>
      </c>
      <c r="G298" s="5">
        <v>5746</v>
      </c>
      <c r="H298" s="5">
        <v>5733.92</v>
      </c>
      <c r="I298" s="5">
        <v>1139869.51</v>
      </c>
      <c r="K298" s="5">
        <v>3.7959999999999998</v>
      </c>
      <c r="L298" s="5">
        <v>1E-3</v>
      </c>
      <c r="M298" s="5">
        <v>752020.25199999998</v>
      </c>
      <c r="N298" s="6">
        <v>5.8999999999999997E-2</v>
      </c>
      <c r="O298" s="5">
        <v>151.20699999999999</v>
      </c>
      <c r="P298" s="6">
        <v>2.4E-2</v>
      </c>
      <c r="Q298" s="5">
        <v>12654197.454</v>
      </c>
      <c r="R298" s="1" t="s">
        <v>44</v>
      </c>
      <c r="T298" s="1" t="s">
        <v>71</v>
      </c>
      <c r="V298" s="1" t="s">
        <v>223</v>
      </c>
      <c r="Y298" s="1" t="s">
        <v>247</v>
      </c>
      <c r="Z298" s="1" t="str">
        <f t="shared" si="12"/>
        <v>676 5</v>
      </c>
      <c r="AA298" s="3">
        <f>IF(INDEX('CAMD Facility Data 2023'!$AA$2:$AE$10000,MATCH(Z298,'CAMD Facility Data 2023'!$AE$2:$AE$10000,0),1)&gt;0,INDEX('CAMD Facility Data 2023'!$AA$2:$AE$10000,MATCH(Z298,'CAMD Facility Data 2023'!$AE$2:$AE$10000,0),1),"")</f>
        <v>36342</v>
      </c>
      <c r="AB298" s="5">
        <f>IF(INDEX('CAMD Facility Data 2023'!$AC$2:$AE$10000,MATCH(Z298,'CAMD Facility Data 2023'!$AE$2:$AE$10000,0),1)&gt;0,INDEX('CAMD Facility Data 2023'!$AC$2:$AE$10000,MATCH(Z298,'CAMD Facility Data 2023'!$AE$2:$AE$10000,0),1),"")</f>
        <v>2798</v>
      </c>
      <c r="AC298" s="1" t="str">
        <f>IF(INDEX('CAMD Facility Data 2023'!$AE$2:$AG$10000,MATCH(Z298,'CAMD Facility Data 2023'!$AE$2:$AE$10000,0),3)&gt;0,INDEX('CAMD Facility Data 2023'!$AE$2:$AG$10000,MATCH(Z298,'CAMD Facility Data 2023'!$AE$2:$AE$10000,0),3),"")</f>
        <v>Y</v>
      </c>
      <c r="AD298" s="20">
        <f t="shared" si="13"/>
        <v>0.26530580680239441</v>
      </c>
      <c r="AE298" s="25">
        <f t="shared" si="14"/>
        <v>0.51627701513801438</v>
      </c>
    </row>
    <row r="299" spans="1:31" x14ac:dyDescent="0.2">
      <c r="A299" s="1" t="s">
        <v>304</v>
      </c>
      <c r="B299" s="1" t="s">
        <v>900</v>
      </c>
      <c r="C299" s="1">
        <v>676</v>
      </c>
      <c r="D299" s="1" t="s">
        <v>902</v>
      </c>
      <c r="F299" s="1">
        <v>2023</v>
      </c>
      <c r="G299" s="5">
        <v>330</v>
      </c>
      <c r="H299" s="5">
        <v>284.88</v>
      </c>
      <c r="I299" s="5">
        <v>24333.9</v>
      </c>
      <c r="K299" s="5">
        <v>8.7999999999999995E-2</v>
      </c>
      <c r="L299" s="5">
        <v>1E-3</v>
      </c>
      <c r="M299" s="5">
        <v>17451.782999999999</v>
      </c>
      <c r="N299" s="6">
        <v>5.9200000000000003E-2</v>
      </c>
      <c r="O299" s="5">
        <v>13.074999999999999</v>
      </c>
      <c r="P299" s="6">
        <v>0.1038</v>
      </c>
      <c r="Q299" s="5">
        <v>293446.04399999999</v>
      </c>
      <c r="R299" s="1" t="s">
        <v>44</v>
      </c>
      <c r="S299" s="1" t="s">
        <v>94</v>
      </c>
      <c r="T299" s="1" t="s">
        <v>93</v>
      </c>
      <c r="V299" s="1" t="s">
        <v>95</v>
      </c>
      <c r="Y299" s="1" t="s">
        <v>247</v>
      </c>
      <c r="Z299" s="1" t="str">
        <f t="shared" si="12"/>
        <v>676 MGT2</v>
      </c>
      <c r="AA299" s="3">
        <f>IF(INDEX('CAMD Facility Data 2023'!$AA$2:$AE$10000,MATCH(Z299,'CAMD Facility Data 2023'!$AE$2:$AE$10000,0),1)&gt;0,INDEX('CAMD Facility Data 2023'!$AA$2:$AE$10000,MATCH(Z299,'CAMD Facility Data 2023'!$AE$2:$AE$10000,0),1),"")</f>
        <v>43916</v>
      </c>
      <c r="AB299" s="5">
        <f>IF(INDEX('CAMD Facility Data 2023'!$AC$2:$AE$10000,MATCH(Z299,'CAMD Facility Data 2023'!$AE$2:$AE$10000,0),1)&gt;0,INDEX('CAMD Facility Data 2023'!$AC$2:$AE$10000,MATCH(Z299,'CAMD Facility Data 2023'!$AE$2:$AE$10000,0),1),"")</f>
        <v>1776</v>
      </c>
      <c r="AC299" s="1" t="str">
        <f>IF(INDEX('CAMD Facility Data 2023'!$AE$2:$AG$10000,MATCH(Z299,'CAMD Facility Data 2023'!$AE$2:$AE$10000,0),3)&gt;0,INDEX('CAMD Facility Data 2023'!$AE$2:$AG$10000,MATCH(Z299,'CAMD Facility Data 2023'!$AE$2:$AE$10000,0),3),"")</f>
        <v/>
      </c>
      <c r="AD299" s="20">
        <f t="shared" si="13"/>
        <v>1.0746325085580197</v>
      </c>
      <c r="AE299" s="25">
        <f t="shared" si="14"/>
        <v>1.8861715568308034E-2</v>
      </c>
    </row>
    <row r="300" spans="1:31" x14ac:dyDescent="0.2">
      <c r="A300" s="1" t="s">
        <v>304</v>
      </c>
      <c r="B300" s="1" t="s">
        <v>904</v>
      </c>
      <c r="C300" s="1">
        <v>683</v>
      </c>
      <c r="D300" s="1" t="s">
        <v>905</v>
      </c>
      <c r="F300" s="1">
        <v>2023</v>
      </c>
      <c r="G300" s="5">
        <v>1002</v>
      </c>
      <c r="H300" s="5">
        <v>850.47</v>
      </c>
      <c r="I300" s="5">
        <v>47004.87</v>
      </c>
      <c r="K300" s="5">
        <v>0.40300000000000002</v>
      </c>
      <c r="L300" s="5">
        <v>1.8E-3</v>
      </c>
      <c r="M300" s="5">
        <v>40121.491999999998</v>
      </c>
      <c r="N300" s="6">
        <v>5.91E-2</v>
      </c>
      <c r="O300" s="5">
        <v>21.99</v>
      </c>
      <c r="P300" s="6">
        <v>6.5299999999999997E-2</v>
      </c>
      <c r="Q300" s="5">
        <v>674986.56400000001</v>
      </c>
      <c r="R300" s="1" t="s">
        <v>44</v>
      </c>
      <c r="S300" s="1" t="s">
        <v>94</v>
      </c>
      <c r="T300" s="1" t="s">
        <v>93</v>
      </c>
      <c r="V300" s="1" t="s">
        <v>95</v>
      </c>
      <c r="Y300" s="1" t="s">
        <v>247</v>
      </c>
      <c r="Z300" s="1" t="str">
        <f t="shared" si="12"/>
        <v>683 **C</v>
      </c>
      <c r="AA300" s="3">
        <f>IF(INDEX('CAMD Facility Data 2023'!$AA$2:$AE$10000,MATCH(Z300,'CAMD Facility Data 2023'!$AE$2:$AE$10000,0),1)&gt;0,INDEX('CAMD Facility Data 2023'!$AA$2:$AE$10000,MATCH(Z300,'CAMD Facility Data 2023'!$AE$2:$AE$10000,0),1),"")</f>
        <v>33543</v>
      </c>
      <c r="AB300" s="5">
        <f>IF(INDEX('CAMD Facility Data 2023'!$AC$2:$AE$10000,MATCH(Z300,'CAMD Facility Data 2023'!$AE$2:$AE$10000,0),1)&gt;0,INDEX('CAMD Facility Data 2023'!$AC$2:$AE$10000,MATCH(Z300,'CAMD Facility Data 2023'!$AE$2:$AE$10000,0),1),"")</f>
        <v>1354</v>
      </c>
      <c r="AC300" s="1" t="str">
        <f>IF(INDEX('CAMD Facility Data 2023'!$AE$2:$AG$10000,MATCH(Z300,'CAMD Facility Data 2023'!$AE$2:$AE$10000,0),3)&gt;0,INDEX('CAMD Facility Data 2023'!$AE$2:$AG$10000,MATCH(Z300,'CAMD Facility Data 2023'!$AE$2:$AE$10000,0),3),"")</f>
        <v/>
      </c>
      <c r="AD300" s="20">
        <f t="shared" si="13"/>
        <v>0.93564773182012839</v>
      </c>
      <c r="AE300" s="25">
        <f t="shared" si="14"/>
        <v>5.6907873508562488E-2</v>
      </c>
    </row>
    <row r="301" spans="1:31" x14ac:dyDescent="0.2">
      <c r="A301" s="1" t="s">
        <v>304</v>
      </c>
      <c r="B301" s="1" t="s">
        <v>904</v>
      </c>
      <c r="C301" s="1">
        <v>683</v>
      </c>
      <c r="D301" s="1" t="s">
        <v>907</v>
      </c>
      <c r="F301" s="1">
        <v>2023</v>
      </c>
      <c r="G301" s="5">
        <v>679</v>
      </c>
      <c r="H301" s="5">
        <v>585.97</v>
      </c>
      <c r="I301" s="5">
        <v>32763</v>
      </c>
      <c r="K301" s="5">
        <v>0.14399999999999999</v>
      </c>
      <c r="L301" s="5">
        <v>1E-3</v>
      </c>
      <c r="M301" s="5">
        <v>28516.071</v>
      </c>
      <c r="N301" s="6">
        <v>5.8999999999999997E-2</v>
      </c>
      <c r="O301" s="5">
        <v>15.677</v>
      </c>
      <c r="P301" s="6">
        <v>6.5199999999999994E-2</v>
      </c>
      <c r="Q301" s="5">
        <v>479839.91200000001</v>
      </c>
      <c r="R301" s="1" t="s">
        <v>44</v>
      </c>
      <c r="S301" s="1" t="s">
        <v>94</v>
      </c>
      <c r="T301" s="1" t="s">
        <v>93</v>
      </c>
      <c r="V301" s="1" t="s">
        <v>95</v>
      </c>
      <c r="Y301" s="1" t="s">
        <v>247</v>
      </c>
      <c r="Z301" s="1" t="str">
        <f t="shared" si="12"/>
        <v>683 **D</v>
      </c>
      <c r="AA301" s="3">
        <f>IF(INDEX('CAMD Facility Data 2023'!$AA$2:$AE$10000,MATCH(Z301,'CAMD Facility Data 2023'!$AE$2:$AE$10000,0),1)&gt;0,INDEX('CAMD Facility Data 2023'!$AA$2:$AE$10000,MATCH(Z301,'CAMD Facility Data 2023'!$AE$2:$AE$10000,0),1),"")</f>
        <v>33543</v>
      </c>
      <c r="AB301" s="5">
        <f>IF(INDEX('CAMD Facility Data 2023'!$AC$2:$AE$10000,MATCH(Z301,'CAMD Facility Data 2023'!$AE$2:$AE$10000,0),1)&gt;0,INDEX('CAMD Facility Data 2023'!$AC$2:$AE$10000,MATCH(Z301,'CAMD Facility Data 2023'!$AE$2:$AE$10000,0),1),"")</f>
        <v>1354</v>
      </c>
      <c r="AC301" s="1" t="str">
        <f>IF(INDEX('CAMD Facility Data 2023'!$AE$2:$AG$10000,MATCH(Z301,'CAMD Facility Data 2023'!$AE$2:$AE$10000,0),3)&gt;0,INDEX('CAMD Facility Data 2023'!$AE$2:$AG$10000,MATCH(Z301,'CAMD Facility Data 2023'!$AE$2:$AE$10000,0),3),"")</f>
        <v/>
      </c>
      <c r="AD301" s="20">
        <f t="shared" si="13"/>
        <v>0.95699417025302935</v>
      </c>
      <c r="AE301" s="25">
        <f t="shared" si="14"/>
        <v>4.0455129735672418E-2</v>
      </c>
    </row>
    <row r="302" spans="1:31" x14ac:dyDescent="0.2">
      <c r="A302" s="1" t="s">
        <v>304</v>
      </c>
      <c r="B302" s="1" t="s">
        <v>909</v>
      </c>
      <c r="C302" s="1">
        <v>688</v>
      </c>
      <c r="D302" s="1" t="s">
        <v>377</v>
      </c>
      <c r="F302" s="1">
        <v>2023</v>
      </c>
      <c r="G302" s="5">
        <v>8395</v>
      </c>
      <c r="H302" s="5">
        <v>8385.9</v>
      </c>
      <c r="I302" s="5">
        <v>1468081.02</v>
      </c>
      <c r="K302" s="5">
        <v>3.34</v>
      </c>
      <c r="L302" s="5">
        <v>1E-3</v>
      </c>
      <c r="M302" s="5">
        <v>661262.429</v>
      </c>
      <c r="N302" s="6">
        <v>5.8999999999999997E-2</v>
      </c>
      <c r="O302" s="5">
        <v>82.619</v>
      </c>
      <c r="P302" s="6">
        <v>1.54E-2</v>
      </c>
      <c r="Q302" s="5">
        <v>11127037.078</v>
      </c>
      <c r="R302" s="1" t="s">
        <v>44</v>
      </c>
      <c r="S302" s="1" t="s">
        <v>94</v>
      </c>
      <c r="T302" s="1" t="s">
        <v>71</v>
      </c>
      <c r="V302" s="1" t="s">
        <v>643</v>
      </c>
      <c r="Y302" s="1" t="s">
        <v>247</v>
      </c>
      <c r="Z302" s="1" t="str">
        <f t="shared" si="12"/>
        <v>688 2A</v>
      </c>
      <c r="AA302" s="3">
        <f>IF(INDEX('CAMD Facility Data 2023'!$AA$2:$AE$10000,MATCH(Z302,'CAMD Facility Data 2023'!$AE$2:$AE$10000,0),1)&gt;0,INDEX('CAMD Facility Data 2023'!$AA$2:$AE$10000,MATCH(Z302,'CAMD Facility Data 2023'!$AE$2:$AE$10000,0),1),"")</f>
        <v>39577</v>
      </c>
      <c r="AB302" s="5">
        <f>IF(INDEX('CAMD Facility Data 2023'!$AC$2:$AE$10000,MATCH(Z302,'CAMD Facility Data 2023'!$AE$2:$AE$10000,0),1)&gt;0,INDEX('CAMD Facility Data 2023'!$AC$2:$AE$10000,MATCH(Z302,'CAMD Facility Data 2023'!$AE$2:$AE$10000,0),1),"")</f>
        <v>2844</v>
      </c>
      <c r="AC302" s="1" t="str">
        <f>IF(INDEX('CAMD Facility Data 2023'!$AE$2:$AG$10000,MATCH(Z302,'CAMD Facility Data 2023'!$AE$2:$AE$10000,0),3)&gt;0,INDEX('CAMD Facility Data 2023'!$AE$2:$AG$10000,MATCH(Z302,'CAMD Facility Data 2023'!$AE$2:$AE$10000,0),3),"")</f>
        <v>Y</v>
      </c>
      <c r="AD302" s="20">
        <f t="shared" si="13"/>
        <v>0.11255373358072568</v>
      </c>
      <c r="AE302" s="25">
        <f t="shared" si="14"/>
        <v>0.44662788751774141</v>
      </c>
    </row>
    <row r="303" spans="1:31" x14ac:dyDescent="0.2">
      <c r="A303" s="1" t="s">
        <v>304</v>
      </c>
      <c r="B303" s="1" t="s">
        <v>909</v>
      </c>
      <c r="C303" s="1">
        <v>688</v>
      </c>
      <c r="D303" s="1" t="s">
        <v>914</v>
      </c>
      <c r="F303" s="1">
        <v>2023</v>
      </c>
      <c r="G303" s="5">
        <v>582</v>
      </c>
      <c r="H303" s="5">
        <v>495.09</v>
      </c>
      <c r="I303" s="5">
        <v>15051.04</v>
      </c>
      <c r="K303" s="5">
        <v>1.361</v>
      </c>
      <c r="L303" s="5">
        <v>1.5599999999999999E-2</v>
      </c>
      <c r="M303" s="5">
        <v>9558.0300000000007</v>
      </c>
      <c r="N303" s="6">
        <v>5.9700000000000003E-2</v>
      </c>
      <c r="O303" s="5">
        <v>1.198</v>
      </c>
      <c r="P303" s="6">
        <v>1.9400000000000001E-2</v>
      </c>
      <c r="Q303" s="5">
        <v>159839.807</v>
      </c>
      <c r="R303" s="1" t="s">
        <v>44</v>
      </c>
      <c r="S303" s="1" t="s">
        <v>94</v>
      </c>
      <c r="T303" s="1" t="s">
        <v>93</v>
      </c>
      <c r="V303" s="1" t="s">
        <v>176</v>
      </c>
      <c r="Y303" s="1" t="s">
        <v>247</v>
      </c>
      <c r="Z303" s="1" t="str">
        <f t="shared" si="12"/>
        <v>688 HC3</v>
      </c>
      <c r="AA303" s="3">
        <f>IF(INDEX('CAMD Facility Data 2023'!$AA$2:$AE$10000,MATCH(Z303,'CAMD Facility Data 2023'!$AE$2:$AE$10000,0),1)&gt;0,INDEX('CAMD Facility Data 2023'!$AA$2:$AE$10000,MATCH(Z303,'CAMD Facility Data 2023'!$AE$2:$AE$10000,0),1),"")</f>
        <v>38566</v>
      </c>
      <c r="AB303" s="5">
        <f>IF(INDEX('CAMD Facility Data 2023'!$AC$2:$AE$10000,MATCH(Z303,'CAMD Facility Data 2023'!$AE$2:$AE$10000,0),1)&gt;0,INDEX('CAMD Facility Data 2023'!$AC$2:$AE$10000,MATCH(Z303,'CAMD Facility Data 2023'!$AE$2:$AE$10000,0),1),"")</f>
        <v>500</v>
      </c>
      <c r="AC303" s="1" t="str">
        <f>IF(INDEX('CAMD Facility Data 2023'!$AE$2:$AG$10000,MATCH(Z303,'CAMD Facility Data 2023'!$AE$2:$AE$10000,0),3)&gt;0,INDEX('CAMD Facility Data 2023'!$AE$2:$AG$10000,MATCH(Z303,'CAMD Facility Data 2023'!$AE$2:$AE$10000,0),3),"")</f>
        <v>Y</v>
      </c>
      <c r="AD303" s="20">
        <f t="shared" si="13"/>
        <v>0.15919165718780895</v>
      </c>
      <c r="AE303" s="25">
        <f t="shared" si="14"/>
        <v>3.6493106621004565E-2</v>
      </c>
    </row>
    <row r="304" spans="1:31" x14ac:dyDescent="0.2">
      <c r="A304" s="1" t="s">
        <v>304</v>
      </c>
      <c r="B304" s="1" t="s">
        <v>909</v>
      </c>
      <c r="C304" s="1">
        <v>688</v>
      </c>
      <c r="D304" s="1" t="s">
        <v>916</v>
      </c>
      <c r="F304" s="1">
        <v>2023</v>
      </c>
      <c r="G304" s="5">
        <v>562</v>
      </c>
      <c r="H304" s="5">
        <v>486</v>
      </c>
      <c r="I304" s="5">
        <v>15816.54</v>
      </c>
      <c r="K304" s="5">
        <v>2.3029999999999999</v>
      </c>
      <c r="L304" s="5">
        <v>2.75E-2</v>
      </c>
      <c r="M304" s="5">
        <v>9768.8369999999995</v>
      </c>
      <c r="N304" s="6">
        <v>5.9700000000000003E-2</v>
      </c>
      <c r="O304" s="5">
        <v>1.3180000000000001</v>
      </c>
      <c r="P304" s="6">
        <v>2.06E-2</v>
      </c>
      <c r="Q304" s="5">
        <v>162735.48699999999</v>
      </c>
      <c r="R304" s="1" t="s">
        <v>44</v>
      </c>
      <c r="S304" s="1" t="s">
        <v>94</v>
      </c>
      <c r="T304" s="1" t="s">
        <v>93</v>
      </c>
      <c r="V304" s="1" t="s">
        <v>176</v>
      </c>
      <c r="Y304" s="1" t="s">
        <v>247</v>
      </c>
      <c r="Z304" s="1" t="str">
        <f t="shared" si="12"/>
        <v>688 HC4</v>
      </c>
      <c r="AA304" s="3">
        <f>IF(INDEX('CAMD Facility Data 2023'!$AA$2:$AE$10000,MATCH(Z304,'CAMD Facility Data 2023'!$AE$2:$AE$10000,0),1)&gt;0,INDEX('CAMD Facility Data 2023'!$AA$2:$AE$10000,MATCH(Z304,'CAMD Facility Data 2023'!$AE$2:$AE$10000,0),1),"")</f>
        <v>38624</v>
      </c>
      <c r="AB304" s="5">
        <f>IF(INDEX('CAMD Facility Data 2023'!$AC$2:$AE$10000,MATCH(Z304,'CAMD Facility Data 2023'!$AE$2:$AE$10000,0),1)&gt;0,INDEX('CAMD Facility Data 2023'!$AC$2:$AE$10000,MATCH(Z304,'CAMD Facility Data 2023'!$AE$2:$AE$10000,0),1),"")</f>
        <v>500</v>
      </c>
      <c r="AC304" s="1" t="str">
        <f>IF(INDEX('CAMD Facility Data 2023'!$AE$2:$AG$10000,MATCH(Z304,'CAMD Facility Data 2023'!$AE$2:$AE$10000,0),3)&gt;0,INDEX('CAMD Facility Data 2023'!$AE$2:$AG$10000,MATCH(Z304,'CAMD Facility Data 2023'!$AE$2:$AE$10000,0),3),"")</f>
        <v>Y</v>
      </c>
      <c r="AD304" s="20">
        <f t="shared" si="13"/>
        <v>0.16666097642088598</v>
      </c>
      <c r="AE304" s="25">
        <f t="shared" si="14"/>
        <v>3.7154220776255707E-2</v>
      </c>
    </row>
    <row r="305" spans="1:31" x14ac:dyDescent="0.2">
      <c r="A305" s="1" t="s">
        <v>304</v>
      </c>
      <c r="B305" s="1" t="s">
        <v>917</v>
      </c>
      <c r="C305" s="1">
        <v>689</v>
      </c>
      <c r="D305" s="1">
        <v>8</v>
      </c>
      <c r="F305" s="1">
        <v>2023</v>
      </c>
      <c r="G305" s="5">
        <v>8323</v>
      </c>
      <c r="H305" s="5">
        <v>8309.75</v>
      </c>
      <c r="I305" s="5">
        <v>912036</v>
      </c>
      <c r="K305" s="5">
        <v>3.2930000000000001</v>
      </c>
      <c r="L305" s="5">
        <v>1E-3</v>
      </c>
      <c r="M305" s="5">
        <v>650099.64800000004</v>
      </c>
      <c r="N305" s="6">
        <v>5.8999999999999997E-2</v>
      </c>
      <c r="O305" s="5">
        <v>150.10599999999999</v>
      </c>
      <c r="P305" s="6">
        <v>2.8000000000000001E-2</v>
      </c>
      <c r="Q305" s="5">
        <v>10939507.482000001</v>
      </c>
      <c r="R305" s="1" t="s">
        <v>44</v>
      </c>
      <c r="S305" s="1" t="s">
        <v>94</v>
      </c>
      <c r="T305" s="1" t="s">
        <v>71</v>
      </c>
      <c r="V305" s="1" t="s">
        <v>183</v>
      </c>
      <c r="Y305" s="1" t="s">
        <v>247</v>
      </c>
      <c r="Z305" s="1" t="str">
        <f t="shared" si="12"/>
        <v>689 8</v>
      </c>
      <c r="AA305" s="3">
        <f>IF(INDEX('CAMD Facility Data 2023'!$AA$2:$AE$10000,MATCH(Z305,'CAMD Facility Data 2023'!$AE$2:$AE$10000,0),1)&gt;0,INDEX('CAMD Facility Data 2023'!$AA$2:$AE$10000,MATCH(Z305,'CAMD Facility Data 2023'!$AE$2:$AE$10000,0),1),"")</f>
        <v>36701</v>
      </c>
      <c r="AB305" s="5">
        <f>IF(INDEX('CAMD Facility Data 2023'!$AC$2:$AE$10000,MATCH(Z305,'CAMD Facility Data 2023'!$AE$2:$AE$10000,0),1)&gt;0,INDEX('CAMD Facility Data 2023'!$AC$2:$AE$10000,MATCH(Z305,'CAMD Facility Data 2023'!$AE$2:$AE$10000,0),1),"")</f>
        <v>2044.2</v>
      </c>
      <c r="AC305" s="1" t="str">
        <f>IF(INDEX('CAMD Facility Data 2023'!$AE$2:$AG$10000,MATCH(Z305,'CAMD Facility Data 2023'!$AE$2:$AE$10000,0),3)&gt;0,INDEX('CAMD Facility Data 2023'!$AE$2:$AG$10000,MATCH(Z305,'CAMD Facility Data 2023'!$AE$2:$AE$10000,0),3),"")</f>
        <v/>
      </c>
      <c r="AD305" s="20">
        <f t="shared" si="13"/>
        <v>0.32916683113385875</v>
      </c>
      <c r="AE305" s="25">
        <f t="shared" si="14"/>
        <v>0.61090021718648024</v>
      </c>
    </row>
    <row r="306" spans="1:31" x14ac:dyDescent="0.2">
      <c r="A306" s="1" t="s">
        <v>921</v>
      </c>
      <c r="B306" s="1" t="s">
        <v>922</v>
      </c>
      <c r="C306" s="1">
        <v>703</v>
      </c>
      <c r="D306" s="1" t="s">
        <v>923</v>
      </c>
      <c r="E306" s="1" t="s">
        <v>924</v>
      </c>
      <c r="F306" s="1">
        <v>2023</v>
      </c>
      <c r="G306" s="5">
        <v>4388</v>
      </c>
      <c r="H306" s="5">
        <v>4382.62</v>
      </c>
      <c r="I306" s="5">
        <v>2067732.38</v>
      </c>
      <c r="K306" s="5">
        <v>1283.4490000000001</v>
      </c>
      <c r="L306" s="5">
        <v>0.1237</v>
      </c>
      <c r="M306" s="5">
        <v>2092290.513</v>
      </c>
      <c r="N306" s="6">
        <v>0.10299999999999999</v>
      </c>
      <c r="O306" s="5">
        <v>928.08500000000004</v>
      </c>
      <c r="P306" s="6">
        <v>9.3600000000000003E-2</v>
      </c>
      <c r="Q306" s="5">
        <v>20392680.715999998</v>
      </c>
      <c r="R306" s="1" t="s">
        <v>55</v>
      </c>
      <c r="T306" s="1" t="s">
        <v>43</v>
      </c>
      <c r="U306" s="1" t="s">
        <v>241</v>
      </c>
      <c r="V306" s="1" t="s">
        <v>57</v>
      </c>
      <c r="W306" s="1" t="s">
        <v>58</v>
      </c>
      <c r="X306" s="1" t="s">
        <v>930</v>
      </c>
      <c r="Y306" s="1" t="s">
        <v>925</v>
      </c>
      <c r="Z306" s="1" t="str">
        <f t="shared" si="12"/>
        <v>703 1BLR</v>
      </c>
      <c r="AA306" s="3">
        <f>IF(INDEX('CAMD Facility Data 2023'!$AA$2:$AE$10000,MATCH(Z306,'CAMD Facility Data 2023'!$AE$2:$AE$10000,0),1)&gt;0,INDEX('CAMD Facility Data 2023'!$AA$2:$AE$10000,MATCH(Z306,'CAMD Facility Data 2023'!$AE$2:$AE$10000,0),1),"")</f>
        <v>26227</v>
      </c>
      <c r="AB306" s="5">
        <f>IF(INDEX('CAMD Facility Data 2023'!$AC$2:$AE$10000,MATCH(Z306,'CAMD Facility Data 2023'!$AE$2:$AE$10000,0),1)&gt;0,INDEX('CAMD Facility Data 2023'!$AC$2:$AE$10000,MATCH(Z306,'CAMD Facility Data 2023'!$AE$2:$AE$10000,0),1),"")</f>
        <v>8437</v>
      </c>
      <c r="AC306" s="1" t="str">
        <f>IF(INDEX('CAMD Facility Data 2023'!$AE$2:$AG$10000,MATCH(Z306,'CAMD Facility Data 2023'!$AE$2:$AE$10000,0),3)&gt;0,INDEX('CAMD Facility Data 2023'!$AE$2:$AG$10000,MATCH(Z306,'CAMD Facility Data 2023'!$AE$2:$AE$10000,0),3),"")</f>
        <v>Y</v>
      </c>
      <c r="AD306" s="20">
        <f t="shared" si="13"/>
        <v>0.89768386758058127</v>
      </c>
      <c r="AE306" s="25">
        <f t="shared" si="14"/>
        <v>0.2759193538680188</v>
      </c>
    </row>
    <row r="307" spans="1:31" x14ac:dyDescent="0.2">
      <c r="A307" s="1" t="s">
        <v>921</v>
      </c>
      <c r="B307" s="1" t="s">
        <v>922</v>
      </c>
      <c r="C307" s="1">
        <v>703</v>
      </c>
      <c r="D307" s="1" t="s">
        <v>932</v>
      </c>
      <c r="E307" s="1" t="s">
        <v>933</v>
      </c>
      <c r="F307" s="1">
        <v>2023</v>
      </c>
      <c r="G307" s="5">
        <v>5053</v>
      </c>
      <c r="H307" s="5">
        <v>5044.55</v>
      </c>
      <c r="I307" s="5">
        <v>2466051.66</v>
      </c>
      <c r="K307" s="5">
        <v>1385.48</v>
      </c>
      <c r="L307" s="5">
        <v>0.1135</v>
      </c>
      <c r="M307" s="5">
        <v>2465969.148</v>
      </c>
      <c r="N307" s="6">
        <v>0.10299999999999999</v>
      </c>
      <c r="O307" s="5">
        <v>1577</v>
      </c>
      <c r="P307" s="6">
        <v>0.13339999999999999</v>
      </c>
      <c r="Q307" s="5">
        <v>24034766.366999999</v>
      </c>
      <c r="R307" s="1" t="s">
        <v>55</v>
      </c>
      <c r="T307" s="1" t="s">
        <v>43</v>
      </c>
      <c r="U307" s="1" t="s">
        <v>241</v>
      </c>
      <c r="V307" s="1" t="s">
        <v>57</v>
      </c>
      <c r="W307" s="1" t="s">
        <v>58</v>
      </c>
      <c r="X307" s="1" t="s">
        <v>930</v>
      </c>
      <c r="Y307" s="1" t="s">
        <v>925</v>
      </c>
      <c r="Z307" s="1" t="str">
        <f t="shared" si="12"/>
        <v>703 2BLR</v>
      </c>
      <c r="AA307" s="3">
        <f>IF(INDEX('CAMD Facility Data 2023'!$AA$2:$AE$10000,MATCH(Z307,'CAMD Facility Data 2023'!$AE$2:$AE$10000,0),1)&gt;0,INDEX('CAMD Facility Data 2023'!$AA$2:$AE$10000,MATCH(Z307,'CAMD Facility Data 2023'!$AE$2:$AE$10000,0),1),"")</f>
        <v>26568</v>
      </c>
      <c r="AB307" s="5">
        <f>IF(INDEX('CAMD Facility Data 2023'!$AC$2:$AE$10000,MATCH(Z307,'CAMD Facility Data 2023'!$AE$2:$AE$10000,0),1)&gt;0,INDEX('CAMD Facility Data 2023'!$AC$2:$AE$10000,MATCH(Z307,'CAMD Facility Data 2023'!$AE$2:$AE$10000,0),1),"")</f>
        <v>7917</v>
      </c>
      <c r="AC307" s="1" t="str">
        <f>IF(INDEX('CAMD Facility Data 2023'!$AE$2:$AG$10000,MATCH(Z307,'CAMD Facility Data 2023'!$AE$2:$AE$10000,0),3)&gt;0,INDEX('CAMD Facility Data 2023'!$AE$2:$AG$10000,MATCH(Z307,'CAMD Facility Data 2023'!$AE$2:$AE$10000,0),3),"")</f>
        <v>Y</v>
      </c>
      <c r="AD307" s="20">
        <f t="shared" si="13"/>
        <v>1.2789675298205228</v>
      </c>
      <c r="AE307" s="25">
        <f t="shared" si="14"/>
        <v>0.34655738167909872</v>
      </c>
    </row>
    <row r="308" spans="1:31" x14ac:dyDescent="0.2">
      <c r="A308" s="1" t="s">
        <v>921</v>
      </c>
      <c r="B308" s="1" t="s">
        <v>922</v>
      </c>
      <c r="C308" s="1">
        <v>703</v>
      </c>
      <c r="D308" s="1" t="s">
        <v>935</v>
      </c>
      <c r="E308" s="1" t="s">
        <v>936</v>
      </c>
      <c r="F308" s="1">
        <v>2023</v>
      </c>
      <c r="G308" s="5">
        <v>5739</v>
      </c>
      <c r="H308" s="5">
        <v>5735.11</v>
      </c>
      <c r="I308" s="5">
        <v>3536096.78</v>
      </c>
      <c r="K308" s="5">
        <v>2399.203</v>
      </c>
      <c r="L308" s="5">
        <v>0.1386</v>
      </c>
      <c r="M308" s="5">
        <v>3564879.39</v>
      </c>
      <c r="N308" s="6">
        <v>0.10299999999999999</v>
      </c>
      <c r="O308" s="5">
        <v>1696.4449999999999</v>
      </c>
      <c r="P308" s="6">
        <v>0.10009999999999999</v>
      </c>
      <c r="Q308" s="5">
        <v>34745415.017999999</v>
      </c>
      <c r="R308" s="1" t="s">
        <v>55</v>
      </c>
      <c r="T308" s="1" t="s">
        <v>43</v>
      </c>
      <c r="U308" s="1" t="s">
        <v>241</v>
      </c>
      <c r="V308" s="1" t="s">
        <v>57</v>
      </c>
      <c r="W308" s="1" t="s">
        <v>58</v>
      </c>
      <c r="X308" s="1" t="s">
        <v>937</v>
      </c>
      <c r="Y308" s="1" t="s">
        <v>925</v>
      </c>
      <c r="Z308" s="1" t="str">
        <f t="shared" si="12"/>
        <v>703 3BLR</v>
      </c>
      <c r="AA308" s="3">
        <f>IF(INDEX('CAMD Facility Data 2023'!$AA$2:$AE$10000,MATCH(Z308,'CAMD Facility Data 2023'!$AE$2:$AE$10000,0),1)&gt;0,INDEX('CAMD Facility Data 2023'!$AA$2:$AE$10000,MATCH(Z308,'CAMD Facility Data 2023'!$AE$2:$AE$10000,0),1),"")</f>
        <v>27374</v>
      </c>
      <c r="AB308" s="5">
        <f>IF(INDEX('CAMD Facility Data 2023'!$AC$2:$AE$10000,MATCH(Z308,'CAMD Facility Data 2023'!$AE$2:$AE$10000,0),1)&gt;0,INDEX('CAMD Facility Data 2023'!$AC$2:$AE$10000,MATCH(Z308,'CAMD Facility Data 2023'!$AE$2:$AE$10000,0),1),"")</f>
        <v>9492</v>
      </c>
      <c r="AC308" s="1" t="str">
        <f>IF(INDEX('CAMD Facility Data 2023'!$AE$2:$AG$10000,MATCH(Z308,'CAMD Facility Data 2023'!$AE$2:$AE$10000,0),3)&gt;0,INDEX('CAMD Facility Data 2023'!$AE$2:$AG$10000,MATCH(Z308,'CAMD Facility Data 2023'!$AE$2:$AE$10000,0),3),"")</f>
        <v>Y</v>
      </c>
      <c r="AD308" s="20">
        <f t="shared" si="13"/>
        <v>0.95950145346417814</v>
      </c>
      <c r="AE308" s="25">
        <f t="shared" si="14"/>
        <v>0.41786468367017071</v>
      </c>
    </row>
    <row r="309" spans="1:31" x14ac:dyDescent="0.2">
      <c r="A309" s="1" t="s">
        <v>921</v>
      </c>
      <c r="B309" s="1" t="s">
        <v>922</v>
      </c>
      <c r="C309" s="1">
        <v>703</v>
      </c>
      <c r="D309" s="1" t="s">
        <v>939</v>
      </c>
      <c r="E309" s="1" t="s">
        <v>940</v>
      </c>
      <c r="F309" s="1">
        <v>2023</v>
      </c>
      <c r="G309" s="5">
        <v>5042</v>
      </c>
      <c r="H309" s="5">
        <v>5036.8100000000004</v>
      </c>
      <c r="I309" s="5">
        <v>3100756.68</v>
      </c>
      <c r="K309" s="5">
        <v>2074.433</v>
      </c>
      <c r="L309" s="5">
        <v>0.13719999999999999</v>
      </c>
      <c r="M309" s="5">
        <v>3050784.3840000001</v>
      </c>
      <c r="N309" s="6">
        <v>0.10299999999999999</v>
      </c>
      <c r="O309" s="5">
        <v>1482.596</v>
      </c>
      <c r="P309" s="6">
        <v>0.1019</v>
      </c>
      <c r="Q309" s="5">
        <v>29734779.502</v>
      </c>
      <c r="R309" s="1" t="s">
        <v>55</v>
      </c>
      <c r="T309" s="1" t="s">
        <v>43</v>
      </c>
      <c r="U309" s="1" t="s">
        <v>241</v>
      </c>
      <c r="V309" s="1" t="s">
        <v>57</v>
      </c>
      <c r="W309" s="1" t="s">
        <v>58</v>
      </c>
      <c r="X309" s="1" t="s">
        <v>930</v>
      </c>
      <c r="Y309" s="1" t="s">
        <v>925</v>
      </c>
      <c r="Z309" s="1" t="str">
        <f t="shared" si="12"/>
        <v>703 4BLR</v>
      </c>
      <c r="AA309" s="3">
        <f>IF(INDEX('CAMD Facility Data 2023'!$AA$2:$AE$10000,MATCH(Z309,'CAMD Facility Data 2023'!$AE$2:$AE$10000,0),1)&gt;0,INDEX('CAMD Facility Data 2023'!$AA$2:$AE$10000,MATCH(Z309,'CAMD Facility Data 2023'!$AE$2:$AE$10000,0),1),"")</f>
        <v>27712</v>
      </c>
      <c r="AB309" s="5">
        <f>IF(INDEX('CAMD Facility Data 2023'!$AC$2:$AE$10000,MATCH(Z309,'CAMD Facility Data 2023'!$AE$2:$AE$10000,0),1)&gt;0,INDEX('CAMD Facility Data 2023'!$AC$2:$AE$10000,MATCH(Z309,'CAMD Facility Data 2023'!$AE$2:$AE$10000,0),1),"")</f>
        <v>9446</v>
      </c>
      <c r="AC309" s="1" t="str">
        <f>IF(INDEX('CAMD Facility Data 2023'!$AE$2:$AG$10000,MATCH(Z309,'CAMD Facility Data 2023'!$AE$2:$AE$10000,0),3)&gt;0,INDEX('CAMD Facility Data 2023'!$AE$2:$AG$10000,MATCH(Z309,'CAMD Facility Data 2023'!$AE$2:$AE$10000,0),3),"")</f>
        <v>Y</v>
      </c>
      <c r="AD309" s="20">
        <f t="shared" si="13"/>
        <v>0.95628012966177012</v>
      </c>
      <c r="AE309" s="25">
        <f t="shared" si="14"/>
        <v>0.35934588415091018</v>
      </c>
    </row>
    <row r="310" spans="1:31" x14ac:dyDescent="0.2">
      <c r="A310" s="1" t="s">
        <v>921</v>
      </c>
      <c r="B310" s="1" t="s">
        <v>942</v>
      </c>
      <c r="C310" s="1">
        <v>710</v>
      </c>
      <c r="D310" s="1" t="s">
        <v>943</v>
      </c>
      <c r="F310" s="1">
        <v>2023</v>
      </c>
      <c r="G310" s="5">
        <v>8</v>
      </c>
      <c r="H310" s="5">
        <v>8</v>
      </c>
      <c r="I310" s="5">
        <v>24</v>
      </c>
      <c r="K310" s="5">
        <v>1.7999999999999999E-2</v>
      </c>
      <c r="L310" s="5">
        <v>0.25030000000000002</v>
      </c>
      <c r="O310" s="5">
        <v>0.105</v>
      </c>
      <c r="P310" s="6">
        <v>0.95</v>
      </c>
      <c r="Q310" s="5">
        <v>248</v>
      </c>
      <c r="R310" s="1" t="s">
        <v>94</v>
      </c>
      <c r="S310" s="1" t="s">
        <v>44</v>
      </c>
      <c r="T310" s="1" t="s">
        <v>93</v>
      </c>
      <c r="Y310" s="1" t="s">
        <v>944</v>
      </c>
      <c r="Z310" s="1" t="str">
        <f t="shared" si="12"/>
        <v>710 3AA</v>
      </c>
      <c r="AA310" s="3">
        <f>IF(INDEX('CAMD Facility Data 2023'!$AA$2:$AE$10000,MATCH(Z310,'CAMD Facility Data 2023'!$AE$2:$AE$10000,0),1)&gt;0,INDEX('CAMD Facility Data 2023'!$AA$2:$AE$10000,MATCH(Z310,'CAMD Facility Data 2023'!$AE$2:$AE$10000,0),1),"")</f>
        <v>26082</v>
      </c>
      <c r="AB310" s="5">
        <f>IF(INDEX('CAMD Facility Data 2023'!$AC$2:$AE$10000,MATCH(Z310,'CAMD Facility Data 2023'!$AE$2:$AE$10000,0),1)&gt;0,INDEX('CAMD Facility Data 2023'!$AC$2:$AE$10000,MATCH(Z310,'CAMD Facility Data 2023'!$AE$2:$AE$10000,0),1),"")</f>
        <v>252</v>
      </c>
      <c r="AC310" s="1" t="str">
        <f>IF(INDEX('CAMD Facility Data 2023'!$AE$2:$AG$10000,MATCH(Z310,'CAMD Facility Data 2023'!$AE$2:$AE$10000,0),3)&gt;0,INDEX('CAMD Facility Data 2023'!$AE$2:$AG$10000,MATCH(Z310,'CAMD Facility Data 2023'!$AE$2:$AE$10000,0),3),"")</f>
        <v/>
      </c>
      <c r="AD310" s="20">
        <f t="shared" si="13"/>
        <v>8.75</v>
      </c>
      <c r="AE310" s="25">
        <f t="shared" si="14"/>
        <v>1.1234326302819454E-4</v>
      </c>
    </row>
    <row r="311" spans="1:31" x14ac:dyDescent="0.2">
      <c r="A311" s="1" t="s">
        <v>921</v>
      </c>
      <c r="B311" s="1" t="s">
        <v>942</v>
      </c>
      <c r="C311" s="1">
        <v>710</v>
      </c>
      <c r="D311" s="1" t="s">
        <v>948</v>
      </c>
      <c r="F311" s="1">
        <v>2023</v>
      </c>
      <c r="G311" s="5">
        <v>7</v>
      </c>
      <c r="H311" s="5">
        <v>7</v>
      </c>
      <c r="I311" s="5">
        <v>12</v>
      </c>
      <c r="K311" s="5">
        <v>5.0000000000000001E-3</v>
      </c>
      <c r="L311" s="5">
        <v>0.16700000000000001</v>
      </c>
      <c r="O311" s="5">
        <v>6.8000000000000005E-2</v>
      </c>
      <c r="P311" s="6">
        <v>0.86670000000000003</v>
      </c>
      <c r="Q311" s="5">
        <v>182</v>
      </c>
      <c r="R311" s="1" t="s">
        <v>94</v>
      </c>
      <c r="S311" s="1" t="s">
        <v>44</v>
      </c>
      <c r="T311" s="1" t="s">
        <v>93</v>
      </c>
      <c r="Y311" s="1" t="s">
        <v>944</v>
      </c>
      <c r="Z311" s="1" t="str">
        <f t="shared" si="12"/>
        <v>710 3AB</v>
      </c>
      <c r="AA311" s="3">
        <f>IF(INDEX('CAMD Facility Data 2023'!$AA$2:$AE$10000,MATCH(Z311,'CAMD Facility Data 2023'!$AE$2:$AE$10000,0),1)&gt;0,INDEX('CAMD Facility Data 2023'!$AA$2:$AE$10000,MATCH(Z311,'CAMD Facility Data 2023'!$AE$2:$AE$10000,0),1),"")</f>
        <v>26082</v>
      </c>
      <c r="AB311" s="5">
        <f>IF(INDEX('CAMD Facility Data 2023'!$AC$2:$AE$10000,MATCH(Z311,'CAMD Facility Data 2023'!$AE$2:$AE$10000,0),1)&gt;0,INDEX('CAMD Facility Data 2023'!$AC$2:$AE$10000,MATCH(Z311,'CAMD Facility Data 2023'!$AE$2:$AE$10000,0),1),"")</f>
        <v>252</v>
      </c>
      <c r="AC311" s="1" t="str">
        <f>IF(INDEX('CAMD Facility Data 2023'!$AE$2:$AG$10000,MATCH(Z311,'CAMD Facility Data 2023'!$AE$2:$AE$10000,0),3)&gt;0,INDEX('CAMD Facility Data 2023'!$AE$2:$AG$10000,MATCH(Z311,'CAMD Facility Data 2023'!$AE$2:$AE$10000,0),3),"")</f>
        <v/>
      </c>
      <c r="AD311" s="20">
        <f t="shared" si="13"/>
        <v>11.333333333333334</v>
      </c>
      <c r="AE311" s="25">
        <f t="shared" si="14"/>
        <v>8.2445459157787923E-5</v>
      </c>
    </row>
    <row r="312" spans="1:31" x14ac:dyDescent="0.2">
      <c r="A312" s="1" t="s">
        <v>921</v>
      </c>
      <c r="B312" s="1" t="s">
        <v>942</v>
      </c>
      <c r="C312" s="1">
        <v>710</v>
      </c>
      <c r="D312" s="1" t="s">
        <v>949</v>
      </c>
      <c r="F312" s="1">
        <v>2023</v>
      </c>
      <c r="G312" s="5">
        <v>11</v>
      </c>
      <c r="H312" s="5">
        <v>11</v>
      </c>
      <c r="I312" s="5">
        <v>17</v>
      </c>
      <c r="K312" s="5">
        <v>2.8000000000000001E-2</v>
      </c>
      <c r="L312" s="5">
        <v>0.20100000000000001</v>
      </c>
      <c r="O312" s="5">
        <v>0.15</v>
      </c>
      <c r="P312" s="6">
        <v>0.89959999999999996</v>
      </c>
      <c r="Q312" s="5">
        <v>348</v>
      </c>
      <c r="R312" s="1" t="s">
        <v>94</v>
      </c>
      <c r="S312" s="1" t="s">
        <v>44</v>
      </c>
      <c r="T312" s="1" t="s">
        <v>93</v>
      </c>
      <c r="Y312" s="1" t="s">
        <v>944</v>
      </c>
      <c r="Z312" s="1" t="str">
        <f t="shared" si="12"/>
        <v>710 3BA</v>
      </c>
      <c r="AA312" s="3">
        <f>IF(INDEX('CAMD Facility Data 2023'!$AA$2:$AE$10000,MATCH(Z312,'CAMD Facility Data 2023'!$AE$2:$AE$10000,0),1)&gt;0,INDEX('CAMD Facility Data 2023'!$AA$2:$AE$10000,MATCH(Z312,'CAMD Facility Data 2023'!$AE$2:$AE$10000,0),1),"")</f>
        <v>26082</v>
      </c>
      <c r="AB312" s="5">
        <f>IF(INDEX('CAMD Facility Data 2023'!$AC$2:$AE$10000,MATCH(Z312,'CAMD Facility Data 2023'!$AE$2:$AE$10000,0),1)&gt;0,INDEX('CAMD Facility Data 2023'!$AC$2:$AE$10000,MATCH(Z312,'CAMD Facility Data 2023'!$AE$2:$AE$10000,0),1),"")</f>
        <v>252</v>
      </c>
      <c r="AC312" s="1" t="str">
        <f>IF(INDEX('CAMD Facility Data 2023'!$AE$2:$AG$10000,MATCH(Z312,'CAMD Facility Data 2023'!$AE$2:$AE$10000,0),3)&gt;0,INDEX('CAMD Facility Data 2023'!$AE$2:$AG$10000,MATCH(Z312,'CAMD Facility Data 2023'!$AE$2:$AE$10000,0),3),"")</f>
        <v/>
      </c>
      <c r="AD312" s="20">
        <f t="shared" si="13"/>
        <v>17.647058823529413</v>
      </c>
      <c r="AE312" s="25">
        <f t="shared" si="14"/>
        <v>1.5764296586214395E-4</v>
      </c>
    </row>
    <row r="313" spans="1:31" x14ac:dyDescent="0.2">
      <c r="A313" s="1" t="s">
        <v>921</v>
      </c>
      <c r="B313" s="1" t="s">
        <v>942</v>
      </c>
      <c r="C313" s="1">
        <v>710</v>
      </c>
      <c r="D313" s="1" t="s">
        <v>951</v>
      </c>
      <c r="F313" s="1">
        <v>2023</v>
      </c>
      <c r="G313" s="5">
        <v>8</v>
      </c>
      <c r="H313" s="5">
        <v>8</v>
      </c>
      <c r="I313" s="5">
        <v>18</v>
      </c>
      <c r="K313" s="5">
        <v>2.9000000000000001E-2</v>
      </c>
      <c r="L313" s="5">
        <v>0.2006</v>
      </c>
      <c r="O313" s="5">
        <v>0.14399999999999999</v>
      </c>
      <c r="P313" s="6">
        <v>0.9002</v>
      </c>
      <c r="Q313" s="5">
        <v>328</v>
      </c>
      <c r="R313" s="1" t="s">
        <v>94</v>
      </c>
      <c r="S313" s="1" t="s">
        <v>44</v>
      </c>
      <c r="T313" s="1" t="s">
        <v>93</v>
      </c>
      <c r="Y313" s="1" t="s">
        <v>944</v>
      </c>
      <c r="Z313" s="1" t="str">
        <f t="shared" si="12"/>
        <v>710 3BB</v>
      </c>
      <c r="AA313" s="3">
        <f>IF(INDEX('CAMD Facility Data 2023'!$AA$2:$AE$10000,MATCH(Z313,'CAMD Facility Data 2023'!$AE$2:$AE$10000,0),1)&gt;0,INDEX('CAMD Facility Data 2023'!$AA$2:$AE$10000,MATCH(Z313,'CAMD Facility Data 2023'!$AE$2:$AE$10000,0),1),"")</f>
        <v>26082</v>
      </c>
      <c r="AB313" s="5">
        <f>IF(INDEX('CAMD Facility Data 2023'!$AC$2:$AE$10000,MATCH(Z313,'CAMD Facility Data 2023'!$AE$2:$AE$10000,0),1)&gt;0,INDEX('CAMD Facility Data 2023'!$AC$2:$AE$10000,MATCH(Z313,'CAMD Facility Data 2023'!$AE$2:$AE$10000,0),1),"")</f>
        <v>252</v>
      </c>
      <c r="AC313" s="1" t="str">
        <f>IF(INDEX('CAMD Facility Data 2023'!$AE$2:$AG$10000,MATCH(Z313,'CAMD Facility Data 2023'!$AE$2:$AE$10000,0),3)&gt;0,INDEX('CAMD Facility Data 2023'!$AE$2:$AG$10000,MATCH(Z313,'CAMD Facility Data 2023'!$AE$2:$AE$10000,0),3),"")</f>
        <v/>
      </c>
      <c r="AD313" s="20">
        <f t="shared" si="13"/>
        <v>16</v>
      </c>
      <c r="AE313" s="25">
        <f t="shared" si="14"/>
        <v>1.4858302529535407E-4</v>
      </c>
    </row>
    <row r="314" spans="1:31" x14ac:dyDescent="0.2">
      <c r="A314" s="1" t="s">
        <v>921</v>
      </c>
      <c r="B314" s="1" t="s">
        <v>942</v>
      </c>
      <c r="C314" s="1">
        <v>710</v>
      </c>
      <c r="D314" s="1" t="s">
        <v>381</v>
      </c>
      <c r="F314" s="1">
        <v>2023</v>
      </c>
      <c r="G314" s="5">
        <v>7214</v>
      </c>
      <c r="H314" s="5">
        <v>7205.3</v>
      </c>
      <c r="I314" s="5">
        <v>2869363.31</v>
      </c>
      <c r="K314" s="5">
        <v>6.0039999999999996</v>
      </c>
      <c r="L314" s="5">
        <v>1.1000000000000001E-3</v>
      </c>
      <c r="M314" s="5">
        <v>1124094.1880000001</v>
      </c>
      <c r="N314" s="6">
        <v>5.8999999999999997E-2</v>
      </c>
      <c r="O314" s="5">
        <v>79.941999999999993</v>
      </c>
      <c r="P314" s="6">
        <v>8.6999999999999994E-3</v>
      </c>
      <c r="Q314" s="5">
        <v>18914313.719999999</v>
      </c>
      <c r="R314" s="1" t="s">
        <v>44</v>
      </c>
      <c r="S314" s="1" t="s">
        <v>94</v>
      </c>
      <c r="T314" s="1" t="s">
        <v>71</v>
      </c>
      <c r="V314" s="1" t="s">
        <v>643</v>
      </c>
      <c r="Y314" s="1" t="s">
        <v>952</v>
      </c>
      <c r="Z314" s="1" t="str">
        <f t="shared" si="12"/>
        <v>710 4A</v>
      </c>
      <c r="AA314" s="3">
        <f>IF(INDEX('CAMD Facility Data 2023'!$AA$2:$AE$10000,MATCH(Z314,'CAMD Facility Data 2023'!$AE$2:$AE$10000,0),1)&gt;0,INDEX('CAMD Facility Data 2023'!$AA$2:$AE$10000,MATCH(Z314,'CAMD Facility Data 2023'!$AE$2:$AE$10000,0),1),"")</f>
        <v>40736</v>
      </c>
      <c r="AB314" s="5">
        <f>IF(INDEX('CAMD Facility Data 2023'!$AC$2:$AE$10000,MATCH(Z314,'CAMD Facility Data 2023'!$AE$2:$AE$10000,0),1)&gt;0,INDEX('CAMD Facility Data 2023'!$AC$2:$AE$10000,MATCH(Z314,'CAMD Facility Data 2023'!$AE$2:$AE$10000,0),1),"")</f>
        <v>3612</v>
      </c>
      <c r="AC314" s="1" t="str">
        <f>IF(INDEX('CAMD Facility Data 2023'!$AE$2:$AG$10000,MATCH(Z314,'CAMD Facility Data 2023'!$AE$2:$AE$10000,0),3)&gt;0,INDEX('CAMD Facility Data 2023'!$AE$2:$AG$10000,MATCH(Z314,'CAMD Facility Data 2023'!$AE$2:$AE$10000,0),3),"")</f>
        <v>Y</v>
      </c>
      <c r="AD314" s="20">
        <f t="shared" si="13"/>
        <v>5.5721072142655925E-2</v>
      </c>
      <c r="AE314" s="25">
        <f t="shared" si="14"/>
        <v>0.59777636569122705</v>
      </c>
    </row>
    <row r="315" spans="1:31" x14ac:dyDescent="0.2">
      <c r="A315" s="1" t="s">
        <v>921</v>
      </c>
      <c r="B315" s="1" t="s">
        <v>942</v>
      </c>
      <c r="C315" s="1">
        <v>710</v>
      </c>
      <c r="D315" s="1" t="s">
        <v>815</v>
      </c>
      <c r="F315" s="1">
        <v>2023</v>
      </c>
      <c r="G315" s="5">
        <v>7453</v>
      </c>
      <c r="H315" s="5">
        <v>7440.59</v>
      </c>
      <c r="I315" s="5">
        <v>2961773.35</v>
      </c>
      <c r="K315" s="5">
        <v>5.8230000000000004</v>
      </c>
      <c r="L315" s="5">
        <v>1E-3</v>
      </c>
      <c r="M315" s="5">
        <v>1153527.0649999999</v>
      </c>
      <c r="N315" s="6">
        <v>5.8999999999999997E-2</v>
      </c>
      <c r="O315" s="5">
        <v>79.034999999999997</v>
      </c>
      <c r="P315" s="6">
        <v>8.3999999999999995E-3</v>
      </c>
      <c r="Q315" s="5">
        <v>19410295.616</v>
      </c>
      <c r="R315" s="1" t="s">
        <v>44</v>
      </c>
      <c r="T315" s="1" t="s">
        <v>71</v>
      </c>
      <c r="V315" s="1" t="s">
        <v>64</v>
      </c>
      <c r="Y315" s="1" t="s">
        <v>952</v>
      </c>
      <c r="Z315" s="1" t="str">
        <f t="shared" si="12"/>
        <v>710 4B</v>
      </c>
      <c r="AA315" s="3">
        <f>IF(INDEX('CAMD Facility Data 2023'!$AA$2:$AE$10000,MATCH(Z315,'CAMD Facility Data 2023'!$AE$2:$AE$10000,0),1)&gt;0,INDEX('CAMD Facility Data 2023'!$AA$2:$AE$10000,MATCH(Z315,'CAMD Facility Data 2023'!$AE$2:$AE$10000,0),1),"")</f>
        <v>40752</v>
      </c>
      <c r="AB315" s="5">
        <f>IF(INDEX('CAMD Facility Data 2023'!$AC$2:$AE$10000,MATCH(Z315,'CAMD Facility Data 2023'!$AE$2:$AE$10000,0),1)&gt;0,INDEX('CAMD Facility Data 2023'!$AC$2:$AE$10000,MATCH(Z315,'CAMD Facility Data 2023'!$AE$2:$AE$10000,0),1),"")</f>
        <v>3612</v>
      </c>
      <c r="AC315" s="1" t="str">
        <f>IF(INDEX('CAMD Facility Data 2023'!$AE$2:$AG$10000,MATCH(Z315,'CAMD Facility Data 2023'!$AE$2:$AE$10000,0),3)&gt;0,INDEX('CAMD Facility Data 2023'!$AE$2:$AG$10000,MATCH(Z315,'CAMD Facility Data 2023'!$AE$2:$AE$10000,0),3),"")</f>
        <v>Y</v>
      </c>
      <c r="AD315" s="20">
        <f t="shared" si="13"/>
        <v>5.3370052775983008E-2</v>
      </c>
      <c r="AE315" s="25">
        <f t="shared" si="14"/>
        <v>0.61345159766784485</v>
      </c>
    </row>
    <row r="316" spans="1:31" x14ac:dyDescent="0.2">
      <c r="A316" s="1" t="s">
        <v>921</v>
      </c>
      <c r="B316" s="1" t="s">
        <v>942</v>
      </c>
      <c r="C316" s="1">
        <v>710</v>
      </c>
      <c r="D316" s="1" t="s">
        <v>955</v>
      </c>
      <c r="F316" s="1">
        <v>2023</v>
      </c>
      <c r="G316" s="5">
        <v>7210</v>
      </c>
      <c r="H316" s="5">
        <v>7197.43</v>
      </c>
      <c r="I316" s="5">
        <v>2796399.23</v>
      </c>
      <c r="K316" s="5">
        <v>5.5679999999999996</v>
      </c>
      <c r="L316" s="5">
        <v>1E-3</v>
      </c>
      <c r="M316" s="5">
        <v>1102936.291</v>
      </c>
      <c r="N316" s="6">
        <v>5.8999999999999997E-2</v>
      </c>
      <c r="O316" s="5">
        <v>74.483999999999995</v>
      </c>
      <c r="P316" s="6">
        <v>8.3000000000000001E-3</v>
      </c>
      <c r="Q316" s="5">
        <v>18559048.094000001</v>
      </c>
      <c r="R316" s="1" t="s">
        <v>44</v>
      </c>
      <c r="S316" s="1" t="s">
        <v>94</v>
      </c>
      <c r="T316" s="1" t="s">
        <v>71</v>
      </c>
      <c r="V316" s="1" t="s">
        <v>643</v>
      </c>
      <c r="Y316" s="1" t="s">
        <v>952</v>
      </c>
      <c r="Z316" s="1" t="str">
        <f t="shared" si="12"/>
        <v>710 5A</v>
      </c>
      <c r="AA316" s="3">
        <f>IF(INDEX('CAMD Facility Data 2023'!$AA$2:$AE$10000,MATCH(Z316,'CAMD Facility Data 2023'!$AE$2:$AE$10000,0),1)&gt;0,INDEX('CAMD Facility Data 2023'!$AA$2:$AE$10000,MATCH(Z316,'CAMD Facility Data 2023'!$AE$2:$AE$10000,0),1),"")</f>
        <v>40963</v>
      </c>
      <c r="AB316" s="5">
        <f>IF(INDEX('CAMD Facility Data 2023'!$AC$2:$AE$10000,MATCH(Z316,'CAMD Facility Data 2023'!$AE$2:$AE$10000,0),1)&gt;0,INDEX('CAMD Facility Data 2023'!$AC$2:$AE$10000,MATCH(Z316,'CAMD Facility Data 2023'!$AE$2:$AE$10000,0),1),"")</f>
        <v>3612</v>
      </c>
      <c r="AC316" s="1" t="str">
        <f>IF(INDEX('CAMD Facility Data 2023'!$AE$2:$AG$10000,MATCH(Z316,'CAMD Facility Data 2023'!$AE$2:$AE$10000,0),3)&gt;0,INDEX('CAMD Facility Data 2023'!$AE$2:$AG$10000,MATCH(Z316,'CAMD Facility Data 2023'!$AE$2:$AE$10000,0),3),"")</f>
        <v>Y</v>
      </c>
      <c r="AD316" s="20">
        <f t="shared" si="13"/>
        <v>5.327136354561219E-2</v>
      </c>
      <c r="AE316" s="25">
        <f t="shared" si="14"/>
        <v>0.58654839316686647</v>
      </c>
    </row>
    <row r="317" spans="1:31" x14ac:dyDescent="0.2">
      <c r="A317" s="1" t="s">
        <v>921</v>
      </c>
      <c r="B317" s="1" t="s">
        <v>942</v>
      </c>
      <c r="C317" s="1">
        <v>710</v>
      </c>
      <c r="D317" s="1" t="s">
        <v>957</v>
      </c>
      <c r="F317" s="1">
        <v>2023</v>
      </c>
      <c r="G317" s="5">
        <v>7130</v>
      </c>
      <c r="H317" s="5">
        <v>7120.96</v>
      </c>
      <c r="I317" s="5">
        <v>2763034.84</v>
      </c>
      <c r="K317" s="5">
        <v>5.6130000000000004</v>
      </c>
      <c r="L317" s="5">
        <v>1E-3</v>
      </c>
      <c r="M317" s="5">
        <v>1111829.5220000001</v>
      </c>
      <c r="N317" s="6">
        <v>5.8999999999999997E-2</v>
      </c>
      <c r="O317" s="5">
        <v>73.849999999999994</v>
      </c>
      <c r="P317" s="6">
        <v>8.0999999999999996E-3</v>
      </c>
      <c r="Q317" s="5">
        <v>18708685.688000001</v>
      </c>
      <c r="R317" s="1" t="s">
        <v>44</v>
      </c>
      <c r="T317" s="1" t="s">
        <v>71</v>
      </c>
      <c r="V317" s="1" t="s">
        <v>64</v>
      </c>
      <c r="Y317" s="1" t="s">
        <v>952</v>
      </c>
      <c r="Z317" s="1" t="str">
        <f t="shared" si="12"/>
        <v>710 5B</v>
      </c>
      <c r="AA317" s="3">
        <f>IF(INDEX('CAMD Facility Data 2023'!$AA$2:$AE$10000,MATCH(Z317,'CAMD Facility Data 2023'!$AE$2:$AE$10000,0),1)&gt;0,INDEX('CAMD Facility Data 2023'!$AA$2:$AE$10000,MATCH(Z317,'CAMD Facility Data 2023'!$AE$2:$AE$10000,0),1),"")</f>
        <v>40963</v>
      </c>
      <c r="AB317" s="5">
        <f>IF(INDEX('CAMD Facility Data 2023'!$AC$2:$AE$10000,MATCH(Z317,'CAMD Facility Data 2023'!$AE$2:$AE$10000,0),1)&gt;0,INDEX('CAMD Facility Data 2023'!$AC$2:$AE$10000,MATCH(Z317,'CAMD Facility Data 2023'!$AE$2:$AE$10000,0),1),"")</f>
        <v>3612</v>
      </c>
      <c r="AC317" s="1" t="str">
        <f>IF(INDEX('CAMD Facility Data 2023'!$AE$2:$AG$10000,MATCH(Z317,'CAMD Facility Data 2023'!$AE$2:$AE$10000,0),3)&gt;0,INDEX('CAMD Facility Data 2023'!$AE$2:$AG$10000,MATCH(Z317,'CAMD Facility Data 2023'!$AE$2:$AE$10000,0),3),"")</f>
        <v>Y</v>
      </c>
      <c r="AD317" s="20">
        <f t="shared" si="13"/>
        <v>5.3455713935188748E-2</v>
      </c>
      <c r="AE317" s="25">
        <f t="shared" si="14"/>
        <v>0.59127760610243885</v>
      </c>
    </row>
    <row r="318" spans="1:31" x14ac:dyDescent="0.2">
      <c r="A318" s="1" t="s">
        <v>921</v>
      </c>
      <c r="B318" s="1" t="s">
        <v>942</v>
      </c>
      <c r="C318" s="1">
        <v>710</v>
      </c>
      <c r="D318" s="1" t="s">
        <v>70</v>
      </c>
      <c r="F318" s="1">
        <v>2023</v>
      </c>
      <c r="G318" s="5">
        <v>8651</v>
      </c>
      <c r="H318" s="5">
        <v>8644.69</v>
      </c>
      <c r="I318" s="5">
        <v>3373486.44</v>
      </c>
      <c r="K318" s="5">
        <v>6.7060000000000004</v>
      </c>
      <c r="L318" s="5">
        <v>1E-3</v>
      </c>
      <c r="M318" s="5">
        <v>1328430.621</v>
      </c>
      <c r="N318" s="6">
        <v>5.8999999999999997E-2</v>
      </c>
      <c r="O318" s="5">
        <v>80.591999999999999</v>
      </c>
      <c r="P318" s="6">
        <v>7.3000000000000001E-3</v>
      </c>
      <c r="Q318" s="5">
        <v>22353326.149999999</v>
      </c>
      <c r="R318" s="1" t="s">
        <v>44</v>
      </c>
      <c r="T318" s="1" t="s">
        <v>71</v>
      </c>
      <c r="V318" s="1" t="s">
        <v>64</v>
      </c>
      <c r="Y318" s="1" t="s">
        <v>952</v>
      </c>
      <c r="Z318" s="1" t="str">
        <f t="shared" si="12"/>
        <v>710 6A</v>
      </c>
      <c r="AA318" s="3">
        <f>IF(INDEX('CAMD Facility Data 2023'!$AA$2:$AE$10000,MATCH(Z318,'CAMD Facility Data 2023'!$AE$2:$AE$10000,0),1)&gt;0,INDEX('CAMD Facility Data 2023'!$AA$2:$AE$10000,MATCH(Z318,'CAMD Facility Data 2023'!$AE$2:$AE$10000,0),1),"")</f>
        <v>41075</v>
      </c>
      <c r="AB318" s="5">
        <f>IF(INDEX('CAMD Facility Data 2023'!$AC$2:$AE$10000,MATCH(Z318,'CAMD Facility Data 2023'!$AE$2:$AE$10000,0),1)&gt;0,INDEX('CAMD Facility Data 2023'!$AC$2:$AE$10000,MATCH(Z318,'CAMD Facility Data 2023'!$AE$2:$AE$10000,0),1),"")</f>
        <v>3612</v>
      </c>
      <c r="AC318" s="1" t="str">
        <f>IF(INDEX('CAMD Facility Data 2023'!$AE$2:$AG$10000,MATCH(Z318,'CAMD Facility Data 2023'!$AE$2:$AE$10000,0),3)&gt;0,INDEX('CAMD Facility Data 2023'!$AE$2:$AG$10000,MATCH(Z318,'CAMD Facility Data 2023'!$AE$2:$AE$10000,0),3),"")</f>
        <v>Y</v>
      </c>
      <c r="AD318" s="20">
        <f t="shared" si="13"/>
        <v>4.7779649590054381E-2</v>
      </c>
      <c r="AE318" s="25">
        <f t="shared" si="14"/>
        <v>0.70646444089210492</v>
      </c>
    </row>
    <row r="319" spans="1:31" x14ac:dyDescent="0.2">
      <c r="A319" s="1" t="s">
        <v>921</v>
      </c>
      <c r="B319" s="1" t="s">
        <v>942</v>
      </c>
      <c r="C319" s="1">
        <v>710</v>
      </c>
      <c r="D319" s="1" t="s">
        <v>73</v>
      </c>
      <c r="F319" s="1">
        <v>2023</v>
      </c>
      <c r="G319" s="5">
        <v>8594</v>
      </c>
      <c r="H319" s="5">
        <v>8582.23</v>
      </c>
      <c r="I319" s="5">
        <v>3302394.33</v>
      </c>
      <c r="K319" s="5">
        <v>6.5709999999999997</v>
      </c>
      <c r="L319" s="5">
        <v>1E-3</v>
      </c>
      <c r="M319" s="5">
        <v>1301590.18</v>
      </c>
      <c r="N319" s="6">
        <v>5.8999999999999997E-2</v>
      </c>
      <c r="O319" s="5">
        <v>84.447000000000003</v>
      </c>
      <c r="P319" s="6">
        <v>7.9000000000000008E-3</v>
      </c>
      <c r="Q319" s="5">
        <v>21901761.162999999</v>
      </c>
      <c r="R319" s="1" t="s">
        <v>44</v>
      </c>
      <c r="T319" s="1" t="s">
        <v>71</v>
      </c>
      <c r="V319" s="1" t="s">
        <v>64</v>
      </c>
      <c r="Y319" s="1" t="s">
        <v>952</v>
      </c>
      <c r="Z319" s="1" t="str">
        <f t="shared" si="12"/>
        <v>710 6B</v>
      </c>
      <c r="AA319" s="3">
        <f>IF(INDEX('CAMD Facility Data 2023'!$AA$2:$AE$10000,MATCH(Z319,'CAMD Facility Data 2023'!$AE$2:$AE$10000,0),1)&gt;0,INDEX('CAMD Facility Data 2023'!$AA$2:$AE$10000,MATCH(Z319,'CAMD Facility Data 2023'!$AE$2:$AE$10000,0),1),"")</f>
        <v>41096</v>
      </c>
      <c r="AB319" s="5">
        <f>IF(INDEX('CAMD Facility Data 2023'!$AC$2:$AE$10000,MATCH(Z319,'CAMD Facility Data 2023'!$AE$2:$AE$10000,0),1)&gt;0,INDEX('CAMD Facility Data 2023'!$AC$2:$AE$10000,MATCH(Z319,'CAMD Facility Data 2023'!$AE$2:$AE$10000,0),1),"")</f>
        <v>3612</v>
      </c>
      <c r="AC319" s="1" t="str">
        <f>IF(INDEX('CAMD Facility Data 2023'!$AE$2:$AG$10000,MATCH(Z319,'CAMD Facility Data 2023'!$AE$2:$AE$10000,0),3)&gt;0,INDEX('CAMD Facility Data 2023'!$AE$2:$AG$10000,MATCH(Z319,'CAMD Facility Data 2023'!$AE$2:$AE$10000,0),3),"")</f>
        <v>Y</v>
      </c>
      <c r="AD319" s="20">
        <f t="shared" si="13"/>
        <v>5.1142893041486052E-2</v>
      </c>
      <c r="AE319" s="25">
        <f t="shared" si="14"/>
        <v>0.69219298062141921</v>
      </c>
    </row>
    <row r="320" spans="1:31" x14ac:dyDescent="0.2">
      <c r="A320" s="1" t="s">
        <v>921</v>
      </c>
      <c r="B320" s="1" t="s">
        <v>961</v>
      </c>
      <c r="C320" s="1">
        <v>715</v>
      </c>
      <c r="D320" s="1" t="s">
        <v>379</v>
      </c>
      <c r="F320" s="1">
        <v>2023</v>
      </c>
      <c r="G320" s="5">
        <v>14</v>
      </c>
      <c r="H320" s="5">
        <v>14</v>
      </c>
      <c r="I320" s="5">
        <v>364</v>
      </c>
      <c r="K320" s="5">
        <v>1.153</v>
      </c>
      <c r="L320" s="5">
        <v>0.5</v>
      </c>
      <c r="O320" s="5">
        <v>2.766</v>
      </c>
      <c r="P320" s="6">
        <v>1.1999</v>
      </c>
      <c r="Q320" s="5">
        <v>4609.8999999999996</v>
      </c>
      <c r="R320" s="1" t="s">
        <v>94</v>
      </c>
      <c r="T320" s="1" t="s">
        <v>93</v>
      </c>
      <c r="Y320" s="1" t="s">
        <v>944</v>
      </c>
      <c r="Z320" s="1" t="str">
        <f t="shared" si="12"/>
        <v>715 3A</v>
      </c>
      <c r="AA320" s="3">
        <f>IF(INDEX('CAMD Facility Data 2023'!$AA$2:$AE$10000,MATCH(Z320,'CAMD Facility Data 2023'!$AE$2:$AE$10000,0),1)&gt;0,INDEX('CAMD Facility Data 2023'!$AA$2:$AE$10000,MATCH(Z320,'CAMD Facility Data 2023'!$AE$2:$AE$10000,0),1),"")</f>
        <v>26307</v>
      </c>
      <c r="AB320" s="5">
        <f>IF(INDEX('CAMD Facility Data 2023'!$AC$2:$AE$10000,MATCH(Z320,'CAMD Facility Data 2023'!$AE$2:$AE$10000,0),1)&gt;0,INDEX('CAMD Facility Data 2023'!$AC$2:$AE$10000,MATCH(Z320,'CAMD Facility Data 2023'!$AE$2:$AE$10000,0),1),"")</f>
        <v>724</v>
      </c>
      <c r="AC320" s="1" t="str">
        <f>IF(INDEX('CAMD Facility Data 2023'!$AE$2:$AG$10000,MATCH(Z320,'CAMD Facility Data 2023'!$AE$2:$AE$10000,0),3)&gt;0,INDEX('CAMD Facility Data 2023'!$AE$2:$AG$10000,MATCH(Z320,'CAMD Facility Data 2023'!$AE$2:$AE$10000,0),3),"")</f>
        <v/>
      </c>
      <c r="AD320" s="20">
        <f t="shared" si="13"/>
        <v>15.197802197802197</v>
      </c>
      <c r="AE320" s="25">
        <f t="shared" si="14"/>
        <v>7.2685675723403709E-4</v>
      </c>
    </row>
    <row r="321" spans="1:31" x14ac:dyDescent="0.2">
      <c r="A321" s="1" t="s">
        <v>921</v>
      </c>
      <c r="B321" s="1" t="s">
        <v>961</v>
      </c>
      <c r="C321" s="1">
        <v>715</v>
      </c>
      <c r="D321" s="1" t="s">
        <v>965</v>
      </c>
      <c r="F321" s="1">
        <v>2023</v>
      </c>
      <c r="G321" s="5">
        <v>13</v>
      </c>
      <c r="H321" s="5">
        <v>13</v>
      </c>
      <c r="I321" s="5">
        <v>328</v>
      </c>
      <c r="K321" s="5">
        <v>0.96</v>
      </c>
      <c r="L321" s="5">
        <v>0.50009999999999999</v>
      </c>
      <c r="O321" s="5">
        <v>2.3039999999999998</v>
      </c>
      <c r="P321" s="6">
        <v>1.2</v>
      </c>
      <c r="Q321" s="5">
        <v>3839.1</v>
      </c>
      <c r="R321" s="1" t="s">
        <v>94</v>
      </c>
      <c r="T321" s="1" t="s">
        <v>93</v>
      </c>
      <c r="Y321" s="1" t="s">
        <v>944</v>
      </c>
      <c r="Z321" s="1" t="str">
        <f t="shared" si="12"/>
        <v>715 3B</v>
      </c>
      <c r="AA321" s="3">
        <f>IF(INDEX('CAMD Facility Data 2023'!$AA$2:$AE$10000,MATCH(Z321,'CAMD Facility Data 2023'!$AE$2:$AE$10000,0),1)&gt;0,INDEX('CAMD Facility Data 2023'!$AA$2:$AE$10000,MATCH(Z321,'CAMD Facility Data 2023'!$AE$2:$AE$10000,0),1),"")</f>
        <v>26311</v>
      </c>
      <c r="AB321" s="5">
        <f>IF(INDEX('CAMD Facility Data 2023'!$AC$2:$AE$10000,MATCH(Z321,'CAMD Facility Data 2023'!$AE$2:$AE$10000,0),1)&gt;0,INDEX('CAMD Facility Data 2023'!$AC$2:$AE$10000,MATCH(Z321,'CAMD Facility Data 2023'!$AE$2:$AE$10000,0),1),"")</f>
        <v>724</v>
      </c>
      <c r="AC321" s="1" t="str">
        <f>IF(INDEX('CAMD Facility Data 2023'!$AE$2:$AG$10000,MATCH(Z321,'CAMD Facility Data 2023'!$AE$2:$AE$10000,0),3)&gt;0,INDEX('CAMD Facility Data 2023'!$AE$2:$AG$10000,MATCH(Z321,'CAMD Facility Data 2023'!$AE$2:$AE$10000,0),3),"")</f>
        <v/>
      </c>
      <c r="AD321" s="20">
        <f t="shared" si="13"/>
        <v>14.048780487804878</v>
      </c>
      <c r="AE321" s="25">
        <f t="shared" si="14"/>
        <v>6.053224097479755E-4</v>
      </c>
    </row>
    <row r="322" spans="1:31" x14ac:dyDescent="0.2">
      <c r="A322" s="1" t="s">
        <v>921</v>
      </c>
      <c r="B322" s="1" t="s">
        <v>961</v>
      </c>
      <c r="C322" s="1">
        <v>715</v>
      </c>
      <c r="D322" s="1" t="s">
        <v>967</v>
      </c>
      <c r="F322" s="1">
        <v>2023</v>
      </c>
      <c r="G322" s="5">
        <v>38</v>
      </c>
      <c r="H322" s="5">
        <v>38</v>
      </c>
      <c r="I322" s="5">
        <v>334</v>
      </c>
      <c r="K322" s="5">
        <v>1.1930000000000001</v>
      </c>
      <c r="L322" s="5">
        <v>0.5</v>
      </c>
      <c r="O322" s="5">
        <v>2.8620000000000001</v>
      </c>
      <c r="P322" s="6">
        <v>1.2</v>
      </c>
      <c r="Q322" s="5">
        <v>4770.2</v>
      </c>
      <c r="R322" s="1" t="s">
        <v>94</v>
      </c>
      <c r="T322" s="1" t="s">
        <v>93</v>
      </c>
      <c r="Y322" s="1" t="s">
        <v>944</v>
      </c>
      <c r="Z322" s="1" t="str">
        <f t="shared" si="12"/>
        <v>715 3C</v>
      </c>
      <c r="AA322" s="3">
        <f>IF(INDEX('CAMD Facility Data 2023'!$AA$2:$AE$10000,MATCH(Z322,'CAMD Facility Data 2023'!$AE$2:$AE$10000,0),1)&gt;0,INDEX('CAMD Facility Data 2023'!$AA$2:$AE$10000,MATCH(Z322,'CAMD Facility Data 2023'!$AE$2:$AE$10000,0),1),"")</f>
        <v>26326</v>
      </c>
      <c r="AB322" s="5">
        <f>IF(INDEX('CAMD Facility Data 2023'!$AC$2:$AE$10000,MATCH(Z322,'CAMD Facility Data 2023'!$AE$2:$AE$10000,0),1)&gt;0,INDEX('CAMD Facility Data 2023'!$AC$2:$AE$10000,MATCH(Z322,'CAMD Facility Data 2023'!$AE$2:$AE$10000,0),1),"")</f>
        <v>724</v>
      </c>
      <c r="AC322" s="1" t="str">
        <f>IF(INDEX('CAMD Facility Data 2023'!$AE$2:$AG$10000,MATCH(Z322,'CAMD Facility Data 2023'!$AE$2:$AE$10000,0),3)&gt;0,INDEX('CAMD Facility Data 2023'!$AE$2:$AG$10000,MATCH(Z322,'CAMD Facility Data 2023'!$AE$2:$AE$10000,0),3),"")</f>
        <v/>
      </c>
      <c r="AD322" s="20">
        <f t="shared" si="13"/>
        <v>17.137724550898202</v>
      </c>
      <c r="AE322" s="25">
        <f t="shared" si="14"/>
        <v>7.5213173894396934E-4</v>
      </c>
    </row>
    <row r="323" spans="1:31" x14ac:dyDescent="0.2">
      <c r="A323" s="1" t="s">
        <v>921</v>
      </c>
      <c r="B323" s="1" t="s">
        <v>961</v>
      </c>
      <c r="C323" s="1">
        <v>715</v>
      </c>
      <c r="D323" s="1" t="s">
        <v>381</v>
      </c>
      <c r="F323" s="1">
        <v>2023</v>
      </c>
      <c r="G323" s="5">
        <v>8</v>
      </c>
      <c r="H323" s="5">
        <v>8</v>
      </c>
      <c r="I323" s="5">
        <v>94</v>
      </c>
      <c r="K323" s="5">
        <v>0.34699999999999998</v>
      </c>
      <c r="L323" s="5">
        <v>0.5</v>
      </c>
      <c r="O323" s="5">
        <v>0.83299999999999996</v>
      </c>
      <c r="P323" s="6">
        <v>1.2002999999999999</v>
      </c>
      <c r="Q323" s="5">
        <v>1389</v>
      </c>
      <c r="R323" s="1" t="s">
        <v>94</v>
      </c>
      <c r="T323" s="1" t="s">
        <v>93</v>
      </c>
      <c r="Y323" s="1" t="s">
        <v>944</v>
      </c>
      <c r="Z323" s="1" t="str">
        <f t="shared" ref="Z323:Z386" si="15">C323&amp;" "&amp;D323</f>
        <v>715 4A</v>
      </c>
      <c r="AA323" s="3">
        <f>IF(INDEX('CAMD Facility Data 2023'!$AA$2:$AE$10000,MATCH(Z323,'CAMD Facility Data 2023'!$AE$2:$AE$10000,0),1)&gt;0,INDEX('CAMD Facility Data 2023'!$AA$2:$AE$10000,MATCH(Z323,'CAMD Facility Data 2023'!$AE$2:$AE$10000,0),1),"")</f>
        <v>26653</v>
      </c>
      <c r="AB323" s="5">
        <f>IF(INDEX('CAMD Facility Data 2023'!$AC$2:$AE$10000,MATCH(Z323,'CAMD Facility Data 2023'!$AE$2:$AE$10000,0),1)&gt;0,INDEX('CAMD Facility Data 2023'!$AC$2:$AE$10000,MATCH(Z323,'CAMD Facility Data 2023'!$AE$2:$AE$10000,0),1),"")</f>
        <v>724</v>
      </c>
      <c r="AC323" s="1" t="str">
        <f>IF(INDEX('CAMD Facility Data 2023'!$AE$2:$AG$10000,MATCH(Z323,'CAMD Facility Data 2023'!$AE$2:$AE$10000,0),3)&gt;0,INDEX('CAMD Facility Data 2023'!$AE$2:$AG$10000,MATCH(Z323,'CAMD Facility Data 2023'!$AE$2:$AE$10000,0),3),"")</f>
        <v/>
      </c>
      <c r="AD323" s="20">
        <f t="shared" ref="AD323:AD386" si="16">IF(ISNUMBER(O323*2000/I323),O323*2000/I323,"")</f>
        <v>17.723404255319149</v>
      </c>
      <c r="AE323" s="25">
        <f t="shared" ref="AE323:AE386" si="17">Q323/(AB323*8760)</f>
        <v>2.1900779535306139E-4</v>
      </c>
    </row>
    <row r="324" spans="1:31" x14ac:dyDescent="0.2">
      <c r="A324" s="1" t="s">
        <v>921</v>
      </c>
      <c r="B324" s="1" t="s">
        <v>961</v>
      </c>
      <c r="C324" s="1">
        <v>715</v>
      </c>
      <c r="D324" s="1" t="s">
        <v>815</v>
      </c>
      <c r="F324" s="1">
        <v>2023</v>
      </c>
      <c r="G324" s="5">
        <v>17</v>
      </c>
      <c r="H324" s="5">
        <v>17</v>
      </c>
      <c r="I324" s="5">
        <v>356</v>
      </c>
      <c r="K324" s="5">
        <v>1.2390000000000001</v>
      </c>
      <c r="L324" s="5">
        <v>0.50029999999999997</v>
      </c>
      <c r="O324" s="5">
        <v>2.9740000000000002</v>
      </c>
      <c r="P324" s="6">
        <v>1.2000999999999999</v>
      </c>
      <c r="Q324" s="5">
        <v>4955.8</v>
      </c>
      <c r="R324" s="1" t="s">
        <v>94</v>
      </c>
      <c r="T324" s="1" t="s">
        <v>93</v>
      </c>
      <c r="Y324" s="1" t="s">
        <v>944</v>
      </c>
      <c r="Z324" s="1" t="str">
        <f t="shared" si="15"/>
        <v>715 4B</v>
      </c>
      <c r="AA324" s="3">
        <f>IF(INDEX('CAMD Facility Data 2023'!$AA$2:$AE$10000,MATCH(Z324,'CAMD Facility Data 2023'!$AE$2:$AE$10000,0),1)&gt;0,INDEX('CAMD Facility Data 2023'!$AA$2:$AE$10000,MATCH(Z324,'CAMD Facility Data 2023'!$AE$2:$AE$10000,0),1),"")</f>
        <v>26653</v>
      </c>
      <c r="AB324" s="5">
        <f>IF(INDEX('CAMD Facility Data 2023'!$AC$2:$AE$10000,MATCH(Z324,'CAMD Facility Data 2023'!$AE$2:$AE$10000,0),1)&gt;0,INDEX('CAMD Facility Data 2023'!$AC$2:$AE$10000,MATCH(Z324,'CAMD Facility Data 2023'!$AE$2:$AE$10000,0),1),"")</f>
        <v>724</v>
      </c>
      <c r="AC324" s="1" t="str">
        <f>IF(INDEX('CAMD Facility Data 2023'!$AE$2:$AG$10000,MATCH(Z324,'CAMD Facility Data 2023'!$AE$2:$AE$10000,0),3)&gt;0,INDEX('CAMD Facility Data 2023'!$AE$2:$AG$10000,MATCH(Z324,'CAMD Facility Data 2023'!$AE$2:$AE$10000,0),3),"")</f>
        <v/>
      </c>
      <c r="AD324" s="20">
        <f t="shared" si="16"/>
        <v>16.707865168539325</v>
      </c>
      <c r="AE324" s="25">
        <f t="shared" si="17"/>
        <v>7.8139584752390321E-4</v>
      </c>
    </row>
    <row r="325" spans="1:31" x14ac:dyDescent="0.2">
      <c r="A325" s="1" t="s">
        <v>921</v>
      </c>
      <c r="B325" s="1" t="s">
        <v>961</v>
      </c>
      <c r="C325" s="1">
        <v>715</v>
      </c>
      <c r="D325" s="1" t="s">
        <v>817</v>
      </c>
      <c r="F325" s="1">
        <v>2023</v>
      </c>
      <c r="G325" s="5">
        <v>10</v>
      </c>
      <c r="H325" s="5">
        <v>10</v>
      </c>
      <c r="I325" s="5">
        <v>212</v>
      </c>
      <c r="K325" s="5">
        <v>0.73099999999999998</v>
      </c>
      <c r="L325" s="5">
        <v>0.50029999999999997</v>
      </c>
      <c r="O325" s="5">
        <v>1.7549999999999999</v>
      </c>
      <c r="P325" s="6">
        <v>1.1999</v>
      </c>
      <c r="Q325" s="5">
        <v>2925</v>
      </c>
      <c r="R325" s="1" t="s">
        <v>94</v>
      </c>
      <c r="T325" s="1" t="s">
        <v>93</v>
      </c>
      <c r="Y325" s="1" t="s">
        <v>944</v>
      </c>
      <c r="Z325" s="1" t="str">
        <f t="shared" si="15"/>
        <v>715 4C</v>
      </c>
      <c r="AA325" s="3">
        <f>IF(INDEX('CAMD Facility Data 2023'!$AA$2:$AE$10000,MATCH(Z325,'CAMD Facility Data 2023'!$AE$2:$AE$10000,0),1)&gt;0,INDEX('CAMD Facility Data 2023'!$AA$2:$AE$10000,MATCH(Z325,'CAMD Facility Data 2023'!$AE$2:$AE$10000,0),1),"")</f>
        <v>26653</v>
      </c>
      <c r="AB325" s="5">
        <f>IF(INDEX('CAMD Facility Data 2023'!$AC$2:$AE$10000,MATCH(Z325,'CAMD Facility Data 2023'!$AE$2:$AE$10000,0),1)&gt;0,INDEX('CAMD Facility Data 2023'!$AC$2:$AE$10000,MATCH(Z325,'CAMD Facility Data 2023'!$AE$2:$AE$10000,0),1),"")</f>
        <v>724</v>
      </c>
      <c r="AC325" s="1" t="str">
        <f>IF(INDEX('CAMD Facility Data 2023'!$AE$2:$AG$10000,MATCH(Z325,'CAMD Facility Data 2023'!$AE$2:$AE$10000,0),3)&gt;0,INDEX('CAMD Facility Data 2023'!$AE$2:$AG$10000,MATCH(Z325,'CAMD Facility Data 2023'!$AE$2:$AE$10000,0),3),"")</f>
        <v/>
      </c>
      <c r="AD325" s="20">
        <f t="shared" si="16"/>
        <v>16.556603773584907</v>
      </c>
      <c r="AE325" s="25">
        <f t="shared" si="17"/>
        <v>4.6119352153182471E-4</v>
      </c>
    </row>
    <row r="326" spans="1:31" x14ac:dyDescent="0.2">
      <c r="A326" s="1" t="s">
        <v>921</v>
      </c>
      <c r="B326" s="1" t="s">
        <v>961</v>
      </c>
      <c r="C326" s="1">
        <v>715</v>
      </c>
      <c r="D326" s="1" t="s">
        <v>819</v>
      </c>
      <c r="F326" s="1">
        <v>2023</v>
      </c>
      <c r="G326" s="5">
        <v>13</v>
      </c>
      <c r="H326" s="5">
        <v>13</v>
      </c>
      <c r="I326" s="5">
        <v>361</v>
      </c>
      <c r="K326" s="5">
        <v>1.0429999999999999</v>
      </c>
      <c r="L326" s="5">
        <v>0.50019999999999998</v>
      </c>
      <c r="O326" s="5">
        <v>2.5030000000000001</v>
      </c>
      <c r="P326" s="6">
        <v>1.2</v>
      </c>
      <c r="Q326" s="5">
        <v>4171.1000000000004</v>
      </c>
      <c r="R326" s="1" t="s">
        <v>94</v>
      </c>
      <c r="T326" s="1" t="s">
        <v>93</v>
      </c>
      <c r="Y326" s="1" t="s">
        <v>944</v>
      </c>
      <c r="Z326" s="1" t="str">
        <f t="shared" si="15"/>
        <v>715 4D</v>
      </c>
      <c r="AA326" s="3">
        <f>IF(INDEX('CAMD Facility Data 2023'!$AA$2:$AE$10000,MATCH(Z326,'CAMD Facility Data 2023'!$AE$2:$AE$10000,0),1)&gt;0,INDEX('CAMD Facility Data 2023'!$AA$2:$AE$10000,MATCH(Z326,'CAMD Facility Data 2023'!$AE$2:$AE$10000,0),1),"")</f>
        <v>26653</v>
      </c>
      <c r="AB326" s="5">
        <f>IF(INDEX('CAMD Facility Data 2023'!$AC$2:$AE$10000,MATCH(Z326,'CAMD Facility Data 2023'!$AE$2:$AE$10000,0),1)&gt;0,INDEX('CAMD Facility Data 2023'!$AC$2:$AE$10000,MATCH(Z326,'CAMD Facility Data 2023'!$AE$2:$AE$10000,0),1),"")</f>
        <v>724</v>
      </c>
      <c r="AC326" s="1" t="str">
        <f>IF(INDEX('CAMD Facility Data 2023'!$AE$2:$AG$10000,MATCH(Z326,'CAMD Facility Data 2023'!$AE$2:$AE$10000,0),3)&gt;0,INDEX('CAMD Facility Data 2023'!$AE$2:$AG$10000,MATCH(Z326,'CAMD Facility Data 2023'!$AE$2:$AE$10000,0),3),"")</f>
        <v/>
      </c>
      <c r="AD326" s="20">
        <f t="shared" si="16"/>
        <v>13.867036011080332</v>
      </c>
      <c r="AE326" s="25">
        <f t="shared" si="17"/>
        <v>6.5766984535432283E-4</v>
      </c>
    </row>
    <row r="327" spans="1:31" x14ac:dyDescent="0.2">
      <c r="A327" s="1" t="s">
        <v>921</v>
      </c>
      <c r="B327" s="1" t="s">
        <v>961</v>
      </c>
      <c r="C327" s="1">
        <v>715</v>
      </c>
      <c r="D327" s="1" t="s">
        <v>973</v>
      </c>
      <c r="F327" s="1">
        <v>2023</v>
      </c>
      <c r="G327" s="5">
        <v>17</v>
      </c>
      <c r="H327" s="5">
        <v>17</v>
      </c>
      <c r="I327" s="5">
        <v>246</v>
      </c>
      <c r="K327" s="5">
        <v>0.85299999999999998</v>
      </c>
      <c r="L327" s="5">
        <v>0.50029999999999997</v>
      </c>
      <c r="O327" s="5">
        <v>2.0470000000000002</v>
      </c>
      <c r="P327" s="6">
        <v>1.2</v>
      </c>
      <c r="Q327" s="5">
        <v>3411</v>
      </c>
      <c r="R327" s="1" t="s">
        <v>94</v>
      </c>
      <c r="T327" s="1" t="s">
        <v>93</v>
      </c>
      <c r="Y327" s="1" t="s">
        <v>944</v>
      </c>
      <c r="Z327" s="1" t="str">
        <f t="shared" si="15"/>
        <v>715 4E</v>
      </c>
      <c r="AA327" s="3">
        <f>IF(INDEX('CAMD Facility Data 2023'!$AA$2:$AE$10000,MATCH(Z327,'CAMD Facility Data 2023'!$AE$2:$AE$10000,0),1)&gt;0,INDEX('CAMD Facility Data 2023'!$AA$2:$AE$10000,MATCH(Z327,'CAMD Facility Data 2023'!$AE$2:$AE$10000,0),1),"")</f>
        <v>26653</v>
      </c>
      <c r="AB327" s="5">
        <f>IF(INDEX('CAMD Facility Data 2023'!$AC$2:$AE$10000,MATCH(Z327,'CAMD Facility Data 2023'!$AE$2:$AE$10000,0),1)&gt;0,INDEX('CAMD Facility Data 2023'!$AC$2:$AE$10000,MATCH(Z327,'CAMD Facility Data 2023'!$AE$2:$AE$10000,0),1),"")</f>
        <v>724</v>
      </c>
      <c r="AC327" s="1" t="str">
        <f>IF(INDEX('CAMD Facility Data 2023'!$AE$2:$AG$10000,MATCH(Z327,'CAMD Facility Data 2023'!$AE$2:$AE$10000,0),3)&gt;0,INDEX('CAMD Facility Data 2023'!$AE$2:$AG$10000,MATCH(Z327,'CAMD Facility Data 2023'!$AE$2:$AE$10000,0),3),"")</f>
        <v/>
      </c>
      <c r="AD327" s="20">
        <f t="shared" si="16"/>
        <v>16.64227642276423</v>
      </c>
      <c r="AE327" s="25">
        <f t="shared" si="17"/>
        <v>5.3782259895557402E-4</v>
      </c>
    </row>
    <row r="328" spans="1:31" x14ac:dyDescent="0.2">
      <c r="A328" s="1" t="s">
        <v>921</v>
      </c>
      <c r="B328" s="1" t="s">
        <v>961</v>
      </c>
      <c r="C328" s="1">
        <v>715</v>
      </c>
      <c r="D328" s="1" t="s">
        <v>975</v>
      </c>
      <c r="F328" s="1">
        <v>2023</v>
      </c>
      <c r="G328" s="5">
        <v>16</v>
      </c>
      <c r="H328" s="5">
        <v>16</v>
      </c>
      <c r="I328" s="5">
        <v>345</v>
      </c>
      <c r="K328" s="5">
        <v>1.0469999999999999</v>
      </c>
      <c r="L328" s="5">
        <v>0.5</v>
      </c>
      <c r="O328" s="5">
        <v>2.512</v>
      </c>
      <c r="P328" s="6">
        <v>1.1999</v>
      </c>
      <c r="Q328" s="5">
        <v>4185.8999999999996</v>
      </c>
      <c r="R328" s="1" t="s">
        <v>94</v>
      </c>
      <c r="T328" s="1" t="s">
        <v>93</v>
      </c>
      <c r="Y328" s="1" t="s">
        <v>944</v>
      </c>
      <c r="Z328" s="1" t="str">
        <f t="shared" si="15"/>
        <v>715 4F</v>
      </c>
      <c r="AA328" s="3">
        <f>IF(INDEX('CAMD Facility Data 2023'!$AA$2:$AE$10000,MATCH(Z328,'CAMD Facility Data 2023'!$AE$2:$AE$10000,0),1)&gt;0,INDEX('CAMD Facility Data 2023'!$AA$2:$AE$10000,MATCH(Z328,'CAMD Facility Data 2023'!$AE$2:$AE$10000,0),1),"")</f>
        <v>26653</v>
      </c>
      <c r="AB328" s="5">
        <f>IF(INDEX('CAMD Facility Data 2023'!$AC$2:$AE$10000,MATCH(Z328,'CAMD Facility Data 2023'!$AE$2:$AE$10000,0),1)&gt;0,INDEX('CAMD Facility Data 2023'!$AC$2:$AE$10000,MATCH(Z328,'CAMD Facility Data 2023'!$AE$2:$AE$10000,0),1),"")</f>
        <v>724</v>
      </c>
      <c r="AC328" s="1" t="str">
        <f>IF(INDEX('CAMD Facility Data 2023'!$AE$2:$AG$10000,MATCH(Z328,'CAMD Facility Data 2023'!$AE$2:$AE$10000,0),3)&gt;0,INDEX('CAMD Facility Data 2023'!$AE$2:$AG$10000,MATCH(Z328,'CAMD Facility Data 2023'!$AE$2:$AE$10000,0),3),"")</f>
        <v/>
      </c>
      <c r="AD328" s="20">
        <f t="shared" si="16"/>
        <v>14.56231884057971</v>
      </c>
      <c r="AE328" s="25">
        <f t="shared" si="17"/>
        <v>6.600034057367743E-4</v>
      </c>
    </row>
    <row r="329" spans="1:31" x14ac:dyDescent="0.2">
      <c r="A329" s="1" t="s">
        <v>921</v>
      </c>
      <c r="B329" s="1" t="s">
        <v>977</v>
      </c>
      <c r="C329" s="1">
        <v>728</v>
      </c>
      <c r="D329" s="1" t="s">
        <v>978</v>
      </c>
      <c r="F329" s="1">
        <v>2023</v>
      </c>
      <c r="G329" s="5">
        <v>6544</v>
      </c>
      <c r="H329" s="5">
        <v>6533.73</v>
      </c>
      <c r="I329" s="5">
        <v>1153613.29</v>
      </c>
      <c r="K329" s="5">
        <v>3.532</v>
      </c>
      <c r="L329" s="5">
        <v>1E-3</v>
      </c>
      <c r="M329" s="5">
        <v>699630.31499999994</v>
      </c>
      <c r="N329" s="6">
        <v>5.8999999999999997E-2</v>
      </c>
      <c r="O329" s="5">
        <v>471.57</v>
      </c>
      <c r="P329" s="6">
        <v>8.09E-2</v>
      </c>
      <c r="Q329" s="5">
        <v>11772623.07</v>
      </c>
      <c r="R329" s="1" t="s">
        <v>44</v>
      </c>
      <c r="T329" s="1" t="s">
        <v>43</v>
      </c>
      <c r="V329" s="1" t="s">
        <v>981</v>
      </c>
      <c r="Y329" s="1" t="s">
        <v>952</v>
      </c>
      <c r="Z329" s="1" t="str">
        <f t="shared" si="15"/>
        <v>728 Y6BR</v>
      </c>
      <c r="AA329" s="3">
        <f>IF(INDEX('CAMD Facility Data 2023'!$AA$2:$AE$10000,MATCH(Z329,'CAMD Facility Data 2023'!$AE$2:$AE$10000,0),1)&gt;0,INDEX('CAMD Facility Data 2023'!$AA$2:$AE$10000,MATCH(Z329,'CAMD Facility Data 2023'!$AE$2:$AE$10000,0),1),"")</f>
        <v>27233</v>
      </c>
      <c r="AB329" s="5">
        <f>IF(INDEX('CAMD Facility Data 2023'!$AC$2:$AE$10000,MATCH(Z329,'CAMD Facility Data 2023'!$AE$2:$AE$10000,0),1)&gt;0,INDEX('CAMD Facility Data 2023'!$AC$2:$AE$10000,MATCH(Z329,'CAMD Facility Data 2023'!$AE$2:$AE$10000,0),1),"")</f>
        <v>4183</v>
      </c>
      <c r="AC329" s="1" t="str">
        <f>IF(INDEX('CAMD Facility Data 2023'!$AE$2:$AG$10000,MATCH(Z329,'CAMD Facility Data 2023'!$AE$2:$AE$10000,0),3)&gt;0,INDEX('CAMD Facility Data 2023'!$AE$2:$AG$10000,MATCH(Z329,'CAMD Facility Data 2023'!$AE$2:$AE$10000,0),3),"")</f>
        <v/>
      </c>
      <c r="AD329" s="20">
        <f t="shared" si="16"/>
        <v>0.81755299473014909</v>
      </c>
      <c r="AE329" s="25">
        <f t="shared" si="17"/>
        <v>0.32127820778166027</v>
      </c>
    </row>
    <row r="330" spans="1:31" x14ac:dyDescent="0.2">
      <c r="A330" s="1" t="s">
        <v>921</v>
      </c>
      <c r="B330" s="1" t="s">
        <v>977</v>
      </c>
      <c r="C330" s="1">
        <v>728</v>
      </c>
      <c r="D330" s="1" t="s">
        <v>983</v>
      </c>
      <c r="F330" s="1">
        <v>2023</v>
      </c>
      <c r="G330" s="5">
        <v>6926</v>
      </c>
      <c r="H330" s="5">
        <v>6917.92</v>
      </c>
      <c r="I330" s="5">
        <v>1227263.53</v>
      </c>
      <c r="K330" s="5">
        <v>3.7330000000000001</v>
      </c>
      <c r="L330" s="5">
        <v>1E-3</v>
      </c>
      <c r="M330" s="5">
        <v>739379.25399999996</v>
      </c>
      <c r="N330" s="6">
        <v>5.8999999999999997E-2</v>
      </c>
      <c r="O330" s="5">
        <v>494.11399999999998</v>
      </c>
      <c r="P330" s="6">
        <v>7.4399999999999994E-2</v>
      </c>
      <c r="Q330" s="5">
        <v>12441480.425000001</v>
      </c>
      <c r="R330" s="1" t="s">
        <v>44</v>
      </c>
      <c r="T330" s="1" t="s">
        <v>43</v>
      </c>
      <c r="V330" s="1" t="s">
        <v>981</v>
      </c>
      <c r="Y330" s="1" t="s">
        <v>952</v>
      </c>
      <c r="Z330" s="1" t="str">
        <f t="shared" si="15"/>
        <v>728 Y7BR</v>
      </c>
      <c r="AA330" s="3">
        <f>IF(INDEX('CAMD Facility Data 2023'!$AA$2:$AE$10000,MATCH(Z330,'CAMD Facility Data 2023'!$AE$2:$AE$10000,0),1)&gt;0,INDEX('CAMD Facility Data 2023'!$AA$2:$AE$10000,MATCH(Z330,'CAMD Facility Data 2023'!$AE$2:$AE$10000,0),1),"")</f>
        <v>27127</v>
      </c>
      <c r="AB330" s="5">
        <f>IF(INDEX('CAMD Facility Data 2023'!$AC$2:$AE$10000,MATCH(Z330,'CAMD Facility Data 2023'!$AE$2:$AE$10000,0),1)&gt;0,INDEX('CAMD Facility Data 2023'!$AC$2:$AE$10000,MATCH(Z330,'CAMD Facility Data 2023'!$AE$2:$AE$10000,0),1),"")</f>
        <v>3996</v>
      </c>
      <c r="AC330" s="1" t="str">
        <f>IF(INDEX('CAMD Facility Data 2023'!$AE$2:$AG$10000,MATCH(Z330,'CAMD Facility Data 2023'!$AE$2:$AE$10000,0),3)&gt;0,INDEX('CAMD Facility Data 2023'!$AE$2:$AG$10000,MATCH(Z330,'CAMD Facility Data 2023'!$AE$2:$AE$10000,0),3),"")</f>
        <v/>
      </c>
      <c r="AD330" s="20">
        <f t="shared" si="16"/>
        <v>0.8052288492594577</v>
      </c>
      <c r="AE330" s="25">
        <f t="shared" si="17"/>
        <v>0.35542050112326939</v>
      </c>
    </row>
    <row r="331" spans="1:31" x14ac:dyDescent="0.2">
      <c r="A331" s="1" t="s">
        <v>335</v>
      </c>
      <c r="B331" s="1" t="s">
        <v>985</v>
      </c>
      <c r="C331" s="1">
        <v>762</v>
      </c>
      <c r="D331" s="1">
        <v>2</v>
      </c>
      <c r="F331" s="1">
        <v>2023</v>
      </c>
      <c r="G331" s="5">
        <v>0</v>
      </c>
      <c r="H331" s="5">
        <v>0</v>
      </c>
      <c r="R331" s="1" t="s">
        <v>44</v>
      </c>
      <c r="T331" s="1" t="s">
        <v>89</v>
      </c>
      <c r="Y331" s="1" t="s">
        <v>346</v>
      </c>
      <c r="Z331" s="1" t="str">
        <f t="shared" si="15"/>
        <v>762 2</v>
      </c>
      <c r="AA331" s="3">
        <f>IF(INDEX('CAMD Facility Data 2023'!$AA$2:$AE$10000,MATCH(Z331,'CAMD Facility Data 2023'!$AE$2:$AE$10000,0),1)&gt;0,INDEX('CAMD Facility Data 2023'!$AA$2:$AE$10000,MATCH(Z331,'CAMD Facility Data 2023'!$AE$2:$AE$10000,0),1),"")</f>
        <v>28399</v>
      </c>
      <c r="AB331" s="5">
        <f>IF(INDEX('CAMD Facility Data 2023'!$AC$2:$AE$10000,MATCH(Z331,'CAMD Facility Data 2023'!$AE$2:$AE$10000,0),1)&gt;0,INDEX('CAMD Facility Data 2023'!$AC$2:$AE$10000,MATCH(Z331,'CAMD Facility Data 2023'!$AE$2:$AE$10000,0),1),"")</f>
        <v>493</v>
      </c>
      <c r="AC331" s="1" t="str">
        <f>IF(INDEX('CAMD Facility Data 2023'!$AE$2:$AG$10000,MATCH(Z331,'CAMD Facility Data 2023'!$AE$2:$AE$10000,0),3)&gt;0,INDEX('CAMD Facility Data 2023'!$AE$2:$AG$10000,MATCH(Z331,'CAMD Facility Data 2023'!$AE$2:$AE$10000,0),3),"")</f>
        <v/>
      </c>
      <c r="AD331" s="20" t="str">
        <f t="shared" si="16"/>
        <v/>
      </c>
      <c r="AE331" s="25">
        <f t="shared" si="17"/>
        <v>0</v>
      </c>
    </row>
    <row r="332" spans="1:31" x14ac:dyDescent="0.2">
      <c r="A332" s="1" t="s">
        <v>335</v>
      </c>
      <c r="B332" s="1" t="s">
        <v>985</v>
      </c>
      <c r="C332" s="1">
        <v>762</v>
      </c>
      <c r="D332" s="1">
        <v>3</v>
      </c>
      <c r="F332" s="1">
        <v>2023</v>
      </c>
      <c r="G332" s="5">
        <v>450</v>
      </c>
      <c r="H332" s="5">
        <v>434.12</v>
      </c>
      <c r="I332" s="5">
        <v>18834.62</v>
      </c>
      <c r="K332" s="5">
        <v>4.8000000000000001E-2</v>
      </c>
      <c r="L332" s="5">
        <v>1E-3</v>
      </c>
      <c r="M332" s="5">
        <v>9439.6890000000003</v>
      </c>
      <c r="N332" s="6">
        <v>5.9200000000000003E-2</v>
      </c>
      <c r="O332" s="5">
        <v>5.8840000000000003</v>
      </c>
      <c r="P332" s="6">
        <v>7.9000000000000001E-2</v>
      </c>
      <c r="Q332" s="5">
        <v>158837.98000000001</v>
      </c>
      <c r="R332" s="1" t="s">
        <v>44</v>
      </c>
      <c r="S332" s="1" t="s">
        <v>94</v>
      </c>
      <c r="T332" s="1" t="s">
        <v>71</v>
      </c>
      <c r="V332" s="1" t="s">
        <v>95</v>
      </c>
      <c r="Y332" s="1" t="s">
        <v>346</v>
      </c>
      <c r="Z332" s="1" t="str">
        <f t="shared" si="15"/>
        <v>762 3</v>
      </c>
      <c r="AA332" s="3">
        <f>IF(INDEX('CAMD Facility Data 2023'!$AA$2:$AE$10000,MATCH(Z332,'CAMD Facility Data 2023'!$AE$2:$AE$10000,0),1)&gt;0,INDEX('CAMD Facility Data 2023'!$AA$2:$AE$10000,MATCH(Z332,'CAMD Facility Data 2023'!$AE$2:$AE$10000,0),1),"")</f>
        <v>34851</v>
      </c>
      <c r="AB332" s="5">
        <f>IF(INDEX('CAMD Facility Data 2023'!$AC$2:$AE$10000,MATCH(Z332,'CAMD Facility Data 2023'!$AE$2:$AE$10000,0),1)&gt;0,INDEX('CAMD Facility Data 2023'!$AC$2:$AE$10000,MATCH(Z332,'CAMD Facility Data 2023'!$AE$2:$AE$10000,0),1),"")</f>
        <v>725</v>
      </c>
      <c r="AC332" s="1" t="str">
        <f>IF(INDEX('CAMD Facility Data 2023'!$AE$2:$AG$10000,MATCH(Z332,'CAMD Facility Data 2023'!$AE$2:$AE$10000,0),3)&gt;0,INDEX('CAMD Facility Data 2023'!$AE$2:$AG$10000,MATCH(Z332,'CAMD Facility Data 2023'!$AE$2:$AE$10000,0),3),"")</f>
        <v/>
      </c>
      <c r="AD332" s="20">
        <f t="shared" si="16"/>
        <v>0.62480687160133841</v>
      </c>
      <c r="AE332" s="25">
        <f t="shared" si="17"/>
        <v>2.5009916548575029E-2</v>
      </c>
    </row>
    <row r="333" spans="1:31" x14ac:dyDescent="0.2">
      <c r="A333" s="1" t="s">
        <v>335</v>
      </c>
      <c r="B333" s="1" t="s">
        <v>985</v>
      </c>
      <c r="C333" s="1">
        <v>762</v>
      </c>
      <c r="D333" s="1">
        <v>4</v>
      </c>
      <c r="F333" s="1">
        <v>2023</v>
      </c>
      <c r="G333" s="5">
        <v>415</v>
      </c>
      <c r="H333" s="5">
        <v>397.26</v>
      </c>
      <c r="I333" s="5">
        <v>13020.45</v>
      </c>
      <c r="K333" s="5">
        <v>0.04</v>
      </c>
      <c r="L333" s="5">
        <v>1E-3</v>
      </c>
      <c r="M333" s="5">
        <v>7873.9279999999999</v>
      </c>
      <c r="N333" s="6">
        <v>5.9299999999999999E-2</v>
      </c>
      <c r="O333" s="5">
        <v>5.9720000000000004</v>
      </c>
      <c r="P333" s="6">
        <v>0.09</v>
      </c>
      <c r="Q333" s="5">
        <v>132507.345</v>
      </c>
      <c r="R333" s="1" t="s">
        <v>44</v>
      </c>
      <c r="T333" s="1" t="s">
        <v>93</v>
      </c>
      <c r="V333" s="1" t="s">
        <v>95</v>
      </c>
      <c r="Y333" s="1" t="s">
        <v>346</v>
      </c>
      <c r="Z333" s="1" t="str">
        <f t="shared" si="15"/>
        <v>762 4</v>
      </c>
      <c r="AA333" s="3">
        <f>IF(INDEX('CAMD Facility Data 2023'!$AA$2:$AE$10000,MATCH(Z333,'CAMD Facility Data 2023'!$AE$2:$AE$10000,0),1)&gt;0,INDEX('CAMD Facility Data 2023'!$AA$2:$AE$10000,MATCH(Z333,'CAMD Facility Data 2023'!$AE$2:$AE$10000,0),1),"")</f>
        <v>37778</v>
      </c>
      <c r="AB333" s="5">
        <f>IF(INDEX('CAMD Facility Data 2023'!$AC$2:$AE$10000,MATCH(Z333,'CAMD Facility Data 2023'!$AE$2:$AE$10000,0),1)&gt;0,INDEX('CAMD Facility Data 2023'!$AC$2:$AE$10000,MATCH(Z333,'CAMD Facility Data 2023'!$AE$2:$AE$10000,0),1),"")</f>
        <v>409.8</v>
      </c>
      <c r="AC333" s="1" t="str">
        <f>IF(INDEX('CAMD Facility Data 2023'!$AE$2:$AG$10000,MATCH(Z333,'CAMD Facility Data 2023'!$AE$2:$AE$10000,0),3)&gt;0,INDEX('CAMD Facility Data 2023'!$AE$2:$AG$10000,MATCH(Z333,'CAMD Facility Data 2023'!$AE$2:$AE$10000,0),3),"")</f>
        <v/>
      </c>
      <c r="AD333" s="20">
        <f t="shared" si="16"/>
        <v>0.91732620608350701</v>
      </c>
      <c r="AE333" s="25">
        <f t="shared" si="17"/>
        <v>3.6911686790081361E-2</v>
      </c>
    </row>
    <row r="334" spans="1:31" x14ac:dyDescent="0.2">
      <c r="A334" s="1" t="s">
        <v>458</v>
      </c>
      <c r="B334" s="1" t="s">
        <v>992</v>
      </c>
      <c r="C334" s="1">
        <v>862</v>
      </c>
      <c r="D334" s="1" t="s">
        <v>993</v>
      </c>
      <c r="F334" s="1">
        <v>2023</v>
      </c>
      <c r="G334" s="5">
        <v>0</v>
      </c>
      <c r="H334" s="5">
        <v>0</v>
      </c>
      <c r="R334" s="1" t="s">
        <v>44</v>
      </c>
      <c r="T334" s="1" t="s">
        <v>71</v>
      </c>
      <c r="V334" s="1" t="s">
        <v>140</v>
      </c>
      <c r="Y334" s="1" t="s">
        <v>461</v>
      </c>
      <c r="Z334" s="1" t="str">
        <f t="shared" si="15"/>
        <v>862 CT01</v>
      </c>
      <c r="AA334" s="3">
        <f>IF(INDEX('CAMD Facility Data 2023'!$AA$2:$AE$10000,MATCH(Z334,'CAMD Facility Data 2023'!$AE$2:$AE$10000,0),1)&gt;0,INDEX('CAMD Facility Data 2023'!$AA$2:$AE$10000,MATCH(Z334,'CAMD Facility Data 2023'!$AE$2:$AE$10000,0),1),"")</f>
        <v>37020</v>
      </c>
      <c r="AB334" s="5">
        <f>IF(INDEX('CAMD Facility Data 2023'!$AC$2:$AE$10000,MATCH(Z334,'CAMD Facility Data 2023'!$AE$2:$AE$10000,0),1)&gt;0,INDEX('CAMD Facility Data 2023'!$AC$2:$AE$10000,MATCH(Z334,'CAMD Facility Data 2023'!$AE$2:$AE$10000,0),1),"")</f>
        <v>2347</v>
      </c>
      <c r="AC334" s="1" t="str">
        <f>IF(INDEX('CAMD Facility Data 2023'!$AE$2:$AG$10000,MATCH(Z334,'CAMD Facility Data 2023'!$AE$2:$AE$10000,0),3)&gt;0,INDEX('CAMD Facility Data 2023'!$AE$2:$AG$10000,MATCH(Z334,'CAMD Facility Data 2023'!$AE$2:$AE$10000,0),3),"")</f>
        <v/>
      </c>
      <c r="AD334" s="20" t="str">
        <f t="shared" si="16"/>
        <v/>
      </c>
      <c r="AE334" s="25">
        <f t="shared" si="17"/>
        <v>0</v>
      </c>
    </row>
    <row r="335" spans="1:31" x14ac:dyDescent="0.2">
      <c r="A335" s="1" t="s">
        <v>458</v>
      </c>
      <c r="B335" s="1" t="s">
        <v>992</v>
      </c>
      <c r="C335" s="1">
        <v>862</v>
      </c>
      <c r="D335" s="1" t="s">
        <v>998</v>
      </c>
      <c r="F335" s="1">
        <v>2023</v>
      </c>
      <c r="G335" s="5">
        <v>0</v>
      </c>
      <c r="H335" s="5">
        <v>0</v>
      </c>
      <c r="R335" s="1" t="s">
        <v>44</v>
      </c>
      <c r="T335" s="1" t="s">
        <v>71</v>
      </c>
      <c r="V335" s="1" t="s">
        <v>140</v>
      </c>
      <c r="Y335" s="1" t="s">
        <v>461</v>
      </c>
      <c r="Z335" s="1" t="str">
        <f t="shared" si="15"/>
        <v>862 CT02</v>
      </c>
      <c r="AA335" s="3">
        <f>IF(INDEX('CAMD Facility Data 2023'!$AA$2:$AE$10000,MATCH(Z335,'CAMD Facility Data 2023'!$AE$2:$AE$10000,0),1)&gt;0,INDEX('CAMD Facility Data 2023'!$AA$2:$AE$10000,MATCH(Z335,'CAMD Facility Data 2023'!$AE$2:$AE$10000,0),1),"")</f>
        <v>37111</v>
      </c>
      <c r="AB335" s="5">
        <f>IF(INDEX('CAMD Facility Data 2023'!$AC$2:$AE$10000,MATCH(Z335,'CAMD Facility Data 2023'!$AE$2:$AE$10000,0),1)&gt;0,INDEX('CAMD Facility Data 2023'!$AC$2:$AE$10000,MATCH(Z335,'CAMD Facility Data 2023'!$AE$2:$AE$10000,0),1),"")</f>
        <v>2383</v>
      </c>
      <c r="AC335" s="1" t="str">
        <f>IF(INDEX('CAMD Facility Data 2023'!$AE$2:$AG$10000,MATCH(Z335,'CAMD Facility Data 2023'!$AE$2:$AE$10000,0),3)&gt;0,INDEX('CAMD Facility Data 2023'!$AE$2:$AG$10000,MATCH(Z335,'CAMD Facility Data 2023'!$AE$2:$AE$10000,0),3),"")</f>
        <v/>
      </c>
      <c r="AD335" s="20" t="str">
        <f t="shared" si="16"/>
        <v/>
      </c>
      <c r="AE335" s="25">
        <f t="shared" si="17"/>
        <v>0</v>
      </c>
    </row>
    <row r="336" spans="1:31" x14ac:dyDescent="0.2">
      <c r="A336" s="1" t="s">
        <v>458</v>
      </c>
      <c r="B336" s="1" t="s">
        <v>1000</v>
      </c>
      <c r="C336" s="1">
        <v>874</v>
      </c>
      <c r="D336" s="1">
        <v>5</v>
      </c>
      <c r="F336" s="1">
        <v>2023</v>
      </c>
      <c r="G336" s="5">
        <v>142</v>
      </c>
      <c r="H336" s="5">
        <v>140.52000000000001</v>
      </c>
      <c r="I336" s="5">
        <v>0</v>
      </c>
      <c r="K336" s="5">
        <v>0</v>
      </c>
      <c r="L336" s="5">
        <v>0</v>
      </c>
      <c r="M336" s="5">
        <v>577.12099999999998</v>
      </c>
      <c r="N336" s="6">
        <v>5.9200000000000003E-2</v>
      </c>
      <c r="O336" s="5">
        <v>5.1999999999999998E-2</v>
      </c>
      <c r="P336" s="6">
        <v>1.0200000000000001E-2</v>
      </c>
      <c r="Q336" s="5">
        <v>9748.4480000000003</v>
      </c>
      <c r="R336" s="1" t="s">
        <v>44</v>
      </c>
      <c r="T336" s="1" t="s">
        <v>606</v>
      </c>
      <c r="V336" s="1" t="s">
        <v>1001</v>
      </c>
      <c r="W336" s="1" t="s">
        <v>58</v>
      </c>
      <c r="Y336" s="1" t="s">
        <v>461</v>
      </c>
      <c r="Z336" s="1" t="str">
        <f t="shared" si="15"/>
        <v>874 5</v>
      </c>
      <c r="AA336" s="3">
        <f>IF(INDEX('CAMD Facility Data 2023'!$AA$2:$AE$10000,MATCH(Z336,'CAMD Facility Data 2023'!$AE$2:$AE$10000,0),1)&gt;0,INDEX('CAMD Facility Data 2023'!$AA$2:$AE$10000,MATCH(Z336,'CAMD Facility Data 2023'!$AE$2:$AE$10000,0),1),"")</f>
        <v>21713</v>
      </c>
      <c r="AB336" s="5">
        <f>IF(INDEX('CAMD Facility Data 2023'!$AC$2:$AE$10000,MATCH(Z336,'CAMD Facility Data 2023'!$AE$2:$AE$10000,0),1)&gt;0,INDEX('CAMD Facility Data 2023'!$AC$2:$AE$10000,MATCH(Z336,'CAMD Facility Data 2023'!$AE$2:$AE$10000,0),1),"")</f>
        <v>4239</v>
      </c>
      <c r="AC336" s="1" t="str">
        <f>IF(INDEX('CAMD Facility Data 2023'!$AE$2:$AG$10000,MATCH(Z336,'CAMD Facility Data 2023'!$AE$2:$AE$10000,0),3)&gt;0,INDEX('CAMD Facility Data 2023'!$AE$2:$AG$10000,MATCH(Z336,'CAMD Facility Data 2023'!$AE$2:$AE$10000,0),3),"")</f>
        <v>Y</v>
      </c>
      <c r="AD336" s="20" t="str">
        <f t="shared" si="16"/>
        <v/>
      </c>
      <c r="AE336" s="25">
        <f t="shared" si="17"/>
        <v>2.6252336156649335E-4</v>
      </c>
    </row>
    <row r="337" spans="1:31" x14ac:dyDescent="0.2">
      <c r="A337" s="1" t="s">
        <v>458</v>
      </c>
      <c r="B337" s="1" t="s">
        <v>1003</v>
      </c>
      <c r="C337" s="1">
        <v>876</v>
      </c>
      <c r="D337" s="1">
        <v>1</v>
      </c>
      <c r="E337" s="1" t="s">
        <v>1004</v>
      </c>
      <c r="F337" s="1">
        <v>2023</v>
      </c>
      <c r="G337" s="5">
        <v>3180</v>
      </c>
      <c r="H337" s="5">
        <v>3158.93</v>
      </c>
      <c r="I337" s="5">
        <v>1024929.34</v>
      </c>
      <c r="K337" s="5">
        <v>453.67099999999999</v>
      </c>
      <c r="L337" s="5">
        <v>8.3699999999999997E-2</v>
      </c>
      <c r="M337" s="5">
        <v>1072260.737</v>
      </c>
      <c r="N337" s="6">
        <v>0.105</v>
      </c>
      <c r="O337" s="5">
        <v>166.572</v>
      </c>
      <c r="P337" s="6">
        <v>4.0500000000000001E-2</v>
      </c>
      <c r="Q337" s="5">
        <v>10223725.392999999</v>
      </c>
      <c r="R337" s="1" t="s">
        <v>55</v>
      </c>
      <c r="T337" s="1" t="s">
        <v>606</v>
      </c>
      <c r="U337" s="1" t="s">
        <v>1009</v>
      </c>
      <c r="V337" s="1" t="s">
        <v>1010</v>
      </c>
      <c r="W337" s="1" t="s">
        <v>58</v>
      </c>
      <c r="X337" s="1" t="s">
        <v>937</v>
      </c>
      <c r="Y337" s="1" t="s">
        <v>1005</v>
      </c>
      <c r="Z337" s="1" t="str">
        <f t="shared" si="15"/>
        <v>876 1</v>
      </c>
      <c r="AA337" s="3">
        <f>IF(INDEX('CAMD Facility Data 2023'!$AA$2:$AE$10000,MATCH(Z337,'CAMD Facility Data 2023'!$AE$2:$AE$10000,0),1)&gt;0,INDEX('CAMD Facility Data 2023'!$AA$2:$AE$10000,MATCH(Z337,'CAMD Facility Data 2023'!$AE$2:$AE$10000,0),1),"")</f>
        <v>24630</v>
      </c>
      <c r="AB337" s="5">
        <f>IF(INDEX('CAMD Facility Data 2023'!$AC$2:$AE$10000,MATCH(Z337,'CAMD Facility Data 2023'!$AE$2:$AE$10000,0),1)&gt;0,INDEX('CAMD Facility Data 2023'!$AC$2:$AE$10000,MATCH(Z337,'CAMD Facility Data 2023'!$AE$2:$AE$10000,0),1),"")</f>
        <v>6634</v>
      </c>
      <c r="AC337" s="1" t="str">
        <f>IF(INDEX('CAMD Facility Data 2023'!$AE$2:$AG$10000,MATCH(Z337,'CAMD Facility Data 2023'!$AE$2:$AE$10000,0),3)&gt;0,INDEX('CAMD Facility Data 2023'!$AE$2:$AG$10000,MATCH(Z337,'CAMD Facility Data 2023'!$AE$2:$AE$10000,0),3),"")</f>
        <v>Y</v>
      </c>
      <c r="AD337" s="20">
        <f t="shared" si="16"/>
        <v>0.32504094379813542</v>
      </c>
      <c r="AE337" s="25">
        <f t="shared" si="17"/>
        <v>0.17592582753092895</v>
      </c>
    </row>
    <row r="338" spans="1:31" x14ac:dyDescent="0.2">
      <c r="A338" s="1" t="s">
        <v>458</v>
      </c>
      <c r="B338" s="1" t="s">
        <v>1003</v>
      </c>
      <c r="C338" s="1">
        <v>876</v>
      </c>
      <c r="D338" s="1">
        <v>2</v>
      </c>
      <c r="E338" s="1" t="s">
        <v>1004</v>
      </c>
      <c r="F338" s="1">
        <v>2023</v>
      </c>
      <c r="G338" s="5">
        <v>4363</v>
      </c>
      <c r="H338" s="5">
        <v>4340.68</v>
      </c>
      <c r="I338" s="5">
        <v>1458100.52</v>
      </c>
      <c r="K338" s="5">
        <v>660.61300000000006</v>
      </c>
      <c r="L338" s="5">
        <v>8.5199999999999998E-2</v>
      </c>
      <c r="M338" s="5">
        <v>1526481.43</v>
      </c>
      <c r="N338" s="6">
        <v>0.105</v>
      </c>
      <c r="O338" s="5">
        <v>227.83099999999999</v>
      </c>
      <c r="P338" s="6">
        <v>3.8699999999999998E-2</v>
      </c>
      <c r="Q338" s="5">
        <v>14554589.923</v>
      </c>
      <c r="R338" s="1" t="s">
        <v>55</v>
      </c>
      <c r="T338" s="1" t="s">
        <v>606</v>
      </c>
      <c r="U338" s="1" t="s">
        <v>1009</v>
      </c>
      <c r="V338" s="1" t="s">
        <v>1010</v>
      </c>
      <c r="W338" s="1" t="s">
        <v>58</v>
      </c>
      <c r="X338" s="1" t="s">
        <v>937</v>
      </c>
      <c r="Y338" s="1" t="s">
        <v>1005</v>
      </c>
      <c r="Z338" s="1" t="str">
        <f t="shared" si="15"/>
        <v>876 2</v>
      </c>
      <c r="AA338" s="3">
        <f>IF(INDEX('CAMD Facility Data 2023'!$AA$2:$AE$10000,MATCH(Z338,'CAMD Facility Data 2023'!$AE$2:$AE$10000,0),1)&gt;0,INDEX('CAMD Facility Data 2023'!$AA$2:$AE$10000,MATCH(Z338,'CAMD Facility Data 2023'!$AE$2:$AE$10000,0),1),"")</f>
        <v>24999</v>
      </c>
      <c r="AB338" s="5">
        <f>IF(INDEX('CAMD Facility Data 2023'!$AC$2:$AE$10000,MATCH(Z338,'CAMD Facility Data 2023'!$AE$2:$AE$10000,0),1)&gt;0,INDEX('CAMD Facility Data 2023'!$AC$2:$AE$10000,MATCH(Z338,'CAMD Facility Data 2023'!$AE$2:$AE$10000,0),1),"")</f>
        <v>6406</v>
      </c>
      <c r="AC338" s="1" t="str">
        <f>IF(INDEX('CAMD Facility Data 2023'!$AE$2:$AG$10000,MATCH(Z338,'CAMD Facility Data 2023'!$AE$2:$AE$10000,0),3)&gt;0,INDEX('CAMD Facility Data 2023'!$AE$2:$AG$10000,MATCH(Z338,'CAMD Facility Data 2023'!$AE$2:$AE$10000,0),3),"")</f>
        <v>Y</v>
      </c>
      <c r="AD338" s="20">
        <f t="shared" si="16"/>
        <v>0.3125038320403315</v>
      </c>
      <c r="AE338" s="25">
        <f t="shared" si="17"/>
        <v>0.25936354478963075</v>
      </c>
    </row>
    <row r="339" spans="1:31" x14ac:dyDescent="0.2">
      <c r="A339" s="1" t="s">
        <v>458</v>
      </c>
      <c r="B339" s="1" t="s">
        <v>1013</v>
      </c>
      <c r="C339" s="1">
        <v>879</v>
      </c>
      <c r="D339" s="1">
        <v>51</v>
      </c>
      <c r="E339" s="1" t="s">
        <v>1014</v>
      </c>
      <c r="F339" s="1">
        <v>2023</v>
      </c>
      <c r="G339" s="5">
        <v>1668</v>
      </c>
      <c r="H339" s="5">
        <v>1659.13</v>
      </c>
      <c r="I339" s="5">
        <v>374140.4</v>
      </c>
      <c r="K339" s="5">
        <v>216.95099999999999</v>
      </c>
      <c r="L339" s="5">
        <v>9.8199999999999996E-2</v>
      </c>
      <c r="M339" s="5">
        <v>442725.72</v>
      </c>
      <c r="N339" s="6">
        <v>0.105</v>
      </c>
      <c r="O339" s="5">
        <v>171.785</v>
      </c>
      <c r="P339" s="6">
        <v>8.72E-2</v>
      </c>
      <c r="Q339" s="5">
        <v>4221260.1960000005</v>
      </c>
      <c r="R339" s="1" t="s">
        <v>55</v>
      </c>
      <c r="T339" s="1" t="s">
        <v>606</v>
      </c>
      <c r="V339" s="1" t="s">
        <v>604</v>
      </c>
      <c r="W339" s="1" t="s">
        <v>58</v>
      </c>
      <c r="X339" s="1" t="s">
        <v>214</v>
      </c>
      <c r="Y339" s="1" t="s">
        <v>1005</v>
      </c>
      <c r="Z339" s="1" t="str">
        <f t="shared" si="15"/>
        <v>879 51</v>
      </c>
      <c r="AA339" s="3">
        <f>IF(INDEX('CAMD Facility Data 2023'!$AA$2:$AE$10000,MATCH(Z339,'CAMD Facility Data 2023'!$AE$2:$AE$10000,0),1)&gt;0,INDEX('CAMD Facility Data 2023'!$AA$2:$AE$10000,MATCH(Z339,'CAMD Facility Data 2023'!$AE$2:$AE$10000,0),1),"")</f>
        <v>26856</v>
      </c>
      <c r="AB339" s="5">
        <f>IF(INDEX('CAMD Facility Data 2023'!$AC$2:$AE$10000,MATCH(Z339,'CAMD Facility Data 2023'!$AE$2:$AE$10000,0),1)&gt;0,INDEX('CAMD Facility Data 2023'!$AC$2:$AE$10000,MATCH(Z339,'CAMD Facility Data 2023'!$AE$2:$AE$10000,0),1),"")</f>
        <v>5400</v>
      </c>
      <c r="AC339" s="1" t="str">
        <f>IF(INDEX('CAMD Facility Data 2023'!$AE$2:$AG$10000,MATCH(Z339,'CAMD Facility Data 2023'!$AE$2:$AE$10000,0),3)&gt;0,INDEX('CAMD Facility Data 2023'!$AE$2:$AG$10000,MATCH(Z339,'CAMD Facility Data 2023'!$AE$2:$AE$10000,0),3),"")</f>
        <v>Y</v>
      </c>
      <c r="AD339" s="20">
        <f t="shared" si="16"/>
        <v>0.9182916359740888</v>
      </c>
      <c r="AE339" s="25">
        <f t="shared" si="17"/>
        <v>8.9236855149670224E-2</v>
      </c>
    </row>
    <row r="340" spans="1:31" x14ac:dyDescent="0.2">
      <c r="A340" s="1" t="s">
        <v>458</v>
      </c>
      <c r="B340" s="1" t="s">
        <v>1013</v>
      </c>
      <c r="C340" s="1">
        <v>879</v>
      </c>
      <c r="D340" s="1">
        <v>52</v>
      </c>
      <c r="E340" s="1" t="s">
        <v>1014</v>
      </c>
      <c r="F340" s="1">
        <v>2023</v>
      </c>
      <c r="G340" s="5">
        <v>1757</v>
      </c>
      <c r="H340" s="5">
        <v>1743.5</v>
      </c>
      <c r="I340" s="5">
        <v>428373.26</v>
      </c>
      <c r="K340" s="5">
        <v>245.76900000000001</v>
      </c>
      <c r="L340" s="5">
        <v>9.8799999999999999E-2</v>
      </c>
      <c r="M340" s="5">
        <v>505447.99699999997</v>
      </c>
      <c r="N340" s="6">
        <v>0.105</v>
      </c>
      <c r="O340" s="5">
        <v>186.136</v>
      </c>
      <c r="P340" s="6">
        <v>7.8799999999999995E-2</v>
      </c>
      <c r="Q340" s="5">
        <v>4819304.0360000003</v>
      </c>
      <c r="R340" s="1" t="s">
        <v>55</v>
      </c>
      <c r="T340" s="1" t="s">
        <v>606</v>
      </c>
      <c r="V340" s="1" t="s">
        <v>604</v>
      </c>
      <c r="W340" s="1" t="s">
        <v>58</v>
      </c>
      <c r="X340" s="1" t="s">
        <v>214</v>
      </c>
      <c r="Y340" s="1" t="s">
        <v>1005</v>
      </c>
      <c r="Z340" s="1" t="str">
        <f t="shared" si="15"/>
        <v>879 52</v>
      </c>
      <c r="AA340" s="3">
        <f>IF(INDEX('CAMD Facility Data 2023'!$AA$2:$AE$10000,MATCH(Z340,'CAMD Facility Data 2023'!$AE$2:$AE$10000,0),1)&gt;0,INDEX('CAMD Facility Data 2023'!$AA$2:$AE$10000,MATCH(Z340,'CAMD Facility Data 2023'!$AE$2:$AE$10000,0),1),"")</f>
        <v>26856</v>
      </c>
      <c r="AB340" s="5">
        <f>IF(INDEX('CAMD Facility Data 2023'!$AC$2:$AE$10000,MATCH(Z340,'CAMD Facility Data 2023'!$AE$2:$AE$10000,0),1)&gt;0,INDEX('CAMD Facility Data 2023'!$AC$2:$AE$10000,MATCH(Z340,'CAMD Facility Data 2023'!$AE$2:$AE$10000,0),1),"")</f>
        <v>5400</v>
      </c>
      <c r="AC340" s="1" t="str">
        <f>IF(INDEX('CAMD Facility Data 2023'!$AE$2:$AG$10000,MATCH(Z340,'CAMD Facility Data 2023'!$AE$2:$AE$10000,0),3)&gt;0,INDEX('CAMD Facility Data 2023'!$AE$2:$AG$10000,MATCH(Z340,'CAMD Facility Data 2023'!$AE$2:$AE$10000,0),3),"")</f>
        <v>Y</v>
      </c>
      <c r="AD340" s="20">
        <f t="shared" si="16"/>
        <v>0.86903650335224003</v>
      </c>
      <c r="AE340" s="25">
        <f t="shared" si="17"/>
        <v>0.10187941899205141</v>
      </c>
    </row>
    <row r="341" spans="1:31" x14ac:dyDescent="0.2">
      <c r="A341" s="1" t="s">
        <v>458</v>
      </c>
      <c r="B341" s="1" t="s">
        <v>1013</v>
      </c>
      <c r="C341" s="1">
        <v>879</v>
      </c>
      <c r="D341" s="1">
        <v>61</v>
      </c>
      <c r="E341" s="1" t="s">
        <v>1014</v>
      </c>
      <c r="F341" s="1">
        <v>2023</v>
      </c>
      <c r="G341" s="5">
        <v>1860</v>
      </c>
      <c r="H341" s="5">
        <v>1853.26</v>
      </c>
      <c r="I341" s="5">
        <v>431967.28</v>
      </c>
      <c r="K341" s="5">
        <v>249.54</v>
      </c>
      <c r="L341" s="5">
        <v>9.7799999999999998E-2</v>
      </c>
      <c r="M341" s="5">
        <v>518668.87900000002</v>
      </c>
      <c r="N341" s="6">
        <v>0.105</v>
      </c>
      <c r="O341" s="5">
        <v>208.32499999999999</v>
      </c>
      <c r="P341" s="6">
        <v>8.9399999999999993E-2</v>
      </c>
      <c r="Q341" s="5">
        <v>4945358.7539999997</v>
      </c>
      <c r="R341" s="1" t="s">
        <v>55</v>
      </c>
      <c r="T341" s="1" t="s">
        <v>606</v>
      </c>
      <c r="U341" s="1" t="s">
        <v>1009</v>
      </c>
      <c r="V341" s="1" t="s">
        <v>604</v>
      </c>
      <c r="W341" s="1" t="s">
        <v>58</v>
      </c>
      <c r="X341" s="1" t="s">
        <v>214</v>
      </c>
      <c r="Y341" s="1" t="s">
        <v>1005</v>
      </c>
      <c r="Z341" s="1" t="str">
        <f t="shared" si="15"/>
        <v>879 61</v>
      </c>
      <c r="AA341" s="3">
        <f>IF(INDEX('CAMD Facility Data 2023'!$AA$2:$AE$10000,MATCH(Z341,'CAMD Facility Data 2023'!$AE$2:$AE$10000,0),1)&gt;0,INDEX('CAMD Facility Data 2023'!$AA$2:$AE$10000,MATCH(Z341,'CAMD Facility Data 2023'!$AE$2:$AE$10000,0),1),"")</f>
        <v>28010</v>
      </c>
      <c r="AB341" s="5">
        <f>IF(INDEX('CAMD Facility Data 2023'!$AC$2:$AE$10000,MATCH(Z341,'CAMD Facility Data 2023'!$AE$2:$AE$10000,0),1)&gt;0,INDEX('CAMD Facility Data 2023'!$AC$2:$AE$10000,MATCH(Z341,'CAMD Facility Data 2023'!$AE$2:$AE$10000,0),1),"")</f>
        <v>5400</v>
      </c>
      <c r="AC341" s="1" t="str">
        <f>IF(INDEX('CAMD Facility Data 2023'!$AE$2:$AG$10000,MATCH(Z341,'CAMD Facility Data 2023'!$AE$2:$AE$10000,0),3)&gt;0,INDEX('CAMD Facility Data 2023'!$AE$2:$AG$10000,MATCH(Z341,'CAMD Facility Data 2023'!$AE$2:$AE$10000,0),3),"")</f>
        <v>Y</v>
      </c>
      <c r="AD341" s="20">
        <f t="shared" si="16"/>
        <v>0.96454064761571745</v>
      </c>
      <c r="AE341" s="25">
        <f t="shared" si="17"/>
        <v>0.10454419824961948</v>
      </c>
    </row>
    <row r="342" spans="1:31" x14ac:dyDescent="0.2">
      <c r="A342" s="1" t="s">
        <v>458</v>
      </c>
      <c r="B342" s="1" t="s">
        <v>1013</v>
      </c>
      <c r="C342" s="1">
        <v>879</v>
      </c>
      <c r="D342" s="1">
        <v>62</v>
      </c>
      <c r="E342" s="1" t="s">
        <v>1014</v>
      </c>
      <c r="F342" s="1">
        <v>2023</v>
      </c>
      <c r="G342" s="5">
        <v>1413</v>
      </c>
      <c r="H342" s="5">
        <v>1401.06</v>
      </c>
      <c r="I342" s="5">
        <v>335835.34</v>
      </c>
      <c r="K342" s="5">
        <v>190.506</v>
      </c>
      <c r="L342" s="5">
        <v>9.8699999999999996E-2</v>
      </c>
      <c r="M342" s="5">
        <v>392552.44199999998</v>
      </c>
      <c r="N342" s="6">
        <v>0.105</v>
      </c>
      <c r="O342" s="5">
        <v>147.76900000000001</v>
      </c>
      <c r="P342" s="6">
        <v>7.8399999999999997E-2</v>
      </c>
      <c r="Q342" s="5">
        <v>3742874.426</v>
      </c>
      <c r="R342" s="1" t="s">
        <v>55</v>
      </c>
      <c r="T342" s="1" t="s">
        <v>606</v>
      </c>
      <c r="U342" s="1" t="s">
        <v>1009</v>
      </c>
      <c r="V342" s="1" t="s">
        <v>604</v>
      </c>
      <c r="W342" s="1" t="s">
        <v>58</v>
      </c>
      <c r="X342" s="1" t="s">
        <v>214</v>
      </c>
      <c r="Y342" s="1" t="s">
        <v>1005</v>
      </c>
      <c r="Z342" s="1" t="str">
        <f t="shared" si="15"/>
        <v>879 62</v>
      </c>
      <c r="AA342" s="3">
        <f>IF(INDEX('CAMD Facility Data 2023'!$AA$2:$AE$10000,MATCH(Z342,'CAMD Facility Data 2023'!$AE$2:$AE$10000,0),1)&gt;0,INDEX('CAMD Facility Data 2023'!$AA$2:$AE$10000,MATCH(Z342,'CAMD Facility Data 2023'!$AE$2:$AE$10000,0),1),"")</f>
        <v>28010</v>
      </c>
      <c r="AB342" s="5">
        <f>IF(INDEX('CAMD Facility Data 2023'!$AC$2:$AE$10000,MATCH(Z342,'CAMD Facility Data 2023'!$AE$2:$AE$10000,0),1)&gt;0,INDEX('CAMD Facility Data 2023'!$AC$2:$AE$10000,MATCH(Z342,'CAMD Facility Data 2023'!$AE$2:$AE$10000,0),1),"")</f>
        <v>5400</v>
      </c>
      <c r="AC342" s="1" t="str">
        <f>IF(INDEX('CAMD Facility Data 2023'!$AE$2:$AG$10000,MATCH(Z342,'CAMD Facility Data 2023'!$AE$2:$AE$10000,0),3)&gt;0,INDEX('CAMD Facility Data 2023'!$AE$2:$AG$10000,MATCH(Z342,'CAMD Facility Data 2023'!$AE$2:$AE$10000,0),3),"")</f>
        <v>Y</v>
      </c>
      <c r="AD342" s="20">
        <f t="shared" si="16"/>
        <v>0.88000863756625491</v>
      </c>
      <c r="AE342" s="25">
        <f t="shared" si="17"/>
        <v>7.9123846313208179E-2</v>
      </c>
    </row>
    <row r="343" spans="1:31" x14ac:dyDescent="0.2">
      <c r="A343" s="1" t="s">
        <v>458</v>
      </c>
      <c r="B343" s="1" t="s">
        <v>1019</v>
      </c>
      <c r="C343" s="1">
        <v>883</v>
      </c>
      <c r="D343" s="1">
        <v>311</v>
      </c>
      <c r="F343" s="1">
        <v>2023</v>
      </c>
      <c r="G343" s="5">
        <v>26</v>
      </c>
      <c r="H343" s="5">
        <v>9.5</v>
      </c>
      <c r="K343" s="5">
        <v>0.48199999999999998</v>
      </c>
      <c r="L343" s="5">
        <v>0.21249999999999999</v>
      </c>
      <c r="M343" s="5">
        <v>425.3</v>
      </c>
      <c r="N343" s="6">
        <v>8.1000000000000003E-2</v>
      </c>
      <c r="O343" s="5">
        <v>3.15</v>
      </c>
      <c r="P343" s="6">
        <v>1.2</v>
      </c>
      <c r="Q343" s="5">
        <v>5249.6</v>
      </c>
      <c r="R343" s="1" t="s">
        <v>94</v>
      </c>
      <c r="T343" s="1" t="s">
        <v>93</v>
      </c>
      <c r="Y343" s="1" t="s">
        <v>1020</v>
      </c>
      <c r="Z343" s="1" t="str">
        <f t="shared" si="15"/>
        <v>883 311</v>
      </c>
      <c r="AA343" s="3">
        <f>IF(INDEX('CAMD Facility Data 2023'!$AA$2:$AE$10000,MATCH(Z343,'CAMD Facility Data 2023'!$AE$2:$AE$10000,0),1)&gt;0,INDEX('CAMD Facility Data 2023'!$AA$2:$AE$10000,MATCH(Z343,'CAMD Facility Data 2023'!$AE$2:$AE$10000,0),1),"")</f>
        <v>25030</v>
      </c>
      <c r="AB343" s="5">
        <f>IF(INDEX('CAMD Facility Data 2023'!$AC$2:$AE$10000,MATCH(Z343,'CAMD Facility Data 2023'!$AE$2:$AE$10000,0),1)&gt;0,INDEX('CAMD Facility Data 2023'!$AC$2:$AE$10000,MATCH(Z343,'CAMD Facility Data 2023'!$AE$2:$AE$10000,0),1),"")</f>
        <v>553</v>
      </c>
      <c r="AC343" s="1" t="str">
        <f>IF(INDEX('CAMD Facility Data 2023'!$AE$2:$AG$10000,MATCH(Z343,'CAMD Facility Data 2023'!$AE$2:$AE$10000,0),3)&gt;0,INDEX('CAMD Facility Data 2023'!$AE$2:$AG$10000,MATCH(Z343,'CAMD Facility Data 2023'!$AE$2:$AE$10000,0),3),"")</f>
        <v/>
      </c>
      <c r="AD343" s="20" t="str">
        <f t="shared" si="16"/>
        <v/>
      </c>
      <c r="AE343" s="25">
        <f t="shared" si="17"/>
        <v>1.0836698126450164E-3</v>
      </c>
    </row>
    <row r="344" spans="1:31" x14ac:dyDescent="0.2">
      <c r="A344" s="1" t="s">
        <v>458</v>
      </c>
      <c r="B344" s="1" t="s">
        <v>1019</v>
      </c>
      <c r="C344" s="1">
        <v>883</v>
      </c>
      <c r="D344" s="1">
        <v>312</v>
      </c>
      <c r="F344" s="1">
        <v>2023</v>
      </c>
      <c r="G344" s="5">
        <v>24</v>
      </c>
      <c r="H344" s="5">
        <v>9.39</v>
      </c>
      <c r="K344" s="5">
        <v>0.47199999999999998</v>
      </c>
      <c r="L344" s="5">
        <v>0.20930000000000001</v>
      </c>
      <c r="M344" s="5">
        <v>420.4</v>
      </c>
      <c r="N344" s="6">
        <v>8.1000000000000003E-2</v>
      </c>
      <c r="O344" s="5">
        <v>3.113</v>
      </c>
      <c r="P344" s="6">
        <v>1.2</v>
      </c>
      <c r="Q344" s="5">
        <v>5188.8999999999996</v>
      </c>
      <c r="R344" s="1" t="s">
        <v>94</v>
      </c>
      <c r="T344" s="1" t="s">
        <v>93</v>
      </c>
      <c r="Y344" s="1" t="s">
        <v>1020</v>
      </c>
      <c r="Z344" s="1" t="str">
        <f t="shared" si="15"/>
        <v>883 312</v>
      </c>
      <c r="AA344" s="3">
        <f>IF(INDEX('CAMD Facility Data 2023'!$AA$2:$AE$10000,MATCH(Z344,'CAMD Facility Data 2023'!$AE$2:$AE$10000,0),1)&gt;0,INDEX('CAMD Facility Data 2023'!$AA$2:$AE$10000,MATCH(Z344,'CAMD Facility Data 2023'!$AE$2:$AE$10000,0),1),"")</f>
        <v>25030</v>
      </c>
      <c r="AB344" s="5">
        <f>IF(INDEX('CAMD Facility Data 2023'!$AC$2:$AE$10000,MATCH(Z344,'CAMD Facility Data 2023'!$AE$2:$AE$10000,0),1)&gt;0,INDEX('CAMD Facility Data 2023'!$AC$2:$AE$10000,MATCH(Z344,'CAMD Facility Data 2023'!$AE$2:$AE$10000,0),1),"")</f>
        <v>553</v>
      </c>
      <c r="AC344" s="1" t="str">
        <f>IF(INDEX('CAMD Facility Data 2023'!$AE$2:$AG$10000,MATCH(Z344,'CAMD Facility Data 2023'!$AE$2:$AE$10000,0),3)&gt;0,INDEX('CAMD Facility Data 2023'!$AE$2:$AG$10000,MATCH(Z344,'CAMD Facility Data 2023'!$AE$2:$AE$10000,0),3),"")</f>
        <v/>
      </c>
      <c r="AD344" s="20" t="str">
        <f t="shared" si="16"/>
        <v/>
      </c>
      <c r="AE344" s="25">
        <f t="shared" si="17"/>
        <v>1.0711395707927699E-3</v>
      </c>
    </row>
    <row r="345" spans="1:31" x14ac:dyDescent="0.2">
      <c r="A345" s="1" t="s">
        <v>458</v>
      </c>
      <c r="B345" s="1" t="s">
        <v>1019</v>
      </c>
      <c r="C345" s="1">
        <v>883</v>
      </c>
      <c r="D345" s="1">
        <v>321</v>
      </c>
      <c r="F345" s="1">
        <v>2023</v>
      </c>
      <c r="G345" s="5">
        <v>24</v>
      </c>
      <c r="H345" s="5">
        <v>9.4</v>
      </c>
      <c r="K345" s="5">
        <v>0.48</v>
      </c>
      <c r="L345" s="5">
        <v>0.1883</v>
      </c>
      <c r="M345" s="5">
        <v>420.7</v>
      </c>
      <c r="N345" s="6">
        <v>8.1000000000000003E-2</v>
      </c>
      <c r="O345" s="5">
        <v>3.117</v>
      </c>
      <c r="P345" s="6">
        <v>1.2</v>
      </c>
      <c r="Q345" s="5">
        <v>5194.5</v>
      </c>
      <c r="R345" s="1" t="s">
        <v>94</v>
      </c>
      <c r="T345" s="1" t="s">
        <v>93</v>
      </c>
      <c r="Y345" s="1" t="s">
        <v>1020</v>
      </c>
      <c r="Z345" s="1" t="str">
        <f t="shared" si="15"/>
        <v>883 321</v>
      </c>
      <c r="AA345" s="3">
        <f>IF(INDEX('CAMD Facility Data 2023'!$AA$2:$AE$10000,MATCH(Z345,'CAMD Facility Data 2023'!$AE$2:$AE$10000,0),1)&gt;0,INDEX('CAMD Facility Data 2023'!$AA$2:$AE$10000,MATCH(Z345,'CAMD Facility Data 2023'!$AE$2:$AE$10000,0),1),"")</f>
        <v>25030</v>
      </c>
      <c r="AB345" s="5">
        <f>IF(INDEX('CAMD Facility Data 2023'!$AC$2:$AE$10000,MATCH(Z345,'CAMD Facility Data 2023'!$AE$2:$AE$10000,0),1)&gt;0,INDEX('CAMD Facility Data 2023'!$AC$2:$AE$10000,MATCH(Z345,'CAMD Facility Data 2023'!$AE$2:$AE$10000,0),1),"")</f>
        <v>553</v>
      </c>
      <c r="AC345" s="1" t="str">
        <f>IF(INDEX('CAMD Facility Data 2023'!$AE$2:$AG$10000,MATCH(Z345,'CAMD Facility Data 2023'!$AE$2:$AE$10000,0),3)&gt;0,INDEX('CAMD Facility Data 2023'!$AE$2:$AG$10000,MATCH(Z345,'CAMD Facility Data 2023'!$AE$2:$AE$10000,0),3),"")</f>
        <v/>
      </c>
      <c r="AD345" s="20" t="str">
        <f t="shared" si="16"/>
        <v/>
      </c>
      <c r="AE345" s="25">
        <f t="shared" si="17"/>
        <v>1.0722955733359757E-3</v>
      </c>
    </row>
    <row r="346" spans="1:31" x14ac:dyDescent="0.2">
      <c r="A346" s="1" t="s">
        <v>458</v>
      </c>
      <c r="B346" s="1" t="s">
        <v>1019</v>
      </c>
      <c r="C346" s="1">
        <v>883</v>
      </c>
      <c r="D346" s="1">
        <v>322</v>
      </c>
      <c r="F346" s="1">
        <v>2023</v>
      </c>
      <c r="G346" s="5">
        <v>30</v>
      </c>
      <c r="H346" s="5">
        <v>10.84</v>
      </c>
      <c r="K346" s="5">
        <v>0.58199999999999996</v>
      </c>
      <c r="L346" s="5">
        <v>0.2009</v>
      </c>
      <c r="M346" s="5">
        <v>485</v>
      </c>
      <c r="N346" s="6">
        <v>8.09E-2</v>
      </c>
      <c r="O346" s="5">
        <v>3.5939999999999999</v>
      </c>
      <c r="P346" s="6">
        <v>1.2</v>
      </c>
      <c r="Q346" s="5">
        <v>5990</v>
      </c>
      <c r="R346" s="1" t="s">
        <v>94</v>
      </c>
      <c r="T346" s="1" t="s">
        <v>93</v>
      </c>
      <c r="Y346" s="1" t="s">
        <v>1020</v>
      </c>
      <c r="Z346" s="1" t="str">
        <f t="shared" si="15"/>
        <v>883 322</v>
      </c>
      <c r="AA346" s="3">
        <f>IF(INDEX('CAMD Facility Data 2023'!$AA$2:$AE$10000,MATCH(Z346,'CAMD Facility Data 2023'!$AE$2:$AE$10000,0),1)&gt;0,INDEX('CAMD Facility Data 2023'!$AA$2:$AE$10000,MATCH(Z346,'CAMD Facility Data 2023'!$AE$2:$AE$10000,0),1),"")</f>
        <v>25030</v>
      </c>
      <c r="AB346" s="5">
        <f>IF(INDEX('CAMD Facility Data 2023'!$AC$2:$AE$10000,MATCH(Z346,'CAMD Facility Data 2023'!$AE$2:$AE$10000,0),1)&gt;0,INDEX('CAMD Facility Data 2023'!$AC$2:$AE$10000,MATCH(Z346,'CAMD Facility Data 2023'!$AE$2:$AE$10000,0),1),"")</f>
        <v>553</v>
      </c>
      <c r="AC346" s="1" t="str">
        <f>IF(INDEX('CAMD Facility Data 2023'!$AE$2:$AG$10000,MATCH(Z346,'CAMD Facility Data 2023'!$AE$2:$AE$10000,0),3)&gt;0,INDEX('CAMD Facility Data 2023'!$AE$2:$AG$10000,MATCH(Z346,'CAMD Facility Data 2023'!$AE$2:$AE$10000,0),3),"")</f>
        <v/>
      </c>
      <c r="AD346" s="20" t="str">
        <f t="shared" si="16"/>
        <v/>
      </c>
      <c r="AE346" s="25">
        <f t="shared" si="17"/>
        <v>1.2365098631788418E-3</v>
      </c>
    </row>
    <row r="347" spans="1:31" x14ac:dyDescent="0.2">
      <c r="A347" s="1" t="s">
        <v>458</v>
      </c>
      <c r="B347" s="1" t="s">
        <v>1028</v>
      </c>
      <c r="C347" s="1">
        <v>886</v>
      </c>
      <c r="D347" s="1">
        <v>311</v>
      </c>
      <c r="F347" s="1">
        <v>2023</v>
      </c>
      <c r="G347" s="5">
        <v>33</v>
      </c>
      <c r="H347" s="5">
        <v>11.26</v>
      </c>
      <c r="K347" s="5">
        <v>0.65500000000000003</v>
      </c>
      <c r="L347" s="5">
        <v>0.25840000000000002</v>
      </c>
      <c r="M347" s="5">
        <v>437</v>
      </c>
      <c r="N347" s="6">
        <v>8.09E-2</v>
      </c>
      <c r="O347" s="5">
        <v>3.238</v>
      </c>
      <c r="P347" s="6">
        <v>1.2001999999999999</v>
      </c>
      <c r="Q347" s="5">
        <v>5396.8</v>
      </c>
      <c r="R347" s="1" t="s">
        <v>94</v>
      </c>
      <c r="T347" s="1" t="s">
        <v>93</v>
      </c>
      <c r="Y347" s="1" t="s">
        <v>1020</v>
      </c>
      <c r="Z347" s="1" t="str">
        <f t="shared" si="15"/>
        <v>886 311</v>
      </c>
      <c r="AA347" s="3">
        <f>IF(INDEX('CAMD Facility Data 2023'!$AA$2:$AE$10000,MATCH(Z347,'CAMD Facility Data 2023'!$AE$2:$AE$10000,0),1)&gt;0,INDEX('CAMD Facility Data 2023'!$AA$2:$AE$10000,MATCH(Z347,'CAMD Facility Data 2023'!$AE$2:$AE$10000,0),1),"")</f>
        <v>25030</v>
      </c>
      <c r="AB347" s="5">
        <f>IF(INDEX('CAMD Facility Data 2023'!$AC$2:$AE$10000,MATCH(Z347,'CAMD Facility Data 2023'!$AE$2:$AE$10000,0),1)&gt;0,INDEX('CAMD Facility Data 2023'!$AC$2:$AE$10000,MATCH(Z347,'CAMD Facility Data 2023'!$AE$2:$AE$10000,0),1),"")</f>
        <v>479.3</v>
      </c>
      <c r="AC347" s="1" t="str">
        <f>IF(INDEX('CAMD Facility Data 2023'!$AE$2:$AG$10000,MATCH(Z347,'CAMD Facility Data 2023'!$AE$2:$AE$10000,0),3)&gt;0,INDEX('CAMD Facility Data 2023'!$AE$2:$AG$10000,MATCH(Z347,'CAMD Facility Data 2023'!$AE$2:$AE$10000,0),3),"")</f>
        <v/>
      </c>
      <c r="AD347" s="20" t="str">
        <f t="shared" si="16"/>
        <v/>
      </c>
      <c r="AE347" s="25">
        <f t="shared" si="17"/>
        <v>1.2853600237027554E-3</v>
      </c>
    </row>
    <row r="348" spans="1:31" x14ac:dyDescent="0.2">
      <c r="A348" s="1" t="s">
        <v>458</v>
      </c>
      <c r="B348" s="1" t="s">
        <v>1028</v>
      </c>
      <c r="C348" s="1">
        <v>886</v>
      </c>
      <c r="D348" s="1">
        <v>312</v>
      </c>
      <c r="F348" s="1">
        <v>2023</v>
      </c>
      <c r="G348" s="5">
        <v>28</v>
      </c>
      <c r="H348" s="5">
        <v>9.91</v>
      </c>
      <c r="K348" s="5">
        <v>0.55600000000000005</v>
      </c>
      <c r="L348" s="5">
        <v>0.26850000000000002</v>
      </c>
      <c r="M348" s="5">
        <v>384.6</v>
      </c>
      <c r="N348" s="6">
        <v>8.1199999999999994E-2</v>
      </c>
      <c r="O348" s="5">
        <v>2.85</v>
      </c>
      <c r="P348" s="6">
        <v>1.2002999999999999</v>
      </c>
      <c r="Q348" s="5">
        <v>4750</v>
      </c>
      <c r="R348" s="1" t="s">
        <v>94</v>
      </c>
      <c r="T348" s="1" t="s">
        <v>93</v>
      </c>
      <c r="Y348" s="1" t="s">
        <v>1020</v>
      </c>
      <c r="Z348" s="1" t="str">
        <f t="shared" si="15"/>
        <v>886 312</v>
      </c>
      <c r="AA348" s="3">
        <f>IF(INDEX('CAMD Facility Data 2023'!$AA$2:$AE$10000,MATCH(Z348,'CAMD Facility Data 2023'!$AE$2:$AE$10000,0),1)&gt;0,INDEX('CAMD Facility Data 2023'!$AA$2:$AE$10000,MATCH(Z348,'CAMD Facility Data 2023'!$AE$2:$AE$10000,0),1),"")</f>
        <v>25030</v>
      </c>
      <c r="AB348" s="5">
        <f>IF(INDEX('CAMD Facility Data 2023'!$AC$2:$AE$10000,MATCH(Z348,'CAMD Facility Data 2023'!$AE$2:$AE$10000,0),1)&gt;0,INDEX('CAMD Facility Data 2023'!$AC$2:$AE$10000,MATCH(Z348,'CAMD Facility Data 2023'!$AE$2:$AE$10000,0),1),"")</f>
        <v>479.3</v>
      </c>
      <c r="AC348" s="1" t="str">
        <f>IF(INDEX('CAMD Facility Data 2023'!$AE$2:$AG$10000,MATCH(Z348,'CAMD Facility Data 2023'!$AE$2:$AE$10000,0),3)&gt;0,INDEX('CAMD Facility Data 2023'!$AE$2:$AG$10000,MATCH(Z348,'CAMD Facility Data 2023'!$AE$2:$AE$10000,0),3),"")</f>
        <v/>
      </c>
      <c r="AD348" s="20" t="str">
        <f t="shared" si="16"/>
        <v/>
      </c>
      <c r="AE348" s="25">
        <f t="shared" si="17"/>
        <v>1.1313111682085843E-3</v>
      </c>
    </row>
    <row r="349" spans="1:31" x14ac:dyDescent="0.2">
      <c r="A349" s="1" t="s">
        <v>458</v>
      </c>
      <c r="B349" s="1" t="s">
        <v>1028</v>
      </c>
      <c r="C349" s="1">
        <v>886</v>
      </c>
      <c r="D349" s="1">
        <v>321</v>
      </c>
      <c r="F349" s="1">
        <v>2023</v>
      </c>
      <c r="G349" s="5">
        <v>28</v>
      </c>
      <c r="H349" s="5">
        <v>9.11</v>
      </c>
      <c r="K349" s="5">
        <v>0.44400000000000001</v>
      </c>
      <c r="L349" s="5">
        <v>0.215</v>
      </c>
      <c r="M349" s="5">
        <v>353.5</v>
      </c>
      <c r="N349" s="6">
        <v>8.1199999999999994E-2</v>
      </c>
      <c r="O349" s="5">
        <v>2.62</v>
      </c>
      <c r="P349" s="6">
        <v>1.1999</v>
      </c>
      <c r="Q349" s="5">
        <v>4366.7</v>
      </c>
      <c r="R349" s="1" t="s">
        <v>94</v>
      </c>
      <c r="T349" s="1" t="s">
        <v>93</v>
      </c>
      <c r="Y349" s="1" t="s">
        <v>1020</v>
      </c>
      <c r="Z349" s="1" t="str">
        <f t="shared" si="15"/>
        <v>886 321</v>
      </c>
      <c r="AA349" s="3">
        <f>IF(INDEX('CAMD Facility Data 2023'!$AA$2:$AE$10000,MATCH(Z349,'CAMD Facility Data 2023'!$AE$2:$AE$10000,0),1)&gt;0,INDEX('CAMD Facility Data 2023'!$AA$2:$AE$10000,MATCH(Z349,'CAMD Facility Data 2023'!$AE$2:$AE$10000,0),1),"")</f>
        <v>25030</v>
      </c>
      <c r="AB349" s="5">
        <f>IF(INDEX('CAMD Facility Data 2023'!$AC$2:$AE$10000,MATCH(Z349,'CAMD Facility Data 2023'!$AE$2:$AE$10000,0),1)&gt;0,INDEX('CAMD Facility Data 2023'!$AC$2:$AE$10000,MATCH(Z349,'CAMD Facility Data 2023'!$AE$2:$AE$10000,0),1),"")</f>
        <v>479.3</v>
      </c>
      <c r="AC349" s="1" t="str">
        <f>IF(INDEX('CAMD Facility Data 2023'!$AE$2:$AG$10000,MATCH(Z349,'CAMD Facility Data 2023'!$AE$2:$AE$10000,0),3)&gt;0,INDEX('CAMD Facility Data 2023'!$AE$2:$AG$10000,MATCH(Z349,'CAMD Facility Data 2023'!$AE$2:$AE$10000,0),3),"")</f>
        <v/>
      </c>
      <c r="AD349" s="20" t="str">
        <f t="shared" si="16"/>
        <v/>
      </c>
      <c r="AE349" s="25">
        <f t="shared" si="17"/>
        <v>1.0400203112034578E-3</v>
      </c>
    </row>
    <row r="350" spans="1:31" x14ac:dyDescent="0.2">
      <c r="A350" s="1" t="s">
        <v>458</v>
      </c>
      <c r="B350" s="1" t="s">
        <v>1028</v>
      </c>
      <c r="C350" s="1">
        <v>886</v>
      </c>
      <c r="D350" s="1">
        <v>322</v>
      </c>
      <c r="F350" s="1">
        <v>2023</v>
      </c>
      <c r="G350" s="5">
        <v>29</v>
      </c>
      <c r="H350" s="5">
        <v>11.03</v>
      </c>
      <c r="K350" s="5">
        <v>0.6</v>
      </c>
      <c r="L350" s="5">
        <v>0.22509999999999999</v>
      </c>
      <c r="M350" s="5">
        <v>428.1</v>
      </c>
      <c r="N350" s="6">
        <v>8.1000000000000003E-2</v>
      </c>
      <c r="O350" s="5">
        <v>3.1720000000000002</v>
      </c>
      <c r="P350" s="6">
        <v>1.2</v>
      </c>
      <c r="Q350" s="5">
        <v>5286.7</v>
      </c>
      <c r="R350" s="1" t="s">
        <v>94</v>
      </c>
      <c r="T350" s="1" t="s">
        <v>93</v>
      </c>
      <c r="Y350" s="1" t="s">
        <v>1020</v>
      </c>
      <c r="Z350" s="1" t="str">
        <f t="shared" si="15"/>
        <v>886 322</v>
      </c>
      <c r="AA350" s="3">
        <f>IF(INDEX('CAMD Facility Data 2023'!$AA$2:$AE$10000,MATCH(Z350,'CAMD Facility Data 2023'!$AE$2:$AE$10000,0),1)&gt;0,INDEX('CAMD Facility Data 2023'!$AA$2:$AE$10000,MATCH(Z350,'CAMD Facility Data 2023'!$AE$2:$AE$10000,0),1),"")</f>
        <v>25030</v>
      </c>
      <c r="AB350" s="5">
        <f>IF(INDEX('CAMD Facility Data 2023'!$AC$2:$AE$10000,MATCH(Z350,'CAMD Facility Data 2023'!$AE$2:$AE$10000,0),1)&gt;0,INDEX('CAMD Facility Data 2023'!$AC$2:$AE$10000,MATCH(Z350,'CAMD Facility Data 2023'!$AE$2:$AE$10000,0),1),"")</f>
        <v>479.3</v>
      </c>
      <c r="AC350" s="1" t="str">
        <f>IF(INDEX('CAMD Facility Data 2023'!$AE$2:$AG$10000,MATCH(Z350,'CAMD Facility Data 2023'!$AE$2:$AE$10000,0),3)&gt;0,INDEX('CAMD Facility Data 2023'!$AE$2:$AG$10000,MATCH(Z350,'CAMD Facility Data 2023'!$AE$2:$AE$10000,0),3),"")</f>
        <v/>
      </c>
      <c r="AD350" s="20" t="str">
        <f t="shared" si="16"/>
        <v/>
      </c>
      <c r="AE350" s="25">
        <f t="shared" si="17"/>
        <v>1.2591374216775414E-3</v>
      </c>
    </row>
    <row r="351" spans="1:31" x14ac:dyDescent="0.2">
      <c r="A351" s="1" t="s">
        <v>458</v>
      </c>
      <c r="B351" s="1" t="s">
        <v>1028</v>
      </c>
      <c r="C351" s="1">
        <v>886</v>
      </c>
      <c r="D351" s="1">
        <v>331</v>
      </c>
      <c r="F351" s="1">
        <v>2023</v>
      </c>
      <c r="G351" s="5">
        <v>23</v>
      </c>
      <c r="H351" s="5">
        <v>8.8000000000000007</v>
      </c>
      <c r="K351" s="5">
        <v>0.45</v>
      </c>
      <c r="L351" s="5">
        <v>0.2616</v>
      </c>
      <c r="M351" s="5">
        <v>341.6</v>
      </c>
      <c r="N351" s="6">
        <v>8.1000000000000003E-2</v>
      </c>
      <c r="O351" s="5">
        <v>2.5310000000000001</v>
      </c>
      <c r="P351" s="6">
        <v>1.2</v>
      </c>
      <c r="Q351" s="5">
        <v>4218</v>
      </c>
      <c r="R351" s="1" t="s">
        <v>94</v>
      </c>
      <c r="T351" s="1" t="s">
        <v>93</v>
      </c>
      <c r="Y351" s="1" t="s">
        <v>1020</v>
      </c>
      <c r="Z351" s="1" t="str">
        <f t="shared" si="15"/>
        <v>886 331</v>
      </c>
      <c r="AA351" s="3">
        <f>IF(INDEX('CAMD Facility Data 2023'!$AA$2:$AE$10000,MATCH(Z351,'CAMD Facility Data 2023'!$AE$2:$AE$10000,0),1)&gt;0,INDEX('CAMD Facility Data 2023'!$AA$2:$AE$10000,MATCH(Z351,'CAMD Facility Data 2023'!$AE$2:$AE$10000,0),1),"")</f>
        <v>25030</v>
      </c>
      <c r="AB351" s="5">
        <f>IF(INDEX('CAMD Facility Data 2023'!$AC$2:$AE$10000,MATCH(Z351,'CAMD Facility Data 2023'!$AE$2:$AE$10000,0),1)&gt;0,INDEX('CAMD Facility Data 2023'!$AC$2:$AE$10000,MATCH(Z351,'CAMD Facility Data 2023'!$AE$2:$AE$10000,0),1),"")</f>
        <v>479.3</v>
      </c>
      <c r="AC351" s="1" t="str">
        <f>IF(INDEX('CAMD Facility Data 2023'!$AE$2:$AG$10000,MATCH(Z351,'CAMD Facility Data 2023'!$AE$2:$AE$10000,0),3)&gt;0,INDEX('CAMD Facility Data 2023'!$AE$2:$AG$10000,MATCH(Z351,'CAMD Facility Data 2023'!$AE$2:$AE$10000,0),3),"")</f>
        <v/>
      </c>
      <c r="AD351" s="20" t="str">
        <f t="shared" si="16"/>
        <v/>
      </c>
      <c r="AE351" s="25">
        <f t="shared" si="17"/>
        <v>1.0046043173692228E-3</v>
      </c>
    </row>
    <row r="352" spans="1:31" x14ac:dyDescent="0.2">
      <c r="A352" s="1" t="s">
        <v>458</v>
      </c>
      <c r="B352" s="1" t="s">
        <v>1028</v>
      </c>
      <c r="C352" s="1">
        <v>886</v>
      </c>
      <c r="D352" s="1">
        <v>332</v>
      </c>
      <c r="F352" s="1">
        <v>2023</v>
      </c>
      <c r="G352" s="5">
        <v>45</v>
      </c>
      <c r="H352" s="5">
        <v>10.35</v>
      </c>
      <c r="K352" s="5">
        <v>0.39100000000000001</v>
      </c>
      <c r="L352" s="5">
        <v>0.15629999999999999</v>
      </c>
      <c r="M352" s="5">
        <v>402</v>
      </c>
      <c r="N352" s="6">
        <v>8.1199999999999994E-2</v>
      </c>
      <c r="O352" s="5">
        <v>2.9769999999999999</v>
      </c>
      <c r="P352" s="6">
        <v>1.2000999999999999</v>
      </c>
      <c r="Q352" s="5">
        <v>4961.1000000000004</v>
      </c>
      <c r="R352" s="1" t="s">
        <v>94</v>
      </c>
      <c r="T352" s="1" t="s">
        <v>93</v>
      </c>
      <c r="Y352" s="1" t="s">
        <v>1020</v>
      </c>
      <c r="Z352" s="1" t="str">
        <f t="shared" si="15"/>
        <v>886 332</v>
      </c>
      <c r="AA352" s="3">
        <f>IF(INDEX('CAMD Facility Data 2023'!$AA$2:$AE$10000,MATCH(Z352,'CAMD Facility Data 2023'!$AE$2:$AE$10000,0),1)&gt;0,INDEX('CAMD Facility Data 2023'!$AA$2:$AE$10000,MATCH(Z352,'CAMD Facility Data 2023'!$AE$2:$AE$10000,0),1),"")</f>
        <v>25030</v>
      </c>
      <c r="AB352" s="5">
        <f>IF(INDEX('CAMD Facility Data 2023'!$AC$2:$AE$10000,MATCH(Z352,'CAMD Facility Data 2023'!$AE$2:$AE$10000,0),1)&gt;0,INDEX('CAMD Facility Data 2023'!$AC$2:$AE$10000,MATCH(Z352,'CAMD Facility Data 2023'!$AE$2:$AE$10000,0),1),"")</f>
        <v>479.3</v>
      </c>
      <c r="AC352" s="1" t="str">
        <f>IF(INDEX('CAMD Facility Data 2023'!$AE$2:$AG$10000,MATCH(Z352,'CAMD Facility Data 2023'!$AE$2:$AE$10000,0),3)&gt;0,INDEX('CAMD Facility Data 2023'!$AE$2:$AG$10000,MATCH(Z352,'CAMD Facility Data 2023'!$AE$2:$AE$10000,0),3),"")</f>
        <v/>
      </c>
      <c r="AD352" s="20" t="str">
        <f t="shared" si="16"/>
        <v/>
      </c>
      <c r="AE352" s="25">
        <f t="shared" si="17"/>
        <v>1.1815890182314964E-3</v>
      </c>
    </row>
    <row r="353" spans="1:31" x14ac:dyDescent="0.2">
      <c r="A353" s="1" t="s">
        <v>458</v>
      </c>
      <c r="B353" s="1" t="s">
        <v>1028</v>
      </c>
      <c r="C353" s="1">
        <v>886</v>
      </c>
      <c r="D353" s="1">
        <v>341</v>
      </c>
      <c r="F353" s="1">
        <v>2023</v>
      </c>
      <c r="G353" s="5">
        <v>0</v>
      </c>
      <c r="H353" s="5">
        <v>0</v>
      </c>
      <c r="R353" s="1" t="s">
        <v>94</v>
      </c>
      <c r="T353" s="1" t="s">
        <v>93</v>
      </c>
      <c r="Y353" s="1" t="s">
        <v>1020</v>
      </c>
      <c r="Z353" s="1" t="str">
        <f t="shared" si="15"/>
        <v>886 341</v>
      </c>
      <c r="AA353" s="3">
        <f>IF(INDEX('CAMD Facility Data 2023'!$AA$2:$AE$10000,MATCH(Z353,'CAMD Facility Data 2023'!$AE$2:$AE$10000,0),1)&gt;0,INDEX('CAMD Facility Data 2023'!$AA$2:$AE$10000,MATCH(Z353,'CAMD Facility Data 2023'!$AE$2:$AE$10000,0),1),"")</f>
        <v>25030</v>
      </c>
      <c r="AB353" s="5">
        <f>IF(INDEX('CAMD Facility Data 2023'!$AC$2:$AE$10000,MATCH(Z353,'CAMD Facility Data 2023'!$AE$2:$AE$10000,0),1)&gt;0,INDEX('CAMD Facility Data 2023'!$AC$2:$AE$10000,MATCH(Z353,'CAMD Facility Data 2023'!$AE$2:$AE$10000,0),1),"")</f>
        <v>479.3</v>
      </c>
      <c r="AC353" s="1" t="str">
        <f>IF(INDEX('CAMD Facility Data 2023'!$AE$2:$AG$10000,MATCH(Z353,'CAMD Facility Data 2023'!$AE$2:$AE$10000,0),3)&gt;0,INDEX('CAMD Facility Data 2023'!$AE$2:$AG$10000,MATCH(Z353,'CAMD Facility Data 2023'!$AE$2:$AE$10000,0),3),"")</f>
        <v/>
      </c>
      <c r="AD353" s="20" t="str">
        <f t="shared" si="16"/>
        <v/>
      </c>
      <c r="AE353" s="25">
        <f t="shared" si="17"/>
        <v>0</v>
      </c>
    </row>
    <row r="354" spans="1:31" x14ac:dyDescent="0.2">
      <c r="A354" s="1" t="s">
        <v>458</v>
      </c>
      <c r="B354" s="1" t="s">
        <v>1028</v>
      </c>
      <c r="C354" s="1">
        <v>886</v>
      </c>
      <c r="D354" s="1">
        <v>342</v>
      </c>
      <c r="F354" s="1">
        <v>2023</v>
      </c>
      <c r="G354" s="5">
        <v>33</v>
      </c>
      <c r="H354" s="5">
        <v>9.43</v>
      </c>
      <c r="K354" s="5">
        <v>0.57499999999999996</v>
      </c>
      <c r="L354" s="5">
        <v>0.30359999999999998</v>
      </c>
      <c r="M354" s="5">
        <v>366.1</v>
      </c>
      <c r="N354" s="6">
        <v>8.1500000000000003E-2</v>
      </c>
      <c r="O354" s="5">
        <v>2.7120000000000002</v>
      </c>
      <c r="P354" s="6">
        <v>1.2002999999999999</v>
      </c>
      <c r="Q354" s="5">
        <v>4519.8</v>
      </c>
      <c r="R354" s="1" t="s">
        <v>94</v>
      </c>
      <c r="T354" s="1" t="s">
        <v>93</v>
      </c>
      <c r="Y354" s="1" t="s">
        <v>1020</v>
      </c>
      <c r="Z354" s="1" t="str">
        <f t="shared" si="15"/>
        <v>886 342</v>
      </c>
      <c r="AA354" s="3">
        <f>IF(INDEX('CAMD Facility Data 2023'!$AA$2:$AE$10000,MATCH(Z354,'CAMD Facility Data 2023'!$AE$2:$AE$10000,0),1)&gt;0,INDEX('CAMD Facility Data 2023'!$AA$2:$AE$10000,MATCH(Z354,'CAMD Facility Data 2023'!$AE$2:$AE$10000,0),1),"")</f>
        <v>25030</v>
      </c>
      <c r="AB354" s="5">
        <f>IF(INDEX('CAMD Facility Data 2023'!$AC$2:$AE$10000,MATCH(Z354,'CAMD Facility Data 2023'!$AE$2:$AE$10000,0),1)&gt;0,INDEX('CAMD Facility Data 2023'!$AC$2:$AE$10000,MATCH(Z354,'CAMD Facility Data 2023'!$AE$2:$AE$10000,0),1),"")</f>
        <v>479.3</v>
      </c>
      <c r="AC354" s="1" t="str">
        <f>IF(INDEX('CAMD Facility Data 2023'!$AE$2:$AG$10000,MATCH(Z354,'CAMD Facility Data 2023'!$AE$2:$AE$10000,0),3)&gt;0,INDEX('CAMD Facility Data 2023'!$AE$2:$AG$10000,MATCH(Z354,'CAMD Facility Data 2023'!$AE$2:$AE$10000,0),3),"")</f>
        <v/>
      </c>
      <c r="AD354" s="20" t="str">
        <f t="shared" si="16"/>
        <v/>
      </c>
      <c r="AE354" s="25">
        <f t="shared" si="17"/>
        <v>1.0764842564356125E-3</v>
      </c>
    </row>
    <row r="355" spans="1:31" x14ac:dyDescent="0.2">
      <c r="A355" s="1" t="s">
        <v>458</v>
      </c>
      <c r="B355" s="1" t="s">
        <v>1036</v>
      </c>
      <c r="C355" s="1">
        <v>889</v>
      </c>
      <c r="D355" s="1">
        <v>1</v>
      </c>
      <c r="F355" s="1">
        <v>2023</v>
      </c>
      <c r="G355" s="5">
        <v>7079</v>
      </c>
      <c r="H355" s="5">
        <v>7069.06</v>
      </c>
      <c r="I355" s="5">
        <v>3276687.78</v>
      </c>
      <c r="K355" s="5">
        <v>1151.6130000000001</v>
      </c>
      <c r="L355" s="5">
        <v>7.7700000000000005E-2</v>
      </c>
      <c r="M355" s="5">
        <v>3228809.9210000001</v>
      </c>
      <c r="N355" s="6">
        <v>0.105</v>
      </c>
      <c r="O355" s="5">
        <v>983.92899999999997</v>
      </c>
      <c r="P355" s="6">
        <v>6.7100000000000007E-2</v>
      </c>
      <c r="Q355" s="5">
        <v>30785758.088</v>
      </c>
      <c r="R355" s="1" t="s">
        <v>55</v>
      </c>
      <c r="S355" s="1" t="s">
        <v>173</v>
      </c>
      <c r="T355" s="1" t="s">
        <v>606</v>
      </c>
      <c r="U355" s="1" t="s">
        <v>212</v>
      </c>
      <c r="V355" s="1" t="s">
        <v>1010</v>
      </c>
      <c r="W355" s="1" t="s">
        <v>123</v>
      </c>
      <c r="Y355" s="1" t="s">
        <v>1005</v>
      </c>
      <c r="Z355" s="1" t="str">
        <f t="shared" si="15"/>
        <v>889 1</v>
      </c>
      <c r="AA355" s="3">
        <f>IF(INDEX('CAMD Facility Data 2023'!$AA$2:$AE$10000,MATCH(Z355,'CAMD Facility Data 2023'!$AE$2:$AE$10000,0),1)&gt;0,INDEX('CAMD Facility Data 2023'!$AA$2:$AE$10000,MATCH(Z355,'CAMD Facility Data 2023'!$AE$2:$AE$10000,0),1),"")</f>
        <v>25762</v>
      </c>
      <c r="AB355" s="5">
        <f>IF(INDEX('CAMD Facility Data 2023'!$AC$2:$AE$10000,MATCH(Z355,'CAMD Facility Data 2023'!$AE$2:$AE$10000,0),1)&gt;0,INDEX('CAMD Facility Data 2023'!$AC$2:$AE$10000,MATCH(Z355,'CAMD Facility Data 2023'!$AE$2:$AE$10000,0),1),"")</f>
        <v>7000</v>
      </c>
      <c r="AC355" s="1" t="str">
        <f>IF(INDEX('CAMD Facility Data 2023'!$AE$2:$AG$10000,MATCH(Z355,'CAMD Facility Data 2023'!$AE$2:$AE$10000,0),3)&gt;0,INDEX('CAMD Facility Data 2023'!$AE$2:$AG$10000,MATCH(Z355,'CAMD Facility Data 2023'!$AE$2:$AE$10000,0),3),"")</f>
        <v>Y</v>
      </c>
      <c r="AD355" s="20">
        <f t="shared" si="16"/>
        <v>0.60056316992154812</v>
      </c>
      <c r="AE355" s="25">
        <f t="shared" si="17"/>
        <v>0.50205084944553158</v>
      </c>
    </row>
    <row r="356" spans="1:31" x14ac:dyDescent="0.2">
      <c r="A356" s="1" t="s">
        <v>458</v>
      </c>
      <c r="B356" s="1" t="s">
        <v>1036</v>
      </c>
      <c r="C356" s="1">
        <v>889</v>
      </c>
      <c r="D356" s="1">
        <v>2</v>
      </c>
      <c r="F356" s="1">
        <v>2023</v>
      </c>
      <c r="G356" s="5">
        <v>7099</v>
      </c>
      <c r="H356" s="5">
        <v>7087.66</v>
      </c>
      <c r="I356" s="5">
        <v>3215373.14</v>
      </c>
      <c r="K356" s="5">
        <v>1261.9480000000001</v>
      </c>
      <c r="L356" s="5">
        <v>7.9799999999999996E-2</v>
      </c>
      <c r="M356" s="5">
        <v>3415729.1039999998</v>
      </c>
      <c r="N356" s="6">
        <v>0.105</v>
      </c>
      <c r="O356" s="5">
        <v>1095.212</v>
      </c>
      <c r="P356" s="6">
        <v>7.0499999999999993E-2</v>
      </c>
      <c r="Q356" s="5">
        <v>32567973.715</v>
      </c>
      <c r="R356" s="1" t="s">
        <v>55</v>
      </c>
      <c r="S356" s="1" t="s">
        <v>173</v>
      </c>
      <c r="T356" s="1" t="s">
        <v>606</v>
      </c>
      <c r="U356" s="1" t="s">
        <v>212</v>
      </c>
      <c r="V356" s="1" t="s">
        <v>1010</v>
      </c>
      <c r="W356" s="1" t="s">
        <v>123</v>
      </c>
      <c r="Y356" s="1" t="s">
        <v>1005</v>
      </c>
      <c r="Z356" s="1" t="str">
        <f t="shared" si="15"/>
        <v>889 2</v>
      </c>
      <c r="AA356" s="3">
        <f>IF(INDEX('CAMD Facility Data 2023'!$AA$2:$AE$10000,MATCH(Z356,'CAMD Facility Data 2023'!$AE$2:$AE$10000,0),1)&gt;0,INDEX('CAMD Facility Data 2023'!$AA$2:$AE$10000,MATCH(Z356,'CAMD Facility Data 2023'!$AE$2:$AE$10000,0),1),"")</f>
        <v>26805</v>
      </c>
      <c r="AB356" s="5">
        <f>IF(INDEX('CAMD Facility Data 2023'!$AC$2:$AE$10000,MATCH(Z356,'CAMD Facility Data 2023'!$AE$2:$AE$10000,0),1)&gt;0,INDEX('CAMD Facility Data 2023'!$AC$2:$AE$10000,MATCH(Z356,'CAMD Facility Data 2023'!$AE$2:$AE$10000,0),1),"")</f>
        <v>6500</v>
      </c>
      <c r="AC356" s="1" t="str">
        <f>IF(INDEX('CAMD Facility Data 2023'!$AE$2:$AG$10000,MATCH(Z356,'CAMD Facility Data 2023'!$AE$2:$AE$10000,0),3)&gt;0,INDEX('CAMD Facility Data 2023'!$AE$2:$AG$10000,MATCH(Z356,'CAMD Facility Data 2023'!$AE$2:$AE$10000,0),3),"")</f>
        <v>Y</v>
      </c>
      <c r="AD356" s="20">
        <f t="shared" si="16"/>
        <v>0.68123477575607283</v>
      </c>
      <c r="AE356" s="25">
        <f t="shared" si="17"/>
        <v>0.57197003363189325</v>
      </c>
    </row>
    <row r="357" spans="1:31" x14ac:dyDescent="0.2">
      <c r="A357" s="1" t="s">
        <v>458</v>
      </c>
      <c r="B357" s="1" t="s">
        <v>1042</v>
      </c>
      <c r="C357" s="1">
        <v>913</v>
      </c>
      <c r="D357" s="1" t="s">
        <v>1043</v>
      </c>
      <c r="F357" s="1">
        <v>2023</v>
      </c>
      <c r="G357" s="5">
        <v>53</v>
      </c>
      <c r="H357" s="5">
        <v>47.47</v>
      </c>
      <c r="I357" s="5">
        <v>5753.55</v>
      </c>
      <c r="K357" s="5">
        <v>1.7999999999999999E-2</v>
      </c>
      <c r="L357" s="5">
        <v>1E-3</v>
      </c>
      <c r="M357" s="5">
        <v>3481.1289999999999</v>
      </c>
      <c r="N357" s="6">
        <v>5.91E-2</v>
      </c>
      <c r="O357" s="5">
        <v>1.302</v>
      </c>
      <c r="P357" s="6">
        <v>4.87E-2</v>
      </c>
      <c r="Q357" s="5">
        <v>58578.523999999998</v>
      </c>
      <c r="R357" s="1" t="s">
        <v>44</v>
      </c>
      <c r="T357" s="1" t="s">
        <v>93</v>
      </c>
      <c r="V357" s="1" t="s">
        <v>183</v>
      </c>
      <c r="Y357" s="1" t="s">
        <v>461</v>
      </c>
      <c r="Z357" s="1" t="str">
        <f t="shared" si="15"/>
        <v>913 CT03</v>
      </c>
      <c r="AA357" s="3">
        <f>IF(INDEX('CAMD Facility Data 2023'!$AA$2:$AE$10000,MATCH(Z357,'CAMD Facility Data 2023'!$AE$2:$AE$10000,0),1)&gt;0,INDEX('CAMD Facility Data 2023'!$AA$2:$AE$10000,MATCH(Z357,'CAMD Facility Data 2023'!$AE$2:$AE$10000,0),1),"")</f>
        <v>38500</v>
      </c>
      <c r="AB357" s="5">
        <f>IF(INDEX('CAMD Facility Data 2023'!$AC$2:$AE$10000,MATCH(Z357,'CAMD Facility Data 2023'!$AE$2:$AE$10000,0),1)&gt;0,INDEX('CAMD Facility Data 2023'!$AC$2:$AE$10000,MATCH(Z357,'CAMD Facility Data 2023'!$AE$2:$AE$10000,0),1),"")</f>
        <v>2121</v>
      </c>
      <c r="AC357" s="1" t="str">
        <f>IF(INDEX('CAMD Facility Data 2023'!$AE$2:$AG$10000,MATCH(Z357,'CAMD Facility Data 2023'!$AE$2:$AE$10000,0),3)&gt;0,INDEX('CAMD Facility Data 2023'!$AE$2:$AG$10000,MATCH(Z357,'CAMD Facility Data 2023'!$AE$2:$AE$10000,0),3),"")</f>
        <v/>
      </c>
      <c r="AD357" s="20">
        <f t="shared" si="16"/>
        <v>0.45259014000052139</v>
      </c>
      <c r="AE357" s="25">
        <f t="shared" si="17"/>
        <v>3.1527798768135129E-3</v>
      </c>
    </row>
    <row r="358" spans="1:31" x14ac:dyDescent="0.2">
      <c r="A358" s="1" t="s">
        <v>458</v>
      </c>
      <c r="B358" s="1" t="s">
        <v>1042</v>
      </c>
      <c r="C358" s="1">
        <v>913</v>
      </c>
      <c r="D358" s="1" t="s">
        <v>1048</v>
      </c>
      <c r="F358" s="1">
        <v>2023</v>
      </c>
      <c r="G358" s="5">
        <v>64</v>
      </c>
      <c r="H358" s="5">
        <v>57.51</v>
      </c>
      <c r="I358" s="5">
        <v>7245.88</v>
      </c>
      <c r="K358" s="5">
        <v>2.1999999999999999E-2</v>
      </c>
      <c r="L358" s="5">
        <v>1E-3</v>
      </c>
      <c r="M358" s="5">
        <v>4398.3450000000003</v>
      </c>
      <c r="N358" s="6">
        <v>5.8999999999999997E-2</v>
      </c>
      <c r="O358" s="5">
        <v>1.677</v>
      </c>
      <c r="P358" s="6">
        <v>5.0900000000000001E-2</v>
      </c>
      <c r="Q358" s="5">
        <v>74008.759999999995</v>
      </c>
      <c r="R358" s="1" t="s">
        <v>44</v>
      </c>
      <c r="T358" s="1" t="s">
        <v>93</v>
      </c>
      <c r="V358" s="1" t="s">
        <v>183</v>
      </c>
      <c r="Y358" s="1" t="s">
        <v>461</v>
      </c>
      <c r="Z358" s="1" t="str">
        <f t="shared" si="15"/>
        <v>913 CT04</v>
      </c>
      <c r="AA358" s="3">
        <f>IF(INDEX('CAMD Facility Data 2023'!$AA$2:$AE$10000,MATCH(Z358,'CAMD Facility Data 2023'!$AE$2:$AE$10000,0),1)&gt;0,INDEX('CAMD Facility Data 2023'!$AA$2:$AE$10000,MATCH(Z358,'CAMD Facility Data 2023'!$AE$2:$AE$10000,0),1),"")</f>
        <v>38496</v>
      </c>
      <c r="AB358" s="5">
        <f>IF(INDEX('CAMD Facility Data 2023'!$AC$2:$AE$10000,MATCH(Z358,'CAMD Facility Data 2023'!$AE$2:$AE$10000,0),1)&gt;0,INDEX('CAMD Facility Data 2023'!$AC$2:$AE$10000,MATCH(Z358,'CAMD Facility Data 2023'!$AE$2:$AE$10000,0),1),"")</f>
        <v>2121</v>
      </c>
      <c r="AC358" s="1" t="str">
        <f>IF(INDEX('CAMD Facility Data 2023'!$AE$2:$AG$10000,MATCH(Z358,'CAMD Facility Data 2023'!$AE$2:$AE$10000,0),3)&gt;0,INDEX('CAMD Facility Data 2023'!$AE$2:$AG$10000,MATCH(Z358,'CAMD Facility Data 2023'!$AE$2:$AE$10000,0),3),"")</f>
        <v/>
      </c>
      <c r="AD358" s="20">
        <f t="shared" si="16"/>
        <v>0.46288373530889276</v>
      </c>
      <c r="AE358" s="25">
        <f t="shared" si="17"/>
        <v>3.9832572298325718E-3</v>
      </c>
    </row>
    <row r="359" spans="1:31" x14ac:dyDescent="0.2">
      <c r="A359" s="1" t="s">
        <v>458</v>
      </c>
      <c r="B359" s="1" t="s">
        <v>1042</v>
      </c>
      <c r="C359" s="1">
        <v>913</v>
      </c>
      <c r="D359" s="1" t="s">
        <v>1050</v>
      </c>
      <c r="F359" s="1">
        <v>2023</v>
      </c>
      <c r="G359" s="5">
        <v>13</v>
      </c>
      <c r="H359" s="5">
        <v>7.8</v>
      </c>
      <c r="I359" s="5">
        <v>435.54</v>
      </c>
      <c r="K359" s="5">
        <v>2E-3</v>
      </c>
      <c r="L359" s="5">
        <v>8.9999999999999998E-4</v>
      </c>
      <c r="M359" s="5">
        <v>334.25</v>
      </c>
      <c r="N359" s="6">
        <v>5.8999999999999997E-2</v>
      </c>
      <c r="O359" s="5">
        <v>0.26100000000000001</v>
      </c>
      <c r="P359" s="6">
        <v>0.12859999999999999</v>
      </c>
      <c r="Q359" s="5">
        <v>5623.0770000000002</v>
      </c>
      <c r="R359" s="1" t="s">
        <v>44</v>
      </c>
      <c r="T359" s="1" t="s">
        <v>93</v>
      </c>
      <c r="V359" s="1" t="s">
        <v>183</v>
      </c>
      <c r="Y359" s="1" t="s">
        <v>461</v>
      </c>
      <c r="Z359" s="1" t="str">
        <f t="shared" si="15"/>
        <v>913 CT05</v>
      </c>
      <c r="AA359" s="3">
        <f>IF(INDEX('CAMD Facility Data 2023'!$AA$2:$AE$10000,MATCH(Z359,'CAMD Facility Data 2023'!$AE$2:$AE$10000,0),1)&gt;0,INDEX('CAMD Facility Data 2023'!$AA$2:$AE$10000,MATCH(Z359,'CAMD Facility Data 2023'!$AE$2:$AE$10000,0),1),"")</f>
        <v>38644</v>
      </c>
      <c r="AB359" s="5">
        <f>IF(INDEX('CAMD Facility Data 2023'!$AC$2:$AE$10000,MATCH(Z359,'CAMD Facility Data 2023'!$AE$2:$AE$10000,0),1)&gt;0,INDEX('CAMD Facility Data 2023'!$AC$2:$AE$10000,MATCH(Z359,'CAMD Facility Data 2023'!$AE$2:$AE$10000,0),1),"")</f>
        <v>1524</v>
      </c>
      <c r="AC359" s="1" t="str">
        <f>IF(INDEX('CAMD Facility Data 2023'!$AE$2:$AG$10000,MATCH(Z359,'CAMD Facility Data 2023'!$AE$2:$AE$10000,0),3)&gt;0,INDEX('CAMD Facility Data 2023'!$AE$2:$AG$10000,MATCH(Z359,'CAMD Facility Data 2023'!$AE$2:$AE$10000,0),3),"")</f>
        <v/>
      </c>
      <c r="AD359" s="20">
        <f t="shared" si="16"/>
        <v>1.1985121917619506</v>
      </c>
      <c r="AE359" s="25">
        <f t="shared" si="17"/>
        <v>4.2119669758745914E-4</v>
      </c>
    </row>
    <row r="360" spans="1:31" x14ac:dyDescent="0.2">
      <c r="A360" s="1" t="s">
        <v>458</v>
      </c>
      <c r="B360" s="1" t="s">
        <v>1042</v>
      </c>
      <c r="C360" s="1">
        <v>913</v>
      </c>
      <c r="D360" s="1" t="s">
        <v>1052</v>
      </c>
      <c r="F360" s="1">
        <v>2023</v>
      </c>
      <c r="G360" s="5">
        <v>45</v>
      </c>
      <c r="H360" s="5">
        <v>31.89</v>
      </c>
      <c r="I360" s="5">
        <v>561.49</v>
      </c>
      <c r="K360" s="5">
        <v>2E-3</v>
      </c>
      <c r="L360" s="5">
        <v>5.0000000000000001E-4</v>
      </c>
      <c r="M360" s="5">
        <v>341.67700000000002</v>
      </c>
      <c r="N360" s="6">
        <v>5.9499999999999997E-2</v>
      </c>
      <c r="O360" s="5">
        <v>0.27700000000000002</v>
      </c>
      <c r="P360" s="6">
        <v>0.1158</v>
      </c>
      <c r="Q360" s="5">
        <v>5750.174</v>
      </c>
      <c r="R360" s="1" t="s">
        <v>44</v>
      </c>
      <c r="S360" s="1" t="s">
        <v>94</v>
      </c>
      <c r="T360" s="1" t="s">
        <v>93</v>
      </c>
      <c r="V360" s="1" t="s">
        <v>95</v>
      </c>
      <c r="Y360" s="1" t="s">
        <v>461</v>
      </c>
      <c r="Z360" s="1" t="str">
        <f t="shared" si="15"/>
        <v>913 CT2A</v>
      </c>
      <c r="AA360" s="3">
        <f>IF(INDEX('CAMD Facility Data 2023'!$AA$2:$AE$10000,MATCH(Z360,'CAMD Facility Data 2023'!$AE$2:$AE$10000,0),1)&gt;0,INDEX('CAMD Facility Data 2023'!$AA$2:$AE$10000,MATCH(Z360,'CAMD Facility Data 2023'!$AE$2:$AE$10000,0),1),"")</f>
        <v>37386</v>
      </c>
      <c r="AB360" s="5">
        <f>IF(INDEX('CAMD Facility Data 2023'!$AC$2:$AE$10000,MATCH(Z360,'CAMD Facility Data 2023'!$AE$2:$AE$10000,0),1)&gt;0,INDEX('CAMD Facility Data 2023'!$AC$2:$AE$10000,MATCH(Z360,'CAMD Facility Data 2023'!$AE$2:$AE$10000,0),1),"")</f>
        <v>305</v>
      </c>
      <c r="AC360" s="1" t="str">
        <f>IF(INDEX('CAMD Facility Data 2023'!$AE$2:$AG$10000,MATCH(Z360,'CAMD Facility Data 2023'!$AE$2:$AE$10000,0),3)&gt;0,INDEX('CAMD Facility Data 2023'!$AE$2:$AG$10000,MATCH(Z360,'CAMD Facility Data 2023'!$AE$2:$AE$10000,0),3),"")</f>
        <v/>
      </c>
      <c r="AD360" s="20">
        <f t="shared" si="16"/>
        <v>0.98666049261785604</v>
      </c>
      <c r="AE360" s="25">
        <f t="shared" si="17"/>
        <v>2.1521723182872971E-3</v>
      </c>
    </row>
    <row r="361" spans="1:31" x14ac:dyDescent="0.2">
      <c r="A361" s="1" t="s">
        <v>458</v>
      </c>
      <c r="B361" s="1" t="s">
        <v>1042</v>
      </c>
      <c r="C361" s="1">
        <v>913</v>
      </c>
      <c r="D361" s="1" t="s">
        <v>1054</v>
      </c>
      <c r="F361" s="1">
        <v>2023</v>
      </c>
      <c r="G361" s="5">
        <v>38</v>
      </c>
      <c r="H361" s="5">
        <v>23.63</v>
      </c>
      <c r="I361" s="5">
        <v>376.08</v>
      </c>
      <c r="K361" s="5">
        <v>1E-3</v>
      </c>
      <c r="L361" s="5">
        <v>4.0000000000000002E-4</v>
      </c>
      <c r="M361" s="5">
        <v>227.00899999999999</v>
      </c>
      <c r="N361" s="6">
        <v>5.6300000000000003E-2</v>
      </c>
      <c r="O361" s="5">
        <v>0.182</v>
      </c>
      <c r="P361" s="6">
        <v>0.1168</v>
      </c>
      <c r="Q361" s="5">
        <v>3818.7710000000002</v>
      </c>
      <c r="R361" s="1" t="s">
        <v>44</v>
      </c>
      <c r="S361" s="1" t="s">
        <v>94</v>
      </c>
      <c r="T361" s="1" t="s">
        <v>93</v>
      </c>
      <c r="V361" s="1" t="s">
        <v>95</v>
      </c>
      <c r="Y361" s="1" t="s">
        <v>461</v>
      </c>
      <c r="Z361" s="1" t="str">
        <f t="shared" si="15"/>
        <v>913 CT2B</v>
      </c>
      <c r="AA361" s="3">
        <f>IF(INDEX('CAMD Facility Data 2023'!$AA$2:$AE$10000,MATCH(Z361,'CAMD Facility Data 2023'!$AE$2:$AE$10000,0),1)&gt;0,INDEX('CAMD Facility Data 2023'!$AA$2:$AE$10000,MATCH(Z361,'CAMD Facility Data 2023'!$AE$2:$AE$10000,0),1),"")</f>
        <v>37386</v>
      </c>
      <c r="AB361" s="5">
        <f>IF(INDEX('CAMD Facility Data 2023'!$AC$2:$AE$10000,MATCH(Z361,'CAMD Facility Data 2023'!$AE$2:$AE$10000,0),1)&gt;0,INDEX('CAMD Facility Data 2023'!$AC$2:$AE$10000,MATCH(Z361,'CAMD Facility Data 2023'!$AE$2:$AE$10000,0),1),"")</f>
        <v>305</v>
      </c>
      <c r="AC361" s="1" t="str">
        <f>IF(INDEX('CAMD Facility Data 2023'!$AE$2:$AG$10000,MATCH(Z361,'CAMD Facility Data 2023'!$AE$2:$AE$10000,0),3)&gt;0,INDEX('CAMD Facility Data 2023'!$AE$2:$AG$10000,MATCH(Z361,'CAMD Facility Data 2023'!$AE$2:$AE$10000,0),3),"")</f>
        <v/>
      </c>
      <c r="AD361" s="20">
        <f t="shared" si="16"/>
        <v>0.96787917464369289</v>
      </c>
      <c r="AE361" s="25">
        <f t="shared" si="17"/>
        <v>1.4292877460887791E-3</v>
      </c>
    </row>
    <row r="362" spans="1:31" x14ac:dyDescent="0.2">
      <c r="A362" s="1" t="s">
        <v>458</v>
      </c>
      <c r="B362" s="1" t="s">
        <v>1055</v>
      </c>
      <c r="C362" s="1">
        <v>963</v>
      </c>
      <c r="D362" s="1">
        <v>33</v>
      </c>
      <c r="F362" s="1">
        <v>2023</v>
      </c>
      <c r="G362" s="5">
        <v>0</v>
      </c>
      <c r="H362" s="5">
        <v>0</v>
      </c>
      <c r="R362" s="1" t="s">
        <v>55</v>
      </c>
      <c r="T362" s="1" t="s">
        <v>43</v>
      </c>
      <c r="U362" s="1" t="s">
        <v>56</v>
      </c>
      <c r="V362" s="1" t="s">
        <v>223</v>
      </c>
      <c r="W362" s="1" t="s">
        <v>58</v>
      </c>
      <c r="Y362" s="1" t="s">
        <v>1005</v>
      </c>
      <c r="Z362" s="1" t="str">
        <f t="shared" si="15"/>
        <v>963 33</v>
      </c>
      <c r="AA362" s="3">
        <f>IF(INDEX('CAMD Facility Data 2023'!$AA$2:$AE$10000,MATCH(Z362,'CAMD Facility Data 2023'!$AE$2:$AE$10000,0),1)&gt;0,INDEX('CAMD Facility Data 2023'!$AA$2:$AE$10000,MATCH(Z362,'CAMD Facility Data 2023'!$AE$2:$AE$10000,0),1),"")</f>
        <v>28652</v>
      </c>
      <c r="AB362" s="5">
        <f>IF(INDEX('CAMD Facility Data 2023'!$AC$2:$AE$10000,MATCH(Z362,'CAMD Facility Data 2023'!$AE$2:$AE$10000,0),1)&gt;0,INDEX('CAMD Facility Data 2023'!$AC$2:$AE$10000,MATCH(Z362,'CAMD Facility Data 2023'!$AE$2:$AE$10000,0),1),"")</f>
        <v>1900</v>
      </c>
      <c r="AC362" s="1" t="str">
        <f>IF(INDEX('CAMD Facility Data 2023'!$AE$2:$AG$10000,MATCH(Z362,'CAMD Facility Data 2023'!$AE$2:$AE$10000,0),3)&gt;0,INDEX('CAMD Facility Data 2023'!$AE$2:$AG$10000,MATCH(Z362,'CAMD Facility Data 2023'!$AE$2:$AE$10000,0),3),"")</f>
        <v>Y</v>
      </c>
      <c r="AD362" s="20" t="str">
        <f t="shared" si="16"/>
        <v/>
      </c>
      <c r="AE362" s="25">
        <f t="shared" si="17"/>
        <v>0</v>
      </c>
    </row>
    <row r="363" spans="1:31" x14ac:dyDescent="0.2">
      <c r="A363" s="1" t="s">
        <v>458</v>
      </c>
      <c r="B363" s="1" t="s">
        <v>1055</v>
      </c>
      <c r="C363" s="1">
        <v>963</v>
      </c>
      <c r="D363" s="1">
        <v>4</v>
      </c>
      <c r="F363" s="1">
        <v>2023</v>
      </c>
      <c r="G363" s="5">
        <v>6544</v>
      </c>
      <c r="H363" s="5">
        <v>6529.54</v>
      </c>
      <c r="I363" s="5">
        <v>766988.95</v>
      </c>
      <c r="K363" s="5">
        <v>264.53100000000001</v>
      </c>
      <c r="L363" s="5">
        <v>6.3200000000000006E-2</v>
      </c>
      <c r="M363" s="5">
        <v>820261.72</v>
      </c>
      <c r="N363" s="6">
        <v>0.1016</v>
      </c>
      <c r="O363" s="5">
        <v>287.26100000000002</v>
      </c>
      <c r="P363" s="6">
        <v>7.1300000000000002E-2</v>
      </c>
      <c r="Q363" s="5">
        <v>8024518.2740000002</v>
      </c>
      <c r="R363" s="1" t="s">
        <v>55</v>
      </c>
      <c r="S363" s="1" t="s">
        <v>44</v>
      </c>
      <c r="T363" s="1" t="s">
        <v>1059</v>
      </c>
      <c r="U363" s="1" t="s">
        <v>56</v>
      </c>
      <c r="V363" s="1" t="s">
        <v>223</v>
      </c>
      <c r="W363" s="1" t="s">
        <v>123</v>
      </c>
      <c r="Y363" s="1" t="s">
        <v>1005</v>
      </c>
      <c r="Z363" s="1" t="str">
        <f t="shared" si="15"/>
        <v>963 4</v>
      </c>
      <c r="AA363" s="3">
        <f>IF(INDEX('CAMD Facility Data 2023'!$AA$2:$AE$10000,MATCH(Z363,'CAMD Facility Data 2023'!$AE$2:$AE$10000,0),1)&gt;0,INDEX('CAMD Facility Data 2023'!$AA$2:$AE$10000,MATCH(Z363,'CAMD Facility Data 2023'!$AE$2:$AE$10000,0),1),"")</f>
        <v>39944</v>
      </c>
      <c r="AB363" s="5">
        <f>IF(INDEX('CAMD Facility Data 2023'!$AC$2:$AE$10000,MATCH(Z363,'CAMD Facility Data 2023'!$AE$2:$AE$10000,0),1)&gt;0,INDEX('CAMD Facility Data 2023'!$AC$2:$AE$10000,MATCH(Z363,'CAMD Facility Data 2023'!$AE$2:$AE$10000,0),1),"")</f>
        <v>2291</v>
      </c>
      <c r="AC363" s="1" t="str">
        <f>IF(INDEX('CAMD Facility Data 2023'!$AE$2:$AG$10000,MATCH(Z363,'CAMD Facility Data 2023'!$AE$2:$AE$10000,0),3)&gt;0,INDEX('CAMD Facility Data 2023'!$AE$2:$AG$10000,MATCH(Z363,'CAMD Facility Data 2023'!$AE$2:$AE$10000,0),3),"")</f>
        <v>Y</v>
      </c>
      <c r="AD363" s="20">
        <f t="shared" si="16"/>
        <v>0.74906163902361311</v>
      </c>
      <c r="AE363" s="25">
        <f t="shared" si="17"/>
        <v>0.39984325572171431</v>
      </c>
    </row>
    <row r="364" spans="1:31" x14ac:dyDescent="0.2">
      <c r="A364" s="1" t="s">
        <v>458</v>
      </c>
      <c r="B364" s="1" t="s">
        <v>1062</v>
      </c>
      <c r="C364" s="1">
        <v>976</v>
      </c>
      <c r="D364" s="1">
        <v>123</v>
      </c>
      <c r="F364" s="1">
        <v>2023</v>
      </c>
      <c r="G364" s="5">
        <v>7186</v>
      </c>
      <c r="H364" s="5">
        <v>7178.46</v>
      </c>
      <c r="I364" s="5">
        <v>694257.27</v>
      </c>
      <c r="K364" s="5">
        <v>2345.9070000000002</v>
      </c>
      <c r="L364" s="5">
        <v>0.45810000000000001</v>
      </c>
      <c r="M364" s="5">
        <v>1084623.5649999999</v>
      </c>
      <c r="N364" s="6">
        <v>0.10589999999999999</v>
      </c>
      <c r="O364" s="5">
        <v>414</v>
      </c>
      <c r="P364" s="6">
        <v>8.0799999999999997E-2</v>
      </c>
      <c r="Q364" s="5">
        <v>10259111.023</v>
      </c>
      <c r="R364" s="1" t="s">
        <v>55</v>
      </c>
      <c r="S364" s="1" t="s">
        <v>1068</v>
      </c>
      <c r="T364" s="1" t="s">
        <v>885</v>
      </c>
      <c r="U364" s="1" t="s">
        <v>1069</v>
      </c>
      <c r="V364" s="1" t="s">
        <v>669</v>
      </c>
      <c r="W364" s="1" t="s">
        <v>232</v>
      </c>
      <c r="Y364" s="1" t="s">
        <v>1005</v>
      </c>
      <c r="Z364" s="1" t="str">
        <f t="shared" si="15"/>
        <v>976 123</v>
      </c>
      <c r="AA364" s="3">
        <f>IF(INDEX('CAMD Facility Data 2023'!$AA$2:$AE$10000,MATCH(Z364,'CAMD Facility Data 2023'!$AE$2:$AE$10000,0),1)&gt;0,INDEX('CAMD Facility Data 2023'!$AA$2:$AE$10000,MATCH(Z364,'CAMD Facility Data 2023'!$AE$2:$AE$10000,0),1),"")</f>
        <v>37783</v>
      </c>
      <c r="AB364" s="5">
        <f>IF(INDEX('CAMD Facility Data 2023'!$AC$2:$AE$10000,MATCH(Z364,'CAMD Facility Data 2023'!$AE$2:$AE$10000,0),1)&gt;0,INDEX('CAMD Facility Data 2023'!$AC$2:$AE$10000,MATCH(Z364,'CAMD Facility Data 2023'!$AE$2:$AE$10000,0),1),"")</f>
        <v>1805</v>
      </c>
      <c r="AC364" s="1" t="str">
        <f>IF(INDEX('CAMD Facility Data 2023'!$AE$2:$AG$10000,MATCH(Z364,'CAMD Facility Data 2023'!$AE$2:$AE$10000,0),3)&gt;0,INDEX('CAMD Facility Data 2023'!$AE$2:$AG$10000,MATCH(Z364,'CAMD Facility Data 2023'!$AE$2:$AE$10000,0),3),"")</f>
        <v>Y</v>
      </c>
      <c r="AD364" s="20">
        <f t="shared" si="16"/>
        <v>1.1926414540822885</v>
      </c>
      <c r="AE364" s="25">
        <f t="shared" si="17"/>
        <v>0.64882625779481151</v>
      </c>
    </row>
    <row r="365" spans="1:31" x14ac:dyDescent="0.2">
      <c r="A365" s="1" t="s">
        <v>458</v>
      </c>
      <c r="B365" s="1" t="s">
        <v>1062</v>
      </c>
      <c r="C365" s="1">
        <v>976</v>
      </c>
      <c r="D365" s="1">
        <v>5</v>
      </c>
      <c r="F365" s="1">
        <v>2023</v>
      </c>
      <c r="G365" s="5">
        <v>661</v>
      </c>
      <c r="H365" s="5">
        <v>611.71</v>
      </c>
      <c r="I365" s="5">
        <v>38776.32</v>
      </c>
      <c r="K365" s="5">
        <v>0.20699999999999999</v>
      </c>
      <c r="L365" s="5">
        <v>1.6999999999999999E-3</v>
      </c>
      <c r="M365" s="5">
        <v>32160.1</v>
      </c>
      <c r="N365" s="6">
        <v>5.8999999999999997E-2</v>
      </c>
      <c r="O365" s="5">
        <v>6.0979999999999999</v>
      </c>
      <c r="P365" s="6">
        <v>2.3800000000000002E-2</v>
      </c>
      <c r="Q365" s="5">
        <v>545026.9</v>
      </c>
      <c r="R365" s="1" t="s">
        <v>44</v>
      </c>
      <c r="S365" s="1" t="s">
        <v>94</v>
      </c>
      <c r="T365" s="1" t="s">
        <v>93</v>
      </c>
      <c r="V365" s="1" t="s">
        <v>183</v>
      </c>
      <c r="Y365" s="1" t="s">
        <v>461</v>
      </c>
      <c r="Z365" s="1" t="str">
        <f t="shared" si="15"/>
        <v>976 5</v>
      </c>
      <c r="AA365" s="3">
        <f>IF(INDEX('CAMD Facility Data 2023'!$AA$2:$AE$10000,MATCH(Z365,'CAMD Facility Data 2023'!$AE$2:$AE$10000,0),1)&gt;0,INDEX('CAMD Facility Data 2023'!$AA$2:$AE$10000,MATCH(Z365,'CAMD Facility Data 2023'!$AE$2:$AE$10000,0),1),"")</f>
        <v>37767</v>
      </c>
      <c r="AB365" s="5">
        <f>IF(INDEX('CAMD Facility Data 2023'!$AC$2:$AE$10000,MATCH(Z365,'CAMD Facility Data 2023'!$AE$2:$AE$10000,0),1)&gt;0,INDEX('CAMD Facility Data 2023'!$AC$2:$AE$10000,MATCH(Z365,'CAMD Facility Data 2023'!$AE$2:$AE$10000,0),1),"")</f>
        <v>856</v>
      </c>
      <c r="AC365" s="1" t="str">
        <f>IF(INDEX('CAMD Facility Data 2023'!$AE$2:$AG$10000,MATCH(Z365,'CAMD Facility Data 2023'!$AE$2:$AE$10000,0),3)&gt;0,INDEX('CAMD Facility Data 2023'!$AE$2:$AG$10000,MATCH(Z365,'CAMD Facility Data 2023'!$AE$2:$AE$10000,0),3),"")</f>
        <v/>
      </c>
      <c r="AD365" s="20">
        <f t="shared" si="16"/>
        <v>0.31452185251204862</v>
      </c>
      <c r="AE365" s="25">
        <f t="shared" si="17"/>
        <v>7.2684208701404004E-2</v>
      </c>
    </row>
    <row r="366" spans="1:31" x14ac:dyDescent="0.2">
      <c r="A366" s="1" t="s">
        <v>458</v>
      </c>
      <c r="B366" s="1" t="s">
        <v>1062</v>
      </c>
      <c r="C366" s="1">
        <v>976</v>
      </c>
      <c r="D366" s="1">
        <v>6</v>
      </c>
      <c r="F366" s="1">
        <v>2023</v>
      </c>
      <c r="G366" s="5">
        <v>595</v>
      </c>
      <c r="H366" s="5">
        <v>545.59</v>
      </c>
      <c r="I366" s="5">
        <v>34147.980000000003</v>
      </c>
      <c r="K366" s="5">
        <v>0.35099999999999998</v>
      </c>
      <c r="L366" s="5">
        <v>2.5999999999999999E-3</v>
      </c>
      <c r="M366" s="5">
        <v>28954.9</v>
      </c>
      <c r="N366" s="6">
        <v>5.91E-2</v>
      </c>
      <c r="O366" s="5">
        <v>5.8780000000000001</v>
      </c>
      <c r="P366" s="6">
        <v>2.5999999999999999E-2</v>
      </c>
      <c r="Q366" s="5">
        <v>490404</v>
      </c>
      <c r="R366" s="1" t="s">
        <v>44</v>
      </c>
      <c r="S366" s="1" t="s">
        <v>94</v>
      </c>
      <c r="T366" s="1" t="s">
        <v>93</v>
      </c>
      <c r="V366" s="1" t="s">
        <v>183</v>
      </c>
      <c r="Y366" s="1" t="s">
        <v>461</v>
      </c>
      <c r="Z366" s="1" t="str">
        <f t="shared" si="15"/>
        <v>976 6</v>
      </c>
      <c r="AA366" s="3">
        <f>IF(INDEX('CAMD Facility Data 2023'!$AA$2:$AE$10000,MATCH(Z366,'CAMD Facility Data 2023'!$AE$2:$AE$10000,0),1)&gt;0,INDEX('CAMD Facility Data 2023'!$AA$2:$AE$10000,MATCH(Z366,'CAMD Facility Data 2023'!$AE$2:$AE$10000,0),1),"")</f>
        <v>37803</v>
      </c>
      <c r="AB366" s="5">
        <f>IF(INDEX('CAMD Facility Data 2023'!$AC$2:$AE$10000,MATCH(Z366,'CAMD Facility Data 2023'!$AE$2:$AE$10000,0),1)&gt;0,INDEX('CAMD Facility Data 2023'!$AC$2:$AE$10000,MATCH(Z366,'CAMD Facility Data 2023'!$AE$2:$AE$10000,0),1),"")</f>
        <v>856</v>
      </c>
      <c r="AC366" s="1" t="str">
        <f>IF(INDEX('CAMD Facility Data 2023'!$AE$2:$AG$10000,MATCH(Z366,'CAMD Facility Data 2023'!$AE$2:$AE$10000,0),3)&gt;0,INDEX('CAMD Facility Data 2023'!$AE$2:$AG$10000,MATCH(Z366,'CAMD Facility Data 2023'!$AE$2:$AE$10000,0),3),"")</f>
        <v/>
      </c>
      <c r="AD366" s="20">
        <f t="shared" si="16"/>
        <v>0.34426633727675837</v>
      </c>
      <c r="AE366" s="25">
        <f t="shared" si="17"/>
        <v>6.5399756753296637E-2</v>
      </c>
    </row>
    <row r="367" spans="1:31" x14ac:dyDescent="0.2">
      <c r="A367" s="1" t="s">
        <v>1071</v>
      </c>
      <c r="B367" s="1" t="s">
        <v>1072</v>
      </c>
      <c r="C367" s="1">
        <v>983</v>
      </c>
      <c r="D367" s="1">
        <v>1</v>
      </c>
      <c r="E367" s="1" t="s">
        <v>1073</v>
      </c>
      <c r="F367" s="1">
        <v>2023</v>
      </c>
      <c r="G367" s="5">
        <v>7268</v>
      </c>
      <c r="H367" s="5">
        <v>7250</v>
      </c>
      <c r="I367" s="5">
        <v>1050259.67</v>
      </c>
      <c r="K367" s="5">
        <v>381.4</v>
      </c>
      <c r="L367" s="5">
        <v>7.0699999999999999E-2</v>
      </c>
      <c r="M367" s="5">
        <v>1112760.0959999999</v>
      </c>
      <c r="N367" s="6">
        <v>0.10299999999999999</v>
      </c>
      <c r="O367" s="5">
        <v>861.13199999999995</v>
      </c>
      <c r="P367" s="6">
        <v>0.16039999999999999</v>
      </c>
      <c r="Q367" s="5">
        <v>10845630.037</v>
      </c>
      <c r="R367" s="1" t="s">
        <v>55</v>
      </c>
      <c r="T367" s="1" t="s">
        <v>1059</v>
      </c>
      <c r="U367" s="1" t="s">
        <v>1077</v>
      </c>
      <c r="V367" s="1" t="s">
        <v>1010</v>
      </c>
      <c r="W367" s="1" t="s">
        <v>331</v>
      </c>
      <c r="Y367" s="1" t="s">
        <v>1005</v>
      </c>
      <c r="Z367" s="1" t="str">
        <f t="shared" si="15"/>
        <v>983 1</v>
      </c>
      <c r="AA367" s="3">
        <f>IF(INDEX('CAMD Facility Data 2023'!$AA$2:$AE$10000,MATCH(Z367,'CAMD Facility Data 2023'!$AE$2:$AE$10000,0),1)&gt;0,INDEX('CAMD Facility Data 2023'!$AA$2:$AE$10000,MATCH(Z367,'CAMD Facility Data 2023'!$AE$2:$AE$10000,0),1),"")</f>
        <v>20135</v>
      </c>
      <c r="AB367" s="5">
        <f>IF(INDEX('CAMD Facility Data 2023'!$AC$2:$AE$10000,MATCH(Z367,'CAMD Facility Data 2023'!$AE$2:$AE$10000,0),1)&gt;0,INDEX('CAMD Facility Data 2023'!$AC$2:$AE$10000,MATCH(Z367,'CAMD Facility Data 2023'!$AE$2:$AE$10000,0),1),"")</f>
        <v>2800</v>
      </c>
      <c r="AC367" s="1" t="str">
        <f>IF(INDEX('CAMD Facility Data 2023'!$AE$2:$AG$10000,MATCH(Z367,'CAMD Facility Data 2023'!$AE$2:$AE$10000,0),3)&gt;0,INDEX('CAMD Facility Data 2023'!$AE$2:$AG$10000,MATCH(Z367,'CAMD Facility Data 2023'!$AE$2:$AE$10000,0),3),"")</f>
        <v>Y</v>
      </c>
      <c r="AD367" s="20">
        <f t="shared" si="16"/>
        <v>1.6398458868748147</v>
      </c>
      <c r="AE367" s="25">
        <f t="shared" si="17"/>
        <v>0.4421734359507502</v>
      </c>
    </row>
    <row r="368" spans="1:31" x14ac:dyDescent="0.2">
      <c r="A368" s="1" t="s">
        <v>1071</v>
      </c>
      <c r="B368" s="1" t="s">
        <v>1072</v>
      </c>
      <c r="C368" s="1">
        <v>983</v>
      </c>
      <c r="D368" s="1">
        <v>2</v>
      </c>
      <c r="E368" s="1" t="s">
        <v>1073</v>
      </c>
      <c r="F368" s="1">
        <v>2023</v>
      </c>
      <c r="G368" s="5">
        <v>6986</v>
      </c>
      <c r="H368" s="5">
        <v>6969.92</v>
      </c>
      <c r="I368" s="5">
        <v>1001809.54</v>
      </c>
      <c r="K368" s="5">
        <v>364.68799999999999</v>
      </c>
      <c r="L368" s="5">
        <v>7.9799999999999996E-2</v>
      </c>
      <c r="M368" s="5">
        <v>1056764.176</v>
      </c>
      <c r="N368" s="6">
        <v>0.10299999999999999</v>
      </c>
      <c r="O368" s="5">
        <v>913.98699999999997</v>
      </c>
      <c r="P368" s="6">
        <v>0.1724</v>
      </c>
      <c r="Q368" s="5">
        <v>10299859.618000001</v>
      </c>
      <c r="R368" s="1" t="s">
        <v>55</v>
      </c>
      <c r="T368" s="1" t="s">
        <v>1059</v>
      </c>
      <c r="U368" s="1" t="s">
        <v>1077</v>
      </c>
      <c r="V368" s="1" t="s">
        <v>1010</v>
      </c>
      <c r="W368" s="1" t="s">
        <v>331</v>
      </c>
      <c r="Y368" s="1" t="s">
        <v>1005</v>
      </c>
      <c r="Z368" s="1" t="str">
        <f t="shared" si="15"/>
        <v>983 2</v>
      </c>
      <c r="AA368" s="3">
        <f>IF(INDEX('CAMD Facility Data 2023'!$AA$2:$AE$10000,MATCH(Z368,'CAMD Facility Data 2023'!$AE$2:$AE$10000,0),1)&gt;0,INDEX('CAMD Facility Data 2023'!$AA$2:$AE$10000,MATCH(Z368,'CAMD Facility Data 2023'!$AE$2:$AE$10000,0),1),"")</f>
        <v>20210</v>
      </c>
      <c r="AB368" s="5">
        <f>IF(INDEX('CAMD Facility Data 2023'!$AC$2:$AE$10000,MATCH(Z368,'CAMD Facility Data 2023'!$AE$2:$AE$10000,0),1)&gt;0,INDEX('CAMD Facility Data 2023'!$AC$2:$AE$10000,MATCH(Z368,'CAMD Facility Data 2023'!$AE$2:$AE$10000,0),1),"")</f>
        <v>2800</v>
      </c>
      <c r="AC368" s="1" t="str">
        <f>IF(INDEX('CAMD Facility Data 2023'!$AE$2:$AG$10000,MATCH(Z368,'CAMD Facility Data 2023'!$AE$2:$AE$10000,0),3)&gt;0,INDEX('CAMD Facility Data 2023'!$AE$2:$AG$10000,MATCH(Z368,'CAMD Facility Data 2023'!$AE$2:$AE$10000,0),3),"")</f>
        <v>Y</v>
      </c>
      <c r="AD368" s="20">
        <f t="shared" si="16"/>
        <v>1.8246721826985197</v>
      </c>
      <c r="AE368" s="25">
        <f t="shared" si="17"/>
        <v>0.41992252193411617</v>
      </c>
    </row>
    <row r="369" spans="1:31" x14ac:dyDescent="0.2">
      <c r="A369" s="1" t="s">
        <v>1071</v>
      </c>
      <c r="B369" s="1" t="s">
        <v>1072</v>
      </c>
      <c r="C369" s="1">
        <v>983</v>
      </c>
      <c r="D369" s="1">
        <v>3</v>
      </c>
      <c r="E369" s="1" t="s">
        <v>1073</v>
      </c>
      <c r="F369" s="1">
        <v>2023</v>
      </c>
      <c r="G369" s="5">
        <v>6480</v>
      </c>
      <c r="H369" s="5">
        <v>6467.63</v>
      </c>
      <c r="I369" s="5">
        <v>923396.33</v>
      </c>
      <c r="K369" s="5">
        <v>338.96499999999997</v>
      </c>
      <c r="L369" s="5">
        <v>7.1099999999999997E-2</v>
      </c>
      <c r="M369" s="5">
        <v>972121.13300000003</v>
      </c>
      <c r="N369" s="6">
        <v>0.10299999999999999</v>
      </c>
      <c r="O369" s="5">
        <v>804.27700000000004</v>
      </c>
      <c r="P369" s="6">
        <v>0.1676</v>
      </c>
      <c r="Q369" s="5">
        <v>9474879.4370000008</v>
      </c>
      <c r="R369" s="1" t="s">
        <v>55</v>
      </c>
      <c r="T369" s="1" t="s">
        <v>1059</v>
      </c>
      <c r="U369" s="1" t="s">
        <v>1077</v>
      </c>
      <c r="V369" s="1" t="s">
        <v>1010</v>
      </c>
      <c r="W369" s="1" t="s">
        <v>331</v>
      </c>
      <c r="Y369" s="1" t="s">
        <v>1005</v>
      </c>
      <c r="Z369" s="1" t="str">
        <f t="shared" si="15"/>
        <v>983 3</v>
      </c>
      <c r="AA369" s="3">
        <f>IF(INDEX('CAMD Facility Data 2023'!$AA$2:$AE$10000,MATCH(Z369,'CAMD Facility Data 2023'!$AE$2:$AE$10000,0),1)&gt;0,INDEX('CAMD Facility Data 2023'!$AA$2:$AE$10000,MATCH(Z369,'CAMD Facility Data 2023'!$AE$2:$AE$10000,0),1),"")</f>
        <v>20281</v>
      </c>
      <c r="AB369" s="5">
        <f>IF(INDEX('CAMD Facility Data 2023'!$AC$2:$AE$10000,MATCH(Z369,'CAMD Facility Data 2023'!$AE$2:$AE$10000,0),1)&gt;0,INDEX('CAMD Facility Data 2023'!$AC$2:$AE$10000,MATCH(Z369,'CAMD Facility Data 2023'!$AE$2:$AE$10000,0),1),"")</f>
        <v>2800</v>
      </c>
      <c r="AC369" s="1" t="str">
        <f>IF(INDEX('CAMD Facility Data 2023'!$AE$2:$AG$10000,MATCH(Z369,'CAMD Facility Data 2023'!$AE$2:$AE$10000,0),3)&gt;0,INDEX('CAMD Facility Data 2023'!$AE$2:$AG$10000,MATCH(Z369,'CAMD Facility Data 2023'!$AE$2:$AE$10000,0),3),"")</f>
        <v>Y</v>
      </c>
      <c r="AD369" s="20">
        <f t="shared" si="16"/>
        <v>1.7419973934702557</v>
      </c>
      <c r="AE369" s="25">
        <f t="shared" si="17"/>
        <v>0.38628830059523811</v>
      </c>
    </row>
    <row r="370" spans="1:31" x14ac:dyDescent="0.2">
      <c r="A370" s="1" t="s">
        <v>1071</v>
      </c>
      <c r="B370" s="1" t="s">
        <v>1072</v>
      </c>
      <c r="C370" s="1">
        <v>983</v>
      </c>
      <c r="D370" s="1">
        <v>4</v>
      </c>
      <c r="E370" s="1" t="s">
        <v>1081</v>
      </c>
      <c r="F370" s="1">
        <v>2023</v>
      </c>
      <c r="G370" s="5">
        <v>7145</v>
      </c>
      <c r="H370" s="5">
        <v>7126.97</v>
      </c>
      <c r="I370" s="5">
        <v>1030369.56</v>
      </c>
      <c r="K370" s="5">
        <v>638.64</v>
      </c>
      <c r="L370" s="5">
        <v>0.12470000000000001</v>
      </c>
      <c r="M370" s="5">
        <v>1053099.2139999999</v>
      </c>
      <c r="N370" s="6">
        <v>0.10299999999999999</v>
      </c>
      <c r="O370" s="5">
        <v>1013.65</v>
      </c>
      <c r="P370" s="6">
        <v>0.19420000000000001</v>
      </c>
      <c r="Q370" s="5">
        <v>10264129.532</v>
      </c>
      <c r="R370" s="1" t="s">
        <v>55</v>
      </c>
      <c r="T370" s="1" t="s">
        <v>1059</v>
      </c>
      <c r="U370" s="1" t="s">
        <v>1077</v>
      </c>
      <c r="V370" s="1" t="s">
        <v>1010</v>
      </c>
      <c r="W370" s="1" t="s">
        <v>331</v>
      </c>
      <c r="Y370" s="1" t="s">
        <v>1005</v>
      </c>
      <c r="Z370" s="1" t="str">
        <f t="shared" si="15"/>
        <v>983 4</v>
      </c>
      <c r="AA370" s="3">
        <f>IF(INDEX('CAMD Facility Data 2023'!$AA$2:$AE$10000,MATCH(Z370,'CAMD Facility Data 2023'!$AE$2:$AE$10000,0),1)&gt;0,INDEX('CAMD Facility Data 2023'!$AA$2:$AE$10000,MATCH(Z370,'CAMD Facility Data 2023'!$AE$2:$AE$10000,0),1),"")</f>
        <v>20386</v>
      </c>
      <c r="AB370" s="5">
        <f>IF(INDEX('CAMD Facility Data 2023'!$AC$2:$AE$10000,MATCH(Z370,'CAMD Facility Data 2023'!$AE$2:$AE$10000,0),1)&gt;0,INDEX('CAMD Facility Data 2023'!$AC$2:$AE$10000,MATCH(Z370,'CAMD Facility Data 2023'!$AE$2:$AE$10000,0),1),"")</f>
        <v>2800</v>
      </c>
      <c r="AC370" s="1" t="str">
        <f>IF(INDEX('CAMD Facility Data 2023'!$AE$2:$AG$10000,MATCH(Z370,'CAMD Facility Data 2023'!$AE$2:$AE$10000,0),3)&gt;0,INDEX('CAMD Facility Data 2023'!$AE$2:$AG$10000,MATCH(Z370,'CAMD Facility Data 2023'!$AE$2:$AE$10000,0),3),"")</f>
        <v>Y</v>
      </c>
      <c r="AD370" s="20">
        <f t="shared" si="16"/>
        <v>1.9675464791487045</v>
      </c>
      <c r="AE370" s="25">
        <f t="shared" si="17"/>
        <v>0.41846581588388782</v>
      </c>
    </row>
    <row r="371" spans="1:31" x14ac:dyDescent="0.2">
      <c r="A371" s="1" t="s">
        <v>1071</v>
      </c>
      <c r="B371" s="1" t="s">
        <v>1072</v>
      </c>
      <c r="C371" s="1">
        <v>983</v>
      </c>
      <c r="D371" s="1">
        <v>5</v>
      </c>
      <c r="E371" s="1" t="s">
        <v>1081</v>
      </c>
      <c r="F371" s="1">
        <v>2023</v>
      </c>
      <c r="G371" s="5">
        <v>7374</v>
      </c>
      <c r="H371" s="5">
        <v>7360</v>
      </c>
      <c r="I371" s="5">
        <v>1061271.1000000001</v>
      </c>
      <c r="K371" s="5">
        <v>651.21400000000006</v>
      </c>
      <c r="L371" s="5">
        <v>0.12239999999999999</v>
      </c>
      <c r="M371" s="5">
        <v>1090042.6200000001</v>
      </c>
      <c r="N371" s="6">
        <v>0.10299999999999999</v>
      </c>
      <c r="O371" s="5">
        <v>1110.3309999999999</v>
      </c>
      <c r="P371" s="6">
        <v>0.20250000000000001</v>
      </c>
      <c r="Q371" s="5">
        <v>10624201.899</v>
      </c>
      <c r="R371" s="1" t="s">
        <v>55</v>
      </c>
      <c r="T371" s="1" t="s">
        <v>1059</v>
      </c>
      <c r="U371" s="1" t="s">
        <v>1077</v>
      </c>
      <c r="V371" s="1" t="s">
        <v>1010</v>
      </c>
      <c r="W371" s="1" t="s">
        <v>331</v>
      </c>
      <c r="Y371" s="1" t="s">
        <v>1005</v>
      </c>
      <c r="Z371" s="1" t="str">
        <f t="shared" si="15"/>
        <v>983 5</v>
      </c>
      <c r="AA371" s="3">
        <f>IF(INDEX('CAMD Facility Data 2023'!$AA$2:$AE$10000,MATCH(Z371,'CAMD Facility Data 2023'!$AE$2:$AE$10000,0),1)&gt;0,INDEX('CAMD Facility Data 2023'!$AA$2:$AE$10000,MATCH(Z371,'CAMD Facility Data 2023'!$AE$2:$AE$10000,0),1),"")</f>
        <v>20423</v>
      </c>
      <c r="AB371" s="5">
        <f>IF(INDEX('CAMD Facility Data 2023'!$AC$2:$AE$10000,MATCH(Z371,'CAMD Facility Data 2023'!$AE$2:$AE$10000,0),1)&gt;0,INDEX('CAMD Facility Data 2023'!$AC$2:$AE$10000,MATCH(Z371,'CAMD Facility Data 2023'!$AE$2:$AE$10000,0),1),"")</f>
        <v>2800</v>
      </c>
      <c r="AC371" s="1" t="str">
        <f>IF(INDEX('CAMD Facility Data 2023'!$AE$2:$AG$10000,MATCH(Z371,'CAMD Facility Data 2023'!$AE$2:$AE$10000,0),3)&gt;0,INDEX('CAMD Facility Data 2023'!$AE$2:$AG$10000,MATCH(Z371,'CAMD Facility Data 2023'!$AE$2:$AE$10000,0),3),"")</f>
        <v>Y</v>
      </c>
      <c r="AD371" s="20">
        <f t="shared" si="16"/>
        <v>2.0924549815782223</v>
      </c>
      <c r="AE371" s="25">
        <f t="shared" si="17"/>
        <v>0.4331458699853229</v>
      </c>
    </row>
    <row r="372" spans="1:31" x14ac:dyDescent="0.2">
      <c r="A372" s="1" t="s">
        <v>1071</v>
      </c>
      <c r="B372" s="1" t="s">
        <v>1072</v>
      </c>
      <c r="C372" s="1">
        <v>983</v>
      </c>
      <c r="D372" s="1">
        <v>6</v>
      </c>
      <c r="E372" s="1" t="s">
        <v>1081</v>
      </c>
      <c r="F372" s="1">
        <v>2023</v>
      </c>
      <c r="G372" s="5">
        <v>4380</v>
      </c>
      <c r="H372" s="5">
        <v>4344.99</v>
      </c>
      <c r="I372" s="5">
        <v>489248.77</v>
      </c>
      <c r="K372" s="5">
        <v>317.71199999999999</v>
      </c>
      <c r="L372" s="5">
        <v>0.12570000000000001</v>
      </c>
      <c r="M372" s="5">
        <v>512510.826</v>
      </c>
      <c r="N372" s="6">
        <v>0.10299999999999999</v>
      </c>
      <c r="O372" s="5">
        <v>727.36300000000006</v>
      </c>
      <c r="P372" s="6">
        <v>0.28520000000000001</v>
      </c>
      <c r="Q372" s="5">
        <v>4995228.7479999997</v>
      </c>
      <c r="R372" s="1" t="s">
        <v>55</v>
      </c>
      <c r="T372" s="1" t="s">
        <v>1059</v>
      </c>
      <c r="U372" s="1" t="s">
        <v>1077</v>
      </c>
      <c r="V372" s="1" t="s">
        <v>220</v>
      </c>
      <c r="W372" s="1" t="s">
        <v>331</v>
      </c>
      <c r="Y372" s="1" t="s">
        <v>1005</v>
      </c>
      <c r="Z372" s="1" t="str">
        <f t="shared" si="15"/>
        <v>983 6</v>
      </c>
      <c r="AA372" s="3">
        <f>IF(INDEX('CAMD Facility Data 2023'!$AA$2:$AE$10000,MATCH(Z372,'CAMD Facility Data 2023'!$AE$2:$AE$10000,0),1)&gt;0,INDEX('CAMD Facility Data 2023'!$AA$2:$AE$10000,MATCH(Z372,'CAMD Facility Data 2023'!$AE$2:$AE$10000,0),1),"")</f>
        <v>20527</v>
      </c>
      <c r="AB372" s="5">
        <f>IF(INDEX('CAMD Facility Data 2023'!$AC$2:$AE$10000,MATCH(Z372,'CAMD Facility Data 2023'!$AE$2:$AE$10000,0),1)&gt;0,INDEX('CAMD Facility Data 2023'!$AC$2:$AE$10000,MATCH(Z372,'CAMD Facility Data 2023'!$AE$2:$AE$10000,0),1),"")</f>
        <v>2800</v>
      </c>
      <c r="AC372" s="1" t="str">
        <f>IF(INDEX('CAMD Facility Data 2023'!$AE$2:$AG$10000,MATCH(Z372,'CAMD Facility Data 2023'!$AE$2:$AE$10000,0),3)&gt;0,INDEX('CAMD Facility Data 2023'!$AE$2:$AG$10000,MATCH(Z372,'CAMD Facility Data 2023'!$AE$2:$AE$10000,0),3),"")</f>
        <v/>
      </c>
      <c r="AD372" s="20">
        <f t="shared" si="16"/>
        <v>2.9733871379993455</v>
      </c>
      <c r="AE372" s="25">
        <f t="shared" si="17"/>
        <v>0.20365414008480104</v>
      </c>
    </row>
    <row r="373" spans="1:31" x14ac:dyDescent="0.2">
      <c r="A373" s="1" t="s">
        <v>1071</v>
      </c>
      <c r="B373" s="1" t="s">
        <v>1085</v>
      </c>
      <c r="C373" s="1">
        <v>990</v>
      </c>
      <c r="D373" s="1">
        <v>50</v>
      </c>
      <c r="F373" s="1">
        <v>2023</v>
      </c>
      <c r="G373" s="5">
        <v>7148</v>
      </c>
      <c r="H373" s="5">
        <v>7117.17</v>
      </c>
      <c r="I373" s="5">
        <v>451640.68</v>
      </c>
      <c r="K373" s="5">
        <v>1.4710000000000001</v>
      </c>
      <c r="L373" s="5">
        <v>1E-3</v>
      </c>
      <c r="M373" s="5">
        <v>291444.82500000001</v>
      </c>
      <c r="N373" s="6">
        <v>5.91E-2</v>
      </c>
      <c r="O373" s="5">
        <v>103.06</v>
      </c>
      <c r="P373" s="6">
        <v>4.1000000000000002E-2</v>
      </c>
      <c r="Q373" s="5">
        <v>4904154.2750000004</v>
      </c>
      <c r="R373" s="1" t="s">
        <v>44</v>
      </c>
      <c r="T373" s="1" t="s">
        <v>43</v>
      </c>
      <c r="V373" s="1" t="s">
        <v>1090</v>
      </c>
      <c r="Y373" s="1" t="s">
        <v>461</v>
      </c>
      <c r="Z373" s="1" t="str">
        <f t="shared" si="15"/>
        <v>990 50</v>
      </c>
      <c r="AA373" s="3">
        <f>IF(INDEX('CAMD Facility Data 2023'!$AA$2:$AE$10000,MATCH(Z373,'CAMD Facility Data 2023'!$AE$2:$AE$10000,0),1)&gt;0,INDEX('CAMD Facility Data 2023'!$AA$2:$AE$10000,MATCH(Z373,'CAMD Facility Data 2023'!$AE$2:$AE$10000,0),1),"")</f>
        <v>21306</v>
      </c>
      <c r="AB373" s="5">
        <f>IF(INDEX('CAMD Facility Data 2023'!$AC$2:$AE$10000,MATCH(Z373,'CAMD Facility Data 2023'!$AE$2:$AE$10000,0),1)&gt;0,INDEX('CAMD Facility Data 2023'!$AC$2:$AE$10000,MATCH(Z373,'CAMD Facility Data 2023'!$AE$2:$AE$10000,0),1),"")</f>
        <v>1162</v>
      </c>
      <c r="AC373" s="1" t="str">
        <f>IF(INDEX('CAMD Facility Data 2023'!$AE$2:$AG$10000,MATCH(Z373,'CAMD Facility Data 2023'!$AE$2:$AE$10000,0),3)&gt;0,INDEX('CAMD Facility Data 2023'!$AE$2:$AG$10000,MATCH(Z373,'CAMD Facility Data 2023'!$AE$2:$AE$10000,0),3),"")</f>
        <v/>
      </c>
      <c r="AD373" s="20">
        <f t="shared" si="16"/>
        <v>0.45638050141984554</v>
      </c>
      <c r="AE373" s="25">
        <f t="shared" si="17"/>
        <v>0.48178568235761055</v>
      </c>
    </row>
    <row r="374" spans="1:31" x14ac:dyDescent="0.2">
      <c r="A374" s="1" t="s">
        <v>1071</v>
      </c>
      <c r="B374" s="1" t="s">
        <v>1085</v>
      </c>
      <c r="C374" s="1">
        <v>990</v>
      </c>
      <c r="D374" s="1">
        <v>60</v>
      </c>
      <c r="F374" s="1">
        <v>2023</v>
      </c>
      <c r="G374" s="5">
        <v>5466</v>
      </c>
      <c r="H374" s="5">
        <v>5451.48</v>
      </c>
      <c r="I374" s="5">
        <v>352047.04</v>
      </c>
      <c r="K374" s="5">
        <v>1.143</v>
      </c>
      <c r="L374" s="5">
        <v>1E-3</v>
      </c>
      <c r="M374" s="5">
        <v>226376.22200000001</v>
      </c>
      <c r="N374" s="6">
        <v>5.91E-2</v>
      </c>
      <c r="O374" s="5">
        <v>74.471000000000004</v>
      </c>
      <c r="P374" s="6">
        <v>3.7699999999999997E-2</v>
      </c>
      <c r="Q374" s="5">
        <v>3809190.7650000001</v>
      </c>
      <c r="R374" s="1" t="s">
        <v>44</v>
      </c>
      <c r="T374" s="1" t="s">
        <v>43</v>
      </c>
      <c r="V374" s="1" t="s">
        <v>1090</v>
      </c>
      <c r="Y374" s="1" t="s">
        <v>461</v>
      </c>
      <c r="Z374" s="1" t="str">
        <f t="shared" si="15"/>
        <v>990 60</v>
      </c>
      <c r="AA374" s="3">
        <f>IF(INDEX('CAMD Facility Data 2023'!$AA$2:$AE$10000,MATCH(Z374,'CAMD Facility Data 2023'!$AE$2:$AE$10000,0),1)&gt;0,INDEX('CAMD Facility Data 2023'!$AA$2:$AE$10000,MATCH(Z374,'CAMD Facility Data 2023'!$AE$2:$AE$10000,0),1),"")</f>
        <v>22372</v>
      </c>
      <c r="AB374" s="5">
        <f>IF(INDEX('CAMD Facility Data 2023'!$AC$2:$AE$10000,MATCH(Z374,'CAMD Facility Data 2023'!$AE$2:$AE$10000,0),1)&gt;0,INDEX('CAMD Facility Data 2023'!$AC$2:$AE$10000,MATCH(Z374,'CAMD Facility Data 2023'!$AE$2:$AE$10000,0),1),"")</f>
        <v>1162</v>
      </c>
      <c r="AC374" s="1" t="str">
        <f>IF(INDEX('CAMD Facility Data 2023'!$AE$2:$AG$10000,MATCH(Z374,'CAMD Facility Data 2023'!$AE$2:$AE$10000,0),3)&gt;0,INDEX('CAMD Facility Data 2023'!$AE$2:$AG$10000,MATCH(Z374,'CAMD Facility Data 2023'!$AE$2:$AE$10000,0),3),"")</f>
        <v/>
      </c>
      <c r="AD374" s="20">
        <f t="shared" si="16"/>
        <v>0.42307414372806545</v>
      </c>
      <c r="AE374" s="25">
        <f t="shared" si="17"/>
        <v>0.3742161174050409</v>
      </c>
    </row>
    <row r="375" spans="1:31" x14ac:dyDescent="0.2">
      <c r="A375" s="1" t="s">
        <v>1071</v>
      </c>
      <c r="B375" s="1" t="s">
        <v>1085</v>
      </c>
      <c r="C375" s="1">
        <v>990</v>
      </c>
      <c r="D375" s="1">
        <v>70</v>
      </c>
      <c r="F375" s="1">
        <v>2023</v>
      </c>
      <c r="G375" s="5">
        <v>6432</v>
      </c>
      <c r="H375" s="5">
        <v>6402.61</v>
      </c>
      <c r="I375" s="5">
        <v>1971720.21</v>
      </c>
      <c r="K375" s="5">
        <v>5.7779999999999996</v>
      </c>
      <c r="L375" s="5">
        <v>1E-3</v>
      </c>
      <c r="M375" s="5">
        <v>1144617.844</v>
      </c>
      <c r="N375" s="6">
        <v>5.8999999999999997E-2</v>
      </c>
      <c r="O375" s="5">
        <v>596.39400000000001</v>
      </c>
      <c r="P375" s="6">
        <v>6.0499999999999998E-2</v>
      </c>
      <c r="Q375" s="5">
        <v>19260450.772999998</v>
      </c>
      <c r="R375" s="1" t="s">
        <v>44</v>
      </c>
      <c r="T375" s="1" t="s">
        <v>43</v>
      </c>
      <c r="U375" s="1" t="s">
        <v>56</v>
      </c>
      <c r="V375" s="1" t="s">
        <v>1093</v>
      </c>
      <c r="Y375" s="1" t="s">
        <v>461</v>
      </c>
      <c r="Z375" s="1" t="str">
        <f t="shared" si="15"/>
        <v>990 70</v>
      </c>
      <c r="AA375" s="3">
        <f>IF(INDEX('CAMD Facility Data 2023'!$AA$2:$AE$10000,MATCH(Z375,'CAMD Facility Data 2023'!$AE$2:$AE$10000,0),1)&gt;0,INDEX('CAMD Facility Data 2023'!$AA$2:$AE$10000,MATCH(Z375,'CAMD Facility Data 2023'!$AE$2:$AE$10000,0),1),"")</f>
        <v>26846</v>
      </c>
      <c r="AB375" s="5">
        <f>IF(INDEX('CAMD Facility Data 2023'!$AC$2:$AE$10000,MATCH(Z375,'CAMD Facility Data 2023'!$AE$2:$AE$10000,0),1)&gt;0,INDEX('CAMD Facility Data 2023'!$AC$2:$AE$10000,MATCH(Z375,'CAMD Facility Data 2023'!$AE$2:$AE$10000,0),1),"")</f>
        <v>4360</v>
      </c>
      <c r="AC375" s="1" t="str">
        <f>IF(INDEX('CAMD Facility Data 2023'!$AE$2:$AG$10000,MATCH(Z375,'CAMD Facility Data 2023'!$AE$2:$AE$10000,0),3)&gt;0,INDEX('CAMD Facility Data 2023'!$AE$2:$AG$10000,MATCH(Z375,'CAMD Facility Data 2023'!$AE$2:$AE$10000,0),3),"")</f>
        <v>Y</v>
      </c>
      <c r="AD375" s="20">
        <f t="shared" si="16"/>
        <v>0.60494789978340791</v>
      </c>
      <c r="AE375" s="25">
        <f t="shared" si="17"/>
        <v>0.5042847695163587</v>
      </c>
    </row>
    <row r="376" spans="1:31" x14ac:dyDescent="0.2">
      <c r="A376" s="1" t="s">
        <v>1071</v>
      </c>
      <c r="B376" s="1" t="s">
        <v>1085</v>
      </c>
      <c r="C376" s="1">
        <v>990</v>
      </c>
      <c r="D376" s="1" t="s">
        <v>251</v>
      </c>
      <c r="F376" s="1">
        <v>2023</v>
      </c>
      <c r="G376" s="5">
        <v>1553</v>
      </c>
      <c r="H376" s="5">
        <v>1440.91</v>
      </c>
      <c r="I376" s="5">
        <v>88017.22</v>
      </c>
      <c r="K376" s="5">
        <v>0.40100000000000002</v>
      </c>
      <c r="L376" s="5">
        <v>1.1999999999999999E-3</v>
      </c>
      <c r="M376" s="5">
        <v>65314.108</v>
      </c>
      <c r="N376" s="6">
        <v>5.9299999999999999E-2</v>
      </c>
      <c r="O376" s="5">
        <v>85.629000000000005</v>
      </c>
      <c r="P376" s="6">
        <v>0.15310000000000001</v>
      </c>
      <c r="Q376" s="5">
        <v>1096288.6040000001</v>
      </c>
      <c r="R376" s="1" t="s">
        <v>44</v>
      </c>
      <c r="S376" s="1" t="s">
        <v>94</v>
      </c>
      <c r="T376" s="1" t="s">
        <v>93</v>
      </c>
      <c r="V376" s="1" t="s">
        <v>95</v>
      </c>
      <c r="Y376" s="1" t="s">
        <v>461</v>
      </c>
      <c r="Z376" s="1" t="str">
        <f t="shared" si="15"/>
        <v>990 GT4</v>
      </c>
      <c r="AA376" s="3">
        <f>IF(INDEX('CAMD Facility Data 2023'!$AA$2:$AE$10000,MATCH(Z376,'CAMD Facility Data 2023'!$AE$2:$AE$10000,0),1)&gt;0,INDEX('CAMD Facility Data 2023'!$AA$2:$AE$10000,MATCH(Z376,'CAMD Facility Data 2023'!$AE$2:$AE$10000,0),1),"")</f>
        <v>34408</v>
      </c>
      <c r="AB376" s="5">
        <f>IF(INDEX('CAMD Facility Data 2023'!$AC$2:$AE$10000,MATCH(Z376,'CAMD Facility Data 2023'!$AE$2:$AE$10000,0),1)&gt;0,INDEX('CAMD Facility Data 2023'!$AC$2:$AE$10000,MATCH(Z376,'CAMD Facility Data 2023'!$AE$2:$AE$10000,0),1),"")</f>
        <v>1124</v>
      </c>
      <c r="AC376" s="1" t="str">
        <f>IF(INDEX('CAMD Facility Data 2023'!$AE$2:$AG$10000,MATCH(Z376,'CAMD Facility Data 2023'!$AE$2:$AE$10000,0),3)&gt;0,INDEX('CAMD Facility Data 2023'!$AE$2:$AG$10000,MATCH(Z376,'CAMD Facility Data 2023'!$AE$2:$AE$10000,0),3),"")</f>
        <v/>
      </c>
      <c r="AD376" s="20">
        <f t="shared" si="16"/>
        <v>1.94573289181367</v>
      </c>
      <c r="AE376" s="25">
        <f t="shared" si="17"/>
        <v>0.11134083711142528</v>
      </c>
    </row>
    <row r="377" spans="1:31" x14ac:dyDescent="0.2">
      <c r="A377" s="1" t="s">
        <v>1071</v>
      </c>
      <c r="B377" s="1" t="s">
        <v>1085</v>
      </c>
      <c r="C377" s="1">
        <v>990</v>
      </c>
      <c r="D377" s="1" t="s">
        <v>253</v>
      </c>
      <c r="F377" s="1">
        <v>2023</v>
      </c>
      <c r="G377" s="5">
        <v>1627</v>
      </c>
      <c r="H377" s="5">
        <v>1519.16</v>
      </c>
      <c r="I377" s="5">
        <v>92565.65</v>
      </c>
      <c r="K377" s="5">
        <v>0.34899999999999998</v>
      </c>
      <c r="L377" s="5">
        <v>1E-3</v>
      </c>
      <c r="M377" s="5">
        <v>69187.600999999995</v>
      </c>
      <c r="N377" s="6">
        <v>5.8999999999999997E-2</v>
      </c>
      <c r="O377" s="5">
        <v>86.984999999999999</v>
      </c>
      <c r="P377" s="6">
        <v>0.14829999999999999</v>
      </c>
      <c r="Q377" s="5">
        <v>1164187.159</v>
      </c>
      <c r="R377" s="1" t="s">
        <v>44</v>
      </c>
      <c r="S377" s="1" t="s">
        <v>94</v>
      </c>
      <c r="T377" s="1" t="s">
        <v>93</v>
      </c>
      <c r="V377" s="1" t="s">
        <v>95</v>
      </c>
      <c r="Y377" s="1" t="s">
        <v>461</v>
      </c>
      <c r="Z377" s="1" t="str">
        <f t="shared" si="15"/>
        <v>990 GT5</v>
      </c>
      <c r="AA377" s="3">
        <f>IF(INDEX('CAMD Facility Data 2023'!$AA$2:$AE$10000,MATCH(Z377,'CAMD Facility Data 2023'!$AE$2:$AE$10000,0),1)&gt;0,INDEX('CAMD Facility Data 2023'!$AA$2:$AE$10000,MATCH(Z377,'CAMD Facility Data 2023'!$AE$2:$AE$10000,0),1),"")</f>
        <v>34656</v>
      </c>
      <c r="AB377" s="5">
        <f>IF(INDEX('CAMD Facility Data 2023'!$AC$2:$AE$10000,MATCH(Z377,'CAMD Facility Data 2023'!$AE$2:$AE$10000,0),1)&gt;0,INDEX('CAMD Facility Data 2023'!$AC$2:$AE$10000,MATCH(Z377,'CAMD Facility Data 2023'!$AE$2:$AE$10000,0),1),"")</f>
        <v>1124</v>
      </c>
      <c r="AC377" s="1" t="str">
        <f>IF(INDEX('CAMD Facility Data 2023'!$AE$2:$AG$10000,MATCH(Z377,'CAMD Facility Data 2023'!$AE$2:$AE$10000,0),3)&gt;0,INDEX('CAMD Facility Data 2023'!$AE$2:$AG$10000,MATCH(Z377,'CAMD Facility Data 2023'!$AE$2:$AE$10000,0),3),"")</f>
        <v/>
      </c>
      <c r="AD377" s="20">
        <f t="shared" si="16"/>
        <v>1.8794228744680128</v>
      </c>
      <c r="AE377" s="25">
        <f t="shared" si="17"/>
        <v>0.11823672376460456</v>
      </c>
    </row>
    <row r="378" spans="1:31" x14ac:dyDescent="0.2">
      <c r="A378" s="1" t="s">
        <v>1071</v>
      </c>
      <c r="B378" s="1" t="s">
        <v>1085</v>
      </c>
      <c r="C378" s="1">
        <v>990</v>
      </c>
      <c r="D378" s="1" t="s">
        <v>255</v>
      </c>
      <c r="F378" s="1">
        <v>2023</v>
      </c>
      <c r="G378" s="5">
        <v>917</v>
      </c>
      <c r="H378" s="5">
        <v>811.24</v>
      </c>
      <c r="I378" s="5">
        <v>115069.73</v>
      </c>
      <c r="K378" s="5">
        <v>0.34599999999999997</v>
      </c>
      <c r="L378" s="5">
        <v>1E-3</v>
      </c>
      <c r="M378" s="5">
        <v>68553.19</v>
      </c>
      <c r="N378" s="6">
        <v>5.8999999999999997E-2</v>
      </c>
      <c r="O378" s="5">
        <v>25.594000000000001</v>
      </c>
      <c r="P378" s="6">
        <v>5.2400000000000002E-2</v>
      </c>
      <c r="Q378" s="5">
        <v>1153544.709</v>
      </c>
      <c r="R378" s="1" t="s">
        <v>44</v>
      </c>
      <c r="T378" s="1" t="s">
        <v>93</v>
      </c>
      <c r="V378" s="1" t="s">
        <v>140</v>
      </c>
      <c r="Y378" s="1" t="s">
        <v>461</v>
      </c>
      <c r="Z378" s="1" t="str">
        <f t="shared" si="15"/>
        <v>990 GT6</v>
      </c>
      <c r="AA378" s="3">
        <f>IF(INDEX('CAMD Facility Data 2023'!$AA$2:$AE$10000,MATCH(Z378,'CAMD Facility Data 2023'!$AE$2:$AE$10000,0),1)&gt;0,INDEX('CAMD Facility Data 2023'!$AA$2:$AE$10000,MATCH(Z378,'CAMD Facility Data 2023'!$AE$2:$AE$10000,0),1),"")</f>
        <v>37386</v>
      </c>
      <c r="AB378" s="5">
        <f>IF(INDEX('CAMD Facility Data 2023'!$AC$2:$AE$10000,MATCH(Z378,'CAMD Facility Data 2023'!$AE$2:$AE$10000,0),1)&gt;0,INDEX('CAMD Facility Data 2023'!$AC$2:$AE$10000,MATCH(Z378,'CAMD Facility Data 2023'!$AE$2:$AE$10000,0),1),"")</f>
        <v>2000</v>
      </c>
      <c r="AC378" s="1" t="str">
        <f>IF(INDEX('CAMD Facility Data 2023'!$AE$2:$AG$10000,MATCH(Z378,'CAMD Facility Data 2023'!$AE$2:$AE$10000,0),3)&gt;0,INDEX('CAMD Facility Data 2023'!$AE$2:$AG$10000,MATCH(Z378,'CAMD Facility Data 2023'!$AE$2:$AE$10000,0),3),"")</f>
        <v/>
      </c>
      <c r="AD378" s="20">
        <f t="shared" si="16"/>
        <v>0.44484331370204833</v>
      </c>
      <c r="AE378" s="25">
        <f t="shared" si="17"/>
        <v>6.5841592979452052E-2</v>
      </c>
    </row>
    <row r="379" spans="1:31" x14ac:dyDescent="0.2">
      <c r="A379" s="1" t="s">
        <v>1071</v>
      </c>
      <c r="B379" s="1" t="s">
        <v>1096</v>
      </c>
      <c r="C379" s="1">
        <v>991</v>
      </c>
      <c r="D379" s="1" t="s">
        <v>280</v>
      </c>
      <c r="F379" s="1">
        <v>2023</v>
      </c>
      <c r="G379" s="5">
        <v>8142</v>
      </c>
      <c r="H379" s="5">
        <v>8139.75</v>
      </c>
      <c r="I379" s="5">
        <v>2711302.19</v>
      </c>
      <c r="K379" s="5">
        <v>5.1760000000000002</v>
      </c>
      <c r="L379" s="5">
        <v>1E-3</v>
      </c>
      <c r="M379" s="5">
        <v>1025333.7439999999</v>
      </c>
      <c r="N379" s="6">
        <v>5.8999999999999997E-2</v>
      </c>
      <c r="O379" s="5">
        <v>43.238</v>
      </c>
      <c r="P379" s="6">
        <v>5.1000000000000004E-3</v>
      </c>
      <c r="Q379" s="5">
        <v>17253236.458999999</v>
      </c>
      <c r="R379" s="1" t="s">
        <v>44</v>
      </c>
      <c r="T379" s="1" t="s">
        <v>71</v>
      </c>
      <c r="V379" s="1" t="s">
        <v>64</v>
      </c>
      <c r="Y379" s="1" t="s">
        <v>461</v>
      </c>
      <c r="Z379" s="1" t="str">
        <f t="shared" si="15"/>
        <v>991 GT1</v>
      </c>
      <c r="AA379" s="3">
        <f>IF(INDEX('CAMD Facility Data 2023'!$AA$2:$AE$10000,MATCH(Z379,'CAMD Facility Data 2023'!$AE$2:$AE$10000,0),1)&gt;0,INDEX('CAMD Facility Data 2023'!$AA$2:$AE$10000,MATCH(Z379,'CAMD Facility Data 2023'!$AE$2:$AE$10000,0),1),"")</f>
        <v>43040</v>
      </c>
      <c r="AB379" s="5">
        <f>IF(INDEX('CAMD Facility Data 2023'!$AC$2:$AE$10000,MATCH(Z379,'CAMD Facility Data 2023'!$AE$2:$AE$10000,0),1)&gt;0,INDEX('CAMD Facility Data 2023'!$AC$2:$AE$10000,MATCH(Z379,'CAMD Facility Data 2023'!$AE$2:$AE$10000,0),1),"")</f>
        <v>2542</v>
      </c>
      <c r="AC379" s="1" t="str">
        <f>IF(INDEX('CAMD Facility Data 2023'!$AE$2:$AG$10000,MATCH(Z379,'CAMD Facility Data 2023'!$AE$2:$AE$10000,0),3)&gt;0,INDEX('CAMD Facility Data 2023'!$AE$2:$AG$10000,MATCH(Z379,'CAMD Facility Data 2023'!$AE$2:$AE$10000,0),3),"")</f>
        <v>Y</v>
      </c>
      <c r="AD379" s="20">
        <f t="shared" si="16"/>
        <v>3.189463731447803E-2</v>
      </c>
      <c r="AE379" s="25">
        <f t="shared" si="17"/>
        <v>0.77480233712892799</v>
      </c>
    </row>
    <row r="380" spans="1:31" x14ac:dyDescent="0.2">
      <c r="A380" s="1" t="s">
        <v>1071</v>
      </c>
      <c r="B380" s="1" t="s">
        <v>1096</v>
      </c>
      <c r="C380" s="1">
        <v>991</v>
      </c>
      <c r="D380" s="1" t="s">
        <v>1102</v>
      </c>
      <c r="F380" s="1">
        <v>2023</v>
      </c>
      <c r="G380" s="5">
        <v>8141</v>
      </c>
      <c r="H380" s="5">
        <v>8139.42</v>
      </c>
      <c r="I380" s="5">
        <v>2707475.98</v>
      </c>
      <c r="K380" s="5">
        <v>5.14</v>
      </c>
      <c r="L380" s="5">
        <v>1E-3</v>
      </c>
      <c r="M380" s="5">
        <v>1018155.53</v>
      </c>
      <c r="N380" s="6">
        <v>5.8999999999999997E-2</v>
      </c>
      <c r="O380" s="5">
        <v>42.94</v>
      </c>
      <c r="P380" s="6">
        <v>5.1000000000000004E-3</v>
      </c>
      <c r="Q380" s="5">
        <v>17132415.905999999</v>
      </c>
      <c r="R380" s="1" t="s">
        <v>44</v>
      </c>
      <c r="T380" s="1" t="s">
        <v>71</v>
      </c>
      <c r="V380" s="1" t="s">
        <v>64</v>
      </c>
      <c r="Y380" s="1" t="s">
        <v>461</v>
      </c>
      <c r="Z380" s="1" t="str">
        <f t="shared" si="15"/>
        <v>991 GT2</v>
      </c>
      <c r="AA380" s="3">
        <f>IF(INDEX('CAMD Facility Data 2023'!$AA$2:$AE$10000,MATCH(Z380,'CAMD Facility Data 2023'!$AE$2:$AE$10000,0),1)&gt;0,INDEX('CAMD Facility Data 2023'!$AA$2:$AE$10000,MATCH(Z380,'CAMD Facility Data 2023'!$AE$2:$AE$10000,0),1),"")</f>
        <v>43052</v>
      </c>
      <c r="AB380" s="5">
        <f>IF(INDEX('CAMD Facility Data 2023'!$AC$2:$AE$10000,MATCH(Z380,'CAMD Facility Data 2023'!$AE$2:$AE$10000,0),1)&gt;0,INDEX('CAMD Facility Data 2023'!$AC$2:$AE$10000,MATCH(Z380,'CAMD Facility Data 2023'!$AE$2:$AE$10000,0),1),"")</f>
        <v>2542</v>
      </c>
      <c r="AC380" s="1" t="str">
        <f>IF(INDEX('CAMD Facility Data 2023'!$AE$2:$AG$10000,MATCH(Z380,'CAMD Facility Data 2023'!$AE$2:$AE$10000,0),3)&gt;0,INDEX('CAMD Facility Data 2023'!$AE$2:$AG$10000,MATCH(Z380,'CAMD Facility Data 2023'!$AE$2:$AE$10000,0),3),"")</f>
        <v>Y</v>
      </c>
      <c r="AD380" s="20">
        <f t="shared" si="16"/>
        <v>3.1719579650712176E-2</v>
      </c>
      <c r="AE380" s="25">
        <f t="shared" si="17"/>
        <v>0.76937656979187996</v>
      </c>
    </row>
    <row r="381" spans="1:31" x14ac:dyDescent="0.2">
      <c r="A381" s="1" t="s">
        <v>1071</v>
      </c>
      <c r="B381" s="1" t="s">
        <v>1104</v>
      </c>
      <c r="C381" s="1">
        <v>994</v>
      </c>
      <c r="D381" s="1">
        <v>2</v>
      </c>
      <c r="E381" s="1" t="s">
        <v>1105</v>
      </c>
      <c r="F381" s="1">
        <v>2023</v>
      </c>
      <c r="G381" s="5">
        <v>1880</v>
      </c>
      <c r="H381" s="5">
        <v>1869.72</v>
      </c>
      <c r="I381" s="5">
        <v>653477.34</v>
      </c>
      <c r="K381" s="5">
        <v>278.08499999999998</v>
      </c>
      <c r="L381" s="5">
        <v>6.54E-2</v>
      </c>
      <c r="M381" s="5">
        <v>825267.69499999995</v>
      </c>
      <c r="N381" s="6">
        <v>0.10299999999999999</v>
      </c>
      <c r="O381" s="5">
        <v>326.06700000000001</v>
      </c>
      <c r="P381" s="6">
        <v>8.2500000000000004E-2</v>
      </c>
      <c r="Q381" s="5">
        <v>8043522.0949999997</v>
      </c>
      <c r="R381" s="1" t="s">
        <v>55</v>
      </c>
      <c r="T381" s="1" t="s">
        <v>43</v>
      </c>
      <c r="U381" s="1" t="s">
        <v>1108</v>
      </c>
      <c r="V381" s="1" t="s">
        <v>301</v>
      </c>
      <c r="W381" s="1" t="s">
        <v>232</v>
      </c>
      <c r="X381" s="1" t="s">
        <v>1109</v>
      </c>
      <c r="Y381" s="1" t="s">
        <v>1005</v>
      </c>
      <c r="Z381" s="1" t="str">
        <f t="shared" si="15"/>
        <v>994 2</v>
      </c>
      <c r="AA381" s="3">
        <f>IF(INDEX('CAMD Facility Data 2023'!$AA$2:$AE$10000,MATCH(Z381,'CAMD Facility Data 2023'!$AE$2:$AE$10000,0),1)&gt;0,INDEX('CAMD Facility Data 2023'!$AA$2:$AE$10000,MATCH(Z381,'CAMD Facility Data 2023'!$AE$2:$AE$10000,0),1),"")</f>
        <v>25538</v>
      </c>
      <c r="AB381" s="5">
        <f>IF(INDEX('CAMD Facility Data 2023'!$AC$2:$AE$10000,MATCH(Z381,'CAMD Facility Data 2023'!$AE$2:$AE$10000,0),1)&gt;0,INDEX('CAMD Facility Data 2023'!$AC$2:$AE$10000,MATCH(Z381,'CAMD Facility Data 2023'!$AE$2:$AE$10000,0),1),"")</f>
        <v>4144</v>
      </c>
      <c r="AC381" s="1" t="str">
        <f>IF(INDEX('CAMD Facility Data 2023'!$AE$2:$AG$10000,MATCH(Z381,'CAMD Facility Data 2023'!$AE$2:$AE$10000,0),3)&gt;0,INDEX('CAMD Facility Data 2023'!$AE$2:$AG$10000,MATCH(Z381,'CAMD Facility Data 2023'!$AE$2:$AE$10000,0),3),"")</f>
        <v>Y</v>
      </c>
      <c r="AD381" s="20">
        <f t="shared" si="16"/>
        <v>0.99794432045646764</v>
      </c>
      <c r="AE381" s="25">
        <f t="shared" si="17"/>
        <v>0.22157584093082808</v>
      </c>
    </row>
    <row r="382" spans="1:31" x14ac:dyDescent="0.2">
      <c r="A382" s="1" t="s">
        <v>1071</v>
      </c>
      <c r="B382" s="1" t="s">
        <v>1104</v>
      </c>
      <c r="C382" s="1">
        <v>994</v>
      </c>
      <c r="D382" s="1">
        <v>3</v>
      </c>
      <c r="F382" s="1">
        <v>2023</v>
      </c>
      <c r="G382" s="5">
        <v>6127</v>
      </c>
      <c r="H382" s="5">
        <v>6110.36</v>
      </c>
      <c r="I382" s="5">
        <v>2140948.61</v>
      </c>
      <c r="K382" s="5">
        <v>1341.93</v>
      </c>
      <c r="L382" s="5">
        <v>0.1268</v>
      </c>
      <c r="M382" s="5">
        <v>1987710.2180000001</v>
      </c>
      <c r="N382" s="6">
        <v>0.10299999999999999</v>
      </c>
      <c r="O382" s="5">
        <v>806.80399999999997</v>
      </c>
      <c r="P382" s="6">
        <v>8.5400000000000004E-2</v>
      </c>
      <c r="Q382" s="5">
        <v>19373420.521000002</v>
      </c>
      <c r="R382" s="1" t="s">
        <v>55</v>
      </c>
      <c r="T382" s="1" t="s">
        <v>43</v>
      </c>
      <c r="U382" s="1" t="s">
        <v>56</v>
      </c>
      <c r="V382" s="1" t="s">
        <v>299</v>
      </c>
      <c r="W382" s="1" t="s">
        <v>123</v>
      </c>
      <c r="X382" s="1" t="s">
        <v>1112</v>
      </c>
      <c r="Y382" s="1" t="s">
        <v>1005</v>
      </c>
      <c r="Z382" s="1" t="str">
        <f t="shared" si="15"/>
        <v>994 3</v>
      </c>
      <c r="AA382" s="3">
        <f>IF(INDEX('CAMD Facility Data 2023'!$AA$2:$AE$10000,MATCH(Z382,'CAMD Facility Data 2023'!$AE$2:$AE$10000,0),1)&gt;0,INDEX('CAMD Facility Data 2023'!$AA$2:$AE$10000,MATCH(Z382,'CAMD Facility Data 2023'!$AE$2:$AE$10000,0),1),"")</f>
        <v>28430</v>
      </c>
      <c r="AB382" s="5">
        <f>IF(INDEX('CAMD Facility Data 2023'!$AC$2:$AE$10000,MATCH(Z382,'CAMD Facility Data 2023'!$AE$2:$AE$10000,0),1)&gt;0,INDEX('CAMD Facility Data 2023'!$AC$2:$AE$10000,MATCH(Z382,'CAMD Facility Data 2023'!$AE$2:$AE$10000,0),1),"")</f>
        <v>5540</v>
      </c>
      <c r="AC382" s="1" t="str">
        <f>IF(INDEX('CAMD Facility Data 2023'!$AE$2:$AG$10000,MATCH(Z382,'CAMD Facility Data 2023'!$AE$2:$AE$10000,0),3)&gt;0,INDEX('CAMD Facility Data 2023'!$AE$2:$AG$10000,MATCH(Z382,'CAMD Facility Data 2023'!$AE$2:$AE$10000,0),3),"")</f>
        <v>Y</v>
      </c>
      <c r="AD382" s="20">
        <f t="shared" si="16"/>
        <v>0.75368833818014913</v>
      </c>
      <c r="AE382" s="25">
        <f t="shared" si="17"/>
        <v>0.39920174820318816</v>
      </c>
    </row>
    <row r="383" spans="1:31" x14ac:dyDescent="0.2">
      <c r="A383" s="1" t="s">
        <v>1071</v>
      </c>
      <c r="B383" s="1" t="s">
        <v>1104</v>
      </c>
      <c r="C383" s="1">
        <v>994</v>
      </c>
      <c r="D383" s="1">
        <v>4</v>
      </c>
      <c r="F383" s="1">
        <v>2023</v>
      </c>
      <c r="G383" s="5">
        <v>7028</v>
      </c>
      <c r="H383" s="5">
        <v>7014.89</v>
      </c>
      <c r="I383" s="5">
        <v>2494069.15</v>
      </c>
      <c r="K383" s="5">
        <v>2036.7639999999999</v>
      </c>
      <c r="L383" s="5">
        <v>0.15989999999999999</v>
      </c>
      <c r="M383" s="5">
        <v>2522193.432</v>
      </c>
      <c r="N383" s="6">
        <v>0.10299999999999999</v>
      </c>
      <c r="O383" s="5">
        <v>2428.5630000000001</v>
      </c>
      <c r="P383" s="6">
        <v>0.19159999999999999</v>
      </c>
      <c r="Q383" s="5">
        <v>24582790.024999999</v>
      </c>
      <c r="R383" s="1" t="s">
        <v>55</v>
      </c>
      <c r="T383" s="1" t="s">
        <v>43</v>
      </c>
      <c r="U383" s="1" t="s">
        <v>56</v>
      </c>
      <c r="V383" s="1" t="s">
        <v>1114</v>
      </c>
      <c r="W383" s="1" t="s">
        <v>58</v>
      </c>
      <c r="X383" s="1" t="s">
        <v>1112</v>
      </c>
      <c r="Y383" s="1" t="s">
        <v>1005</v>
      </c>
      <c r="Z383" s="1" t="str">
        <f t="shared" si="15"/>
        <v>994 4</v>
      </c>
      <c r="AA383" s="3">
        <f>IF(INDEX('CAMD Facility Data 2023'!$AA$2:$AE$10000,MATCH(Z383,'CAMD Facility Data 2023'!$AE$2:$AE$10000,0),1)&gt;0,INDEX('CAMD Facility Data 2023'!$AA$2:$AE$10000,MATCH(Z383,'CAMD Facility Data 2023'!$AE$2:$AE$10000,0),1),"")</f>
        <v>31503</v>
      </c>
      <c r="AB383" s="5">
        <f>IF(INDEX('CAMD Facility Data 2023'!$AC$2:$AE$10000,MATCH(Z383,'CAMD Facility Data 2023'!$AE$2:$AE$10000,0),1)&gt;0,INDEX('CAMD Facility Data 2023'!$AC$2:$AE$10000,MATCH(Z383,'CAMD Facility Data 2023'!$AE$2:$AE$10000,0),1),"")</f>
        <v>5550</v>
      </c>
      <c r="AC383" s="1" t="str">
        <f>IF(INDEX('CAMD Facility Data 2023'!$AE$2:$AG$10000,MATCH(Z383,'CAMD Facility Data 2023'!$AE$2:$AE$10000,0),3)&gt;0,INDEX('CAMD Facility Data 2023'!$AE$2:$AG$10000,MATCH(Z383,'CAMD Facility Data 2023'!$AE$2:$AE$10000,0),3),"")</f>
        <v/>
      </c>
      <c r="AD383" s="20">
        <f t="shared" si="16"/>
        <v>1.9474704620760015</v>
      </c>
      <c r="AE383" s="25">
        <f t="shared" si="17"/>
        <v>0.50563145388539221</v>
      </c>
    </row>
    <row r="384" spans="1:31" x14ac:dyDescent="0.2">
      <c r="A384" s="1" t="s">
        <v>1071</v>
      </c>
      <c r="B384" s="1" t="s">
        <v>1116</v>
      </c>
      <c r="C384" s="1">
        <v>997</v>
      </c>
      <c r="D384" s="1">
        <v>12</v>
      </c>
      <c r="F384" s="1">
        <v>2023</v>
      </c>
      <c r="G384" s="5">
        <v>4786</v>
      </c>
      <c r="H384" s="5">
        <v>4778.1000000000004</v>
      </c>
      <c r="I384" s="5">
        <v>1581702.44</v>
      </c>
      <c r="K384" s="5">
        <v>639.60699999999997</v>
      </c>
      <c r="L384" s="5">
        <v>8.8099999999999998E-2</v>
      </c>
      <c r="M384" s="5">
        <v>1608225.203</v>
      </c>
      <c r="N384" s="6">
        <v>0.105</v>
      </c>
      <c r="O384" s="5">
        <v>683.83799999999997</v>
      </c>
      <c r="P384" s="6">
        <v>9.3200000000000005E-2</v>
      </c>
      <c r="Q384" s="5">
        <v>15333963.005999999</v>
      </c>
      <c r="R384" s="1" t="s">
        <v>55</v>
      </c>
      <c r="T384" s="1" t="s">
        <v>606</v>
      </c>
      <c r="U384" s="1" t="s">
        <v>212</v>
      </c>
      <c r="V384" s="1" t="s">
        <v>1010</v>
      </c>
      <c r="W384" s="1" t="s">
        <v>58</v>
      </c>
      <c r="Y384" s="1" t="s">
        <v>1005</v>
      </c>
      <c r="Z384" s="1" t="str">
        <f t="shared" si="15"/>
        <v>997 12</v>
      </c>
      <c r="AA384" s="3">
        <f>IF(INDEX('CAMD Facility Data 2023'!$AA$2:$AE$10000,MATCH(Z384,'CAMD Facility Data 2023'!$AE$2:$AE$10000,0),1)&gt;0,INDEX('CAMD Facility Data 2023'!$AA$2:$AE$10000,MATCH(Z384,'CAMD Facility Data 2023'!$AE$2:$AE$10000,0),1),"")</f>
        <v>27180</v>
      </c>
      <c r="AB384" s="5">
        <f>IF(INDEX('CAMD Facility Data 2023'!$AC$2:$AE$10000,MATCH(Z384,'CAMD Facility Data 2023'!$AE$2:$AE$10000,0),1)&gt;0,INDEX('CAMD Facility Data 2023'!$AC$2:$AE$10000,MATCH(Z384,'CAMD Facility Data 2023'!$AE$2:$AE$10000,0),1),"")</f>
        <v>5200</v>
      </c>
      <c r="AC384" s="1" t="str">
        <f>IF(INDEX('CAMD Facility Data 2023'!$AE$2:$AG$10000,MATCH(Z384,'CAMD Facility Data 2023'!$AE$2:$AE$10000,0),3)&gt;0,INDEX('CAMD Facility Data 2023'!$AE$2:$AG$10000,MATCH(Z384,'CAMD Facility Data 2023'!$AE$2:$AE$10000,0),3),"")</f>
        <v>Y</v>
      </c>
      <c r="AD384" s="20">
        <f t="shared" si="16"/>
        <v>0.86468602779673276</v>
      </c>
      <c r="AE384" s="25">
        <f t="shared" si="17"/>
        <v>0.33662546114330871</v>
      </c>
    </row>
    <row r="385" spans="1:31" x14ac:dyDescent="0.2">
      <c r="A385" s="1" t="s">
        <v>1071</v>
      </c>
      <c r="B385" s="1" t="s">
        <v>1121</v>
      </c>
      <c r="C385" s="1">
        <v>1001</v>
      </c>
      <c r="D385" s="1">
        <v>1</v>
      </c>
      <c r="F385" s="1">
        <v>2023</v>
      </c>
      <c r="G385" s="5">
        <v>6950</v>
      </c>
      <c r="H385" s="5">
        <v>6935.2</v>
      </c>
      <c r="I385" s="5">
        <v>2440893.66</v>
      </c>
      <c r="K385" s="5">
        <v>1150.8979999999999</v>
      </c>
      <c r="L385" s="5">
        <v>9.7299999999999998E-2</v>
      </c>
      <c r="M385" s="5">
        <v>2430029.0210000002</v>
      </c>
      <c r="N385" s="6">
        <v>0.10290000000000001</v>
      </c>
      <c r="O385" s="5">
        <v>2658.2280000000001</v>
      </c>
      <c r="P385" s="6">
        <v>0.2152</v>
      </c>
      <c r="Q385" s="5">
        <v>23684480.984000001</v>
      </c>
      <c r="R385" s="1" t="s">
        <v>55</v>
      </c>
      <c r="S385" s="1" t="s">
        <v>94</v>
      </c>
      <c r="T385" s="1" t="s">
        <v>43</v>
      </c>
      <c r="U385" s="1" t="s">
        <v>56</v>
      </c>
      <c r="V385" s="1" t="s">
        <v>57</v>
      </c>
      <c r="W385" s="1" t="s">
        <v>800</v>
      </c>
      <c r="X385" s="1" t="s">
        <v>59</v>
      </c>
      <c r="Y385" s="1" t="s">
        <v>1005</v>
      </c>
      <c r="Z385" s="1" t="str">
        <f t="shared" si="15"/>
        <v>1001 1</v>
      </c>
      <c r="AA385" s="3">
        <f>IF(INDEX('CAMD Facility Data 2023'!$AA$2:$AE$10000,MATCH(Z385,'CAMD Facility Data 2023'!$AE$2:$AE$10000,0),1)&gt;0,INDEX('CAMD Facility Data 2023'!$AA$2:$AE$10000,MATCH(Z385,'CAMD Facility Data 2023'!$AE$2:$AE$10000,0),1),"")</f>
        <v>25845</v>
      </c>
      <c r="AB385" s="5">
        <f>IF(INDEX('CAMD Facility Data 2023'!$AC$2:$AE$10000,MATCH(Z385,'CAMD Facility Data 2023'!$AE$2:$AE$10000,0),1)&gt;0,INDEX('CAMD Facility Data 2023'!$AC$2:$AE$10000,MATCH(Z385,'CAMD Facility Data 2023'!$AE$2:$AE$10000,0),1),"")</f>
        <v>5980</v>
      </c>
      <c r="AC385" s="1" t="str">
        <f>IF(INDEX('CAMD Facility Data 2023'!$AE$2:$AG$10000,MATCH(Z385,'CAMD Facility Data 2023'!$AE$2:$AE$10000,0),3)&gt;0,INDEX('CAMD Facility Data 2023'!$AE$2:$AG$10000,MATCH(Z385,'CAMD Facility Data 2023'!$AE$2:$AE$10000,0),3),"")</f>
        <v>Y</v>
      </c>
      <c r="AD385" s="20">
        <f t="shared" si="16"/>
        <v>2.1780776799592325</v>
      </c>
      <c r="AE385" s="25">
        <f t="shared" si="17"/>
        <v>0.45212506268994063</v>
      </c>
    </row>
    <row r="386" spans="1:31" x14ac:dyDescent="0.2">
      <c r="A386" s="1" t="s">
        <v>1071</v>
      </c>
      <c r="B386" s="1" t="s">
        <v>1121</v>
      </c>
      <c r="C386" s="1">
        <v>1001</v>
      </c>
      <c r="D386" s="1">
        <v>2</v>
      </c>
      <c r="F386" s="1">
        <v>2023</v>
      </c>
      <c r="G386" s="5">
        <v>6267</v>
      </c>
      <c r="H386" s="5">
        <v>6249.15</v>
      </c>
      <c r="I386" s="5">
        <v>2259710.6800000002</v>
      </c>
      <c r="K386" s="5">
        <v>1273.2080000000001</v>
      </c>
      <c r="L386" s="5">
        <v>0.159</v>
      </c>
      <c r="M386" s="5">
        <v>2134947.679</v>
      </c>
      <c r="N386" s="6">
        <v>0.10299999999999999</v>
      </c>
      <c r="O386" s="5">
        <v>1924.5</v>
      </c>
      <c r="P386" s="6">
        <v>0.17949999999999999</v>
      </c>
      <c r="Q386" s="5">
        <v>20808468.208999999</v>
      </c>
      <c r="R386" s="1" t="s">
        <v>55</v>
      </c>
      <c r="S386" s="1" t="s">
        <v>94</v>
      </c>
      <c r="T386" s="1" t="s">
        <v>43</v>
      </c>
      <c r="U386" s="1" t="s">
        <v>56</v>
      </c>
      <c r="V386" s="1" t="s">
        <v>57</v>
      </c>
      <c r="W386" s="1" t="s">
        <v>800</v>
      </c>
      <c r="X386" s="1" t="s">
        <v>59</v>
      </c>
      <c r="Y386" s="1" t="s">
        <v>1005</v>
      </c>
      <c r="Z386" s="1" t="str">
        <f t="shared" si="15"/>
        <v>1001 2</v>
      </c>
      <c r="AA386" s="3">
        <f>IF(INDEX('CAMD Facility Data 2023'!$AA$2:$AE$10000,MATCH(Z386,'CAMD Facility Data 2023'!$AE$2:$AE$10000,0),1)&gt;0,INDEX('CAMD Facility Data 2023'!$AA$2:$AE$10000,MATCH(Z386,'CAMD Facility Data 2023'!$AE$2:$AE$10000,0),1),"")</f>
        <v>26472</v>
      </c>
      <c r="AB386" s="5">
        <f>IF(INDEX('CAMD Facility Data 2023'!$AC$2:$AE$10000,MATCH(Z386,'CAMD Facility Data 2023'!$AE$2:$AE$10000,0),1)&gt;0,INDEX('CAMD Facility Data 2023'!$AC$2:$AE$10000,MATCH(Z386,'CAMD Facility Data 2023'!$AE$2:$AE$10000,0),1),"")</f>
        <v>5800</v>
      </c>
      <c r="AC386" s="1" t="str">
        <f>IF(INDEX('CAMD Facility Data 2023'!$AE$2:$AG$10000,MATCH(Z386,'CAMD Facility Data 2023'!$AE$2:$AE$10000,0),3)&gt;0,INDEX('CAMD Facility Data 2023'!$AE$2:$AG$10000,MATCH(Z386,'CAMD Facility Data 2023'!$AE$2:$AE$10000,0),3),"")</f>
        <v>Y</v>
      </c>
      <c r="AD386" s="20">
        <f t="shared" si="16"/>
        <v>1.7033153996510737</v>
      </c>
      <c r="AE386" s="25">
        <f t="shared" si="17"/>
        <v>0.40955101970162178</v>
      </c>
    </row>
    <row r="387" spans="1:31" x14ac:dyDescent="0.2">
      <c r="A387" s="1" t="s">
        <v>1071</v>
      </c>
      <c r="B387" s="1" t="s">
        <v>1121</v>
      </c>
      <c r="C387" s="1">
        <v>1001</v>
      </c>
      <c r="D387" s="1">
        <v>4</v>
      </c>
      <c r="F387" s="1">
        <v>2023</v>
      </c>
      <c r="G387" s="5">
        <v>297</v>
      </c>
      <c r="H387" s="5">
        <v>243.61</v>
      </c>
      <c r="I387" s="5">
        <v>17722.73</v>
      </c>
      <c r="K387" s="5">
        <v>8.8999999999999996E-2</v>
      </c>
      <c r="L387" s="5">
        <v>1.1999999999999999E-3</v>
      </c>
      <c r="M387" s="5">
        <v>14283.985000000001</v>
      </c>
      <c r="N387" s="6">
        <v>5.9400000000000001E-2</v>
      </c>
      <c r="O387" s="5">
        <v>6.0019999999999998</v>
      </c>
      <c r="P387" s="6">
        <v>6.6100000000000006E-2</v>
      </c>
      <c r="Q387" s="5">
        <v>239066.636</v>
      </c>
      <c r="R387" s="1" t="s">
        <v>44</v>
      </c>
      <c r="S387" s="1" t="s">
        <v>94</v>
      </c>
      <c r="T387" s="1" t="s">
        <v>93</v>
      </c>
      <c r="V387" s="1" t="s">
        <v>140</v>
      </c>
      <c r="Y387" s="1" t="s">
        <v>461</v>
      </c>
      <c r="Z387" s="1" t="str">
        <f t="shared" ref="Z387:Z450" si="18">C387&amp;" "&amp;D387</f>
        <v>1001 4</v>
      </c>
      <c r="AA387" s="3">
        <f>IF(INDEX('CAMD Facility Data 2023'!$AA$2:$AE$10000,MATCH(Z387,'CAMD Facility Data 2023'!$AE$2:$AE$10000,0),1)&gt;0,INDEX('CAMD Facility Data 2023'!$AA$2:$AE$10000,MATCH(Z387,'CAMD Facility Data 2023'!$AE$2:$AE$10000,0),1),"")</f>
        <v>34149</v>
      </c>
      <c r="AB387" s="5">
        <f>IF(INDEX('CAMD Facility Data 2023'!$AC$2:$AE$10000,MATCH(Z387,'CAMD Facility Data 2023'!$AE$2:$AE$10000,0),1)&gt;0,INDEX('CAMD Facility Data 2023'!$AC$2:$AE$10000,MATCH(Z387,'CAMD Facility Data 2023'!$AE$2:$AE$10000,0),1),"")</f>
        <v>1370</v>
      </c>
      <c r="AC387" s="1" t="str">
        <f>IF(INDEX('CAMD Facility Data 2023'!$AE$2:$AG$10000,MATCH(Z387,'CAMD Facility Data 2023'!$AE$2:$AE$10000,0),3)&gt;0,INDEX('CAMD Facility Data 2023'!$AE$2:$AG$10000,MATCH(Z387,'CAMD Facility Data 2023'!$AE$2:$AE$10000,0),3),"")</f>
        <v/>
      </c>
      <c r="AD387" s="20">
        <f t="shared" ref="AD387:AD450" si="19">IF(ISNUMBER(O387*2000/I387),O387*2000/I387,"")</f>
        <v>0.67732228612634737</v>
      </c>
      <c r="AE387" s="25">
        <f t="shared" ref="AE387:AE450" si="20">Q387/(AB387*8760)</f>
        <v>1.9920227643902277E-2</v>
      </c>
    </row>
    <row r="388" spans="1:31" x14ac:dyDescent="0.2">
      <c r="A388" s="1" t="s">
        <v>1071</v>
      </c>
      <c r="B388" s="1" t="s">
        <v>1128</v>
      </c>
      <c r="C388" s="1">
        <v>1004</v>
      </c>
      <c r="D388" s="1" t="s">
        <v>1129</v>
      </c>
      <c r="F388" s="1">
        <v>2023</v>
      </c>
      <c r="G388" s="5">
        <v>7992</v>
      </c>
      <c r="H388" s="5">
        <v>7985.21</v>
      </c>
      <c r="I388" s="5">
        <v>1646839.46</v>
      </c>
      <c r="K388" s="5">
        <v>29.725999999999999</v>
      </c>
      <c r="L388" s="5">
        <v>4.5999999999999999E-3</v>
      </c>
      <c r="M388" s="5">
        <v>1412018.317</v>
      </c>
      <c r="N388" s="6">
        <v>0.10340000000000001</v>
      </c>
      <c r="O388" s="5">
        <v>383.50099999999998</v>
      </c>
      <c r="P388" s="6">
        <v>5.6099999999999997E-2</v>
      </c>
      <c r="Q388" s="5">
        <v>13699546.847999999</v>
      </c>
      <c r="R388" s="1" t="s">
        <v>55</v>
      </c>
      <c r="S388" s="1" t="s">
        <v>44</v>
      </c>
      <c r="T388" s="1" t="s">
        <v>1132</v>
      </c>
      <c r="V388" s="1" t="s">
        <v>1133</v>
      </c>
      <c r="Y388" s="1" t="s">
        <v>1005</v>
      </c>
      <c r="Z388" s="1" t="str">
        <f t="shared" si="18"/>
        <v>1004 CTG1</v>
      </c>
      <c r="AA388" s="3">
        <f>IF(INDEX('CAMD Facility Data 2023'!$AA$2:$AE$10000,MATCH(Z388,'CAMD Facility Data 2023'!$AE$2:$AE$10000,0),1)&gt;0,INDEX('CAMD Facility Data 2023'!$AA$2:$AE$10000,MATCH(Z388,'CAMD Facility Data 2023'!$AE$2:$AE$10000,0),1),"")</f>
        <v>40998</v>
      </c>
      <c r="AB388" s="5">
        <f>IF(INDEX('CAMD Facility Data 2023'!$AC$2:$AE$10000,MATCH(Z388,'CAMD Facility Data 2023'!$AE$2:$AE$10000,0),1)&gt;0,INDEX('CAMD Facility Data 2023'!$AC$2:$AE$10000,MATCH(Z388,'CAMD Facility Data 2023'!$AE$2:$AE$10000,0),1),"")</f>
        <v>3200</v>
      </c>
      <c r="AC388" s="1" t="str">
        <f>IF(INDEX('CAMD Facility Data 2023'!$AE$2:$AG$10000,MATCH(Z388,'CAMD Facility Data 2023'!$AE$2:$AE$10000,0),3)&gt;0,INDEX('CAMD Facility Data 2023'!$AE$2:$AG$10000,MATCH(Z388,'CAMD Facility Data 2023'!$AE$2:$AE$10000,0),3),"")</f>
        <v>Y</v>
      </c>
      <c r="AD388" s="20">
        <f t="shared" si="19"/>
        <v>0.46574181553798816</v>
      </c>
      <c r="AE388" s="25">
        <f t="shared" si="20"/>
        <v>0.48871100342465751</v>
      </c>
    </row>
    <row r="389" spans="1:31" x14ac:dyDescent="0.2">
      <c r="A389" s="1" t="s">
        <v>1071</v>
      </c>
      <c r="B389" s="1" t="s">
        <v>1128</v>
      </c>
      <c r="C389" s="1">
        <v>1004</v>
      </c>
      <c r="D389" s="1" t="s">
        <v>1135</v>
      </c>
      <c r="F389" s="1">
        <v>2023</v>
      </c>
      <c r="G389" s="5">
        <v>6845</v>
      </c>
      <c r="H389" s="5">
        <v>6831.87</v>
      </c>
      <c r="I389" s="5">
        <v>1440624.68</v>
      </c>
      <c r="K389" s="5">
        <v>41.85</v>
      </c>
      <c r="L389" s="5">
        <v>6.3E-3</v>
      </c>
      <c r="M389" s="5">
        <v>1578158.7620000001</v>
      </c>
      <c r="N389" s="6">
        <v>0.11650000000000001</v>
      </c>
      <c r="O389" s="5">
        <v>320.45100000000002</v>
      </c>
      <c r="P389" s="6">
        <v>4.8000000000000001E-2</v>
      </c>
      <c r="Q389" s="5">
        <v>13517059.975</v>
      </c>
      <c r="R389" s="1" t="s">
        <v>55</v>
      </c>
      <c r="S389" s="1" t="s">
        <v>44</v>
      </c>
      <c r="T389" s="1" t="s">
        <v>1132</v>
      </c>
      <c r="V389" s="1" t="s">
        <v>223</v>
      </c>
      <c r="Y389" s="1" t="s">
        <v>1005</v>
      </c>
      <c r="Z389" s="1" t="str">
        <f t="shared" si="18"/>
        <v>1004 CTG2</v>
      </c>
      <c r="AA389" s="3">
        <f>IF(INDEX('CAMD Facility Data 2023'!$AA$2:$AE$10000,MATCH(Z389,'CAMD Facility Data 2023'!$AE$2:$AE$10000,0),1)&gt;0,INDEX('CAMD Facility Data 2023'!$AA$2:$AE$10000,MATCH(Z389,'CAMD Facility Data 2023'!$AE$2:$AE$10000,0),1),"")</f>
        <v>41047</v>
      </c>
      <c r="AB389" s="5">
        <f>IF(INDEX('CAMD Facility Data 2023'!$AC$2:$AE$10000,MATCH(Z389,'CAMD Facility Data 2023'!$AE$2:$AE$10000,0),1)&gt;0,INDEX('CAMD Facility Data 2023'!$AC$2:$AE$10000,MATCH(Z389,'CAMD Facility Data 2023'!$AE$2:$AE$10000,0),1),"")</f>
        <v>3200</v>
      </c>
      <c r="AC389" s="1" t="str">
        <f>IF(INDEX('CAMD Facility Data 2023'!$AE$2:$AG$10000,MATCH(Z389,'CAMD Facility Data 2023'!$AE$2:$AE$10000,0),3)&gt;0,INDEX('CAMD Facility Data 2023'!$AE$2:$AG$10000,MATCH(Z389,'CAMD Facility Data 2023'!$AE$2:$AE$10000,0),3),"")</f>
        <v>Y</v>
      </c>
      <c r="AD389" s="20">
        <f t="shared" si="19"/>
        <v>0.44487784285355991</v>
      </c>
      <c r="AE389" s="25">
        <f t="shared" si="20"/>
        <v>0.48220105504423516</v>
      </c>
    </row>
    <row r="390" spans="1:31" x14ac:dyDescent="0.2">
      <c r="A390" s="1" t="s">
        <v>1071</v>
      </c>
      <c r="B390" s="1" t="s">
        <v>1137</v>
      </c>
      <c r="C390" s="1">
        <v>1007</v>
      </c>
      <c r="D390" s="1" t="s">
        <v>101</v>
      </c>
      <c r="F390" s="1">
        <v>2023</v>
      </c>
      <c r="G390" s="5">
        <v>5590</v>
      </c>
      <c r="H390" s="5">
        <v>5578.99</v>
      </c>
      <c r="I390" s="5">
        <v>355169.65</v>
      </c>
      <c r="K390" s="5">
        <v>1.081</v>
      </c>
      <c r="L390" s="5">
        <v>1E-3</v>
      </c>
      <c r="M390" s="5">
        <v>214121.351</v>
      </c>
      <c r="N390" s="6">
        <v>5.8999999999999997E-2</v>
      </c>
      <c r="O390" s="5">
        <v>24.012</v>
      </c>
      <c r="P390" s="6">
        <v>1.3899999999999999E-2</v>
      </c>
      <c r="Q390" s="5">
        <v>3603418.443</v>
      </c>
      <c r="R390" s="1" t="s">
        <v>44</v>
      </c>
      <c r="T390" s="1" t="s">
        <v>71</v>
      </c>
      <c r="V390" s="1" t="s">
        <v>64</v>
      </c>
      <c r="Y390" s="1" t="s">
        <v>461</v>
      </c>
      <c r="Z390" s="1" t="str">
        <f t="shared" si="18"/>
        <v>1007 CT3</v>
      </c>
      <c r="AA390" s="3">
        <f>IF(INDEX('CAMD Facility Data 2023'!$AA$2:$AE$10000,MATCH(Z390,'CAMD Facility Data 2023'!$AE$2:$AE$10000,0),1)&gt;0,INDEX('CAMD Facility Data 2023'!$AA$2:$AE$10000,MATCH(Z390,'CAMD Facility Data 2023'!$AE$2:$AE$10000,0),1),"")</f>
        <v>37728</v>
      </c>
      <c r="AB390" s="5">
        <f>IF(INDEX('CAMD Facility Data 2023'!$AC$2:$AE$10000,MATCH(Z390,'CAMD Facility Data 2023'!$AE$2:$AE$10000,0),1)&gt;0,INDEX('CAMD Facility Data 2023'!$AC$2:$AE$10000,MATCH(Z390,'CAMD Facility Data 2023'!$AE$2:$AE$10000,0),1),"")</f>
        <v>833.9</v>
      </c>
      <c r="AC390" s="1" t="str">
        <f>IF(INDEX('CAMD Facility Data 2023'!$AE$2:$AG$10000,MATCH(Z390,'CAMD Facility Data 2023'!$AE$2:$AE$10000,0),3)&gt;0,INDEX('CAMD Facility Data 2023'!$AE$2:$AG$10000,MATCH(Z390,'CAMD Facility Data 2023'!$AE$2:$AE$10000,0),3),"")</f>
        <v>Y</v>
      </c>
      <c r="AD390" s="20">
        <f t="shared" si="19"/>
        <v>0.13521425606044885</v>
      </c>
      <c r="AE390" s="25">
        <f t="shared" si="20"/>
        <v>0.49328353199276548</v>
      </c>
    </row>
    <row r="391" spans="1:31" x14ac:dyDescent="0.2">
      <c r="A391" s="1" t="s">
        <v>1071</v>
      </c>
      <c r="B391" s="1" t="s">
        <v>1137</v>
      </c>
      <c r="C391" s="1">
        <v>1007</v>
      </c>
      <c r="D391" s="1" t="s">
        <v>103</v>
      </c>
      <c r="F391" s="1">
        <v>2023</v>
      </c>
      <c r="G391" s="5">
        <v>5560</v>
      </c>
      <c r="H391" s="5">
        <v>5542.87</v>
      </c>
      <c r="I391" s="5">
        <v>345942.55</v>
      </c>
      <c r="K391" s="5">
        <v>1.0920000000000001</v>
      </c>
      <c r="L391" s="5">
        <v>1E-3</v>
      </c>
      <c r="M391" s="5">
        <v>216313.736</v>
      </c>
      <c r="N391" s="6">
        <v>5.8999999999999997E-2</v>
      </c>
      <c r="O391" s="5">
        <v>47.015999999999998</v>
      </c>
      <c r="P391" s="6">
        <v>2.6599999999999999E-2</v>
      </c>
      <c r="Q391" s="5">
        <v>3640383.25</v>
      </c>
      <c r="R391" s="1" t="s">
        <v>44</v>
      </c>
      <c r="T391" s="1" t="s">
        <v>71</v>
      </c>
      <c r="V391" s="1" t="s">
        <v>64</v>
      </c>
      <c r="Y391" s="1" t="s">
        <v>461</v>
      </c>
      <c r="Z391" s="1" t="str">
        <f t="shared" si="18"/>
        <v>1007 CT4</v>
      </c>
      <c r="AA391" s="3">
        <f>IF(INDEX('CAMD Facility Data 2023'!$AA$2:$AE$10000,MATCH(Z391,'CAMD Facility Data 2023'!$AE$2:$AE$10000,0),1)&gt;0,INDEX('CAMD Facility Data 2023'!$AA$2:$AE$10000,MATCH(Z391,'CAMD Facility Data 2023'!$AE$2:$AE$10000,0),1),"")</f>
        <v>37735</v>
      </c>
      <c r="AB391" s="5">
        <f>IF(INDEX('CAMD Facility Data 2023'!$AC$2:$AE$10000,MATCH(Z391,'CAMD Facility Data 2023'!$AE$2:$AE$10000,0),1)&gt;0,INDEX('CAMD Facility Data 2023'!$AC$2:$AE$10000,MATCH(Z391,'CAMD Facility Data 2023'!$AE$2:$AE$10000,0),1),"")</f>
        <v>833.9</v>
      </c>
      <c r="AC391" s="1" t="str">
        <f>IF(INDEX('CAMD Facility Data 2023'!$AE$2:$AG$10000,MATCH(Z391,'CAMD Facility Data 2023'!$AE$2:$AE$10000,0),3)&gt;0,INDEX('CAMD Facility Data 2023'!$AE$2:$AG$10000,MATCH(Z391,'CAMD Facility Data 2023'!$AE$2:$AE$10000,0),3),"")</f>
        <v>Y</v>
      </c>
      <c r="AD391" s="20">
        <f t="shared" si="19"/>
        <v>0.27181391823584583</v>
      </c>
      <c r="AE391" s="25">
        <f t="shared" si="20"/>
        <v>0.49834376322730678</v>
      </c>
    </row>
    <row r="392" spans="1:31" x14ac:dyDescent="0.2">
      <c r="A392" s="1" t="s">
        <v>1071</v>
      </c>
      <c r="B392" s="1" t="s">
        <v>1137</v>
      </c>
      <c r="C392" s="1">
        <v>1007</v>
      </c>
      <c r="D392" s="1" t="s">
        <v>105</v>
      </c>
      <c r="F392" s="1">
        <v>2023</v>
      </c>
      <c r="G392" s="5">
        <v>3550</v>
      </c>
      <c r="H392" s="5">
        <v>3536.39</v>
      </c>
      <c r="I392" s="5">
        <v>219732.22</v>
      </c>
      <c r="K392" s="5">
        <v>0.68100000000000005</v>
      </c>
      <c r="L392" s="5">
        <v>1E-3</v>
      </c>
      <c r="M392" s="5">
        <v>134925.56299999999</v>
      </c>
      <c r="N392" s="6">
        <v>5.8999999999999997E-2</v>
      </c>
      <c r="O392" s="5">
        <v>17.170999999999999</v>
      </c>
      <c r="P392" s="6">
        <v>1.5900000000000001E-2</v>
      </c>
      <c r="Q392" s="5">
        <v>2270552.0440000002</v>
      </c>
      <c r="R392" s="1" t="s">
        <v>44</v>
      </c>
      <c r="T392" s="1" t="s">
        <v>71</v>
      </c>
      <c r="V392" s="1" t="s">
        <v>64</v>
      </c>
      <c r="Y392" s="1" t="s">
        <v>461</v>
      </c>
      <c r="Z392" s="1" t="str">
        <f t="shared" si="18"/>
        <v>1007 CT5</v>
      </c>
      <c r="AA392" s="3">
        <f>IF(INDEX('CAMD Facility Data 2023'!$AA$2:$AE$10000,MATCH(Z392,'CAMD Facility Data 2023'!$AE$2:$AE$10000,0),1)&gt;0,INDEX('CAMD Facility Data 2023'!$AA$2:$AE$10000,MATCH(Z392,'CAMD Facility Data 2023'!$AE$2:$AE$10000,0),1),"")</f>
        <v>37752</v>
      </c>
      <c r="AB392" s="5">
        <f>IF(INDEX('CAMD Facility Data 2023'!$AC$2:$AE$10000,MATCH(Z392,'CAMD Facility Data 2023'!$AE$2:$AE$10000,0),1)&gt;0,INDEX('CAMD Facility Data 2023'!$AC$2:$AE$10000,MATCH(Z392,'CAMD Facility Data 2023'!$AE$2:$AE$10000,0),1),"")</f>
        <v>833.9</v>
      </c>
      <c r="AC392" s="1" t="str">
        <f>IF(INDEX('CAMD Facility Data 2023'!$AE$2:$AG$10000,MATCH(Z392,'CAMD Facility Data 2023'!$AE$2:$AE$10000,0),3)&gt;0,INDEX('CAMD Facility Data 2023'!$AE$2:$AG$10000,MATCH(Z392,'CAMD Facility Data 2023'!$AE$2:$AE$10000,0),3),"")</f>
        <v>Y</v>
      </c>
      <c r="AD392" s="20">
        <f t="shared" si="19"/>
        <v>0.15629023363073472</v>
      </c>
      <c r="AE392" s="25">
        <f t="shared" si="20"/>
        <v>0.31082316682190358</v>
      </c>
    </row>
    <row r="393" spans="1:31" x14ac:dyDescent="0.2">
      <c r="A393" s="1" t="s">
        <v>1071</v>
      </c>
      <c r="B393" s="1" t="s">
        <v>1143</v>
      </c>
      <c r="C393" s="1">
        <v>1012</v>
      </c>
      <c r="D393" s="1">
        <v>2</v>
      </c>
      <c r="E393" s="1" t="s">
        <v>1144</v>
      </c>
      <c r="F393" s="1">
        <v>2023</v>
      </c>
      <c r="G393" s="5">
        <v>3132</v>
      </c>
      <c r="H393" s="5">
        <v>3110</v>
      </c>
      <c r="I393" s="5">
        <v>207231.74</v>
      </c>
      <c r="K393" s="5">
        <v>134.339</v>
      </c>
      <c r="L393" s="5">
        <v>0.11260000000000001</v>
      </c>
      <c r="M393" s="5">
        <v>300454.24599999998</v>
      </c>
      <c r="N393" s="6">
        <v>0.1028</v>
      </c>
      <c r="O393" s="5">
        <v>409.41</v>
      </c>
      <c r="P393" s="6">
        <v>0.2281</v>
      </c>
      <c r="Q393" s="5">
        <v>2935069.574</v>
      </c>
      <c r="R393" s="1" t="s">
        <v>55</v>
      </c>
      <c r="T393" s="1" t="s">
        <v>89</v>
      </c>
      <c r="U393" s="1" t="s">
        <v>56</v>
      </c>
      <c r="V393" s="1" t="s">
        <v>639</v>
      </c>
      <c r="W393" s="1" t="s">
        <v>58</v>
      </c>
      <c r="Y393" s="1" t="s">
        <v>1005</v>
      </c>
      <c r="Z393" s="1" t="str">
        <f t="shared" si="18"/>
        <v>1012 2</v>
      </c>
      <c r="AA393" s="3">
        <f>IF(INDEX('CAMD Facility Data 2023'!$AA$2:$AE$10000,MATCH(Z393,'CAMD Facility Data 2023'!$AE$2:$AE$10000,0),1)&gt;0,INDEX('CAMD Facility Data 2023'!$AA$2:$AE$10000,MATCH(Z393,'CAMD Facility Data 2023'!$AE$2:$AE$10000,0),1),"")</f>
        <v>24442</v>
      </c>
      <c r="AB393" s="5">
        <f>IF(INDEX('CAMD Facility Data 2023'!$AC$2:$AE$10000,MATCH(Z393,'CAMD Facility Data 2023'!$AE$2:$AE$10000,0),1)&gt;0,INDEX('CAMD Facility Data 2023'!$AC$2:$AE$10000,MATCH(Z393,'CAMD Facility Data 2023'!$AE$2:$AE$10000,0),1),"")</f>
        <v>2735.2</v>
      </c>
      <c r="AC393" s="1" t="str">
        <f>IF(INDEX('CAMD Facility Data 2023'!$AE$2:$AG$10000,MATCH(Z393,'CAMD Facility Data 2023'!$AE$2:$AE$10000,0),3)&gt;0,INDEX('CAMD Facility Data 2023'!$AE$2:$AG$10000,MATCH(Z393,'CAMD Facility Data 2023'!$AE$2:$AE$10000,0),3),"")</f>
        <v>Y</v>
      </c>
      <c r="AD393" s="20">
        <f t="shared" si="19"/>
        <v>3.951228706567826</v>
      </c>
      <c r="AE393" s="25">
        <f t="shared" si="20"/>
        <v>0.12249693051254006</v>
      </c>
    </row>
    <row r="394" spans="1:31" x14ac:dyDescent="0.2">
      <c r="A394" s="1" t="s">
        <v>1071</v>
      </c>
      <c r="B394" s="1" t="s">
        <v>1143</v>
      </c>
      <c r="C394" s="1">
        <v>1012</v>
      </c>
      <c r="D394" s="1">
        <v>3</v>
      </c>
      <c r="E394" s="1" t="s">
        <v>1150</v>
      </c>
      <c r="F394" s="1">
        <v>2023</v>
      </c>
      <c r="G394" s="5">
        <v>6471</v>
      </c>
      <c r="H394" s="5">
        <v>6453.33</v>
      </c>
      <c r="I394" s="5">
        <v>1434330.76</v>
      </c>
      <c r="K394" s="5">
        <v>1198.8330000000001</v>
      </c>
      <c r="L394" s="5">
        <v>0.1321</v>
      </c>
      <c r="M394" s="5">
        <v>1623336.6429999999</v>
      </c>
      <c r="N394" s="6">
        <v>0.1026</v>
      </c>
      <c r="O394" s="5">
        <v>848.21799999999996</v>
      </c>
      <c r="P394" s="6">
        <v>0.1057</v>
      </c>
      <c r="Q394" s="5">
        <v>15853837.047</v>
      </c>
      <c r="R394" s="1" t="s">
        <v>55</v>
      </c>
      <c r="T394" s="1" t="s">
        <v>89</v>
      </c>
      <c r="U394" s="1" t="s">
        <v>56</v>
      </c>
      <c r="V394" s="1" t="s">
        <v>639</v>
      </c>
      <c r="W394" s="1" t="s">
        <v>232</v>
      </c>
      <c r="X394" s="1" t="s">
        <v>1151</v>
      </c>
      <c r="Y394" s="1" t="s">
        <v>1005</v>
      </c>
      <c r="Z394" s="1" t="str">
        <f t="shared" si="18"/>
        <v>1012 3</v>
      </c>
      <c r="AA394" s="3">
        <f>IF(INDEX('CAMD Facility Data 2023'!$AA$2:$AE$10000,MATCH(Z394,'CAMD Facility Data 2023'!$AE$2:$AE$10000,0),1)&gt;0,INDEX('CAMD Facility Data 2023'!$AA$2:$AE$10000,MATCH(Z394,'CAMD Facility Data 2023'!$AE$2:$AE$10000,0),1),"")</f>
        <v>26755</v>
      </c>
      <c r="AB394" s="5">
        <f>IF(INDEX('CAMD Facility Data 2023'!$AC$2:$AE$10000,MATCH(Z394,'CAMD Facility Data 2023'!$AE$2:$AE$10000,0),1)&gt;0,INDEX('CAMD Facility Data 2023'!$AC$2:$AE$10000,MATCH(Z394,'CAMD Facility Data 2023'!$AE$2:$AE$10000,0),1),"")</f>
        <v>3781</v>
      </c>
      <c r="AC394" s="1" t="str">
        <f>IF(INDEX('CAMD Facility Data 2023'!$AE$2:$AG$10000,MATCH(Z394,'CAMD Facility Data 2023'!$AE$2:$AE$10000,0),3)&gt;0,INDEX('CAMD Facility Data 2023'!$AE$2:$AG$10000,MATCH(Z394,'CAMD Facility Data 2023'!$AE$2:$AE$10000,0),3),"")</f>
        <v>Y</v>
      </c>
      <c r="AD394" s="20">
        <f t="shared" si="19"/>
        <v>1.1827369581058138</v>
      </c>
      <c r="AE394" s="25">
        <f t="shared" si="20"/>
        <v>0.47865610940426717</v>
      </c>
    </row>
    <row r="395" spans="1:31" x14ac:dyDescent="0.2">
      <c r="A395" s="1" t="s">
        <v>1153</v>
      </c>
      <c r="B395" s="1" t="s">
        <v>1154</v>
      </c>
      <c r="C395" s="1">
        <v>1016</v>
      </c>
      <c r="D395" s="1" t="s">
        <v>1155</v>
      </c>
      <c r="E395" s="1" t="s">
        <v>1156</v>
      </c>
      <c r="F395" s="1">
        <v>2023</v>
      </c>
      <c r="G395" s="5">
        <v>157</v>
      </c>
      <c r="H395" s="5">
        <v>157</v>
      </c>
      <c r="I395" s="5">
        <v>2894</v>
      </c>
      <c r="K395" s="5">
        <v>1.2999999999999999E-2</v>
      </c>
      <c r="L395" s="5">
        <v>8.0000000000000004E-4</v>
      </c>
      <c r="O395" s="5">
        <v>7.4550000000000001</v>
      </c>
      <c r="P395" s="6">
        <v>0.32440000000000002</v>
      </c>
      <c r="Q395" s="5">
        <v>45954.5</v>
      </c>
      <c r="R395" s="1" t="s">
        <v>44</v>
      </c>
      <c r="S395" s="1" t="s">
        <v>94</v>
      </c>
      <c r="T395" s="1" t="s">
        <v>71</v>
      </c>
      <c r="V395" s="1" t="s">
        <v>95</v>
      </c>
      <c r="Y395" s="1" t="s">
        <v>1157</v>
      </c>
      <c r="Z395" s="1" t="str">
        <f t="shared" si="18"/>
        <v>1016 GT-1</v>
      </c>
      <c r="AA395" s="3">
        <f>IF(INDEX('CAMD Facility Data 2023'!$AA$2:$AE$10000,MATCH(Z395,'CAMD Facility Data 2023'!$AE$2:$AE$10000,0),1)&gt;0,INDEX('CAMD Facility Data 2023'!$AA$2:$AE$10000,MATCH(Z395,'CAMD Facility Data 2023'!$AE$2:$AE$10000,0),1),"")</f>
        <v>28095</v>
      </c>
      <c r="AB395" s="5">
        <f>IF(INDEX('CAMD Facility Data 2023'!$AC$2:$AE$10000,MATCH(Z395,'CAMD Facility Data 2023'!$AE$2:$AE$10000,0),1)&gt;0,INDEX('CAMD Facility Data 2023'!$AC$2:$AE$10000,MATCH(Z395,'CAMD Facility Data 2023'!$AE$2:$AE$10000,0),1),"")</f>
        <v>341.1</v>
      </c>
      <c r="AC395" s="1" t="str">
        <f>IF(INDEX('CAMD Facility Data 2023'!$AE$2:$AG$10000,MATCH(Z395,'CAMD Facility Data 2023'!$AE$2:$AE$10000,0),3)&gt;0,INDEX('CAMD Facility Data 2023'!$AE$2:$AG$10000,MATCH(Z395,'CAMD Facility Data 2023'!$AE$2:$AE$10000,0),3),"")</f>
        <v/>
      </c>
      <c r="AD395" s="20">
        <f t="shared" si="19"/>
        <v>5.1520387007601931</v>
      </c>
      <c r="AE395" s="25">
        <f t="shared" si="20"/>
        <v>1.537950011311778E-2</v>
      </c>
    </row>
    <row r="396" spans="1:31" x14ac:dyDescent="0.2">
      <c r="A396" s="1" t="s">
        <v>1153</v>
      </c>
      <c r="B396" s="1" t="s">
        <v>1154</v>
      </c>
      <c r="C396" s="1">
        <v>1016</v>
      </c>
      <c r="D396" s="1" t="s">
        <v>1162</v>
      </c>
      <c r="E396" s="1" t="s">
        <v>1156</v>
      </c>
      <c r="F396" s="1">
        <v>2023</v>
      </c>
      <c r="G396" s="5">
        <v>121</v>
      </c>
      <c r="H396" s="5">
        <v>121</v>
      </c>
      <c r="I396" s="5">
        <v>1966</v>
      </c>
      <c r="K396" s="5">
        <v>0.01</v>
      </c>
      <c r="L396" s="5">
        <v>8.9999999999999998E-4</v>
      </c>
      <c r="O396" s="5">
        <v>5.1379999999999999</v>
      </c>
      <c r="P396" s="6">
        <v>0.3231</v>
      </c>
      <c r="Q396" s="5">
        <v>31784.7</v>
      </c>
      <c r="R396" s="1" t="s">
        <v>44</v>
      </c>
      <c r="S396" s="1" t="s">
        <v>94</v>
      </c>
      <c r="T396" s="1" t="s">
        <v>71</v>
      </c>
      <c r="V396" s="1" t="s">
        <v>95</v>
      </c>
      <c r="Y396" s="1" t="s">
        <v>1157</v>
      </c>
      <c r="Z396" s="1" t="str">
        <f t="shared" si="18"/>
        <v>1016 GT-2</v>
      </c>
      <c r="AA396" s="3">
        <f>IF(INDEX('CAMD Facility Data 2023'!$AA$2:$AE$10000,MATCH(Z396,'CAMD Facility Data 2023'!$AE$2:$AE$10000,0),1)&gt;0,INDEX('CAMD Facility Data 2023'!$AA$2:$AE$10000,MATCH(Z396,'CAMD Facility Data 2023'!$AE$2:$AE$10000,0),1),"")</f>
        <v>28095</v>
      </c>
      <c r="AB396" s="5">
        <f>IF(INDEX('CAMD Facility Data 2023'!$AC$2:$AE$10000,MATCH(Z396,'CAMD Facility Data 2023'!$AE$2:$AE$10000,0),1)&gt;0,INDEX('CAMD Facility Data 2023'!$AC$2:$AE$10000,MATCH(Z396,'CAMD Facility Data 2023'!$AE$2:$AE$10000,0),1),"")</f>
        <v>341.1</v>
      </c>
      <c r="AC396" s="1" t="str">
        <f>IF(INDEX('CAMD Facility Data 2023'!$AE$2:$AG$10000,MATCH(Z396,'CAMD Facility Data 2023'!$AE$2:$AE$10000,0),3)&gt;0,INDEX('CAMD Facility Data 2023'!$AE$2:$AG$10000,MATCH(Z396,'CAMD Facility Data 2023'!$AE$2:$AE$10000,0),3),"")</f>
        <v/>
      </c>
      <c r="AD396" s="20">
        <f t="shared" si="19"/>
        <v>5.2268565615462865</v>
      </c>
      <c r="AE396" s="25">
        <f t="shared" si="20"/>
        <v>1.0637321638695116E-2</v>
      </c>
    </row>
    <row r="397" spans="1:31" x14ac:dyDescent="0.2">
      <c r="A397" s="1" t="s">
        <v>1153</v>
      </c>
      <c r="B397" s="1" t="s">
        <v>1154</v>
      </c>
      <c r="C397" s="1">
        <v>1016</v>
      </c>
      <c r="D397" s="1" t="s">
        <v>1164</v>
      </c>
      <c r="E397" s="1" t="s">
        <v>1156</v>
      </c>
      <c r="F397" s="1">
        <v>2023</v>
      </c>
      <c r="G397" s="5">
        <v>141</v>
      </c>
      <c r="H397" s="5">
        <v>141</v>
      </c>
      <c r="I397" s="5">
        <v>2649</v>
      </c>
      <c r="K397" s="5">
        <v>1.2999999999999999E-2</v>
      </c>
      <c r="L397" s="5">
        <v>8.0000000000000004E-4</v>
      </c>
      <c r="O397" s="5">
        <v>6.798</v>
      </c>
      <c r="P397" s="6">
        <v>0.32350000000000001</v>
      </c>
      <c r="Q397" s="5">
        <v>41960.800000000003</v>
      </c>
      <c r="R397" s="1" t="s">
        <v>44</v>
      </c>
      <c r="S397" s="1" t="s">
        <v>94</v>
      </c>
      <c r="T397" s="1" t="s">
        <v>71</v>
      </c>
      <c r="V397" s="1" t="s">
        <v>95</v>
      </c>
      <c r="Y397" s="1" t="s">
        <v>1157</v>
      </c>
      <c r="Z397" s="1" t="str">
        <f t="shared" si="18"/>
        <v>1016 GT-3</v>
      </c>
      <c r="AA397" s="3">
        <f>IF(INDEX('CAMD Facility Data 2023'!$AA$2:$AE$10000,MATCH(Z397,'CAMD Facility Data 2023'!$AE$2:$AE$10000,0),1)&gt;0,INDEX('CAMD Facility Data 2023'!$AA$2:$AE$10000,MATCH(Z397,'CAMD Facility Data 2023'!$AE$2:$AE$10000,0),1),"")</f>
        <v>27942</v>
      </c>
      <c r="AB397" s="5">
        <f>IF(INDEX('CAMD Facility Data 2023'!$AC$2:$AE$10000,MATCH(Z397,'CAMD Facility Data 2023'!$AE$2:$AE$10000,0),1)&gt;0,INDEX('CAMD Facility Data 2023'!$AC$2:$AE$10000,MATCH(Z397,'CAMD Facility Data 2023'!$AE$2:$AE$10000,0),1),"")</f>
        <v>341.1</v>
      </c>
      <c r="AC397" s="1" t="str">
        <f>IF(INDEX('CAMD Facility Data 2023'!$AE$2:$AG$10000,MATCH(Z397,'CAMD Facility Data 2023'!$AE$2:$AE$10000,0),3)&gt;0,INDEX('CAMD Facility Data 2023'!$AE$2:$AG$10000,MATCH(Z397,'CAMD Facility Data 2023'!$AE$2:$AE$10000,0),3),"")</f>
        <v/>
      </c>
      <c r="AD397" s="20">
        <f t="shared" si="19"/>
        <v>5.132502831257078</v>
      </c>
      <c r="AE397" s="25">
        <f t="shared" si="20"/>
        <v>1.404293656435197E-2</v>
      </c>
    </row>
    <row r="398" spans="1:31" x14ac:dyDescent="0.2">
      <c r="A398" s="1" t="s">
        <v>1153</v>
      </c>
      <c r="B398" s="1" t="s">
        <v>1154</v>
      </c>
      <c r="C398" s="1">
        <v>1016</v>
      </c>
      <c r="D398" s="1" t="s">
        <v>1166</v>
      </c>
      <c r="E398" s="1" t="s">
        <v>1156</v>
      </c>
      <c r="F398" s="1">
        <v>2023</v>
      </c>
      <c r="G398" s="5">
        <v>107</v>
      </c>
      <c r="H398" s="5">
        <v>107</v>
      </c>
      <c r="I398" s="5">
        <v>2121</v>
      </c>
      <c r="K398" s="5">
        <v>0.01</v>
      </c>
      <c r="L398" s="5">
        <v>8.0000000000000004E-4</v>
      </c>
      <c r="O398" s="5">
        <v>4.9139999999999997</v>
      </c>
      <c r="P398" s="6">
        <v>0.29470000000000002</v>
      </c>
      <c r="Q398" s="5">
        <v>33308.699999999997</v>
      </c>
      <c r="R398" s="1" t="s">
        <v>44</v>
      </c>
      <c r="S398" s="1" t="s">
        <v>94</v>
      </c>
      <c r="T398" s="1" t="s">
        <v>93</v>
      </c>
      <c r="V398" s="1" t="s">
        <v>95</v>
      </c>
      <c r="Y398" s="1" t="s">
        <v>1157</v>
      </c>
      <c r="Z398" s="1" t="str">
        <f t="shared" si="18"/>
        <v>1016 GT-4</v>
      </c>
      <c r="AA398" s="3">
        <f>IF(INDEX('CAMD Facility Data 2023'!$AA$2:$AE$10000,MATCH(Z398,'CAMD Facility Data 2023'!$AE$2:$AE$10000,0),1)&gt;0,INDEX('CAMD Facility Data 2023'!$AA$2:$AE$10000,MATCH(Z398,'CAMD Facility Data 2023'!$AE$2:$AE$10000,0),1),"")</f>
        <v>27942</v>
      </c>
      <c r="AB398" s="5">
        <f>IF(INDEX('CAMD Facility Data 2023'!$AC$2:$AE$10000,MATCH(Z398,'CAMD Facility Data 2023'!$AE$2:$AE$10000,0),1)&gt;0,INDEX('CAMD Facility Data 2023'!$AC$2:$AE$10000,MATCH(Z398,'CAMD Facility Data 2023'!$AE$2:$AE$10000,0),1),"")</f>
        <v>341.1</v>
      </c>
      <c r="AC398" s="1" t="str">
        <f>IF(INDEX('CAMD Facility Data 2023'!$AE$2:$AG$10000,MATCH(Z398,'CAMD Facility Data 2023'!$AE$2:$AE$10000,0),3)&gt;0,INDEX('CAMD Facility Data 2023'!$AE$2:$AG$10000,MATCH(Z398,'CAMD Facility Data 2023'!$AE$2:$AE$10000,0),3),"")</f>
        <v/>
      </c>
      <c r="AD398" s="20">
        <f t="shared" si="19"/>
        <v>4.6336633663366333</v>
      </c>
      <c r="AE398" s="25">
        <f t="shared" si="20"/>
        <v>1.1147355654349544E-2</v>
      </c>
    </row>
    <row r="399" spans="1:31" x14ac:dyDescent="0.2">
      <c r="A399" s="1" t="s">
        <v>1153</v>
      </c>
      <c r="B399" s="1" t="s">
        <v>1154</v>
      </c>
      <c r="C399" s="1">
        <v>1016</v>
      </c>
      <c r="D399" s="1" t="s">
        <v>1168</v>
      </c>
      <c r="E399" s="1" t="s">
        <v>1156</v>
      </c>
      <c r="F399" s="1">
        <v>2023</v>
      </c>
      <c r="G399" s="5">
        <v>84</v>
      </c>
      <c r="H399" s="5">
        <v>84</v>
      </c>
      <c r="I399" s="5">
        <v>1658</v>
      </c>
      <c r="K399" s="5">
        <v>8.0000000000000002E-3</v>
      </c>
      <c r="L399" s="5">
        <v>8.0000000000000004E-4</v>
      </c>
      <c r="O399" s="5">
        <v>3.8370000000000002</v>
      </c>
      <c r="P399" s="6">
        <v>0.29609999999999997</v>
      </c>
      <c r="Q399" s="5">
        <v>25929.9</v>
      </c>
      <c r="R399" s="1" t="s">
        <v>44</v>
      </c>
      <c r="S399" s="1" t="s">
        <v>94</v>
      </c>
      <c r="T399" s="1" t="s">
        <v>93</v>
      </c>
      <c r="V399" s="1" t="s">
        <v>95</v>
      </c>
      <c r="Y399" s="1" t="s">
        <v>1157</v>
      </c>
      <c r="Z399" s="1" t="str">
        <f t="shared" si="18"/>
        <v>1016 GT-5</v>
      </c>
      <c r="AA399" s="3">
        <f>IF(INDEX('CAMD Facility Data 2023'!$AA$2:$AE$10000,MATCH(Z399,'CAMD Facility Data 2023'!$AE$2:$AE$10000,0),1)&gt;0,INDEX('CAMD Facility Data 2023'!$AA$2:$AE$10000,MATCH(Z399,'CAMD Facility Data 2023'!$AE$2:$AE$10000,0),1),"")</f>
        <v>28307</v>
      </c>
      <c r="AB399" s="5">
        <f>IF(INDEX('CAMD Facility Data 2023'!$AC$2:$AE$10000,MATCH(Z399,'CAMD Facility Data 2023'!$AE$2:$AE$10000,0),1)&gt;0,INDEX('CAMD Facility Data 2023'!$AC$2:$AE$10000,MATCH(Z399,'CAMD Facility Data 2023'!$AE$2:$AE$10000,0),1),"")</f>
        <v>341.1</v>
      </c>
      <c r="AC399" s="1" t="str">
        <f>IF(INDEX('CAMD Facility Data 2023'!$AE$2:$AG$10000,MATCH(Z399,'CAMD Facility Data 2023'!$AE$2:$AE$10000,0),3)&gt;0,INDEX('CAMD Facility Data 2023'!$AE$2:$AG$10000,MATCH(Z399,'CAMD Facility Data 2023'!$AE$2:$AE$10000,0),3),"")</f>
        <v/>
      </c>
      <c r="AD399" s="20">
        <f t="shared" si="19"/>
        <v>4.6284680337756336</v>
      </c>
      <c r="AE399" s="25">
        <f t="shared" si="20"/>
        <v>8.6779074950904204E-3</v>
      </c>
    </row>
    <row r="400" spans="1:31" x14ac:dyDescent="0.2">
      <c r="A400" s="1" t="s">
        <v>1153</v>
      </c>
      <c r="B400" s="1" t="s">
        <v>1154</v>
      </c>
      <c r="C400" s="1">
        <v>1016</v>
      </c>
      <c r="D400" s="1" t="s">
        <v>1170</v>
      </c>
      <c r="E400" s="1" t="s">
        <v>1156</v>
      </c>
      <c r="F400" s="1">
        <v>2023</v>
      </c>
      <c r="G400" s="5">
        <v>151</v>
      </c>
      <c r="H400" s="5">
        <v>151</v>
      </c>
      <c r="I400" s="5">
        <v>2783</v>
      </c>
      <c r="K400" s="5">
        <v>1.2999999999999999E-2</v>
      </c>
      <c r="L400" s="5">
        <v>8.9999999999999998E-4</v>
      </c>
      <c r="O400" s="5">
        <v>7.1749999999999998</v>
      </c>
      <c r="P400" s="6">
        <v>0.32440000000000002</v>
      </c>
      <c r="Q400" s="5">
        <v>44242.6</v>
      </c>
      <c r="R400" s="1" t="s">
        <v>44</v>
      </c>
      <c r="S400" s="1" t="s">
        <v>94</v>
      </c>
      <c r="T400" s="1" t="s">
        <v>71</v>
      </c>
      <c r="V400" s="1" t="s">
        <v>95</v>
      </c>
      <c r="Y400" s="1" t="s">
        <v>1157</v>
      </c>
      <c r="Z400" s="1" t="str">
        <f t="shared" si="18"/>
        <v>1016 GT-6</v>
      </c>
      <c r="AA400" s="3">
        <f>IF(INDEX('CAMD Facility Data 2023'!$AA$2:$AE$10000,MATCH(Z400,'CAMD Facility Data 2023'!$AE$2:$AE$10000,0),1)&gt;0,INDEX('CAMD Facility Data 2023'!$AA$2:$AE$10000,MATCH(Z400,'CAMD Facility Data 2023'!$AE$2:$AE$10000,0),1),"")</f>
        <v>28642</v>
      </c>
      <c r="AB400" s="5">
        <f>IF(INDEX('CAMD Facility Data 2023'!$AC$2:$AE$10000,MATCH(Z400,'CAMD Facility Data 2023'!$AE$2:$AE$10000,0),1)&gt;0,INDEX('CAMD Facility Data 2023'!$AC$2:$AE$10000,MATCH(Z400,'CAMD Facility Data 2023'!$AE$2:$AE$10000,0),1),"")</f>
        <v>341.1</v>
      </c>
      <c r="AC400" s="1" t="str">
        <f>IF(INDEX('CAMD Facility Data 2023'!$AE$2:$AG$10000,MATCH(Z400,'CAMD Facility Data 2023'!$AE$2:$AE$10000,0),3)&gt;0,INDEX('CAMD Facility Data 2023'!$AE$2:$AG$10000,MATCH(Z400,'CAMD Facility Data 2023'!$AE$2:$AE$10000,0),3),"")</f>
        <v/>
      </c>
      <c r="AD400" s="20">
        <f t="shared" si="19"/>
        <v>5.156306144448437</v>
      </c>
      <c r="AE400" s="25">
        <f t="shared" si="20"/>
        <v>1.480658198227866E-2</v>
      </c>
    </row>
    <row r="401" spans="1:31" x14ac:dyDescent="0.2">
      <c r="A401" s="1" t="s">
        <v>1153</v>
      </c>
      <c r="B401" s="1" t="s">
        <v>1154</v>
      </c>
      <c r="C401" s="1">
        <v>1016</v>
      </c>
      <c r="D401" s="1" t="s">
        <v>1172</v>
      </c>
      <c r="E401" s="1" t="s">
        <v>1156</v>
      </c>
      <c r="F401" s="1">
        <v>2023</v>
      </c>
      <c r="G401" s="5">
        <v>152</v>
      </c>
      <c r="H401" s="5">
        <v>152</v>
      </c>
      <c r="I401" s="5">
        <v>2910</v>
      </c>
      <c r="K401" s="5">
        <v>1.2999999999999999E-2</v>
      </c>
      <c r="L401" s="5">
        <v>8.0000000000000004E-4</v>
      </c>
      <c r="O401" s="5">
        <v>7.5170000000000003</v>
      </c>
      <c r="P401" s="6">
        <v>0.32469999999999999</v>
      </c>
      <c r="Q401" s="5">
        <v>46312</v>
      </c>
      <c r="R401" s="1" t="s">
        <v>44</v>
      </c>
      <c r="S401" s="1" t="s">
        <v>94</v>
      </c>
      <c r="T401" s="1" t="s">
        <v>71</v>
      </c>
      <c r="V401" s="1" t="s">
        <v>95</v>
      </c>
      <c r="Y401" s="1" t="s">
        <v>1157</v>
      </c>
      <c r="Z401" s="1" t="str">
        <f t="shared" si="18"/>
        <v>1016 GT-7</v>
      </c>
      <c r="AA401" s="3">
        <f>IF(INDEX('CAMD Facility Data 2023'!$AA$2:$AE$10000,MATCH(Z401,'CAMD Facility Data 2023'!$AE$2:$AE$10000,0),1)&gt;0,INDEX('CAMD Facility Data 2023'!$AA$2:$AE$10000,MATCH(Z401,'CAMD Facility Data 2023'!$AE$2:$AE$10000,0),1),"")</f>
        <v>29007</v>
      </c>
      <c r="AB401" s="5">
        <f>IF(INDEX('CAMD Facility Data 2023'!$AC$2:$AE$10000,MATCH(Z401,'CAMD Facility Data 2023'!$AE$2:$AE$10000,0),1)&gt;0,INDEX('CAMD Facility Data 2023'!$AC$2:$AE$10000,MATCH(Z401,'CAMD Facility Data 2023'!$AE$2:$AE$10000,0),1),"")</f>
        <v>341.1</v>
      </c>
      <c r="AC401" s="1" t="str">
        <f>IF(INDEX('CAMD Facility Data 2023'!$AE$2:$AG$10000,MATCH(Z401,'CAMD Facility Data 2023'!$AE$2:$AE$10000,0),3)&gt;0,INDEX('CAMD Facility Data 2023'!$AE$2:$AG$10000,MATCH(Z401,'CAMD Facility Data 2023'!$AE$2:$AE$10000,0),3),"")</f>
        <v/>
      </c>
      <c r="AD401" s="20">
        <f t="shared" si="19"/>
        <v>5.1663230240549831</v>
      </c>
      <c r="AE401" s="25">
        <f t="shared" si="20"/>
        <v>1.5499143919283436E-2</v>
      </c>
    </row>
    <row r="402" spans="1:31" x14ac:dyDescent="0.2">
      <c r="A402" s="1" t="s">
        <v>1153</v>
      </c>
      <c r="B402" s="1" t="s">
        <v>1154</v>
      </c>
      <c r="C402" s="1">
        <v>1016</v>
      </c>
      <c r="D402" s="1" t="s">
        <v>1174</v>
      </c>
      <c r="E402" s="1" t="s">
        <v>1156</v>
      </c>
      <c r="F402" s="1">
        <v>2023</v>
      </c>
      <c r="G402" s="5">
        <v>106</v>
      </c>
      <c r="H402" s="5">
        <v>106</v>
      </c>
      <c r="I402" s="5">
        <v>1865</v>
      </c>
      <c r="K402" s="5">
        <v>8.0000000000000002E-3</v>
      </c>
      <c r="L402" s="5">
        <v>8.0000000000000004E-4</v>
      </c>
      <c r="O402" s="5">
        <v>4.7329999999999997</v>
      </c>
      <c r="P402" s="6">
        <v>0.32169999999999999</v>
      </c>
      <c r="Q402" s="5">
        <v>29220</v>
      </c>
      <c r="R402" s="1" t="s">
        <v>44</v>
      </c>
      <c r="S402" s="1" t="s">
        <v>94</v>
      </c>
      <c r="T402" s="1" t="s">
        <v>71</v>
      </c>
      <c r="V402" s="1" t="s">
        <v>95</v>
      </c>
      <c r="Y402" s="1" t="s">
        <v>1157</v>
      </c>
      <c r="Z402" s="1" t="str">
        <f t="shared" si="18"/>
        <v>1016 GT-8</v>
      </c>
      <c r="AA402" s="3">
        <f>IF(INDEX('CAMD Facility Data 2023'!$AA$2:$AE$10000,MATCH(Z402,'CAMD Facility Data 2023'!$AE$2:$AE$10000,0),1)&gt;0,INDEX('CAMD Facility Data 2023'!$AA$2:$AE$10000,MATCH(Z402,'CAMD Facility Data 2023'!$AE$2:$AE$10000,0),1),"")</f>
        <v>29373</v>
      </c>
      <c r="AB402" s="5">
        <f>IF(INDEX('CAMD Facility Data 2023'!$AC$2:$AE$10000,MATCH(Z402,'CAMD Facility Data 2023'!$AE$2:$AE$10000,0),1)&gt;0,INDEX('CAMD Facility Data 2023'!$AC$2:$AE$10000,MATCH(Z402,'CAMD Facility Data 2023'!$AE$2:$AE$10000,0),1),"")</f>
        <v>341.1</v>
      </c>
      <c r="AC402" s="1" t="str">
        <f>IF(INDEX('CAMD Facility Data 2023'!$AE$2:$AG$10000,MATCH(Z402,'CAMD Facility Data 2023'!$AE$2:$AE$10000,0),3)&gt;0,INDEX('CAMD Facility Data 2023'!$AE$2:$AG$10000,MATCH(Z402,'CAMD Facility Data 2023'!$AE$2:$AE$10000,0),3),"")</f>
        <v/>
      </c>
      <c r="AD402" s="20">
        <f t="shared" si="19"/>
        <v>5.0756032171581769</v>
      </c>
      <c r="AE402" s="25">
        <f t="shared" si="20"/>
        <v>9.7789986466026522E-3</v>
      </c>
    </row>
    <row r="403" spans="1:31" x14ac:dyDescent="0.2">
      <c r="A403" s="1" t="s">
        <v>1071</v>
      </c>
      <c r="B403" s="1" t="s">
        <v>1176</v>
      </c>
      <c r="C403" s="1">
        <v>1040</v>
      </c>
      <c r="D403" s="1">
        <v>1</v>
      </c>
      <c r="E403" s="1" t="s">
        <v>1177</v>
      </c>
      <c r="F403" s="1">
        <v>2023</v>
      </c>
      <c r="G403" s="5">
        <v>501</v>
      </c>
      <c r="H403" s="5">
        <v>486.27</v>
      </c>
      <c r="I403" s="5">
        <v>7844.63</v>
      </c>
      <c r="K403" s="5">
        <v>170.55600000000001</v>
      </c>
      <c r="L403" s="5">
        <v>3.5179</v>
      </c>
      <c r="M403" s="5">
        <v>8974.7119999999995</v>
      </c>
      <c r="N403" s="6">
        <v>0.10290000000000001</v>
      </c>
      <c r="O403" s="5">
        <v>15.53</v>
      </c>
      <c r="P403" s="6">
        <v>0.32700000000000001</v>
      </c>
      <c r="Q403" s="5">
        <v>87479.709000000003</v>
      </c>
      <c r="R403" s="1" t="s">
        <v>55</v>
      </c>
      <c r="S403" s="1" t="s">
        <v>94</v>
      </c>
      <c r="T403" s="1" t="s">
        <v>89</v>
      </c>
      <c r="V403" s="1" t="s">
        <v>1181</v>
      </c>
      <c r="W403" s="1" t="s">
        <v>1182</v>
      </c>
      <c r="X403" s="1" t="s">
        <v>214</v>
      </c>
      <c r="Y403" s="1" t="s">
        <v>1005</v>
      </c>
      <c r="Z403" s="1" t="str">
        <f t="shared" si="18"/>
        <v>1040 1</v>
      </c>
      <c r="AA403" s="3">
        <f>IF(INDEX('CAMD Facility Data 2023'!$AA$2:$AE$10000,MATCH(Z403,'CAMD Facility Data 2023'!$AE$2:$AE$10000,0),1)&gt;0,INDEX('CAMD Facility Data 2023'!$AA$2:$AE$10000,MATCH(Z403,'CAMD Facility Data 2023'!$AE$2:$AE$10000,0),1),"")</f>
        <v>20161</v>
      </c>
      <c r="AB403" s="5">
        <f>IF(INDEX('CAMD Facility Data 2023'!$AC$2:$AE$10000,MATCH(Z403,'CAMD Facility Data 2023'!$AE$2:$AE$10000,0),1)&gt;0,INDEX('CAMD Facility Data 2023'!$AC$2:$AE$10000,MATCH(Z403,'CAMD Facility Data 2023'!$AE$2:$AE$10000,0),1),"")</f>
        <v>425</v>
      </c>
      <c r="AC403" s="1" t="str">
        <f>IF(INDEX('CAMD Facility Data 2023'!$AE$2:$AG$10000,MATCH(Z403,'CAMD Facility Data 2023'!$AE$2:$AE$10000,0),3)&gt;0,INDEX('CAMD Facility Data 2023'!$AE$2:$AG$10000,MATCH(Z403,'CAMD Facility Data 2023'!$AE$2:$AE$10000,0),3),"")</f>
        <v/>
      </c>
      <c r="AD403" s="20">
        <f t="shared" si="19"/>
        <v>3.9593964278748648</v>
      </c>
      <c r="AE403" s="25">
        <f t="shared" si="20"/>
        <v>2.3497101531023371E-2</v>
      </c>
    </row>
    <row r="404" spans="1:31" x14ac:dyDescent="0.2">
      <c r="A404" s="1" t="s">
        <v>1071</v>
      </c>
      <c r="B404" s="1" t="s">
        <v>1176</v>
      </c>
      <c r="C404" s="1">
        <v>1040</v>
      </c>
      <c r="D404" s="1">
        <v>2</v>
      </c>
      <c r="E404" s="1" t="s">
        <v>1177</v>
      </c>
      <c r="F404" s="1">
        <v>2023</v>
      </c>
      <c r="G404" s="5">
        <v>498</v>
      </c>
      <c r="H404" s="5">
        <v>491.27</v>
      </c>
      <c r="I404" s="5">
        <v>15918.19</v>
      </c>
      <c r="K404" s="5">
        <v>345.053</v>
      </c>
      <c r="L404" s="5">
        <v>3.3311000000000002</v>
      </c>
      <c r="M404" s="5">
        <v>18211.352999999999</v>
      </c>
      <c r="N404" s="6">
        <v>0.10290000000000001</v>
      </c>
      <c r="O404" s="5">
        <v>32.682000000000002</v>
      </c>
      <c r="P404" s="6">
        <v>0.32179999999999997</v>
      </c>
      <c r="Q404" s="5">
        <v>177509.02799999999</v>
      </c>
      <c r="R404" s="1" t="s">
        <v>55</v>
      </c>
      <c r="S404" s="1" t="s">
        <v>94</v>
      </c>
      <c r="T404" s="1" t="s">
        <v>43</v>
      </c>
      <c r="V404" s="1" t="s">
        <v>1184</v>
      </c>
      <c r="W404" s="1" t="s">
        <v>123</v>
      </c>
      <c r="X404" s="1" t="s">
        <v>214</v>
      </c>
      <c r="Y404" s="1" t="s">
        <v>1005</v>
      </c>
      <c r="Z404" s="1" t="str">
        <f t="shared" si="18"/>
        <v>1040 2</v>
      </c>
      <c r="AA404" s="3">
        <f>IF(INDEX('CAMD Facility Data 2023'!$AA$2:$AE$10000,MATCH(Z404,'CAMD Facility Data 2023'!$AE$2:$AE$10000,0),1)&gt;0,INDEX('CAMD Facility Data 2023'!$AA$2:$AE$10000,MATCH(Z404,'CAMD Facility Data 2023'!$AE$2:$AE$10000,0),1),"")</f>
        <v>26800</v>
      </c>
      <c r="AB404" s="5">
        <f>IF(INDEX('CAMD Facility Data 2023'!$AC$2:$AE$10000,MATCH(Z404,'CAMD Facility Data 2023'!$AE$2:$AE$10000,0),1)&gt;0,INDEX('CAMD Facility Data 2023'!$AC$2:$AE$10000,MATCH(Z404,'CAMD Facility Data 2023'!$AE$2:$AE$10000,0),1),"")</f>
        <v>729</v>
      </c>
      <c r="AC404" s="1" t="str">
        <f>IF(INDEX('CAMD Facility Data 2023'!$AE$2:$AG$10000,MATCH(Z404,'CAMD Facility Data 2023'!$AE$2:$AE$10000,0),3)&gt;0,INDEX('CAMD Facility Data 2023'!$AE$2:$AG$10000,MATCH(Z404,'CAMD Facility Data 2023'!$AE$2:$AE$10000,0),3),"")</f>
        <v/>
      </c>
      <c r="AD404" s="20">
        <f t="shared" si="19"/>
        <v>4.1062457477891652</v>
      </c>
      <c r="AE404" s="25">
        <f t="shared" si="20"/>
        <v>2.7796416558618486E-2</v>
      </c>
    </row>
    <row r="405" spans="1:31" x14ac:dyDescent="0.2">
      <c r="A405" s="1" t="s">
        <v>1186</v>
      </c>
      <c r="B405" s="1" t="s">
        <v>1187</v>
      </c>
      <c r="C405" s="1">
        <v>1047</v>
      </c>
      <c r="D405" s="1">
        <v>4</v>
      </c>
      <c r="F405" s="1">
        <v>2023</v>
      </c>
      <c r="G405" s="5">
        <v>0</v>
      </c>
      <c r="H405" s="5">
        <v>0</v>
      </c>
      <c r="R405" s="1" t="s">
        <v>55</v>
      </c>
      <c r="T405" s="1" t="s">
        <v>319</v>
      </c>
      <c r="U405" s="1" t="s">
        <v>212</v>
      </c>
      <c r="V405" s="1" t="s">
        <v>1192</v>
      </c>
      <c r="W405" s="1" t="s">
        <v>1182</v>
      </c>
      <c r="X405" s="1" t="s">
        <v>937</v>
      </c>
      <c r="Y405" s="1" t="s">
        <v>1188</v>
      </c>
      <c r="Z405" s="1" t="str">
        <f t="shared" si="18"/>
        <v>1047 4</v>
      </c>
      <c r="AA405" s="3">
        <f>IF(INDEX('CAMD Facility Data 2023'!$AA$2:$AE$10000,MATCH(Z405,'CAMD Facility Data 2023'!$AE$2:$AE$10000,0),1)&gt;0,INDEX('CAMD Facility Data 2023'!$AA$2:$AE$10000,MATCH(Z405,'CAMD Facility Data 2023'!$AE$2:$AE$10000,0),1),"")</f>
        <v>28216</v>
      </c>
      <c r="AB405" s="5">
        <f>IF(INDEX('CAMD Facility Data 2023'!$AC$2:$AE$10000,MATCH(Z405,'CAMD Facility Data 2023'!$AE$2:$AE$10000,0),1)&gt;0,INDEX('CAMD Facility Data 2023'!$AC$2:$AE$10000,MATCH(Z405,'CAMD Facility Data 2023'!$AE$2:$AE$10000,0),1),"")</f>
        <v>3386</v>
      </c>
      <c r="AC405" s="1" t="str">
        <f>IF(INDEX('CAMD Facility Data 2023'!$AE$2:$AG$10000,MATCH(Z405,'CAMD Facility Data 2023'!$AE$2:$AE$10000,0),3)&gt;0,INDEX('CAMD Facility Data 2023'!$AE$2:$AG$10000,MATCH(Z405,'CAMD Facility Data 2023'!$AE$2:$AE$10000,0),3),"")</f>
        <v>Y</v>
      </c>
      <c r="AD405" s="20" t="str">
        <f t="shared" si="19"/>
        <v/>
      </c>
      <c r="AE405" s="25">
        <f t="shared" si="20"/>
        <v>0</v>
      </c>
    </row>
    <row r="406" spans="1:31" x14ac:dyDescent="0.2">
      <c r="A406" s="1" t="s">
        <v>1186</v>
      </c>
      <c r="B406" s="1" t="s">
        <v>1194</v>
      </c>
      <c r="C406" s="1">
        <v>1068</v>
      </c>
      <c r="D406" s="1" t="s">
        <v>372</v>
      </c>
      <c r="F406" s="1">
        <v>2023</v>
      </c>
      <c r="G406" s="5">
        <v>41</v>
      </c>
      <c r="H406" s="5">
        <v>33.049999999999997</v>
      </c>
      <c r="I406" s="5">
        <v>922.26</v>
      </c>
      <c r="K406" s="5">
        <v>4.0000000000000001E-3</v>
      </c>
      <c r="L406" s="5">
        <v>1E-3</v>
      </c>
      <c r="O406" s="5">
        <v>1.5640000000000001</v>
      </c>
      <c r="P406" s="6">
        <v>0.25669999999999998</v>
      </c>
      <c r="Q406" s="5">
        <v>11810.922</v>
      </c>
      <c r="R406" s="1" t="s">
        <v>44</v>
      </c>
      <c r="T406" s="1" t="s">
        <v>93</v>
      </c>
      <c r="Y406" s="1" t="s">
        <v>1195</v>
      </c>
      <c r="Z406" s="1" t="str">
        <f t="shared" si="18"/>
        <v>1068 1A</v>
      </c>
      <c r="AA406" s="3">
        <f>IF(INDEX('CAMD Facility Data 2023'!$AA$2:$AE$10000,MATCH(Z406,'CAMD Facility Data 2023'!$AE$2:$AE$10000,0),1)&gt;0,INDEX('CAMD Facility Data 2023'!$AA$2:$AE$10000,MATCH(Z406,'CAMD Facility Data 2023'!$AE$2:$AE$10000,0),1),"")</f>
        <v>28656</v>
      </c>
      <c r="AB406" s="5">
        <f>IF(INDEX('CAMD Facility Data 2023'!$AC$2:$AE$10000,MATCH(Z406,'CAMD Facility Data 2023'!$AE$2:$AE$10000,0),1)&gt;0,INDEX('CAMD Facility Data 2023'!$AC$2:$AE$10000,MATCH(Z406,'CAMD Facility Data 2023'!$AE$2:$AE$10000,0),1),"")</f>
        <v>505.9</v>
      </c>
      <c r="AC406" s="1" t="str">
        <f>IF(INDEX('CAMD Facility Data 2023'!$AE$2:$AG$10000,MATCH(Z406,'CAMD Facility Data 2023'!$AE$2:$AE$10000,0),3)&gt;0,INDEX('CAMD Facility Data 2023'!$AE$2:$AG$10000,MATCH(Z406,'CAMD Facility Data 2023'!$AE$2:$AE$10000,0),3),"")</f>
        <v/>
      </c>
      <c r="AD406" s="20">
        <f t="shared" si="19"/>
        <v>3.3916682931060658</v>
      </c>
      <c r="AE406" s="25">
        <f t="shared" si="20"/>
        <v>2.6651092451537611E-3</v>
      </c>
    </row>
    <row r="407" spans="1:31" x14ac:dyDescent="0.2">
      <c r="A407" s="1" t="s">
        <v>1186</v>
      </c>
      <c r="B407" s="1" t="s">
        <v>1194</v>
      </c>
      <c r="C407" s="1">
        <v>1068</v>
      </c>
      <c r="D407" s="1" t="s">
        <v>1199</v>
      </c>
      <c r="F407" s="1">
        <v>2023</v>
      </c>
      <c r="G407" s="5">
        <v>608</v>
      </c>
      <c r="H407" s="5">
        <v>538.05999999999995</v>
      </c>
      <c r="I407" s="5">
        <v>14015.52</v>
      </c>
      <c r="K407" s="5">
        <v>5.8999999999999997E-2</v>
      </c>
      <c r="L407" s="5">
        <v>1E-3</v>
      </c>
      <c r="O407" s="5">
        <v>26.163</v>
      </c>
      <c r="P407" s="6">
        <v>0.2576</v>
      </c>
      <c r="Q407" s="5">
        <v>197589.06700000001</v>
      </c>
      <c r="R407" s="1" t="s">
        <v>44</v>
      </c>
      <c r="T407" s="1" t="s">
        <v>93</v>
      </c>
      <c r="Y407" s="1" t="s">
        <v>1195</v>
      </c>
      <c r="Z407" s="1" t="str">
        <f t="shared" si="18"/>
        <v>1068 1B</v>
      </c>
      <c r="AA407" s="3">
        <f>IF(INDEX('CAMD Facility Data 2023'!$AA$2:$AE$10000,MATCH(Z407,'CAMD Facility Data 2023'!$AE$2:$AE$10000,0),1)&gt;0,INDEX('CAMD Facility Data 2023'!$AA$2:$AE$10000,MATCH(Z407,'CAMD Facility Data 2023'!$AE$2:$AE$10000,0),1),"")</f>
        <v>28656</v>
      </c>
      <c r="AB407" s="5">
        <f>IF(INDEX('CAMD Facility Data 2023'!$AC$2:$AE$10000,MATCH(Z407,'CAMD Facility Data 2023'!$AE$2:$AE$10000,0),1)&gt;0,INDEX('CAMD Facility Data 2023'!$AC$2:$AE$10000,MATCH(Z407,'CAMD Facility Data 2023'!$AE$2:$AE$10000,0),1),"")</f>
        <v>505.9</v>
      </c>
      <c r="AC407" s="1" t="str">
        <f>IF(INDEX('CAMD Facility Data 2023'!$AE$2:$AG$10000,MATCH(Z407,'CAMD Facility Data 2023'!$AE$2:$AE$10000,0),3)&gt;0,INDEX('CAMD Facility Data 2023'!$AE$2:$AG$10000,MATCH(Z407,'CAMD Facility Data 2023'!$AE$2:$AE$10000,0),3),"")</f>
        <v/>
      </c>
      <c r="AD407" s="20">
        <f t="shared" si="19"/>
        <v>3.733432651803144</v>
      </c>
      <c r="AE407" s="25">
        <f t="shared" si="20"/>
        <v>4.4585549646590325E-2</v>
      </c>
    </row>
    <row r="408" spans="1:31" x14ac:dyDescent="0.2">
      <c r="A408" s="1" t="s">
        <v>1186</v>
      </c>
      <c r="B408" s="1" t="s">
        <v>1194</v>
      </c>
      <c r="C408" s="1">
        <v>1068</v>
      </c>
      <c r="D408" s="1" t="s">
        <v>377</v>
      </c>
      <c r="F408" s="1">
        <v>2023</v>
      </c>
      <c r="G408" s="5">
        <v>1450</v>
      </c>
      <c r="H408" s="5">
        <v>1292.43</v>
      </c>
      <c r="I408" s="5">
        <v>32176.39</v>
      </c>
      <c r="K408" s="5">
        <v>0.128</v>
      </c>
      <c r="L408" s="5">
        <v>1E-3</v>
      </c>
      <c r="O408" s="5">
        <v>54.975999999999999</v>
      </c>
      <c r="P408" s="6">
        <v>0.2487</v>
      </c>
      <c r="Q408" s="5">
        <v>425388.93599999999</v>
      </c>
      <c r="R408" s="1" t="s">
        <v>44</v>
      </c>
      <c r="T408" s="1" t="s">
        <v>93</v>
      </c>
      <c r="Y408" s="1" t="s">
        <v>1195</v>
      </c>
      <c r="Z408" s="1" t="str">
        <f t="shared" si="18"/>
        <v>1068 2A</v>
      </c>
      <c r="AA408" s="3">
        <f>IF(INDEX('CAMD Facility Data 2023'!$AA$2:$AE$10000,MATCH(Z408,'CAMD Facility Data 2023'!$AE$2:$AE$10000,0),1)&gt;0,INDEX('CAMD Facility Data 2023'!$AA$2:$AE$10000,MATCH(Z408,'CAMD Facility Data 2023'!$AE$2:$AE$10000,0),1),"")</f>
        <v>28665</v>
      </c>
      <c r="AB408" s="5">
        <f>IF(INDEX('CAMD Facility Data 2023'!$AC$2:$AE$10000,MATCH(Z408,'CAMD Facility Data 2023'!$AE$2:$AE$10000,0),1)&gt;0,INDEX('CAMD Facility Data 2023'!$AC$2:$AE$10000,MATCH(Z408,'CAMD Facility Data 2023'!$AE$2:$AE$10000,0),1),"")</f>
        <v>507.2</v>
      </c>
      <c r="AC408" s="1" t="str">
        <f>IF(INDEX('CAMD Facility Data 2023'!$AE$2:$AG$10000,MATCH(Z408,'CAMD Facility Data 2023'!$AE$2:$AE$10000,0),3)&gt;0,INDEX('CAMD Facility Data 2023'!$AE$2:$AG$10000,MATCH(Z408,'CAMD Facility Data 2023'!$AE$2:$AE$10000,0),3),"")</f>
        <v/>
      </c>
      <c r="AD408" s="20">
        <f t="shared" si="19"/>
        <v>3.4171639515806467</v>
      </c>
      <c r="AE408" s="25">
        <f t="shared" si="20"/>
        <v>9.5742075752992525E-2</v>
      </c>
    </row>
    <row r="409" spans="1:31" x14ac:dyDescent="0.2">
      <c r="A409" s="1" t="s">
        <v>1186</v>
      </c>
      <c r="B409" s="1" t="s">
        <v>1194</v>
      </c>
      <c r="C409" s="1">
        <v>1068</v>
      </c>
      <c r="D409" s="1" t="s">
        <v>1201</v>
      </c>
      <c r="F409" s="1">
        <v>2023</v>
      </c>
      <c r="G409" s="5">
        <v>1501</v>
      </c>
      <c r="H409" s="5">
        <v>1325.53</v>
      </c>
      <c r="I409" s="5">
        <v>32290.45</v>
      </c>
      <c r="K409" s="5">
        <v>0.128</v>
      </c>
      <c r="L409" s="5">
        <v>1E-3</v>
      </c>
      <c r="O409" s="5">
        <v>56.89</v>
      </c>
      <c r="P409" s="6">
        <v>0.25509999999999999</v>
      </c>
      <c r="Q409" s="5">
        <v>427375.56699999998</v>
      </c>
      <c r="R409" s="1" t="s">
        <v>44</v>
      </c>
      <c r="T409" s="1" t="s">
        <v>93</v>
      </c>
      <c r="Y409" s="1" t="s">
        <v>1195</v>
      </c>
      <c r="Z409" s="1" t="str">
        <f t="shared" si="18"/>
        <v>1068 2B</v>
      </c>
      <c r="AA409" s="3">
        <f>IF(INDEX('CAMD Facility Data 2023'!$AA$2:$AE$10000,MATCH(Z409,'CAMD Facility Data 2023'!$AE$2:$AE$10000,0),1)&gt;0,INDEX('CAMD Facility Data 2023'!$AA$2:$AE$10000,MATCH(Z409,'CAMD Facility Data 2023'!$AE$2:$AE$10000,0),1),"")</f>
        <v>28665</v>
      </c>
      <c r="AB409" s="5">
        <f>IF(INDEX('CAMD Facility Data 2023'!$AC$2:$AE$10000,MATCH(Z409,'CAMD Facility Data 2023'!$AE$2:$AE$10000,0),1)&gt;0,INDEX('CAMD Facility Data 2023'!$AC$2:$AE$10000,MATCH(Z409,'CAMD Facility Data 2023'!$AE$2:$AE$10000,0),1),"")</f>
        <v>507.2</v>
      </c>
      <c r="AC409" s="1" t="str">
        <f>IF(INDEX('CAMD Facility Data 2023'!$AE$2:$AG$10000,MATCH(Z409,'CAMD Facility Data 2023'!$AE$2:$AE$10000,0),3)&gt;0,INDEX('CAMD Facility Data 2023'!$AE$2:$AG$10000,MATCH(Z409,'CAMD Facility Data 2023'!$AE$2:$AE$10000,0),3),"")</f>
        <v/>
      </c>
      <c r="AD409" s="20">
        <f t="shared" si="19"/>
        <v>3.5236424391731922</v>
      </c>
      <c r="AE409" s="25">
        <f t="shared" si="20"/>
        <v>9.6189205801751582E-2</v>
      </c>
    </row>
    <row r="410" spans="1:31" x14ac:dyDescent="0.2">
      <c r="A410" s="1" t="s">
        <v>1186</v>
      </c>
      <c r="B410" s="1" t="s">
        <v>1194</v>
      </c>
      <c r="C410" s="1">
        <v>1068</v>
      </c>
      <c r="D410" s="1" t="s">
        <v>379</v>
      </c>
      <c r="F410" s="1">
        <v>2023</v>
      </c>
      <c r="G410" s="5">
        <v>595</v>
      </c>
      <c r="H410" s="5">
        <v>531.33000000000004</v>
      </c>
      <c r="I410" s="5">
        <v>12750.23</v>
      </c>
      <c r="K410" s="5">
        <v>4.5999999999999999E-2</v>
      </c>
      <c r="L410" s="5">
        <v>1E-3</v>
      </c>
      <c r="O410" s="5">
        <v>16.928999999999998</v>
      </c>
      <c r="P410" s="6">
        <v>0.21210000000000001</v>
      </c>
      <c r="Q410" s="5">
        <v>153561.13099999999</v>
      </c>
      <c r="R410" s="1" t="s">
        <v>44</v>
      </c>
      <c r="T410" s="1" t="s">
        <v>93</v>
      </c>
      <c r="Y410" s="1" t="s">
        <v>1195</v>
      </c>
      <c r="Z410" s="1" t="str">
        <f t="shared" si="18"/>
        <v>1068 3A</v>
      </c>
      <c r="AA410" s="3">
        <f>IF(INDEX('CAMD Facility Data 2023'!$AA$2:$AE$10000,MATCH(Z410,'CAMD Facility Data 2023'!$AE$2:$AE$10000,0),1)&gt;0,INDEX('CAMD Facility Data 2023'!$AA$2:$AE$10000,MATCH(Z410,'CAMD Facility Data 2023'!$AE$2:$AE$10000,0),1),"")</f>
        <v>28679</v>
      </c>
      <c r="AB410" s="5">
        <f>IF(INDEX('CAMD Facility Data 2023'!$AC$2:$AE$10000,MATCH(Z410,'CAMD Facility Data 2023'!$AE$2:$AE$10000,0),1)&gt;0,INDEX('CAMD Facility Data 2023'!$AC$2:$AE$10000,MATCH(Z410,'CAMD Facility Data 2023'!$AE$2:$AE$10000,0),1),"")</f>
        <v>506</v>
      </c>
      <c r="AC410" s="1" t="str">
        <f>IF(INDEX('CAMD Facility Data 2023'!$AE$2:$AG$10000,MATCH(Z410,'CAMD Facility Data 2023'!$AE$2:$AE$10000,0),3)&gt;0,INDEX('CAMD Facility Data 2023'!$AE$2:$AG$10000,MATCH(Z410,'CAMD Facility Data 2023'!$AE$2:$AE$10000,0),3),"")</f>
        <v/>
      </c>
      <c r="AD410" s="20">
        <f t="shared" si="19"/>
        <v>2.6554815089610151</v>
      </c>
      <c r="AE410" s="25">
        <f t="shared" si="20"/>
        <v>3.4643892242857396E-2</v>
      </c>
    </row>
    <row r="411" spans="1:31" x14ac:dyDescent="0.2">
      <c r="A411" s="1" t="s">
        <v>1186</v>
      </c>
      <c r="B411" s="1" t="s">
        <v>1194</v>
      </c>
      <c r="C411" s="1">
        <v>1068</v>
      </c>
      <c r="D411" s="1" t="s">
        <v>965</v>
      </c>
      <c r="F411" s="1">
        <v>2023</v>
      </c>
      <c r="G411" s="5">
        <v>1234</v>
      </c>
      <c r="H411" s="5">
        <v>1102.25</v>
      </c>
      <c r="I411" s="5">
        <v>27591.49</v>
      </c>
      <c r="K411" s="5">
        <v>0.104</v>
      </c>
      <c r="L411" s="5">
        <v>1E-3</v>
      </c>
      <c r="O411" s="5">
        <v>46.715000000000003</v>
      </c>
      <c r="P411" s="6">
        <v>0.25879999999999997</v>
      </c>
      <c r="Q411" s="5">
        <v>346256.26699999999</v>
      </c>
      <c r="R411" s="1" t="s">
        <v>44</v>
      </c>
      <c r="T411" s="1" t="s">
        <v>93</v>
      </c>
      <c r="Y411" s="1" t="s">
        <v>1195</v>
      </c>
      <c r="Z411" s="1" t="str">
        <f t="shared" si="18"/>
        <v>1068 3B</v>
      </c>
      <c r="AA411" s="3">
        <f>IF(INDEX('CAMD Facility Data 2023'!$AA$2:$AE$10000,MATCH(Z411,'CAMD Facility Data 2023'!$AE$2:$AE$10000,0),1)&gt;0,INDEX('CAMD Facility Data 2023'!$AA$2:$AE$10000,MATCH(Z411,'CAMD Facility Data 2023'!$AE$2:$AE$10000,0),1),"")</f>
        <v>28679</v>
      </c>
      <c r="AB411" s="5">
        <f>IF(INDEX('CAMD Facility Data 2023'!$AC$2:$AE$10000,MATCH(Z411,'CAMD Facility Data 2023'!$AE$2:$AE$10000,0),1)&gt;0,INDEX('CAMD Facility Data 2023'!$AC$2:$AE$10000,MATCH(Z411,'CAMD Facility Data 2023'!$AE$2:$AE$10000,0),1),"")</f>
        <v>506</v>
      </c>
      <c r="AC411" s="1" t="str">
        <f>IF(INDEX('CAMD Facility Data 2023'!$AE$2:$AG$10000,MATCH(Z411,'CAMD Facility Data 2023'!$AE$2:$AE$10000,0),3)&gt;0,INDEX('CAMD Facility Data 2023'!$AE$2:$AG$10000,MATCH(Z411,'CAMD Facility Data 2023'!$AE$2:$AE$10000,0),3),"")</f>
        <v/>
      </c>
      <c r="AD411" s="20">
        <f t="shared" si="19"/>
        <v>3.3861890024786625</v>
      </c>
      <c r="AE411" s="25">
        <f t="shared" si="20"/>
        <v>7.8116543712888259E-2</v>
      </c>
    </row>
    <row r="412" spans="1:31" x14ac:dyDescent="0.2">
      <c r="A412" s="1" t="s">
        <v>1186</v>
      </c>
      <c r="B412" s="1" t="s">
        <v>1203</v>
      </c>
      <c r="C412" s="1">
        <v>1073</v>
      </c>
      <c r="D412" s="1">
        <v>3</v>
      </c>
      <c r="F412" s="1">
        <v>2023</v>
      </c>
      <c r="G412" s="5">
        <v>7969</v>
      </c>
      <c r="H412" s="5">
        <v>7957.97</v>
      </c>
      <c r="J412" s="5">
        <v>1624390.25</v>
      </c>
      <c r="K412" s="5">
        <v>714.81100000000004</v>
      </c>
      <c r="L412" s="5">
        <v>0.52549999999999997</v>
      </c>
      <c r="M412" s="5">
        <v>282302.679</v>
      </c>
      <c r="N412" s="6">
        <v>0.1047</v>
      </c>
      <c r="O412" s="5">
        <v>412.1</v>
      </c>
      <c r="P412" s="6">
        <v>0.30680000000000002</v>
      </c>
      <c r="Q412" s="5">
        <v>2693908.23</v>
      </c>
      <c r="R412" s="1" t="s">
        <v>55</v>
      </c>
      <c r="S412" s="1" t="s">
        <v>638</v>
      </c>
      <c r="T412" s="1" t="s">
        <v>89</v>
      </c>
      <c r="V412" s="1" t="s">
        <v>220</v>
      </c>
      <c r="W412" s="1" t="s">
        <v>58</v>
      </c>
      <c r="X412" s="1" t="s">
        <v>937</v>
      </c>
      <c r="Y412" s="1" t="s">
        <v>1188</v>
      </c>
      <c r="Z412" s="1" t="str">
        <f t="shared" si="18"/>
        <v>1073 3</v>
      </c>
      <c r="AA412" s="3">
        <f>IF(INDEX('CAMD Facility Data 2023'!$AA$2:$AE$10000,MATCH(Z412,'CAMD Facility Data 2023'!$AE$2:$AE$10000,0),1)&gt;0,INDEX('CAMD Facility Data 2023'!$AA$2:$AE$10000,MATCH(Z412,'CAMD Facility Data 2023'!$AE$2:$AE$10000,0),1),"")</f>
        <v>21398</v>
      </c>
      <c r="AB412" s="5">
        <f>IF(INDEX('CAMD Facility Data 2023'!$AC$2:$AE$10000,MATCH(Z412,'CAMD Facility Data 2023'!$AE$2:$AE$10000,0),1)&gt;0,INDEX('CAMD Facility Data 2023'!$AC$2:$AE$10000,MATCH(Z412,'CAMD Facility Data 2023'!$AE$2:$AE$10000,0),1),"")</f>
        <v>600</v>
      </c>
      <c r="AC412" s="1" t="str">
        <f>IF(INDEX('CAMD Facility Data 2023'!$AE$2:$AG$10000,MATCH(Z412,'CAMD Facility Data 2023'!$AE$2:$AE$10000,0),3)&gt;0,INDEX('CAMD Facility Data 2023'!$AE$2:$AG$10000,MATCH(Z412,'CAMD Facility Data 2023'!$AE$2:$AE$10000,0),3),"")</f>
        <v/>
      </c>
      <c r="AD412" s="20" t="str">
        <f t="shared" si="19"/>
        <v/>
      </c>
      <c r="AE412" s="25">
        <f t="shared" si="20"/>
        <v>0.51253961757990862</v>
      </c>
    </row>
    <row r="413" spans="1:31" x14ac:dyDescent="0.2">
      <c r="A413" s="1" t="s">
        <v>1186</v>
      </c>
      <c r="B413" s="1" t="s">
        <v>1203</v>
      </c>
      <c r="C413" s="1">
        <v>1073</v>
      </c>
      <c r="D413" s="1">
        <v>4</v>
      </c>
      <c r="F413" s="1">
        <v>2023</v>
      </c>
      <c r="G413" s="5">
        <v>1011</v>
      </c>
      <c r="H413" s="5">
        <v>987.47</v>
      </c>
      <c r="J413" s="5">
        <v>307626.68</v>
      </c>
      <c r="K413" s="5">
        <v>13.834</v>
      </c>
      <c r="L413" s="5">
        <v>5.1999999999999998E-2</v>
      </c>
      <c r="M413" s="5">
        <v>31602.464</v>
      </c>
      <c r="N413" s="6">
        <v>5.8999999999999997E-2</v>
      </c>
      <c r="O413" s="5">
        <v>57.744</v>
      </c>
      <c r="P413" s="6">
        <v>0.1658</v>
      </c>
      <c r="Q413" s="5">
        <v>533113.83700000006</v>
      </c>
      <c r="R413" s="1" t="s">
        <v>284</v>
      </c>
      <c r="T413" s="1" t="s">
        <v>89</v>
      </c>
      <c r="V413" s="1" t="s">
        <v>289</v>
      </c>
      <c r="W413" s="1" t="s">
        <v>58</v>
      </c>
      <c r="Y413" s="1" t="s">
        <v>1207</v>
      </c>
      <c r="Z413" s="1" t="str">
        <f t="shared" si="18"/>
        <v>1073 4</v>
      </c>
      <c r="AA413" s="3">
        <f>IF(INDEX('CAMD Facility Data 2023'!$AA$2:$AE$10000,MATCH(Z413,'CAMD Facility Data 2023'!$AE$2:$AE$10000,0),1)&gt;0,INDEX('CAMD Facility Data 2023'!$AA$2:$AE$10000,MATCH(Z413,'CAMD Facility Data 2023'!$AE$2:$AE$10000,0),1),"")</f>
        <v>24777</v>
      </c>
      <c r="AB413" s="5">
        <f>IF(INDEX('CAMD Facility Data 2023'!$AC$2:$AE$10000,MATCH(Z413,'CAMD Facility Data 2023'!$AE$2:$AE$10000,0),1)&gt;0,INDEX('CAMD Facility Data 2023'!$AC$2:$AE$10000,MATCH(Z413,'CAMD Facility Data 2023'!$AE$2:$AE$10000,0),1),"")</f>
        <v>2185</v>
      </c>
      <c r="AC413" s="1" t="str">
        <f>IF(INDEX('CAMD Facility Data 2023'!$AE$2:$AG$10000,MATCH(Z413,'CAMD Facility Data 2023'!$AE$2:$AE$10000,0),3)&gt;0,INDEX('CAMD Facility Data 2023'!$AE$2:$AG$10000,MATCH(Z413,'CAMD Facility Data 2023'!$AE$2:$AE$10000,0),3),"")</f>
        <v/>
      </c>
      <c r="AD413" s="20" t="str">
        <f t="shared" si="19"/>
        <v/>
      </c>
      <c r="AE413" s="25">
        <f t="shared" si="20"/>
        <v>2.7852514393488192E-2</v>
      </c>
    </row>
    <row r="414" spans="1:31" x14ac:dyDescent="0.2">
      <c r="A414" s="1" t="s">
        <v>1186</v>
      </c>
      <c r="B414" s="1" t="s">
        <v>1209</v>
      </c>
      <c r="C414" s="1">
        <v>1082</v>
      </c>
      <c r="D414" s="1">
        <v>3</v>
      </c>
      <c r="F414" s="1">
        <v>2023</v>
      </c>
      <c r="G414" s="5">
        <v>4394</v>
      </c>
      <c r="H414" s="5">
        <v>4373.13</v>
      </c>
      <c r="I414" s="5">
        <v>2593054.17</v>
      </c>
      <c r="K414" s="5">
        <v>4709.2389999999996</v>
      </c>
      <c r="L414" s="5">
        <v>0.35099999999999998</v>
      </c>
      <c r="M414" s="5">
        <v>2719852.73</v>
      </c>
      <c r="N414" s="6">
        <v>0.105</v>
      </c>
      <c r="O414" s="5">
        <v>2949.33</v>
      </c>
      <c r="P414" s="6">
        <v>0.20630000000000001</v>
      </c>
      <c r="Q414" s="5">
        <v>25933035.840999998</v>
      </c>
      <c r="R414" s="1" t="s">
        <v>55</v>
      </c>
      <c r="S414" s="1" t="s">
        <v>94</v>
      </c>
      <c r="T414" s="1" t="s">
        <v>89</v>
      </c>
      <c r="U414" s="1" t="s">
        <v>212</v>
      </c>
      <c r="V414" s="1" t="s">
        <v>289</v>
      </c>
      <c r="W414" s="1" t="s">
        <v>232</v>
      </c>
      <c r="X414" s="1" t="s">
        <v>214</v>
      </c>
      <c r="Y414" s="1" t="s">
        <v>1188</v>
      </c>
      <c r="Z414" s="1" t="str">
        <f t="shared" si="18"/>
        <v>1082 3</v>
      </c>
      <c r="AA414" s="3">
        <f>IF(INDEX('CAMD Facility Data 2023'!$AA$2:$AE$10000,MATCH(Z414,'CAMD Facility Data 2023'!$AE$2:$AE$10000,0),1)&gt;0,INDEX('CAMD Facility Data 2023'!$AA$2:$AE$10000,MATCH(Z414,'CAMD Facility Data 2023'!$AE$2:$AE$10000,0),1),"")</f>
        <v>28825</v>
      </c>
      <c r="AB414" s="5">
        <f>IF(INDEX('CAMD Facility Data 2023'!$AC$2:$AE$10000,MATCH(Z414,'CAMD Facility Data 2023'!$AE$2:$AE$10000,0),1)&gt;0,INDEX('CAMD Facility Data 2023'!$AC$2:$AE$10000,MATCH(Z414,'CAMD Facility Data 2023'!$AE$2:$AE$10000,0),1),"")</f>
        <v>8500</v>
      </c>
      <c r="AC414" s="1" t="str">
        <f>IF(INDEX('CAMD Facility Data 2023'!$AE$2:$AG$10000,MATCH(Z414,'CAMD Facility Data 2023'!$AE$2:$AE$10000,0),3)&gt;0,INDEX('CAMD Facility Data 2023'!$AE$2:$AG$10000,MATCH(Z414,'CAMD Facility Data 2023'!$AE$2:$AE$10000,0),3),"")</f>
        <v/>
      </c>
      <c r="AD414" s="20">
        <f t="shared" si="19"/>
        <v>2.2747924313513281</v>
      </c>
      <c r="AE414" s="25">
        <f t="shared" si="20"/>
        <v>0.3482814375637926</v>
      </c>
    </row>
    <row r="415" spans="1:31" x14ac:dyDescent="0.2">
      <c r="A415" s="1" t="s">
        <v>1186</v>
      </c>
      <c r="B415" s="1" t="s">
        <v>1209</v>
      </c>
      <c r="C415" s="1">
        <v>1082</v>
      </c>
      <c r="D415" s="1">
        <v>4</v>
      </c>
      <c r="F415" s="1">
        <v>2023</v>
      </c>
      <c r="G415" s="5">
        <v>5905</v>
      </c>
      <c r="H415" s="5">
        <v>5893.75</v>
      </c>
      <c r="I415" s="5">
        <v>3659553.52</v>
      </c>
      <c r="K415" s="5">
        <v>1347.6659999999999</v>
      </c>
      <c r="L415" s="5">
        <v>8.0399999999999999E-2</v>
      </c>
      <c r="M415" s="5">
        <v>3565030.7969999998</v>
      </c>
      <c r="N415" s="6">
        <v>0.105</v>
      </c>
      <c r="O415" s="5">
        <v>983.16300000000001</v>
      </c>
      <c r="P415" s="6">
        <v>5.6399999999999999E-2</v>
      </c>
      <c r="Q415" s="5">
        <v>33991549.789999999</v>
      </c>
      <c r="R415" s="1" t="s">
        <v>55</v>
      </c>
      <c r="T415" s="1" t="s">
        <v>89</v>
      </c>
      <c r="U415" s="1" t="s">
        <v>212</v>
      </c>
      <c r="V415" s="1" t="s">
        <v>563</v>
      </c>
      <c r="W415" s="1" t="s">
        <v>232</v>
      </c>
      <c r="X415" s="1" t="s">
        <v>214</v>
      </c>
      <c r="Y415" s="1" t="s">
        <v>1188</v>
      </c>
      <c r="Z415" s="1" t="str">
        <f t="shared" si="18"/>
        <v>1082 4</v>
      </c>
      <c r="AA415" s="3">
        <f>IF(INDEX('CAMD Facility Data 2023'!$AA$2:$AE$10000,MATCH(Z415,'CAMD Facility Data 2023'!$AE$2:$AE$10000,0),1)&gt;0,INDEX('CAMD Facility Data 2023'!$AA$2:$AE$10000,MATCH(Z415,'CAMD Facility Data 2023'!$AE$2:$AE$10000,0),1),"")</f>
        <v>39114</v>
      </c>
      <c r="AB415" s="5">
        <f>IF(INDEX('CAMD Facility Data 2023'!$AC$2:$AE$10000,MATCH(Z415,'CAMD Facility Data 2023'!$AE$2:$AE$10000,0),1)&gt;0,INDEX('CAMD Facility Data 2023'!$AC$2:$AE$10000,MATCH(Z415,'CAMD Facility Data 2023'!$AE$2:$AE$10000,0),1),"")</f>
        <v>7994</v>
      </c>
      <c r="AC415" s="1" t="str">
        <f>IF(INDEX('CAMD Facility Data 2023'!$AE$2:$AG$10000,MATCH(Z415,'CAMD Facility Data 2023'!$AE$2:$AE$10000,0),3)&gt;0,INDEX('CAMD Facility Data 2023'!$AE$2:$AG$10000,MATCH(Z415,'CAMD Facility Data 2023'!$AE$2:$AE$10000,0),3),"")</f>
        <v>Y</v>
      </c>
      <c r="AD415" s="20">
        <f t="shared" si="19"/>
        <v>0.53731308730798399</v>
      </c>
      <c r="AE415" s="25">
        <f t="shared" si="20"/>
        <v>0.48540329033875862</v>
      </c>
    </row>
    <row r="416" spans="1:31" x14ac:dyDescent="0.2">
      <c r="A416" s="1" t="s">
        <v>1186</v>
      </c>
      <c r="B416" s="1" t="s">
        <v>1217</v>
      </c>
      <c r="C416" s="1">
        <v>1091</v>
      </c>
      <c r="D416" s="1">
        <v>3</v>
      </c>
      <c r="F416" s="1">
        <v>2023</v>
      </c>
      <c r="G416" s="5">
        <v>4149</v>
      </c>
      <c r="H416" s="5">
        <v>4088.51</v>
      </c>
      <c r="I416" s="5">
        <v>1409759.41</v>
      </c>
      <c r="K416" s="5">
        <v>2508.7919999999999</v>
      </c>
      <c r="L416" s="5">
        <v>0.3473</v>
      </c>
      <c r="M416" s="5">
        <v>1444749.963</v>
      </c>
      <c r="N416" s="6">
        <v>0.105</v>
      </c>
      <c r="O416" s="5">
        <v>1816.7860000000001</v>
      </c>
      <c r="P416" s="6">
        <v>0.26390000000000002</v>
      </c>
      <c r="Q416" s="5">
        <v>13775301.801000001</v>
      </c>
      <c r="R416" s="1" t="s">
        <v>55</v>
      </c>
      <c r="S416" s="1" t="s">
        <v>44</v>
      </c>
      <c r="T416" s="1" t="s">
        <v>89</v>
      </c>
      <c r="U416" s="1" t="s">
        <v>212</v>
      </c>
      <c r="V416" s="1" t="s">
        <v>1221</v>
      </c>
      <c r="W416" s="1" t="s">
        <v>123</v>
      </c>
      <c r="Y416" s="1" t="s">
        <v>1188</v>
      </c>
      <c r="Z416" s="1" t="str">
        <f t="shared" si="18"/>
        <v>1091 3</v>
      </c>
      <c r="AA416" s="3">
        <f>IF(INDEX('CAMD Facility Data 2023'!$AA$2:$AE$10000,MATCH(Z416,'CAMD Facility Data 2023'!$AE$2:$AE$10000,0),1)&gt;0,INDEX('CAMD Facility Data 2023'!$AA$2:$AE$10000,MATCH(Z416,'CAMD Facility Data 2023'!$AE$2:$AE$10000,0),1),"")</f>
        <v>27758</v>
      </c>
      <c r="AB416" s="5">
        <f>IF(INDEX('CAMD Facility Data 2023'!$AC$2:$AE$10000,MATCH(Z416,'CAMD Facility Data 2023'!$AE$2:$AE$10000,0),1)&gt;0,INDEX('CAMD Facility Data 2023'!$AC$2:$AE$10000,MATCH(Z416,'CAMD Facility Data 2023'!$AE$2:$AE$10000,0),1),"")</f>
        <v>6050</v>
      </c>
      <c r="AC416" s="1" t="str">
        <f>IF(INDEX('CAMD Facility Data 2023'!$AE$2:$AG$10000,MATCH(Z416,'CAMD Facility Data 2023'!$AE$2:$AE$10000,0),3)&gt;0,INDEX('CAMD Facility Data 2023'!$AE$2:$AG$10000,MATCH(Z416,'CAMD Facility Data 2023'!$AE$2:$AE$10000,0),3),"")</f>
        <v>Y</v>
      </c>
      <c r="AD416" s="20">
        <f t="shared" si="19"/>
        <v>2.5774412103409903</v>
      </c>
      <c r="AE416" s="25">
        <f t="shared" si="20"/>
        <v>0.25992116308162572</v>
      </c>
    </row>
    <row r="417" spans="1:31" x14ac:dyDescent="0.2">
      <c r="A417" s="1" t="s">
        <v>1186</v>
      </c>
      <c r="B417" s="1" t="s">
        <v>1223</v>
      </c>
      <c r="C417" s="1">
        <v>1104</v>
      </c>
      <c r="D417" s="1">
        <v>1</v>
      </c>
      <c r="F417" s="1">
        <v>2023</v>
      </c>
      <c r="G417" s="5">
        <v>295</v>
      </c>
      <c r="H417" s="5">
        <v>287.20999999999998</v>
      </c>
      <c r="I417" s="5">
        <v>16650.150000000001</v>
      </c>
      <c r="K417" s="5">
        <v>6.3E-2</v>
      </c>
      <c r="L417" s="5">
        <v>1E-3</v>
      </c>
      <c r="M417" s="5">
        <v>12479.215</v>
      </c>
      <c r="N417" s="6">
        <v>5.91E-2</v>
      </c>
      <c r="O417" s="5">
        <v>7.0019999999999998</v>
      </c>
      <c r="P417" s="6">
        <v>5.33E-2</v>
      </c>
      <c r="Q417" s="5">
        <v>209978.133</v>
      </c>
      <c r="R417" s="1" t="s">
        <v>44</v>
      </c>
      <c r="T417" s="1" t="s">
        <v>43</v>
      </c>
      <c r="V417" s="1" t="s">
        <v>1226</v>
      </c>
      <c r="Y417" s="1" t="s">
        <v>1207</v>
      </c>
      <c r="Z417" s="1" t="str">
        <f t="shared" si="18"/>
        <v>1104 1</v>
      </c>
      <c r="AA417" s="3">
        <f>IF(INDEX('CAMD Facility Data 2023'!$AA$2:$AE$10000,MATCH(Z417,'CAMD Facility Data 2023'!$AE$2:$AE$10000,0),1)&gt;0,INDEX('CAMD Facility Data 2023'!$AA$2:$AE$10000,MATCH(Z417,'CAMD Facility Data 2023'!$AE$2:$AE$10000,0),1),"")</f>
        <v>24998</v>
      </c>
      <c r="AB417" s="5">
        <f>IF(INDEX('CAMD Facility Data 2023'!$AC$2:$AE$10000,MATCH(Z417,'CAMD Facility Data 2023'!$AE$2:$AE$10000,0),1)&gt;0,INDEX('CAMD Facility Data 2023'!$AC$2:$AE$10000,MATCH(Z417,'CAMD Facility Data 2023'!$AE$2:$AE$10000,0),1),"")</f>
        <v>2700</v>
      </c>
      <c r="AC417" s="1" t="str">
        <f>IF(INDEX('CAMD Facility Data 2023'!$AE$2:$AG$10000,MATCH(Z417,'CAMD Facility Data 2023'!$AE$2:$AE$10000,0),3)&gt;0,INDEX('CAMD Facility Data 2023'!$AE$2:$AG$10000,MATCH(Z417,'CAMD Facility Data 2023'!$AE$2:$AE$10000,0),3),"")</f>
        <v/>
      </c>
      <c r="AD417" s="20">
        <f t="shared" si="19"/>
        <v>0.84107350384230761</v>
      </c>
      <c r="AE417" s="25">
        <f t="shared" si="20"/>
        <v>8.8778172247590062E-3</v>
      </c>
    </row>
    <row r="418" spans="1:31" x14ac:dyDescent="0.2">
      <c r="A418" s="1" t="s">
        <v>1186</v>
      </c>
      <c r="B418" s="1" t="s">
        <v>1228</v>
      </c>
      <c r="C418" s="1">
        <v>1122</v>
      </c>
      <c r="D418" s="1">
        <v>7</v>
      </c>
      <c r="F418" s="1">
        <v>2023</v>
      </c>
      <c r="G418" s="5">
        <v>3267</v>
      </c>
      <c r="H418" s="5">
        <v>3256.77</v>
      </c>
      <c r="I418" s="5">
        <v>97279.54</v>
      </c>
      <c r="K418" s="5">
        <v>11.06</v>
      </c>
      <c r="L418" s="5">
        <v>1.6799999999999999E-2</v>
      </c>
      <c r="M418" s="5">
        <v>77042.83</v>
      </c>
      <c r="N418" s="6">
        <v>5.8999999999999997E-2</v>
      </c>
      <c r="O418" s="5">
        <v>89.007000000000005</v>
      </c>
      <c r="P418" s="6">
        <v>0.13830000000000001</v>
      </c>
      <c r="Q418" s="5">
        <v>1299671.933</v>
      </c>
      <c r="R418" s="1" t="s">
        <v>284</v>
      </c>
      <c r="S418" s="1" t="s">
        <v>1232</v>
      </c>
      <c r="T418" s="1" t="s">
        <v>43</v>
      </c>
      <c r="V418" s="1" t="s">
        <v>1233</v>
      </c>
      <c r="W418" s="1" t="s">
        <v>58</v>
      </c>
      <c r="Y418" s="1" t="s">
        <v>1207</v>
      </c>
      <c r="Z418" s="1" t="str">
        <f t="shared" si="18"/>
        <v>1122 7</v>
      </c>
      <c r="AA418" s="3">
        <f>IF(INDEX('CAMD Facility Data 2023'!$AA$2:$AE$10000,MATCH(Z418,'CAMD Facility Data 2023'!$AE$2:$AE$10000,0),1)&gt;0,INDEX('CAMD Facility Data 2023'!$AA$2:$AE$10000,MATCH(Z418,'CAMD Facility Data 2023'!$AE$2:$AE$10000,0),1),"")</f>
        <v>25051</v>
      </c>
      <c r="AB418" s="5">
        <f>IF(INDEX('CAMD Facility Data 2023'!$AC$2:$AE$10000,MATCH(Z418,'CAMD Facility Data 2023'!$AE$2:$AE$10000,0),1)&gt;0,INDEX('CAMD Facility Data 2023'!$AC$2:$AE$10000,MATCH(Z418,'CAMD Facility Data 2023'!$AE$2:$AE$10000,0),1),"")</f>
        <v>574</v>
      </c>
      <c r="AC418" s="1" t="str">
        <f>IF(INDEX('CAMD Facility Data 2023'!$AE$2:$AG$10000,MATCH(Z418,'CAMD Facility Data 2023'!$AE$2:$AE$10000,0),3)&gt;0,INDEX('CAMD Facility Data 2023'!$AE$2:$AG$10000,MATCH(Z418,'CAMD Facility Data 2023'!$AE$2:$AE$10000,0),3),"")</f>
        <v/>
      </c>
      <c r="AD418" s="20">
        <f t="shared" si="19"/>
        <v>1.8299223043201069</v>
      </c>
      <c r="AE418" s="25">
        <f t="shared" si="20"/>
        <v>0.25847452249693731</v>
      </c>
    </row>
    <row r="419" spans="1:31" x14ac:dyDescent="0.2">
      <c r="A419" s="1" t="s">
        <v>1186</v>
      </c>
      <c r="B419" s="1" t="s">
        <v>1228</v>
      </c>
      <c r="C419" s="1">
        <v>1122</v>
      </c>
      <c r="D419" s="1">
        <v>8</v>
      </c>
      <c r="F419" s="1">
        <v>2023</v>
      </c>
      <c r="G419" s="5">
        <v>5471</v>
      </c>
      <c r="H419" s="5">
        <v>5458.25</v>
      </c>
      <c r="I419" s="5">
        <v>257974.33</v>
      </c>
      <c r="K419" s="5">
        <v>15.848000000000001</v>
      </c>
      <c r="L419" s="5">
        <v>1.01E-2</v>
      </c>
      <c r="M419" s="5">
        <v>200873.28200000001</v>
      </c>
      <c r="N419" s="6">
        <v>5.8999999999999997E-2</v>
      </c>
      <c r="O419" s="5">
        <v>225.22399999999999</v>
      </c>
      <c r="P419" s="6">
        <v>0.13</v>
      </c>
      <c r="Q419" s="5">
        <v>3388580.389</v>
      </c>
      <c r="R419" s="1" t="s">
        <v>284</v>
      </c>
      <c r="S419" s="1" t="s">
        <v>1232</v>
      </c>
      <c r="T419" s="1" t="s">
        <v>89</v>
      </c>
      <c r="V419" s="1" t="s">
        <v>289</v>
      </c>
      <c r="W419" s="1" t="s">
        <v>58</v>
      </c>
      <c r="Y419" s="1" t="s">
        <v>1207</v>
      </c>
      <c r="Z419" s="1" t="str">
        <f t="shared" si="18"/>
        <v>1122 8</v>
      </c>
      <c r="AA419" s="3">
        <f>IF(INDEX('CAMD Facility Data 2023'!$AA$2:$AE$10000,MATCH(Z419,'CAMD Facility Data 2023'!$AE$2:$AE$10000,0),1)&gt;0,INDEX('CAMD Facility Data 2023'!$AA$2:$AE$10000,MATCH(Z419,'CAMD Facility Data 2023'!$AE$2:$AE$10000,0),1),"")</f>
        <v>30011</v>
      </c>
      <c r="AB419" s="5">
        <f>IF(INDEX('CAMD Facility Data 2023'!$AC$2:$AE$10000,MATCH(Z419,'CAMD Facility Data 2023'!$AE$2:$AE$10000,0),1)&gt;0,INDEX('CAMD Facility Data 2023'!$AC$2:$AE$10000,MATCH(Z419,'CAMD Facility Data 2023'!$AE$2:$AE$10000,0),1),"")</f>
        <v>903.8</v>
      </c>
      <c r="AC419" s="1" t="str">
        <f>IF(INDEX('CAMD Facility Data 2023'!$AE$2:$AG$10000,MATCH(Z419,'CAMD Facility Data 2023'!$AE$2:$AE$10000,0),3)&gt;0,INDEX('CAMD Facility Data 2023'!$AE$2:$AG$10000,MATCH(Z419,'CAMD Facility Data 2023'!$AE$2:$AE$10000,0),3),"")</f>
        <v/>
      </c>
      <c r="AD419" s="20">
        <f t="shared" si="19"/>
        <v>1.7460962104252777</v>
      </c>
      <c r="AE419" s="25">
        <f t="shared" si="20"/>
        <v>0.42799761597658187</v>
      </c>
    </row>
    <row r="420" spans="1:31" x14ac:dyDescent="0.2">
      <c r="A420" s="1" t="s">
        <v>1186</v>
      </c>
      <c r="B420" s="1" t="s">
        <v>1236</v>
      </c>
      <c r="C420" s="1">
        <v>1131</v>
      </c>
      <c r="D420" s="1">
        <v>7</v>
      </c>
      <c r="F420" s="1">
        <v>2023</v>
      </c>
      <c r="G420" s="5">
        <v>989</v>
      </c>
      <c r="H420" s="5">
        <v>969.66</v>
      </c>
      <c r="I420" s="5">
        <v>7583.01</v>
      </c>
      <c r="K420" s="5">
        <v>11.21</v>
      </c>
      <c r="L420" s="5">
        <v>4.8273000000000001</v>
      </c>
      <c r="M420" s="5">
        <v>7798.3580000000002</v>
      </c>
      <c r="N420" s="6">
        <v>6.5600000000000006E-2</v>
      </c>
      <c r="O420" s="5">
        <v>19.289000000000001</v>
      </c>
      <c r="P420" s="6">
        <v>0.23230000000000001</v>
      </c>
      <c r="Q420" s="5">
        <v>128129.592</v>
      </c>
      <c r="R420" s="1" t="s">
        <v>44</v>
      </c>
      <c r="S420" s="1" t="s">
        <v>55</v>
      </c>
      <c r="T420" s="1" t="s">
        <v>89</v>
      </c>
      <c r="W420" s="1" t="s">
        <v>58</v>
      </c>
      <c r="Y420" s="1" t="s">
        <v>1188</v>
      </c>
      <c r="Z420" s="1" t="str">
        <f t="shared" si="18"/>
        <v>1131 7</v>
      </c>
      <c r="AA420" s="3">
        <f>IF(INDEX('CAMD Facility Data 2023'!$AA$2:$AE$10000,MATCH(Z420,'CAMD Facility Data 2023'!$AE$2:$AE$10000,0),1)&gt;0,INDEX('CAMD Facility Data 2023'!$AA$2:$AE$10000,MATCH(Z420,'CAMD Facility Data 2023'!$AE$2:$AE$10000,0),1),"")</f>
        <v>26724</v>
      </c>
      <c r="AB420" s="5">
        <f>IF(INDEX('CAMD Facility Data 2023'!$AC$2:$AE$10000,MATCH(Z420,'CAMD Facility Data 2023'!$AE$2:$AE$10000,0),1)&gt;0,INDEX('CAMD Facility Data 2023'!$AC$2:$AE$10000,MATCH(Z420,'CAMD Facility Data 2023'!$AE$2:$AE$10000,0),1),"")</f>
        <v>500</v>
      </c>
      <c r="AC420" s="1" t="str">
        <f>IF(INDEX('CAMD Facility Data 2023'!$AE$2:$AG$10000,MATCH(Z420,'CAMD Facility Data 2023'!$AE$2:$AE$10000,0),3)&gt;0,INDEX('CAMD Facility Data 2023'!$AE$2:$AG$10000,MATCH(Z420,'CAMD Facility Data 2023'!$AE$2:$AE$10000,0),3),"")</f>
        <v/>
      </c>
      <c r="AD420" s="20">
        <f t="shared" si="19"/>
        <v>5.0874257056234926</v>
      </c>
      <c r="AE420" s="25">
        <f t="shared" si="20"/>
        <v>2.9253331506849316E-2</v>
      </c>
    </row>
    <row r="421" spans="1:31" x14ac:dyDescent="0.2">
      <c r="A421" s="1" t="s">
        <v>1186</v>
      </c>
      <c r="B421" s="1" t="s">
        <v>1241</v>
      </c>
      <c r="C421" s="1">
        <v>1167</v>
      </c>
      <c r="D421" s="1">
        <v>8</v>
      </c>
      <c r="F421" s="1">
        <v>2023</v>
      </c>
      <c r="G421" s="5">
        <v>927</v>
      </c>
      <c r="H421" s="5">
        <v>915.19</v>
      </c>
      <c r="I421" s="5">
        <v>37949.629999999997</v>
      </c>
      <c r="K421" s="5">
        <v>137.83600000000001</v>
      </c>
      <c r="L421" s="5">
        <v>0.54990000000000006</v>
      </c>
      <c r="M421" s="5">
        <v>49683.665999999997</v>
      </c>
      <c r="N421" s="6">
        <v>0.10489999999999999</v>
      </c>
      <c r="O421" s="5">
        <v>186.50800000000001</v>
      </c>
      <c r="P421" s="6">
        <v>0.72889999999999999</v>
      </c>
      <c r="Q421" s="5">
        <v>473723.92499999999</v>
      </c>
      <c r="R421" s="1" t="s">
        <v>55</v>
      </c>
      <c r="S421" s="1" t="s">
        <v>284</v>
      </c>
      <c r="T421" s="1" t="s">
        <v>606</v>
      </c>
      <c r="V421" s="1" t="s">
        <v>220</v>
      </c>
      <c r="W421" s="1" t="s">
        <v>58</v>
      </c>
      <c r="X421" s="1" t="s">
        <v>937</v>
      </c>
      <c r="Y421" s="1" t="s">
        <v>1188</v>
      </c>
      <c r="Z421" s="1" t="str">
        <f t="shared" si="18"/>
        <v>1167 8</v>
      </c>
      <c r="AA421" s="3">
        <f>IF(INDEX('CAMD Facility Data 2023'!$AA$2:$AE$10000,MATCH(Z421,'CAMD Facility Data 2023'!$AE$2:$AE$10000,0),1)&gt;0,INDEX('CAMD Facility Data 2023'!$AA$2:$AE$10000,MATCH(Z421,'CAMD Facility Data 2023'!$AE$2:$AE$10000,0),1),"")</f>
        <v>25538</v>
      </c>
      <c r="AB421" s="5">
        <f>IF(INDEX('CAMD Facility Data 2023'!$AC$2:$AE$10000,MATCH(Z421,'CAMD Facility Data 2023'!$AE$2:$AE$10000,0),1)&gt;0,INDEX('CAMD Facility Data 2023'!$AC$2:$AE$10000,MATCH(Z421,'CAMD Facility Data 2023'!$AE$2:$AE$10000,0),1),"")</f>
        <v>1080</v>
      </c>
      <c r="AC421" s="1" t="str">
        <f>IF(INDEX('CAMD Facility Data 2023'!$AE$2:$AG$10000,MATCH(Z421,'CAMD Facility Data 2023'!$AE$2:$AE$10000,0),3)&gt;0,INDEX('CAMD Facility Data 2023'!$AE$2:$AG$10000,MATCH(Z421,'CAMD Facility Data 2023'!$AE$2:$AE$10000,0),3),"")</f>
        <v/>
      </c>
      <c r="AD421" s="20">
        <f t="shared" si="19"/>
        <v>9.829239441860171</v>
      </c>
      <c r="AE421" s="25">
        <f t="shared" si="20"/>
        <v>5.0072290398274988E-2</v>
      </c>
    </row>
    <row r="422" spans="1:31" x14ac:dyDescent="0.2">
      <c r="A422" s="1" t="s">
        <v>1186</v>
      </c>
      <c r="B422" s="1" t="s">
        <v>1241</v>
      </c>
      <c r="C422" s="1">
        <v>1167</v>
      </c>
      <c r="D422" s="1">
        <v>9</v>
      </c>
      <c r="F422" s="1">
        <v>2023</v>
      </c>
      <c r="G422" s="5">
        <v>7105</v>
      </c>
      <c r="H422" s="5">
        <v>7086.24</v>
      </c>
      <c r="I422" s="5">
        <v>577677.73</v>
      </c>
      <c r="K422" s="5">
        <v>44.11</v>
      </c>
      <c r="L422" s="5">
        <v>2.1700000000000001E-2</v>
      </c>
      <c r="M422" s="5">
        <v>687156.02300000004</v>
      </c>
      <c r="N422" s="6">
        <v>0.1048</v>
      </c>
      <c r="O422" s="5">
        <v>633.44899999999996</v>
      </c>
      <c r="P422" s="6">
        <v>0.22339999999999999</v>
      </c>
      <c r="Q422" s="5">
        <v>6551792.6679999996</v>
      </c>
      <c r="R422" s="1" t="s">
        <v>55</v>
      </c>
      <c r="S422" s="1" t="s">
        <v>94</v>
      </c>
      <c r="T422" s="1" t="s">
        <v>43</v>
      </c>
      <c r="U422" s="1" t="s">
        <v>56</v>
      </c>
      <c r="V422" s="1" t="s">
        <v>220</v>
      </c>
      <c r="W422" s="1" t="s">
        <v>58</v>
      </c>
      <c r="X422" s="1" t="s">
        <v>937</v>
      </c>
      <c r="Y422" s="1" t="s">
        <v>1188</v>
      </c>
      <c r="Z422" s="1" t="str">
        <f t="shared" si="18"/>
        <v>1167 9</v>
      </c>
      <c r="AA422" s="3">
        <f>IF(INDEX('CAMD Facility Data 2023'!$AA$2:$AE$10000,MATCH(Z422,'CAMD Facility Data 2023'!$AE$2:$AE$10000,0),1)&gt;0,INDEX('CAMD Facility Data 2023'!$AA$2:$AE$10000,MATCH(Z422,'CAMD Facility Data 2023'!$AE$2:$AE$10000,0),1),"")</f>
        <v>30437</v>
      </c>
      <c r="AB422" s="5">
        <f>IF(INDEX('CAMD Facility Data 2023'!$AC$2:$AE$10000,MATCH(Z422,'CAMD Facility Data 2023'!$AE$2:$AE$10000,0),1)&gt;0,INDEX('CAMD Facility Data 2023'!$AC$2:$AE$10000,MATCH(Z422,'CAMD Facility Data 2023'!$AE$2:$AE$10000,0),1),"")</f>
        <v>2200</v>
      </c>
      <c r="AC422" s="1" t="str">
        <f>IF(INDEX('CAMD Facility Data 2023'!$AE$2:$AG$10000,MATCH(Z422,'CAMD Facility Data 2023'!$AE$2:$AE$10000,0),3)&gt;0,INDEX('CAMD Facility Data 2023'!$AE$2:$AG$10000,MATCH(Z422,'CAMD Facility Data 2023'!$AE$2:$AE$10000,0),3),"")</f>
        <v/>
      </c>
      <c r="AD422" s="20">
        <f t="shared" si="19"/>
        <v>2.1930878311684268</v>
      </c>
      <c r="AE422" s="25">
        <f t="shared" si="20"/>
        <v>0.33996433520132835</v>
      </c>
    </row>
    <row r="423" spans="1:31" x14ac:dyDescent="0.2">
      <c r="A423" s="1" t="s">
        <v>1186</v>
      </c>
      <c r="B423" s="1" t="s">
        <v>1247</v>
      </c>
      <c r="C423" s="1">
        <v>1206</v>
      </c>
      <c r="D423" s="1" t="s">
        <v>1248</v>
      </c>
      <c r="F423" s="1">
        <v>2023</v>
      </c>
      <c r="G423" s="5">
        <v>4</v>
      </c>
      <c r="H423" s="5">
        <v>2.75</v>
      </c>
      <c r="I423" s="5">
        <v>61.5</v>
      </c>
      <c r="K423" s="5">
        <v>0</v>
      </c>
      <c r="L423" s="5">
        <v>8.0000000000000004E-4</v>
      </c>
      <c r="M423" s="5">
        <v>62.9</v>
      </c>
      <c r="N423" s="6">
        <v>5.9299999999999999E-2</v>
      </c>
      <c r="O423" s="5">
        <v>0.373</v>
      </c>
      <c r="P423" s="6">
        <v>0.7</v>
      </c>
      <c r="Q423" s="5">
        <v>1066</v>
      </c>
      <c r="R423" s="1" t="s">
        <v>44</v>
      </c>
      <c r="S423" s="1" t="s">
        <v>94</v>
      </c>
      <c r="T423" s="1" t="s">
        <v>93</v>
      </c>
      <c r="Y423" s="1" t="s">
        <v>1195</v>
      </c>
      <c r="Z423" s="1" t="str">
        <f t="shared" si="18"/>
        <v>1206 1G</v>
      </c>
      <c r="AA423" s="3">
        <f>IF(INDEX('CAMD Facility Data 2023'!$AA$2:$AE$10000,MATCH(Z423,'CAMD Facility Data 2023'!$AE$2:$AE$10000,0),1)&gt;0,INDEX('CAMD Facility Data 2023'!$AA$2:$AE$10000,MATCH(Z423,'CAMD Facility Data 2023'!$AE$2:$AE$10000,0),1),"")</f>
        <v>26846</v>
      </c>
      <c r="AB423" s="5">
        <f>IF(INDEX('CAMD Facility Data 2023'!$AC$2:$AE$10000,MATCH(Z423,'CAMD Facility Data 2023'!$AE$2:$AE$10000,0),1)&gt;0,INDEX('CAMD Facility Data 2023'!$AC$2:$AE$10000,MATCH(Z423,'CAMD Facility Data 2023'!$AE$2:$AE$10000,0),1),"")</f>
        <v>485</v>
      </c>
      <c r="AC423" s="1" t="str">
        <f>IF(INDEX('CAMD Facility Data 2023'!$AE$2:$AG$10000,MATCH(Z423,'CAMD Facility Data 2023'!$AE$2:$AE$10000,0),3)&gt;0,INDEX('CAMD Facility Data 2023'!$AE$2:$AG$10000,MATCH(Z423,'CAMD Facility Data 2023'!$AE$2:$AE$10000,0),3),"")</f>
        <v/>
      </c>
      <c r="AD423" s="20">
        <f t="shared" si="19"/>
        <v>12.130081300813009</v>
      </c>
      <c r="AE423" s="25">
        <f t="shared" si="20"/>
        <v>2.5090618085957727E-4</v>
      </c>
    </row>
    <row r="424" spans="1:31" x14ac:dyDescent="0.2">
      <c r="A424" s="1" t="s">
        <v>1186</v>
      </c>
      <c r="B424" s="1" t="s">
        <v>1247</v>
      </c>
      <c r="C424" s="1">
        <v>1206</v>
      </c>
      <c r="D424" s="1" t="s">
        <v>1253</v>
      </c>
      <c r="F424" s="1">
        <v>2023</v>
      </c>
      <c r="G424" s="5">
        <v>310</v>
      </c>
      <c r="H424" s="5">
        <v>275.08</v>
      </c>
      <c r="I424" s="5">
        <v>6866.48</v>
      </c>
      <c r="K424" s="5">
        <v>3.4000000000000002E-2</v>
      </c>
      <c r="L424" s="5">
        <v>6.9999999999999999E-4</v>
      </c>
      <c r="M424" s="5">
        <v>6448.9</v>
      </c>
      <c r="N424" s="6">
        <v>5.8999999999999997E-2</v>
      </c>
      <c r="O424" s="5">
        <v>38.226999999999997</v>
      </c>
      <c r="P424" s="6">
        <v>0.70009999999999994</v>
      </c>
      <c r="Q424" s="5">
        <v>109223.2</v>
      </c>
      <c r="R424" s="1" t="s">
        <v>44</v>
      </c>
      <c r="S424" s="1" t="s">
        <v>94</v>
      </c>
      <c r="T424" s="1" t="s">
        <v>93</v>
      </c>
      <c r="Y424" s="1" t="s">
        <v>1195</v>
      </c>
      <c r="Z424" s="1" t="str">
        <f t="shared" si="18"/>
        <v>1206 2G</v>
      </c>
      <c r="AA424" s="3">
        <f>IF(INDEX('CAMD Facility Data 2023'!$AA$2:$AE$10000,MATCH(Z424,'CAMD Facility Data 2023'!$AE$2:$AE$10000,0),1)&gt;0,INDEX('CAMD Facility Data 2023'!$AA$2:$AE$10000,MATCH(Z424,'CAMD Facility Data 2023'!$AE$2:$AE$10000,0),1),"")</f>
        <v>27546</v>
      </c>
      <c r="AB424" s="5">
        <f>IF(INDEX('CAMD Facility Data 2023'!$AC$2:$AE$10000,MATCH(Z424,'CAMD Facility Data 2023'!$AE$2:$AE$10000,0),1)&gt;0,INDEX('CAMD Facility Data 2023'!$AC$2:$AE$10000,MATCH(Z424,'CAMD Facility Data 2023'!$AE$2:$AE$10000,0),1),"")</f>
        <v>480</v>
      </c>
      <c r="AC424" s="1" t="str">
        <f>IF(INDEX('CAMD Facility Data 2023'!$AE$2:$AG$10000,MATCH(Z424,'CAMD Facility Data 2023'!$AE$2:$AE$10000,0),3)&gt;0,INDEX('CAMD Facility Data 2023'!$AE$2:$AG$10000,MATCH(Z424,'CAMD Facility Data 2023'!$AE$2:$AE$10000,0),3),"")</f>
        <v/>
      </c>
      <c r="AD424" s="20">
        <f t="shared" si="19"/>
        <v>11.134380352087241</v>
      </c>
      <c r="AE424" s="25">
        <f t="shared" si="20"/>
        <v>2.597583713850837E-2</v>
      </c>
    </row>
    <row r="425" spans="1:31" x14ac:dyDescent="0.2">
      <c r="A425" s="1" t="s">
        <v>1186</v>
      </c>
      <c r="B425" s="1" t="s">
        <v>1255</v>
      </c>
      <c r="C425" s="1">
        <v>1217</v>
      </c>
      <c r="D425" s="1">
        <v>1</v>
      </c>
      <c r="F425" s="1">
        <v>2023</v>
      </c>
      <c r="G425" s="5">
        <v>342</v>
      </c>
      <c r="H425" s="5">
        <v>326.16000000000003</v>
      </c>
      <c r="I425" s="5">
        <v>4830.54</v>
      </c>
      <c r="K425" s="5">
        <v>0.02</v>
      </c>
      <c r="L425" s="5">
        <v>1E-3</v>
      </c>
      <c r="M425" s="5">
        <v>3931.5360000000001</v>
      </c>
      <c r="N425" s="6">
        <v>6.0100000000000001E-2</v>
      </c>
      <c r="O425" s="5">
        <v>3.1419999999999999</v>
      </c>
      <c r="P425" s="6">
        <v>8.0799999999999997E-2</v>
      </c>
      <c r="Q425" s="5">
        <v>66156.982999999993</v>
      </c>
      <c r="R425" s="1" t="s">
        <v>44</v>
      </c>
      <c r="S425" s="1" t="s">
        <v>94</v>
      </c>
      <c r="T425" s="1" t="s">
        <v>89</v>
      </c>
      <c r="V425" s="1" t="s">
        <v>90</v>
      </c>
      <c r="Y425" s="1" t="s">
        <v>1207</v>
      </c>
      <c r="Z425" s="1" t="str">
        <f t="shared" si="18"/>
        <v>1217 1</v>
      </c>
      <c r="AA425" s="3">
        <f>IF(INDEX('CAMD Facility Data 2023'!$AA$2:$AE$10000,MATCH(Z425,'CAMD Facility Data 2023'!$AE$2:$AE$10000,0),1)&gt;0,INDEX('CAMD Facility Data 2023'!$AA$2:$AE$10000,MATCH(Z425,'CAMD Facility Data 2023'!$AE$2:$AE$10000,0),1),"")</f>
        <v>22065</v>
      </c>
      <c r="AB425" s="5">
        <f>IF(INDEX('CAMD Facility Data 2023'!$AC$2:$AE$10000,MATCH(Z425,'CAMD Facility Data 2023'!$AE$2:$AE$10000,0),1)&gt;0,INDEX('CAMD Facility Data 2023'!$AC$2:$AE$10000,MATCH(Z425,'CAMD Facility Data 2023'!$AE$2:$AE$10000,0),1),"")</f>
        <v>480</v>
      </c>
      <c r="AC425" s="1" t="str">
        <f>IF(INDEX('CAMD Facility Data 2023'!$AE$2:$AG$10000,MATCH(Z425,'CAMD Facility Data 2023'!$AE$2:$AE$10000,0),3)&gt;0,INDEX('CAMD Facility Data 2023'!$AE$2:$AG$10000,MATCH(Z425,'CAMD Facility Data 2023'!$AE$2:$AE$10000,0),3),"")</f>
        <v/>
      </c>
      <c r="AD425" s="20">
        <f t="shared" si="19"/>
        <v>1.3008897555966827</v>
      </c>
      <c r="AE425" s="25">
        <f t="shared" si="20"/>
        <v>1.5733681269025874E-2</v>
      </c>
    </row>
    <row r="426" spans="1:31" x14ac:dyDescent="0.2">
      <c r="A426" s="1" t="s">
        <v>1186</v>
      </c>
      <c r="B426" s="1" t="s">
        <v>1255</v>
      </c>
      <c r="C426" s="1">
        <v>1217</v>
      </c>
      <c r="D426" s="1">
        <v>2</v>
      </c>
      <c r="F426" s="1">
        <v>2023</v>
      </c>
      <c r="G426" s="5">
        <v>80</v>
      </c>
      <c r="H426" s="5">
        <v>64.760000000000005</v>
      </c>
      <c r="I426" s="5">
        <v>3210.93</v>
      </c>
      <c r="K426" s="5">
        <v>1.7000000000000001E-2</v>
      </c>
      <c r="L426" s="5">
        <v>1.1999999999999999E-3</v>
      </c>
      <c r="M426" s="5">
        <v>2670.6410000000001</v>
      </c>
      <c r="N426" s="6">
        <v>6.0499999999999998E-2</v>
      </c>
      <c r="O426" s="5">
        <v>0.624</v>
      </c>
      <c r="P426" s="6">
        <v>4.24E-2</v>
      </c>
      <c r="Q426" s="5">
        <v>44690.379000000001</v>
      </c>
      <c r="R426" s="1" t="s">
        <v>44</v>
      </c>
      <c r="S426" s="1" t="s">
        <v>94</v>
      </c>
      <c r="T426" s="1" t="s">
        <v>93</v>
      </c>
      <c r="V426" s="1" t="s">
        <v>183</v>
      </c>
      <c r="Y426" s="1" t="s">
        <v>1207</v>
      </c>
      <c r="Z426" s="1" t="str">
        <f t="shared" si="18"/>
        <v>1217 2</v>
      </c>
      <c r="AA426" s="3">
        <f>IF(INDEX('CAMD Facility Data 2023'!$AA$2:$AE$10000,MATCH(Z426,'CAMD Facility Data 2023'!$AE$2:$AE$10000,0),1)&gt;0,INDEX('CAMD Facility Data 2023'!$AA$2:$AE$10000,MATCH(Z426,'CAMD Facility Data 2023'!$AE$2:$AE$10000,0),1),"")</f>
        <v>38065</v>
      </c>
      <c r="AB426" s="5">
        <f>IF(INDEX('CAMD Facility Data 2023'!$AC$2:$AE$10000,MATCH(Z426,'CAMD Facility Data 2023'!$AE$2:$AE$10000,0),1)&gt;0,INDEX('CAMD Facility Data 2023'!$AC$2:$AE$10000,MATCH(Z426,'CAMD Facility Data 2023'!$AE$2:$AE$10000,0),1),"")</f>
        <v>1096.9000000000001</v>
      </c>
      <c r="AC426" s="1" t="str">
        <f>IF(INDEX('CAMD Facility Data 2023'!$AE$2:$AG$10000,MATCH(Z426,'CAMD Facility Data 2023'!$AE$2:$AE$10000,0),3)&gt;0,INDEX('CAMD Facility Data 2023'!$AE$2:$AG$10000,MATCH(Z426,'CAMD Facility Data 2023'!$AE$2:$AE$10000,0),3),"")</f>
        <v/>
      </c>
      <c r="AD426" s="20">
        <f t="shared" si="19"/>
        <v>0.38867244069475199</v>
      </c>
      <c r="AE426" s="25">
        <f t="shared" si="20"/>
        <v>4.6509631127323956E-3</v>
      </c>
    </row>
    <row r="427" spans="1:31" x14ac:dyDescent="0.2">
      <c r="A427" s="1" t="s">
        <v>225</v>
      </c>
      <c r="B427" s="1" t="s">
        <v>1261</v>
      </c>
      <c r="C427" s="1">
        <v>1230</v>
      </c>
      <c r="D427" s="1">
        <v>1</v>
      </c>
      <c r="F427" s="1">
        <v>2023</v>
      </c>
      <c r="G427" s="5">
        <v>960</v>
      </c>
      <c r="H427" s="5">
        <v>926.88</v>
      </c>
      <c r="I427" s="5">
        <v>26163.279999999999</v>
      </c>
      <c r="K427" s="5">
        <v>9.7000000000000003E-2</v>
      </c>
      <c r="L427" s="5">
        <v>1E-3</v>
      </c>
      <c r="M427" s="5">
        <v>19179.725999999999</v>
      </c>
      <c r="N427" s="6">
        <v>5.9200000000000003E-2</v>
      </c>
      <c r="O427" s="5">
        <v>38.238999999999997</v>
      </c>
      <c r="P427" s="6">
        <v>0.21679999999999999</v>
      </c>
      <c r="Q427" s="5">
        <v>322721.21000000002</v>
      </c>
      <c r="R427" s="1" t="s">
        <v>44</v>
      </c>
      <c r="T427" s="1" t="s">
        <v>89</v>
      </c>
      <c r="Y427" s="1" t="s">
        <v>35</v>
      </c>
      <c r="Z427" s="1" t="str">
        <f t="shared" si="18"/>
        <v>1230 1</v>
      </c>
      <c r="AA427" s="3">
        <f>IF(INDEX('CAMD Facility Data 2023'!$AA$2:$AE$10000,MATCH(Z427,'CAMD Facility Data 2023'!$AE$2:$AE$10000,0),1)&gt;0,INDEX('CAMD Facility Data 2023'!$AA$2:$AE$10000,MATCH(Z427,'CAMD Facility Data 2023'!$AE$2:$AE$10000,0),1),"")</f>
        <v>23287</v>
      </c>
      <c r="AB427" s="5">
        <f>IF(INDEX('CAMD Facility Data 2023'!$AC$2:$AE$10000,MATCH(Z427,'CAMD Facility Data 2023'!$AE$2:$AE$10000,0),1)&gt;0,INDEX('CAMD Facility Data 2023'!$AC$2:$AE$10000,MATCH(Z427,'CAMD Facility Data 2023'!$AE$2:$AE$10000,0),1),"")</f>
        <v>764</v>
      </c>
      <c r="AC427" s="1" t="str">
        <f>IF(INDEX('CAMD Facility Data 2023'!$AE$2:$AG$10000,MATCH(Z427,'CAMD Facility Data 2023'!$AE$2:$AE$10000,0),3)&gt;0,INDEX('CAMD Facility Data 2023'!$AE$2:$AG$10000,MATCH(Z427,'CAMD Facility Data 2023'!$AE$2:$AE$10000,0),3),"")</f>
        <v/>
      </c>
      <c r="AD427" s="20">
        <f t="shared" si="19"/>
        <v>2.9231044425622477</v>
      </c>
      <c r="AE427" s="25">
        <f t="shared" si="20"/>
        <v>4.8220315152167161E-2</v>
      </c>
    </row>
    <row r="428" spans="1:31" x14ac:dyDescent="0.2">
      <c r="A428" s="1" t="s">
        <v>225</v>
      </c>
      <c r="B428" s="1" t="s">
        <v>1265</v>
      </c>
      <c r="C428" s="1">
        <v>1233</v>
      </c>
      <c r="D428" s="1">
        <v>4</v>
      </c>
      <c r="F428" s="1">
        <v>2023</v>
      </c>
      <c r="G428" s="5">
        <v>1724</v>
      </c>
      <c r="H428" s="5">
        <v>1712.57</v>
      </c>
      <c r="I428" s="5">
        <v>118567.95</v>
      </c>
      <c r="K428" s="5">
        <v>0.38500000000000001</v>
      </c>
      <c r="L428" s="5">
        <v>1E-3</v>
      </c>
      <c r="M428" s="5">
        <v>76190.323000000004</v>
      </c>
      <c r="N428" s="6">
        <v>5.91E-2</v>
      </c>
      <c r="O428" s="5">
        <v>95.241</v>
      </c>
      <c r="P428" s="6">
        <v>0.1241</v>
      </c>
      <c r="Q428" s="5">
        <v>1282034.399</v>
      </c>
      <c r="R428" s="1" t="s">
        <v>44</v>
      </c>
      <c r="T428" s="1" t="s">
        <v>89</v>
      </c>
      <c r="Y428" s="1" t="s">
        <v>35</v>
      </c>
      <c r="Z428" s="1" t="str">
        <f t="shared" si="18"/>
        <v>1233 4</v>
      </c>
      <c r="AA428" s="3">
        <f>IF(INDEX('CAMD Facility Data 2023'!$AA$2:$AE$10000,MATCH(Z428,'CAMD Facility Data 2023'!$AE$2:$AE$10000,0),1)&gt;0,INDEX('CAMD Facility Data 2023'!$AA$2:$AE$10000,MATCH(Z428,'CAMD Facility Data 2023'!$AE$2:$AE$10000,0),1),"")</f>
        <v>25355</v>
      </c>
      <c r="AB428" s="5">
        <f>IF(INDEX('CAMD Facility Data 2023'!$AC$2:$AE$10000,MATCH(Z428,'CAMD Facility Data 2023'!$AE$2:$AE$10000,0),1)&gt;0,INDEX('CAMD Facility Data 2023'!$AC$2:$AE$10000,MATCH(Z428,'CAMD Facility Data 2023'!$AE$2:$AE$10000,0),1),"")</f>
        <v>1648</v>
      </c>
      <c r="AC428" s="1" t="str">
        <f>IF(INDEX('CAMD Facility Data 2023'!$AE$2:$AG$10000,MATCH(Z428,'CAMD Facility Data 2023'!$AE$2:$AE$10000,0),3)&gt;0,INDEX('CAMD Facility Data 2023'!$AE$2:$AG$10000,MATCH(Z428,'CAMD Facility Data 2023'!$AE$2:$AE$10000,0),3),"")</f>
        <v/>
      </c>
      <c r="AD428" s="20">
        <f t="shared" si="19"/>
        <v>1.6065218298874191</v>
      </c>
      <c r="AE428" s="25">
        <f t="shared" si="20"/>
        <v>8.8805193440506275E-2</v>
      </c>
    </row>
    <row r="429" spans="1:31" x14ac:dyDescent="0.2">
      <c r="A429" s="1" t="s">
        <v>225</v>
      </c>
      <c r="B429" s="1" t="s">
        <v>1269</v>
      </c>
      <c r="C429" s="1">
        <v>1235</v>
      </c>
      <c r="D429" s="1">
        <v>3</v>
      </c>
      <c r="F429" s="1">
        <v>2023</v>
      </c>
      <c r="G429" s="5">
        <v>1163</v>
      </c>
      <c r="H429" s="5">
        <v>1147.04</v>
      </c>
      <c r="I429" s="5">
        <v>37086.57</v>
      </c>
      <c r="K429" s="5">
        <v>0.123</v>
      </c>
      <c r="L429" s="5">
        <v>1E-3</v>
      </c>
      <c r="M429" s="5">
        <v>24362.913</v>
      </c>
      <c r="N429" s="6">
        <v>5.9400000000000001E-2</v>
      </c>
      <c r="O429" s="5">
        <v>31.387</v>
      </c>
      <c r="P429" s="6">
        <v>0.13300000000000001</v>
      </c>
      <c r="Q429" s="5">
        <v>409898.902</v>
      </c>
      <c r="R429" s="1" t="s">
        <v>44</v>
      </c>
      <c r="T429" s="1" t="s">
        <v>89</v>
      </c>
      <c r="Y429" s="1" t="s">
        <v>35</v>
      </c>
      <c r="Z429" s="1" t="str">
        <f t="shared" si="18"/>
        <v>1235 3</v>
      </c>
      <c r="AA429" s="3">
        <f>IF(INDEX('CAMD Facility Data 2023'!$AA$2:$AE$10000,MATCH(Z429,'CAMD Facility Data 2023'!$AE$2:$AE$10000,0),1)&gt;0,INDEX('CAMD Facility Data 2023'!$AA$2:$AE$10000,MATCH(Z429,'CAMD Facility Data 2023'!$AE$2:$AE$10000,0),1),"")</f>
        <v>23362</v>
      </c>
      <c r="AB429" s="5">
        <f>IF(INDEX('CAMD Facility Data 2023'!$AC$2:$AE$10000,MATCH(Z429,'CAMD Facility Data 2023'!$AE$2:$AE$10000,0),1)&gt;0,INDEX('CAMD Facility Data 2023'!$AC$2:$AE$10000,MATCH(Z429,'CAMD Facility Data 2023'!$AE$2:$AE$10000,0),1),"")</f>
        <v>1046.2</v>
      </c>
      <c r="AC429" s="1" t="str">
        <f>IF(INDEX('CAMD Facility Data 2023'!$AE$2:$AG$10000,MATCH(Z429,'CAMD Facility Data 2023'!$AE$2:$AE$10000,0),3)&gt;0,INDEX('CAMD Facility Data 2023'!$AE$2:$AG$10000,MATCH(Z429,'CAMD Facility Data 2023'!$AE$2:$AE$10000,0),3),"")</f>
        <v/>
      </c>
      <c r="AD429" s="20">
        <f t="shared" si="19"/>
        <v>1.6926342878297993</v>
      </c>
      <c r="AE429" s="25">
        <f t="shared" si="20"/>
        <v>4.4725781017450415E-2</v>
      </c>
    </row>
    <row r="430" spans="1:31" x14ac:dyDescent="0.2">
      <c r="A430" s="1" t="s">
        <v>225</v>
      </c>
      <c r="B430" s="1" t="s">
        <v>1273</v>
      </c>
      <c r="C430" s="1">
        <v>1239</v>
      </c>
      <c r="D430" s="1">
        <v>12</v>
      </c>
      <c r="F430" s="1">
        <v>2023</v>
      </c>
      <c r="G430" s="5">
        <v>5502</v>
      </c>
      <c r="H430" s="5">
        <v>5436.47</v>
      </c>
      <c r="I430" s="5">
        <v>1188051.98</v>
      </c>
      <c r="K430" s="5">
        <v>2.601</v>
      </c>
      <c r="L430" s="5">
        <v>1E-3</v>
      </c>
      <c r="M430" s="5">
        <v>515238.88199999998</v>
      </c>
      <c r="N430" s="6">
        <v>5.8999999999999997E-2</v>
      </c>
      <c r="O430" s="5">
        <v>112.455</v>
      </c>
      <c r="P430" s="6">
        <v>2.93E-2</v>
      </c>
      <c r="Q430" s="5">
        <v>8669782.4360000007</v>
      </c>
      <c r="R430" s="1" t="s">
        <v>44</v>
      </c>
      <c r="T430" s="1" t="s">
        <v>71</v>
      </c>
      <c r="V430" s="1" t="s">
        <v>223</v>
      </c>
      <c r="Y430" s="1" t="s">
        <v>35</v>
      </c>
      <c r="Z430" s="1" t="str">
        <f t="shared" si="18"/>
        <v>1239 12</v>
      </c>
      <c r="AA430" s="3">
        <f>IF(INDEX('CAMD Facility Data 2023'!$AA$2:$AE$10000,MATCH(Z430,'CAMD Facility Data 2023'!$AE$2:$AE$10000,0),1)&gt;0,INDEX('CAMD Facility Data 2023'!$AA$2:$AE$10000,MATCH(Z430,'CAMD Facility Data 2023'!$AE$2:$AE$10000,0),1),"")</f>
        <v>39093</v>
      </c>
      <c r="AB430" s="5">
        <f>IF(INDEX('CAMD Facility Data 2023'!$AC$2:$AE$10000,MATCH(Z430,'CAMD Facility Data 2023'!$AE$2:$AE$10000,0),1)&gt;0,INDEX('CAMD Facility Data 2023'!$AC$2:$AE$10000,MATCH(Z430,'CAMD Facility Data 2023'!$AE$2:$AE$10000,0),1),"")</f>
        <v>2085</v>
      </c>
      <c r="AC430" s="1" t="str">
        <f>IF(INDEX('CAMD Facility Data 2023'!$AE$2:$AG$10000,MATCH(Z430,'CAMD Facility Data 2023'!$AE$2:$AE$10000,0),3)&gt;0,INDEX('CAMD Facility Data 2023'!$AE$2:$AG$10000,MATCH(Z430,'CAMD Facility Data 2023'!$AE$2:$AE$10000,0),3),"")</f>
        <v>Y</v>
      </c>
      <c r="AD430" s="20">
        <f t="shared" si="19"/>
        <v>0.18930989871335427</v>
      </c>
      <c r="AE430" s="25">
        <f t="shared" si="20"/>
        <v>0.47467683037131941</v>
      </c>
    </row>
    <row r="431" spans="1:31" x14ac:dyDescent="0.2">
      <c r="A431" s="1" t="s">
        <v>225</v>
      </c>
      <c r="B431" s="1" t="s">
        <v>1279</v>
      </c>
      <c r="C431" s="1">
        <v>1240</v>
      </c>
      <c r="D431" s="1" t="s">
        <v>1280</v>
      </c>
      <c r="F431" s="1">
        <v>2023</v>
      </c>
      <c r="G431" s="5">
        <v>2012</v>
      </c>
      <c r="H431" s="5">
        <v>1807.16</v>
      </c>
      <c r="I431" s="5">
        <v>123442.8</v>
      </c>
      <c r="K431" s="5">
        <v>0.499</v>
      </c>
      <c r="L431" s="5">
        <v>1.2999999999999999E-3</v>
      </c>
      <c r="M431" s="5">
        <v>89508.036999999997</v>
      </c>
      <c r="N431" s="6">
        <v>5.9200000000000003E-2</v>
      </c>
      <c r="O431" s="5">
        <v>23.169</v>
      </c>
      <c r="P431" s="6">
        <v>4.0399999999999998E-2</v>
      </c>
      <c r="Q431" s="5">
        <v>1505170.548</v>
      </c>
      <c r="R431" s="1" t="s">
        <v>44</v>
      </c>
      <c r="S431" s="1" t="s">
        <v>94</v>
      </c>
      <c r="T431" s="1" t="s">
        <v>93</v>
      </c>
      <c r="Y431" s="1" t="s">
        <v>35</v>
      </c>
      <c r="Z431" s="1" t="str">
        <f t="shared" si="18"/>
        <v>1240 E1CT</v>
      </c>
      <c r="AA431" s="3">
        <f>IF(INDEX('CAMD Facility Data 2023'!$AA$2:$AE$10000,MATCH(Z431,'CAMD Facility Data 2023'!$AE$2:$AE$10000,0),1)&gt;0,INDEX('CAMD Facility Data 2023'!$AA$2:$AE$10000,MATCH(Z431,'CAMD Facility Data 2023'!$AE$2:$AE$10000,0),1),"")</f>
        <v>36685</v>
      </c>
      <c r="AB431" s="5">
        <f>IF(INDEX('CAMD Facility Data 2023'!$AC$2:$AE$10000,MATCH(Z431,'CAMD Facility Data 2023'!$AE$2:$AE$10000,0),1)&gt;0,INDEX('CAMD Facility Data 2023'!$AC$2:$AE$10000,MATCH(Z431,'CAMD Facility Data 2023'!$AE$2:$AE$10000,0),1),"")</f>
        <v>975</v>
      </c>
      <c r="AC431" s="1" t="str">
        <f>IF(INDEX('CAMD Facility Data 2023'!$AE$2:$AG$10000,MATCH(Z431,'CAMD Facility Data 2023'!$AE$2:$AE$10000,0),3)&gt;0,INDEX('CAMD Facility Data 2023'!$AE$2:$AG$10000,MATCH(Z431,'CAMD Facility Data 2023'!$AE$2:$AE$10000,0),3),"")</f>
        <v/>
      </c>
      <c r="AD431" s="20">
        <f t="shared" si="19"/>
        <v>0.37538033809991345</v>
      </c>
      <c r="AE431" s="25">
        <f t="shared" si="20"/>
        <v>0.17622884299262381</v>
      </c>
    </row>
    <row r="432" spans="1:31" x14ac:dyDescent="0.2">
      <c r="A432" s="1" t="s">
        <v>225</v>
      </c>
      <c r="B432" s="1" t="s">
        <v>1279</v>
      </c>
      <c r="C432" s="1">
        <v>1240</v>
      </c>
      <c r="D432" s="1" t="s">
        <v>1285</v>
      </c>
      <c r="F432" s="1">
        <v>2023</v>
      </c>
      <c r="G432" s="5">
        <v>1469</v>
      </c>
      <c r="H432" s="5">
        <v>1312.97</v>
      </c>
      <c r="I432" s="5">
        <v>82221.52</v>
      </c>
      <c r="K432" s="5">
        <v>0.51800000000000002</v>
      </c>
      <c r="L432" s="5">
        <v>1.4E-3</v>
      </c>
      <c r="M432" s="5">
        <v>61793.894999999997</v>
      </c>
      <c r="N432" s="6">
        <v>5.9299999999999999E-2</v>
      </c>
      <c r="O432" s="5">
        <v>19.87</v>
      </c>
      <c r="P432" s="6">
        <v>4.8899999999999999E-2</v>
      </c>
      <c r="Q432" s="5">
        <v>1035597.736</v>
      </c>
      <c r="R432" s="1" t="s">
        <v>44</v>
      </c>
      <c r="S432" s="1" t="s">
        <v>94</v>
      </c>
      <c r="T432" s="1" t="s">
        <v>93</v>
      </c>
      <c r="Y432" s="1" t="s">
        <v>35</v>
      </c>
      <c r="Z432" s="1" t="str">
        <f t="shared" si="18"/>
        <v>1240 E2CT</v>
      </c>
      <c r="AA432" s="3">
        <f>IF(INDEX('CAMD Facility Data 2023'!$AA$2:$AE$10000,MATCH(Z432,'CAMD Facility Data 2023'!$AE$2:$AE$10000,0),1)&gt;0,INDEX('CAMD Facility Data 2023'!$AA$2:$AE$10000,MATCH(Z432,'CAMD Facility Data 2023'!$AE$2:$AE$10000,0),1),"")</f>
        <v>36685</v>
      </c>
      <c r="AB432" s="5">
        <f>IF(INDEX('CAMD Facility Data 2023'!$AC$2:$AE$10000,MATCH(Z432,'CAMD Facility Data 2023'!$AE$2:$AE$10000,0),1)&gt;0,INDEX('CAMD Facility Data 2023'!$AC$2:$AE$10000,MATCH(Z432,'CAMD Facility Data 2023'!$AE$2:$AE$10000,0),1),"")</f>
        <v>975</v>
      </c>
      <c r="AC432" s="1" t="str">
        <f>IF(INDEX('CAMD Facility Data 2023'!$AE$2:$AG$10000,MATCH(Z432,'CAMD Facility Data 2023'!$AE$2:$AE$10000,0),3)&gt;0,INDEX('CAMD Facility Data 2023'!$AE$2:$AG$10000,MATCH(Z432,'CAMD Facility Data 2023'!$AE$2:$AE$10000,0),3),"")</f>
        <v/>
      </c>
      <c r="AD432" s="20">
        <f t="shared" si="19"/>
        <v>0.48332845221056481</v>
      </c>
      <c r="AE432" s="25">
        <f t="shared" si="20"/>
        <v>0.12125017398431097</v>
      </c>
    </row>
    <row r="433" spans="1:31" x14ac:dyDescent="0.2">
      <c r="A433" s="1" t="s">
        <v>225</v>
      </c>
      <c r="B433" s="1" t="s">
        <v>1279</v>
      </c>
      <c r="C433" s="1">
        <v>1240</v>
      </c>
      <c r="D433" s="1" t="s">
        <v>1287</v>
      </c>
      <c r="F433" s="1">
        <v>2023</v>
      </c>
      <c r="G433" s="5">
        <v>1952</v>
      </c>
      <c r="H433" s="5">
        <v>1755.86</v>
      </c>
      <c r="I433" s="5">
        <v>237634.18</v>
      </c>
      <c r="K433" s="5">
        <v>1.119</v>
      </c>
      <c r="L433" s="5">
        <v>1.2999999999999999E-3</v>
      </c>
      <c r="M433" s="5">
        <v>156576.304</v>
      </c>
      <c r="N433" s="6">
        <v>5.9200000000000003E-2</v>
      </c>
      <c r="O433" s="5">
        <v>47.237000000000002</v>
      </c>
      <c r="P433" s="6">
        <v>4.7399999999999998E-2</v>
      </c>
      <c r="Q433" s="5">
        <v>2628016.4109999998</v>
      </c>
      <c r="R433" s="1" t="s">
        <v>44</v>
      </c>
      <c r="S433" s="1" t="s">
        <v>94</v>
      </c>
      <c r="T433" s="1" t="s">
        <v>93</v>
      </c>
      <c r="Y433" s="1" t="s">
        <v>35</v>
      </c>
      <c r="Z433" s="1" t="str">
        <f t="shared" si="18"/>
        <v>1240 E3CT</v>
      </c>
      <c r="AA433" s="3">
        <f>IF(INDEX('CAMD Facility Data 2023'!$AA$2:$AE$10000,MATCH(Z433,'CAMD Facility Data 2023'!$AE$2:$AE$10000,0),1)&gt;0,INDEX('CAMD Facility Data 2023'!$AA$2:$AE$10000,MATCH(Z433,'CAMD Facility Data 2023'!$AE$2:$AE$10000,0),1),"")</f>
        <v>37063</v>
      </c>
      <c r="AB433" s="5">
        <f>IF(INDEX('CAMD Facility Data 2023'!$AC$2:$AE$10000,MATCH(Z433,'CAMD Facility Data 2023'!$AE$2:$AE$10000,0),1)&gt;0,INDEX('CAMD Facility Data 2023'!$AC$2:$AE$10000,MATCH(Z433,'CAMD Facility Data 2023'!$AE$2:$AE$10000,0),1),"")</f>
        <v>1860</v>
      </c>
      <c r="AC433" s="1" t="str">
        <f>IF(INDEX('CAMD Facility Data 2023'!$AE$2:$AG$10000,MATCH(Z433,'CAMD Facility Data 2023'!$AE$2:$AE$10000,0),3)&gt;0,INDEX('CAMD Facility Data 2023'!$AE$2:$AG$10000,MATCH(Z433,'CAMD Facility Data 2023'!$AE$2:$AE$10000,0),3),"")</f>
        <v/>
      </c>
      <c r="AD433" s="20">
        <f t="shared" si="19"/>
        <v>0.39756065394296392</v>
      </c>
      <c r="AE433" s="25">
        <f t="shared" si="20"/>
        <v>0.16129132978592819</v>
      </c>
    </row>
    <row r="434" spans="1:31" x14ac:dyDescent="0.2">
      <c r="A434" s="1" t="s">
        <v>225</v>
      </c>
      <c r="B434" s="1" t="s">
        <v>1289</v>
      </c>
      <c r="C434" s="1">
        <v>1241</v>
      </c>
      <c r="D434" s="1">
        <v>1</v>
      </c>
      <c r="F434" s="1">
        <v>2023</v>
      </c>
      <c r="G434" s="5">
        <v>6690</v>
      </c>
      <c r="H434" s="5">
        <v>6657.36</v>
      </c>
      <c r="I434" s="5">
        <v>4146925.53</v>
      </c>
      <c r="K434" s="5">
        <v>642.78800000000001</v>
      </c>
      <c r="L434" s="5">
        <v>3.1199999999999999E-2</v>
      </c>
      <c r="M434" s="5">
        <v>4093079.9180000001</v>
      </c>
      <c r="N434" s="6">
        <v>0.105</v>
      </c>
      <c r="O434" s="5">
        <v>1657.45</v>
      </c>
      <c r="P434" s="6">
        <v>0.1021</v>
      </c>
      <c r="Q434" s="5">
        <v>39026600.965000004</v>
      </c>
      <c r="R434" s="1" t="s">
        <v>55</v>
      </c>
      <c r="T434" s="1" t="s">
        <v>606</v>
      </c>
      <c r="U434" s="1" t="s">
        <v>56</v>
      </c>
      <c r="V434" s="1" t="s">
        <v>1010</v>
      </c>
      <c r="W434" s="1" t="s">
        <v>232</v>
      </c>
      <c r="X434" s="1" t="s">
        <v>214</v>
      </c>
      <c r="Y434" s="1" t="s">
        <v>54</v>
      </c>
      <c r="Z434" s="1" t="str">
        <f t="shared" si="18"/>
        <v>1241 1</v>
      </c>
      <c r="AA434" s="3">
        <f>IF(INDEX('CAMD Facility Data 2023'!$AA$2:$AE$10000,MATCH(Z434,'CAMD Facility Data 2023'!$AE$2:$AE$10000,0),1)&gt;0,INDEX('CAMD Facility Data 2023'!$AA$2:$AE$10000,MATCH(Z434,'CAMD Facility Data 2023'!$AE$2:$AE$10000,0),1),"")</f>
        <v>26724</v>
      </c>
      <c r="AB434" s="5">
        <f>IF(INDEX('CAMD Facility Data 2023'!$AC$2:$AE$10000,MATCH(Z434,'CAMD Facility Data 2023'!$AE$2:$AE$10000,0),1)&gt;0,INDEX('CAMD Facility Data 2023'!$AC$2:$AE$10000,MATCH(Z434,'CAMD Facility Data 2023'!$AE$2:$AE$10000,0),1),"")</f>
        <v>8850</v>
      </c>
      <c r="AC434" s="1" t="str">
        <f>IF(INDEX('CAMD Facility Data 2023'!$AE$2:$AG$10000,MATCH(Z434,'CAMD Facility Data 2023'!$AE$2:$AE$10000,0),3)&gt;0,INDEX('CAMD Facility Data 2023'!$AE$2:$AG$10000,MATCH(Z434,'CAMD Facility Data 2023'!$AE$2:$AE$10000,0),3),"")</f>
        <v>Y</v>
      </c>
      <c r="AD434" s="20">
        <f t="shared" si="19"/>
        <v>0.79936328154896963</v>
      </c>
      <c r="AE434" s="25">
        <f t="shared" si="20"/>
        <v>0.50340016207465887</v>
      </c>
    </row>
    <row r="435" spans="1:31" x14ac:dyDescent="0.2">
      <c r="A435" s="1" t="s">
        <v>225</v>
      </c>
      <c r="B435" s="1" t="s">
        <v>1289</v>
      </c>
      <c r="C435" s="1">
        <v>1241</v>
      </c>
      <c r="D435" s="1">
        <v>2</v>
      </c>
      <c r="F435" s="1">
        <v>2023</v>
      </c>
      <c r="G435" s="5">
        <v>6018</v>
      </c>
      <c r="H435" s="5">
        <v>6002.32</v>
      </c>
      <c r="I435" s="5">
        <v>3132578.69</v>
      </c>
      <c r="K435" s="5">
        <v>282.25</v>
      </c>
      <c r="L435" s="5">
        <v>1.6500000000000001E-2</v>
      </c>
      <c r="M435" s="5">
        <v>3244494.9360000002</v>
      </c>
      <c r="N435" s="6">
        <v>0.10440000000000001</v>
      </c>
      <c r="O435" s="5">
        <v>1042.5350000000001</v>
      </c>
      <c r="P435" s="6">
        <v>6.7599999999999993E-2</v>
      </c>
      <c r="Q435" s="5">
        <v>30943168.493000001</v>
      </c>
      <c r="R435" s="1" t="s">
        <v>55</v>
      </c>
      <c r="S435" s="1" t="s">
        <v>1292</v>
      </c>
      <c r="T435" s="1" t="s">
        <v>89</v>
      </c>
      <c r="U435" s="1" t="s">
        <v>56</v>
      </c>
      <c r="V435" s="1" t="s">
        <v>1293</v>
      </c>
      <c r="W435" s="1" t="s">
        <v>232</v>
      </c>
      <c r="X435" s="1" t="s">
        <v>214</v>
      </c>
      <c r="Y435" s="1" t="s">
        <v>54</v>
      </c>
      <c r="Z435" s="1" t="str">
        <f t="shared" si="18"/>
        <v>1241 2</v>
      </c>
      <c r="AA435" s="3">
        <f>IF(INDEX('CAMD Facility Data 2023'!$AA$2:$AE$10000,MATCH(Z435,'CAMD Facility Data 2023'!$AE$2:$AE$10000,0),1)&gt;0,INDEX('CAMD Facility Data 2023'!$AA$2:$AE$10000,MATCH(Z435,'CAMD Facility Data 2023'!$AE$2:$AE$10000,0),1),"")</f>
        <v>28157</v>
      </c>
      <c r="AB435" s="5">
        <f>IF(INDEX('CAMD Facility Data 2023'!$AC$2:$AE$10000,MATCH(Z435,'CAMD Facility Data 2023'!$AE$2:$AE$10000,0),1)&gt;0,INDEX('CAMD Facility Data 2023'!$AC$2:$AE$10000,MATCH(Z435,'CAMD Facility Data 2023'!$AE$2:$AE$10000,0),1),"")</f>
        <v>7700</v>
      </c>
      <c r="AC435" s="1" t="str">
        <f>IF(INDEX('CAMD Facility Data 2023'!$AE$2:$AG$10000,MATCH(Z435,'CAMD Facility Data 2023'!$AE$2:$AE$10000,0),3)&gt;0,INDEX('CAMD Facility Data 2023'!$AE$2:$AG$10000,MATCH(Z435,'CAMD Facility Data 2023'!$AE$2:$AE$10000,0),3),"")</f>
        <v>Y</v>
      </c>
      <c r="AD435" s="20">
        <f t="shared" si="19"/>
        <v>0.66560817982197285</v>
      </c>
      <c r="AE435" s="25">
        <f t="shared" si="20"/>
        <v>0.45874352862776496</v>
      </c>
    </row>
    <row r="436" spans="1:31" x14ac:dyDescent="0.2">
      <c r="A436" s="1" t="s">
        <v>225</v>
      </c>
      <c r="B436" s="1" t="s">
        <v>1295</v>
      </c>
      <c r="C436" s="1">
        <v>1248</v>
      </c>
      <c r="D436" s="1" t="s">
        <v>1296</v>
      </c>
      <c r="F436" s="1">
        <v>2023</v>
      </c>
      <c r="G436" s="5">
        <v>635</v>
      </c>
      <c r="H436" s="5">
        <v>531.54999999999995</v>
      </c>
      <c r="I436" s="5">
        <v>6807.24</v>
      </c>
      <c r="K436" s="5">
        <v>4.4999999999999998E-2</v>
      </c>
      <c r="L436" s="5">
        <v>1E-3</v>
      </c>
      <c r="O436" s="5">
        <v>12.941000000000001</v>
      </c>
      <c r="P436" s="6">
        <v>0.16439999999999999</v>
      </c>
      <c r="Q436" s="5">
        <v>148669.734</v>
      </c>
      <c r="R436" s="1" t="s">
        <v>44</v>
      </c>
      <c r="S436" s="1" t="s">
        <v>94</v>
      </c>
      <c r="T436" s="1" t="s">
        <v>93</v>
      </c>
      <c r="Y436" s="1" t="s">
        <v>133</v>
      </c>
      <c r="Z436" s="1" t="str">
        <f t="shared" si="18"/>
        <v>1248 CT-1</v>
      </c>
      <c r="AA436" s="3">
        <f>IF(INDEX('CAMD Facility Data 2023'!$AA$2:$AE$10000,MATCH(Z436,'CAMD Facility Data 2023'!$AE$2:$AE$10000,0),1)&gt;0,INDEX('CAMD Facility Data 2023'!$AA$2:$AE$10000,MATCH(Z436,'CAMD Facility Data 2023'!$AE$2:$AE$10000,0),1),"")</f>
        <v>27179</v>
      </c>
      <c r="AB436" s="5">
        <f>IF(INDEX('CAMD Facility Data 2023'!$AC$2:$AE$10000,MATCH(Z436,'CAMD Facility Data 2023'!$AE$2:$AE$10000,0),1)&gt;0,INDEX('CAMD Facility Data 2023'!$AC$2:$AE$10000,MATCH(Z436,'CAMD Facility Data 2023'!$AE$2:$AE$10000,0),1),"")</f>
        <v>775</v>
      </c>
      <c r="AC436" s="1" t="str">
        <f>IF(INDEX('CAMD Facility Data 2023'!$AE$2:$AG$10000,MATCH(Z436,'CAMD Facility Data 2023'!$AE$2:$AE$10000,0),3)&gt;0,INDEX('CAMD Facility Data 2023'!$AE$2:$AG$10000,MATCH(Z436,'CAMD Facility Data 2023'!$AE$2:$AE$10000,0),3),"")</f>
        <v/>
      </c>
      <c r="AD436" s="20">
        <f t="shared" si="19"/>
        <v>3.8021283221981301</v>
      </c>
      <c r="AE436" s="25">
        <f t="shared" si="20"/>
        <v>2.1898620415377816E-2</v>
      </c>
    </row>
    <row r="437" spans="1:31" x14ac:dyDescent="0.2">
      <c r="A437" s="1" t="s">
        <v>225</v>
      </c>
      <c r="B437" s="1" t="s">
        <v>1295</v>
      </c>
      <c r="C437" s="1">
        <v>1248</v>
      </c>
      <c r="D437" s="1" t="s">
        <v>1300</v>
      </c>
      <c r="F437" s="1">
        <v>2023</v>
      </c>
      <c r="G437" s="5">
        <v>704</v>
      </c>
      <c r="H437" s="5">
        <v>594.22</v>
      </c>
      <c r="I437" s="5">
        <v>7885.07</v>
      </c>
      <c r="K437" s="5">
        <v>4.7E-2</v>
      </c>
      <c r="L437" s="5">
        <v>1E-3</v>
      </c>
      <c r="O437" s="5">
        <v>16.216999999999999</v>
      </c>
      <c r="P437" s="6">
        <v>0.1991</v>
      </c>
      <c r="Q437" s="5">
        <v>152669.443</v>
      </c>
      <c r="R437" s="1" t="s">
        <v>44</v>
      </c>
      <c r="S437" s="1" t="s">
        <v>94</v>
      </c>
      <c r="T437" s="1" t="s">
        <v>93</v>
      </c>
      <c r="Y437" s="1" t="s">
        <v>133</v>
      </c>
      <c r="Z437" s="1" t="str">
        <f t="shared" si="18"/>
        <v>1248 CT-2</v>
      </c>
      <c r="AA437" s="3">
        <f>IF(INDEX('CAMD Facility Data 2023'!$AA$2:$AE$10000,MATCH(Z437,'CAMD Facility Data 2023'!$AE$2:$AE$10000,0),1)&gt;0,INDEX('CAMD Facility Data 2023'!$AA$2:$AE$10000,MATCH(Z437,'CAMD Facility Data 2023'!$AE$2:$AE$10000,0),1),"")</f>
        <v>27167</v>
      </c>
      <c r="AB437" s="5">
        <f>IF(INDEX('CAMD Facility Data 2023'!$AC$2:$AE$10000,MATCH(Z437,'CAMD Facility Data 2023'!$AE$2:$AE$10000,0),1)&gt;0,INDEX('CAMD Facility Data 2023'!$AC$2:$AE$10000,MATCH(Z437,'CAMD Facility Data 2023'!$AE$2:$AE$10000,0),1),"")</f>
        <v>775</v>
      </c>
      <c r="AC437" s="1" t="str">
        <f>IF(INDEX('CAMD Facility Data 2023'!$AE$2:$AG$10000,MATCH(Z437,'CAMD Facility Data 2023'!$AE$2:$AE$10000,0),3)&gt;0,INDEX('CAMD Facility Data 2023'!$AE$2:$AG$10000,MATCH(Z437,'CAMD Facility Data 2023'!$AE$2:$AE$10000,0),3),"")</f>
        <v/>
      </c>
      <c r="AD437" s="20">
        <f t="shared" si="19"/>
        <v>4.1133433184486625</v>
      </c>
      <c r="AE437" s="25">
        <f t="shared" si="20"/>
        <v>2.2487765944910885E-2</v>
      </c>
    </row>
    <row r="438" spans="1:31" x14ac:dyDescent="0.2">
      <c r="A438" s="1" t="s">
        <v>225</v>
      </c>
      <c r="B438" s="1" t="s">
        <v>1295</v>
      </c>
      <c r="C438" s="1">
        <v>1248</v>
      </c>
      <c r="D438" s="1" t="s">
        <v>1302</v>
      </c>
      <c r="F438" s="1">
        <v>2023</v>
      </c>
      <c r="G438" s="5">
        <v>650</v>
      </c>
      <c r="H438" s="5">
        <v>536.98</v>
      </c>
      <c r="I438" s="5">
        <v>6971.5</v>
      </c>
      <c r="K438" s="5">
        <v>4.4999999999999998E-2</v>
      </c>
      <c r="L438" s="5">
        <v>1E-3</v>
      </c>
      <c r="O438" s="5">
        <v>13.728999999999999</v>
      </c>
      <c r="P438" s="6">
        <v>0.1754</v>
      </c>
      <c r="Q438" s="5">
        <v>147102.07500000001</v>
      </c>
      <c r="R438" s="1" t="s">
        <v>44</v>
      </c>
      <c r="S438" s="1" t="s">
        <v>94</v>
      </c>
      <c r="T438" s="1" t="s">
        <v>93</v>
      </c>
      <c r="Y438" s="1" t="s">
        <v>133</v>
      </c>
      <c r="Z438" s="1" t="str">
        <f t="shared" si="18"/>
        <v>1248 CT-3</v>
      </c>
      <c r="AA438" s="3">
        <f>IF(INDEX('CAMD Facility Data 2023'!$AA$2:$AE$10000,MATCH(Z438,'CAMD Facility Data 2023'!$AE$2:$AE$10000,0),1)&gt;0,INDEX('CAMD Facility Data 2023'!$AA$2:$AE$10000,MATCH(Z438,'CAMD Facility Data 2023'!$AE$2:$AE$10000,0),1),"")</f>
        <v>27160</v>
      </c>
      <c r="AB438" s="5">
        <f>IF(INDEX('CAMD Facility Data 2023'!$AC$2:$AE$10000,MATCH(Z438,'CAMD Facility Data 2023'!$AE$2:$AE$10000,0),1)&gt;0,INDEX('CAMD Facility Data 2023'!$AC$2:$AE$10000,MATCH(Z438,'CAMD Facility Data 2023'!$AE$2:$AE$10000,0),1),"")</f>
        <v>775</v>
      </c>
      <c r="AC438" s="1" t="str">
        <f>IF(INDEX('CAMD Facility Data 2023'!$AE$2:$AG$10000,MATCH(Z438,'CAMD Facility Data 2023'!$AE$2:$AE$10000,0),3)&gt;0,INDEX('CAMD Facility Data 2023'!$AE$2:$AG$10000,MATCH(Z438,'CAMD Facility Data 2023'!$AE$2:$AE$10000,0),3),"")</f>
        <v/>
      </c>
      <c r="AD438" s="20">
        <f t="shared" si="19"/>
        <v>3.9386071864017786</v>
      </c>
      <c r="AE438" s="25">
        <f t="shared" si="20"/>
        <v>2.1667708793636768E-2</v>
      </c>
    </row>
    <row r="439" spans="1:31" x14ac:dyDescent="0.2">
      <c r="A439" s="1" t="s">
        <v>225</v>
      </c>
      <c r="B439" s="1" t="s">
        <v>1295</v>
      </c>
      <c r="C439" s="1">
        <v>1248</v>
      </c>
      <c r="D439" s="1" t="s">
        <v>1304</v>
      </c>
      <c r="F439" s="1">
        <v>2023</v>
      </c>
      <c r="G439" s="5">
        <v>222</v>
      </c>
      <c r="H439" s="5">
        <v>184.25</v>
      </c>
      <c r="I439" s="5">
        <v>3160</v>
      </c>
      <c r="K439" s="5">
        <v>53.526000000000003</v>
      </c>
      <c r="L439" s="5">
        <v>0.5</v>
      </c>
      <c r="O439" s="5">
        <v>128.459</v>
      </c>
      <c r="P439" s="6">
        <v>1.2</v>
      </c>
      <c r="Q439" s="5">
        <v>214098.7</v>
      </c>
      <c r="R439" s="1" t="s">
        <v>94</v>
      </c>
      <c r="T439" s="1" t="s">
        <v>93</v>
      </c>
      <c r="Y439" s="1" t="s">
        <v>133</v>
      </c>
      <c r="Z439" s="1" t="str">
        <f t="shared" si="18"/>
        <v>1248 CT-4</v>
      </c>
      <c r="AA439" s="3">
        <f>IF(INDEX('CAMD Facility Data 2023'!$AA$2:$AE$10000,MATCH(Z439,'CAMD Facility Data 2023'!$AE$2:$AE$10000,0),1)&gt;0,INDEX('CAMD Facility Data 2023'!$AA$2:$AE$10000,MATCH(Z439,'CAMD Facility Data 2023'!$AE$2:$AE$10000,0),1),"")</f>
        <v>27573</v>
      </c>
      <c r="AB439" s="5">
        <f>IF(INDEX('CAMD Facility Data 2023'!$AC$2:$AE$10000,MATCH(Z439,'CAMD Facility Data 2023'!$AE$2:$AE$10000,0),1)&gt;0,INDEX('CAMD Facility Data 2023'!$AC$2:$AE$10000,MATCH(Z439,'CAMD Facility Data 2023'!$AE$2:$AE$10000,0),1),"")</f>
        <v>1162</v>
      </c>
      <c r="AC439" s="1" t="str">
        <f>IF(INDEX('CAMD Facility Data 2023'!$AE$2:$AG$10000,MATCH(Z439,'CAMD Facility Data 2023'!$AE$2:$AE$10000,0),3)&gt;0,INDEX('CAMD Facility Data 2023'!$AE$2:$AG$10000,MATCH(Z439,'CAMD Facility Data 2023'!$AE$2:$AE$10000,0),3),"")</f>
        <v/>
      </c>
      <c r="AD439" s="20">
        <f t="shared" si="19"/>
        <v>81.303164556962031</v>
      </c>
      <c r="AE439" s="25">
        <f t="shared" si="20"/>
        <v>2.103312467089493E-2</v>
      </c>
    </row>
    <row r="440" spans="1:31" x14ac:dyDescent="0.2">
      <c r="A440" s="1" t="s">
        <v>225</v>
      </c>
      <c r="B440" s="1" t="s">
        <v>1306</v>
      </c>
      <c r="C440" s="1">
        <v>1250</v>
      </c>
      <c r="D440" s="1">
        <v>4</v>
      </c>
      <c r="E440" s="1" t="s">
        <v>1307</v>
      </c>
      <c r="F440" s="1">
        <v>2023</v>
      </c>
      <c r="G440" s="5">
        <v>5325</v>
      </c>
      <c r="H440" s="5">
        <v>5286.94</v>
      </c>
      <c r="I440" s="5">
        <v>384590.99</v>
      </c>
      <c r="K440" s="5">
        <v>47.167999999999999</v>
      </c>
      <c r="L440" s="5">
        <v>2.0899999999999998E-2</v>
      </c>
      <c r="M440" s="5">
        <v>417157.783</v>
      </c>
      <c r="N440" s="6">
        <v>0.1031</v>
      </c>
      <c r="O440" s="5">
        <v>297.49400000000003</v>
      </c>
      <c r="P440" s="6">
        <v>0.14580000000000001</v>
      </c>
      <c r="Q440" s="5">
        <v>3994620.35</v>
      </c>
      <c r="R440" s="1" t="s">
        <v>55</v>
      </c>
      <c r="S440" s="1" t="s">
        <v>44</v>
      </c>
      <c r="T440" s="1" t="s">
        <v>43</v>
      </c>
      <c r="U440" s="1" t="s">
        <v>56</v>
      </c>
      <c r="V440" s="1" t="s">
        <v>213</v>
      </c>
      <c r="W440" s="1" t="s">
        <v>1310</v>
      </c>
      <c r="Y440" s="1" t="s">
        <v>54</v>
      </c>
      <c r="Z440" s="1" t="str">
        <f t="shared" si="18"/>
        <v>1250 4</v>
      </c>
      <c r="AA440" s="3">
        <f>IF(INDEX('CAMD Facility Data 2023'!$AA$2:$AE$10000,MATCH(Z440,'CAMD Facility Data 2023'!$AE$2:$AE$10000,0),1)&gt;0,INDEX('CAMD Facility Data 2023'!$AA$2:$AE$10000,MATCH(Z440,'CAMD Facility Data 2023'!$AE$2:$AE$10000,0),1),"")</f>
        <v>21986</v>
      </c>
      <c r="AB440" s="5">
        <f>IF(INDEX('CAMD Facility Data 2023'!$AC$2:$AE$10000,MATCH(Z440,'CAMD Facility Data 2023'!$AE$2:$AE$10000,0),1)&gt;0,INDEX('CAMD Facility Data 2023'!$AC$2:$AE$10000,MATCH(Z440,'CAMD Facility Data 2023'!$AE$2:$AE$10000,0),1),"")</f>
        <v>1409</v>
      </c>
      <c r="AC440" s="1" t="str">
        <f>IF(INDEX('CAMD Facility Data 2023'!$AE$2:$AG$10000,MATCH(Z440,'CAMD Facility Data 2023'!$AE$2:$AE$10000,0),3)&gt;0,INDEX('CAMD Facility Data 2023'!$AE$2:$AG$10000,MATCH(Z440,'CAMD Facility Data 2023'!$AE$2:$AE$10000,0),3),"")</f>
        <v/>
      </c>
      <c r="AD440" s="20">
        <f t="shared" si="19"/>
        <v>1.5470669242667385</v>
      </c>
      <c r="AE440" s="25">
        <f t="shared" si="20"/>
        <v>0.32363867229908189</v>
      </c>
    </row>
    <row r="441" spans="1:31" x14ac:dyDescent="0.2">
      <c r="A441" s="1" t="s">
        <v>225</v>
      </c>
      <c r="B441" s="1" t="s">
        <v>1306</v>
      </c>
      <c r="C441" s="1">
        <v>1250</v>
      </c>
      <c r="D441" s="1">
        <v>5</v>
      </c>
      <c r="F441" s="1">
        <v>2023</v>
      </c>
      <c r="G441" s="5">
        <v>7123</v>
      </c>
      <c r="H441" s="5">
        <v>7080.7</v>
      </c>
      <c r="I441" s="5">
        <v>1520288.17</v>
      </c>
      <c r="K441" s="5">
        <v>225.24700000000001</v>
      </c>
      <c r="L441" s="5">
        <v>2.5499999999999998E-2</v>
      </c>
      <c r="M441" s="5">
        <v>1584221.591</v>
      </c>
      <c r="N441" s="6">
        <v>0.105</v>
      </c>
      <c r="O441" s="5">
        <v>935.85400000000004</v>
      </c>
      <c r="P441" s="6">
        <v>0.1167</v>
      </c>
      <c r="Q441" s="5">
        <v>15105083.566</v>
      </c>
      <c r="R441" s="1" t="s">
        <v>55</v>
      </c>
      <c r="S441" s="1" t="s">
        <v>44</v>
      </c>
      <c r="T441" s="1" t="s">
        <v>43</v>
      </c>
      <c r="U441" s="1" t="s">
        <v>56</v>
      </c>
      <c r="V441" s="1" t="s">
        <v>213</v>
      </c>
      <c r="W441" s="1" t="s">
        <v>1310</v>
      </c>
      <c r="Y441" s="1" t="s">
        <v>54</v>
      </c>
      <c r="Z441" s="1" t="str">
        <f t="shared" si="18"/>
        <v>1250 5</v>
      </c>
      <c r="AA441" s="3">
        <f>IF(INDEX('CAMD Facility Data 2023'!$AA$2:$AE$10000,MATCH(Z441,'CAMD Facility Data 2023'!$AE$2:$AE$10000,0),1)&gt;0,INDEX('CAMD Facility Data 2023'!$AA$2:$AE$10000,MATCH(Z441,'CAMD Facility Data 2023'!$AE$2:$AE$10000,0),1),"")</f>
        <v>26084</v>
      </c>
      <c r="AB441" s="5">
        <f>IF(INDEX('CAMD Facility Data 2023'!$AC$2:$AE$10000,MATCH(Z441,'CAMD Facility Data 2023'!$AE$2:$AE$10000,0),1)&gt;0,INDEX('CAMD Facility Data 2023'!$AC$2:$AE$10000,MATCH(Z441,'CAMD Facility Data 2023'!$AE$2:$AE$10000,0),1),"")</f>
        <v>4318</v>
      </c>
      <c r="AC441" s="1" t="str">
        <f>IF(INDEX('CAMD Facility Data 2023'!$AE$2:$AG$10000,MATCH(Z441,'CAMD Facility Data 2023'!$AE$2:$AE$10000,0),3)&gt;0,INDEX('CAMD Facility Data 2023'!$AE$2:$AG$10000,MATCH(Z441,'CAMD Facility Data 2023'!$AE$2:$AE$10000,0),3),"")</f>
        <v/>
      </c>
      <c r="AD441" s="20">
        <f t="shared" si="19"/>
        <v>1.2311534332336482</v>
      </c>
      <c r="AE441" s="25">
        <f t="shared" si="20"/>
        <v>0.39933409170700962</v>
      </c>
    </row>
    <row r="442" spans="1:31" x14ac:dyDescent="0.2">
      <c r="A442" s="1" t="s">
        <v>225</v>
      </c>
      <c r="B442" s="1" t="s">
        <v>1313</v>
      </c>
      <c r="C442" s="1">
        <v>1268</v>
      </c>
      <c r="D442" s="1">
        <v>14</v>
      </c>
      <c r="F442" s="1">
        <v>2023</v>
      </c>
      <c r="G442" s="5">
        <v>2123</v>
      </c>
      <c r="H442" s="5">
        <v>2036.14</v>
      </c>
      <c r="I442" s="5">
        <v>81122.89</v>
      </c>
      <c r="K442" s="5">
        <v>0.312</v>
      </c>
      <c r="L442" s="5">
        <v>1E-3</v>
      </c>
      <c r="M442" s="5">
        <v>61723.540999999997</v>
      </c>
      <c r="N442" s="6">
        <v>5.8799999999999998E-2</v>
      </c>
      <c r="O442" s="5">
        <v>44.546999999999997</v>
      </c>
      <c r="P442" s="6">
        <v>8.7499999999999994E-2</v>
      </c>
      <c r="Q442" s="5">
        <v>1038667.007</v>
      </c>
      <c r="R442" s="1" t="s">
        <v>44</v>
      </c>
      <c r="T442" s="1" t="s">
        <v>93</v>
      </c>
      <c r="V442" s="1" t="s">
        <v>140</v>
      </c>
      <c r="Y442" s="1" t="s">
        <v>35</v>
      </c>
      <c r="Z442" s="1" t="str">
        <f t="shared" si="18"/>
        <v>1268 14</v>
      </c>
      <c r="AA442" s="3">
        <f>IF(INDEX('CAMD Facility Data 2023'!$AA$2:$AE$10000,MATCH(Z442,'CAMD Facility Data 2023'!$AE$2:$AE$10000,0),1)&gt;0,INDEX('CAMD Facility Data 2023'!$AA$2:$AE$10000,MATCH(Z442,'CAMD Facility Data 2023'!$AE$2:$AE$10000,0),1),"")</f>
        <v>37073</v>
      </c>
      <c r="AB442" s="5">
        <f>IF(INDEX('CAMD Facility Data 2023'!$AC$2:$AE$10000,MATCH(Z442,'CAMD Facility Data 2023'!$AE$2:$AE$10000,0),1)&gt;0,INDEX('CAMD Facility Data 2023'!$AC$2:$AE$10000,MATCH(Z442,'CAMD Facility Data 2023'!$AE$2:$AE$10000,0),1),"")</f>
        <v>640</v>
      </c>
      <c r="AC442" s="1" t="str">
        <f>IF(INDEX('CAMD Facility Data 2023'!$AE$2:$AG$10000,MATCH(Z442,'CAMD Facility Data 2023'!$AE$2:$AE$10000,0),3)&gt;0,INDEX('CAMD Facility Data 2023'!$AE$2:$AG$10000,MATCH(Z442,'CAMD Facility Data 2023'!$AE$2:$AE$10000,0),3),"")</f>
        <v/>
      </c>
      <c r="AD442" s="20">
        <f t="shared" si="19"/>
        <v>1.0982596897127308</v>
      </c>
      <c r="AE442" s="25">
        <f t="shared" si="20"/>
        <v>0.18526452036957763</v>
      </c>
    </row>
    <row r="443" spans="1:31" x14ac:dyDescent="0.2">
      <c r="A443" s="1" t="s">
        <v>225</v>
      </c>
      <c r="B443" s="1" t="s">
        <v>1318</v>
      </c>
      <c r="C443" s="1">
        <v>1271</v>
      </c>
      <c r="D443" s="1">
        <v>4</v>
      </c>
      <c r="F443" s="1">
        <v>2023</v>
      </c>
      <c r="G443" s="5">
        <v>770</v>
      </c>
      <c r="H443" s="5">
        <v>712.07</v>
      </c>
      <c r="I443" s="5">
        <v>11711.92</v>
      </c>
      <c r="K443" s="5">
        <v>4.2000000000000003E-2</v>
      </c>
      <c r="L443" s="5">
        <v>8.9999999999999998E-4</v>
      </c>
      <c r="M443" s="5">
        <v>8248.34</v>
      </c>
      <c r="N443" s="6">
        <v>5.6099999999999997E-2</v>
      </c>
      <c r="O443" s="5">
        <v>9.7439999999999998</v>
      </c>
      <c r="P443" s="6">
        <v>0.124</v>
      </c>
      <c r="Q443" s="5">
        <v>138796.40299999999</v>
      </c>
      <c r="R443" s="1" t="s">
        <v>44</v>
      </c>
      <c r="T443" s="1" t="s">
        <v>89</v>
      </c>
      <c r="Y443" s="1" t="s">
        <v>35</v>
      </c>
      <c r="Z443" s="1" t="str">
        <f t="shared" si="18"/>
        <v>1271 4</v>
      </c>
      <c r="AA443" s="3">
        <f>IF(INDEX('CAMD Facility Data 2023'!$AA$2:$AE$10000,MATCH(Z443,'CAMD Facility Data 2023'!$AE$2:$AE$10000,0),1)&gt;0,INDEX('CAMD Facility Data 2023'!$AA$2:$AE$10000,MATCH(Z443,'CAMD Facility Data 2023'!$AE$2:$AE$10000,0),1),"")</f>
        <v>26665</v>
      </c>
      <c r="AB443" s="5">
        <f>IF(INDEX('CAMD Facility Data 2023'!$AC$2:$AE$10000,MATCH(Z443,'CAMD Facility Data 2023'!$AE$2:$AE$10000,0),1)&gt;0,INDEX('CAMD Facility Data 2023'!$AC$2:$AE$10000,MATCH(Z443,'CAMD Facility Data 2023'!$AE$2:$AE$10000,0),1),"")</f>
        <v>510</v>
      </c>
      <c r="AC443" s="1" t="str">
        <f>IF(INDEX('CAMD Facility Data 2023'!$AE$2:$AG$10000,MATCH(Z443,'CAMD Facility Data 2023'!$AE$2:$AE$10000,0),3)&gt;0,INDEX('CAMD Facility Data 2023'!$AE$2:$AG$10000,MATCH(Z443,'CAMD Facility Data 2023'!$AE$2:$AE$10000,0),3),"")</f>
        <v/>
      </c>
      <c r="AD443" s="20">
        <f t="shared" si="19"/>
        <v>1.6639457919794534</v>
      </c>
      <c r="AE443" s="25">
        <f t="shared" si="20"/>
        <v>3.1067329886292416E-2</v>
      </c>
    </row>
    <row r="444" spans="1:31" x14ac:dyDescent="0.2">
      <c r="A444" s="1" t="s">
        <v>225</v>
      </c>
      <c r="B444" s="1" t="s">
        <v>1323</v>
      </c>
      <c r="C444" s="1">
        <v>1295</v>
      </c>
      <c r="D444" s="1" t="s">
        <v>98</v>
      </c>
      <c r="F444" s="1">
        <v>2023</v>
      </c>
      <c r="G444" s="5">
        <v>202</v>
      </c>
      <c r="H444" s="5">
        <v>168.15</v>
      </c>
      <c r="I444" s="5">
        <v>3292.63</v>
      </c>
      <c r="K444" s="5">
        <v>6.8000000000000005E-2</v>
      </c>
      <c r="L444" s="5">
        <v>1.1999999999999999E-3</v>
      </c>
      <c r="O444" s="5">
        <v>56.801000000000002</v>
      </c>
      <c r="P444" s="6">
        <v>1.2</v>
      </c>
      <c r="Q444" s="5">
        <v>94668.6</v>
      </c>
      <c r="R444" s="1" t="s">
        <v>94</v>
      </c>
      <c r="T444" s="1" t="s">
        <v>93</v>
      </c>
      <c r="Y444" s="1" t="s">
        <v>133</v>
      </c>
      <c r="Z444" s="1" t="str">
        <f t="shared" si="18"/>
        <v>1295 CT2</v>
      </c>
      <c r="AA444" s="3">
        <f>IF(INDEX('CAMD Facility Data 2023'!$AA$2:$AE$10000,MATCH(Z444,'CAMD Facility Data 2023'!$AE$2:$AE$10000,0),1)&gt;0,INDEX('CAMD Facility Data 2023'!$AA$2:$AE$10000,MATCH(Z444,'CAMD Facility Data 2023'!$AE$2:$AE$10000,0),1),"")</f>
        <v>25477</v>
      </c>
      <c r="AB444" s="5">
        <f>IF(INDEX('CAMD Facility Data 2023'!$AC$2:$AE$10000,MATCH(Z444,'CAMD Facility Data 2023'!$AE$2:$AE$10000,0),1)&gt;0,INDEX('CAMD Facility Data 2023'!$AC$2:$AE$10000,MATCH(Z444,'CAMD Facility Data 2023'!$AE$2:$AE$10000,0),1),"")</f>
        <v>563</v>
      </c>
      <c r="AC444" s="1" t="str">
        <f>IF(INDEX('CAMD Facility Data 2023'!$AE$2:$AG$10000,MATCH(Z444,'CAMD Facility Data 2023'!$AE$2:$AE$10000,0),3)&gt;0,INDEX('CAMD Facility Data 2023'!$AE$2:$AG$10000,MATCH(Z444,'CAMD Facility Data 2023'!$AE$2:$AE$10000,0),3),"")</f>
        <v/>
      </c>
      <c r="AD444" s="20">
        <f t="shared" si="19"/>
        <v>34.501902734288393</v>
      </c>
      <c r="AE444" s="25">
        <f t="shared" si="20"/>
        <v>1.9195235893817369E-2</v>
      </c>
    </row>
    <row r="445" spans="1:31" x14ac:dyDescent="0.2">
      <c r="A445" s="1" t="s">
        <v>225</v>
      </c>
      <c r="B445" s="1" t="s">
        <v>1323</v>
      </c>
      <c r="C445" s="1">
        <v>1295</v>
      </c>
      <c r="D445" s="1" t="s">
        <v>101</v>
      </c>
      <c r="F445" s="1">
        <v>2023</v>
      </c>
      <c r="G445" s="5">
        <v>169</v>
      </c>
      <c r="H445" s="5">
        <v>145.87</v>
      </c>
      <c r="I445" s="5">
        <v>2974.61</v>
      </c>
      <c r="K445" s="5">
        <v>5.8000000000000003E-2</v>
      </c>
      <c r="L445" s="5">
        <v>1.8E-3</v>
      </c>
      <c r="O445" s="5">
        <v>45.860999999999997</v>
      </c>
      <c r="P445" s="6">
        <v>1.2</v>
      </c>
      <c r="Q445" s="5">
        <v>76436</v>
      </c>
      <c r="R445" s="1" t="s">
        <v>94</v>
      </c>
      <c r="T445" s="1" t="s">
        <v>93</v>
      </c>
      <c r="Y445" s="1" t="s">
        <v>133</v>
      </c>
      <c r="Z445" s="1" t="str">
        <f t="shared" si="18"/>
        <v>1295 CT3</v>
      </c>
      <c r="AA445" s="3">
        <f>IF(INDEX('CAMD Facility Data 2023'!$AA$2:$AE$10000,MATCH(Z445,'CAMD Facility Data 2023'!$AE$2:$AE$10000,0),1)&gt;0,INDEX('CAMD Facility Data 2023'!$AA$2:$AE$10000,MATCH(Z445,'CAMD Facility Data 2023'!$AE$2:$AE$10000,0),1),"")</f>
        <v>28338</v>
      </c>
      <c r="AB445" s="5">
        <f>IF(INDEX('CAMD Facility Data 2023'!$AC$2:$AE$10000,MATCH(Z445,'CAMD Facility Data 2023'!$AE$2:$AE$10000,0),1)&gt;0,INDEX('CAMD Facility Data 2023'!$AC$2:$AE$10000,MATCH(Z445,'CAMD Facility Data 2023'!$AE$2:$AE$10000,0),1),"")</f>
        <v>524</v>
      </c>
      <c r="AC445" s="1" t="str">
        <f>IF(INDEX('CAMD Facility Data 2023'!$AE$2:$AG$10000,MATCH(Z445,'CAMD Facility Data 2023'!$AE$2:$AE$10000,0),3)&gt;0,INDEX('CAMD Facility Data 2023'!$AE$2:$AG$10000,MATCH(Z445,'CAMD Facility Data 2023'!$AE$2:$AE$10000,0),3),"")</f>
        <v/>
      </c>
      <c r="AD445" s="20">
        <f t="shared" si="19"/>
        <v>30.834966600663616</v>
      </c>
      <c r="AE445" s="25">
        <f t="shared" si="20"/>
        <v>1.6651852626442191E-2</v>
      </c>
    </row>
    <row r="446" spans="1:31" x14ac:dyDescent="0.2">
      <c r="A446" s="1" t="s">
        <v>225</v>
      </c>
      <c r="B446" s="1" t="s">
        <v>1329</v>
      </c>
      <c r="C446" s="1">
        <v>1305</v>
      </c>
      <c r="D446" s="1" t="s">
        <v>280</v>
      </c>
      <c r="E446" s="1" t="s">
        <v>1330</v>
      </c>
      <c r="F446" s="1">
        <v>2023</v>
      </c>
      <c r="G446" s="5">
        <v>695</v>
      </c>
      <c r="H446" s="5">
        <v>593.41999999999996</v>
      </c>
      <c r="I446" s="5">
        <v>14620.02</v>
      </c>
      <c r="K446" s="5">
        <v>8.5999999999999993E-2</v>
      </c>
      <c r="L446" s="5">
        <v>8.0000000000000004E-4</v>
      </c>
      <c r="O446" s="5">
        <v>34.743000000000002</v>
      </c>
      <c r="P446" s="6">
        <v>0.2646</v>
      </c>
      <c r="Q446" s="5">
        <v>263627.09999999998</v>
      </c>
      <c r="R446" s="1" t="s">
        <v>44</v>
      </c>
      <c r="S446" s="1" t="s">
        <v>94</v>
      </c>
      <c r="T446" s="1" t="s">
        <v>93</v>
      </c>
      <c r="Y446" s="1" t="s">
        <v>133</v>
      </c>
      <c r="Z446" s="1" t="str">
        <f t="shared" si="18"/>
        <v>1305 GT1</v>
      </c>
      <c r="AA446" s="3">
        <f>IF(INDEX('CAMD Facility Data 2023'!$AA$2:$AE$10000,MATCH(Z446,'CAMD Facility Data 2023'!$AE$2:$AE$10000,0),1)&gt;0,INDEX('CAMD Facility Data 2023'!$AA$2:$AE$10000,MATCH(Z446,'CAMD Facility Data 2023'!$AE$2:$AE$10000,0),1),"")</f>
        <v>26816</v>
      </c>
      <c r="AB446" s="5">
        <f>IF(INDEX('CAMD Facility Data 2023'!$AC$2:$AE$10000,MATCH(Z446,'CAMD Facility Data 2023'!$AE$2:$AE$10000,0),1)&gt;0,INDEX('CAMD Facility Data 2023'!$AC$2:$AE$10000,MATCH(Z446,'CAMD Facility Data 2023'!$AE$2:$AE$10000,0),1),"")</f>
        <v>650</v>
      </c>
      <c r="AC446" s="1" t="str">
        <f>IF(INDEX('CAMD Facility Data 2023'!$AE$2:$AG$10000,MATCH(Z446,'CAMD Facility Data 2023'!$AE$2:$AE$10000,0),3)&gt;0,INDEX('CAMD Facility Data 2023'!$AE$2:$AG$10000,MATCH(Z446,'CAMD Facility Data 2023'!$AE$2:$AE$10000,0),3),"")</f>
        <v/>
      </c>
      <c r="AD446" s="20">
        <f t="shared" si="19"/>
        <v>4.7527978757894997</v>
      </c>
      <c r="AE446" s="25">
        <f t="shared" si="20"/>
        <v>4.6299104320337195E-2</v>
      </c>
    </row>
    <row r="447" spans="1:31" x14ac:dyDescent="0.2">
      <c r="A447" s="1" t="s">
        <v>225</v>
      </c>
      <c r="B447" s="1" t="s">
        <v>1329</v>
      </c>
      <c r="C447" s="1">
        <v>1305</v>
      </c>
      <c r="D447" s="1" t="s">
        <v>1102</v>
      </c>
      <c r="F447" s="1">
        <v>2023</v>
      </c>
      <c r="G447" s="5">
        <v>402</v>
      </c>
      <c r="H447" s="5">
        <v>348.06</v>
      </c>
      <c r="I447" s="5">
        <v>7551.89</v>
      </c>
      <c r="K447" s="5">
        <v>0.13800000000000001</v>
      </c>
      <c r="L447" s="5">
        <v>1.9E-3</v>
      </c>
      <c r="O447" s="5">
        <v>38.375</v>
      </c>
      <c r="P447" s="6">
        <v>0.54590000000000005</v>
      </c>
      <c r="Q447" s="5">
        <v>140571.70000000001</v>
      </c>
      <c r="R447" s="1" t="s">
        <v>94</v>
      </c>
      <c r="T447" s="1" t="s">
        <v>93</v>
      </c>
      <c r="Y447" s="1" t="s">
        <v>133</v>
      </c>
      <c r="Z447" s="1" t="str">
        <f t="shared" si="18"/>
        <v>1305 GT2</v>
      </c>
      <c r="AA447" s="3">
        <f>IF(INDEX('CAMD Facility Data 2023'!$AA$2:$AE$10000,MATCH(Z447,'CAMD Facility Data 2023'!$AE$2:$AE$10000,0),1)&gt;0,INDEX('CAMD Facility Data 2023'!$AA$2:$AE$10000,MATCH(Z447,'CAMD Facility Data 2023'!$AE$2:$AE$10000,0),1),"")</f>
        <v>27912</v>
      </c>
      <c r="AB447" s="5">
        <f>IF(INDEX('CAMD Facility Data 2023'!$AC$2:$AE$10000,MATCH(Z447,'CAMD Facility Data 2023'!$AE$2:$AE$10000,0),1)&gt;0,INDEX('CAMD Facility Data 2023'!$AC$2:$AE$10000,MATCH(Z447,'CAMD Facility Data 2023'!$AE$2:$AE$10000,0),1),"")</f>
        <v>650</v>
      </c>
      <c r="AC447" s="1" t="str">
        <f>IF(INDEX('CAMD Facility Data 2023'!$AE$2:$AG$10000,MATCH(Z447,'CAMD Facility Data 2023'!$AE$2:$AE$10000,0),3)&gt;0,INDEX('CAMD Facility Data 2023'!$AE$2:$AG$10000,MATCH(Z447,'CAMD Facility Data 2023'!$AE$2:$AE$10000,0),3),"")</f>
        <v/>
      </c>
      <c r="AD447" s="20">
        <f t="shared" si="19"/>
        <v>10.16301879397078</v>
      </c>
      <c r="AE447" s="25">
        <f t="shared" si="20"/>
        <v>2.4687688795223043E-2</v>
      </c>
    </row>
    <row r="448" spans="1:31" x14ac:dyDescent="0.2">
      <c r="A448" s="1" t="s">
        <v>225</v>
      </c>
      <c r="B448" s="1" t="s">
        <v>1329</v>
      </c>
      <c r="C448" s="1">
        <v>1305</v>
      </c>
      <c r="D448" s="1" t="s">
        <v>246</v>
      </c>
      <c r="E448" s="1" t="s">
        <v>1330</v>
      </c>
      <c r="F448" s="1">
        <v>2023</v>
      </c>
      <c r="G448" s="5">
        <v>710</v>
      </c>
      <c r="H448" s="5">
        <v>604.91</v>
      </c>
      <c r="I448" s="5">
        <v>13914.71</v>
      </c>
      <c r="K448" s="5">
        <v>7.2999999999999995E-2</v>
      </c>
      <c r="L448" s="5">
        <v>5.9999999999999995E-4</v>
      </c>
      <c r="O448" s="5">
        <v>33.01</v>
      </c>
      <c r="P448" s="6">
        <v>0.26400000000000001</v>
      </c>
      <c r="Q448" s="5">
        <v>250690.3</v>
      </c>
      <c r="R448" s="1" t="s">
        <v>44</v>
      </c>
      <c r="S448" s="1" t="s">
        <v>94</v>
      </c>
      <c r="T448" s="1" t="s">
        <v>93</v>
      </c>
      <c r="Y448" s="1" t="s">
        <v>133</v>
      </c>
      <c r="Z448" s="1" t="str">
        <f t="shared" si="18"/>
        <v>1305 GT3</v>
      </c>
      <c r="AA448" s="3">
        <f>IF(INDEX('CAMD Facility Data 2023'!$AA$2:$AE$10000,MATCH(Z448,'CAMD Facility Data 2023'!$AE$2:$AE$10000,0),1)&gt;0,INDEX('CAMD Facility Data 2023'!$AA$2:$AE$10000,MATCH(Z448,'CAMD Facility Data 2023'!$AE$2:$AE$10000,0),1),"")</f>
        <v>29007</v>
      </c>
      <c r="AB448" s="5">
        <f>IF(INDEX('CAMD Facility Data 2023'!$AC$2:$AE$10000,MATCH(Z448,'CAMD Facility Data 2023'!$AE$2:$AE$10000,0),1)&gt;0,INDEX('CAMD Facility Data 2023'!$AC$2:$AE$10000,MATCH(Z448,'CAMD Facility Data 2023'!$AE$2:$AE$10000,0),1),"")</f>
        <v>650</v>
      </c>
      <c r="AC448" s="1" t="str">
        <f>IF(INDEX('CAMD Facility Data 2023'!$AE$2:$AG$10000,MATCH(Z448,'CAMD Facility Data 2023'!$AE$2:$AE$10000,0),3)&gt;0,INDEX('CAMD Facility Data 2023'!$AE$2:$AG$10000,MATCH(Z448,'CAMD Facility Data 2023'!$AE$2:$AE$10000,0),3),"")</f>
        <v/>
      </c>
      <c r="AD448" s="20">
        <f t="shared" si="19"/>
        <v>4.7446191835834171</v>
      </c>
      <c r="AE448" s="25">
        <f t="shared" si="20"/>
        <v>4.4027098700386368E-2</v>
      </c>
    </row>
    <row r="449" spans="1:31" x14ac:dyDescent="0.2">
      <c r="A449" s="1" t="s">
        <v>225</v>
      </c>
      <c r="B449" s="1" t="s">
        <v>1337</v>
      </c>
      <c r="C449" s="1">
        <v>1336</v>
      </c>
      <c r="D449" s="1" t="s">
        <v>1338</v>
      </c>
      <c r="F449" s="1">
        <v>2023</v>
      </c>
      <c r="G449" s="5">
        <v>1275</v>
      </c>
      <c r="H449" s="5">
        <v>1261.5999999999999</v>
      </c>
      <c r="I449" s="5">
        <v>56081.51</v>
      </c>
      <c r="K449" s="5">
        <v>0.17599999999999999</v>
      </c>
      <c r="L449" s="5">
        <v>1E-3</v>
      </c>
      <c r="M449" s="5">
        <v>34854.311000000002</v>
      </c>
      <c r="N449" s="6">
        <v>5.9200000000000003E-2</v>
      </c>
      <c r="O449" s="5">
        <v>45.32</v>
      </c>
      <c r="P449" s="6">
        <v>0.12470000000000001</v>
      </c>
      <c r="Q449" s="5">
        <v>586475.35400000005</v>
      </c>
      <c r="R449" s="1" t="s">
        <v>44</v>
      </c>
      <c r="T449" s="1" t="s">
        <v>43</v>
      </c>
      <c r="Y449" s="1" t="s">
        <v>35</v>
      </c>
      <c r="Z449" s="1" t="str">
        <f t="shared" si="18"/>
        <v>1336 S-2</v>
      </c>
      <c r="AA449" s="3">
        <f>IF(INDEX('CAMD Facility Data 2023'!$AA$2:$AE$10000,MATCH(Z449,'CAMD Facility Data 2023'!$AE$2:$AE$10000,0),1)&gt;0,INDEX('CAMD Facility Data 2023'!$AA$2:$AE$10000,MATCH(Z449,'CAMD Facility Data 2023'!$AE$2:$AE$10000,0),1),"")</f>
        <v>26755</v>
      </c>
      <c r="AB449" s="5">
        <f>IF(INDEX('CAMD Facility Data 2023'!$AC$2:$AE$10000,MATCH(Z449,'CAMD Facility Data 2023'!$AE$2:$AE$10000,0),1)&gt;0,INDEX('CAMD Facility Data 2023'!$AC$2:$AE$10000,MATCH(Z449,'CAMD Facility Data 2023'!$AE$2:$AE$10000,0),1),"")</f>
        <v>1260</v>
      </c>
      <c r="AC449" s="1" t="str">
        <f>IF(INDEX('CAMD Facility Data 2023'!$AE$2:$AG$10000,MATCH(Z449,'CAMD Facility Data 2023'!$AE$2:$AE$10000,0),3)&gt;0,INDEX('CAMD Facility Data 2023'!$AE$2:$AG$10000,MATCH(Z449,'CAMD Facility Data 2023'!$AE$2:$AE$10000,0),3),"")</f>
        <v/>
      </c>
      <c r="AD449" s="20">
        <f t="shared" si="19"/>
        <v>1.6162189641470066</v>
      </c>
      <c r="AE449" s="25">
        <f t="shared" si="20"/>
        <v>5.3134318511270567E-2</v>
      </c>
    </row>
    <row r="450" spans="1:31" x14ac:dyDescent="0.2">
      <c r="A450" s="1" t="s">
        <v>225</v>
      </c>
      <c r="B450" s="1" t="s">
        <v>1337</v>
      </c>
      <c r="C450" s="1">
        <v>1336</v>
      </c>
      <c r="D450" s="1" t="s">
        <v>1340</v>
      </c>
      <c r="F450" s="1">
        <v>2023</v>
      </c>
      <c r="G450" s="5">
        <v>745</v>
      </c>
      <c r="H450" s="5">
        <v>652.9</v>
      </c>
      <c r="I450" s="5">
        <v>15843.9</v>
      </c>
      <c r="K450" s="5">
        <v>7.4999999999999997E-2</v>
      </c>
      <c r="L450" s="5">
        <v>1E-3</v>
      </c>
      <c r="O450" s="5">
        <v>27.472000000000001</v>
      </c>
      <c r="P450" s="6">
        <v>0.2031</v>
      </c>
      <c r="Q450" s="5">
        <v>248485.701</v>
      </c>
      <c r="R450" s="1" t="s">
        <v>44</v>
      </c>
      <c r="T450" s="1" t="s">
        <v>93</v>
      </c>
      <c r="Y450" s="1" t="s">
        <v>133</v>
      </c>
      <c r="Z450" s="1" t="str">
        <f t="shared" si="18"/>
        <v>1336 S-4</v>
      </c>
      <c r="AA450" s="3">
        <f>IF(INDEX('CAMD Facility Data 2023'!$AA$2:$AE$10000,MATCH(Z450,'CAMD Facility Data 2023'!$AE$2:$AE$10000,0),1)&gt;0,INDEX('CAMD Facility Data 2023'!$AA$2:$AE$10000,MATCH(Z450,'CAMD Facility Data 2023'!$AE$2:$AE$10000,0),1),"")</f>
        <v>27895</v>
      </c>
      <c r="AB450" s="5">
        <f>IF(INDEX('CAMD Facility Data 2023'!$AC$2:$AE$10000,MATCH(Z450,'CAMD Facility Data 2023'!$AE$2:$AE$10000,0),1)&gt;0,INDEX('CAMD Facility Data 2023'!$AC$2:$AE$10000,MATCH(Z450,'CAMD Facility Data 2023'!$AE$2:$AE$10000,0),1),"")</f>
        <v>723</v>
      </c>
      <c r="AC450" s="1" t="str">
        <f>IF(INDEX('CAMD Facility Data 2023'!$AE$2:$AG$10000,MATCH(Z450,'CAMD Facility Data 2023'!$AE$2:$AE$10000,0),3)&gt;0,INDEX('CAMD Facility Data 2023'!$AE$2:$AG$10000,MATCH(Z450,'CAMD Facility Data 2023'!$AE$2:$AE$10000,0),3),"")</f>
        <v/>
      </c>
      <c r="AD450" s="20">
        <f t="shared" si="19"/>
        <v>3.467833046156565</v>
      </c>
      <c r="AE450" s="25">
        <f t="shared" si="20"/>
        <v>3.9233675799086758E-2</v>
      </c>
    </row>
    <row r="451" spans="1:31" x14ac:dyDescent="0.2">
      <c r="A451" s="1" t="s">
        <v>225</v>
      </c>
      <c r="B451" s="1" t="s">
        <v>1337</v>
      </c>
      <c r="C451" s="1">
        <v>1336</v>
      </c>
      <c r="D451" s="1" t="s">
        <v>1342</v>
      </c>
      <c r="F451" s="1">
        <v>2023</v>
      </c>
      <c r="G451" s="5">
        <v>685</v>
      </c>
      <c r="H451" s="5">
        <v>588.5</v>
      </c>
      <c r="I451" s="5">
        <v>15681.16</v>
      </c>
      <c r="K451" s="5">
        <v>7.0000000000000007E-2</v>
      </c>
      <c r="L451" s="5">
        <v>1E-3</v>
      </c>
      <c r="O451" s="5">
        <v>24.190999999999999</v>
      </c>
      <c r="P451" s="6">
        <v>0.188</v>
      </c>
      <c r="Q451" s="5">
        <v>232737.378</v>
      </c>
      <c r="R451" s="1" t="s">
        <v>44</v>
      </c>
      <c r="T451" s="1" t="s">
        <v>93</v>
      </c>
      <c r="V451" s="1" t="s">
        <v>95</v>
      </c>
      <c r="Y451" s="1" t="s">
        <v>133</v>
      </c>
      <c r="Z451" s="1" t="str">
        <f t="shared" ref="Z451:Z514" si="21">C451&amp;" "&amp;D451</f>
        <v>1336 S-5</v>
      </c>
      <c r="AA451" s="3">
        <f>IF(INDEX('CAMD Facility Data 2023'!$AA$2:$AE$10000,MATCH(Z451,'CAMD Facility Data 2023'!$AE$2:$AE$10000,0),1)&gt;0,INDEX('CAMD Facility Data 2023'!$AA$2:$AE$10000,MATCH(Z451,'CAMD Facility Data 2023'!$AE$2:$AE$10000,0),1),"")</f>
        <v>29052</v>
      </c>
      <c r="AB451" s="5">
        <f>IF(INDEX('CAMD Facility Data 2023'!$AC$2:$AE$10000,MATCH(Z451,'CAMD Facility Data 2023'!$AE$2:$AE$10000,0),1)&gt;0,INDEX('CAMD Facility Data 2023'!$AC$2:$AE$10000,MATCH(Z451,'CAMD Facility Data 2023'!$AE$2:$AE$10000,0),1),"")</f>
        <v>720.2</v>
      </c>
      <c r="AC451" s="1" t="str">
        <f>IF(INDEX('CAMD Facility Data 2023'!$AE$2:$AG$10000,MATCH(Z451,'CAMD Facility Data 2023'!$AE$2:$AE$10000,0),3)&gt;0,INDEX('CAMD Facility Data 2023'!$AE$2:$AG$10000,MATCH(Z451,'CAMD Facility Data 2023'!$AE$2:$AE$10000,0),3),"")</f>
        <v/>
      </c>
      <c r="AD451" s="20">
        <f t="shared" ref="AD451:AD514" si="22">IF(ISNUMBER(O451*2000/I451),O451*2000/I451,"")</f>
        <v>3.0853584811327734</v>
      </c>
      <c r="AE451" s="25">
        <f t="shared" ref="AE451:AE514" si="23">Q451/(AB451*8760)</f>
        <v>3.6890021987803993E-2</v>
      </c>
    </row>
    <row r="452" spans="1:31" x14ac:dyDescent="0.2">
      <c r="A452" s="1" t="s">
        <v>165</v>
      </c>
      <c r="B452" s="1" t="s">
        <v>1344</v>
      </c>
      <c r="C452" s="1">
        <v>1353</v>
      </c>
      <c r="D452" s="1" t="s">
        <v>1345</v>
      </c>
      <c r="F452" s="1">
        <v>2023</v>
      </c>
      <c r="G452" s="5">
        <v>6653</v>
      </c>
      <c r="H452" s="5">
        <v>6635.59</v>
      </c>
      <c r="I452" s="5">
        <v>1227103.72</v>
      </c>
      <c r="K452" s="5">
        <v>30.22</v>
      </c>
      <c r="L452" s="5">
        <v>5.0000000000000001E-3</v>
      </c>
      <c r="M452" s="5">
        <v>697438.37100000004</v>
      </c>
      <c r="N452" s="6">
        <v>5.8999999999999997E-2</v>
      </c>
      <c r="O452" s="5">
        <v>981.07799999999997</v>
      </c>
      <c r="P452" s="6">
        <v>0.14649999999999999</v>
      </c>
      <c r="Q452" s="5">
        <v>11735727.142999999</v>
      </c>
      <c r="R452" s="1" t="s">
        <v>284</v>
      </c>
      <c r="T452" s="1" t="s">
        <v>89</v>
      </c>
      <c r="V452" s="1" t="s">
        <v>1350</v>
      </c>
      <c r="W452" s="1" t="s">
        <v>58</v>
      </c>
      <c r="Y452" s="1" t="s">
        <v>168</v>
      </c>
      <c r="Z452" s="1" t="str">
        <f t="shared" si="21"/>
        <v>1353 BSU1</v>
      </c>
      <c r="AA452" s="3">
        <f>IF(INDEX('CAMD Facility Data 2023'!$AA$2:$AE$10000,MATCH(Z452,'CAMD Facility Data 2023'!$AE$2:$AE$10000,0),1)&gt;0,INDEX('CAMD Facility Data 2023'!$AA$2:$AE$10000,MATCH(Z452,'CAMD Facility Data 2023'!$AE$2:$AE$10000,0),1),"")</f>
        <v>23012</v>
      </c>
      <c r="AB452" s="5">
        <f>IF(INDEX('CAMD Facility Data 2023'!$AC$2:$AE$10000,MATCH(Z452,'CAMD Facility Data 2023'!$AE$2:$AE$10000,0),1)&gt;0,INDEX('CAMD Facility Data 2023'!$AC$2:$AE$10000,MATCH(Z452,'CAMD Facility Data 2023'!$AE$2:$AE$10000,0),1),"")</f>
        <v>3000</v>
      </c>
      <c r="AC452" s="1" t="str">
        <f>IF(INDEX('CAMD Facility Data 2023'!$AE$2:$AG$10000,MATCH(Z452,'CAMD Facility Data 2023'!$AE$2:$AE$10000,0),3)&gt;0,INDEX('CAMD Facility Data 2023'!$AE$2:$AG$10000,MATCH(Z452,'CAMD Facility Data 2023'!$AE$2:$AE$10000,0),3),"")</f>
        <v/>
      </c>
      <c r="AD452" s="20">
        <f t="shared" si="22"/>
        <v>1.5990139774003782</v>
      </c>
      <c r="AE452" s="25">
        <f t="shared" si="23"/>
        <v>0.44656495977929983</v>
      </c>
    </row>
    <row r="453" spans="1:31" x14ac:dyDescent="0.2">
      <c r="A453" s="1" t="s">
        <v>165</v>
      </c>
      <c r="B453" s="1" t="s">
        <v>1352</v>
      </c>
      <c r="C453" s="1">
        <v>1355</v>
      </c>
      <c r="D453" s="1">
        <v>10</v>
      </c>
      <c r="F453" s="1">
        <v>2023</v>
      </c>
      <c r="G453" s="5">
        <v>58</v>
      </c>
      <c r="H453" s="5">
        <v>47.6</v>
      </c>
      <c r="I453" s="5">
        <v>3611</v>
      </c>
      <c r="K453" s="5">
        <v>9.7000000000000003E-2</v>
      </c>
      <c r="L453" s="5">
        <v>0.01</v>
      </c>
      <c r="M453" s="5">
        <v>2934.7809999999999</v>
      </c>
      <c r="N453" s="6">
        <v>0.06</v>
      </c>
      <c r="O453" s="5">
        <v>2.5819999999999999</v>
      </c>
      <c r="P453" s="6">
        <v>0.1076</v>
      </c>
      <c r="Q453" s="5">
        <v>49089.716</v>
      </c>
      <c r="R453" s="1" t="s">
        <v>44</v>
      </c>
      <c r="T453" s="1" t="s">
        <v>93</v>
      </c>
      <c r="U453" s="1" t="s">
        <v>454</v>
      </c>
      <c r="V453" s="1" t="s">
        <v>95</v>
      </c>
      <c r="Y453" s="1" t="s">
        <v>168</v>
      </c>
      <c r="Z453" s="1" t="str">
        <f t="shared" si="21"/>
        <v>1355 10</v>
      </c>
      <c r="AA453" s="3">
        <f>IF(INDEX('CAMD Facility Data 2023'!$AA$2:$AE$10000,MATCH(Z453,'CAMD Facility Data 2023'!$AE$2:$AE$10000,0),1)&gt;0,INDEX('CAMD Facility Data 2023'!$AA$2:$AE$10000,MATCH(Z453,'CAMD Facility Data 2023'!$AE$2:$AE$10000,0),1),"")</f>
        <v>35055</v>
      </c>
      <c r="AB453" s="5">
        <f>IF(INDEX('CAMD Facility Data 2023'!$AC$2:$AE$10000,MATCH(Z453,'CAMD Facility Data 2023'!$AE$2:$AE$10000,0),1)&gt;0,INDEX('CAMD Facility Data 2023'!$AC$2:$AE$10000,MATCH(Z453,'CAMD Facility Data 2023'!$AE$2:$AE$10000,0),1),"")</f>
        <v>1830</v>
      </c>
      <c r="AC453" s="1" t="str">
        <f>IF(INDEX('CAMD Facility Data 2023'!$AE$2:$AG$10000,MATCH(Z453,'CAMD Facility Data 2023'!$AE$2:$AE$10000,0),3)&gt;0,INDEX('CAMD Facility Data 2023'!$AE$2:$AG$10000,MATCH(Z453,'CAMD Facility Data 2023'!$AE$2:$AE$10000,0),3),"")</f>
        <v/>
      </c>
      <c r="AD453" s="20">
        <f t="shared" si="22"/>
        <v>1.4300747715314317</v>
      </c>
      <c r="AE453" s="25">
        <f t="shared" si="23"/>
        <v>3.0622124909549116E-3</v>
      </c>
    </row>
    <row r="454" spans="1:31" x14ac:dyDescent="0.2">
      <c r="A454" s="1" t="s">
        <v>165</v>
      </c>
      <c r="B454" s="1" t="s">
        <v>1352</v>
      </c>
      <c r="C454" s="1">
        <v>1355</v>
      </c>
      <c r="D454" s="1">
        <v>11</v>
      </c>
      <c r="F454" s="1">
        <v>2023</v>
      </c>
      <c r="G454" s="5">
        <v>94</v>
      </c>
      <c r="H454" s="5">
        <v>80.12</v>
      </c>
      <c r="I454" s="5">
        <v>6632.24</v>
      </c>
      <c r="K454" s="5">
        <v>0.11899999999999999</v>
      </c>
      <c r="L454" s="5">
        <v>6.4999999999999997E-3</v>
      </c>
      <c r="M454" s="5">
        <v>5270.0249999999996</v>
      </c>
      <c r="N454" s="6">
        <v>5.96E-2</v>
      </c>
      <c r="O454" s="5">
        <v>5.6429999999999998</v>
      </c>
      <c r="P454" s="6">
        <v>0.1303</v>
      </c>
      <c r="Q454" s="5">
        <v>88344.926000000007</v>
      </c>
      <c r="R454" s="1" t="s">
        <v>44</v>
      </c>
      <c r="T454" s="1" t="s">
        <v>93</v>
      </c>
      <c r="U454" s="1" t="s">
        <v>454</v>
      </c>
      <c r="V454" s="1" t="s">
        <v>95</v>
      </c>
      <c r="Y454" s="1" t="s">
        <v>168</v>
      </c>
      <c r="Z454" s="1" t="str">
        <f t="shared" si="21"/>
        <v>1355 11</v>
      </c>
      <c r="AA454" s="3">
        <f>IF(INDEX('CAMD Facility Data 2023'!$AA$2:$AE$10000,MATCH(Z454,'CAMD Facility Data 2023'!$AE$2:$AE$10000,0),1)&gt;0,INDEX('CAMD Facility Data 2023'!$AA$2:$AE$10000,MATCH(Z454,'CAMD Facility Data 2023'!$AE$2:$AE$10000,0),1),"")</f>
        <v>35156</v>
      </c>
      <c r="AB454" s="5">
        <f>IF(INDEX('CAMD Facility Data 2023'!$AC$2:$AE$10000,MATCH(Z454,'CAMD Facility Data 2023'!$AE$2:$AE$10000,0),1)&gt;0,INDEX('CAMD Facility Data 2023'!$AC$2:$AE$10000,MATCH(Z454,'CAMD Facility Data 2023'!$AE$2:$AE$10000,0),1),"")</f>
        <v>1625</v>
      </c>
      <c r="AC454" s="1" t="str">
        <f>IF(INDEX('CAMD Facility Data 2023'!$AE$2:$AG$10000,MATCH(Z454,'CAMD Facility Data 2023'!$AE$2:$AE$10000,0),3)&gt;0,INDEX('CAMD Facility Data 2023'!$AE$2:$AG$10000,MATCH(Z454,'CAMD Facility Data 2023'!$AE$2:$AE$10000,0),3),"")</f>
        <v/>
      </c>
      <c r="AD454" s="20">
        <f t="shared" si="22"/>
        <v>1.7016875143239691</v>
      </c>
      <c r="AE454" s="25">
        <f t="shared" si="23"/>
        <v>6.2061767474534601E-3</v>
      </c>
    </row>
    <row r="455" spans="1:31" x14ac:dyDescent="0.2">
      <c r="A455" s="1" t="s">
        <v>165</v>
      </c>
      <c r="B455" s="1" t="s">
        <v>1352</v>
      </c>
      <c r="C455" s="1">
        <v>1355</v>
      </c>
      <c r="D455" s="1">
        <v>3</v>
      </c>
      <c r="F455" s="1">
        <v>2023</v>
      </c>
      <c r="G455" s="5">
        <v>4668</v>
      </c>
      <c r="H455" s="5">
        <v>4652.29</v>
      </c>
      <c r="I455" s="5">
        <v>1035777.21</v>
      </c>
      <c r="K455" s="5">
        <v>361.00200000000001</v>
      </c>
      <c r="L455" s="5">
        <v>6.08E-2</v>
      </c>
      <c r="M455" s="5">
        <v>1111633.8940000001</v>
      </c>
      <c r="N455" s="6">
        <v>0.10299999999999999</v>
      </c>
      <c r="O455" s="5">
        <v>233.73500000000001</v>
      </c>
      <c r="P455" s="6">
        <v>4.2999999999999997E-2</v>
      </c>
      <c r="Q455" s="5">
        <v>10834663.028000001</v>
      </c>
      <c r="R455" s="1" t="s">
        <v>55</v>
      </c>
      <c r="T455" s="1" t="s">
        <v>43</v>
      </c>
      <c r="U455" s="1" t="s">
        <v>56</v>
      </c>
      <c r="V455" s="1" t="s">
        <v>301</v>
      </c>
      <c r="W455" s="1" t="s">
        <v>1357</v>
      </c>
      <c r="X455" s="1" t="s">
        <v>1109</v>
      </c>
      <c r="Y455" s="1" t="s">
        <v>1353</v>
      </c>
      <c r="Z455" s="1" t="str">
        <f t="shared" si="21"/>
        <v>1355 3</v>
      </c>
      <c r="AA455" s="3">
        <f>IF(INDEX('CAMD Facility Data 2023'!$AA$2:$AE$10000,MATCH(Z455,'CAMD Facility Data 2023'!$AE$2:$AE$10000,0),1)&gt;0,INDEX('CAMD Facility Data 2023'!$AA$2:$AE$10000,MATCH(Z455,'CAMD Facility Data 2023'!$AE$2:$AE$10000,0),1),"")</f>
        <v>26133</v>
      </c>
      <c r="AB455" s="5">
        <f>IF(INDEX('CAMD Facility Data 2023'!$AC$2:$AE$10000,MATCH(Z455,'CAMD Facility Data 2023'!$AE$2:$AE$10000,0),1)&gt;0,INDEX('CAMD Facility Data 2023'!$AC$2:$AE$10000,MATCH(Z455,'CAMD Facility Data 2023'!$AE$2:$AE$10000,0),1),"")</f>
        <v>5000</v>
      </c>
      <c r="AC455" s="1" t="str">
        <f>IF(INDEX('CAMD Facility Data 2023'!$AE$2:$AG$10000,MATCH(Z455,'CAMD Facility Data 2023'!$AE$2:$AE$10000,0),3)&gt;0,INDEX('CAMD Facility Data 2023'!$AE$2:$AG$10000,MATCH(Z455,'CAMD Facility Data 2023'!$AE$2:$AE$10000,0),3),"")</f>
        <v>Y</v>
      </c>
      <c r="AD455" s="20">
        <f t="shared" si="22"/>
        <v>0.4513229249367246</v>
      </c>
      <c r="AE455" s="25">
        <f t="shared" si="23"/>
        <v>0.24736673579908677</v>
      </c>
    </row>
    <row r="456" spans="1:31" x14ac:dyDescent="0.2">
      <c r="A456" s="1" t="s">
        <v>165</v>
      </c>
      <c r="B456" s="1" t="s">
        <v>1352</v>
      </c>
      <c r="C456" s="1">
        <v>1355</v>
      </c>
      <c r="D456" s="1">
        <v>5</v>
      </c>
      <c r="F456" s="1">
        <v>2023</v>
      </c>
      <c r="G456" s="5">
        <v>124</v>
      </c>
      <c r="H456" s="5">
        <v>100.05</v>
      </c>
      <c r="I456" s="5">
        <v>7311.27</v>
      </c>
      <c r="K456" s="5">
        <v>0.03</v>
      </c>
      <c r="L456" s="5">
        <v>1E-3</v>
      </c>
      <c r="M456" s="5">
        <v>5851.933</v>
      </c>
      <c r="N456" s="6">
        <v>5.91E-2</v>
      </c>
      <c r="O456" s="5">
        <v>4.1310000000000002</v>
      </c>
      <c r="P456" s="6">
        <v>8.5099999999999995E-2</v>
      </c>
      <c r="Q456" s="5">
        <v>98472.892999999996</v>
      </c>
      <c r="R456" s="1" t="s">
        <v>44</v>
      </c>
      <c r="T456" s="1" t="s">
        <v>93</v>
      </c>
      <c r="V456" s="1" t="s">
        <v>95</v>
      </c>
      <c r="Y456" s="1" t="s">
        <v>168</v>
      </c>
      <c r="Z456" s="1" t="str">
        <f t="shared" si="21"/>
        <v>1355 5</v>
      </c>
      <c r="AA456" s="3">
        <f>IF(INDEX('CAMD Facility Data 2023'!$AA$2:$AE$10000,MATCH(Z456,'CAMD Facility Data 2023'!$AE$2:$AE$10000,0),1)&gt;0,INDEX('CAMD Facility Data 2023'!$AA$2:$AE$10000,MATCH(Z456,'CAMD Facility Data 2023'!$AE$2:$AE$10000,0),1),"")</f>
        <v>37051</v>
      </c>
      <c r="AB456" s="5">
        <f>IF(INDEX('CAMD Facility Data 2023'!$AC$2:$AE$10000,MATCH(Z456,'CAMD Facility Data 2023'!$AE$2:$AE$10000,0),1)&gt;0,INDEX('CAMD Facility Data 2023'!$AC$2:$AE$10000,MATCH(Z456,'CAMD Facility Data 2023'!$AE$2:$AE$10000,0),1),"")</f>
        <v>1600</v>
      </c>
      <c r="AC456" s="1" t="str">
        <f>IF(INDEX('CAMD Facility Data 2023'!$AE$2:$AG$10000,MATCH(Z456,'CAMD Facility Data 2023'!$AE$2:$AE$10000,0),3)&gt;0,INDEX('CAMD Facility Data 2023'!$AE$2:$AG$10000,MATCH(Z456,'CAMD Facility Data 2023'!$AE$2:$AE$10000,0),3),"")</f>
        <v/>
      </c>
      <c r="AD456" s="20">
        <f t="shared" si="22"/>
        <v>1.1300362317353894</v>
      </c>
      <c r="AE456" s="25">
        <f t="shared" si="23"/>
        <v>7.025748644406392E-3</v>
      </c>
    </row>
    <row r="457" spans="1:31" x14ac:dyDescent="0.2">
      <c r="A457" s="1" t="s">
        <v>165</v>
      </c>
      <c r="B457" s="1" t="s">
        <v>1352</v>
      </c>
      <c r="C457" s="1">
        <v>1355</v>
      </c>
      <c r="D457" s="1">
        <v>6</v>
      </c>
      <c r="F457" s="1">
        <v>2023</v>
      </c>
      <c r="G457" s="5">
        <v>202</v>
      </c>
      <c r="H457" s="5">
        <v>167.86</v>
      </c>
      <c r="I457" s="5">
        <v>20116.48</v>
      </c>
      <c r="K457" s="5">
        <v>6.7000000000000004E-2</v>
      </c>
      <c r="L457" s="5">
        <v>1E-3</v>
      </c>
      <c r="M457" s="5">
        <v>13229.987999999999</v>
      </c>
      <c r="N457" s="6">
        <v>5.8999999999999997E-2</v>
      </c>
      <c r="O457" s="5">
        <v>3.54</v>
      </c>
      <c r="P457" s="6">
        <v>3.1699999999999999E-2</v>
      </c>
      <c r="Q457" s="5">
        <v>222620.427</v>
      </c>
      <c r="R457" s="1" t="s">
        <v>44</v>
      </c>
      <c r="T457" s="1" t="s">
        <v>93</v>
      </c>
      <c r="V457" s="1" t="s">
        <v>183</v>
      </c>
      <c r="Y457" s="1" t="s">
        <v>168</v>
      </c>
      <c r="Z457" s="1" t="str">
        <f t="shared" si="21"/>
        <v>1355 6</v>
      </c>
      <c r="AA457" s="3">
        <f>IF(INDEX('CAMD Facility Data 2023'!$AA$2:$AE$10000,MATCH(Z457,'CAMD Facility Data 2023'!$AE$2:$AE$10000,0),1)&gt;0,INDEX('CAMD Facility Data 2023'!$AA$2:$AE$10000,MATCH(Z457,'CAMD Facility Data 2023'!$AE$2:$AE$10000,0),1),"")</f>
        <v>36383</v>
      </c>
      <c r="AB457" s="5">
        <f>IF(INDEX('CAMD Facility Data 2023'!$AC$2:$AE$10000,MATCH(Z457,'CAMD Facility Data 2023'!$AE$2:$AE$10000,0),1)&gt;0,INDEX('CAMD Facility Data 2023'!$AC$2:$AE$10000,MATCH(Z457,'CAMD Facility Data 2023'!$AE$2:$AE$10000,0),1),"")</f>
        <v>1970</v>
      </c>
      <c r="AC457" s="1" t="str">
        <f>IF(INDEX('CAMD Facility Data 2023'!$AE$2:$AG$10000,MATCH(Z457,'CAMD Facility Data 2023'!$AE$2:$AE$10000,0),3)&gt;0,INDEX('CAMD Facility Data 2023'!$AE$2:$AG$10000,MATCH(Z457,'CAMD Facility Data 2023'!$AE$2:$AE$10000,0),3),"")</f>
        <v/>
      </c>
      <c r="AD457" s="20">
        <f t="shared" si="22"/>
        <v>0.35195024179180456</v>
      </c>
      <c r="AE457" s="25">
        <f t="shared" si="23"/>
        <v>1.2900147590570891E-2</v>
      </c>
    </row>
    <row r="458" spans="1:31" x14ac:dyDescent="0.2">
      <c r="A458" s="1" t="s">
        <v>165</v>
      </c>
      <c r="B458" s="1" t="s">
        <v>1352</v>
      </c>
      <c r="C458" s="1">
        <v>1355</v>
      </c>
      <c r="D458" s="1">
        <v>7</v>
      </c>
      <c r="F458" s="1">
        <v>2023</v>
      </c>
      <c r="G458" s="5">
        <v>234</v>
      </c>
      <c r="H458" s="5">
        <v>199.64</v>
      </c>
      <c r="I458" s="5">
        <v>24153.77</v>
      </c>
      <c r="K458" s="5">
        <v>8.1000000000000003E-2</v>
      </c>
      <c r="L458" s="5">
        <v>1E-3</v>
      </c>
      <c r="M458" s="5">
        <v>16031.594999999999</v>
      </c>
      <c r="N458" s="6">
        <v>5.8999999999999997E-2</v>
      </c>
      <c r="O458" s="5">
        <v>7.8449999999999998</v>
      </c>
      <c r="P458" s="6">
        <v>5.8000000000000003E-2</v>
      </c>
      <c r="Q458" s="5">
        <v>269756.31</v>
      </c>
      <c r="R458" s="1" t="s">
        <v>44</v>
      </c>
      <c r="T458" s="1" t="s">
        <v>93</v>
      </c>
      <c r="V458" s="1" t="s">
        <v>183</v>
      </c>
      <c r="Y458" s="1" t="s">
        <v>168</v>
      </c>
      <c r="Z458" s="1" t="str">
        <f t="shared" si="21"/>
        <v>1355 7</v>
      </c>
      <c r="AA458" s="3">
        <f>IF(INDEX('CAMD Facility Data 2023'!$AA$2:$AE$10000,MATCH(Z458,'CAMD Facility Data 2023'!$AE$2:$AE$10000,0),1)&gt;0,INDEX('CAMD Facility Data 2023'!$AA$2:$AE$10000,MATCH(Z458,'CAMD Facility Data 2023'!$AE$2:$AE$10000,0),1),"")</f>
        <v>36380</v>
      </c>
      <c r="AB458" s="5">
        <f>IF(INDEX('CAMD Facility Data 2023'!$AC$2:$AE$10000,MATCH(Z458,'CAMD Facility Data 2023'!$AE$2:$AE$10000,0),1)&gt;0,INDEX('CAMD Facility Data 2023'!$AC$2:$AE$10000,MATCH(Z458,'CAMD Facility Data 2023'!$AE$2:$AE$10000,0),1),"")</f>
        <v>1970</v>
      </c>
      <c r="AC458" s="1" t="str">
        <f>IF(INDEX('CAMD Facility Data 2023'!$AE$2:$AG$10000,MATCH(Z458,'CAMD Facility Data 2023'!$AE$2:$AE$10000,0),3)&gt;0,INDEX('CAMD Facility Data 2023'!$AE$2:$AG$10000,MATCH(Z458,'CAMD Facility Data 2023'!$AE$2:$AE$10000,0),3),"")</f>
        <v/>
      </c>
      <c r="AD458" s="20">
        <f t="shared" si="22"/>
        <v>0.64958803532533427</v>
      </c>
      <c r="AE458" s="25">
        <f t="shared" si="23"/>
        <v>1.5631522494958625E-2</v>
      </c>
    </row>
    <row r="459" spans="1:31" x14ac:dyDescent="0.2">
      <c r="A459" s="1" t="s">
        <v>165</v>
      </c>
      <c r="B459" s="1" t="s">
        <v>1352</v>
      </c>
      <c r="C459" s="1">
        <v>1355</v>
      </c>
      <c r="D459" s="1">
        <v>8</v>
      </c>
      <c r="F459" s="1">
        <v>2023</v>
      </c>
      <c r="G459" s="5">
        <v>74</v>
      </c>
      <c r="H459" s="5">
        <v>60.3</v>
      </c>
      <c r="I459" s="5">
        <v>4374.05</v>
      </c>
      <c r="K459" s="5">
        <v>0.107</v>
      </c>
      <c r="L459" s="5">
        <v>7.7000000000000002E-3</v>
      </c>
      <c r="M459" s="5">
        <v>3577.2530000000002</v>
      </c>
      <c r="N459" s="6">
        <v>5.9799999999999999E-2</v>
      </c>
      <c r="O459" s="5">
        <v>4.0350000000000001</v>
      </c>
      <c r="P459" s="6">
        <v>0.1361</v>
      </c>
      <c r="Q459" s="5">
        <v>59872.256999999998</v>
      </c>
      <c r="R459" s="1" t="s">
        <v>44</v>
      </c>
      <c r="T459" s="1" t="s">
        <v>93</v>
      </c>
      <c r="U459" s="1" t="s">
        <v>454</v>
      </c>
      <c r="V459" s="1" t="s">
        <v>95</v>
      </c>
      <c r="Y459" s="1" t="s">
        <v>168</v>
      </c>
      <c r="Z459" s="1" t="str">
        <f t="shared" si="21"/>
        <v>1355 8</v>
      </c>
      <c r="AA459" s="3">
        <f>IF(INDEX('CAMD Facility Data 2023'!$AA$2:$AE$10000,MATCH(Z459,'CAMD Facility Data 2023'!$AE$2:$AE$10000,0),1)&gt;0,INDEX('CAMD Facility Data 2023'!$AA$2:$AE$10000,MATCH(Z459,'CAMD Facility Data 2023'!$AE$2:$AE$10000,0),1),"")</f>
        <v>34700</v>
      </c>
      <c r="AB459" s="5">
        <f>IF(INDEX('CAMD Facility Data 2023'!$AC$2:$AE$10000,MATCH(Z459,'CAMD Facility Data 2023'!$AE$2:$AE$10000,0),1)&gt;0,INDEX('CAMD Facility Data 2023'!$AC$2:$AE$10000,MATCH(Z459,'CAMD Facility Data 2023'!$AE$2:$AE$10000,0),1),"")</f>
        <v>1552</v>
      </c>
      <c r="AC459" s="1" t="str">
        <f>IF(INDEX('CAMD Facility Data 2023'!$AE$2:$AG$10000,MATCH(Z459,'CAMD Facility Data 2023'!$AE$2:$AE$10000,0),3)&gt;0,INDEX('CAMD Facility Data 2023'!$AE$2:$AG$10000,MATCH(Z459,'CAMD Facility Data 2023'!$AE$2:$AE$10000,0),3),"")</f>
        <v/>
      </c>
      <c r="AD459" s="20">
        <f t="shared" si="22"/>
        <v>1.8449720510739474</v>
      </c>
      <c r="AE459" s="25">
        <f t="shared" si="23"/>
        <v>4.4038225091794945E-3</v>
      </c>
    </row>
    <row r="460" spans="1:31" x14ac:dyDescent="0.2">
      <c r="A460" s="1" t="s">
        <v>165</v>
      </c>
      <c r="B460" s="1" t="s">
        <v>1352</v>
      </c>
      <c r="C460" s="1">
        <v>1355</v>
      </c>
      <c r="D460" s="1">
        <v>9</v>
      </c>
      <c r="F460" s="1">
        <v>2023</v>
      </c>
      <c r="G460" s="5">
        <v>80</v>
      </c>
      <c r="H460" s="5">
        <v>67.099999999999994</v>
      </c>
      <c r="I460" s="5">
        <v>5391.79</v>
      </c>
      <c r="K460" s="5">
        <v>0.121</v>
      </c>
      <c r="L460" s="5">
        <v>7.3000000000000001E-3</v>
      </c>
      <c r="M460" s="5">
        <v>4148.585</v>
      </c>
      <c r="N460" s="6">
        <v>5.9799999999999999E-2</v>
      </c>
      <c r="O460" s="5">
        <v>4.1239999999999997</v>
      </c>
      <c r="P460" s="6">
        <v>0.11899999999999999</v>
      </c>
      <c r="Q460" s="5">
        <v>69452.176000000007</v>
      </c>
      <c r="R460" s="1" t="s">
        <v>44</v>
      </c>
      <c r="T460" s="1" t="s">
        <v>93</v>
      </c>
      <c r="U460" s="1" t="s">
        <v>454</v>
      </c>
      <c r="V460" s="1" t="s">
        <v>95</v>
      </c>
      <c r="Y460" s="1" t="s">
        <v>168</v>
      </c>
      <c r="Z460" s="1" t="str">
        <f t="shared" si="21"/>
        <v>1355 9</v>
      </c>
      <c r="AA460" s="3">
        <f>IF(INDEX('CAMD Facility Data 2023'!$AA$2:$AE$10000,MATCH(Z460,'CAMD Facility Data 2023'!$AE$2:$AE$10000,0),1)&gt;0,INDEX('CAMD Facility Data 2023'!$AA$2:$AE$10000,MATCH(Z460,'CAMD Facility Data 2023'!$AE$2:$AE$10000,0),1),"")</f>
        <v>34700</v>
      </c>
      <c r="AB460" s="5">
        <f>IF(INDEX('CAMD Facility Data 2023'!$AC$2:$AE$10000,MATCH(Z460,'CAMD Facility Data 2023'!$AE$2:$AE$10000,0),1)&gt;0,INDEX('CAMD Facility Data 2023'!$AC$2:$AE$10000,MATCH(Z460,'CAMD Facility Data 2023'!$AE$2:$AE$10000,0),1),"")</f>
        <v>1610</v>
      </c>
      <c r="AC460" s="1" t="str">
        <f>IF(INDEX('CAMD Facility Data 2023'!$AE$2:$AG$10000,MATCH(Z460,'CAMD Facility Data 2023'!$AE$2:$AE$10000,0),3)&gt;0,INDEX('CAMD Facility Data 2023'!$AE$2:$AG$10000,MATCH(Z460,'CAMD Facility Data 2023'!$AE$2:$AE$10000,0),3),"")</f>
        <v/>
      </c>
      <c r="AD460" s="20">
        <f t="shared" si="22"/>
        <v>1.5297331683912021</v>
      </c>
      <c r="AE460" s="25">
        <f t="shared" si="23"/>
        <v>4.924428940128762E-3</v>
      </c>
    </row>
    <row r="461" spans="1:31" x14ac:dyDescent="0.2">
      <c r="A461" s="1" t="s">
        <v>165</v>
      </c>
      <c r="B461" s="1" t="s">
        <v>1367</v>
      </c>
      <c r="C461" s="1">
        <v>1356</v>
      </c>
      <c r="D461" s="1">
        <v>1</v>
      </c>
      <c r="F461" s="1">
        <v>2023</v>
      </c>
      <c r="G461" s="5">
        <v>7291</v>
      </c>
      <c r="H461" s="5">
        <v>7279.98</v>
      </c>
      <c r="I461" s="5">
        <v>2899443.55</v>
      </c>
      <c r="K461" s="5">
        <v>770.84500000000003</v>
      </c>
      <c r="L461" s="5">
        <v>5.3100000000000001E-2</v>
      </c>
      <c r="M461" s="5">
        <v>2868074.503</v>
      </c>
      <c r="N461" s="6">
        <v>0.10299999999999999</v>
      </c>
      <c r="O461" s="5">
        <v>716.75800000000004</v>
      </c>
      <c r="P461" s="6">
        <v>5.0299999999999997E-2</v>
      </c>
      <c r="Q461" s="5">
        <v>27953962.013999999</v>
      </c>
      <c r="R461" s="1" t="s">
        <v>55</v>
      </c>
      <c r="T461" s="1" t="s">
        <v>43</v>
      </c>
      <c r="U461" s="1" t="s">
        <v>56</v>
      </c>
      <c r="V461" s="1" t="s">
        <v>57</v>
      </c>
      <c r="W461" s="1" t="s">
        <v>232</v>
      </c>
      <c r="X461" s="1" t="s">
        <v>1109</v>
      </c>
      <c r="Y461" s="1" t="s">
        <v>1353</v>
      </c>
      <c r="Z461" s="1" t="str">
        <f t="shared" si="21"/>
        <v>1356 1</v>
      </c>
      <c r="AA461" s="3">
        <f>IF(INDEX('CAMD Facility Data 2023'!$AA$2:$AE$10000,MATCH(Z461,'CAMD Facility Data 2023'!$AE$2:$AE$10000,0),1)&gt;0,INDEX('CAMD Facility Data 2023'!$AA$2:$AE$10000,MATCH(Z461,'CAMD Facility Data 2023'!$AE$2:$AE$10000,0),1),"")</f>
        <v>27079</v>
      </c>
      <c r="AB461" s="5">
        <f>IF(INDEX('CAMD Facility Data 2023'!$AC$2:$AE$10000,MATCH(Z461,'CAMD Facility Data 2023'!$AE$2:$AE$10000,0),1)&gt;0,INDEX('CAMD Facility Data 2023'!$AC$2:$AE$10000,MATCH(Z461,'CAMD Facility Data 2023'!$AE$2:$AE$10000,0),1),"")</f>
        <v>5500</v>
      </c>
      <c r="AC461" s="1" t="str">
        <f>IF(INDEX('CAMD Facility Data 2023'!$AE$2:$AG$10000,MATCH(Z461,'CAMD Facility Data 2023'!$AE$2:$AE$10000,0),3)&gt;0,INDEX('CAMD Facility Data 2023'!$AE$2:$AG$10000,MATCH(Z461,'CAMD Facility Data 2023'!$AE$2:$AE$10000,0),3),"")</f>
        <v>Y</v>
      </c>
      <c r="AD461" s="20">
        <f t="shared" si="22"/>
        <v>0.49441072925872281</v>
      </c>
      <c r="AE461" s="25">
        <f t="shared" si="23"/>
        <v>0.5801984643835616</v>
      </c>
    </row>
    <row r="462" spans="1:31" x14ac:dyDescent="0.2">
      <c r="A462" s="1" t="s">
        <v>165</v>
      </c>
      <c r="B462" s="1" t="s">
        <v>1367</v>
      </c>
      <c r="C462" s="1">
        <v>1356</v>
      </c>
      <c r="D462" s="1">
        <v>2</v>
      </c>
      <c r="E462" s="1" t="s">
        <v>1150</v>
      </c>
      <c r="F462" s="1">
        <v>2023</v>
      </c>
      <c r="G462" s="5">
        <v>7965</v>
      </c>
      <c r="H462" s="5">
        <v>7961.44</v>
      </c>
      <c r="I462" s="5">
        <v>2824410.28</v>
      </c>
      <c r="K462" s="5">
        <v>3369.6570000000002</v>
      </c>
      <c r="L462" s="5">
        <v>0.23680000000000001</v>
      </c>
      <c r="M462" s="5">
        <v>2752506.929</v>
      </c>
      <c r="N462" s="6">
        <v>0.10299999999999999</v>
      </c>
      <c r="O462" s="5">
        <v>3039.6660000000002</v>
      </c>
      <c r="P462" s="6">
        <v>0.21629999999999999</v>
      </c>
      <c r="Q462" s="5">
        <v>26827573.853999998</v>
      </c>
      <c r="R462" s="1" t="s">
        <v>55</v>
      </c>
      <c r="T462" s="1" t="s">
        <v>43</v>
      </c>
      <c r="U462" s="1" t="s">
        <v>56</v>
      </c>
      <c r="V462" s="1" t="s">
        <v>213</v>
      </c>
      <c r="W462" s="1" t="s">
        <v>232</v>
      </c>
      <c r="X462" s="1" t="s">
        <v>1372</v>
      </c>
      <c r="Y462" s="1" t="s">
        <v>1353</v>
      </c>
      <c r="Z462" s="1" t="str">
        <f t="shared" si="21"/>
        <v>1356 2</v>
      </c>
      <c r="AA462" s="3">
        <f>IF(INDEX('CAMD Facility Data 2023'!$AA$2:$AE$10000,MATCH(Z462,'CAMD Facility Data 2023'!$AE$2:$AE$10000,0),1)&gt;0,INDEX('CAMD Facility Data 2023'!$AA$2:$AE$10000,MATCH(Z462,'CAMD Facility Data 2023'!$AE$2:$AE$10000,0),1),"")</f>
        <v>28235</v>
      </c>
      <c r="AB462" s="5">
        <f>IF(INDEX('CAMD Facility Data 2023'!$AC$2:$AE$10000,MATCH(Z462,'CAMD Facility Data 2023'!$AE$2:$AE$10000,0),1)&gt;0,INDEX('CAMD Facility Data 2023'!$AC$2:$AE$10000,MATCH(Z462,'CAMD Facility Data 2023'!$AE$2:$AE$10000,0),1),"")</f>
        <v>5800</v>
      </c>
      <c r="AC462" s="1" t="str">
        <f>IF(INDEX('CAMD Facility Data 2023'!$AE$2:$AG$10000,MATCH(Z462,'CAMD Facility Data 2023'!$AE$2:$AE$10000,0),3)&gt;0,INDEX('CAMD Facility Data 2023'!$AE$2:$AG$10000,MATCH(Z462,'CAMD Facility Data 2023'!$AE$2:$AE$10000,0),3),"")</f>
        <v/>
      </c>
      <c r="AD462" s="20">
        <f t="shared" si="22"/>
        <v>2.152425248926654</v>
      </c>
      <c r="AE462" s="25">
        <f t="shared" si="23"/>
        <v>0.5280186949692961</v>
      </c>
    </row>
    <row r="463" spans="1:31" x14ac:dyDescent="0.2">
      <c r="A463" s="1" t="s">
        <v>165</v>
      </c>
      <c r="B463" s="1" t="s">
        <v>1367</v>
      </c>
      <c r="C463" s="1">
        <v>1356</v>
      </c>
      <c r="D463" s="1">
        <v>3</v>
      </c>
      <c r="E463" s="1" t="s">
        <v>1150</v>
      </c>
      <c r="F463" s="1">
        <v>2023</v>
      </c>
      <c r="G463" s="5">
        <v>6812</v>
      </c>
      <c r="H463" s="5">
        <v>6804.42</v>
      </c>
      <c r="I463" s="5">
        <v>2583570.77</v>
      </c>
      <c r="K463" s="5">
        <v>2756.6770000000001</v>
      </c>
      <c r="L463" s="5">
        <v>0.21759999999999999</v>
      </c>
      <c r="M463" s="5">
        <v>2507216.2000000002</v>
      </c>
      <c r="N463" s="6">
        <v>0.10299999999999999</v>
      </c>
      <c r="O463" s="5">
        <v>2199.2890000000002</v>
      </c>
      <c r="P463" s="6">
        <v>0.17699999999999999</v>
      </c>
      <c r="Q463" s="5">
        <v>24436814.524999999</v>
      </c>
      <c r="R463" s="1" t="s">
        <v>55</v>
      </c>
      <c r="T463" s="1" t="s">
        <v>89</v>
      </c>
      <c r="U463" s="1" t="s">
        <v>56</v>
      </c>
      <c r="V463" s="1" t="s">
        <v>563</v>
      </c>
      <c r="W463" s="1" t="s">
        <v>123</v>
      </c>
      <c r="X463" s="1" t="s">
        <v>1372</v>
      </c>
      <c r="Y463" s="1" t="s">
        <v>1353</v>
      </c>
      <c r="Z463" s="1" t="str">
        <f t="shared" si="21"/>
        <v>1356 3</v>
      </c>
      <c r="AA463" s="3">
        <f>IF(INDEX('CAMD Facility Data 2023'!$AA$2:$AE$10000,MATCH(Z463,'CAMD Facility Data 2023'!$AE$2:$AE$10000,0),1)&gt;0,INDEX('CAMD Facility Data 2023'!$AA$2:$AE$10000,MATCH(Z463,'CAMD Facility Data 2023'!$AE$2:$AE$10000,0),1),"")</f>
        <v>29737</v>
      </c>
      <c r="AB463" s="5">
        <f>IF(INDEX('CAMD Facility Data 2023'!$AC$2:$AE$10000,MATCH(Z463,'CAMD Facility Data 2023'!$AE$2:$AE$10000,0),1)&gt;0,INDEX('CAMD Facility Data 2023'!$AC$2:$AE$10000,MATCH(Z463,'CAMD Facility Data 2023'!$AE$2:$AE$10000,0),1),"")</f>
        <v>5800</v>
      </c>
      <c r="AC463" s="1" t="str">
        <f>IF(INDEX('CAMD Facility Data 2023'!$AE$2:$AG$10000,MATCH(Z463,'CAMD Facility Data 2023'!$AE$2:$AE$10000,0),3)&gt;0,INDEX('CAMD Facility Data 2023'!$AE$2:$AG$10000,MATCH(Z463,'CAMD Facility Data 2023'!$AE$2:$AE$10000,0),3),"")</f>
        <v>Y</v>
      </c>
      <c r="AD463" s="20">
        <f t="shared" si="22"/>
        <v>1.7025188746813389</v>
      </c>
      <c r="AE463" s="25">
        <f t="shared" si="23"/>
        <v>0.48096391365532987</v>
      </c>
    </row>
    <row r="464" spans="1:31" x14ac:dyDescent="0.2">
      <c r="A464" s="1" t="s">
        <v>165</v>
      </c>
      <c r="B464" s="1" t="s">
        <v>1367</v>
      </c>
      <c r="C464" s="1">
        <v>1356</v>
      </c>
      <c r="D464" s="1">
        <v>4</v>
      </c>
      <c r="F464" s="1">
        <v>2023</v>
      </c>
      <c r="G464" s="5">
        <v>7409</v>
      </c>
      <c r="H464" s="5">
        <v>7404.69</v>
      </c>
      <c r="I464" s="5">
        <v>2450092.2200000002</v>
      </c>
      <c r="K464" s="5">
        <v>850.29499999999996</v>
      </c>
      <c r="L464" s="5">
        <v>6.8599999999999994E-2</v>
      </c>
      <c r="M464" s="5">
        <v>2454646.5219999999</v>
      </c>
      <c r="N464" s="6">
        <v>0.10299999999999999</v>
      </c>
      <c r="O464" s="5">
        <v>700.995</v>
      </c>
      <c r="P464" s="6">
        <v>5.7599999999999998E-2</v>
      </c>
      <c r="Q464" s="5">
        <v>23924431.528000001</v>
      </c>
      <c r="R464" s="1" t="s">
        <v>55</v>
      </c>
      <c r="T464" s="1" t="s">
        <v>89</v>
      </c>
      <c r="U464" s="1" t="s">
        <v>56</v>
      </c>
      <c r="V464" s="1" t="s">
        <v>563</v>
      </c>
      <c r="W464" s="1" t="s">
        <v>123</v>
      </c>
      <c r="X464" s="1" t="s">
        <v>1109</v>
      </c>
      <c r="Y464" s="1" t="s">
        <v>1353</v>
      </c>
      <c r="Z464" s="1" t="str">
        <f t="shared" si="21"/>
        <v>1356 4</v>
      </c>
      <c r="AA464" s="3">
        <f>IF(INDEX('CAMD Facility Data 2023'!$AA$2:$AE$10000,MATCH(Z464,'CAMD Facility Data 2023'!$AE$2:$AE$10000,0),1)&gt;0,INDEX('CAMD Facility Data 2023'!$AA$2:$AE$10000,MATCH(Z464,'CAMD Facility Data 2023'!$AE$2:$AE$10000,0),1),"")</f>
        <v>30912</v>
      </c>
      <c r="AB464" s="5">
        <f>IF(INDEX('CAMD Facility Data 2023'!$AC$2:$AE$10000,MATCH(Z464,'CAMD Facility Data 2023'!$AE$2:$AE$10000,0),1)&gt;0,INDEX('CAMD Facility Data 2023'!$AC$2:$AE$10000,MATCH(Z464,'CAMD Facility Data 2023'!$AE$2:$AE$10000,0),1),"")</f>
        <v>5500</v>
      </c>
      <c r="AC464" s="1" t="str">
        <f>IF(INDEX('CAMD Facility Data 2023'!$AE$2:$AG$10000,MATCH(Z464,'CAMD Facility Data 2023'!$AE$2:$AE$10000,0),3)&gt;0,INDEX('CAMD Facility Data 2023'!$AE$2:$AG$10000,MATCH(Z464,'CAMD Facility Data 2023'!$AE$2:$AE$10000,0),3),"")</f>
        <v>Y</v>
      </c>
      <c r="AD464" s="20">
        <f t="shared" si="22"/>
        <v>0.5722192775258067</v>
      </c>
      <c r="AE464" s="25">
        <f t="shared" si="23"/>
        <v>0.49656354354503945</v>
      </c>
    </row>
    <row r="465" spans="1:31" x14ac:dyDescent="0.2">
      <c r="A465" s="1" t="s">
        <v>165</v>
      </c>
      <c r="B465" s="1" t="s">
        <v>1376</v>
      </c>
      <c r="C465" s="1">
        <v>1363</v>
      </c>
      <c r="D465" s="1" t="s">
        <v>75</v>
      </c>
      <c r="F465" s="1">
        <v>2023</v>
      </c>
      <c r="G465" s="5">
        <v>7672</v>
      </c>
      <c r="H465" s="5">
        <v>7659.58</v>
      </c>
      <c r="I465" s="5">
        <v>2510383.48</v>
      </c>
      <c r="K465" s="5">
        <v>5.1040000000000001</v>
      </c>
      <c r="L465" s="5">
        <v>1E-3</v>
      </c>
      <c r="M465" s="5">
        <v>1011124.322</v>
      </c>
      <c r="N465" s="6">
        <v>5.8999999999999997E-2</v>
      </c>
      <c r="O465" s="5">
        <v>230.18899999999999</v>
      </c>
      <c r="P465" s="6">
        <v>2.7300000000000001E-2</v>
      </c>
      <c r="Q465" s="5">
        <v>17014082.138</v>
      </c>
      <c r="R465" s="1" t="s">
        <v>44</v>
      </c>
      <c r="T465" s="1" t="s">
        <v>71</v>
      </c>
      <c r="V465" s="1" t="s">
        <v>140</v>
      </c>
      <c r="Y465" s="1" t="s">
        <v>168</v>
      </c>
      <c r="Z465" s="1" t="str">
        <f t="shared" si="21"/>
        <v>1363 7A</v>
      </c>
      <c r="AA465" s="3">
        <f>IF(INDEX('CAMD Facility Data 2023'!$AA$2:$AE$10000,MATCH(Z465,'CAMD Facility Data 2023'!$AE$2:$AE$10000,0),1)&gt;0,INDEX('CAMD Facility Data 2023'!$AA$2:$AE$10000,MATCH(Z465,'CAMD Facility Data 2023'!$AE$2:$AE$10000,0),1),"")</f>
        <v>42064</v>
      </c>
      <c r="AB465" s="5">
        <f>IF(INDEX('CAMD Facility Data 2023'!$AC$2:$AE$10000,MATCH(Z465,'CAMD Facility Data 2023'!$AE$2:$AE$10000,0),1)&gt;0,INDEX('CAMD Facility Data 2023'!$AC$2:$AE$10000,MATCH(Z465,'CAMD Facility Data 2023'!$AE$2:$AE$10000,0),1),"")</f>
        <v>2524</v>
      </c>
      <c r="AC465" s="1" t="str">
        <f>IF(INDEX('CAMD Facility Data 2023'!$AE$2:$AG$10000,MATCH(Z465,'CAMD Facility Data 2023'!$AE$2:$AE$10000,0),3)&gt;0,INDEX('CAMD Facility Data 2023'!$AE$2:$AG$10000,MATCH(Z465,'CAMD Facility Data 2023'!$AE$2:$AE$10000,0),3),"")</f>
        <v/>
      </c>
      <c r="AD465" s="20">
        <f t="shared" si="22"/>
        <v>0.18338951147017588</v>
      </c>
      <c r="AE465" s="25">
        <f t="shared" si="23"/>
        <v>0.76951141814833313</v>
      </c>
    </row>
    <row r="466" spans="1:31" x14ac:dyDescent="0.2">
      <c r="A466" s="1" t="s">
        <v>165</v>
      </c>
      <c r="B466" s="1" t="s">
        <v>1376</v>
      </c>
      <c r="C466" s="1">
        <v>1363</v>
      </c>
      <c r="D466" s="1" t="s">
        <v>78</v>
      </c>
      <c r="F466" s="1">
        <v>2023</v>
      </c>
      <c r="G466" s="5">
        <v>7423</v>
      </c>
      <c r="H466" s="5">
        <v>7414.15</v>
      </c>
      <c r="I466" s="5">
        <v>2439187</v>
      </c>
      <c r="K466" s="5">
        <v>4.9359999999999999</v>
      </c>
      <c r="L466" s="5">
        <v>1E-3</v>
      </c>
      <c r="M466" s="5">
        <v>977691.72100000002</v>
      </c>
      <c r="N466" s="6">
        <v>5.8999999999999997E-2</v>
      </c>
      <c r="O466" s="5">
        <v>216.399</v>
      </c>
      <c r="P466" s="6">
        <v>2.6499999999999999E-2</v>
      </c>
      <c r="Q466" s="5">
        <v>16451615.706</v>
      </c>
      <c r="R466" s="1" t="s">
        <v>44</v>
      </c>
      <c r="T466" s="1" t="s">
        <v>71</v>
      </c>
      <c r="V466" s="1" t="s">
        <v>140</v>
      </c>
      <c r="Y466" s="1" t="s">
        <v>168</v>
      </c>
      <c r="Z466" s="1" t="str">
        <f t="shared" si="21"/>
        <v>1363 7B</v>
      </c>
      <c r="AA466" s="3">
        <f>IF(INDEX('CAMD Facility Data 2023'!$AA$2:$AE$10000,MATCH(Z466,'CAMD Facility Data 2023'!$AE$2:$AE$10000,0),1)&gt;0,INDEX('CAMD Facility Data 2023'!$AA$2:$AE$10000,MATCH(Z466,'CAMD Facility Data 2023'!$AE$2:$AE$10000,0),1),"")</f>
        <v>42072</v>
      </c>
      <c r="AB466" s="5">
        <f>IF(INDEX('CAMD Facility Data 2023'!$AC$2:$AE$10000,MATCH(Z466,'CAMD Facility Data 2023'!$AE$2:$AE$10000,0),1)&gt;0,INDEX('CAMD Facility Data 2023'!$AC$2:$AE$10000,MATCH(Z466,'CAMD Facility Data 2023'!$AE$2:$AE$10000,0),1),"")</f>
        <v>2500</v>
      </c>
      <c r="AC466" s="1" t="str">
        <f>IF(INDEX('CAMD Facility Data 2023'!$AE$2:$AG$10000,MATCH(Z466,'CAMD Facility Data 2023'!$AE$2:$AE$10000,0),3)&gt;0,INDEX('CAMD Facility Data 2023'!$AE$2:$AG$10000,MATCH(Z466,'CAMD Facility Data 2023'!$AE$2:$AE$10000,0),3),"")</f>
        <v/>
      </c>
      <c r="AD466" s="20">
        <f t="shared" si="22"/>
        <v>0.17743535038518982</v>
      </c>
      <c r="AE466" s="25">
        <f t="shared" si="23"/>
        <v>0.75121532904109589</v>
      </c>
    </row>
    <row r="467" spans="1:31" x14ac:dyDescent="0.2">
      <c r="A467" s="1" t="s">
        <v>165</v>
      </c>
      <c r="B467" s="1" t="s">
        <v>1381</v>
      </c>
      <c r="C467" s="1">
        <v>1364</v>
      </c>
      <c r="D467" s="1">
        <v>1</v>
      </c>
      <c r="E467" s="1" t="s">
        <v>1177</v>
      </c>
      <c r="F467" s="1">
        <v>2023</v>
      </c>
      <c r="G467" s="5">
        <v>4761</v>
      </c>
      <c r="H467" s="5">
        <v>4753.7700000000004</v>
      </c>
      <c r="I467" s="5">
        <v>1167283.49</v>
      </c>
      <c r="K467" s="5">
        <v>509.43</v>
      </c>
      <c r="L467" s="5">
        <v>9.0499999999999997E-2</v>
      </c>
      <c r="M467" s="5">
        <v>1058935.6100000001</v>
      </c>
      <c r="N467" s="6">
        <v>0.10249999999999999</v>
      </c>
      <c r="O467" s="5">
        <v>1494.3420000000001</v>
      </c>
      <c r="P467" s="6">
        <v>0.28739999999999999</v>
      </c>
      <c r="Q467" s="5">
        <v>10327666.885</v>
      </c>
      <c r="R467" s="1" t="s">
        <v>55</v>
      </c>
      <c r="T467" s="1" t="s">
        <v>43</v>
      </c>
      <c r="U467" s="1" t="s">
        <v>56</v>
      </c>
      <c r="V467" s="1" t="s">
        <v>242</v>
      </c>
      <c r="W467" s="1" t="s">
        <v>123</v>
      </c>
      <c r="X467" s="1" t="s">
        <v>1109</v>
      </c>
      <c r="Y467" s="1" t="s">
        <v>1353</v>
      </c>
      <c r="Z467" s="1" t="str">
        <f t="shared" si="21"/>
        <v>1364 1</v>
      </c>
      <c r="AA467" s="3">
        <f>IF(INDEX('CAMD Facility Data 2023'!$AA$2:$AE$10000,MATCH(Z467,'CAMD Facility Data 2023'!$AE$2:$AE$10000,0),1)&gt;0,INDEX('CAMD Facility Data 2023'!$AA$2:$AE$10000,MATCH(Z467,'CAMD Facility Data 2023'!$AE$2:$AE$10000,0),1),"")</f>
        <v>26491</v>
      </c>
      <c r="AB467" s="5">
        <f>IF(INDEX('CAMD Facility Data 2023'!$AC$2:$AE$10000,MATCH(Z467,'CAMD Facility Data 2023'!$AE$2:$AE$10000,0),1)&gt;0,INDEX('CAMD Facility Data 2023'!$AC$2:$AE$10000,MATCH(Z467,'CAMD Facility Data 2023'!$AE$2:$AE$10000,0),1),"")</f>
        <v>3700</v>
      </c>
      <c r="AC467" s="1" t="str">
        <f>IF(INDEX('CAMD Facility Data 2023'!$AE$2:$AG$10000,MATCH(Z467,'CAMD Facility Data 2023'!$AE$2:$AE$10000,0),3)&gt;0,INDEX('CAMD Facility Data 2023'!$AE$2:$AG$10000,MATCH(Z467,'CAMD Facility Data 2023'!$AE$2:$AE$10000,0),3),"")</f>
        <v/>
      </c>
      <c r="AD467" s="20">
        <f t="shared" si="22"/>
        <v>2.5603754577219284</v>
      </c>
      <c r="AE467" s="25">
        <f t="shared" si="23"/>
        <v>0.31863713701715413</v>
      </c>
    </row>
    <row r="468" spans="1:31" x14ac:dyDescent="0.2">
      <c r="A468" s="1" t="s">
        <v>165</v>
      </c>
      <c r="B468" s="1" t="s">
        <v>1381</v>
      </c>
      <c r="C468" s="1">
        <v>1364</v>
      </c>
      <c r="D468" s="1">
        <v>2</v>
      </c>
      <c r="E468" s="1" t="s">
        <v>1177</v>
      </c>
      <c r="F468" s="1">
        <v>2023</v>
      </c>
      <c r="G468" s="5">
        <v>7565</v>
      </c>
      <c r="H468" s="5">
        <v>7560.5</v>
      </c>
      <c r="I468" s="5">
        <v>1842797.58</v>
      </c>
      <c r="K468" s="5">
        <v>720.03399999999999</v>
      </c>
      <c r="L468" s="5">
        <v>8.2600000000000007E-2</v>
      </c>
      <c r="M468" s="5">
        <v>1677713.7279999999</v>
      </c>
      <c r="N468" s="6">
        <v>0.1028</v>
      </c>
      <c r="O468" s="5">
        <v>2277.9580000000001</v>
      </c>
      <c r="P468" s="6">
        <v>0.27939999999999998</v>
      </c>
      <c r="Q468" s="5">
        <v>16356880.324999999</v>
      </c>
      <c r="R468" s="1" t="s">
        <v>55</v>
      </c>
      <c r="T468" s="1" t="s">
        <v>43</v>
      </c>
      <c r="U468" s="1" t="s">
        <v>56</v>
      </c>
      <c r="V468" s="1" t="s">
        <v>242</v>
      </c>
      <c r="W468" s="1" t="s">
        <v>123</v>
      </c>
      <c r="X468" s="1" t="s">
        <v>1109</v>
      </c>
      <c r="Y468" s="1" t="s">
        <v>1353</v>
      </c>
      <c r="Z468" s="1" t="str">
        <f t="shared" si="21"/>
        <v>1364 2</v>
      </c>
      <c r="AA468" s="3">
        <f>IF(INDEX('CAMD Facility Data 2023'!$AA$2:$AE$10000,MATCH(Z468,'CAMD Facility Data 2023'!$AE$2:$AE$10000,0),1)&gt;0,INDEX('CAMD Facility Data 2023'!$AA$2:$AE$10000,MATCH(Z468,'CAMD Facility Data 2023'!$AE$2:$AE$10000,0),1),"")</f>
        <v>27191</v>
      </c>
      <c r="AB468" s="5">
        <f>IF(INDEX('CAMD Facility Data 2023'!$AC$2:$AE$10000,MATCH(Z468,'CAMD Facility Data 2023'!$AE$2:$AE$10000,0),1)&gt;0,INDEX('CAMD Facility Data 2023'!$AC$2:$AE$10000,MATCH(Z468,'CAMD Facility Data 2023'!$AE$2:$AE$10000,0),1),"")</f>
        <v>3700</v>
      </c>
      <c r="AC468" s="1" t="str">
        <f>IF(INDEX('CAMD Facility Data 2023'!$AE$2:$AG$10000,MATCH(Z468,'CAMD Facility Data 2023'!$AE$2:$AE$10000,0),3)&gt;0,INDEX('CAMD Facility Data 2023'!$AE$2:$AG$10000,MATCH(Z468,'CAMD Facility Data 2023'!$AE$2:$AE$10000,0),3),"")</f>
        <v/>
      </c>
      <c r="AD468" s="20">
        <f t="shared" si="22"/>
        <v>2.472282387086703</v>
      </c>
      <c r="AE468" s="25">
        <f t="shared" si="23"/>
        <v>0.50465507605207949</v>
      </c>
    </row>
    <row r="469" spans="1:31" x14ac:dyDescent="0.2">
      <c r="A469" s="1" t="s">
        <v>165</v>
      </c>
      <c r="B469" s="1" t="s">
        <v>1381</v>
      </c>
      <c r="C469" s="1">
        <v>1364</v>
      </c>
      <c r="D469" s="1">
        <v>3</v>
      </c>
      <c r="F469" s="1">
        <v>2023</v>
      </c>
      <c r="G469" s="5">
        <v>8630</v>
      </c>
      <c r="H469" s="5">
        <v>8626.25</v>
      </c>
      <c r="I469" s="5">
        <v>2517512.62</v>
      </c>
      <c r="K469" s="5">
        <v>828.40200000000004</v>
      </c>
      <c r="L469" s="5">
        <v>6.7100000000000007E-2</v>
      </c>
      <c r="M469" s="5">
        <v>2462557.7420000001</v>
      </c>
      <c r="N469" s="6">
        <v>0.1026</v>
      </c>
      <c r="O469" s="5">
        <v>963.31799999999998</v>
      </c>
      <c r="P469" s="6">
        <v>8.0199999999999994E-2</v>
      </c>
      <c r="Q469" s="5">
        <v>24037060.177999999</v>
      </c>
      <c r="R469" s="1" t="s">
        <v>55</v>
      </c>
      <c r="T469" s="1" t="s">
        <v>89</v>
      </c>
      <c r="U469" s="1" t="s">
        <v>56</v>
      </c>
      <c r="V469" s="1" t="s">
        <v>639</v>
      </c>
      <c r="W469" s="1" t="s">
        <v>1384</v>
      </c>
      <c r="X469" s="1" t="s">
        <v>1109</v>
      </c>
      <c r="Y469" s="1" t="s">
        <v>1353</v>
      </c>
      <c r="Z469" s="1" t="str">
        <f t="shared" si="21"/>
        <v>1364 3</v>
      </c>
      <c r="AA469" s="3">
        <f>IF(INDEX('CAMD Facility Data 2023'!$AA$2:$AE$10000,MATCH(Z469,'CAMD Facility Data 2023'!$AE$2:$AE$10000,0),1)&gt;0,INDEX('CAMD Facility Data 2023'!$AA$2:$AE$10000,MATCH(Z469,'CAMD Facility Data 2023'!$AE$2:$AE$10000,0),1),"")</f>
        <v>28669</v>
      </c>
      <c r="AB469" s="5">
        <f>IF(INDEX('CAMD Facility Data 2023'!$AC$2:$AE$10000,MATCH(Z469,'CAMD Facility Data 2023'!$AE$2:$AE$10000,0),1)&gt;0,INDEX('CAMD Facility Data 2023'!$AC$2:$AE$10000,MATCH(Z469,'CAMD Facility Data 2023'!$AE$2:$AE$10000,0),1),"")</f>
        <v>4400</v>
      </c>
      <c r="AC469" s="1" t="str">
        <f>IF(INDEX('CAMD Facility Data 2023'!$AE$2:$AG$10000,MATCH(Z469,'CAMD Facility Data 2023'!$AE$2:$AE$10000,0),3)&gt;0,INDEX('CAMD Facility Data 2023'!$AE$2:$AG$10000,MATCH(Z469,'CAMD Facility Data 2023'!$AE$2:$AE$10000,0),3),"")</f>
        <v>Y</v>
      </c>
      <c r="AD469" s="20">
        <f t="shared" si="22"/>
        <v>0.76529348242154982</v>
      </c>
      <c r="AE469" s="25">
        <f t="shared" si="23"/>
        <v>0.62362650939186381</v>
      </c>
    </row>
    <row r="470" spans="1:31" x14ac:dyDescent="0.2">
      <c r="A470" s="1" t="s">
        <v>165</v>
      </c>
      <c r="B470" s="1" t="s">
        <v>1381</v>
      </c>
      <c r="C470" s="1">
        <v>1364</v>
      </c>
      <c r="D470" s="1">
        <v>4</v>
      </c>
      <c r="F470" s="1">
        <v>2023</v>
      </c>
      <c r="G470" s="5">
        <v>7433</v>
      </c>
      <c r="H470" s="5">
        <v>7418.43</v>
      </c>
      <c r="I470" s="5">
        <v>2760779.73</v>
      </c>
      <c r="K470" s="5">
        <v>1201.2750000000001</v>
      </c>
      <c r="L470" s="5">
        <v>9.1800000000000007E-2</v>
      </c>
      <c r="M470" s="5">
        <v>2688815.003</v>
      </c>
      <c r="N470" s="6">
        <v>0.1021</v>
      </c>
      <c r="O470" s="5">
        <v>939.86</v>
      </c>
      <c r="P470" s="6">
        <v>7.2599999999999998E-2</v>
      </c>
      <c r="Q470" s="5">
        <v>26251357.008000001</v>
      </c>
      <c r="R470" s="1" t="s">
        <v>55</v>
      </c>
      <c r="T470" s="1" t="s">
        <v>89</v>
      </c>
      <c r="U470" s="1" t="s">
        <v>56</v>
      </c>
      <c r="V470" s="1" t="s">
        <v>639</v>
      </c>
      <c r="W470" s="1" t="s">
        <v>1384</v>
      </c>
      <c r="X470" s="1" t="s">
        <v>1109</v>
      </c>
      <c r="Y470" s="1" t="s">
        <v>1353</v>
      </c>
      <c r="Z470" s="1" t="str">
        <f t="shared" si="21"/>
        <v>1364 4</v>
      </c>
      <c r="AA470" s="3">
        <f>IF(INDEX('CAMD Facility Data 2023'!$AA$2:$AE$10000,MATCH(Z470,'CAMD Facility Data 2023'!$AE$2:$AE$10000,0),1)&gt;0,INDEX('CAMD Facility Data 2023'!$AA$2:$AE$10000,MATCH(Z470,'CAMD Facility Data 2023'!$AE$2:$AE$10000,0),1),"")</f>
        <v>30147</v>
      </c>
      <c r="AB470" s="5">
        <f>IF(INDEX('CAMD Facility Data 2023'!$AC$2:$AE$10000,MATCH(Z470,'CAMD Facility Data 2023'!$AE$2:$AE$10000,0),1)&gt;0,INDEX('CAMD Facility Data 2023'!$AC$2:$AE$10000,MATCH(Z470,'CAMD Facility Data 2023'!$AE$2:$AE$10000,0),1),"")</f>
        <v>5500</v>
      </c>
      <c r="AC470" s="1" t="str">
        <f>IF(INDEX('CAMD Facility Data 2023'!$AE$2:$AG$10000,MATCH(Z470,'CAMD Facility Data 2023'!$AE$2:$AE$10000,0),3)&gt;0,INDEX('CAMD Facility Data 2023'!$AE$2:$AG$10000,MATCH(Z470,'CAMD Facility Data 2023'!$AE$2:$AE$10000,0),3),"")</f>
        <v>Y</v>
      </c>
      <c r="AD470" s="20">
        <f t="shared" si="22"/>
        <v>0.68086561907639043</v>
      </c>
      <c r="AE470" s="25">
        <f t="shared" si="23"/>
        <v>0.54486004582814451</v>
      </c>
    </row>
    <row r="471" spans="1:31" x14ac:dyDescent="0.2">
      <c r="A471" s="1" t="s">
        <v>165</v>
      </c>
      <c r="B471" s="1" t="s">
        <v>1387</v>
      </c>
      <c r="C471" s="1">
        <v>1366</v>
      </c>
      <c r="D471" s="1">
        <v>12</v>
      </c>
      <c r="F471" s="1">
        <v>2023</v>
      </c>
      <c r="G471" s="5">
        <v>2</v>
      </c>
      <c r="H471" s="5">
        <v>2</v>
      </c>
      <c r="K471" s="5">
        <v>0</v>
      </c>
      <c r="L471" s="5">
        <v>1E-3</v>
      </c>
      <c r="O471" s="5">
        <v>0.307</v>
      </c>
      <c r="P471" s="6">
        <v>0.7</v>
      </c>
      <c r="Q471" s="5">
        <v>876</v>
      </c>
      <c r="R471" s="1" t="s">
        <v>44</v>
      </c>
      <c r="T471" s="1" t="s">
        <v>93</v>
      </c>
      <c r="Y471" s="1" t="s">
        <v>1388</v>
      </c>
      <c r="Z471" s="1" t="str">
        <f t="shared" si="21"/>
        <v>1366 12</v>
      </c>
      <c r="AA471" s="3">
        <f>IF(INDEX('CAMD Facility Data 2023'!$AA$2:$AE$10000,MATCH(Z471,'CAMD Facility Data 2023'!$AE$2:$AE$10000,0),1)&gt;0,INDEX('CAMD Facility Data 2023'!$AA$2:$AE$10000,MATCH(Z471,'CAMD Facility Data 2023'!$AE$2:$AE$10000,0),1),"")</f>
        <v>25020</v>
      </c>
      <c r="AB471" s="5">
        <f>IF(INDEX('CAMD Facility Data 2023'!$AC$2:$AE$10000,MATCH(Z471,'CAMD Facility Data 2023'!$AE$2:$AE$10000,0),1)&gt;0,INDEX('CAMD Facility Data 2023'!$AC$2:$AE$10000,MATCH(Z471,'CAMD Facility Data 2023'!$AE$2:$AE$10000,0),1),"")</f>
        <v>438</v>
      </c>
      <c r="AC471" s="1" t="str">
        <f>IF(INDEX('CAMD Facility Data 2023'!$AE$2:$AG$10000,MATCH(Z471,'CAMD Facility Data 2023'!$AE$2:$AE$10000,0),3)&gt;0,INDEX('CAMD Facility Data 2023'!$AE$2:$AG$10000,MATCH(Z471,'CAMD Facility Data 2023'!$AE$2:$AE$10000,0),3),"")</f>
        <v/>
      </c>
      <c r="AD471" s="20" t="str">
        <f t="shared" si="22"/>
        <v/>
      </c>
      <c r="AE471" s="25">
        <f t="shared" si="23"/>
        <v>2.2831050228310502E-4</v>
      </c>
    </row>
    <row r="472" spans="1:31" x14ac:dyDescent="0.2">
      <c r="A472" s="1" t="s">
        <v>165</v>
      </c>
      <c r="B472" s="1" t="s">
        <v>1387</v>
      </c>
      <c r="C472" s="1">
        <v>1366</v>
      </c>
      <c r="D472" s="1">
        <v>13</v>
      </c>
      <c r="F472" s="1">
        <v>2023</v>
      </c>
      <c r="G472" s="5">
        <v>242</v>
      </c>
      <c r="H472" s="5">
        <v>213.83</v>
      </c>
      <c r="I472" s="5">
        <v>27884.25</v>
      </c>
      <c r="K472" s="5">
        <v>8.7999999999999995E-2</v>
      </c>
      <c r="L472" s="5">
        <v>1E-3</v>
      </c>
      <c r="M472" s="5">
        <v>17523.219000000001</v>
      </c>
      <c r="N472" s="6">
        <v>5.8999999999999997E-2</v>
      </c>
      <c r="O472" s="5">
        <v>11.163</v>
      </c>
      <c r="P472" s="6">
        <v>7.6999999999999999E-2</v>
      </c>
      <c r="Q472" s="5">
        <v>294858.03399999999</v>
      </c>
      <c r="R472" s="1" t="s">
        <v>44</v>
      </c>
      <c r="T472" s="1" t="s">
        <v>93</v>
      </c>
      <c r="V472" s="1" t="s">
        <v>140</v>
      </c>
      <c r="Y472" s="1" t="s">
        <v>168</v>
      </c>
      <c r="Z472" s="1" t="str">
        <f t="shared" si="21"/>
        <v>1366 13</v>
      </c>
      <c r="AA472" s="3">
        <f>IF(INDEX('CAMD Facility Data 2023'!$AA$2:$AE$10000,MATCH(Z472,'CAMD Facility Data 2023'!$AE$2:$AE$10000,0),1)&gt;0,INDEX('CAMD Facility Data 2023'!$AA$2:$AE$10000,MATCH(Z472,'CAMD Facility Data 2023'!$AE$2:$AE$10000,0),1),"")</f>
        <v>37067</v>
      </c>
      <c r="AB472" s="5">
        <f>IF(INDEX('CAMD Facility Data 2023'!$AC$2:$AE$10000,MATCH(Z472,'CAMD Facility Data 2023'!$AE$2:$AE$10000,0),1)&gt;0,INDEX('CAMD Facility Data 2023'!$AC$2:$AE$10000,MATCH(Z472,'CAMD Facility Data 2023'!$AE$2:$AE$10000,0),1),"")</f>
        <v>1861</v>
      </c>
      <c r="AC472" s="1" t="str">
        <f>IF(INDEX('CAMD Facility Data 2023'!$AE$2:$AG$10000,MATCH(Z472,'CAMD Facility Data 2023'!$AE$2:$AE$10000,0),3)&gt;0,INDEX('CAMD Facility Data 2023'!$AE$2:$AG$10000,MATCH(Z472,'CAMD Facility Data 2023'!$AE$2:$AE$10000,0),3),"")</f>
        <v/>
      </c>
      <c r="AD472" s="20">
        <f t="shared" si="22"/>
        <v>0.80066704322332505</v>
      </c>
      <c r="AE472" s="25">
        <f t="shared" si="23"/>
        <v>1.8086831231797114E-2</v>
      </c>
    </row>
    <row r="473" spans="1:31" x14ac:dyDescent="0.2">
      <c r="A473" s="1" t="s">
        <v>165</v>
      </c>
      <c r="B473" s="1" t="s">
        <v>1392</v>
      </c>
      <c r="C473" s="1">
        <v>1378</v>
      </c>
      <c r="D473" s="1" t="s">
        <v>1393</v>
      </c>
      <c r="F473" s="1">
        <v>2023</v>
      </c>
      <c r="G473" s="5">
        <v>6832</v>
      </c>
      <c r="H473" s="5">
        <v>6822.81</v>
      </c>
      <c r="I473" s="5">
        <v>2051316.32</v>
      </c>
      <c r="K473" s="5">
        <v>4.1109999999999998</v>
      </c>
      <c r="L473" s="5">
        <v>1E-3</v>
      </c>
      <c r="M473" s="5">
        <v>814302.81099999999</v>
      </c>
      <c r="N473" s="6">
        <v>5.8999999999999997E-2</v>
      </c>
      <c r="O473" s="5">
        <v>119.736</v>
      </c>
      <c r="P473" s="6">
        <v>1.8499999999999999E-2</v>
      </c>
      <c r="Q473" s="5">
        <v>13702228.767000001</v>
      </c>
      <c r="R473" s="1" t="s">
        <v>44</v>
      </c>
      <c r="T473" s="1" t="s">
        <v>71</v>
      </c>
      <c r="V473" s="1" t="s">
        <v>64</v>
      </c>
      <c r="Y473" s="1" t="s">
        <v>1394</v>
      </c>
      <c r="Z473" s="1" t="str">
        <f t="shared" si="21"/>
        <v>1378 PCC1</v>
      </c>
      <c r="AA473" s="3">
        <f>IF(INDEX('CAMD Facility Data 2023'!$AA$2:$AE$10000,MATCH(Z473,'CAMD Facility Data 2023'!$AE$2:$AE$10000,0),1)&gt;0,INDEX('CAMD Facility Data 2023'!$AA$2:$AE$10000,MATCH(Z473,'CAMD Facility Data 2023'!$AE$2:$AE$10000,0),1),"")</f>
        <v>42654</v>
      </c>
      <c r="AB473" s="5">
        <f>IF(INDEX('CAMD Facility Data 2023'!$AC$2:$AE$10000,MATCH(Z473,'CAMD Facility Data 2023'!$AE$2:$AE$10000,0),1)&gt;0,INDEX('CAMD Facility Data 2023'!$AC$2:$AE$10000,MATCH(Z473,'CAMD Facility Data 2023'!$AE$2:$AE$10000,0),1),"")</f>
        <v>2700</v>
      </c>
      <c r="AC473" s="1" t="str">
        <f>IF(INDEX('CAMD Facility Data 2023'!$AE$2:$AG$10000,MATCH(Z473,'CAMD Facility Data 2023'!$AE$2:$AE$10000,0),3)&gt;0,INDEX('CAMD Facility Data 2023'!$AE$2:$AG$10000,MATCH(Z473,'CAMD Facility Data 2023'!$AE$2:$AE$10000,0),3),"")</f>
        <v>Y</v>
      </c>
      <c r="AD473" s="20">
        <f t="shared" si="22"/>
        <v>0.1167406497307056</v>
      </c>
      <c r="AE473" s="25">
        <f t="shared" si="23"/>
        <v>0.57932643188736688</v>
      </c>
    </row>
    <row r="474" spans="1:31" x14ac:dyDescent="0.2">
      <c r="A474" s="1" t="s">
        <v>165</v>
      </c>
      <c r="B474" s="1" t="s">
        <v>1392</v>
      </c>
      <c r="C474" s="1">
        <v>1378</v>
      </c>
      <c r="D474" s="1" t="s">
        <v>1398</v>
      </c>
      <c r="F474" s="1">
        <v>2023</v>
      </c>
      <c r="G474" s="5">
        <v>8230</v>
      </c>
      <c r="H474" s="5">
        <v>8222.52</v>
      </c>
      <c r="I474" s="5">
        <v>2471605.91</v>
      </c>
      <c r="K474" s="5">
        <v>4.9740000000000002</v>
      </c>
      <c r="L474" s="5">
        <v>1E-3</v>
      </c>
      <c r="M474" s="5">
        <v>985226.09699999995</v>
      </c>
      <c r="N474" s="6">
        <v>5.8999999999999997E-2</v>
      </c>
      <c r="O474" s="5">
        <v>155.15</v>
      </c>
      <c r="P474" s="6">
        <v>1.95E-2</v>
      </c>
      <c r="Q474" s="5">
        <v>16578278.723999999</v>
      </c>
      <c r="R474" s="1" t="s">
        <v>44</v>
      </c>
      <c r="T474" s="1" t="s">
        <v>71</v>
      </c>
      <c r="V474" s="1" t="s">
        <v>64</v>
      </c>
      <c r="Y474" s="1" t="s">
        <v>1394</v>
      </c>
      <c r="Z474" s="1" t="str">
        <f t="shared" si="21"/>
        <v>1378 PCC2</v>
      </c>
      <c r="AA474" s="3">
        <f>IF(INDEX('CAMD Facility Data 2023'!$AA$2:$AE$10000,MATCH(Z474,'CAMD Facility Data 2023'!$AE$2:$AE$10000,0),1)&gt;0,INDEX('CAMD Facility Data 2023'!$AA$2:$AE$10000,MATCH(Z474,'CAMD Facility Data 2023'!$AE$2:$AE$10000,0),1),"")</f>
        <v>42660</v>
      </c>
      <c r="AB474" s="5">
        <f>IF(INDEX('CAMD Facility Data 2023'!$AC$2:$AE$10000,MATCH(Z474,'CAMD Facility Data 2023'!$AE$2:$AE$10000,0),1)&gt;0,INDEX('CAMD Facility Data 2023'!$AC$2:$AE$10000,MATCH(Z474,'CAMD Facility Data 2023'!$AE$2:$AE$10000,0),1),"")</f>
        <v>2700</v>
      </c>
      <c r="AC474" s="1" t="str">
        <f>IF(INDEX('CAMD Facility Data 2023'!$AE$2:$AG$10000,MATCH(Z474,'CAMD Facility Data 2023'!$AE$2:$AE$10000,0),3)&gt;0,INDEX('CAMD Facility Data 2023'!$AE$2:$AG$10000,MATCH(Z474,'CAMD Facility Data 2023'!$AE$2:$AE$10000,0),3),"")</f>
        <v>Y</v>
      </c>
      <c r="AD474" s="20">
        <f t="shared" si="22"/>
        <v>0.12554590468672247</v>
      </c>
      <c r="AE474" s="25">
        <f t="shared" si="23"/>
        <v>0.70092502638254695</v>
      </c>
    </row>
    <row r="475" spans="1:31" x14ac:dyDescent="0.2">
      <c r="A475" s="1" t="s">
        <v>165</v>
      </c>
      <c r="B475" s="1" t="s">
        <v>1392</v>
      </c>
      <c r="C475" s="1">
        <v>1378</v>
      </c>
      <c r="D475" s="1" t="s">
        <v>1400</v>
      </c>
      <c r="F475" s="1">
        <v>2023</v>
      </c>
      <c r="G475" s="5">
        <v>8247</v>
      </c>
      <c r="H475" s="5">
        <v>8235.76</v>
      </c>
      <c r="I475" s="5">
        <v>2469430.11</v>
      </c>
      <c r="K475" s="5">
        <v>4.992</v>
      </c>
      <c r="L475" s="5">
        <v>1E-3</v>
      </c>
      <c r="M475" s="5">
        <v>988786.44</v>
      </c>
      <c r="N475" s="6">
        <v>5.8999999999999997E-2</v>
      </c>
      <c r="O475" s="5">
        <v>159.136</v>
      </c>
      <c r="P475" s="6">
        <v>2.0299999999999999E-2</v>
      </c>
      <c r="Q475" s="5">
        <v>16638305.538000001</v>
      </c>
      <c r="R475" s="1" t="s">
        <v>44</v>
      </c>
      <c r="T475" s="1" t="s">
        <v>71</v>
      </c>
      <c r="V475" s="1" t="s">
        <v>64</v>
      </c>
      <c r="Y475" s="1" t="s">
        <v>1394</v>
      </c>
      <c r="Z475" s="1" t="str">
        <f t="shared" si="21"/>
        <v>1378 PCC3</v>
      </c>
      <c r="AA475" s="3">
        <f>IF(INDEX('CAMD Facility Data 2023'!$AA$2:$AE$10000,MATCH(Z475,'CAMD Facility Data 2023'!$AE$2:$AE$10000,0),1)&gt;0,INDEX('CAMD Facility Data 2023'!$AA$2:$AE$10000,MATCH(Z475,'CAMD Facility Data 2023'!$AE$2:$AE$10000,0),1),"")</f>
        <v>42671</v>
      </c>
      <c r="AB475" s="5">
        <f>IF(INDEX('CAMD Facility Data 2023'!$AC$2:$AE$10000,MATCH(Z475,'CAMD Facility Data 2023'!$AE$2:$AE$10000,0),1)&gt;0,INDEX('CAMD Facility Data 2023'!$AC$2:$AE$10000,MATCH(Z475,'CAMD Facility Data 2023'!$AE$2:$AE$10000,0),1),"")</f>
        <v>2700</v>
      </c>
      <c r="AC475" s="1" t="str">
        <f>IF(INDEX('CAMD Facility Data 2023'!$AE$2:$AG$10000,MATCH(Z475,'CAMD Facility Data 2023'!$AE$2:$AE$10000,0),3)&gt;0,INDEX('CAMD Facility Data 2023'!$AE$2:$AG$10000,MATCH(Z475,'CAMD Facility Data 2023'!$AE$2:$AE$10000,0),3),"")</f>
        <v>Y</v>
      </c>
      <c r="AD475" s="20">
        <f t="shared" si="22"/>
        <v>0.12888479763454411</v>
      </c>
      <c r="AE475" s="25">
        <f t="shared" si="23"/>
        <v>0.70346294342973115</v>
      </c>
    </row>
    <row r="476" spans="1:31" x14ac:dyDescent="0.2">
      <c r="A476" s="1" t="s">
        <v>165</v>
      </c>
      <c r="B476" s="1" t="s">
        <v>1402</v>
      </c>
      <c r="C476" s="1">
        <v>1379</v>
      </c>
      <c r="D476" s="1">
        <v>1</v>
      </c>
      <c r="E476" s="1" t="s">
        <v>1403</v>
      </c>
      <c r="F476" s="1">
        <v>2023</v>
      </c>
      <c r="G476" s="5">
        <v>7896</v>
      </c>
      <c r="H476" s="5">
        <v>7892.38</v>
      </c>
      <c r="I476" s="5">
        <v>587754.78</v>
      </c>
      <c r="K476" s="5">
        <v>1000.89</v>
      </c>
      <c r="L476" s="5">
        <v>0.3024</v>
      </c>
      <c r="M476" s="5">
        <v>695184.35199999996</v>
      </c>
      <c r="N476" s="6">
        <v>0.105</v>
      </c>
      <c r="O476" s="5">
        <v>567.14300000000003</v>
      </c>
      <c r="P476" s="6">
        <v>0.17330000000000001</v>
      </c>
      <c r="Q476" s="5">
        <v>6628378.0470000003</v>
      </c>
      <c r="R476" s="1" t="s">
        <v>55</v>
      </c>
      <c r="T476" s="1" t="s">
        <v>89</v>
      </c>
      <c r="U476" s="1" t="s">
        <v>212</v>
      </c>
      <c r="V476" s="1" t="s">
        <v>639</v>
      </c>
      <c r="W476" s="1" t="s">
        <v>232</v>
      </c>
      <c r="Y476" s="1" t="s">
        <v>1353</v>
      </c>
      <c r="Z476" s="1" t="str">
        <f t="shared" si="21"/>
        <v>1379 1</v>
      </c>
      <c r="AA476" s="3">
        <f>IF(INDEX('CAMD Facility Data 2023'!$AA$2:$AE$10000,MATCH(Z476,'CAMD Facility Data 2023'!$AE$2:$AE$10000,0),1)&gt;0,INDEX('CAMD Facility Data 2023'!$AA$2:$AE$10000,MATCH(Z476,'CAMD Facility Data 2023'!$AE$2:$AE$10000,0),1),"")</f>
        <v>19455</v>
      </c>
      <c r="AB476" s="5">
        <f>IF(INDEX('CAMD Facility Data 2023'!$AC$2:$AE$10000,MATCH(Z476,'CAMD Facility Data 2023'!$AE$2:$AE$10000,0),1)&gt;0,INDEX('CAMD Facility Data 2023'!$AC$2:$AE$10000,MATCH(Z476,'CAMD Facility Data 2023'!$AE$2:$AE$10000,0),1),"")</f>
        <v>2145</v>
      </c>
      <c r="AC476" s="1" t="str">
        <f>IF(INDEX('CAMD Facility Data 2023'!$AE$2:$AG$10000,MATCH(Z476,'CAMD Facility Data 2023'!$AE$2:$AE$10000,0),3)&gt;0,INDEX('CAMD Facility Data 2023'!$AE$2:$AG$10000,MATCH(Z476,'CAMD Facility Data 2023'!$AE$2:$AE$10000,0),3),"")</f>
        <v>Y</v>
      </c>
      <c r="AD476" s="20">
        <f t="shared" si="22"/>
        <v>1.929862654626135</v>
      </c>
      <c r="AE476" s="25">
        <f t="shared" si="23"/>
        <v>0.35275718443656801</v>
      </c>
    </row>
    <row r="477" spans="1:31" x14ac:dyDescent="0.2">
      <c r="A477" s="1" t="s">
        <v>165</v>
      </c>
      <c r="B477" s="1" t="s">
        <v>1402</v>
      </c>
      <c r="C477" s="1">
        <v>1379</v>
      </c>
      <c r="D477" s="1">
        <v>2</v>
      </c>
      <c r="E477" s="1" t="s">
        <v>1403</v>
      </c>
      <c r="F477" s="1">
        <v>2023</v>
      </c>
      <c r="G477" s="5">
        <v>6963</v>
      </c>
      <c r="H477" s="5">
        <v>6960.08</v>
      </c>
      <c r="I477" s="5">
        <v>559811.73</v>
      </c>
      <c r="K477" s="5">
        <v>980.55600000000004</v>
      </c>
      <c r="L477" s="5">
        <v>0.30959999999999999</v>
      </c>
      <c r="M477" s="5">
        <v>658680.42700000003</v>
      </c>
      <c r="N477" s="6">
        <v>0.105</v>
      </c>
      <c r="O477" s="5">
        <v>546.85199999999998</v>
      </c>
      <c r="P477" s="6">
        <v>0.1741</v>
      </c>
      <c r="Q477" s="5">
        <v>6280320.0209999997</v>
      </c>
      <c r="R477" s="1" t="s">
        <v>55</v>
      </c>
      <c r="T477" s="1" t="s">
        <v>89</v>
      </c>
      <c r="V477" s="1" t="s">
        <v>90</v>
      </c>
      <c r="W477" s="1" t="s">
        <v>232</v>
      </c>
      <c r="Y477" s="1" t="s">
        <v>1353</v>
      </c>
      <c r="Z477" s="1" t="str">
        <f t="shared" si="21"/>
        <v>1379 2</v>
      </c>
      <c r="AA477" s="3">
        <f>IF(INDEX('CAMD Facility Data 2023'!$AA$2:$AE$10000,MATCH(Z477,'CAMD Facility Data 2023'!$AE$2:$AE$10000,0),1)&gt;0,INDEX('CAMD Facility Data 2023'!$AA$2:$AE$10000,MATCH(Z477,'CAMD Facility Data 2023'!$AE$2:$AE$10000,0),1),"")</f>
        <v>19528</v>
      </c>
      <c r="AB477" s="5">
        <f>IF(INDEX('CAMD Facility Data 2023'!$AC$2:$AE$10000,MATCH(Z477,'CAMD Facility Data 2023'!$AE$2:$AE$10000,0),1)&gt;0,INDEX('CAMD Facility Data 2023'!$AC$2:$AE$10000,MATCH(Z477,'CAMD Facility Data 2023'!$AE$2:$AE$10000,0),1),"")</f>
        <v>2316</v>
      </c>
      <c r="AC477" s="1" t="str">
        <f>IF(INDEX('CAMD Facility Data 2023'!$AE$2:$AG$10000,MATCH(Z477,'CAMD Facility Data 2023'!$AE$2:$AE$10000,0),3)&gt;0,INDEX('CAMD Facility Data 2023'!$AE$2:$AG$10000,MATCH(Z477,'CAMD Facility Data 2023'!$AE$2:$AE$10000,0),3),"")</f>
        <v/>
      </c>
      <c r="AD477" s="20">
        <f t="shared" si="22"/>
        <v>1.9536996839991188</v>
      </c>
      <c r="AE477" s="25">
        <f t="shared" si="23"/>
        <v>0.30955591936380628</v>
      </c>
    </row>
    <row r="478" spans="1:31" x14ac:dyDescent="0.2">
      <c r="A478" s="1" t="s">
        <v>165</v>
      </c>
      <c r="B478" s="1" t="s">
        <v>1402</v>
      </c>
      <c r="C478" s="1">
        <v>1379</v>
      </c>
      <c r="D478" s="1">
        <v>3</v>
      </c>
      <c r="E478" s="1" t="s">
        <v>1403</v>
      </c>
      <c r="F478" s="1">
        <v>2023</v>
      </c>
      <c r="G478" s="5">
        <v>7574</v>
      </c>
      <c r="H478" s="5">
        <v>7572.14</v>
      </c>
      <c r="I478" s="5">
        <v>571038.79</v>
      </c>
      <c r="K478" s="5">
        <v>1003.439</v>
      </c>
      <c r="L478" s="5">
        <v>0.311</v>
      </c>
      <c r="M478" s="5">
        <v>672648.88500000001</v>
      </c>
      <c r="N478" s="6">
        <v>0.105</v>
      </c>
      <c r="O478" s="5">
        <v>560.04300000000001</v>
      </c>
      <c r="P478" s="6">
        <v>0.17630000000000001</v>
      </c>
      <c r="Q478" s="5">
        <v>6413512.4340000004</v>
      </c>
      <c r="R478" s="1" t="s">
        <v>55</v>
      </c>
      <c r="T478" s="1" t="s">
        <v>89</v>
      </c>
      <c r="V478" s="1" t="s">
        <v>90</v>
      </c>
      <c r="W478" s="1" t="s">
        <v>232</v>
      </c>
      <c r="Y478" s="1" t="s">
        <v>1353</v>
      </c>
      <c r="Z478" s="1" t="str">
        <f t="shared" si="21"/>
        <v>1379 3</v>
      </c>
      <c r="AA478" s="3">
        <f>IF(INDEX('CAMD Facility Data 2023'!$AA$2:$AE$10000,MATCH(Z478,'CAMD Facility Data 2023'!$AE$2:$AE$10000,0),1)&gt;0,INDEX('CAMD Facility Data 2023'!$AA$2:$AE$10000,MATCH(Z478,'CAMD Facility Data 2023'!$AE$2:$AE$10000,0),1),"")</f>
        <v>19631</v>
      </c>
      <c r="AB478" s="5">
        <f>IF(INDEX('CAMD Facility Data 2023'!$AC$2:$AE$10000,MATCH(Z478,'CAMD Facility Data 2023'!$AE$2:$AE$10000,0),1)&gt;0,INDEX('CAMD Facility Data 2023'!$AC$2:$AE$10000,MATCH(Z478,'CAMD Facility Data 2023'!$AE$2:$AE$10000,0),1),"")</f>
        <v>2296</v>
      </c>
      <c r="AC478" s="1" t="str">
        <f>IF(INDEX('CAMD Facility Data 2023'!$AE$2:$AG$10000,MATCH(Z478,'CAMD Facility Data 2023'!$AE$2:$AE$10000,0),3)&gt;0,INDEX('CAMD Facility Data 2023'!$AE$2:$AG$10000,MATCH(Z478,'CAMD Facility Data 2023'!$AE$2:$AE$10000,0),3),"")</f>
        <v/>
      </c>
      <c r="AD478" s="20">
        <f t="shared" si="22"/>
        <v>1.9614884656084395</v>
      </c>
      <c r="AE478" s="25">
        <f t="shared" si="23"/>
        <v>0.31887461785833615</v>
      </c>
    </row>
    <row r="479" spans="1:31" x14ac:dyDescent="0.2">
      <c r="A479" s="1" t="s">
        <v>165</v>
      </c>
      <c r="B479" s="1" t="s">
        <v>1402</v>
      </c>
      <c r="C479" s="1">
        <v>1379</v>
      </c>
      <c r="D479" s="1">
        <v>4</v>
      </c>
      <c r="E479" s="1" t="s">
        <v>1403</v>
      </c>
      <c r="F479" s="1">
        <v>2023</v>
      </c>
      <c r="G479" s="5">
        <v>7895</v>
      </c>
      <c r="H479" s="5">
        <v>7891.49</v>
      </c>
      <c r="I479" s="5">
        <v>614446.13</v>
      </c>
      <c r="K479" s="5">
        <v>1058.5889999999999</v>
      </c>
      <c r="L479" s="5">
        <v>0.30620000000000003</v>
      </c>
      <c r="M479" s="5">
        <v>724388.69400000002</v>
      </c>
      <c r="N479" s="6">
        <v>0.105</v>
      </c>
      <c r="O479" s="5">
        <v>593.06200000000001</v>
      </c>
      <c r="P479" s="6">
        <v>0.1744</v>
      </c>
      <c r="Q479" s="5">
        <v>6906836.784</v>
      </c>
      <c r="R479" s="1" t="s">
        <v>55</v>
      </c>
      <c r="T479" s="1" t="s">
        <v>89</v>
      </c>
      <c r="U479" s="1" t="s">
        <v>212</v>
      </c>
      <c r="V479" s="1" t="s">
        <v>639</v>
      </c>
      <c r="W479" s="1" t="s">
        <v>232</v>
      </c>
      <c r="Y479" s="1" t="s">
        <v>1353</v>
      </c>
      <c r="Z479" s="1" t="str">
        <f t="shared" si="21"/>
        <v>1379 4</v>
      </c>
      <c r="AA479" s="3">
        <f>IF(INDEX('CAMD Facility Data 2023'!$AA$2:$AE$10000,MATCH(Z479,'CAMD Facility Data 2023'!$AE$2:$AE$10000,0),1)&gt;0,INDEX('CAMD Facility Data 2023'!$AA$2:$AE$10000,MATCH(Z479,'CAMD Facility Data 2023'!$AE$2:$AE$10000,0),1),"")</f>
        <v>19726</v>
      </c>
      <c r="AB479" s="5">
        <f>IF(INDEX('CAMD Facility Data 2023'!$AC$2:$AE$10000,MATCH(Z479,'CAMD Facility Data 2023'!$AE$2:$AE$10000,0),1)&gt;0,INDEX('CAMD Facility Data 2023'!$AC$2:$AE$10000,MATCH(Z479,'CAMD Facility Data 2023'!$AE$2:$AE$10000,0),1),"")</f>
        <v>2112</v>
      </c>
      <c r="AC479" s="1" t="str">
        <f>IF(INDEX('CAMD Facility Data 2023'!$AE$2:$AG$10000,MATCH(Z479,'CAMD Facility Data 2023'!$AE$2:$AE$10000,0),3)&gt;0,INDEX('CAMD Facility Data 2023'!$AE$2:$AG$10000,MATCH(Z479,'CAMD Facility Data 2023'!$AE$2:$AE$10000,0),3),"")</f>
        <v>Y</v>
      </c>
      <c r="AD479" s="20">
        <f t="shared" si="22"/>
        <v>1.930395427830264</v>
      </c>
      <c r="AE479" s="25">
        <f t="shared" si="23"/>
        <v>0.3733199278746368</v>
      </c>
    </row>
    <row r="480" spans="1:31" x14ac:dyDescent="0.2">
      <c r="A480" s="1" t="s">
        <v>165</v>
      </c>
      <c r="B480" s="1" t="s">
        <v>1402</v>
      </c>
      <c r="C480" s="1">
        <v>1379</v>
      </c>
      <c r="D480" s="1">
        <v>5</v>
      </c>
      <c r="E480" s="1" t="s">
        <v>1403</v>
      </c>
      <c r="F480" s="1">
        <v>2023</v>
      </c>
      <c r="G480" s="5">
        <v>7414</v>
      </c>
      <c r="H480" s="5">
        <v>7411.05</v>
      </c>
      <c r="I480" s="5">
        <v>535485.44999999995</v>
      </c>
      <c r="K480" s="5">
        <v>961.17399999999998</v>
      </c>
      <c r="L480" s="5">
        <v>0.31240000000000001</v>
      </c>
      <c r="M480" s="5">
        <v>638921.81900000002</v>
      </c>
      <c r="N480" s="6">
        <v>0.105</v>
      </c>
      <c r="O480" s="5">
        <v>539.40800000000002</v>
      </c>
      <c r="P480" s="6">
        <v>0.17849999999999999</v>
      </c>
      <c r="Q480" s="5">
        <v>6091935.1050000004</v>
      </c>
      <c r="R480" s="1" t="s">
        <v>55</v>
      </c>
      <c r="T480" s="1" t="s">
        <v>89</v>
      </c>
      <c r="V480" s="1" t="s">
        <v>90</v>
      </c>
      <c r="W480" s="1" t="s">
        <v>232</v>
      </c>
      <c r="Y480" s="1" t="s">
        <v>1353</v>
      </c>
      <c r="Z480" s="1" t="str">
        <f t="shared" si="21"/>
        <v>1379 5</v>
      </c>
      <c r="AA480" s="3">
        <f>IF(INDEX('CAMD Facility Data 2023'!$AA$2:$AE$10000,MATCH(Z480,'CAMD Facility Data 2023'!$AE$2:$AE$10000,0),1)&gt;0,INDEX('CAMD Facility Data 2023'!$AA$2:$AE$10000,MATCH(Z480,'CAMD Facility Data 2023'!$AE$2:$AE$10000,0),1),"")</f>
        <v>19987</v>
      </c>
      <c r="AB480" s="5">
        <f>IF(INDEX('CAMD Facility Data 2023'!$AC$2:$AE$10000,MATCH(Z480,'CAMD Facility Data 2023'!$AE$2:$AE$10000,0),1)&gt;0,INDEX('CAMD Facility Data 2023'!$AC$2:$AE$10000,MATCH(Z480,'CAMD Facility Data 2023'!$AE$2:$AE$10000,0),1),"")</f>
        <v>2284</v>
      </c>
      <c r="AC480" s="1" t="str">
        <f>IF(INDEX('CAMD Facility Data 2023'!$AE$2:$AG$10000,MATCH(Z480,'CAMD Facility Data 2023'!$AE$2:$AE$10000,0),3)&gt;0,INDEX('CAMD Facility Data 2023'!$AE$2:$AG$10000,MATCH(Z480,'CAMD Facility Data 2023'!$AE$2:$AE$10000,0),3),"")</f>
        <v/>
      </c>
      <c r="AD480" s="20">
        <f t="shared" si="22"/>
        <v>2.0146504447506466</v>
      </c>
      <c r="AE480" s="25">
        <f t="shared" si="23"/>
        <v>0.30447740010915725</v>
      </c>
    </row>
    <row r="481" spans="1:31" x14ac:dyDescent="0.2">
      <c r="A481" s="1" t="s">
        <v>165</v>
      </c>
      <c r="B481" s="1" t="s">
        <v>1402</v>
      </c>
      <c r="C481" s="1">
        <v>1379</v>
      </c>
      <c r="D481" s="1">
        <v>6</v>
      </c>
      <c r="E481" s="1" t="s">
        <v>1410</v>
      </c>
      <c r="F481" s="1">
        <v>2023</v>
      </c>
      <c r="G481" s="5">
        <v>8426</v>
      </c>
      <c r="H481" s="5">
        <v>8425.1200000000008</v>
      </c>
      <c r="I481" s="5">
        <v>656831.28</v>
      </c>
      <c r="K481" s="5">
        <v>1730.835</v>
      </c>
      <c r="L481" s="5">
        <v>0.4637</v>
      </c>
      <c r="M481" s="5">
        <v>776215.09100000001</v>
      </c>
      <c r="N481" s="6">
        <v>0.10489999999999999</v>
      </c>
      <c r="O481" s="5">
        <v>876.524</v>
      </c>
      <c r="P481" s="6">
        <v>0.23780000000000001</v>
      </c>
      <c r="Q481" s="5">
        <v>7400997.3679999998</v>
      </c>
      <c r="R481" s="1" t="s">
        <v>55</v>
      </c>
      <c r="T481" s="1" t="s">
        <v>89</v>
      </c>
      <c r="V481" s="1" t="s">
        <v>90</v>
      </c>
      <c r="W481" s="1" t="s">
        <v>232</v>
      </c>
      <c r="Y481" s="1" t="s">
        <v>1353</v>
      </c>
      <c r="Z481" s="1" t="str">
        <f t="shared" si="21"/>
        <v>1379 6</v>
      </c>
      <c r="AA481" s="3">
        <f>IF(INDEX('CAMD Facility Data 2023'!$AA$2:$AE$10000,MATCH(Z481,'CAMD Facility Data 2023'!$AE$2:$AE$10000,0),1)&gt;0,INDEX('CAMD Facility Data 2023'!$AA$2:$AE$10000,MATCH(Z481,'CAMD Facility Data 2023'!$AE$2:$AE$10000,0),1),"")</f>
        <v>20023</v>
      </c>
      <c r="AB481" s="5">
        <f>IF(INDEX('CAMD Facility Data 2023'!$AC$2:$AE$10000,MATCH(Z481,'CAMD Facility Data 2023'!$AE$2:$AE$10000,0),1)&gt;0,INDEX('CAMD Facility Data 2023'!$AC$2:$AE$10000,MATCH(Z481,'CAMD Facility Data 2023'!$AE$2:$AE$10000,0),1),"")</f>
        <v>1972</v>
      </c>
      <c r="AC481" s="1" t="str">
        <f>IF(INDEX('CAMD Facility Data 2023'!$AE$2:$AG$10000,MATCH(Z481,'CAMD Facility Data 2023'!$AE$2:$AE$10000,0),3)&gt;0,INDEX('CAMD Facility Data 2023'!$AE$2:$AG$10000,MATCH(Z481,'CAMD Facility Data 2023'!$AE$2:$AE$10000,0),3),"")</f>
        <v/>
      </c>
      <c r="AD481" s="20">
        <f t="shared" si="22"/>
        <v>2.6689471914309562</v>
      </c>
      <c r="AE481" s="25">
        <f t="shared" si="23"/>
        <v>0.42842936776978152</v>
      </c>
    </row>
    <row r="482" spans="1:31" x14ac:dyDescent="0.2">
      <c r="A482" s="1" t="s">
        <v>165</v>
      </c>
      <c r="B482" s="1" t="s">
        <v>1402</v>
      </c>
      <c r="C482" s="1">
        <v>1379</v>
      </c>
      <c r="D482" s="1">
        <v>7</v>
      </c>
      <c r="E482" s="1" t="s">
        <v>1410</v>
      </c>
      <c r="F482" s="1">
        <v>2023</v>
      </c>
      <c r="G482" s="5">
        <v>8420</v>
      </c>
      <c r="H482" s="5">
        <v>8416.56</v>
      </c>
      <c r="I482" s="5">
        <v>661476.99</v>
      </c>
      <c r="K482" s="5">
        <v>1750.6289999999999</v>
      </c>
      <c r="L482" s="5">
        <v>0.46410000000000001</v>
      </c>
      <c r="M482" s="5">
        <v>784518.66500000004</v>
      </c>
      <c r="N482" s="6">
        <v>0.10489999999999999</v>
      </c>
      <c r="O482" s="5">
        <v>886.84100000000001</v>
      </c>
      <c r="P482" s="6">
        <v>0.23830000000000001</v>
      </c>
      <c r="Q482" s="5">
        <v>7480170.6459999997</v>
      </c>
      <c r="R482" s="1" t="s">
        <v>55</v>
      </c>
      <c r="T482" s="1" t="s">
        <v>89</v>
      </c>
      <c r="V482" s="1" t="s">
        <v>90</v>
      </c>
      <c r="W482" s="1" t="s">
        <v>232</v>
      </c>
      <c r="Y482" s="1" t="s">
        <v>1353</v>
      </c>
      <c r="Z482" s="1" t="str">
        <f t="shared" si="21"/>
        <v>1379 7</v>
      </c>
      <c r="AA482" s="3">
        <f>IF(INDEX('CAMD Facility Data 2023'!$AA$2:$AE$10000,MATCH(Z482,'CAMD Facility Data 2023'!$AE$2:$AE$10000,0),1)&gt;0,INDEX('CAMD Facility Data 2023'!$AA$2:$AE$10000,MATCH(Z482,'CAMD Facility Data 2023'!$AE$2:$AE$10000,0),1),"")</f>
        <v>20077</v>
      </c>
      <c r="AB482" s="5">
        <f>IF(INDEX('CAMD Facility Data 2023'!$AC$2:$AE$10000,MATCH(Z482,'CAMD Facility Data 2023'!$AE$2:$AE$10000,0),1)&gt;0,INDEX('CAMD Facility Data 2023'!$AC$2:$AE$10000,MATCH(Z482,'CAMD Facility Data 2023'!$AE$2:$AE$10000,0),1),"")</f>
        <v>2589</v>
      </c>
      <c r="AC482" s="1" t="str">
        <f>IF(INDEX('CAMD Facility Data 2023'!$AE$2:$AG$10000,MATCH(Z482,'CAMD Facility Data 2023'!$AE$2:$AE$10000,0),3)&gt;0,INDEX('CAMD Facility Data 2023'!$AE$2:$AG$10000,MATCH(Z482,'CAMD Facility Data 2023'!$AE$2:$AE$10000,0),3),"")</f>
        <v/>
      </c>
      <c r="AD482" s="20">
        <f t="shared" si="22"/>
        <v>2.6813963702652757</v>
      </c>
      <c r="AE482" s="25">
        <f t="shared" si="23"/>
        <v>0.32981875576508268</v>
      </c>
    </row>
    <row r="483" spans="1:31" x14ac:dyDescent="0.2">
      <c r="A483" s="1" t="s">
        <v>165</v>
      </c>
      <c r="B483" s="1" t="s">
        <v>1402</v>
      </c>
      <c r="C483" s="1">
        <v>1379</v>
      </c>
      <c r="D483" s="1">
        <v>8</v>
      </c>
      <c r="E483" s="1" t="s">
        <v>1410</v>
      </c>
      <c r="F483" s="1">
        <v>2023</v>
      </c>
      <c r="G483" s="5">
        <v>7610</v>
      </c>
      <c r="H483" s="5">
        <v>7608</v>
      </c>
      <c r="I483" s="5">
        <v>568814.91</v>
      </c>
      <c r="K483" s="5">
        <v>1509.979</v>
      </c>
      <c r="L483" s="5">
        <v>0.46410000000000001</v>
      </c>
      <c r="M483" s="5">
        <v>677663.853</v>
      </c>
      <c r="N483" s="6">
        <v>0.10489999999999999</v>
      </c>
      <c r="O483" s="5">
        <v>765.79499999999996</v>
      </c>
      <c r="P483" s="6">
        <v>0.23810000000000001</v>
      </c>
      <c r="Q483" s="5">
        <v>6461336.8420000002</v>
      </c>
      <c r="R483" s="1" t="s">
        <v>55</v>
      </c>
      <c r="T483" s="1" t="s">
        <v>89</v>
      </c>
      <c r="V483" s="1" t="s">
        <v>90</v>
      </c>
      <c r="W483" s="1" t="s">
        <v>232</v>
      </c>
      <c r="Y483" s="1" t="s">
        <v>1353</v>
      </c>
      <c r="Z483" s="1" t="str">
        <f t="shared" si="21"/>
        <v>1379 8</v>
      </c>
      <c r="AA483" s="3">
        <f>IF(INDEX('CAMD Facility Data 2023'!$AA$2:$AE$10000,MATCH(Z483,'CAMD Facility Data 2023'!$AE$2:$AE$10000,0),1)&gt;0,INDEX('CAMD Facility Data 2023'!$AA$2:$AE$10000,MATCH(Z483,'CAMD Facility Data 2023'!$AE$2:$AE$10000,0),1),"")</f>
        <v>20130</v>
      </c>
      <c r="AB483" s="5">
        <f>IF(INDEX('CAMD Facility Data 2023'!$AC$2:$AE$10000,MATCH(Z483,'CAMD Facility Data 2023'!$AE$2:$AE$10000,0),1)&gt;0,INDEX('CAMD Facility Data 2023'!$AC$2:$AE$10000,MATCH(Z483,'CAMD Facility Data 2023'!$AE$2:$AE$10000,0),1),"")</f>
        <v>2663</v>
      </c>
      <c r="AC483" s="1" t="str">
        <f>IF(INDEX('CAMD Facility Data 2023'!$AE$2:$AG$10000,MATCH(Z483,'CAMD Facility Data 2023'!$AE$2:$AE$10000,0),3)&gt;0,INDEX('CAMD Facility Data 2023'!$AE$2:$AG$10000,MATCH(Z483,'CAMD Facility Data 2023'!$AE$2:$AE$10000,0),3),"")</f>
        <v/>
      </c>
      <c r="AD483" s="20">
        <f t="shared" si="22"/>
        <v>2.6925981950789581</v>
      </c>
      <c r="AE483" s="25">
        <f t="shared" si="23"/>
        <v>0.27697917007460604</v>
      </c>
    </row>
    <row r="484" spans="1:31" x14ac:dyDescent="0.2">
      <c r="A484" s="1" t="s">
        <v>165</v>
      </c>
      <c r="B484" s="1" t="s">
        <v>1402</v>
      </c>
      <c r="C484" s="1">
        <v>1379</v>
      </c>
      <c r="D484" s="1">
        <v>9</v>
      </c>
      <c r="E484" s="1" t="s">
        <v>1410</v>
      </c>
      <c r="F484" s="1">
        <v>2023</v>
      </c>
      <c r="G484" s="5">
        <v>8760</v>
      </c>
      <c r="H484" s="5">
        <v>8760</v>
      </c>
      <c r="I484" s="5">
        <v>630243</v>
      </c>
      <c r="K484" s="5">
        <v>1664.1369999999999</v>
      </c>
      <c r="L484" s="5">
        <v>0.46379999999999999</v>
      </c>
      <c r="M484" s="5">
        <v>746502.06599999999</v>
      </c>
      <c r="N484" s="6">
        <v>0.10489999999999999</v>
      </c>
      <c r="O484" s="5">
        <v>842.58100000000002</v>
      </c>
      <c r="P484" s="6">
        <v>0.23799999999999999</v>
      </c>
      <c r="Q484" s="5">
        <v>7117691</v>
      </c>
      <c r="R484" s="1" t="s">
        <v>55</v>
      </c>
      <c r="T484" s="1" t="s">
        <v>89</v>
      </c>
      <c r="V484" s="1" t="s">
        <v>90</v>
      </c>
      <c r="W484" s="1" t="s">
        <v>232</v>
      </c>
      <c r="Y484" s="1" t="s">
        <v>1353</v>
      </c>
      <c r="Z484" s="1" t="str">
        <f t="shared" si="21"/>
        <v>1379 9</v>
      </c>
      <c r="AA484" s="3">
        <f>IF(INDEX('CAMD Facility Data 2023'!$AA$2:$AE$10000,MATCH(Z484,'CAMD Facility Data 2023'!$AE$2:$AE$10000,0),1)&gt;0,INDEX('CAMD Facility Data 2023'!$AA$2:$AE$10000,MATCH(Z484,'CAMD Facility Data 2023'!$AE$2:$AE$10000,0),1),"")</f>
        <v>20264</v>
      </c>
      <c r="AB484" s="5">
        <f>IF(INDEX('CAMD Facility Data 2023'!$AC$2:$AE$10000,MATCH(Z484,'CAMD Facility Data 2023'!$AE$2:$AE$10000,0),1)&gt;0,INDEX('CAMD Facility Data 2023'!$AC$2:$AE$10000,MATCH(Z484,'CAMD Facility Data 2023'!$AE$2:$AE$10000,0),1),"")</f>
        <v>2782</v>
      </c>
      <c r="AC484" s="1" t="str">
        <f>IF(INDEX('CAMD Facility Data 2023'!$AE$2:$AG$10000,MATCH(Z484,'CAMD Facility Data 2023'!$AE$2:$AE$10000,0),3)&gt;0,INDEX('CAMD Facility Data 2023'!$AE$2:$AG$10000,MATCH(Z484,'CAMD Facility Data 2023'!$AE$2:$AE$10000,0),3),"")</f>
        <v/>
      </c>
      <c r="AD484" s="20">
        <f t="shared" si="22"/>
        <v>2.6738289834238538</v>
      </c>
      <c r="AE484" s="25">
        <f t="shared" si="23"/>
        <v>0.29206391216857225</v>
      </c>
    </row>
    <row r="485" spans="1:31" x14ac:dyDescent="0.2">
      <c r="A485" s="1" t="s">
        <v>165</v>
      </c>
      <c r="B485" s="1" t="s">
        <v>1414</v>
      </c>
      <c r="C485" s="1">
        <v>1383</v>
      </c>
      <c r="D485" s="1" t="s">
        <v>1415</v>
      </c>
      <c r="F485" s="1">
        <v>2023</v>
      </c>
      <c r="G485" s="5">
        <v>356</v>
      </c>
      <c r="H485" s="5">
        <v>356</v>
      </c>
      <c r="I485" s="5">
        <v>8152</v>
      </c>
      <c r="K485" s="5">
        <v>2.6160000000000001</v>
      </c>
      <c r="L485" s="5">
        <v>0.06</v>
      </c>
      <c r="O485" s="5">
        <v>30.503</v>
      </c>
      <c r="P485" s="6">
        <v>0.7</v>
      </c>
      <c r="Q485" s="5">
        <v>87145.600000000006</v>
      </c>
      <c r="R485" s="1" t="s">
        <v>288</v>
      </c>
      <c r="S485" s="1" t="s">
        <v>94</v>
      </c>
      <c r="T485" s="1" t="s">
        <v>93</v>
      </c>
      <c r="Y485" s="1" t="s">
        <v>1388</v>
      </c>
      <c r="Z485" s="1" t="str">
        <f t="shared" si="21"/>
        <v>1383 RT</v>
      </c>
      <c r="AA485" s="3">
        <f>IF(INDEX('CAMD Facility Data 2023'!$AA$2:$AE$10000,MATCH(Z485,'CAMD Facility Data 2023'!$AE$2:$AE$10000,0),1)&gt;0,INDEX('CAMD Facility Data 2023'!$AA$2:$AE$10000,MATCH(Z485,'CAMD Facility Data 2023'!$AE$2:$AE$10000,0),1),"")</f>
        <v>27820</v>
      </c>
      <c r="AB485" s="5">
        <f>IF(INDEX('CAMD Facility Data 2023'!$AC$2:$AE$10000,MATCH(Z485,'CAMD Facility Data 2023'!$AE$2:$AE$10000,0),1)&gt;0,INDEX('CAMD Facility Data 2023'!$AC$2:$AE$10000,MATCH(Z485,'CAMD Facility Data 2023'!$AE$2:$AE$10000,0),1),"")</f>
        <v>803.5</v>
      </c>
      <c r="AC485" s="1" t="str">
        <f>IF(INDEX('CAMD Facility Data 2023'!$AE$2:$AG$10000,MATCH(Z485,'CAMD Facility Data 2023'!$AE$2:$AE$10000,0),3)&gt;0,INDEX('CAMD Facility Data 2023'!$AE$2:$AG$10000,MATCH(Z485,'CAMD Facility Data 2023'!$AE$2:$AE$10000,0),3),"")</f>
        <v/>
      </c>
      <c r="AD485" s="20">
        <f t="shared" si="22"/>
        <v>7.4835623159960747</v>
      </c>
      <c r="AE485" s="25">
        <f t="shared" si="23"/>
        <v>1.2380992973094312E-2</v>
      </c>
    </row>
    <row r="486" spans="1:31" x14ac:dyDescent="0.2">
      <c r="A486" s="1" t="s">
        <v>165</v>
      </c>
      <c r="B486" s="1" t="s">
        <v>1420</v>
      </c>
      <c r="C486" s="1">
        <v>1384</v>
      </c>
      <c r="D486" s="1">
        <v>1</v>
      </c>
      <c r="E486" s="1" t="s">
        <v>1421</v>
      </c>
      <c r="F486" s="1">
        <v>2023</v>
      </c>
      <c r="G486" s="5">
        <v>1107</v>
      </c>
      <c r="H486" s="5">
        <v>1086.33</v>
      </c>
      <c r="I486" s="5">
        <v>78897.45</v>
      </c>
      <c r="K486" s="5">
        <v>61.124000000000002</v>
      </c>
      <c r="L486" s="5">
        <v>0.1459</v>
      </c>
      <c r="M486" s="5">
        <v>79614.429999999993</v>
      </c>
      <c r="N486" s="6">
        <v>0.10299999999999999</v>
      </c>
      <c r="O486" s="5">
        <v>68.811999999999998</v>
      </c>
      <c r="P486" s="6">
        <v>0.15390000000000001</v>
      </c>
      <c r="Q486" s="5">
        <v>775971.95700000005</v>
      </c>
      <c r="R486" s="1" t="s">
        <v>55</v>
      </c>
      <c r="T486" s="1" t="s">
        <v>89</v>
      </c>
      <c r="U486" s="1" t="s">
        <v>212</v>
      </c>
      <c r="V486" s="1" t="s">
        <v>90</v>
      </c>
      <c r="W486" s="1" t="s">
        <v>1182</v>
      </c>
      <c r="Y486" s="1" t="s">
        <v>1353</v>
      </c>
      <c r="Z486" s="1" t="str">
        <f t="shared" si="21"/>
        <v>1384 1</v>
      </c>
      <c r="AA486" s="3">
        <f>IF(INDEX('CAMD Facility Data 2023'!$AA$2:$AE$10000,MATCH(Z486,'CAMD Facility Data 2023'!$AE$2:$AE$10000,0),1)&gt;0,INDEX('CAMD Facility Data 2023'!$AA$2:$AE$10000,MATCH(Z486,'CAMD Facility Data 2023'!$AE$2:$AE$10000,0),1),"")</f>
        <v>23782</v>
      </c>
      <c r="AB486" s="5">
        <f>IF(INDEX('CAMD Facility Data 2023'!$AC$2:$AE$10000,MATCH(Z486,'CAMD Facility Data 2023'!$AE$2:$AE$10000,0),1)&gt;0,INDEX('CAMD Facility Data 2023'!$AC$2:$AE$10000,MATCH(Z486,'CAMD Facility Data 2023'!$AE$2:$AE$10000,0),1),"")</f>
        <v>1381</v>
      </c>
      <c r="AC486" s="1" t="str">
        <f>IF(INDEX('CAMD Facility Data 2023'!$AE$2:$AG$10000,MATCH(Z486,'CAMD Facility Data 2023'!$AE$2:$AE$10000,0),3)&gt;0,INDEX('CAMD Facility Data 2023'!$AE$2:$AG$10000,MATCH(Z486,'CAMD Facility Data 2023'!$AE$2:$AE$10000,0),3),"")</f>
        <v/>
      </c>
      <c r="AD486" s="20">
        <f t="shared" si="22"/>
        <v>1.7443402796921827</v>
      </c>
      <c r="AE486" s="25">
        <f t="shared" si="23"/>
        <v>6.4142848392568425E-2</v>
      </c>
    </row>
    <row r="487" spans="1:31" x14ac:dyDescent="0.2">
      <c r="A487" s="1" t="s">
        <v>165</v>
      </c>
      <c r="B487" s="1" t="s">
        <v>1420</v>
      </c>
      <c r="C487" s="1">
        <v>1384</v>
      </c>
      <c r="D487" s="1">
        <v>2</v>
      </c>
      <c r="E487" s="1" t="s">
        <v>1421</v>
      </c>
      <c r="F487" s="1">
        <v>2023</v>
      </c>
      <c r="G487" s="5">
        <v>2971</v>
      </c>
      <c r="H487" s="5">
        <v>2951.23</v>
      </c>
      <c r="I487" s="5">
        <v>460238.11</v>
      </c>
      <c r="K487" s="5">
        <v>87.960999999999999</v>
      </c>
      <c r="L487" s="5">
        <v>6.08E-2</v>
      </c>
      <c r="M487" s="5">
        <v>451215.658</v>
      </c>
      <c r="N487" s="6">
        <v>0.10290000000000001</v>
      </c>
      <c r="O487" s="5">
        <v>171.989</v>
      </c>
      <c r="P487" s="6">
        <v>8.0799999999999997E-2</v>
      </c>
      <c r="Q487" s="5">
        <v>4397797.8590000002</v>
      </c>
      <c r="R487" s="1" t="s">
        <v>55</v>
      </c>
      <c r="T487" s="1" t="s">
        <v>89</v>
      </c>
      <c r="U487" s="1" t="s">
        <v>212</v>
      </c>
      <c r="V487" s="1" t="s">
        <v>639</v>
      </c>
      <c r="W487" s="1" t="s">
        <v>232</v>
      </c>
      <c r="Y487" s="1" t="s">
        <v>1353</v>
      </c>
      <c r="Z487" s="1" t="str">
        <f t="shared" si="21"/>
        <v>1384 2</v>
      </c>
      <c r="AA487" s="3">
        <f>IF(INDEX('CAMD Facility Data 2023'!$AA$2:$AE$10000,MATCH(Z487,'CAMD Facility Data 2023'!$AE$2:$AE$10000,0),1)&gt;0,INDEX('CAMD Facility Data 2023'!$AA$2:$AE$10000,MATCH(Z487,'CAMD Facility Data 2023'!$AE$2:$AE$10000,0),1),"")</f>
        <v>25504</v>
      </c>
      <c r="AB487" s="5">
        <f>IF(INDEX('CAMD Facility Data 2023'!$AC$2:$AE$10000,MATCH(Z487,'CAMD Facility Data 2023'!$AE$2:$AE$10000,0),1)&gt;0,INDEX('CAMD Facility Data 2023'!$AC$2:$AE$10000,MATCH(Z487,'CAMD Facility Data 2023'!$AE$2:$AE$10000,0),1),"")</f>
        <v>2418</v>
      </c>
      <c r="AC487" s="1" t="str">
        <f>IF(INDEX('CAMD Facility Data 2023'!$AE$2:$AG$10000,MATCH(Z487,'CAMD Facility Data 2023'!$AE$2:$AE$10000,0),3)&gt;0,INDEX('CAMD Facility Data 2023'!$AE$2:$AG$10000,MATCH(Z487,'CAMD Facility Data 2023'!$AE$2:$AE$10000,0),3),"")</f>
        <v>Y</v>
      </c>
      <c r="AD487" s="20">
        <f t="shared" si="22"/>
        <v>0.74739138834026586</v>
      </c>
      <c r="AE487" s="25">
        <f t="shared" si="23"/>
        <v>0.20762271259881182</v>
      </c>
    </row>
    <row r="488" spans="1:31" x14ac:dyDescent="0.2">
      <c r="A488" s="1" t="s">
        <v>1426</v>
      </c>
      <c r="B488" s="1" t="s">
        <v>1427</v>
      </c>
      <c r="C488" s="1">
        <v>1391</v>
      </c>
      <c r="D488" s="1" t="s">
        <v>372</v>
      </c>
      <c r="F488" s="1">
        <v>2023</v>
      </c>
      <c r="G488" s="5">
        <v>8432</v>
      </c>
      <c r="H488" s="5">
        <v>8428.09</v>
      </c>
      <c r="I488" s="5">
        <v>806644.46</v>
      </c>
      <c r="K488" s="5">
        <v>1.468</v>
      </c>
      <c r="L488" s="5">
        <v>1.2999999999999999E-3</v>
      </c>
      <c r="M488" s="5">
        <v>156936.14799999999</v>
      </c>
      <c r="N488" s="6">
        <v>5.9299999999999999E-2</v>
      </c>
      <c r="O488" s="5">
        <v>110.584</v>
      </c>
      <c r="P488" s="6">
        <v>8.4400000000000003E-2</v>
      </c>
      <c r="Q488" s="5">
        <v>2640681.0159999998</v>
      </c>
      <c r="R488" s="1" t="s">
        <v>1432</v>
      </c>
      <c r="S488" s="1" t="s">
        <v>94</v>
      </c>
      <c r="T488" s="1" t="s">
        <v>43</v>
      </c>
      <c r="V488" s="1" t="s">
        <v>1233</v>
      </c>
      <c r="Y488" s="1" t="s">
        <v>1428</v>
      </c>
      <c r="Z488" s="1" t="str">
        <f t="shared" si="21"/>
        <v>1391 1A</v>
      </c>
      <c r="AA488" s="3">
        <f>IF(INDEX('CAMD Facility Data 2023'!$AA$2:$AE$10000,MATCH(Z488,'CAMD Facility Data 2023'!$AE$2:$AE$10000,0),1)&gt;0,INDEX('CAMD Facility Data 2023'!$AA$2:$AE$10000,MATCH(Z488,'CAMD Facility Data 2023'!$AE$2:$AE$10000,0),1),"")</f>
        <v>18872</v>
      </c>
      <c r="AB488" s="5">
        <f>IF(INDEX('CAMD Facility Data 2023'!$AC$2:$AE$10000,MATCH(Z488,'CAMD Facility Data 2023'!$AE$2:$AE$10000,0),1)&gt;0,INDEX('CAMD Facility Data 2023'!$AC$2:$AE$10000,MATCH(Z488,'CAMD Facility Data 2023'!$AE$2:$AE$10000,0),1),"")</f>
        <v>845</v>
      </c>
      <c r="AC488" s="1" t="str">
        <f>IF(INDEX('CAMD Facility Data 2023'!$AE$2:$AG$10000,MATCH(Z488,'CAMD Facility Data 2023'!$AE$2:$AE$10000,0),3)&gt;0,INDEX('CAMD Facility Data 2023'!$AE$2:$AG$10000,MATCH(Z488,'CAMD Facility Data 2023'!$AE$2:$AE$10000,0),3),"")</f>
        <v/>
      </c>
      <c r="AD488" s="20">
        <f t="shared" si="22"/>
        <v>0.27418275456822699</v>
      </c>
      <c r="AE488" s="25">
        <f t="shared" si="23"/>
        <v>0.35674272729728995</v>
      </c>
    </row>
    <row r="489" spans="1:31" x14ac:dyDescent="0.2">
      <c r="A489" s="1" t="s">
        <v>1426</v>
      </c>
      <c r="B489" s="1" t="s">
        <v>1427</v>
      </c>
      <c r="C489" s="1">
        <v>1391</v>
      </c>
      <c r="D489" s="1" t="s">
        <v>377</v>
      </c>
      <c r="F489" s="1">
        <v>2023</v>
      </c>
      <c r="G489" s="5">
        <v>8451</v>
      </c>
      <c r="H489" s="5">
        <v>8446.3700000000008</v>
      </c>
      <c r="I489" s="5">
        <v>819810.49</v>
      </c>
      <c r="K489" s="5">
        <v>1.6419999999999999</v>
      </c>
      <c r="L489" s="5">
        <v>1.2999999999999999E-3</v>
      </c>
      <c r="M489" s="5">
        <v>167932.96400000001</v>
      </c>
      <c r="N489" s="6">
        <v>5.9299999999999999E-2</v>
      </c>
      <c r="O489" s="5">
        <v>143.15299999999999</v>
      </c>
      <c r="P489" s="6">
        <v>0.1027</v>
      </c>
      <c r="Q489" s="5">
        <v>2825815.69</v>
      </c>
      <c r="R489" s="1" t="s">
        <v>1432</v>
      </c>
      <c r="S489" s="1" t="s">
        <v>94</v>
      </c>
      <c r="T489" s="1" t="s">
        <v>43</v>
      </c>
      <c r="V489" s="1" t="s">
        <v>1233</v>
      </c>
      <c r="Y489" s="1" t="s">
        <v>1428</v>
      </c>
      <c r="Z489" s="1" t="str">
        <f t="shared" si="21"/>
        <v>1391 2A</v>
      </c>
      <c r="AA489" s="3">
        <f>IF(INDEX('CAMD Facility Data 2023'!$AA$2:$AE$10000,MATCH(Z489,'CAMD Facility Data 2023'!$AE$2:$AE$10000,0),1)&gt;0,INDEX('CAMD Facility Data 2023'!$AA$2:$AE$10000,MATCH(Z489,'CAMD Facility Data 2023'!$AE$2:$AE$10000,0),1),"")</f>
        <v>18872</v>
      </c>
      <c r="AB489" s="5">
        <f>IF(INDEX('CAMD Facility Data 2023'!$AC$2:$AE$10000,MATCH(Z489,'CAMD Facility Data 2023'!$AE$2:$AE$10000,0),1)&gt;0,INDEX('CAMD Facility Data 2023'!$AC$2:$AE$10000,MATCH(Z489,'CAMD Facility Data 2023'!$AE$2:$AE$10000,0),1),"")</f>
        <v>950</v>
      </c>
      <c r="AC489" s="1" t="str">
        <f>IF(INDEX('CAMD Facility Data 2023'!$AE$2:$AG$10000,MATCH(Z489,'CAMD Facility Data 2023'!$AE$2:$AE$10000,0),3)&gt;0,INDEX('CAMD Facility Data 2023'!$AE$2:$AG$10000,MATCH(Z489,'CAMD Facility Data 2023'!$AE$2:$AE$10000,0),3),"")</f>
        <v/>
      </c>
      <c r="AD489" s="20">
        <f t="shared" si="22"/>
        <v>0.34923437000665847</v>
      </c>
      <c r="AE489" s="25">
        <f t="shared" si="23"/>
        <v>0.33955968397019948</v>
      </c>
    </row>
    <row r="490" spans="1:31" x14ac:dyDescent="0.2">
      <c r="A490" s="1" t="s">
        <v>1426</v>
      </c>
      <c r="B490" s="1" t="s">
        <v>1427</v>
      </c>
      <c r="C490" s="1">
        <v>1391</v>
      </c>
      <c r="D490" s="1" t="s">
        <v>379</v>
      </c>
      <c r="F490" s="1">
        <v>2023</v>
      </c>
      <c r="G490" s="5">
        <v>8671</v>
      </c>
      <c r="H490" s="5">
        <v>8665.85</v>
      </c>
      <c r="I490" s="5">
        <v>849074.23</v>
      </c>
      <c r="K490" s="5">
        <v>1.6719999999999999</v>
      </c>
      <c r="L490" s="5">
        <v>1.2999999999999999E-3</v>
      </c>
      <c r="M490" s="5">
        <v>175646.04300000001</v>
      </c>
      <c r="N490" s="6">
        <v>5.9299999999999999E-2</v>
      </c>
      <c r="O490" s="5">
        <v>139.28</v>
      </c>
      <c r="P490" s="6">
        <v>9.2999999999999999E-2</v>
      </c>
      <c r="Q490" s="5">
        <v>2955664.9389999998</v>
      </c>
      <c r="R490" s="1" t="s">
        <v>1432</v>
      </c>
      <c r="S490" s="1" t="s">
        <v>94</v>
      </c>
      <c r="T490" s="1" t="s">
        <v>43</v>
      </c>
      <c r="V490" s="1" t="s">
        <v>1233</v>
      </c>
      <c r="Y490" s="1" t="s">
        <v>1428</v>
      </c>
      <c r="Z490" s="1" t="str">
        <f t="shared" si="21"/>
        <v>1391 3A</v>
      </c>
      <c r="AA490" s="3">
        <f>IF(INDEX('CAMD Facility Data 2023'!$AA$2:$AE$10000,MATCH(Z490,'CAMD Facility Data 2023'!$AE$2:$AE$10000,0),1)&gt;0,INDEX('CAMD Facility Data 2023'!$AA$2:$AE$10000,MATCH(Z490,'CAMD Facility Data 2023'!$AE$2:$AE$10000,0),1),"")</f>
        <v>18872</v>
      </c>
      <c r="AB490" s="5">
        <f>IF(INDEX('CAMD Facility Data 2023'!$AC$2:$AE$10000,MATCH(Z490,'CAMD Facility Data 2023'!$AE$2:$AE$10000,0),1)&gt;0,INDEX('CAMD Facility Data 2023'!$AC$2:$AE$10000,MATCH(Z490,'CAMD Facility Data 2023'!$AE$2:$AE$10000,0),1),"")</f>
        <v>1050</v>
      </c>
      <c r="AC490" s="1" t="str">
        <f>IF(INDEX('CAMD Facility Data 2023'!$AE$2:$AG$10000,MATCH(Z490,'CAMD Facility Data 2023'!$AE$2:$AE$10000,0),3)&gt;0,INDEX('CAMD Facility Data 2023'!$AE$2:$AG$10000,MATCH(Z490,'CAMD Facility Data 2023'!$AE$2:$AE$10000,0),3),"")</f>
        <v/>
      </c>
      <c r="AD490" s="20">
        <f t="shared" si="22"/>
        <v>0.32807496701436811</v>
      </c>
      <c r="AE490" s="25">
        <f t="shared" si="23"/>
        <v>0.32133778419221565</v>
      </c>
    </row>
    <row r="491" spans="1:31" x14ac:dyDescent="0.2">
      <c r="A491" s="1" t="s">
        <v>1426</v>
      </c>
      <c r="B491" s="1" t="s">
        <v>1427</v>
      </c>
      <c r="C491" s="1">
        <v>1391</v>
      </c>
      <c r="D491" s="1" t="s">
        <v>381</v>
      </c>
      <c r="F491" s="1">
        <v>2023</v>
      </c>
      <c r="G491" s="5">
        <v>8235</v>
      </c>
      <c r="H491" s="5">
        <v>8226.0499999999993</v>
      </c>
      <c r="I491" s="5">
        <v>857768.38</v>
      </c>
      <c r="K491" s="5">
        <v>6.1029999999999998</v>
      </c>
      <c r="L491" s="5">
        <v>1.1000000000000001E-3</v>
      </c>
      <c r="M491" s="5">
        <v>728675.68599999999</v>
      </c>
      <c r="N491" s="6">
        <v>5.8999999999999997E-2</v>
      </c>
      <c r="O491" s="5">
        <v>469.928</v>
      </c>
      <c r="P491" s="6">
        <v>7.6899999999999996E-2</v>
      </c>
      <c r="Q491" s="5">
        <v>12261388.039000001</v>
      </c>
      <c r="R491" s="1" t="s">
        <v>1432</v>
      </c>
      <c r="T491" s="1" t="s">
        <v>71</v>
      </c>
      <c r="V491" s="1" t="s">
        <v>95</v>
      </c>
      <c r="Y491" s="1" t="s">
        <v>1428</v>
      </c>
      <c r="Z491" s="1" t="str">
        <f t="shared" si="21"/>
        <v>1391 4A</v>
      </c>
      <c r="AA491" s="3">
        <f>IF(INDEX('CAMD Facility Data 2023'!$AA$2:$AE$10000,MATCH(Z491,'CAMD Facility Data 2023'!$AE$2:$AE$10000,0),1)&gt;0,INDEX('CAMD Facility Data 2023'!$AA$2:$AE$10000,MATCH(Z491,'CAMD Facility Data 2023'!$AE$2:$AE$10000,0),1),"")</f>
        <v>32143</v>
      </c>
      <c r="AB491" s="5">
        <f>IF(INDEX('CAMD Facility Data 2023'!$AC$2:$AE$10000,MATCH(Z491,'CAMD Facility Data 2023'!$AE$2:$AE$10000,0),1)&gt;0,INDEX('CAMD Facility Data 2023'!$AC$2:$AE$10000,MATCH(Z491,'CAMD Facility Data 2023'!$AE$2:$AE$10000,0),1),"")</f>
        <v>2550</v>
      </c>
      <c r="AC491" s="1" t="str">
        <f>IF(INDEX('CAMD Facility Data 2023'!$AE$2:$AG$10000,MATCH(Z491,'CAMD Facility Data 2023'!$AE$2:$AE$10000,0),3)&gt;0,INDEX('CAMD Facility Data 2023'!$AE$2:$AG$10000,MATCH(Z491,'CAMD Facility Data 2023'!$AE$2:$AE$10000,0),3),"")</f>
        <v/>
      </c>
      <c r="AD491" s="20">
        <f t="shared" si="22"/>
        <v>1.0956990510655102</v>
      </c>
      <c r="AE491" s="25">
        <f t="shared" si="23"/>
        <v>0.54890267879846011</v>
      </c>
    </row>
    <row r="492" spans="1:31" x14ac:dyDescent="0.2">
      <c r="A492" s="1" t="s">
        <v>1426</v>
      </c>
      <c r="B492" s="1" t="s">
        <v>1427</v>
      </c>
      <c r="C492" s="1">
        <v>1391</v>
      </c>
      <c r="D492" s="1" t="s">
        <v>955</v>
      </c>
      <c r="F492" s="1">
        <v>2023</v>
      </c>
      <c r="G492" s="5">
        <v>8368</v>
      </c>
      <c r="H492" s="5">
        <v>8361.86</v>
      </c>
      <c r="J492" s="5">
        <v>7747434.7999999998</v>
      </c>
      <c r="K492" s="5">
        <v>9.2810000000000006</v>
      </c>
      <c r="L492" s="5">
        <v>1.1999999999999999E-3</v>
      </c>
      <c r="M492" s="5">
        <v>1061050.7409999999</v>
      </c>
      <c r="N492" s="6">
        <v>5.8999999999999997E-2</v>
      </c>
      <c r="O492" s="5">
        <v>367.67099999999999</v>
      </c>
      <c r="P492" s="6">
        <v>4.1399999999999999E-2</v>
      </c>
      <c r="Q492" s="5">
        <v>17854291.875999998</v>
      </c>
      <c r="R492" s="1" t="s">
        <v>1432</v>
      </c>
      <c r="T492" s="1" t="s">
        <v>71</v>
      </c>
      <c r="V492" s="1" t="s">
        <v>140</v>
      </c>
      <c r="Y492" s="1" t="s">
        <v>1428</v>
      </c>
      <c r="Z492" s="1" t="str">
        <f t="shared" si="21"/>
        <v>1391 5A</v>
      </c>
      <c r="AA492" s="3">
        <f>IF(INDEX('CAMD Facility Data 2023'!$AA$2:$AE$10000,MATCH(Z492,'CAMD Facility Data 2023'!$AE$2:$AE$10000,0),1)&gt;0,INDEX('CAMD Facility Data 2023'!$AA$2:$AE$10000,MATCH(Z492,'CAMD Facility Data 2023'!$AE$2:$AE$10000,0),1),"")</f>
        <v>36251</v>
      </c>
      <c r="AB492" s="5">
        <f>IF(INDEX('CAMD Facility Data 2023'!$AC$2:$AE$10000,MATCH(Z492,'CAMD Facility Data 2023'!$AE$2:$AE$10000,0),1)&gt;0,INDEX('CAMD Facility Data 2023'!$AC$2:$AE$10000,MATCH(Z492,'CAMD Facility Data 2023'!$AE$2:$AE$10000,0),1),"")</f>
        <v>2665</v>
      </c>
      <c r="AC492" s="1" t="str">
        <f>IF(INDEX('CAMD Facility Data 2023'!$AE$2:$AG$10000,MATCH(Z492,'CAMD Facility Data 2023'!$AE$2:$AE$10000,0),3)&gt;0,INDEX('CAMD Facility Data 2023'!$AE$2:$AG$10000,MATCH(Z492,'CAMD Facility Data 2023'!$AE$2:$AE$10000,0),3),"")</f>
        <v/>
      </c>
      <c r="AD492" s="20" t="str">
        <f t="shared" si="22"/>
        <v/>
      </c>
      <c r="AE492" s="25">
        <f t="shared" si="23"/>
        <v>0.76478843266767749</v>
      </c>
    </row>
    <row r="493" spans="1:31" x14ac:dyDescent="0.2">
      <c r="A493" s="1" t="s">
        <v>1426</v>
      </c>
      <c r="B493" s="1" t="s">
        <v>1439</v>
      </c>
      <c r="C493" s="1">
        <v>1393</v>
      </c>
      <c r="D493" s="1">
        <v>6</v>
      </c>
      <c r="F493" s="1">
        <v>2023</v>
      </c>
      <c r="G493" s="5">
        <v>4423</v>
      </c>
      <c r="H493" s="5">
        <v>4414.51</v>
      </c>
      <c r="I493" s="5">
        <v>1608801.83</v>
      </c>
      <c r="K493" s="5">
        <v>4592.1139999999996</v>
      </c>
      <c r="L493" s="5">
        <v>0.49030000000000001</v>
      </c>
      <c r="M493" s="5">
        <v>1917858.676</v>
      </c>
      <c r="N493" s="6">
        <v>0.105</v>
      </c>
      <c r="O493" s="5">
        <v>1442.875</v>
      </c>
      <c r="P493" s="6">
        <v>0.17649999999999999</v>
      </c>
      <c r="Q493" s="5">
        <v>18286228.186000001</v>
      </c>
      <c r="R493" s="1" t="s">
        <v>55</v>
      </c>
      <c r="S493" s="1" t="s">
        <v>173</v>
      </c>
      <c r="T493" s="1" t="s">
        <v>43</v>
      </c>
      <c r="V493" s="1" t="s">
        <v>242</v>
      </c>
      <c r="W493" s="1" t="s">
        <v>58</v>
      </c>
      <c r="X493" s="1" t="s">
        <v>937</v>
      </c>
      <c r="Y493" s="1" t="s">
        <v>1440</v>
      </c>
      <c r="Z493" s="1" t="str">
        <f t="shared" si="21"/>
        <v>1393 6</v>
      </c>
      <c r="AA493" s="3">
        <f>IF(INDEX('CAMD Facility Data 2023'!$AA$2:$AE$10000,MATCH(Z493,'CAMD Facility Data 2023'!$AE$2:$AE$10000,0),1)&gt;0,INDEX('CAMD Facility Data 2023'!$AA$2:$AE$10000,MATCH(Z493,'CAMD Facility Data 2023'!$AE$2:$AE$10000,0),1),"")</f>
        <v>30102</v>
      </c>
      <c r="AB493" s="5">
        <f>IF(INDEX('CAMD Facility Data 2023'!$AC$2:$AE$10000,MATCH(Z493,'CAMD Facility Data 2023'!$AE$2:$AE$10000,0),1)&gt;0,INDEX('CAMD Facility Data 2023'!$AC$2:$AE$10000,MATCH(Z493,'CAMD Facility Data 2023'!$AE$2:$AE$10000,0),1),"")</f>
        <v>6790</v>
      </c>
      <c r="AC493" s="1" t="str">
        <f>IF(INDEX('CAMD Facility Data 2023'!$AE$2:$AG$10000,MATCH(Z493,'CAMD Facility Data 2023'!$AE$2:$AE$10000,0),3)&gt;0,INDEX('CAMD Facility Data 2023'!$AE$2:$AG$10000,MATCH(Z493,'CAMD Facility Data 2023'!$AE$2:$AE$10000,0),3),"")</f>
        <v/>
      </c>
      <c r="AD493" s="20">
        <f t="shared" si="22"/>
        <v>1.7937262043019928</v>
      </c>
      <c r="AE493" s="25">
        <f t="shared" si="23"/>
        <v>0.30743283814500239</v>
      </c>
    </row>
    <row r="494" spans="1:31" x14ac:dyDescent="0.2">
      <c r="A494" s="1" t="s">
        <v>1426</v>
      </c>
      <c r="B494" s="1" t="s">
        <v>1445</v>
      </c>
      <c r="C494" s="1">
        <v>1396</v>
      </c>
      <c r="D494" s="2">
        <v>45444</v>
      </c>
      <c r="F494" s="1">
        <v>2023</v>
      </c>
      <c r="G494" s="5">
        <v>6678</v>
      </c>
      <c r="H494" s="5">
        <v>6654.46</v>
      </c>
      <c r="I494" s="5">
        <v>1331483.73</v>
      </c>
      <c r="K494" s="5">
        <v>2.9660000000000002</v>
      </c>
      <c r="L494" s="5">
        <v>1E-3</v>
      </c>
      <c r="M494" s="5">
        <v>587450.96</v>
      </c>
      <c r="N494" s="6">
        <v>5.8999999999999997E-2</v>
      </c>
      <c r="O494" s="5">
        <v>162.602</v>
      </c>
      <c r="P494" s="6">
        <v>3.32E-2</v>
      </c>
      <c r="Q494" s="5">
        <v>9884954.5999999996</v>
      </c>
      <c r="R494" s="1" t="s">
        <v>44</v>
      </c>
      <c r="T494" s="1" t="s">
        <v>71</v>
      </c>
      <c r="V494" s="1" t="s">
        <v>64</v>
      </c>
      <c r="Y494" s="1" t="s">
        <v>1428</v>
      </c>
      <c r="Z494" s="1" t="str">
        <f t="shared" si="21"/>
        <v>1396 45444</v>
      </c>
      <c r="AA494" s="3">
        <f>IF(INDEX('CAMD Facility Data 2023'!$AA$2:$AE$10000,MATCH(Z494,'CAMD Facility Data 2023'!$AE$2:$AE$10000,0),1)&gt;0,INDEX('CAMD Facility Data 2023'!$AA$2:$AE$10000,MATCH(Z494,'CAMD Facility Data 2023'!$AE$2:$AE$10000,0),1),"")</f>
        <v>36579</v>
      </c>
      <c r="AB494" s="5">
        <f>IF(INDEX('CAMD Facility Data 2023'!$AC$2:$AE$10000,MATCH(Z494,'CAMD Facility Data 2023'!$AE$2:$AE$10000,0),1)&gt;0,INDEX('CAMD Facility Data 2023'!$AC$2:$AE$10000,MATCH(Z494,'CAMD Facility Data 2023'!$AE$2:$AE$10000,0),1),"")</f>
        <v>2099</v>
      </c>
      <c r="AC494" s="1" t="str">
        <f>IF(INDEX('CAMD Facility Data 2023'!$AE$2:$AG$10000,MATCH(Z494,'CAMD Facility Data 2023'!$AE$2:$AE$10000,0),3)&gt;0,INDEX('CAMD Facility Data 2023'!$AE$2:$AG$10000,MATCH(Z494,'CAMD Facility Data 2023'!$AE$2:$AE$10000,0),3),"")</f>
        <v>Y</v>
      </c>
      <c r="AD494" s="20">
        <f t="shared" si="22"/>
        <v>0.24424181285339477</v>
      </c>
      <c r="AE494" s="25">
        <f t="shared" si="23"/>
        <v>0.53759860642489032</v>
      </c>
    </row>
    <row r="495" spans="1:31" x14ac:dyDescent="0.2">
      <c r="A495" s="1" t="s">
        <v>1426</v>
      </c>
      <c r="B495" s="1" t="s">
        <v>1445</v>
      </c>
      <c r="C495" s="1">
        <v>1396</v>
      </c>
      <c r="D495" s="2">
        <v>45474</v>
      </c>
      <c r="F495" s="1">
        <v>2023</v>
      </c>
      <c r="G495" s="5">
        <v>6915</v>
      </c>
      <c r="H495" s="5">
        <v>6894.64</v>
      </c>
      <c r="I495" s="5">
        <v>1351618.65</v>
      </c>
      <c r="K495" s="5">
        <v>3.03</v>
      </c>
      <c r="L495" s="5">
        <v>1E-3</v>
      </c>
      <c r="M495" s="5">
        <v>600179.63600000006</v>
      </c>
      <c r="N495" s="6">
        <v>5.8999999999999997E-2</v>
      </c>
      <c r="O495" s="5">
        <v>167.55500000000001</v>
      </c>
      <c r="P495" s="6">
        <v>3.3300000000000003E-2</v>
      </c>
      <c r="Q495" s="5">
        <v>10099070.497</v>
      </c>
      <c r="R495" s="1" t="s">
        <v>44</v>
      </c>
      <c r="T495" s="1" t="s">
        <v>71</v>
      </c>
      <c r="V495" s="1" t="s">
        <v>64</v>
      </c>
      <c r="Y495" s="1" t="s">
        <v>1428</v>
      </c>
      <c r="Z495" s="1" t="str">
        <f t="shared" si="21"/>
        <v>1396 45474</v>
      </c>
      <c r="AA495" s="3">
        <f>IF(INDEX('CAMD Facility Data 2023'!$AA$2:$AE$10000,MATCH(Z495,'CAMD Facility Data 2023'!$AE$2:$AE$10000,0),1)&gt;0,INDEX('CAMD Facility Data 2023'!$AA$2:$AE$10000,MATCH(Z495,'CAMD Facility Data 2023'!$AE$2:$AE$10000,0),1),"")</f>
        <v>36579</v>
      </c>
      <c r="AB495" s="5">
        <f>IF(INDEX('CAMD Facility Data 2023'!$AC$2:$AE$10000,MATCH(Z495,'CAMD Facility Data 2023'!$AE$2:$AE$10000,0),1)&gt;0,INDEX('CAMD Facility Data 2023'!$AC$2:$AE$10000,MATCH(Z495,'CAMD Facility Data 2023'!$AE$2:$AE$10000,0),1),"")</f>
        <v>1978</v>
      </c>
      <c r="AC495" s="1" t="str">
        <f>IF(INDEX('CAMD Facility Data 2023'!$AE$2:$AG$10000,MATCH(Z495,'CAMD Facility Data 2023'!$AE$2:$AE$10000,0),3)&gt;0,INDEX('CAMD Facility Data 2023'!$AE$2:$AG$10000,MATCH(Z495,'CAMD Facility Data 2023'!$AE$2:$AE$10000,0),3),"")</f>
        <v>Y</v>
      </c>
      <c r="AD495" s="20">
        <f t="shared" si="22"/>
        <v>0.24793235873151057</v>
      </c>
      <c r="AE495" s="25">
        <f t="shared" si="23"/>
        <v>0.58284222895919036</v>
      </c>
    </row>
    <row r="496" spans="1:31" x14ac:dyDescent="0.2">
      <c r="A496" s="1" t="s">
        <v>1426</v>
      </c>
      <c r="B496" s="1" t="s">
        <v>1445</v>
      </c>
      <c r="C496" s="1">
        <v>1396</v>
      </c>
      <c r="D496" s="2">
        <v>45475</v>
      </c>
      <c r="F496" s="1">
        <v>2023</v>
      </c>
      <c r="G496" s="5">
        <v>7006</v>
      </c>
      <c r="H496" s="5">
        <v>6989.35</v>
      </c>
      <c r="I496" s="5">
        <v>1362951.92</v>
      </c>
      <c r="K496" s="5">
        <v>3.0419999999999998</v>
      </c>
      <c r="L496" s="5">
        <v>1E-3</v>
      </c>
      <c r="M496" s="5">
        <v>602548.65899999999</v>
      </c>
      <c r="N496" s="6">
        <v>5.8999999999999997E-2</v>
      </c>
      <c r="O496" s="5">
        <v>158.43</v>
      </c>
      <c r="P496" s="6">
        <v>3.1199999999999999E-2</v>
      </c>
      <c r="Q496" s="5">
        <v>10139071.603</v>
      </c>
      <c r="R496" s="1" t="s">
        <v>44</v>
      </c>
      <c r="T496" s="1" t="s">
        <v>71</v>
      </c>
      <c r="V496" s="1" t="s">
        <v>64</v>
      </c>
      <c r="Y496" s="1" t="s">
        <v>1428</v>
      </c>
      <c r="Z496" s="1" t="str">
        <f t="shared" si="21"/>
        <v>1396 45475</v>
      </c>
      <c r="AA496" s="3">
        <f>IF(INDEX('CAMD Facility Data 2023'!$AA$2:$AE$10000,MATCH(Z496,'CAMD Facility Data 2023'!$AE$2:$AE$10000,0),1)&gt;0,INDEX('CAMD Facility Data 2023'!$AA$2:$AE$10000,MATCH(Z496,'CAMD Facility Data 2023'!$AE$2:$AE$10000,0),1),"")</f>
        <v>36612</v>
      </c>
      <c r="AB496" s="5">
        <f>IF(INDEX('CAMD Facility Data 2023'!$AC$2:$AE$10000,MATCH(Z496,'CAMD Facility Data 2023'!$AE$2:$AE$10000,0),1)&gt;0,INDEX('CAMD Facility Data 2023'!$AC$2:$AE$10000,MATCH(Z496,'CAMD Facility Data 2023'!$AE$2:$AE$10000,0),1),"")</f>
        <v>1978</v>
      </c>
      <c r="AC496" s="1" t="str">
        <f>IF(INDEX('CAMD Facility Data 2023'!$AE$2:$AG$10000,MATCH(Z496,'CAMD Facility Data 2023'!$AE$2:$AE$10000,0),3)&gt;0,INDEX('CAMD Facility Data 2023'!$AE$2:$AG$10000,MATCH(Z496,'CAMD Facility Data 2023'!$AE$2:$AE$10000,0),3),"")</f>
        <v>Y</v>
      </c>
      <c r="AD496" s="20">
        <f t="shared" si="22"/>
        <v>0.23248068794679128</v>
      </c>
      <c r="AE496" s="25">
        <f t="shared" si="23"/>
        <v>0.58515079129557557</v>
      </c>
    </row>
    <row r="497" spans="1:31" x14ac:dyDescent="0.2">
      <c r="A497" s="1" t="s">
        <v>1426</v>
      </c>
      <c r="B497" s="1" t="s">
        <v>1452</v>
      </c>
      <c r="C497" s="1">
        <v>1400</v>
      </c>
      <c r="D497" s="1">
        <v>3</v>
      </c>
      <c r="F497" s="1">
        <v>2023</v>
      </c>
      <c r="G497" s="5">
        <v>1405</v>
      </c>
      <c r="H497" s="5">
        <v>1391.2</v>
      </c>
      <c r="I497" s="5">
        <v>181604.77</v>
      </c>
      <c r="K497" s="5">
        <v>0.58299999999999996</v>
      </c>
      <c r="L497" s="5">
        <v>1E-3</v>
      </c>
      <c r="M497" s="5">
        <v>115410.644</v>
      </c>
      <c r="N497" s="6">
        <v>5.8999999999999997E-2</v>
      </c>
      <c r="O497" s="5">
        <v>205.303</v>
      </c>
      <c r="P497" s="6">
        <v>0.184</v>
      </c>
      <c r="Q497" s="5">
        <v>1942012.767</v>
      </c>
      <c r="R497" s="1" t="s">
        <v>44</v>
      </c>
      <c r="S497" s="1" t="s">
        <v>94</v>
      </c>
      <c r="T497" s="1" t="s">
        <v>89</v>
      </c>
      <c r="Y497" s="1" t="s">
        <v>1428</v>
      </c>
      <c r="Z497" s="1" t="str">
        <f t="shared" si="21"/>
        <v>1400 3</v>
      </c>
      <c r="AA497" s="3">
        <f>IF(INDEX('CAMD Facility Data 2023'!$AA$2:$AE$10000,MATCH(Z497,'CAMD Facility Data 2023'!$AE$2:$AE$10000,0),1)&gt;0,INDEX('CAMD Facility Data 2023'!$AA$2:$AE$10000,MATCH(Z497,'CAMD Facility Data 2023'!$AE$2:$AE$10000,0),1),"")</f>
        <v>26001</v>
      </c>
      <c r="AB497" s="5">
        <f>IF(INDEX('CAMD Facility Data 2023'!$AC$2:$AE$10000,MATCH(Z497,'CAMD Facility Data 2023'!$AE$2:$AE$10000,0),1)&gt;0,INDEX('CAMD Facility Data 2023'!$AC$2:$AE$10000,MATCH(Z497,'CAMD Facility Data 2023'!$AE$2:$AE$10000,0),1),"")</f>
        <v>3733</v>
      </c>
      <c r="AC497" s="1" t="str">
        <f>IF(INDEX('CAMD Facility Data 2023'!$AE$2:$AG$10000,MATCH(Z497,'CAMD Facility Data 2023'!$AE$2:$AE$10000,0),3)&gt;0,INDEX('CAMD Facility Data 2023'!$AE$2:$AG$10000,MATCH(Z497,'CAMD Facility Data 2023'!$AE$2:$AE$10000,0),3),"")</f>
        <v/>
      </c>
      <c r="AD497" s="20">
        <f t="shared" si="22"/>
        <v>2.2609868672502382</v>
      </c>
      <c r="AE497" s="25">
        <f t="shared" si="23"/>
        <v>5.9386808233856496E-2</v>
      </c>
    </row>
    <row r="498" spans="1:31" x14ac:dyDescent="0.2">
      <c r="A498" s="1" t="s">
        <v>1426</v>
      </c>
      <c r="B498" s="1" t="s">
        <v>1452</v>
      </c>
      <c r="C498" s="1">
        <v>1400</v>
      </c>
      <c r="D498" s="1">
        <v>4</v>
      </c>
      <c r="F498" s="1">
        <v>2023</v>
      </c>
      <c r="G498" s="5">
        <v>60</v>
      </c>
      <c r="H498" s="5">
        <v>50.83</v>
      </c>
      <c r="I498" s="5">
        <v>1425.96</v>
      </c>
      <c r="K498" s="5">
        <v>5.0000000000000001E-3</v>
      </c>
      <c r="L498" s="5">
        <v>8.0000000000000004E-4</v>
      </c>
      <c r="M498" s="5">
        <v>1018.7</v>
      </c>
      <c r="N498" s="6">
        <v>5.8999999999999997E-2</v>
      </c>
      <c r="O498" s="5">
        <v>0.14699999999999999</v>
      </c>
      <c r="P498" s="6">
        <v>1.7100000000000001E-2</v>
      </c>
      <c r="Q498" s="5">
        <v>17273.7</v>
      </c>
      <c r="R498" s="1" t="s">
        <v>44</v>
      </c>
      <c r="T498" s="1" t="s">
        <v>93</v>
      </c>
      <c r="V498" s="1" t="s">
        <v>140</v>
      </c>
      <c r="Y498" s="1" t="s">
        <v>1428</v>
      </c>
      <c r="Z498" s="1" t="str">
        <f t="shared" si="21"/>
        <v>1400 4</v>
      </c>
      <c r="AA498" s="3">
        <f>IF(INDEX('CAMD Facility Data 2023'!$AA$2:$AE$10000,MATCH(Z498,'CAMD Facility Data 2023'!$AE$2:$AE$10000,0),1)&gt;0,INDEX('CAMD Facility Data 2023'!$AA$2:$AE$10000,MATCH(Z498,'CAMD Facility Data 2023'!$AE$2:$AE$10000,0),1),"")</f>
        <v>40634</v>
      </c>
      <c r="AB498" s="5">
        <f>IF(INDEX('CAMD Facility Data 2023'!$AC$2:$AE$10000,MATCH(Z498,'CAMD Facility Data 2023'!$AE$2:$AE$10000,0),1)&gt;0,INDEX('CAMD Facility Data 2023'!$AC$2:$AE$10000,MATCH(Z498,'CAMD Facility Data 2023'!$AE$2:$AE$10000,0),1),"")</f>
        <v>449.4</v>
      </c>
      <c r="AC498" s="1" t="str">
        <f>IF(INDEX('CAMD Facility Data 2023'!$AE$2:$AG$10000,MATCH(Z498,'CAMD Facility Data 2023'!$AE$2:$AE$10000,0),3)&gt;0,INDEX('CAMD Facility Data 2023'!$AE$2:$AG$10000,MATCH(Z498,'CAMD Facility Data 2023'!$AE$2:$AE$10000,0),3),"")</f>
        <v/>
      </c>
      <c r="AD498" s="20">
        <f t="shared" si="22"/>
        <v>0.20617689135740133</v>
      </c>
      <c r="AE498" s="25">
        <f t="shared" si="23"/>
        <v>4.3878138888380856E-3</v>
      </c>
    </row>
    <row r="499" spans="1:31" x14ac:dyDescent="0.2">
      <c r="A499" s="1" t="s">
        <v>1426</v>
      </c>
      <c r="B499" s="1" t="s">
        <v>1457</v>
      </c>
      <c r="C499" s="1">
        <v>1402</v>
      </c>
      <c r="D499" s="1">
        <v>2</v>
      </c>
      <c r="F499" s="1">
        <v>2023</v>
      </c>
      <c r="G499" s="5">
        <v>200</v>
      </c>
      <c r="H499" s="5">
        <v>190.28</v>
      </c>
      <c r="I499" s="5">
        <v>13079.72</v>
      </c>
      <c r="K499" s="5">
        <v>4.4999999999999998E-2</v>
      </c>
      <c r="L499" s="5">
        <v>1E-3</v>
      </c>
      <c r="M499" s="5">
        <v>8945.5429999999997</v>
      </c>
      <c r="N499" s="6">
        <v>5.9799999999999999E-2</v>
      </c>
      <c r="O499" s="5">
        <v>14.374000000000001</v>
      </c>
      <c r="P499" s="6">
        <v>6.59E-2</v>
      </c>
      <c r="Q499" s="5">
        <v>150482.554</v>
      </c>
      <c r="R499" s="1" t="s">
        <v>44</v>
      </c>
      <c r="S499" s="1" t="s">
        <v>94</v>
      </c>
      <c r="T499" s="1" t="s">
        <v>89</v>
      </c>
      <c r="V499" s="1" t="s">
        <v>1460</v>
      </c>
      <c r="Y499" s="1" t="s">
        <v>1428</v>
      </c>
      <c r="Z499" s="1" t="str">
        <f t="shared" si="21"/>
        <v>1402 2</v>
      </c>
      <c r="AA499" s="3">
        <f>IF(INDEX('CAMD Facility Data 2023'!$AA$2:$AE$10000,MATCH(Z499,'CAMD Facility Data 2023'!$AE$2:$AE$10000,0),1)&gt;0,INDEX('CAMD Facility Data 2023'!$AA$2:$AE$10000,MATCH(Z499,'CAMD Facility Data 2023'!$AE$2:$AE$10000,0),1),"")</f>
        <v>24077</v>
      </c>
      <c r="AB499" s="5">
        <f>IF(INDEX('CAMD Facility Data 2023'!$AC$2:$AE$10000,MATCH(Z499,'CAMD Facility Data 2023'!$AE$2:$AE$10000,0),1)&gt;0,INDEX('CAMD Facility Data 2023'!$AC$2:$AE$10000,MATCH(Z499,'CAMD Facility Data 2023'!$AE$2:$AE$10000,0),1),"")</f>
        <v>4755</v>
      </c>
      <c r="AC499" s="1" t="str">
        <f>IF(INDEX('CAMD Facility Data 2023'!$AE$2:$AG$10000,MATCH(Z499,'CAMD Facility Data 2023'!$AE$2:$AE$10000,0),3)&gt;0,INDEX('CAMD Facility Data 2023'!$AE$2:$AG$10000,MATCH(Z499,'CAMD Facility Data 2023'!$AE$2:$AE$10000,0),3),"")</f>
        <v/>
      </c>
      <c r="AD499" s="20">
        <f t="shared" si="22"/>
        <v>2.1979063772007352</v>
      </c>
      <c r="AE499" s="25">
        <f t="shared" si="23"/>
        <v>3.6126968968017326E-3</v>
      </c>
    </row>
    <row r="500" spans="1:31" x14ac:dyDescent="0.2">
      <c r="A500" s="1" t="s">
        <v>1426</v>
      </c>
      <c r="B500" s="1" t="s">
        <v>1457</v>
      </c>
      <c r="C500" s="1">
        <v>1402</v>
      </c>
      <c r="D500" s="1">
        <v>3</v>
      </c>
      <c r="F500" s="1">
        <v>2023</v>
      </c>
      <c r="G500" s="5">
        <v>2199</v>
      </c>
      <c r="H500" s="5">
        <v>2185.67</v>
      </c>
      <c r="I500" s="5">
        <v>588349.54</v>
      </c>
      <c r="K500" s="5">
        <v>1.903</v>
      </c>
      <c r="L500" s="5">
        <v>1E-3</v>
      </c>
      <c r="M500" s="5">
        <v>376890.495</v>
      </c>
      <c r="N500" s="6">
        <v>5.8799999999999998E-2</v>
      </c>
      <c r="O500" s="5">
        <v>948.49800000000005</v>
      </c>
      <c r="P500" s="6">
        <v>0.2356</v>
      </c>
      <c r="Q500" s="5">
        <v>6341923.96</v>
      </c>
      <c r="R500" s="1" t="s">
        <v>44</v>
      </c>
      <c r="T500" s="1" t="s">
        <v>89</v>
      </c>
      <c r="V500" s="1" t="s">
        <v>1460</v>
      </c>
      <c r="Y500" s="1" t="s">
        <v>1428</v>
      </c>
      <c r="Z500" s="1" t="str">
        <f t="shared" si="21"/>
        <v>1402 3</v>
      </c>
      <c r="AA500" s="3">
        <f>IF(INDEX('CAMD Facility Data 2023'!$AA$2:$AE$10000,MATCH(Z500,'CAMD Facility Data 2023'!$AE$2:$AE$10000,0),1)&gt;0,INDEX('CAMD Facility Data 2023'!$AA$2:$AE$10000,MATCH(Z500,'CAMD Facility Data 2023'!$AE$2:$AE$10000,0),1),"")</f>
        <v>25235</v>
      </c>
      <c r="AB500" s="5">
        <f>IF(INDEX('CAMD Facility Data 2023'!$AC$2:$AE$10000,MATCH(Z500,'CAMD Facility Data 2023'!$AE$2:$AE$10000,0),1)&gt;0,INDEX('CAMD Facility Data 2023'!$AC$2:$AE$10000,MATCH(Z500,'CAMD Facility Data 2023'!$AE$2:$AE$10000,0),1),"")</f>
        <v>6350</v>
      </c>
      <c r="AC500" s="1" t="str">
        <f>IF(INDEX('CAMD Facility Data 2023'!$AE$2:$AG$10000,MATCH(Z500,'CAMD Facility Data 2023'!$AE$2:$AE$10000,0),3)&gt;0,INDEX('CAMD Facility Data 2023'!$AE$2:$AG$10000,MATCH(Z500,'CAMD Facility Data 2023'!$AE$2:$AE$10000,0),3),"")</f>
        <v/>
      </c>
      <c r="AD500" s="20">
        <f t="shared" si="22"/>
        <v>3.2242669893138691</v>
      </c>
      <c r="AE500" s="25">
        <f t="shared" si="23"/>
        <v>0.11401006651565815</v>
      </c>
    </row>
    <row r="501" spans="1:31" x14ac:dyDescent="0.2">
      <c r="A501" s="1" t="s">
        <v>1426</v>
      </c>
      <c r="B501" s="1" t="s">
        <v>1463</v>
      </c>
      <c r="C501" s="1">
        <v>1403</v>
      </c>
      <c r="D501" s="1">
        <v>4</v>
      </c>
      <c r="F501" s="1">
        <v>2023</v>
      </c>
      <c r="G501" s="5">
        <v>4034</v>
      </c>
      <c r="H501" s="5">
        <v>4029.22</v>
      </c>
      <c r="I501" s="5">
        <v>1569653.18</v>
      </c>
      <c r="K501" s="5">
        <v>4.7220000000000004</v>
      </c>
      <c r="L501" s="5">
        <v>1E-3</v>
      </c>
      <c r="M501" s="5">
        <v>935458.58900000004</v>
      </c>
      <c r="N501" s="6">
        <v>5.8999999999999997E-2</v>
      </c>
      <c r="O501" s="5">
        <v>1693.693</v>
      </c>
      <c r="P501" s="6">
        <v>0.15759999999999999</v>
      </c>
      <c r="Q501" s="5">
        <v>15740819.505000001</v>
      </c>
      <c r="R501" s="1" t="s">
        <v>44</v>
      </c>
      <c r="S501" s="1" t="s">
        <v>94</v>
      </c>
      <c r="T501" s="1" t="s">
        <v>43</v>
      </c>
      <c r="V501" s="1" t="s">
        <v>1460</v>
      </c>
      <c r="Y501" s="1" t="s">
        <v>1428</v>
      </c>
      <c r="Z501" s="1" t="str">
        <f t="shared" si="21"/>
        <v>1403 4</v>
      </c>
      <c r="AA501" s="3">
        <f>IF(INDEX('CAMD Facility Data 2023'!$AA$2:$AE$10000,MATCH(Z501,'CAMD Facility Data 2023'!$AE$2:$AE$10000,0),1)&gt;0,INDEX('CAMD Facility Data 2023'!$AA$2:$AE$10000,MATCH(Z501,'CAMD Facility Data 2023'!$AE$2:$AE$10000,0),1),"")</f>
        <v>25934</v>
      </c>
      <c r="AB501" s="5">
        <f>IF(INDEX('CAMD Facility Data 2023'!$AC$2:$AE$10000,MATCH(Z501,'CAMD Facility Data 2023'!$AE$2:$AE$10000,0),1)&gt;0,INDEX('CAMD Facility Data 2023'!$AC$2:$AE$10000,MATCH(Z501,'CAMD Facility Data 2023'!$AE$2:$AE$10000,0),1),"")</f>
        <v>7405</v>
      </c>
      <c r="AC501" s="1" t="str">
        <f>IF(INDEX('CAMD Facility Data 2023'!$AE$2:$AG$10000,MATCH(Z501,'CAMD Facility Data 2023'!$AE$2:$AE$10000,0),3)&gt;0,INDEX('CAMD Facility Data 2023'!$AE$2:$AG$10000,MATCH(Z501,'CAMD Facility Data 2023'!$AE$2:$AE$10000,0),3),"")</f>
        <v/>
      </c>
      <c r="AD501" s="20">
        <f t="shared" si="22"/>
        <v>2.1580474229345366</v>
      </c>
      <c r="AE501" s="25">
        <f t="shared" si="23"/>
        <v>0.24265998700433808</v>
      </c>
    </row>
    <row r="502" spans="1:31" x14ac:dyDescent="0.2">
      <c r="A502" s="1" t="s">
        <v>1426</v>
      </c>
      <c r="B502" s="1" t="s">
        <v>1463</v>
      </c>
      <c r="C502" s="1">
        <v>1403</v>
      </c>
      <c r="D502" s="1">
        <v>5</v>
      </c>
      <c r="F502" s="1">
        <v>2023</v>
      </c>
      <c r="G502" s="5">
        <v>5875</v>
      </c>
      <c r="H502" s="5">
        <v>5863.18</v>
      </c>
      <c r="I502" s="5">
        <v>2302469.6</v>
      </c>
      <c r="K502" s="5">
        <v>6.835</v>
      </c>
      <c r="L502" s="5">
        <v>1E-3</v>
      </c>
      <c r="M502" s="5">
        <v>1353900.909</v>
      </c>
      <c r="N502" s="6">
        <v>5.8999999999999997E-2</v>
      </c>
      <c r="O502" s="5">
        <v>2725.2710000000002</v>
      </c>
      <c r="P502" s="6">
        <v>0.17560000000000001</v>
      </c>
      <c r="Q502" s="5">
        <v>22782011.309</v>
      </c>
      <c r="R502" s="1" t="s">
        <v>44</v>
      </c>
      <c r="S502" s="1" t="s">
        <v>94</v>
      </c>
      <c r="T502" s="1" t="s">
        <v>43</v>
      </c>
      <c r="V502" s="1" t="s">
        <v>1460</v>
      </c>
      <c r="Y502" s="1" t="s">
        <v>1428</v>
      </c>
      <c r="Z502" s="1" t="str">
        <f t="shared" si="21"/>
        <v>1403 5</v>
      </c>
      <c r="AA502" s="3">
        <f>IF(INDEX('CAMD Facility Data 2023'!$AA$2:$AE$10000,MATCH(Z502,'CAMD Facility Data 2023'!$AE$2:$AE$10000,0),1)&gt;0,INDEX('CAMD Facility Data 2023'!$AA$2:$AE$10000,MATCH(Z502,'CAMD Facility Data 2023'!$AE$2:$AE$10000,0),1),"")</f>
        <v>26665</v>
      </c>
      <c r="AB502" s="5">
        <f>IF(INDEX('CAMD Facility Data 2023'!$AC$2:$AE$10000,MATCH(Z502,'CAMD Facility Data 2023'!$AE$2:$AE$10000,0),1)&gt;0,INDEX('CAMD Facility Data 2023'!$AC$2:$AE$10000,MATCH(Z502,'CAMD Facility Data 2023'!$AE$2:$AE$10000,0),1),"")</f>
        <v>7450</v>
      </c>
      <c r="AC502" s="1" t="str">
        <f>IF(INDEX('CAMD Facility Data 2023'!$AE$2:$AG$10000,MATCH(Z502,'CAMD Facility Data 2023'!$AE$2:$AE$10000,0),3)&gt;0,INDEX('CAMD Facility Data 2023'!$AE$2:$AG$10000,MATCH(Z502,'CAMD Facility Data 2023'!$AE$2:$AE$10000,0),3),"")</f>
        <v/>
      </c>
      <c r="AD502" s="20">
        <f t="shared" si="22"/>
        <v>2.3672590508904006</v>
      </c>
      <c r="AE502" s="25">
        <f t="shared" si="23"/>
        <v>0.34908539899175633</v>
      </c>
    </row>
    <row r="503" spans="1:31" x14ac:dyDescent="0.2">
      <c r="A503" s="1" t="s">
        <v>1426</v>
      </c>
      <c r="B503" s="1" t="s">
        <v>1463</v>
      </c>
      <c r="C503" s="1">
        <v>1403</v>
      </c>
      <c r="D503" s="1" t="s">
        <v>70</v>
      </c>
      <c r="F503" s="1">
        <v>2023</v>
      </c>
      <c r="G503" s="5">
        <v>8283</v>
      </c>
      <c r="H503" s="5">
        <v>8273.48</v>
      </c>
      <c r="I503" s="5">
        <v>2189428.06</v>
      </c>
      <c r="K503" s="5">
        <v>4.5220000000000002</v>
      </c>
      <c r="L503" s="5">
        <v>1E-3</v>
      </c>
      <c r="M503" s="5">
        <v>895537.19700000004</v>
      </c>
      <c r="N503" s="6">
        <v>5.8999999999999997E-2</v>
      </c>
      <c r="O503" s="5">
        <v>101.673</v>
      </c>
      <c r="P503" s="6">
        <v>1.3899999999999999E-2</v>
      </c>
      <c r="Q503" s="5">
        <v>15066086.912</v>
      </c>
      <c r="R503" s="1" t="s">
        <v>44</v>
      </c>
      <c r="S503" s="1" t="s">
        <v>94</v>
      </c>
      <c r="T503" s="1" t="s">
        <v>71</v>
      </c>
      <c r="V503" s="1" t="s">
        <v>176</v>
      </c>
      <c r="Y503" s="1" t="s">
        <v>1428</v>
      </c>
      <c r="Z503" s="1" t="str">
        <f t="shared" si="21"/>
        <v>1403 6A</v>
      </c>
      <c r="AA503" s="3">
        <f>IF(INDEX('CAMD Facility Data 2023'!$AA$2:$AE$10000,MATCH(Z503,'CAMD Facility Data 2023'!$AE$2:$AE$10000,0),1)&gt;0,INDEX('CAMD Facility Data 2023'!$AA$2:$AE$10000,MATCH(Z503,'CAMD Facility Data 2023'!$AE$2:$AE$10000,0),1),"")</f>
        <v>41865</v>
      </c>
      <c r="AB503" s="5">
        <f>IF(INDEX('CAMD Facility Data 2023'!$AC$2:$AE$10000,MATCH(Z503,'CAMD Facility Data 2023'!$AE$2:$AE$10000,0),1)&gt;0,INDEX('CAMD Facility Data 2023'!$AC$2:$AE$10000,MATCH(Z503,'CAMD Facility Data 2023'!$AE$2:$AE$10000,0),1),"")</f>
        <v>2200</v>
      </c>
      <c r="AC503" s="1" t="str">
        <f>IF(INDEX('CAMD Facility Data 2023'!$AE$2:$AG$10000,MATCH(Z503,'CAMD Facility Data 2023'!$AE$2:$AE$10000,0),3)&gt;0,INDEX('CAMD Facility Data 2023'!$AE$2:$AG$10000,MATCH(Z503,'CAMD Facility Data 2023'!$AE$2:$AE$10000,0),3),"")</f>
        <v>Y</v>
      </c>
      <c r="AD503" s="20">
        <f t="shared" si="22"/>
        <v>9.2876310354769093E-2</v>
      </c>
      <c r="AE503" s="25">
        <f t="shared" si="23"/>
        <v>0.78176042507264432</v>
      </c>
    </row>
    <row r="504" spans="1:31" x14ac:dyDescent="0.2">
      <c r="A504" s="1" t="s">
        <v>1426</v>
      </c>
      <c r="B504" s="1" t="s">
        <v>1463</v>
      </c>
      <c r="C504" s="1">
        <v>1403</v>
      </c>
      <c r="D504" s="1" t="s">
        <v>73</v>
      </c>
      <c r="F504" s="1">
        <v>2023</v>
      </c>
      <c r="G504" s="5">
        <v>8300</v>
      </c>
      <c r="H504" s="5">
        <v>8292.06</v>
      </c>
      <c r="I504" s="5">
        <v>2198997</v>
      </c>
      <c r="K504" s="5">
        <v>4.54</v>
      </c>
      <c r="L504" s="5">
        <v>1E-3</v>
      </c>
      <c r="M504" s="5">
        <v>899186.75199999998</v>
      </c>
      <c r="N504" s="6">
        <v>5.8999999999999997E-2</v>
      </c>
      <c r="O504" s="5">
        <v>94.081000000000003</v>
      </c>
      <c r="P504" s="6">
        <v>1.2699999999999999E-2</v>
      </c>
      <c r="Q504" s="5">
        <v>15128874.152000001</v>
      </c>
      <c r="R504" s="1" t="s">
        <v>44</v>
      </c>
      <c r="S504" s="1" t="s">
        <v>94</v>
      </c>
      <c r="T504" s="1" t="s">
        <v>71</v>
      </c>
      <c r="V504" s="1" t="s">
        <v>176</v>
      </c>
      <c r="Y504" s="1" t="s">
        <v>1428</v>
      </c>
      <c r="Z504" s="1" t="str">
        <f t="shared" si="21"/>
        <v>1403 6B</v>
      </c>
      <c r="AA504" s="3">
        <f>IF(INDEX('CAMD Facility Data 2023'!$AA$2:$AE$10000,MATCH(Z504,'CAMD Facility Data 2023'!$AE$2:$AE$10000,0),1)&gt;0,INDEX('CAMD Facility Data 2023'!$AA$2:$AE$10000,MATCH(Z504,'CAMD Facility Data 2023'!$AE$2:$AE$10000,0),1),"")</f>
        <v>41886</v>
      </c>
      <c r="AB504" s="5">
        <f>IF(INDEX('CAMD Facility Data 2023'!$AC$2:$AE$10000,MATCH(Z504,'CAMD Facility Data 2023'!$AE$2:$AE$10000,0),1)&gt;0,INDEX('CAMD Facility Data 2023'!$AC$2:$AE$10000,MATCH(Z504,'CAMD Facility Data 2023'!$AE$2:$AE$10000,0),1),"")</f>
        <v>3000</v>
      </c>
      <c r="AC504" s="1" t="str">
        <f>IF(INDEX('CAMD Facility Data 2023'!$AE$2:$AG$10000,MATCH(Z504,'CAMD Facility Data 2023'!$AE$2:$AE$10000,0),3)&gt;0,INDEX('CAMD Facility Data 2023'!$AE$2:$AG$10000,MATCH(Z504,'CAMD Facility Data 2023'!$AE$2:$AE$10000,0),3),"")</f>
        <v>Y</v>
      </c>
      <c r="AD504" s="20">
        <f t="shared" si="22"/>
        <v>8.5567192679207843E-2</v>
      </c>
      <c r="AE504" s="25">
        <f t="shared" si="23"/>
        <v>0.57568014277016744</v>
      </c>
    </row>
    <row r="505" spans="1:31" x14ac:dyDescent="0.2">
      <c r="A505" s="1" t="s">
        <v>1426</v>
      </c>
      <c r="B505" s="1" t="s">
        <v>1470</v>
      </c>
      <c r="C505" s="1">
        <v>1404</v>
      </c>
      <c r="D505" s="1" t="s">
        <v>1471</v>
      </c>
      <c r="F505" s="1">
        <v>2023</v>
      </c>
      <c r="G505" s="5">
        <v>0</v>
      </c>
      <c r="H505" s="5">
        <v>0</v>
      </c>
      <c r="R505" s="1" t="s">
        <v>44</v>
      </c>
      <c r="S505" s="1" t="s">
        <v>94</v>
      </c>
      <c r="T505" s="1" t="s">
        <v>71</v>
      </c>
      <c r="Y505" s="1" t="s">
        <v>1428</v>
      </c>
      <c r="Z505" s="1" t="str">
        <f t="shared" si="21"/>
        <v>1404 7AB</v>
      </c>
      <c r="AA505" s="3">
        <f>IF(INDEX('CAMD Facility Data 2023'!$AA$2:$AE$10000,MATCH(Z505,'CAMD Facility Data 2023'!$AE$2:$AE$10000,0),1)&gt;0,INDEX('CAMD Facility Data 2023'!$AA$2:$AE$10000,MATCH(Z505,'CAMD Facility Data 2023'!$AE$2:$AE$10000,0),1),"")</f>
        <v>27242</v>
      </c>
      <c r="AB505" s="5">
        <f>IF(INDEX('CAMD Facility Data 2023'!$AC$2:$AE$10000,MATCH(Z505,'CAMD Facility Data 2023'!$AE$2:$AE$10000,0),1)&gt;0,INDEX('CAMD Facility Data 2023'!$AC$2:$AE$10000,MATCH(Z505,'CAMD Facility Data 2023'!$AE$2:$AE$10000,0),1),"")</f>
        <v>1072</v>
      </c>
      <c r="AC505" s="1" t="str">
        <f>IF(INDEX('CAMD Facility Data 2023'!$AE$2:$AG$10000,MATCH(Z505,'CAMD Facility Data 2023'!$AE$2:$AE$10000,0),3)&gt;0,INDEX('CAMD Facility Data 2023'!$AE$2:$AG$10000,MATCH(Z505,'CAMD Facility Data 2023'!$AE$2:$AE$10000,0),3),"")</f>
        <v/>
      </c>
      <c r="AD505" s="20" t="str">
        <f t="shared" si="22"/>
        <v/>
      </c>
      <c r="AE505" s="25">
        <f t="shared" si="23"/>
        <v>0</v>
      </c>
    </row>
    <row r="506" spans="1:31" x14ac:dyDescent="0.2">
      <c r="A506" s="1" t="s">
        <v>1426</v>
      </c>
      <c r="B506" s="1" t="s">
        <v>1475</v>
      </c>
      <c r="C506" s="1">
        <v>1416</v>
      </c>
      <c r="D506" s="1" t="s">
        <v>955</v>
      </c>
      <c r="F506" s="1">
        <v>2023</v>
      </c>
      <c r="G506" s="5">
        <v>3709</v>
      </c>
      <c r="H506" s="5">
        <v>3692.53</v>
      </c>
      <c r="I506" s="5">
        <v>189481.82</v>
      </c>
      <c r="K506" s="5">
        <v>0.67600000000000005</v>
      </c>
      <c r="L506" s="5">
        <v>1E-3</v>
      </c>
      <c r="M506" s="5">
        <v>133864.32999999999</v>
      </c>
      <c r="N506" s="6">
        <v>5.9200000000000003E-2</v>
      </c>
      <c r="O506" s="5">
        <v>149.56899999999999</v>
      </c>
      <c r="P506" s="6">
        <v>0.114</v>
      </c>
      <c r="Q506" s="5">
        <v>2252533.0589999999</v>
      </c>
      <c r="R506" s="1" t="s">
        <v>44</v>
      </c>
      <c r="T506" s="1" t="s">
        <v>43</v>
      </c>
      <c r="Y506" s="1" t="s">
        <v>1428</v>
      </c>
      <c r="Z506" s="1" t="str">
        <f t="shared" si="21"/>
        <v>1416 5A</v>
      </c>
      <c r="AA506" s="3">
        <f>IF(INDEX('CAMD Facility Data 2023'!$AA$2:$AE$10000,MATCH(Z506,'CAMD Facility Data 2023'!$AE$2:$AE$10000,0),1)&gt;0,INDEX('CAMD Facility Data 2023'!$AA$2:$AE$10000,MATCH(Z506,'CAMD Facility Data 2023'!$AE$2:$AE$10000,0),1),"")</f>
        <v>21976</v>
      </c>
      <c r="AB506" s="5">
        <f>IF(INDEX('CAMD Facility Data 2023'!$AC$2:$AE$10000,MATCH(Z506,'CAMD Facility Data 2023'!$AE$2:$AE$10000,0),1)&gt;0,INDEX('CAMD Facility Data 2023'!$AC$2:$AE$10000,MATCH(Z506,'CAMD Facility Data 2023'!$AE$2:$AE$10000,0),1),"")</f>
        <v>1274</v>
      </c>
      <c r="AC506" s="1" t="str">
        <f>IF(INDEX('CAMD Facility Data 2023'!$AE$2:$AG$10000,MATCH(Z506,'CAMD Facility Data 2023'!$AE$2:$AE$10000,0),3)&gt;0,INDEX('CAMD Facility Data 2023'!$AE$2:$AG$10000,MATCH(Z506,'CAMD Facility Data 2023'!$AE$2:$AE$10000,0),3),"")</f>
        <v/>
      </c>
      <c r="AD506" s="20">
        <f t="shared" si="22"/>
        <v>1.5787161005736592</v>
      </c>
      <c r="AE506" s="25">
        <f t="shared" si="23"/>
        <v>0.20183553928947764</v>
      </c>
    </row>
    <row r="507" spans="1:31" x14ac:dyDescent="0.2">
      <c r="A507" s="1" t="s">
        <v>1426</v>
      </c>
      <c r="B507" s="1" t="s">
        <v>1475</v>
      </c>
      <c r="C507" s="1">
        <v>1416</v>
      </c>
      <c r="D507" s="1" t="s">
        <v>1480</v>
      </c>
      <c r="F507" s="1">
        <v>2023</v>
      </c>
      <c r="G507" s="5">
        <v>7399</v>
      </c>
      <c r="H507" s="5">
        <v>7391.2</v>
      </c>
      <c r="I507" s="5">
        <v>1115730.79</v>
      </c>
      <c r="K507" s="5">
        <v>3.6059999999999999</v>
      </c>
      <c r="L507" s="5">
        <v>1E-3</v>
      </c>
      <c r="M507" s="5">
        <v>714222.49899999995</v>
      </c>
      <c r="N507" s="6">
        <v>5.8999999999999997E-2</v>
      </c>
      <c r="O507" s="5">
        <v>61.573</v>
      </c>
      <c r="P507" s="6">
        <v>1.04E-2</v>
      </c>
      <c r="Q507" s="5">
        <v>12018097.479</v>
      </c>
      <c r="R507" s="1" t="s">
        <v>44</v>
      </c>
      <c r="T507" s="1" t="s">
        <v>71</v>
      </c>
      <c r="V507" s="1" t="s">
        <v>64</v>
      </c>
      <c r="Y507" s="1" t="s">
        <v>1428</v>
      </c>
      <c r="Z507" s="1" t="str">
        <f t="shared" si="21"/>
        <v>1416 CTG-6A</v>
      </c>
      <c r="AA507" s="3">
        <f>IF(INDEX('CAMD Facility Data 2023'!$AA$2:$AE$10000,MATCH(Z507,'CAMD Facility Data 2023'!$AE$2:$AE$10000,0),1)&gt;0,INDEX('CAMD Facility Data 2023'!$AA$2:$AE$10000,MATCH(Z507,'CAMD Facility Data 2023'!$AE$2:$AE$10000,0),1),"")</f>
        <v>40237</v>
      </c>
      <c r="AB507" s="5">
        <f>IF(INDEX('CAMD Facility Data 2023'!$AC$2:$AE$10000,MATCH(Z507,'CAMD Facility Data 2023'!$AE$2:$AE$10000,0),1)&gt;0,INDEX('CAMD Facility Data 2023'!$AC$2:$AE$10000,MATCH(Z507,'CAMD Facility Data 2023'!$AE$2:$AE$10000,0),1),"")</f>
        <v>2110</v>
      </c>
      <c r="AC507" s="1" t="str">
        <f>IF(INDEX('CAMD Facility Data 2023'!$AE$2:$AG$10000,MATCH(Z507,'CAMD Facility Data 2023'!$AE$2:$AE$10000,0),3)&gt;0,INDEX('CAMD Facility Data 2023'!$AE$2:$AG$10000,MATCH(Z507,'CAMD Facility Data 2023'!$AE$2:$AE$10000,0),3),"")</f>
        <v>Y</v>
      </c>
      <c r="AD507" s="20">
        <f t="shared" si="22"/>
        <v>0.1103725030300544</v>
      </c>
      <c r="AE507" s="25">
        <f t="shared" si="23"/>
        <v>0.65020328718431475</v>
      </c>
    </row>
    <row r="508" spans="1:31" x14ac:dyDescent="0.2">
      <c r="A508" s="1" t="s">
        <v>1426</v>
      </c>
      <c r="B508" s="1" t="s">
        <v>1475</v>
      </c>
      <c r="C508" s="1">
        <v>1416</v>
      </c>
      <c r="D508" s="1" t="s">
        <v>1482</v>
      </c>
      <c r="F508" s="1">
        <v>2023</v>
      </c>
      <c r="G508" s="5">
        <v>7660</v>
      </c>
      <c r="H508" s="5">
        <v>7653.69</v>
      </c>
      <c r="I508" s="5">
        <v>1158891.97</v>
      </c>
      <c r="K508" s="5">
        <v>3.7160000000000002</v>
      </c>
      <c r="L508" s="5">
        <v>1E-3</v>
      </c>
      <c r="M508" s="5">
        <v>736152.28599999996</v>
      </c>
      <c r="N508" s="6">
        <v>5.8999999999999997E-2</v>
      </c>
      <c r="O508" s="5">
        <v>64.738</v>
      </c>
      <c r="P508" s="6">
        <v>1.06E-2</v>
      </c>
      <c r="Q508" s="5">
        <v>12387204.505999999</v>
      </c>
      <c r="R508" s="1" t="s">
        <v>44</v>
      </c>
      <c r="T508" s="1" t="s">
        <v>71</v>
      </c>
      <c r="V508" s="1" t="s">
        <v>64</v>
      </c>
      <c r="Y508" s="1" t="s">
        <v>1428</v>
      </c>
      <c r="Z508" s="1" t="str">
        <f t="shared" si="21"/>
        <v>1416 CTG-6B</v>
      </c>
      <c r="AA508" s="3">
        <f>IF(INDEX('CAMD Facility Data 2023'!$AA$2:$AE$10000,MATCH(Z508,'CAMD Facility Data 2023'!$AE$2:$AE$10000,0),1)&gt;0,INDEX('CAMD Facility Data 2023'!$AA$2:$AE$10000,MATCH(Z508,'CAMD Facility Data 2023'!$AE$2:$AE$10000,0),1),"")</f>
        <v>40242</v>
      </c>
      <c r="AB508" s="5">
        <f>IF(INDEX('CAMD Facility Data 2023'!$AC$2:$AE$10000,MATCH(Z508,'CAMD Facility Data 2023'!$AE$2:$AE$10000,0),1)&gt;0,INDEX('CAMD Facility Data 2023'!$AC$2:$AE$10000,MATCH(Z508,'CAMD Facility Data 2023'!$AE$2:$AE$10000,0),1),"")</f>
        <v>2110</v>
      </c>
      <c r="AC508" s="1" t="str">
        <f>IF(INDEX('CAMD Facility Data 2023'!$AE$2:$AG$10000,MATCH(Z508,'CAMD Facility Data 2023'!$AE$2:$AE$10000,0),3)&gt;0,INDEX('CAMD Facility Data 2023'!$AE$2:$AG$10000,MATCH(Z508,'CAMD Facility Data 2023'!$AE$2:$AE$10000,0),3),"")</f>
        <v>Y</v>
      </c>
      <c r="AD508" s="20">
        <f t="shared" si="22"/>
        <v>0.11172395991319191</v>
      </c>
      <c r="AE508" s="25">
        <f t="shared" si="23"/>
        <v>0.6701727210067302</v>
      </c>
    </row>
    <row r="509" spans="1:31" x14ac:dyDescent="0.2">
      <c r="A509" s="1" t="s">
        <v>1426</v>
      </c>
      <c r="B509" s="1" t="s">
        <v>1484</v>
      </c>
      <c r="C509" s="1">
        <v>1417</v>
      </c>
      <c r="D509" s="1">
        <v>3</v>
      </c>
      <c r="F509" s="1">
        <v>2023</v>
      </c>
      <c r="G509" s="5">
        <v>2011</v>
      </c>
      <c r="H509" s="5">
        <v>1986.98</v>
      </c>
      <c r="I509" s="5">
        <v>76189.45</v>
      </c>
      <c r="K509" s="5">
        <v>0.26800000000000002</v>
      </c>
      <c r="L509" s="5">
        <v>1E-3</v>
      </c>
      <c r="M509" s="5">
        <v>53105.548999999999</v>
      </c>
      <c r="N509" s="6">
        <v>6.1100000000000002E-2</v>
      </c>
      <c r="O509" s="5">
        <v>82.819000000000003</v>
      </c>
      <c r="P509" s="6">
        <v>0.17050000000000001</v>
      </c>
      <c r="Q509" s="5">
        <v>893527.23400000005</v>
      </c>
      <c r="R509" s="1" t="s">
        <v>44</v>
      </c>
      <c r="T509" s="1" t="s">
        <v>43</v>
      </c>
      <c r="Y509" s="1" t="s">
        <v>1428</v>
      </c>
      <c r="Z509" s="1" t="str">
        <f t="shared" si="21"/>
        <v>1417 3</v>
      </c>
      <c r="AA509" s="3">
        <f>IF(INDEX('CAMD Facility Data 2023'!$AA$2:$AE$10000,MATCH(Z509,'CAMD Facility Data 2023'!$AE$2:$AE$10000,0),1)&gt;0,INDEX('CAMD Facility Data 2023'!$AA$2:$AE$10000,MATCH(Z509,'CAMD Facility Data 2023'!$AE$2:$AE$10000,0),1),"")</f>
        <v>20941</v>
      </c>
      <c r="AB509" s="5">
        <f>IF(INDEX('CAMD Facility Data 2023'!$AC$2:$AE$10000,MATCH(Z509,'CAMD Facility Data 2023'!$AE$2:$AE$10000,0),1)&gt;0,INDEX('CAMD Facility Data 2023'!$AC$2:$AE$10000,MATCH(Z509,'CAMD Facility Data 2023'!$AE$2:$AE$10000,0),1),"")</f>
        <v>1170</v>
      </c>
      <c r="AC509" s="1" t="str">
        <f>IF(INDEX('CAMD Facility Data 2023'!$AE$2:$AG$10000,MATCH(Z509,'CAMD Facility Data 2023'!$AE$2:$AE$10000,0),3)&gt;0,INDEX('CAMD Facility Data 2023'!$AE$2:$AG$10000,MATCH(Z509,'CAMD Facility Data 2023'!$AE$2:$AE$10000,0),3),"")</f>
        <v/>
      </c>
      <c r="AD509" s="20">
        <f t="shared" si="22"/>
        <v>2.1740280314400486</v>
      </c>
      <c r="AE509" s="25">
        <f t="shared" si="23"/>
        <v>8.718019299067245E-2</v>
      </c>
    </row>
    <row r="510" spans="1:31" x14ac:dyDescent="0.2">
      <c r="A510" s="1" t="s">
        <v>1426</v>
      </c>
      <c r="B510" s="1" t="s">
        <v>1484</v>
      </c>
      <c r="C510" s="1">
        <v>1417</v>
      </c>
      <c r="D510" s="1">
        <v>4</v>
      </c>
      <c r="F510" s="1">
        <v>2023</v>
      </c>
      <c r="G510" s="5">
        <v>1710</v>
      </c>
      <c r="H510" s="5">
        <v>1691.13</v>
      </c>
      <c r="I510" s="5">
        <v>69212.240000000005</v>
      </c>
      <c r="K510" s="5">
        <v>0.23100000000000001</v>
      </c>
      <c r="L510" s="5">
        <v>1E-3</v>
      </c>
      <c r="M510" s="5">
        <v>45734.656999999999</v>
      </c>
      <c r="N510" s="6">
        <v>5.9400000000000001E-2</v>
      </c>
      <c r="O510" s="5">
        <v>76.292000000000002</v>
      </c>
      <c r="P510" s="6">
        <v>0.18079999999999999</v>
      </c>
      <c r="Q510" s="5">
        <v>769575.62699999998</v>
      </c>
      <c r="R510" s="1" t="s">
        <v>44</v>
      </c>
      <c r="T510" s="1" t="s">
        <v>43</v>
      </c>
      <c r="Y510" s="1" t="s">
        <v>1428</v>
      </c>
      <c r="Z510" s="1" t="str">
        <f t="shared" si="21"/>
        <v>1417 4</v>
      </c>
      <c r="AA510" s="3">
        <f>IF(INDEX('CAMD Facility Data 2023'!$AA$2:$AE$10000,MATCH(Z510,'CAMD Facility Data 2023'!$AE$2:$AE$10000,0),1)&gt;0,INDEX('CAMD Facility Data 2023'!$AA$2:$AE$10000,MATCH(Z510,'CAMD Facility Data 2023'!$AE$2:$AE$10000,0),1),"")</f>
        <v>21641</v>
      </c>
      <c r="AB510" s="5">
        <f>IF(INDEX('CAMD Facility Data 2023'!$AC$2:$AE$10000,MATCH(Z510,'CAMD Facility Data 2023'!$AE$2:$AE$10000,0),1)&gt;0,INDEX('CAMD Facility Data 2023'!$AC$2:$AE$10000,MATCH(Z510,'CAMD Facility Data 2023'!$AE$2:$AE$10000,0),1),"")</f>
        <v>1150</v>
      </c>
      <c r="AC510" s="1" t="str">
        <f>IF(INDEX('CAMD Facility Data 2023'!$AE$2:$AG$10000,MATCH(Z510,'CAMD Facility Data 2023'!$AE$2:$AE$10000,0),3)&gt;0,INDEX('CAMD Facility Data 2023'!$AE$2:$AG$10000,MATCH(Z510,'CAMD Facility Data 2023'!$AE$2:$AE$10000,0),3),"")</f>
        <v/>
      </c>
      <c r="AD510" s="20">
        <f t="shared" si="22"/>
        <v>2.204581155009576</v>
      </c>
      <c r="AE510" s="25">
        <f t="shared" si="23"/>
        <v>7.6392259976176297E-2</v>
      </c>
    </row>
    <row r="511" spans="1:31" x14ac:dyDescent="0.2">
      <c r="A511" s="1" t="s">
        <v>1426</v>
      </c>
      <c r="B511" s="1" t="s">
        <v>1487</v>
      </c>
      <c r="C511" s="1">
        <v>1439</v>
      </c>
      <c r="D511" s="1">
        <v>15</v>
      </c>
      <c r="F511" s="1">
        <v>2023</v>
      </c>
      <c r="G511" s="5">
        <v>0</v>
      </c>
      <c r="H511" s="5">
        <v>0</v>
      </c>
      <c r="R511" s="1" t="s">
        <v>44</v>
      </c>
      <c r="T511" s="1" t="s">
        <v>89</v>
      </c>
      <c r="Y511" s="1" t="s">
        <v>1428</v>
      </c>
      <c r="Z511" s="1" t="str">
        <f t="shared" si="21"/>
        <v>1439 15</v>
      </c>
      <c r="AA511" s="3">
        <f>IF(INDEX('CAMD Facility Data 2023'!$AA$2:$AE$10000,MATCH(Z511,'CAMD Facility Data 2023'!$AE$2:$AE$10000,0),1)&gt;0,INDEX('CAMD Facility Data 2023'!$AA$2:$AE$10000,MATCH(Z511,'CAMD Facility Data 2023'!$AE$2:$AE$10000,0),1),"")</f>
        <v>25324</v>
      </c>
      <c r="AB511" s="5">
        <f>IF(INDEX('CAMD Facility Data 2023'!$AC$2:$AE$10000,MATCH(Z511,'CAMD Facility Data 2023'!$AE$2:$AE$10000,0),1)&gt;0,INDEX('CAMD Facility Data 2023'!$AC$2:$AE$10000,MATCH(Z511,'CAMD Facility Data 2023'!$AE$2:$AE$10000,0),1),"")</f>
        <v>450</v>
      </c>
      <c r="AC511" s="1" t="str">
        <f>IF(INDEX('CAMD Facility Data 2023'!$AE$2:$AG$10000,MATCH(Z511,'CAMD Facility Data 2023'!$AE$2:$AE$10000,0),3)&gt;0,INDEX('CAMD Facility Data 2023'!$AE$2:$AG$10000,MATCH(Z511,'CAMD Facility Data 2023'!$AE$2:$AE$10000,0),3),"")</f>
        <v/>
      </c>
      <c r="AD511" s="20" t="str">
        <f t="shared" si="22"/>
        <v/>
      </c>
      <c r="AE511" s="25">
        <f t="shared" si="23"/>
        <v>0</v>
      </c>
    </row>
    <row r="512" spans="1:31" x14ac:dyDescent="0.2">
      <c r="A512" s="1" t="s">
        <v>1426</v>
      </c>
      <c r="B512" s="1" t="s">
        <v>1487</v>
      </c>
      <c r="C512" s="1">
        <v>1439</v>
      </c>
      <c r="D512" s="1">
        <v>16</v>
      </c>
      <c r="F512" s="1">
        <v>2023</v>
      </c>
      <c r="G512" s="5">
        <v>0</v>
      </c>
      <c r="H512" s="5">
        <v>0</v>
      </c>
      <c r="R512" s="1" t="s">
        <v>44</v>
      </c>
      <c r="T512" s="1" t="s">
        <v>43</v>
      </c>
      <c r="Y512" s="1" t="s">
        <v>1428</v>
      </c>
      <c r="Z512" s="1" t="str">
        <f t="shared" si="21"/>
        <v>1439 16</v>
      </c>
      <c r="AA512" s="3">
        <f>IF(INDEX('CAMD Facility Data 2023'!$AA$2:$AE$10000,MATCH(Z512,'CAMD Facility Data 2023'!$AE$2:$AE$10000,0),1)&gt;0,INDEX('CAMD Facility Data 2023'!$AA$2:$AE$10000,MATCH(Z512,'CAMD Facility Data 2023'!$AE$2:$AE$10000,0),1),"")</f>
        <v>27881</v>
      </c>
      <c r="AB512" s="5">
        <f>IF(INDEX('CAMD Facility Data 2023'!$AC$2:$AE$10000,MATCH(Z512,'CAMD Facility Data 2023'!$AE$2:$AE$10000,0),1)&gt;0,INDEX('CAMD Facility Data 2023'!$AC$2:$AE$10000,MATCH(Z512,'CAMD Facility Data 2023'!$AE$2:$AE$10000,0),1),"")</f>
        <v>550</v>
      </c>
      <c r="AC512" s="1" t="str">
        <f>IF(INDEX('CAMD Facility Data 2023'!$AE$2:$AG$10000,MATCH(Z512,'CAMD Facility Data 2023'!$AE$2:$AE$10000,0),3)&gt;0,INDEX('CAMD Facility Data 2023'!$AE$2:$AG$10000,MATCH(Z512,'CAMD Facility Data 2023'!$AE$2:$AE$10000,0),3),"")</f>
        <v/>
      </c>
      <c r="AD512" s="20" t="str">
        <f t="shared" si="22"/>
        <v/>
      </c>
      <c r="AE512" s="25">
        <f t="shared" si="23"/>
        <v>0</v>
      </c>
    </row>
    <row r="513" spans="1:31" x14ac:dyDescent="0.2">
      <c r="A513" s="1" t="s">
        <v>1426</v>
      </c>
      <c r="B513" s="1" t="s">
        <v>1493</v>
      </c>
      <c r="C513" s="1">
        <v>1464</v>
      </c>
      <c r="D513" s="1" t="s">
        <v>1494</v>
      </c>
      <c r="F513" s="1">
        <v>2023</v>
      </c>
      <c r="G513" s="5">
        <v>2301</v>
      </c>
      <c r="H513" s="5">
        <v>2275.3200000000002</v>
      </c>
      <c r="I513" s="5">
        <v>100071.33</v>
      </c>
      <c r="K513" s="5">
        <v>0.34</v>
      </c>
      <c r="L513" s="5">
        <v>1E-3</v>
      </c>
      <c r="M513" s="5">
        <v>68061.456000000006</v>
      </c>
      <c r="N513" s="6">
        <v>6.0100000000000001E-2</v>
      </c>
      <c r="O513" s="5">
        <v>49.601999999999997</v>
      </c>
      <c r="P513" s="6">
        <v>8.5699999999999998E-2</v>
      </c>
      <c r="Q513" s="5">
        <v>1131819.612</v>
      </c>
      <c r="R513" s="1" t="s">
        <v>44</v>
      </c>
      <c r="S513" s="1" t="s">
        <v>94</v>
      </c>
      <c r="T513" s="1" t="s">
        <v>89</v>
      </c>
      <c r="V513" s="1" t="s">
        <v>1498</v>
      </c>
      <c r="Y513" s="1" t="s">
        <v>1428</v>
      </c>
      <c r="Z513" s="1" t="str">
        <f t="shared" si="21"/>
        <v>1464 1B1</v>
      </c>
      <c r="AA513" s="3">
        <f>IF(INDEX('CAMD Facility Data 2023'!$AA$2:$AE$10000,MATCH(Z513,'CAMD Facility Data 2023'!$AE$2:$AE$10000,0),1)&gt;0,INDEX('CAMD Facility Data 2023'!$AA$2:$AE$10000,MATCH(Z513,'CAMD Facility Data 2023'!$AE$2:$AE$10000,0),1),"")</f>
        <v>26420</v>
      </c>
      <c r="AB513" s="5">
        <f>IF(INDEX('CAMD Facility Data 2023'!$AC$2:$AE$10000,MATCH(Z513,'CAMD Facility Data 2023'!$AE$2:$AE$10000,0),1)&gt;0,INDEX('CAMD Facility Data 2023'!$AC$2:$AE$10000,MATCH(Z513,'CAMD Facility Data 2023'!$AE$2:$AE$10000,0),1),"")</f>
        <v>1250</v>
      </c>
      <c r="AC513" s="1" t="str">
        <f>IF(INDEX('CAMD Facility Data 2023'!$AE$2:$AG$10000,MATCH(Z513,'CAMD Facility Data 2023'!$AE$2:$AE$10000,0),3)&gt;0,INDEX('CAMD Facility Data 2023'!$AE$2:$AG$10000,MATCH(Z513,'CAMD Facility Data 2023'!$AE$2:$AE$10000,0),3),"")</f>
        <v/>
      </c>
      <c r="AD513" s="20">
        <f t="shared" si="22"/>
        <v>0.99133288225508742</v>
      </c>
      <c r="AE513" s="25">
        <f t="shared" si="23"/>
        <v>0.10336252164383561</v>
      </c>
    </row>
    <row r="514" spans="1:31" x14ac:dyDescent="0.2">
      <c r="A514" s="1" t="s">
        <v>1426</v>
      </c>
      <c r="B514" s="1" t="s">
        <v>1493</v>
      </c>
      <c r="C514" s="1">
        <v>1464</v>
      </c>
      <c r="D514" s="1" t="s">
        <v>1500</v>
      </c>
      <c r="F514" s="1">
        <v>2023</v>
      </c>
      <c r="G514" s="5">
        <v>1531</v>
      </c>
      <c r="H514" s="5">
        <v>1511.21</v>
      </c>
      <c r="I514" s="5">
        <v>64270.58</v>
      </c>
      <c r="K514" s="5">
        <v>0.23400000000000001</v>
      </c>
      <c r="L514" s="5">
        <v>1E-3</v>
      </c>
      <c r="M514" s="5">
        <v>46829.913999999997</v>
      </c>
      <c r="N514" s="6">
        <v>0.06</v>
      </c>
      <c r="O514" s="5">
        <v>29.545999999999999</v>
      </c>
      <c r="P514" s="6">
        <v>7.2499999999999995E-2</v>
      </c>
      <c r="Q514" s="5">
        <v>779145.71299999999</v>
      </c>
      <c r="R514" s="1" t="s">
        <v>44</v>
      </c>
      <c r="S514" s="1" t="s">
        <v>94</v>
      </c>
      <c r="T514" s="1" t="s">
        <v>89</v>
      </c>
      <c r="V514" s="1" t="s">
        <v>1498</v>
      </c>
      <c r="Y514" s="1" t="s">
        <v>1428</v>
      </c>
      <c r="Z514" s="1" t="str">
        <f t="shared" si="21"/>
        <v>1464 1B2</v>
      </c>
      <c r="AA514" s="3">
        <f>IF(INDEX('CAMD Facility Data 2023'!$AA$2:$AE$10000,MATCH(Z514,'CAMD Facility Data 2023'!$AE$2:$AE$10000,0),1)&gt;0,INDEX('CAMD Facility Data 2023'!$AA$2:$AE$10000,MATCH(Z514,'CAMD Facility Data 2023'!$AE$2:$AE$10000,0),1),"")</f>
        <v>26330</v>
      </c>
      <c r="AB514" s="5">
        <f>IF(INDEX('CAMD Facility Data 2023'!$AC$2:$AE$10000,MATCH(Z514,'CAMD Facility Data 2023'!$AE$2:$AE$10000,0),1)&gt;0,INDEX('CAMD Facility Data 2023'!$AC$2:$AE$10000,MATCH(Z514,'CAMD Facility Data 2023'!$AE$2:$AE$10000,0),1),"")</f>
        <v>1250</v>
      </c>
      <c r="AC514" s="1" t="str">
        <f>IF(INDEX('CAMD Facility Data 2023'!$AE$2:$AG$10000,MATCH(Z514,'CAMD Facility Data 2023'!$AE$2:$AE$10000,0),3)&gt;0,INDEX('CAMD Facility Data 2023'!$AE$2:$AG$10000,MATCH(Z514,'CAMD Facility Data 2023'!$AE$2:$AE$10000,0),3),"")</f>
        <v/>
      </c>
      <c r="AD514" s="20">
        <f t="shared" si="22"/>
        <v>0.91942534204608073</v>
      </c>
      <c r="AE514" s="25">
        <f t="shared" si="23"/>
        <v>7.1154859634703194E-2</v>
      </c>
    </row>
    <row r="515" spans="1:31" x14ac:dyDescent="0.2">
      <c r="A515" s="1" t="s">
        <v>1426</v>
      </c>
      <c r="B515" s="1" t="s">
        <v>1493</v>
      </c>
      <c r="C515" s="1">
        <v>1464</v>
      </c>
      <c r="D515" s="1" t="s">
        <v>1129</v>
      </c>
      <c r="F515" s="1">
        <v>2023</v>
      </c>
      <c r="G515" s="5">
        <v>857</v>
      </c>
      <c r="H515" s="5">
        <v>769.01</v>
      </c>
      <c r="I515" s="5">
        <v>56238.19</v>
      </c>
      <c r="K515" s="5">
        <v>0.22800000000000001</v>
      </c>
      <c r="L515" s="5">
        <v>1E-3</v>
      </c>
      <c r="M515" s="5">
        <v>45742.565999999999</v>
      </c>
      <c r="N515" s="6">
        <v>5.9900000000000002E-2</v>
      </c>
      <c r="O515" s="5">
        <v>25.681999999999999</v>
      </c>
      <c r="P515" s="6">
        <v>7.7600000000000002E-2</v>
      </c>
      <c r="Q515" s="5">
        <v>761453.96499999997</v>
      </c>
      <c r="R515" s="1" t="s">
        <v>44</v>
      </c>
      <c r="T515" s="1" t="s">
        <v>93</v>
      </c>
      <c r="V515" s="1" t="s">
        <v>140</v>
      </c>
      <c r="Y515" s="1" t="s">
        <v>1428</v>
      </c>
      <c r="Z515" s="1" t="str">
        <f t="shared" ref="Z515:Z578" si="24">C515&amp;" "&amp;D515</f>
        <v>1464 CTG1</v>
      </c>
      <c r="AA515" s="3">
        <f>IF(INDEX('CAMD Facility Data 2023'!$AA$2:$AE$10000,MATCH(Z515,'CAMD Facility Data 2023'!$AE$2:$AE$10000,0),1)&gt;0,INDEX('CAMD Facility Data 2023'!$AA$2:$AE$10000,MATCH(Z515,'CAMD Facility Data 2023'!$AE$2:$AE$10000,0),1),"")</f>
        <v>37043</v>
      </c>
      <c r="AB515" s="5">
        <f>IF(INDEX('CAMD Facility Data 2023'!$AC$2:$AE$10000,MATCH(Z515,'CAMD Facility Data 2023'!$AE$2:$AE$10000,0),1)&gt;0,INDEX('CAMD Facility Data 2023'!$AC$2:$AE$10000,MATCH(Z515,'CAMD Facility Data 2023'!$AE$2:$AE$10000,0),1),"")</f>
        <v>1638</v>
      </c>
      <c r="AC515" s="1" t="str">
        <f>IF(INDEX('CAMD Facility Data 2023'!$AE$2:$AG$10000,MATCH(Z515,'CAMD Facility Data 2023'!$AE$2:$AE$10000,0),3)&gt;0,INDEX('CAMD Facility Data 2023'!$AE$2:$AG$10000,MATCH(Z515,'CAMD Facility Data 2023'!$AE$2:$AE$10000,0),3),"")</f>
        <v/>
      </c>
      <c r="AD515" s="20">
        <f t="shared" ref="AD515:AD578" si="25">IF(ISNUMBER(O515*2000/I515),O515*2000/I515,"")</f>
        <v>0.91332953638799541</v>
      </c>
      <c r="AE515" s="25">
        <f t="shared" ref="AE515:AE578" si="26">Q515/(AB515*8760)</f>
        <v>5.306713590189617E-2</v>
      </c>
    </row>
    <row r="516" spans="1:31" x14ac:dyDescent="0.2">
      <c r="A516" s="1" t="s">
        <v>1426</v>
      </c>
      <c r="B516" s="1" t="s">
        <v>1493</v>
      </c>
      <c r="C516" s="1">
        <v>1464</v>
      </c>
      <c r="D516" s="1" t="s">
        <v>1135</v>
      </c>
      <c r="F516" s="1">
        <v>2023</v>
      </c>
      <c r="G516" s="5">
        <v>891</v>
      </c>
      <c r="H516" s="5">
        <v>807.73</v>
      </c>
      <c r="I516" s="5">
        <v>57596.26</v>
      </c>
      <c r="K516" s="5">
        <v>0.23400000000000001</v>
      </c>
      <c r="L516" s="5">
        <v>1E-3</v>
      </c>
      <c r="M516" s="5">
        <v>46931.26</v>
      </c>
      <c r="N516" s="6">
        <v>6.0100000000000001E-2</v>
      </c>
      <c r="O516" s="5">
        <v>26.367999999999999</v>
      </c>
      <c r="P516" s="6">
        <v>8.2699999999999996E-2</v>
      </c>
      <c r="Q516" s="5">
        <v>779707.75</v>
      </c>
      <c r="R516" s="1" t="s">
        <v>44</v>
      </c>
      <c r="T516" s="1" t="s">
        <v>93</v>
      </c>
      <c r="V516" s="1" t="s">
        <v>140</v>
      </c>
      <c r="Y516" s="1" t="s">
        <v>1428</v>
      </c>
      <c r="Z516" s="1" t="str">
        <f t="shared" si="24"/>
        <v>1464 CTG2</v>
      </c>
      <c r="AA516" s="3">
        <f>IF(INDEX('CAMD Facility Data 2023'!$AA$2:$AE$10000,MATCH(Z516,'CAMD Facility Data 2023'!$AE$2:$AE$10000,0),1)&gt;0,INDEX('CAMD Facility Data 2023'!$AA$2:$AE$10000,MATCH(Z516,'CAMD Facility Data 2023'!$AE$2:$AE$10000,0),1),"")</f>
        <v>37073</v>
      </c>
      <c r="AB516" s="5">
        <f>IF(INDEX('CAMD Facility Data 2023'!$AC$2:$AE$10000,MATCH(Z516,'CAMD Facility Data 2023'!$AE$2:$AE$10000,0),1)&gt;0,INDEX('CAMD Facility Data 2023'!$AC$2:$AE$10000,MATCH(Z516,'CAMD Facility Data 2023'!$AE$2:$AE$10000,0),1),"")</f>
        <v>1638</v>
      </c>
      <c r="AC516" s="1" t="str">
        <f>IF(INDEX('CAMD Facility Data 2023'!$AE$2:$AG$10000,MATCH(Z516,'CAMD Facility Data 2023'!$AE$2:$AE$10000,0),3)&gt;0,INDEX('CAMD Facility Data 2023'!$AE$2:$AG$10000,MATCH(Z516,'CAMD Facility Data 2023'!$AE$2:$AE$10000,0),3),"")</f>
        <v/>
      </c>
      <c r="AD516" s="20">
        <f t="shared" si="25"/>
        <v>0.91561500694663156</v>
      </c>
      <c r="AE516" s="25">
        <f t="shared" si="26"/>
        <v>5.4339275957426644E-2</v>
      </c>
    </row>
    <row r="517" spans="1:31" x14ac:dyDescent="0.2">
      <c r="A517" s="1" t="s">
        <v>1505</v>
      </c>
      <c r="B517" s="1" t="s">
        <v>1506</v>
      </c>
      <c r="C517" s="1">
        <v>1507</v>
      </c>
      <c r="D517" s="1">
        <v>3</v>
      </c>
      <c r="F517" s="1">
        <v>2023</v>
      </c>
      <c r="G517" s="5">
        <v>309</v>
      </c>
      <c r="H517" s="5">
        <v>291.94</v>
      </c>
      <c r="I517" s="5">
        <v>3164.94</v>
      </c>
      <c r="K517" s="5">
        <v>13.999000000000001</v>
      </c>
      <c r="L517" s="5">
        <v>0.51929999999999998</v>
      </c>
      <c r="M517" s="5">
        <v>4523.4409999999998</v>
      </c>
      <c r="N517" s="6">
        <v>0.1144</v>
      </c>
      <c r="O517" s="5">
        <v>3.0150000000000001</v>
      </c>
      <c r="P517" s="6">
        <v>8.0299999999999996E-2</v>
      </c>
      <c r="Q517" s="5">
        <v>53301.324999999997</v>
      </c>
      <c r="R517" s="1" t="s">
        <v>173</v>
      </c>
      <c r="T517" s="1" t="s">
        <v>43</v>
      </c>
      <c r="V517" s="1" t="s">
        <v>454</v>
      </c>
      <c r="W517" s="1" t="s">
        <v>672</v>
      </c>
      <c r="Y517" s="1" t="s">
        <v>1507</v>
      </c>
      <c r="Z517" s="1" t="str">
        <f t="shared" si="24"/>
        <v>1507 3</v>
      </c>
      <c r="AA517" s="3">
        <f>IF(INDEX('CAMD Facility Data 2023'!$AA$2:$AE$10000,MATCH(Z517,'CAMD Facility Data 2023'!$AE$2:$AE$10000,0),1)&gt;0,INDEX('CAMD Facility Data 2023'!$AA$2:$AE$10000,MATCH(Z517,'CAMD Facility Data 2023'!$AE$2:$AE$10000,0),1),"")</f>
        <v>23743</v>
      </c>
      <c r="AB517" s="5">
        <f>IF(INDEX('CAMD Facility Data 2023'!$AC$2:$AE$10000,MATCH(Z517,'CAMD Facility Data 2023'!$AE$2:$AE$10000,0),1)&gt;0,INDEX('CAMD Facility Data 2023'!$AC$2:$AE$10000,MATCH(Z517,'CAMD Facility Data 2023'!$AE$2:$AE$10000,0),1),"")</f>
        <v>1190</v>
      </c>
      <c r="AC517" s="1" t="str">
        <f>IF(INDEX('CAMD Facility Data 2023'!$AE$2:$AG$10000,MATCH(Z517,'CAMD Facility Data 2023'!$AE$2:$AE$10000,0),3)&gt;0,INDEX('CAMD Facility Data 2023'!$AE$2:$AG$10000,MATCH(Z517,'CAMD Facility Data 2023'!$AE$2:$AE$10000,0),3),"")</f>
        <v/>
      </c>
      <c r="AD517" s="20">
        <f t="shared" si="25"/>
        <v>1.9052493886140021</v>
      </c>
      <c r="AE517" s="25">
        <f t="shared" si="26"/>
        <v>5.1131312113886652E-3</v>
      </c>
    </row>
    <row r="518" spans="1:31" x14ac:dyDescent="0.2">
      <c r="A518" s="1" t="s">
        <v>1505</v>
      </c>
      <c r="B518" s="1" t="s">
        <v>1506</v>
      </c>
      <c r="C518" s="1">
        <v>1507</v>
      </c>
      <c r="D518" s="1">
        <v>4</v>
      </c>
      <c r="F518" s="1">
        <v>2023</v>
      </c>
      <c r="G518" s="5">
        <v>235</v>
      </c>
      <c r="H518" s="5">
        <v>224</v>
      </c>
      <c r="I518" s="5">
        <v>38861.17</v>
      </c>
      <c r="K518" s="5">
        <v>122.018</v>
      </c>
      <c r="L518" s="5">
        <v>0.48089999999999999</v>
      </c>
      <c r="M518" s="5">
        <v>39652.32</v>
      </c>
      <c r="N518" s="6">
        <v>0.59640000000000004</v>
      </c>
      <c r="O518" s="5">
        <v>40.012999999999998</v>
      </c>
      <c r="P518" s="6">
        <v>0.1351</v>
      </c>
      <c r="Q518" s="5">
        <v>464931.06800000003</v>
      </c>
      <c r="R518" s="1" t="s">
        <v>173</v>
      </c>
      <c r="T518" s="1" t="s">
        <v>89</v>
      </c>
      <c r="V518" s="1" t="s">
        <v>1460</v>
      </c>
      <c r="W518" s="1" t="s">
        <v>58</v>
      </c>
      <c r="Y518" s="1" t="s">
        <v>1507</v>
      </c>
      <c r="Z518" s="1" t="str">
        <f t="shared" si="24"/>
        <v>1507 4</v>
      </c>
      <c r="AA518" s="3">
        <f>IF(INDEX('CAMD Facility Data 2023'!$AA$2:$AE$10000,MATCH(Z518,'CAMD Facility Data 2023'!$AE$2:$AE$10000,0),1)&gt;0,INDEX('CAMD Facility Data 2023'!$AA$2:$AE$10000,MATCH(Z518,'CAMD Facility Data 2023'!$AE$2:$AE$10000,0),1),"")</f>
        <v>28829</v>
      </c>
      <c r="AB518" s="5">
        <f>IF(INDEX('CAMD Facility Data 2023'!$AC$2:$AE$10000,MATCH(Z518,'CAMD Facility Data 2023'!$AE$2:$AE$10000,0),1)&gt;0,INDEX('CAMD Facility Data 2023'!$AC$2:$AE$10000,MATCH(Z518,'CAMD Facility Data 2023'!$AE$2:$AE$10000,0),1),"")</f>
        <v>6290</v>
      </c>
      <c r="AC518" s="1" t="str">
        <f>IF(INDEX('CAMD Facility Data 2023'!$AE$2:$AG$10000,MATCH(Z518,'CAMD Facility Data 2023'!$AE$2:$AE$10000,0),3)&gt;0,INDEX('CAMD Facility Data 2023'!$AE$2:$AG$10000,MATCH(Z518,'CAMD Facility Data 2023'!$AE$2:$AE$10000,0),3),"")</f>
        <v/>
      </c>
      <c r="AD518" s="20">
        <f t="shared" si="25"/>
        <v>2.059279223965722</v>
      </c>
      <c r="AE518" s="25">
        <f t="shared" si="26"/>
        <v>8.4378891623291298E-3</v>
      </c>
    </row>
    <row r="519" spans="1:31" x14ac:dyDescent="0.2">
      <c r="A519" s="1" t="s">
        <v>680</v>
      </c>
      <c r="B519" s="1" t="s">
        <v>1513</v>
      </c>
      <c r="C519" s="1">
        <v>1554</v>
      </c>
      <c r="D519" s="1">
        <v>1</v>
      </c>
      <c r="F519" s="1">
        <v>2023</v>
      </c>
      <c r="G519" s="5">
        <v>404</v>
      </c>
      <c r="H519" s="5">
        <v>393.07</v>
      </c>
      <c r="I519" s="5">
        <v>9591.0400000000009</v>
      </c>
      <c r="K519" s="5">
        <v>1.6339999999999999</v>
      </c>
      <c r="L519" s="5">
        <v>0.10580000000000001</v>
      </c>
      <c r="M519" s="5">
        <v>2404.9470000000001</v>
      </c>
      <c r="N519" s="6">
        <v>7.0099999999999996E-2</v>
      </c>
      <c r="O519" s="5">
        <v>1.4910000000000001</v>
      </c>
      <c r="P519" s="6">
        <v>8.7499999999999994E-2</v>
      </c>
      <c r="Q519" s="5">
        <v>34931.974999999999</v>
      </c>
      <c r="R519" s="1" t="s">
        <v>44</v>
      </c>
      <c r="S519" s="1" t="s">
        <v>1292</v>
      </c>
      <c r="T519" s="1" t="s">
        <v>89</v>
      </c>
      <c r="W519" s="1" t="s">
        <v>58</v>
      </c>
      <c r="Y519" s="1" t="s">
        <v>682</v>
      </c>
      <c r="Z519" s="1" t="str">
        <f t="shared" si="24"/>
        <v>1554 1</v>
      </c>
      <c r="AA519" s="3">
        <f>IF(INDEX('CAMD Facility Data 2023'!$AA$2:$AE$10000,MATCH(Z519,'CAMD Facility Data 2023'!$AE$2:$AE$10000,0),1)&gt;0,INDEX('CAMD Facility Data 2023'!$AA$2:$AE$10000,MATCH(Z519,'CAMD Facility Data 2023'!$AE$2:$AE$10000,0),1),"")</f>
        <v>20424</v>
      </c>
      <c r="AB519" s="5">
        <f>IF(INDEX('CAMD Facility Data 2023'!$AC$2:$AE$10000,MATCH(Z519,'CAMD Facility Data 2023'!$AE$2:$AE$10000,0),1)&gt;0,INDEX('CAMD Facility Data 2023'!$AC$2:$AE$10000,MATCH(Z519,'CAMD Facility Data 2023'!$AE$2:$AE$10000,0),1),"")</f>
        <v>1504</v>
      </c>
      <c r="AC519" s="1" t="str">
        <f>IF(INDEX('CAMD Facility Data 2023'!$AE$2:$AG$10000,MATCH(Z519,'CAMD Facility Data 2023'!$AE$2:$AE$10000,0),3)&gt;0,INDEX('CAMD Facility Data 2023'!$AE$2:$AG$10000,MATCH(Z519,'CAMD Facility Data 2023'!$AE$2:$AE$10000,0),3),"")</f>
        <v/>
      </c>
      <c r="AD519" s="20">
        <f t="shared" si="25"/>
        <v>0.31091518750834107</v>
      </c>
      <c r="AE519" s="25">
        <f t="shared" si="26"/>
        <v>2.6513752519916447E-3</v>
      </c>
    </row>
    <row r="520" spans="1:31" x14ac:dyDescent="0.2">
      <c r="A520" s="1" t="s">
        <v>680</v>
      </c>
      <c r="B520" s="1" t="s">
        <v>1513</v>
      </c>
      <c r="C520" s="1">
        <v>1554</v>
      </c>
      <c r="D520" s="1">
        <v>2</v>
      </c>
      <c r="F520" s="1">
        <v>2023</v>
      </c>
      <c r="G520" s="5">
        <v>1597</v>
      </c>
      <c r="H520" s="5">
        <v>1584.48</v>
      </c>
      <c r="K520" s="5">
        <v>3.7999999999999999E-2</v>
      </c>
      <c r="L520" s="5">
        <v>1E-3</v>
      </c>
      <c r="M520" s="5">
        <v>7479.2359999999999</v>
      </c>
      <c r="N520" s="6">
        <v>5.9499999999999997E-2</v>
      </c>
      <c r="O520" s="5">
        <v>1.5329999999999999</v>
      </c>
      <c r="P520" s="6">
        <v>2.41E-2</v>
      </c>
      <c r="Q520" s="5">
        <v>125828.33100000001</v>
      </c>
      <c r="R520" s="1" t="s">
        <v>44</v>
      </c>
      <c r="T520" s="1" t="s">
        <v>89</v>
      </c>
      <c r="V520" s="1" t="s">
        <v>1516</v>
      </c>
      <c r="W520" s="1" t="s">
        <v>58</v>
      </c>
      <c r="Y520" s="1" t="s">
        <v>1515</v>
      </c>
      <c r="Z520" s="1" t="str">
        <f t="shared" si="24"/>
        <v>1554 2</v>
      </c>
      <c r="AA520" s="3">
        <f>IF(INDEX('CAMD Facility Data 2023'!$AA$2:$AE$10000,MATCH(Z520,'CAMD Facility Data 2023'!$AE$2:$AE$10000,0),1)&gt;0,INDEX('CAMD Facility Data 2023'!$AA$2:$AE$10000,MATCH(Z520,'CAMD Facility Data 2023'!$AE$2:$AE$10000,0),1),"")</f>
        <v>21520</v>
      </c>
      <c r="AB520" s="5">
        <f>IF(INDEX('CAMD Facility Data 2023'!$AC$2:$AE$10000,MATCH(Z520,'CAMD Facility Data 2023'!$AE$2:$AE$10000,0),1)&gt;0,INDEX('CAMD Facility Data 2023'!$AC$2:$AE$10000,MATCH(Z520,'CAMD Facility Data 2023'!$AE$2:$AE$10000,0),1),"")</f>
        <v>250</v>
      </c>
      <c r="AC520" s="1" t="str">
        <f>IF(INDEX('CAMD Facility Data 2023'!$AE$2:$AG$10000,MATCH(Z520,'CAMD Facility Data 2023'!$AE$2:$AE$10000,0),3)&gt;0,INDEX('CAMD Facility Data 2023'!$AE$2:$AG$10000,MATCH(Z520,'CAMD Facility Data 2023'!$AE$2:$AE$10000,0),3),"")</f>
        <v>Y</v>
      </c>
      <c r="AD520" s="20" t="str">
        <f t="shared" si="25"/>
        <v/>
      </c>
      <c r="AE520" s="25">
        <f t="shared" si="26"/>
        <v>5.7455858904109591E-2</v>
      </c>
    </row>
    <row r="521" spans="1:31" x14ac:dyDescent="0.2">
      <c r="A521" s="1" t="s">
        <v>680</v>
      </c>
      <c r="B521" s="1" t="s">
        <v>1513</v>
      </c>
      <c r="C521" s="1">
        <v>1554</v>
      </c>
      <c r="D521" s="1">
        <v>3</v>
      </c>
      <c r="F521" s="1">
        <v>2023</v>
      </c>
      <c r="G521" s="5">
        <v>598</v>
      </c>
      <c r="H521" s="5">
        <v>588.41</v>
      </c>
      <c r="I521" s="5">
        <v>57291.199999999997</v>
      </c>
      <c r="K521" s="5">
        <v>280.202</v>
      </c>
      <c r="L521" s="5">
        <v>0.68010000000000004</v>
      </c>
      <c r="M521" s="5">
        <v>71880.126000000004</v>
      </c>
      <c r="N521" s="6">
        <v>0.1019</v>
      </c>
      <c r="O521" s="5">
        <v>26.895</v>
      </c>
      <c r="P521" s="6">
        <v>0.1065</v>
      </c>
      <c r="Q521" s="5">
        <v>700591.16</v>
      </c>
      <c r="R521" s="1" t="s">
        <v>55</v>
      </c>
      <c r="T521" s="1" t="s">
        <v>89</v>
      </c>
      <c r="V521" s="1" t="s">
        <v>563</v>
      </c>
      <c r="W521" s="1" t="s">
        <v>58</v>
      </c>
      <c r="Y521" s="1" t="s">
        <v>682</v>
      </c>
      <c r="Z521" s="1" t="str">
        <f t="shared" si="24"/>
        <v>1554 3</v>
      </c>
      <c r="AA521" s="3">
        <f>IF(INDEX('CAMD Facility Data 2023'!$AA$2:$AE$10000,MATCH(Z521,'CAMD Facility Data 2023'!$AE$2:$AE$10000,0),1)&gt;0,INDEX('CAMD Facility Data 2023'!$AA$2:$AE$10000,MATCH(Z521,'CAMD Facility Data 2023'!$AE$2:$AE$10000,0),1),"")</f>
        <v>24259</v>
      </c>
      <c r="AB521" s="5">
        <f>IF(INDEX('CAMD Facility Data 2023'!$AC$2:$AE$10000,MATCH(Z521,'CAMD Facility Data 2023'!$AE$2:$AE$10000,0),1)&gt;0,INDEX('CAMD Facility Data 2023'!$AC$2:$AE$10000,MATCH(Z521,'CAMD Facility Data 2023'!$AE$2:$AE$10000,0),1),"")</f>
        <v>2740</v>
      </c>
      <c r="AC521" s="1" t="str">
        <f>IF(INDEX('CAMD Facility Data 2023'!$AE$2:$AG$10000,MATCH(Z521,'CAMD Facility Data 2023'!$AE$2:$AE$10000,0),3)&gt;0,INDEX('CAMD Facility Data 2023'!$AE$2:$AG$10000,MATCH(Z521,'CAMD Facility Data 2023'!$AE$2:$AE$10000,0),3),"")</f>
        <v>Y</v>
      </c>
      <c r="AD521" s="20">
        <f t="shared" si="25"/>
        <v>0.93888764766665744</v>
      </c>
      <c r="AE521" s="25">
        <f t="shared" si="26"/>
        <v>2.9188379495383797E-2</v>
      </c>
    </row>
    <row r="522" spans="1:31" x14ac:dyDescent="0.2">
      <c r="A522" s="1" t="s">
        <v>680</v>
      </c>
      <c r="B522" s="1" t="s">
        <v>1513</v>
      </c>
      <c r="C522" s="1">
        <v>1554</v>
      </c>
      <c r="D522" s="1">
        <v>4</v>
      </c>
      <c r="F522" s="1">
        <v>2023</v>
      </c>
      <c r="G522" s="5">
        <v>393</v>
      </c>
      <c r="H522" s="5">
        <v>381.35</v>
      </c>
      <c r="I522" s="5">
        <v>25306.75</v>
      </c>
      <c r="K522" s="5">
        <v>5.5890000000000004</v>
      </c>
      <c r="L522" s="5">
        <v>0.158</v>
      </c>
      <c r="M522" s="5">
        <v>5791.0029999999997</v>
      </c>
      <c r="N522" s="6">
        <v>7.3499999999999996E-2</v>
      </c>
      <c r="O522" s="5">
        <v>10.207000000000001</v>
      </c>
      <c r="P522" s="6">
        <v>0.26910000000000001</v>
      </c>
      <c r="Q522" s="5">
        <v>80563.520000000004</v>
      </c>
      <c r="R522" s="1" t="s">
        <v>1292</v>
      </c>
      <c r="S522" s="1" t="s">
        <v>44</v>
      </c>
      <c r="T522" s="1" t="s">
        <v>89</v>
      </c>
      <c r="W522" s="1" t="s">
        <v>58</v>
      </c>
      <c r="Y522" s="1" t="s">
        <v>682</v>
      </c>
      <c r="Z522" s="1" t="str">
        <f t="shared" si="24"/>
        <v>1554 4</v>
      </c>
      <c r="AA522" s="3">
        <f>IF(INDEX('CAMD Facility Data 2023'!$AA$2:$AE$10000,MATCH(Z522,'CAMD Facility Data 2023'!$AE$2:$AE$10000,0),1)&gt;0,INDEX('CAMD Facility Data 2023'!$AA$2:$AE$10000,MATCH(Z522,'CAMD Facility Data 2023'!$AE$2:$AE$10000,0),1),"")</f>
        <v>26451</v>
      </c>
      <c r="AB522" s="5">
        <f>IF(INDEX('CAMD Facility Data 2023'!$AC$2:$AE$10000,MATCH(Z522,'CAMD Facility Data 2023'!$AE$2:$AE$10000,0),1)&gt;0,INDEX('CAMD Facility Data 2023'!$AC$2:$AE$10000,MATCH(Z522,'CAMD Facility Data 2023'!$AE$2:$AE$10000,0),1),"")</f>
        <v>4800</v>
      </c>
      <c r="AC522" s="1" t="str">
        <f>IF(INDEX('CAMD Facility Data 2023'!$AE$2:$AG$10000,MATCH(Z522,'CAMD Facility Data 2023'!$AE$2:$AE$10000,0),3)&gt;0,INDEX('CAMD Facility Data 2023'!$AE$2:$AG$10000,MATCH(Z522,'CAMD Facility Data 2023'!$AE$2:$AE$10000,0),3),"")</f>
        <v/>
      </c>
      <c r="AD522" s="20">
        <f t="shared" si="25"/>
        <v>0.80666225414168158</v>
      </c>
      <c r="AE522" s="25">
        <f t="shared" si="26"/>
        <v>1.9159893455098936E-3</v>
      </c>
    </row>
    <row r="523" spans="1:31" x14ac:dyDescent="0.2">
      <c r="A523" s="1" t="s">
        <v>680</v>
      </c>
      <c r="B523" s="1" t="s">
        <v>1520</v>
      </c>
      <c r="C523" s="1">
        <v>1556</v>
      </c>
      <c r="D523" s="1" t="s">
        <v>1526</v>
      </c>
      <c r="F523" s="1">
        <v>2023</v>
      </c>
      <c r="G523" s="5">
        <v>1201</v>
      </c>
      <c r="H523" s="5">
        <v>1021.64</v>
      </c>
      <c r="I523" s="5">
        <v>136831.13</v>
      </c>
      <c r="K523" s="5">
        <v>0.47699999999999998</v>
      </c>
      <c r="L523" s="5">
        <v>1E-3</v>
      </c>
      <c r="M523" s="5">
        <v>93676.604000000007</v>
      </c>
      <c r="N523" s="6">
        <v>5.9400000000000001E-2</v>
      </c>
      <c r="O523" s="5">
        <v>34.576999999999998</v>
      </c>
      <c r="P523" s="6">
        <v>6.0199999999999997E-2</v>
      </c>
      <c r="Q523" s="5">
        <v>1570871.93</v>
      </c>
      <c r="R523" s="1" t="s">
        <v>44</v>
      </c>
      <c r="S523" s="1" t="s">
        <v>94</v>
      </c>
      <c r="T523" s="1" t="s">
        <v>93</v>
      </c>
      <c r="V523" s="1" t="s">
        <v>95</v>
      </c>
      <c r="Y523" s="1" t="s">
        <v>1515</v>
      </c>
      <c r="Z523" s="1" t="str">
        <f t="shared" si="24"/>
        <v>1556 **51</v>
      </c>
      <c r="AA523" s="3">
        <f>IF(INDEX('CAMD Facility Data 2023'!$AA$2:$AE$10000,MATCH(Z523,'CAMD Facility Data 2023'!$AE$2:$AE$10000,0),1)&gt;0,INDEX('CAMD Facility Data 2023'!$AA$2:$AE$10000,MATCH(Z523,'CAMD Facility Data 2023'!$AE$2:$AE$10000,0),1),"")</f>
        <v>34851</v>
      </c>
      <c r="AB523" s="5">
        <f>IF(INDEX('CAMD Facility Data 2023'!$AC$2:$AE$10000,MATCH(Z523,'CAMD Facility Data 2023'!$AE$2:$AE$10000,0),1)&gt;0,INDEX('CAMD Facility Data 2023'!$AC$2:$AE$10000,MATCH(Z523,'CAMD Facility Data 2023'!$AE$2:$AE$10000,0),1),"")</f>
        <v>1900</v>
      </c>
      <c r="AC523" s="1" t="str">
        <f>IF(INDEX('CAMD Facility Data 2023'!$AE$2:$AG$10000,MATCH(Z523,'CAMD Facility Data 2023'!$AE$2:$AE$10000,0),3)&gt;0,INDEX('CAMD Facility Data 2023'!$AE$2:$AG$10000,MATCH(Z523,'CAMD Facility Data 2023'!$AE$2:$AE$10000,0),3),"")</f>
        <v/>
      </c>
      <c r="AD523" s="20">
        <f t="shared" si="25"/>
        <v>0.50539668860441334</v>
      </c>
      <c r="AE523" s="25">
        <f t="shared" si="26"/>
        <v>9.4380673515981728E-2</v>
      </c>
    </row>
    <row r="524" spans="1:31" x14ac:dyDescent="0.2">
      <c r="A524" s="1" t="s">
        <v>680</v>
      </c>
      <c r="B524" s="1" t="s">
        <v>1520</v>
      </c>
      <c r="C524" s="1">
        <v>1556</v>
      </c>
      <c r="D524" s="2">
        <v>45444</v>
      </c>
      <c r="E524" s="1" t="s">
        <v>1521</v>
      </c>
      <c r="F524" s="1">
        <v>2023</v>
      </c>
      <c r="G524" s="5">
        <v>2047</v>
      </c>
      <c r="H524" s="5">
        <v>1821.21</v>
      </c>
      <c r="I524" s="5">
        <v>98007.61</v>
      </c>
      <c r="K524" s="5">
        <v>0.29599999999999999</v>
      </c>
      <c r="L524" s="5">
        <v>1E-3</v>
      </c>
      <c r="M524" s="5">
        <v>58435.250999999997</v>
      </c>
      <c r="N524" s="6">
        <v>5.9299999999999999E-2</v>
      </c>
      <c r="O524" s="5">
        <v>5.21</v>
      </c>
      <c r="P524" s="6">
        <v>2.0500000000000001E-2</v>
      </c>
      <c r="Q524" s="5">
        <v>981598.32799999998</v>
      </c>
      <c r="R524" s="1" t="s">
        <v>44</v>
      </c>
      <c r="S524" s="1" t="s">
        <v>94</v>
      </c>
      <c r="T524" s="1" t="s">
        <v>93</v>
      </c>
      <c r="V524" s="1" t="s">
        <v>176</v>
      </c>
      <c r="Y524" s="1" t="s">
        <v>1515</v>
      </c>
      <c r="Z524" s="1" t="str">
        <f t="shared" si="24"/>
        <v>1556 45444</v>
      </c>
      <c r="AA524" s="3">
        <f>IF(INDEX('CAMD Facility Data 2023'!$AA$2:$AE$10000,MATCH(Z524,'CAMD Facility Data 2023'!$AE$2:$AE$10000,0),1)&gt;0,INDEX('CAMD Facility Data 2023'!$AA$2:$AE$10000,MATCH(Z524,'CAMD Facility Data 2023'!$AE$2:$AE$10000,0),1),"")</f>
        <v>42133</v>
      </c>
      <c r="AB524" s="5">
        <f>IF(INDEX('CAMD Facility Data 2023'!$AC$2:$AE$10000,MATCH(Z524,'CAMD Facility Data 2023'!$AE$2:$AE$10000,0),1)&gt;0,INDEX('CAMD Facility Data 2023'!$AC$2:$AE$10000,MATCH(Z524,'CAMD Facility Data 2023'!$AE$2:$AE$10000,0),1),"")</f>
        <v>633</v>
      </c>
      <c r="AC524" s="1" t="str">
        <f>IF(INDEX('CAMD Facility Data 2023'!$AE$2:$AG$10000,MATCH(Z524,'CAMD Facility Data 2023'!$AE$2:$AE$10000,0),3)&gt;0,INDEX('CAMD Facility Data 2023'!$AE$2:$AG$10000,MATCH(Z524,'CAMD Facility Data 2023'!$AE$2:$AE$10000,0),3),"")</f>
        <v>Y</v>
      </c>
      <c r="AD524" s="20">
        <f t="shared" si="25"/>
        <v>0.10631827467275246</v>
      </c>
      <c r="AE524" s="25">
        <f t="shared" si="26"/>
        <v>0.17702149076298268</v>
      </c>
    </row>
    <row r="525" spans="1:31" x14ac:dyDescent="0.2">
      <c r="A525" s="1" t="s">
        <v>680</v>
      </c>
      <c r="B525" s="1" t="s">
        <v>1520</v>
      </c>
      <c r="C525" s="1">
        <v>1556</v>
      </c>
      <c r="D525" s="2">
        <v>45445</v>
      </c>
      <c r="E525" s="1" t="s">
        <v>1521</v>
      </c>
      <c r="F525" s="1">
        <v>2023</v>
      </c>
      <c r="G525" s="5">
        <v>359</v>
      </c>
      <c r="H525" s="5">
        <v>303.76</v>
      </c>
      <c r="I525" s="5">
        <v>16325.29</v>
      </c>
      <c r="K525" s="5">
        <v>4.9000000000000002E-2</v>
      </c>
      <c r="L525" s="5">
        <v>1E-3</v>
      </c>
      <c r="M525" s="5">
        <v>9692.4660000000003</v>
      </c>
      <c r="N525" s="6">
        <v>5.9200000000000003E-2</v>
      </c>
      <c r="O525" s="5">
        <v>0.995</v>
      </c>
      <c r="P525" s="6">
        <v>2.4899999999999999E-2</v>
      </c>
      <c r="Q525" s="5">
        <v>163092.883</v>
      </c>
      <c r="R525" s="1" t="s">
        <v>44</v>
      </c>
      <c r="S525" s="1" t="s">
        <v>94</v>
      </c>
      <c r="T525" s="1" t="s">
        <v>93</v>
      </c>
      <c r="V525" s="1" t="s">
        <v>176</v>
      </c>
      <c r="Y525" s="1" t="s">
        <v>1515</v>
      </c>
      <c r="Z525" s="1" t="str">
        <f t="shared" si="24"/>
        <v>1556 45445</v>
      </c>
      <c r="AA525" s="3">
        <f>IF(INDEX('CAMD Facility Data 2023'!$AA$2:$AE$10000,MATCH(Z525,'CAMD Facility Data 2023'!$AE$2:$AE$10000,0),1)&gt;0,INDEX('CAMD Facility Data 2023'!$AA$2:$AE$10000,MATCH(Z525,'CAMD Facility Data 2023'!$AE$2:$AE$10000,0),1),"")</f>
        <v>42153</v>
      </c>
      <c r="AB525" s="5">
        <f>IF(INDEX('CAMD Facility Data 2023'!$AC$2:$AE$10000,MATCH(Z525,'CAMD Facility Data 2023'!$AE$2:$AE$10000,0),1)&gt;0,INDEX('CAMD Facility Data 2023'!$AC$2:$AE$10000,MATCH(Z525,'CAMD Facility Data 2023'!$AE$2:$AE$10000,0),1),"")</f>
        <v>633.20000000000005</v>
      </c>
      <c r="AC525" s="1" t="str">
        <f>IF(INDEX('CAMD Facility Data 2023'!$AE$2:$AG$10000,MATCH(Z525,'CAMD Facility Data 2023'!$AE$2:$AE$10000,0),3)&gt;0,INDEX('CAMD Facility Data 2023'!$AE$2:$AG$10000,MATCH(Z525,'CAMD Facility Data 2023'!$AE$2:$AE$10000,0),3),"")</f>
        <v>Y</v>
      </c>
      <c r="AD525" s="20">
        <f t="shared" si="25"/>
        <v>0.12189676263025036</v>
      </c>
      <c r="AE525" s="25">
        <f t="shared" si="26"/>
        <v>2.9402888531687998E-2</v>
      </c>
    </row>
    <row r="526" spans="1:31" x14ac:dyDescent="0.2">
      <c r="A526" s="1" t="s">
        <v>680</v>
      </c>
      <c r="B526" s="1" t="s">
        <v>1520</v>
      </c>
      <c r="C526" s="1">
        <v>1556</v>
      </c>
      <c r="D526" s="1" t="s">
        <v>311</v>
      </c>
      <c r="F526" s="1">
        <v>2023</v>
      </c>
      <c r="G526" s="5">
        <v>76</v>
      </c>
      <c r="H526" s="5">
        <v>53.75</v>
      </c>
      <c r="I526" s="5">
        <v>1900.77</v>
      </c>
      <c r="K526" s="5">
        <v>0.02</v>
      </c>
      <c r="L526" s="5">
        <v>1.2999999999999999E-3</v>
      </c>
      <c r="M526" s="5">
        <v>2417.4369999999999</v>
      </c>
      <c r="N526" s="6">
        <v>8.1000000000000003E-2</v>
      </c>
      <c r="O526" s="5">
        <v>9.9429999999999996</v>
      </c>
      <c r="P526" s="6">
        <v>0.57220000000000004</v>
      </c>
      <c r="Q526" s="5">
        <v>29794.53</v>
      </c>
      <c r="R526" s="1" t="s">
        <v>94</v>
      </c>
      <c r="T526" s="1" t="s">
        <v>93</v>
      </c>
      <c r="Y526" s="1" t="s">
        <v>1528</v>
      </c>
      <c r="Z526" s="1" t="str">
        <f t="shared" si="24"/>
        <v>1556 CT1</v>
      </c>
      <c r="AA526" s="3">
        <f>IF(INDEX('CAMD Facility Data 2023'!$AA$2:$AE$10000,MATCH(Z526,'CAMD Facility Data 2023'!$AE$2:$AE$10000,0),1)&gt;0,INDEX('CAMD Facility Data 2023'!$AA$2:$AE$10000,MATCH(Z526,'CAMD Facility Data 2023'!$AE$2:$AE$10000,0),1),"")</f>
        <v>26309</v>
      </c>
      <c r="AB526" s="5">
        <f>IF(INDEX('CAMD Facility Data 2023'!$AC$2:$AE$10000,MATCH(Z526,'CAMD Facility Data 2023'!$AE$2:$AE$10000,0),1)&gt;0,INDEX('CAMD Facility Data 2023'!$AC$2:$AE$10000,MATCH(Z526,'CAMD Facility Data 2023'!$AE$2:$AE$10000,0),1),"")</f>
        <v>817</v>
      </c>
      <c r="AC526" s="1" t="str">
        <f>IF(INDEX('CAMD Facility Data 2023'!$AE$2:$AG$10000,MATCH(Z526,'CAMD Facility Data 2023'!$AE$2:$AE$10000,0),3)&gt;0,INDEX('CAMD Facility Data 2023'!$AE$2:$AG$10000,MATCH(Z526,'CAMD Facility Data 2023'!$AE$2:$AE$10000,0),3),"")</f>
        <v/>
      </c>
      <c r="AD526" s="20">
        <f t="shared" si="25"/>
        <v>10.462075895558115</v>
      </c>
      <c r="AE526" s="25">
        <f t="shared" si="26"/>
        <v>4.1630380107644067E-3</v>
      </c>
    </row>
    <row r="527" spans="1:31" x14ac:dyDescent="0.2">
      <c r="A527" s="1" t="s">
        <v>680</v>
      </c>
      <c r="B527" s="1" t="s">
        <v>1520</v>
      </c>
      <c r="C527" s="1">
        <v>1556</v>
      </c>
      <c r="D527" s="1" t="s">
        <v>101</v>
      </c>
      <c r="F527" s="1">
        <v>2023</v>
      </c>
      <c r="G527" s="5">
        <v>73</v>
      </c>
      <c r="H527" s="5">
        <v>51.22</v>
      </c>
      <c r="I527" s="5">
        <v>1763.02</v>
      </c>
      <c r="K527" s="5">
        <v>2.1000000000000001E-2</v>
      </c>
      <c r="L527" s="5">
        <v>1.4E-3</v>
      </c>
      <c r="M527" s="5">
        <v>2360.56</v>
      </c>
      <c r="N527" s="6">
        <v>8.1000000000000003E-2</v>
      </c>
      <c r="O527" s="5">
        <v>9.3040000000000003</v>
      </c>
      <c r="P527" s="6">
        <v>0.52900000000000003</v>
      </c>
      <c r="Q527" s="5">
        <v>29092.526999999998</v>
      </c>
      <c r="R527" s="1" t="s">
        <v>94</v>
      </c>
      <c r="T527" s="1" t="s">
        <v>93</v>
      </c>
      <c r="Y527" s="1" t="s">
        <v>1528</v>
      </c>
      <c r="Z527" s="1" t="str">
        <f t="shared" si="24"/>
        <v>1556 CT3</v>
      </c>
      <c r="AA527" s="3">
        <f>IF(INDEX('CAMD Facility Data 2023'!$AA$2:$AE$10000,MATCH(Z527,'CAMD Facility Data 2023'!$AE$2:$AE$10000,0),1)&gt;0,INDEX('CAMD Facility Data 2023'!$AA$2:$AE$10000,MATCH(Z527,'CAMD Facility Data 2023'!$AE$2:$AE$10000,0),1),"")</f>
        <v>26418</v>
      </c>
      <c r="AB527" s="5">
        <f>IF(INDEX('CAMD Facility Data 2023'!$AC$2:$AE$10000,MATCH(Z527,'CAMD Facility Data 2023'!$AE$2:$AE$10000,0),1)&gt;0,INDEX('CAMD Facility Data 2023'!$AC$2:$AE$10000,MATCH(Z527,'CAMD Facility Data 2023'!$AE$2:$AE$10000,0),1),"")</f>
        <v>830</v>
      </c>
      <c r="AC527" s="1" t="str">
        <f>IF(INDEX('CAMD Facility Data 2023'!$AE$2:$AG$10000,MATCH(Z527,'CAMD Facility Data 2023'!$AE$2:$AE$10000,0),3)&gt;0,INDEX('CAMD Facility Data 2023'!$AE$2:$AG$10000,MATCH(Z527,'CAMD Facility Data 2023'!$AE$2:$AE$10000,0),3),"")</f>
        <v/>
      </c>
      <c r="AD527" s="20">
        <f t="shared" si="25"/>
        <v>10.554616510306179</v>
      </c>
      <c r="AE527" s="25">
        <f t="shared" si="26"/>
        <v>4.0012828024426472E-3</v>
      </c>
    </row>
    <row r="528" spans="1:31" x14ac:dyDescent="0.2">
      <c r="A528" s="1" t="s">
        <v>680</v>
      </c>
      <c r="B528" s="1" t="s">
        <v>1520</v>
      </c>
      <c r="C528" s="1">
        <v>1556</v>
      </c>
      <c r="D528" s="1" t="s">
        <v>103</v>
      </c>
      <c r="F528" s="1">
        <v>2023</v>
      </c>
      <c r="G528" s="5">
        <v>55</v>
      </c>
      <c r="H528" s="5">
        <v>36.51</v>
      </c>
      <c r="I528" s="5">
        <v>1219.56</v>
      </c>
      <c r="K528" s="5">
        <v>1.2E-2</v>
      </c>
      <c r="L528" s="5">
        <v>1.1000000000000001E-3</v>
      </c>
      <c r="M528" s="5">
        <v>1595.6310000000001</v>
      </c>
      <c r="N528" s="6">
        <v>8.1000000000000003E-2</v>
      </c>
      <c r="O528" s="5">
        <v>5.0119999999999996</v>
      </c>
      <c r="P528" s="6">
        <v>0.4541</v>
      </c>
      <c r="Q528" s="5">
        <v>19663.47</v>
      </c>
      <c r="R528" s="1" t="s">
        <v>94</v>
      </c>
      <c r="T528" s="1" t="s">
        <v>93</v>
      </c>
      <c r="Y528" s="1" t="s">
        <v>1528</v>
      </c>
      <c r="Z528" s="1" t="str">
        <f t="shared" si="24"/>
        <v>1556 CT4</v>
      </c>
      <c r="AA528" s="3">
        <f>IF(INDEX('CAMD Facility Data 2023'!$AA$2:$AE$10000,MATCH(Z528,'CAMD Facility Data 2023'!$AE$2:$AE$10000,0),1)&gt;0,INDEX('CAMD Facility Data 2023'!$AA$2:$AE$10000,MATCH(Z528,'CAMD Facility Data 2023'!$AE$2:$AE$10000,0),1),"")</f>
        <v>25836</v>
      </c>
      <c r="AB528" s="5">
        <f>IF(INDEX('CAMD Facility Data 2023'!$AC$2:$AE$10000,MATCH(Z528,'CAMD Facility Data 2023'!$AE$2:$AE$10000,0),1)&gt;0,INDEX('CAMD Facility Data 2023'!$AC$2:$AE$10000,MATCH(Z528,'CAMD Facility Data 2023'!$AE$2:$AE$10000,0),1),"")</f>
        <v>830</v>
      </c>
      <c r="AC528" s="1" t="str">
        <f>IF(INDEX('CAMD Facility Data 2023'!$AE$2:$AG$10000,MATCH(Z528,'CAMD Facility Data 2023'!$AE$2:$AE$10000,0),3)&gt;0,INDEX('CAMD Facility Data 2023'!$AE$2:$AG$10000,MATCH(Z528,'CAMD Facility Data 2023'!$AE$2:$AE$10000,0),3),"")</f>
        <v/>
      </c>
      <c r="AD528" s="20">
        <f t="shared" si="25"/>
        <v>8.2193578011741941</v>
      </c>
      <c r="AE528" s="25">
        <f t="shared" si="26"/>
        <v>2.7044438026076912E-3</v>
      </c>
    </row>
    <row r="529" spans="1:31" x14ac:dyDescent="0.2">
      <c r="A529" s="1" t="s">
        <v>680</v>
      </c>
      <c r="B529" s="1" t="s">
        <v>1532</v>
      </c>
      <c r="C529" s="1">
        <v>1564</v>
      </c>
      <c r="D529" s="1">
        <v>8</v>
      </c>
      <c r="F529" s="1">
        <v>2023</v>
      </c>
      <c r="G529" s="5">
        <v>175</v>
      </c>
      <c r="H529" s="5">
        <v>163.63999999999999</v>
      </c>
      <c r="I529" s="5">
        <v>6611.05</v>
      </c>
      <c r="K529" s="5">
        <v>101.596</v>
      </c>
      <c r="L529" s="5">
        <v>1.2144999999999999</v>
      </c>
      <c r="M529" s="5">
        <v>12159.089</v>
      </c>
      <c r="N529" s="6">
        <v>8.1000000000000003E-2</v>
      </c>
      <c r="O529" s="5">
        <v>20.158999999999999</v>
      </c>
      <c r="P529" s="6">
        <v>0.2301</v>
      </c>
      <c r="Q529" s="5">
        <v>149853.05900000001</v>
      </c>
      <c r="R529" s="1" t="s">
        <v>173</v>
      </c>
      <c r="T529" s="1" t="s">
        <v>43</v>
      </c>
      <c r="Y529" s="1" t="s">
        <v>682</v>
      </c>
      <c r="Z529" s="1" t="str">
        <f t="shared" si="24"/>
        <v>1564 8</v>
      </c>
      <c r="AA529" s="3">
        <f>IF(INDEX('CAMD Facility Data 2023'!$AA$2:$AE$10000,MATCH(Z529,'CAMD Facility Data 2023'!$AE$2:$AE$10000,0),1)&gt;0,INDEX('CAMD Facility Data 2023'!$AA$2:$AE$10000,MATCH(Z529,'CAMD Facility Data 2023'!$AE$2:$AE$10000,0),1),"")</f>
        <v>26268</v>
      </c>
      <c r="AB529" s="5">
        <f>IF(INDEX('CAMD Facility Data 2023'!$AC$2:$AE$10000,MATCH(Z529,'CAMD Facility Data 2023'!$AE$2:$AE$10000,0),1)&gt;0,INDEX('CAMD Facility Data 2023'!$AC$2:$AE$10000,MATCH(Z529,'CAMD Facility Data 2023'!$AE$2:$AE$10000,0),1),"")</f>
        <v>2400</v>
      </c>
      <c r="AC529" s="1" t="str">
        <f>IF(INDEX('CAMD Facility Data 2023'!$AE$2:$AG$10000,MATCH(Z529,'CAMD Facility Data 2023'!$AE$2:$AE$10000,0),3)&gt;0,INDEX('CAMD Facility Data 2023'!$AE$2:$AG$10000,MATCH(Z529,'CAMD Facility Data 2023'!$AE$2:$AE$10000,0),3),"")</f>
        <v/>
      </c>
      <c r="AD529" s="20">
        <f t="shared" si="25"/>
        <v>6.0985773818077309</v>
      </c>
      <c r="AE529" s="25">
        <f t="shared" si="26"/>
        <v>7.1277139935312026E-3</v>
      </c>
    </row>
    <row r="530" spans="1:31" x14ac:dyDescent="0.2">
      <c r="A530" s="1" t="s">
        <v>680</v>
      </c>
      <c r="B530" s="1" t="s">
        <v>1537</v>
      </c>
      <c r="C530" s="1">
        <v>1571</v>
      </c>
      <c r="D530" s="1">
        <v>3</v>
      </c>
      <c r="F530" s="1">
        <v>2023</v>
      </c>
      <c r="G530" s="5">
        <v>1050</v>
      </c>
      <c r="H530" s="5">
        <v>1035.6400000000001</v>
      </c>
      <c r="I530" s="5">
        <v>424844.37</v>
      </c>
      <c r="K530" s="5">
        <v>6.4039999999999999</v>
      </c>
      <c r="L530" s="5">
        <v>5.0200000000000002E-2</v>
      </c>
      <c r="M530" s="5">
        <v>268340.64399999997</v>
      </c>
      <c r="N530" s="6">
        <v>5.7799999999999997E-2</v>
      </c>
      <c r="O530" s="5">
        <v>236.24100000000001</v>
      </c>
      <c r="P530" s="6">
        <v>9.06E-2</v>
      </c>
      <c r="Q530" s="5">
        <v>4526704.4859999996</v>
      </c>
      <c r="R530" s="1" t="s">
        <v>44</v>
      </c>
      <c r="S530" s="1" t="s">
        <v>173</v>
      </c>
      <c r="T530" s="1" t="s">
        <v>43</v>
      </c>
      <c r="V530" s="1" t="s">
        <v>220</v>
      </c>
      <c r="Y530" s="1" t="s">
        <v>682</v>
      </c>
      <c r="Z530" s="1" t="str">
        <f t="shared" si="24"/>
        <v>1571 3</v>
      </c>
      <c r="AA530" s="3">
        <f>IF(INDEX('CAMD Facility Data 2023'!$AA$2:$AE$10000,MATCH(Z530,'CAMD Facility Data 2023'!$AE$2:$AE$10000,0),1)&gt;0,INDEX('CAMD Facility Data 2023'!$AA$2:$AE$10000,MATCH(Z530,'CAMD Facility Data 2023'!$AE$2:$AE$10000,0),1),"")</f>
        <v>27546</v>
      </c>
      <c r="AB530" s="5">
        <f>IF(INDEX('CAMD Facility Data 2023'!$AC$2:$AE$10000,MATCH(Z530,'CAMD Facility Data 2023'!$AE$2:$AE$10000,0),1)&gt;0,INDEX('CAMD Facility Data 2023'!$AC$2:$AE$10000,MATCH(Z530,'CAMD Facility Data 2023'!$AE$2:$AE$10000,0),1),"")</f>
        <v>7366</v>
      </c>
      <c r="AC530" s="1" t="str">
        <f>IF(INDEX('CAMD Facility Data 2023'!$AE$2:$AG$10000,MATCH(Z530,'CAMD Facility Data 2023'!$AE$2:$AE$10000,0),3)&gt;0,INDEX('CAMD Facility Data 2023'!$AE$2:$AG$10000,MATCH(Z530,'CAMD Facility Data 2023'!$AE$2:$AE$10000,0),3),"")</f>
        <v/>
      </c>
      <c r="AD530" s="20">
        <f t="shared" si="25"/>
        <v>1.1121296017174478</v>
      </c>
      <c r="AE530" s="25">
        <f t="shared" si="26"/>
        <v>7.0153012142672055E-2</v>
      </c>
    </row>
    <row r="531" spans="1:31" x14ac:dyDescent="0.2">
      <c r="A531" s="1" t="s">
        <v>680</v>
      </c>
      <c r="B531" s="1" t="s">
        <v>1537</v>
      </c>
      <c r="C531" s="1">
        <v>1571</v>
      </c>
      <c r="D531" s="1">
        <v>4</v>
      </c>
      <c r="F531" s="1">
        <v>2023</v>
      </c>
      <c r="G531" s="5">
        <v>871</v>
      </c>
      <c r="H531" s="5">
        <v>852.22</v>
      </c>
      <c r="I531" s="5">
        <v>330996.83</v>
      </c>
      <c r="K531" s="5">
        <v>8.57</v>
      </c>
      <c r="L531" s="5">
        <v>5.5500000000000001E-2</v>
      </c>
      <c r="M531" s="5">
        <v>227205.33900000001</v>
      </c>
      <c r="N531" s="6">
        <v>5.8599999999999999E-2</v>
      </c>
      <c r="O531" s="5">
        <v>211.43</v>
      </c>
      <c r="P531" s="6">
        <v>9.2499999999999999E-2</v>
      </c>
      <c r="Q531" s="5">
        <v>3832768.7659999998</v>
      </c>
      <c r="R531" s="1" t="s">
        <v>44</v>
      </c>
      <c r="S531" s="1" t="s">
        <v>173</v>
      </c>
      <c r="T531" s="1" t="s">
        <v>43</v>
      </c>
      <c r="V531" s="1" t="s">
        <v>220</v>
      </c>
      <c r="Y531" s="1" t="s">
        <v>682</v>
      </c>
      <c r="Z531" s="1" t="str">
        <f t="shared" si="24"/>
        <v>1571 4</v>
      </c>
      <c r="AA531" s="3">
        <f>IF(INDEX('CAMD Facility Data 2023'!$AA$2:$AE$10000,MATCH(Z531,'CAMD Facility Data 2023'!$AE$2:$AE$10000,0),1)&gt;0,INDEX('CAMD Facility Data 2023'!$AA$2:$AE$10000,MATCH(Z531,'CAMD Facility Data 2023'!$AE$2:$AE$10000,0),1),"")</f>
        <v>29921</v>
      </c>
      <c r="AB531" s="5">
        <f>IF(INDEX('CAMD Facility Data 2023'!$AC$2:$AE$10000,MATCH(Z531,'CAMD Facility Data 2023'!$AE$2:$AE$10000,0),1)&gt;0,INDEX('CAMD Facility Data 2023'!$AC$2:$AE$10000,MATCH(Z531,'CAMD Facility Data 2023'!$AE$2:$AE$10000,0),1),"")</f>
        <v>9817</v>
      </c>
      <c r="AC531" s="1" t="str">
        <f>IF(INDEX('CAMD Facility Data 2023'!$AE$2:$AG$10000,MATCH(Z531,'CAMD Facility Data 2023'!$AE$2:$AE$10000,0),3)&gt;0,INDEX('CAMD Facility Data 2023'!$AE$2:$AG$10000,MATCH(Z531,'CAMD Facility Data 2023'!$AE$2:$AE$10000,0),3),"")</f>
        <v/>
      </c>
      <c r="AD531" s="20">
        <f t="shared" si="25"/>
        <v>1.2775348936121231</v>
      </c>
      <c r="AE531" s="25">
        <f t="shared" si="26"/>
        <v>4.4568674854866895E-2</v>
      </c>
    </row>
    <row r="532" spans="1:31" x14ac:dyDescent="0.2">
      <c r="A532" s="1" t="s">
        <v>680</v>
      </c>
      <c r="B532" s="1" t="s">
        <v>1537</v>
      </c>
      <c r="C532" s="1">
        <v>1571</v>
      </c>
      <c r="D532" s="1" t="s">
        <v>1102</v>
      </c>
      <c r="F532" s="1">
        <v>2023</v>
      </c>
      <c r="G532" s="5">
        <v>14</v>
      </c>
      <c r="H532" s="5">
        <v>9.48</v>
      </c>
      <c r="I532" s="5">
        <v>176.77</v>
      </c>
      <c r="K532" s="5">
        <v>0.48599999999999999</v>
      </c>
      <c r="L532" s="5">
        <v>0.30990000000000001</v>
      </c>
      <c r="M532" s="5">
        <v>259.8</v>
      </c>
      <c r="N532" s="6">
        <v>7.5399999999999995E-2</v>
      </c>
      <c r="O532" s="5">
        <v>1.923</v>
      </c>
      <c r="P532" s="6">
        <v>1.1999</v>
      </c>
      <c r="Q532" s="5">
        <v>3204.9</v>
      </c>
      <c r="R532" s="1" t="s">
        <v>94</v>
      </c>
      <c r="T532" s="1" t="s">
        <v>93</v>
      </c>
      <c r="Y532" s="1" t="s">
        <v>1528</v>
      </c>
      <c r="Z532" s="1" t="str">
        <f t="shared" si="24"/>
        <v>1571 GT2</v>
      </c>
      <c r="AA532" s="3">
        <f>IF(INDEX('CAMD Facility Data 2023'!$AA$2:$AE$10000,MATCH(Z532,'CAMD Facility Data 2023'!$AE$2:$AE$10000,0),1)&gt;0,INDEX('CAMD Facility Data 2023'!$AA$2:$AE$10000,MATCH(Z532,'CAMD Facility Data 2023'!$AE$2:$AE$10000,0),1),"")</f>
        <v>27181</v>
      </c>
      <c r="AB532" s="5">
        <f>IF(INDEX('CAMD Facility Data 2023'!$AC$2:$AE$10000,MATCH(Z532,'CAMD Facility Data 2023'!$AE$2:$AE$10000,0),1)&gt;0,INDEX('CAMD Facility Data 2023'!$AC$2:$AE$10000,MATCH(Z532,'CAMD Facility Data 2023'!$AE$2:$AE$10000,0),1),"")</f>
        <v>420</v>
      </c>
      <c r="AC532" s="1" t="str">
        <f>IF(INDEX('CAMD Facility Data 2023'!$AE$2:$AG$10000,MATCH(Z532,'CAMD Facility Data 2023'!$AE$2:$AE$10000,0),3)&gt;0,INDEX('CAMD Facility Data 2023'!$AE$2:$AG$10000,MATCH(Z532,'CAMD Facility Data 2023'!$AE$2:$AE$10000,0),3),"")</f>
        <v/>
      </c>
      <c r="AD532" s="20">
        <f t="shared" si="25"/>
        <v>21.75708547830514</v>
      </c>
      <c r="AE532" s="25">
        <f t="shared" si="26"/>
        <v>8.7108610567514678E-4</v>
      </c>
    </row>
    <row r="533" spans="1:31" x14ac:dyDescent="0.2">
      <c r="A533" s="1" t="s">
        <v>680</v>
      </c>
      <c r="B533" s="1" t="s">
        <v>1537</v>
      </c>
      <c r="C533" s="1">
        <v>1571</v>
      </c>
      <c r="D533" s="1" t="s">
        <v>1543</v>
      </c>
      <c r="F533" s="1">
        <v>2023</v>
      </c>
      <c r="G533" s="5">
        <v>63</v>
      </c>
      <c r="H533" s="5">
        <v>47.02</v>
      </c>
      <c r="I533" s="5">
        <v>3375.41</v>
      </c>
      <c r="K533" s="5">
        <v>0.99099999999999999</v>
      </c>
      <c r="L533" s="5">
        <v>4.6899999999999997E-2</v>
      </c>
      <c r="M533" s="5">
        <v>2997.6</v>
      </c>
      <c r="N533" s="6">
        <v>6.2899999999999998E-2</v>
      </c>
      <c r="O533" s="5">
        <v>2.0510000000000002</v>
      </c>
      <c r="P533" s="6">
        <v>8.6499999999999994E-2</v>
      </c>
      <c r="Q533" s="5">
        <v>47198.8</v>
      </c>
      <c r="R533" s="1" t="s">
        <v>44</v>
      </c>
      <c r="S533" s="1" t="s">
        <v>94</v>
      </c>
      <c r="T533" s="1" t="s">
        <v>93</v>
      </c>
      <c r="V533" s="1" t="s">
        <v>95</v>
      </c>
      <c r="Y533" s="1" t="s">
        <v>1515</v>
      </c>
      <c r="Z533" s="1" t="str">
        <f t="shared" si="24"/>
        <v>1571 **GT3</v>
      </c>
      <c r="AA533" s="3">
        <f>IF(INDEX('CAMD Facility Data 2023'!$AA$2:$AE$10000,MATCH(Z533,'CAMD Facility Data 2023'!$AE$2:$AE$10000,0),1)&gt;0,INDEX('CAMD Facility Data 2023'!$AA$2:$AE$10000,MATCH(Z533,'CAMD Facility Data 2023'!$AE$2:$AE$10000,0),1),"")</f>
        <v>33390</v>
      </c>
      <c r="AB533" s="5">
        <f>IF(INDEX('CAMD Facility Data 2023'!$AC$2:$AE$10000,MATCH(Z533,'CAMD Facility Data 2023'!$AE$2:$AE$10000,0),1)&gt;0,INDEX('CAMD Facility Data 2023'!$AC$2:$AE$10000,MATCH(Z533,'CAMD Facility Data 2023'!$AE$2:$AE$10000,0),1),"")</f>
        <v>1187</v>
      </c>
      <c r="AC533" s="1" t="str">
        <f>IF(INDEX('CAMD Facility Data 2023'!$AE$2:$AG$10000,MATCH(Z533,'CAMD Facility Data 2023'!$AE$2:$AE$10000,0),3)&gt;0,INDEX('CAMD Facility Data 2023'!$AE$2:$AG$10000,MATCH(Z533,'CAMD Facility Data 2023'!$AE$2:$AE$10000,0),3),"")</f>
        <v/>
      </c>
      <c r="AD533" s="20">
        <f t="shared" si="25"/>
        <v>1.2152597758494523</v>
      </c>
      <c r="AE533" s="25">
        <f t="shared" si="26"/>
        <v>4.5391666955180363E-3</v>
      </c>
    </row>
    <row r="534" spans="1:31" x14ac:dyDescent="0.2">
      <c r="A534" s="1" t="s">
        <v>680</v>
      </c>
      <c r="B534" s="1" t="s">
        <v>1537</v>
      </c>
      <c r="C534" s="1">
        <v>1571</v>
      </c>
      <c r="D534" s="1" t="s">
        <v>1545</v>
      </c>
      <c r="F534" s="1">
        <v>2023</v>
      </c>
      <c r="G534" s="5">
        <v>134</v>
      </c>
      <c r="H534" s="5">
        <v>99.3</v>
      </c>
      <c r="I534" s="5">
        <v>7115.66</v>
      </c>
      <c r="K534" s="5">
        <v>0.45700000000000002</v>
      </c>
      <c r="L534" s="5">
        <v>1.34E-2</v>
      </c>
      <c r="M534" s="5">
        <v>5746.2</v>
      </c>
      <c r="N534" s="6">
        <v>5.8999999999999997E-2</v>
      </c>
      <c r="O534" s="5">
        <v>3.7890000000000001</v>
      </c>
      <c r="P534" s="6">
        <v>8.0100000000000005E-2</v>
      </c>
      <c r="Q534" s="5">
        <v>95810</v>
      </c>
      <c r="R534" s="1" t="s">
        <v>44</v>
      </c>
      <c r="S534" s="1" t="s">
        <v>94</v>
      </c>
      <c r="T534" s="1" t="s">
        <v>93</v>
      </c>
      <c r="V534" s="1" t="s">
        <v>95</v>
      </c>
      <c r="Y534" s="1" t="s">
        <v>1515</v>
      </c>
      <c r="Z534" s="1" t="str">
        <f t="shared" si="24"/>
        <v>1571 **GT4</v>
      </c>
      <c r="AA534" s="3">
        <f>IF(INDEX('CAMD Facility Data 2023'!$AA$2:$AE$10000,MATCH(Z534,'CAMD Facility Data 2023'!$AE$2:$AE$10000,0),1)&gt;0,INDEX('CAMD Facility Data 2023'!$AA$2:$AE$10000,MATCH(Z534,'CAMD Facility Data 2023'!$AE$2:$AE$10000,0),1),"")</f>
        <v>33390</v>
      </c>
      <c r="AB534" s="5">
        <f>IF(INDEX('CAMD Facility Data 2023'!$AC$2:$AE$10000,MATCH(Z534,'CAMD Facility Data 2023'!$AE$2:$AE$10000,0),1)&gt;0,INDEX('CAMD Facility Data 2023'!$AC$2:$AE$10000,MATCH(Z534,'CAMD Facility Data 2023'!$AE$2:$AE$10000,0),1),"")</f>
        <v>1187</v>
      </c>
      <c r="AC534" s="1" t="str">
        <f>IF(INDEX('CAMD Facility Data 2023'!$AE$2:$AG$10000,MATCH(Z534,'CAMD Facility Data 2023'!$AE$2:$AE$10000,0),3)&gt;0,INDEX('CAMD Facility Data 2023'!$AE$2:$AG$10000,MATCH(Z534,'CAMD Facility Data 2023'!$AE$2:$AE$10000,0),3),"")</f>
        <v/>
      </c>
      <c r="AD534" s="20">
        <f t="shared" si="25"/>
        <v>1.0649749988054518</v>
      </c>
      <c r="AE534" s="25">
        <f t="shared" si="26"/>
        <v>9.2141656376344954E-3</v>
      </c>
    </row>
    <row r="535" spans="1:31" x14ac:dyDescent="0.2">
      <c r="A535" s="1" t="s">
        <v>680</v>
      </c>
      <c r="B535" s="1" t="s">
        <v>1537</v>
      </c>
      <c r="C535" s="1">
        <v>1571</v>
      </c>
      <c r="D535" s="1" t="s">
        <v>1547</v>
      </c>
      <c r="F535" s="1">
        <v>2023</v>
      </c>
      <c r="G535" s="5">
        <v>65</v>
      </c>
      <c r="H535" s="5">
        <v>48.64</v>
      </c>
      <c r="I535" s="5">
        <v>4511.6400000000003</v>
      </c>
      <c r="K535" s="5">
        <v>1.2370000000000001</v>
      </c>
      <c r="L535" s="5">
        <v>4.0399999999999998E-2</v>
      </c>
      <c r="M535" s="5">
        <v>3732.2</v>
      </c>
      <c r="N535" s="6">
        <v>6.2300000000000001E-2</v>
      </c>
      <c r="O535" s="5">
        <v>3.0049999999999999</v>
      </c>
      <c r="P535" s="6">
        <v>0.1002</v>
      </c>
      <c r="Q535" s="5">
        <v>58757.2</v>
      </c>
      <c r="R535" s="1" t="s">
        <v>44</v>
      </c>
      <c r="S535" s="1" t="s">
        <v>94</v>
      </c>
      <c r="T535" s="1" t="s">
        <v>93</v>
      </c>
      <c r="V535" s="1" t="s">
        <v>95</v>
      </c>
      <c r="Y535" s="1" t="s">
        <v>1515</v>
      </c>
      <c r="Z535" s="1" t="str">
        <f t="shared" si="24"/>
        <v>1571 **GT5</v>
      </c>
      <c r="AA535" s="3">
        <f>IF(INDEX('CAMD Facility Data 2023'!$AA$2:$AE$10000,MATCH(Z535,'CAMD Facility Data 2023'!$AE$2:$AE$10000,0),1)&gt;0,INDEX('CAMD Facility Data 2023'!$AA$2:$AE$10000,MATCH(Z535,'CAMD Facility Data 2023'!$AE$2:$AE$10000,0),1),"")</f>
        <v>33390</v>
      </c>
      <c r="AB535" s="5">
        <f>IF(INDEX('CAMD Facility Data 2023'!$AC$2:$AE$10000,MATCH(Z535,'CAMD Facility Data 2023'!$AE$2:$AE$10000,0),1)&gt;0,INDEX('CAMD Facility Data 2023'!$AC$2:$AE$10000,MATCH(Z535,'CAMD Facility Data 2023'!$AE$2:$AE$10000,0),1),"")</f>
        <v>1354</v>
      </c>
      <c r="AC535" s="1" t="str">
        <f>IF(INDEX('CAMD Facility Data 2023'!$AE$2:$AG$10000,MATCH(Z535,'CAMD Facility Data 2023'!$AE$2:$AE$10000,0),3)&gt;0,INDEX('CAMD Facility Data 2023'!$AE$2:$AG$10000,MATCH(Z535,'CAMD Facility Data 2023'!$AE$2:$AE$10000,0),3),"")</f>
        <v/>
      </c>
      <c r="AD535" s="20">
        <f t="shared" si="25"/>
        <v>1.3321098314581836</v>
      </c>
      <c r="AE535" s="25">
        <f t="shared" si="26"/>
        <v>4.953798317854083E-3</v>
      </c>
    </row>
    <row r="536" spans="1:31" x14ac:dyDescent="0.2">
      <c r="A536" s="1" t="s">
        <v>680</v>
      </c>
      <c r="B536" s="1" t="s">
        <v>1537</v>
      </c>
      <c r="C536" s="1">
        <v>1571</v>
      </c>
      <c r="D536" s="1" t="s">
        <v>1549</v>
      </c>
      <c r="F536" s="1">
        <v>2023</v>
      </c>
      <c r="G536" s="5">
        <v>103</v>
      </c>
      <c r="H536" s="5">
        <v>79.14</v>
      </c>
      <c r="I536" s="5">
        <v>7756.47</v>
      </c>
      <c r="K536" s="5">
        <v>3.1E-2</v>
      </c>
      <c r="L536" s="5">
        <v>8.9999999999999998E-4</v>
      </c>
      <c r="M536" s="5">
        <v>6088.7</v>
      </c>
      <c r="N536" s="6">
        <v>5.91E-2</v>
      </c>
      <c r="O536" s="5">
        <v>4.4379999999999997</v>
      </c>
      <c r="P536" s="6">
        <v>8.6800000000000002E-2</v>
      </c>
      <c r="Q536" s="5">
        <v>103192.1</v>
      </c>
      <c r="R536" s="1" t="s">
        <v>44</v>
      </c>
      <c r="S536" s="1" t="s">
        <v>94</v>
      </c>
      <c r="T536" s="1" t="s">
        <v>93</v>
      </c>
      <c r="V536" s="1" t="s">
        <v>95</v>
      </c>
      <c r="Y536" s="1" t="s">
        <v>1515</v>
      </c>
      <c r="Z536" s="1" t="str">
        <f t="shared" si="24"/>
        <v>1571 **GT6</v>
      </c>
      <c r="AA536" s="3">
        <f>IF(INDEX('CAMD Facility Data 2023'!$AA$2:$AE$10000,MATCH(Z536,'CAMD Facility Data 2023'!$AE$2:$AE$10000,0),1)&gt;0,INDEX('CAMD Facility Data 2023'!$AA$2:$AE$10000,MATCH(Z536,'CAMD Facility Data 2023'!$AE$2:$AE$10000,0),1),"")</f>
        <v>33390</v>
      </c>
      <c r="AB536" s="5">
        <f>IF(INDEX('CAMD Facility Data 2023'!$AC$2:$AE$10000,MATCH(Z536,'CAMD Facility Data 2023'!$AE$2:$AE$10000,0),1)&gt;0,INDEX('CAMD Facility Data 2023'!$AC$2:$AE$10000,MATCH(Z536,'CAMD Facility Data 2023'!$AE$2:$AE$10000,0),1),"")</f>
        <v>1354</v>
      </c>
      <c r="AC536" s="1" t="str">
        <f>IF(INDEX('CAMD Facility Data 2023'!$AE$2:$AG$10000,MATCH(Z536,'CAMD Facility Data 2023'!$AE$2:$AE$10000,0),3)&gt;0,INDEX('CAMD Facility Data 2023'!$AE$2:$AG$10000,MATCH(Z536,'CAMD Facility Data 2023'!$AE$2:$AE$10000,0),3),"")</f>
        <v/>
      </c>
      <c r="AD536" s="20">
        <f t="shared" si="25"/>
        <v>1.1443349874362951</v>
      </c>
      <c r="AE536" s="25">
        <f t="shared" si="26"/>
        <v>8.7000886937401781E-3</v>
      </c>
    </row>
    <row r="537" spans="1:31" x14ac:dyDescent="0.2">
      <c r="A537" s="1" t="s">
        <v>680</v>
      </c>
      <c r="B537" s="1" t="s">
        <v>1537</v>
      </c>
      <c r="C537" s="1">
        <v>1571</v>
      </c>
      <c r="D537" s="1" t="s">
        <v>1553</v>
      </c>
      <c r="F537" s="1">
        <v>2023</v>
      </c>
      <c r="G537" s="5">
        <v>28</v>
      </c>
      <c r="H537" s="5">
        <v>16.29</v>
      </c>
      <c r="I537" s="5">
        <v>569.58000000000004</v>
      </c>
      <c r="K537" s="5">
        <v>1.3919999999999999</v>
      </c>
      <c r="L537" s="5">
        <v>0.27810000000000001</v>
      </c>
      <c r="M537" s="5">
        <v>837.2</v>
      </c>
      <c r="N537" s="6">
        <v>7.8799999999999995E-2</v>
      </c>
      <c r="O537" s="5">
        <v>0.76100000000000001</v>
      </c>
      <c r="P537" s="6">
        <v>0.14580000000000001</v>
      </c>
      <c r="Q537" s="5">
        <v>10763.9</v>
      </c>
      <c r="R537" s="1" t="s">
        <v>44</v>
      </c>
      <c r="S537" s="1" t="s">
        <v>94</v>
      </c>
      <c r="T537" s="1" t="s">
        <v>93</v>
      </c>
      <c r="V537" s="1" t="s">
        <v>95</v>
      </c>
      <c r="Y537" s="1" t="s">
        <v>1528</v>
      </c>
      <c r="Z537" s="1" t="str">
        <f t="shared" si="24"/>
        <v>1571 SMECO</v>
      </c>
      <c r="AA537" s="3">
        <f>IF(INDEX('CAMD Facility Data 2023'!$AA$2:$AE$10000,MATCH(Z537,'CAMD Facility Data 2023'!$AE$2:$AE$10000,0),1)&gt;0,INDEX('CAMD Facility Data 2023'!$AA$2:$AE$10000,MATCH(Z537,'CAMD Facility Data 2023'!$AE$2:$AE$10000,0),1),"")</f>
        <v>33025</v>
      </c>
      <c r="AB537" s="5">
        <f>IF(INDEX('CAMD Facility Data 2023'!$AC$2:$AE$10000,MATCH(Z537,'CAMD Facility Data 2023'!$AE$2:$AE$10000,0),1)&gt;0,INDEX('CAMD Facility Data 2023'!$AC$2:$AE$10000,MATCH(Z537,'CAMD Facility Data 2023'!$AE$2:$AE$10000,0),1),"")</f>
        <v>940</v>
      </c>
      <c r="AC537" s="1" t="str">
        <f>IF(INDEX('CAMD Facility Data 2023'!$AE$2:$AG$10000,MATCH(Z537,'CAMD Facility Data 2023'!$AE$2:$AE$10000,0),3)&gt;0,INDEX('CAMD Facility Data 2023'!$AE$2:$AG$10000,MATCH(Z537,'CAMD Facility Data 2023'!$AE$2:$AE$10000,0),3),"")</f>
        <v/>
      </c>
      <c r="AD537" s="20">
        <f t="shared" si="25"/>
        <v>2.672144387092243</v>
      </c>
      <c r="AE537" s="25">
        <f t="shared" si="26"/>
        <v>1.3071869231516564E-3</v>
      </c>
    </row>
    <row r="538" spans="1:31" x14ac:dyDescent="0.2">
      <c r="A538" s="1" t="s">
        <v>680</v>
      </c>
      <c r="B538" s="1" t="s">
        <v>1556</v>
      </c>
      <c r="C538" s="1">
        <v>1572</v>
      </c>
      <c r="D538" s="1" t="s">
        <v>1102</v>
      </c>
      <c r="F538" s="1">
        <v>2023</v>
      </c>
      <c r="G538" s="5">
        <v>1438</v>
      </c>
      <c r="H538" s="5">
        <v>1248.6099999999999</v>
      </c>
      <c r="I538" s="5">
        <v>139751.93</v>
      </c>
      <c r="K538" s="5">
        <v>0.57899999999999996</v>
      </c>
      <c r="L538" s="5">
        <v>1.1999999999999999E-3</v>
      </c>
      <c r="M538" s="5">
        <v>103632.088</v>
      </c>
      <c r="N538" s="6">
        <v>5.91E-2</v>
      </c>
      <c r="O538" s="5">
        <v>94.114999999999995</v>
      </c>
      <c r="P538" s="6">
        <v>0.109</v>
      </c>
      <c r="Q538" s="5">
        <v>1742921.328</v>
      </c>
      <c r="R538" s="1" t="s">
        <v>44</v>
      </c>
      <c r="S538" s="1" t="s">
        <v>94</v>
      </c>
      <c r="T538" s="1" t="s">
        <v>93</v>
      </c>
      <c r="V538" s="1" t="s">
        <v>95</v>
      </c>
      <c r="Y538" s="1" t="s">
        <v>1515</v>
      </c>
      <c r="Z538" s="1" t="str">
        <f t="shared" si="24"/>
        <v>1572 GT2</v>
      </c>
      <c r="AA538" s="3">
        <f>IF(INDEX('CAMD Facility Data 2023'!$AA$2:$AE$10000,MATCH(Z538,'CAMD Facility Data 2023'!$AE$2:$AE$10000,0),1)&gt;0,INDEX('CAMD Facility Data 2023'!$AA$2:$AE$10000,MATCH(Z538,'CAMD Facility Data 2023'!$AE$2:$AE$10000,0),1),"")</f>
        <v>33756</v>
      </c>
      <c r="AB538" s="5">
        <f>IF(INDEX('CAMD Facility Data 2023'!$AC$2:$AE$10000,MATCH(Z538,'CAMD Facility Data 2023'!$AE$2:$AE$10000,0),1)&gt;0,INDEX('CAMD Facility Data 2023'!$AC$2:$AE$10000,MATCH(Z538,'CAMD Facility Data 2023'!$AE$2:$AE$10000,0),1),"")</f>
        <v>1850</v>
      </c>
      <c r="AC538" s="1" t="str">
        <f>IF(INDEX('CAMD Facility Data 2023'!$AE$2:$AG$10000,MATCH(Z538,'CAMD Facility Data 2023'!$AE$2:$AE$10000,0),3)&gt;0,INDEX('CAMD Facility Data 2023'!$AE$2:$AG$10000,MATCH(Z538,'CAMD Facility Data 2023'!$AE$2:$AE$10000,0),3),"")</f>
        <v/>
      </c>
      <c r="AD538" s="20">
        <f t="shared" si="25"/>
        <v>1.3468865868256703</v>
      </c>
      <c r="AE538" s="25">
        <f t="shared" si="26"/>
        <v>0.1075479037393558</v>
      </c>
    </row>
    <row r="539" spans="1:31" x14ac:dyDescent="0.2">
      <c r="A539" s="1" t="s">
        <v>680</v>
      </c>
      <c r="B539" s="1" t="s">
        <v>1556</v>
      </c>
      <c r="C539" s="1">
        <v>1572</v>
      </c>
      <c r="D539" s="1" t="s">
        <v>246</v>
      </c>
      <c r="F539" s="1">
        <v>2023</v>
      </c>
      <c r="G539" s="5">
        <v>1553</v>
      </c>
      <c r="H539" s="5">
        <v>1372.96</v>
      </c>
      <c r="I539" s="5">
        <v>157641.97</v>
      </c>
      <c r="K539" s="5">
        <v>0.64</v>
      </c>
      <c r="L539" s="5">
        <v>1.2999999999999999E-3</v>
      </c>
      <c r="M539" s="5">
        <v>114662.192</v>
      </c>
      <c r="N539" s="6">
        <v>5.9200000000000003E-2</v>
      </c>
      <c r="O539" s="5">
        <v>74.766000000000005</v>
      </c>
      <c r="P539" s="6">
        <v>7.7600000000000002E-2</v>
      </c>
      <c r="Q539" s="5">
        <v>1928500.382</v>
      </c>
      <c r="R539" s="1" t="s">
        <v>44</v>
      </c>
      <c r="S539" s="1" t="s">
        <v>94</v>
      </c>
      <c r="T539" s="1" t="s">
        <v>93</v>
      </c>
      <c r="V539" s="1" t="s">
        <v>95</v>
      </c>
      <c r="Y539" s="1" t="s">
        <v>1515</v>
      </c>
      <c r="Z539" s="1" t="str">
        <f t="shared" si="24"/>
        <v>1572 GT3</v>
      </c>
      <c r="AA539" s="3">
        <f>IF(INDEX('CAMD Facility Data 2023'!$AA$2:$AE$10000,MATCH(Z539,'CAMD Facility Data 2023'!$AE$2:$AE$10000,0),1)&gt;0,INDEX('CAMD Facility Data 2023'!$AA$2:$AE$10000,MATCH(Z539,'CAMD Facility Data 2023'!$AE$2:$AE$10000,0),1),"")</f>
        <v>34121</v>
      </c>
      <c r="AB539" s="5">
        <f>IF(INDEX('CAMD Facility Data 2023'!$AC$2:$AE$10000,MATCH(Z539,'CAMD Facility Data 2023'!$AE$2:$AE$10000,0),1)&gt;0,INDEX('CAMD Facility Data 2023'!$AC$2:$AE$10000,MATCH(Z539,'CAMD Facility Data 2023'!$AE$2:$AE$10000,0),1),"")</f>
        <v>1915</v>
      </c>
      <c r="AC539" s="1" t="str">
        <f>IF(INDEX('CAMD Facility Data 2023'!$AE$2:$AG$10000,MATCH(Z539,'CAMD Facility Data 2023'!$AE$2:$AE$10000,0),3)&gt;0,INDEX('CAMD Facility Data 2023'!$AE$2:$AG$10000,MATCH(Z539,'CAMD Facility Data 2023'!$AE$2:$AE$10000,0),3),"")</f>
        <v/>
      </c>
      <c r="AD539" s="20">
        <f t="shared" si="25"/>
        <v>0.94855449979469297</v>
      </c>
      <c r="AE539" s="25">
        <f t="shared" si="26"/>
        <v>0.11496002372521669</v>
      </c>
    </row>
    <row r="540" spans="1:31" x14ac:dyDescent="0.2">
      <c r="A540" s="1" t="s">
        <v>680</v>
      </c>
      <c r="B540" s="1" t="s">
        <v>1561</v>
      </c>
      <c r="C540" s="1">
        <v>1573</v>
      </c>
      <c r="D540" s="1" t="s">
        <v>246</v>
      </c>
      <c r="F540" s="1">
        <v>2023</v>
      </c>
      <c r="G540" s="5">
        <v>21</v>
      </c>
      <c r="H540" s="5">
        <v>9.57</v>
      </c>
      <c r="I540" s="5">
        <v>242.94</v>
      </c>
      <c r="K540" s="5">
        <v>0.48599999999999999</v>
      </c>
      <c r="L540" s="5">
        <v>0.30349999999999999</v>
      </c>
      <c r="M540" s="5">
        <v>259.39999999999998</v>
      </c>
      <c r="N540" s="6">
        <v>8.0799999999999997E-2</v>
      </c>
      <c r="O540" s="5">
        <v>0.83199999999999996</v>
      </c>
      <c r="P540" s="6">
        <v>0.51870000000000005</v>
      </c>
      <c r="Q540" s="5">
        <v>3204.9</v>
      </c>
      <c r="R540" s="1" t="s">
        <v>94</v>
      </c>
      <c r="T540" s="1" t="s">
        <v>93</v>
      </c>
      <c r="Y540" s="1" t="s">
        <v>1528</v>
      </c>
      <c r="Z540" s="1" t="str">
        <f t="shared" si="24"/>
        <v>1573 GT3</v>
      </c>
      <c r="AA540" s="3">
        <f>IF(INDEX('CAMD Facility Data 2023'!$AA$2:$AE$10000,MATCH(Z540,'CAMD Facility Data 2023'!$AE$2:$AE$10000,0),1)&gt;0,INDEX('CAMD Facility Data 2023'!$AA$2:$AE$10000,MATCH(Z540,'CAMD Facility Data 2023'!$AE$2:$AE$10000,0),1),"")</f>
        <v>26816</v>
      </c>
      <c r="AB540" s="5">
        <f>IF(INDEX('CAMD Facility Data 2023'!$AC$2:$AE$10000,MATCH(Z540,'CAMD Facility Data 2023'!$AE$2:$AE$10000,0),1)&gt;0,INDEX('CAMD Facility Data 2023'!$AC$2:$AE$10000,MATCH(Z540,'CAMD Facility Data 2023'!$AE$2:$AE$10000,0),1),"")</f>
        <v>705</v>
      </c>
      <c r="AC540" s="1" t="str">
        <f>IF(INDEX('CAMD Facility Data 2023'!$AE$2:$AG$10000,MATCH(Z540,'CAMD Facility Data 2023'!$AE$2:$AE$10000,0),3)&gt;0,INDEX('CAMD Facility Data 2023'!$AE$2:$AG$10000,MATCH(Z540,'CAMD Facility Data 2023'!$AE$2:$AE$10000,0),3),"")</f>
        <v/>
      </c>
      <c r="AD540" s="20">
        <f t="shared" si="25"/>
        <v>6.8494278422655803</v>
      </c>
      <c r="AE540" s="25">
        <f t="shared" si="26"/>
        <v>5.1894491401923641E-4</v>
      </c>
    </row>
    <row r="541" spans="1:31" x14ac:dyDescent="0.2">
      <c r="A541" s="1" t="s">
        <v>680</v>
      </c>
      <c r="B541" s="1" t="s">
        <v>1561</v>
      </c>
      <c r="C541" s="1">
        <v>1573</v>
      </c>
      <c r="D541" s="1" t="s">
        <v>251</v>
      </c>
      <c r="F541" s="1">
        <v>2023</v>
      </c>
      <c r="G541" s="5">
        <v>12</v>
      </c>
      <c r="H541" s="5">
        <v>6.75</v>
      </c>
      <c r="I541" s="5">
        <v>214.09</v>
      </c>
      <c r="K541" s="5">
        <v>0.48199999999999998</v>
      </c>
      <c r="L541" s="5">
        <v>0.30299999999999999</v>
      </c>
      <c r="M541" s="5">
        <v>257.7</v>
      </c>
      <c r="N541" s="6">
        <v>8.09E-2</v>
      </c>
      <c r="O541" s="5">
        <v>0.82499999999999996</v>
      </c>
      <c r="P541" s="6">
        <v>0.51919999999999999</v>
      </c>
      <c r="Q541" s="5">
        <v>3180</v>
      </c>
      <c r="R541" s="1" t="s">
        <v>94</v>
      </c>
      <c r="T541" s="1" t="s">
        <v>93</v>
      </c>
      <c r="Y541" s="1" t="s">
        <v>1528</v>
      </c>
      <c r="Z541" s="1" t="str">
        <f t="shared" si="24"/>
        <v>1573 GT4</v>
      </c>
      <c r="AA541" s="3">
        <f>IF(INDEX('CAMD Facility Data 2023'!$AA$2:$AE$10000,MATCH(Z541,'CAMD Facility Data 2023'!$AE$2:$AE$10000,0),1)&gt;0,INDEX('CAMD Facility Data 2023'!$AA$2:$AE$10000,MATCH(Z541,'CAMD Facility Data 2023'!$AE$2:$AE$10000,0),1),"")</f>
        <v>26816</v>
      </c>
      <c r="AB541" s="5">
        <f>IF(INDEX('CAMD Facility Data 2023'!$AC$2:$AE$10000,MATCH(Z541,'CAMD Facility Data 2023'!$AE$2:$AE$10000,0),1)&gt;0,INDEX('CAMD Facility Data 2023'!$AC$2:$AE$10000,MATCH(Z541,'CAMD Facility Data 2023'!$AE$2:$AE$10000,0),1),"")</f>
        <v>690</v>
      </c>
      <c r="AC541" s="1" t="str">
        <f>IF(INDEX('CAMD Facility Data 2023'!$AE$2:$AG$10000,MATCH(Z541,'CAMD Facility Data 2023'!$AE$2:$AE$10000,0),3)&gt;0,INDEX('CAMD Facility Data 2023'!$AE$2:$AG$10000,MATCH(Z541,'CAMD Facility Data 2023'!$AE$2:$AE$10000,0),3),"")</f>
        <v/>
      </c>
      <c r="AD541" s="20">
        <f t="shared" si="25"/>
        <v>7.7070390957074126</v>
      </c>
      <c r="AE541" s="25">
        <f t="shared" si="26"/>
        <v>5.2610680960889417E-4</v>
      </c>
    </row>
    <row r="542" spans="1:31" x14ac:dyDescent="0.2">
      <c r="A542" s="1" t="s">
        <v>680</v>
      </c>
      <c r="B542" s="1" t="s">
        <v>1561</v>
      </c>
      <c r="C542" s="1">
        <v>1573</v>
      </c>
      <c r="D542" s="1" t="s">
        <v>253</v>
      </c>
      <c r="F542" s="1">
        <v>2023</v>
      </c>
      <c r="G542" s="5">
        <v>0</v>
      </c>
      <c r="H542" s="5">
        <v>0</v>
      </c>
      <c r="R542" s="1" t="s">
        <v>94</v>
      </c>
      <c r="T542" s="1" t="s">
        <v>93</v>
      </c>
      <c r="Y542" s="1" t="s">
        <v>1528</v>
      </c>
      <c r="Z542" s="1" t="str">
        <f t="shared" si="24"/>
        <v>1573 GT5</v>
      </c>
      <c r="AA542" s="3">
        <f>IF(INDEX('CAMD Facility Data 2023'!$AA$2:$AE$10000,MATCH(Z542,'CAMD Facility Data 2023'!$AE$2:$AE$10000,0),1)&gt;0,INDEX('CAMD Facility Data 2023'!$AA$2:$AE$10000,MATCH(Z542,'CAMD Facility Data 2023'!$AE$2:$AE$10000,0),1),"")</f>
        <v>26816</v>
      </c>
      <c r="AB542" s="5">
        <f>IF(INDEX('CAMD Facility Data 2023'!$AC$2:$AE$10000,MATCH(Z542,'CAMD Facility Data 2023'!$AE$2:$AE$10000,0),1)&gt;0,INDEX('CAMD Facility Data 2023'!$AC$2:$AE$10000,MATCH(Z542,'CAMD Facility Data 2023'!$AE$2:$AE$10000,0),1),"")</f>
        <v>670</v>
      </c>
      <c r="AC542" s="1" t="str">
        <f>IF(INDEX('CAMD Facility Data 2023'!$AE$2:$AG$10000,MATCH(Z542,'CAMD Facility Data 2023'!$AE$2:$AE$10000,0),3)&gt;0,INDEX('CAMD Facility Data 2023'!$AE$2:$AG$10000,MATCH(Z542,'CAMD Facility Data 2023'!$AE$2:$AE$10000,0),3),"")</f>
        <v/>
      </c>
      <c r="AD542" s="20" t="str">
        <f t="shared" si="25"/>
        <v/>
      </c>
      <c r="AE542" s="25">
        <f t="shared" si="26"/>
        <v>0</v>
      </c>
    </row>
    <row r="543" spans="1:31" x14ac:dyDescent="0.2">
      <c r="A543" s="1" t="s">
        <v>680</v>
      </c>
      <c r="B543" s="1" t="s">
        <v>1561</v>
      </c>
      <c r="C543" s="1">
        <v>1573</v>
      </c>
      <c r="D543" s="1" t="s">
        <v>255</v>
      </c>
      <c r="F543" s="1">
        <v>2023</v>
      </c>
      <c r="G543" s="5">
        <v>0</v>
      </c>
      <c r="H543" s="5">
        <v>0</v>
      </c>
      <c r="R543" s="1" t="s">
        <v>94</v>
      </c>
      <c r="T543" s="1" t="s">
        <v>93</v>
      </c>
      <c r="Y543" s="1" t="s">
        <v>1528</v>
      </c>
      <c r="Z543" s="1" t="str">
        <f t="shared" si="24"/>
        <v>1573 GT6</v>
      </c>
      <c r="AA543" s="3">
        <f>IF(INDEX('CAMD Facility Data 2023'!$AA$2:$AE$10000,MATCH(Z543,'CAMD Facility Data 2023'!$AE$2:$AE$10000,0),1)&gt;0,INDEX('CAMD Facility Data 2023'!$AA$2:$AE$10000,MATCH(Z543,'CAMD Facility Data 2023'!$AE$2:$AE$10000,0),1),"")</f>
        <v>26816</v>
      </c>
      <c r="AB543" s="5">
        <f>IF(INDEX('CAMD Facility Data 2023'!$AC$2:$AE$10000,MATCH(Z543,'CAMD Facility Data 2023'!$AE$2:$AE$10000,0),1)&gt;0,INDEX('CAMD Facility Data 2023'!$AC$2:$AE$10000,MATCH(Z543,'CAMD Facility Data 2023'!$AE$2:$AE$10000,0),1),"")</f>
        <v>654</v>
      </c>
      <c r="AC543" s="1" t="str">
        <f>IF(INDEX('CAMD Facility Data 2023'!$AE$2:$AG$10000,MATCH(Z543,'CAMD Facility Data 2023'!$AE$2:$AE$10000,0),3)&gt;0,INDEX('CAMD Facility Data 2023'!$AE$2:$AG$10000,MATCH(Z543,'CAMD Facility Data 2023'!$AE$2:$AE$10000,0),3),"")</f>
        <v/>
      </c>
      <c r="AD543" s="20" t="str">
        <f t="shared" si="25"/>
        <v/>
      </c>
      <c r="AE543" s="25">
        <f t="shared" si="26"/>
        <v>0</v>
      </c>
    </row>
    <row r="544" spans="1:31" x14ac:dyDescent="0.2">
      <c r="A544" s="1" t="s">
        <v>1568</v>
      </c>
      <c r="B544" s="1" t="s">
        <v>1569</v>
      </c>
      <c r="C544" s="1">
        <v>1588</v>
      </c>
      <c r="D544" s="1">
        <v>81</v>
      </c>
      <c r="F544" s="1">
        <v>2023</v>
      </c>
      <c r="G544" s="5">
        <v>1189</v>
      </c>
      <c r="H544" s="5">
        <v>1172.3599999999999</v>
      </c>
      <c r="I544" s="5">
        <v>332521.23</v>
      </c>
      <c r="K544" s="5">
        <v>0.71799999999999997</v>
      </c>
      <c r="L544" s="5">
        <v>1E-3</v>
      </c>
      <c r="M544" s="5">
        <v>142316.94399999999</v>
      </c>
      <c r="N544" s="6">
        <v>5.91E-2</v>
      </c>
      <c r="O544" s="5">
        <v>9.2270000000000003</v>
      </c>
      <c r="P544" s="6">
        <v>1.15E-2</v>
      </c>
      <c r="Q544" s="5">
        <v>2394750.2949999999</v>
      </c>
      <c r="R544" s="1" t="s">
        <v>44</v>
      </c>
      <c r="T544" s="1" t="s">
        <v>71</v>
      </c>
      <c r="V544" s="1" t="s">
        <v>223</v>
      </c>
      <c r="Y544" s="1" t="s">
        <v>579</v>
      </c>
      <c r="Z544" s="1" t="str">
        <f t="shared" si="24"/>
        <v>1588 81</v>
      </c>
      <c r="AA544" s="3">
        <f>IF(INDEX('CAMD Facility Data 2023'!$AA$2:$AE$10000,MATCH(Z544,'CAMD Facility Data 2023'!$AE$2:$AE$10000,0),1)&gt;0,INDEX('CAMD Facility Data 2023'!$AA$2:$AE$10000,MATCH(Z544,'CAMD Facility Data 2023'!$AE$2:$AE$10000,0),1),"")</f>
        <v>37510</v>
      </c>
      <c r="AB544" s="5">
        <f>IF(INDEX('CAMD Facility Data 2023'!$AC$2:$AE$10000,MATCH(Z544,'CAMD Facility Data 2023'!$AE$2:$AE$10000,0),1)&gt;0,INDEX('CAMD Facility Data 2023'!$AC$2:$AE$10000,MATCH(Z544,'CAMD Facility Data 2023'!$AE$2:$AE$10000,0),1),"")</f>
        <v>3048</v>
      </c>
      <c r="AC544" s="1" t="str">
        <f>IF(INDEX('CAMD Facility Data 2023'!$AE$2:$AG$10000,MATCH(Z544,'CAMD Facility Data 2023'!$AE$2:$AE$10000,0),3)&gt;0,INDEX('CAMD Facility Data 2023'!$AE$2:$AG$10000,MATCH(Z544,'CAMD Facility Data 2023'!$AE$2:$AE$10000,0),3),"")</f>
        <v>Y</v>
      </c>
      <c r="AD544" s="20">
        <f t="shared" si="25"/>
        <v>5.5497208403806279E-2</v>
      </c>
      <c r="AE544" s="25">
        <f t="shared" si="26"/>
        <v>8.968940989075852E-2</v>
      </c>
    </row>
    <row r="545" spans="1:31" x14ac:dyDescent="0.2">
      <c r="A545" s="1" t="s">
        <v>1568</v>
      </c>
      <c r="B545" s="1" t="s">
        <v>1569</v>
      </c>
      <c r="C545" s="1">
        <v>1588</v>
      </c>
      <c r="D545" s="1">
        <v>82</v>
      </c>
      <c r="F545" s="1">
        <v>2023</v>
      </c>
      <c r="G545" s="5">
        <v>1210</v>
      </c>
      <c r="H545" s="5">
        <v>1196.76</v>
      </c>
      <c r="I545" s="5">
        <v>334200.86</v>
      </c>
      <c r="K545" s="5">
        <v>0.72599999999999998</v>
      </c>
      <c r="L545" s="5">
        <v>1E-3</v>
      </c>
      <c r="M545" s="5">
        <v>143828.12400000001</v>
      </c>
      <c r="N545" s="6">
        <v>5.91E-2</v>
      </c>
      <c r="O545" s="5">
        <v>9.5540000000000003</v>
      </c>
      <c r="P545" s="6">
        <v>1.1900000000000001E-2</v>
      </c>
      <c r="Q545" s="5">
        <v>2420175.6880000001</v>
      </c>
      <c r="R545" s="1" t="s">
        <v>44</v>
      </c>
      <c r="T545" s="1" t="s">
        <v>71</v>
      </c>
      <c r="V545" s="1" t="s">
        <v>223</v>
      </c>
      <c r="Y545" s="1" t="s">
        <v>579</v>
      </c>
      <c r="Z545" s="1" t="str">
        <f t="shared" si="24"/>
        <v>1588 82</v>
      </c>
      <c r="AA545" s="3">
        <f>IF(INDEX('CAMD Facility Data 2023'!$AA$2:$AE$10000,MATCH(Z545,'CAMD Facility Data 2023'!$AE$2:$AE$10000,0),1)&gt;0,INDEX('CAMD Facility Data 2023'!$AA$2:$AE$10000,MATCH(Z545,'CAMD Facility Data 2023'!$AE$2:$AE$10000,0),1),"")</f>
        <v>37602</v>
      </c>
      <c r="AB545" s="5">
        <f>IF(INDEX('CAMD Facility Data 2023'!$AC$2:$AE$10000,MATCH(Z545,'CAMD Facility Data 2023'!$AE$2:$AE$10000,0),1)&gt;0,INDEX('CAMD Facility Data 2023'!$AC$2:$AE$10000,MATCH(Z545,'CAMD Facility Data 2023'!$AE$2:$AE$10000,0),1),"")</f>
        <v>3005.1</v>
      </c>
      <c r="AC545" s="1" t="str">
        <f>IF(INDEX('CAMD Facility Data 2023'!$AE$2:$AG$10000,MATCH(Z545,'CAMD Facility Data 2023'!$AE$2:$AE$10000,0),3)&gt;0,INDEX('CAMD Facility Data 2023'!$AE$2:$AG$10000,MATCH(Z545,'CAMD Facility Data 2023'!$AE$2:$AE$10000,0),3),"")</f>
        <v>Y</v>
      </c>
      <c r="AD545" s="20">
        <f t="shared" si="25"/>
        <v>5.7175196975854582E-2</v>
      </c>
      <c r="AE545" s="25">
        <f t="shared" si="26"/>
        <v>9.1935630584779091E-2</v>
      </c>
    </row>
    <row r="546" spans="1:31" x14ac:dyDescent="0.2">
      <c r="A546" s="1" t="s">
        <v>1568</v>
      </c>
      <c r="B546" s="1" t="s">
        <v>1569</v>
      </c>
      <c r="C546" s="1">
        <v>1588</v>
      </c>
      <c r="D546" s="1">
        <v>93</v>
      </c>
      <c r="F546" s="1">
        <v>2023</v>
      </c>
      <c r="G546" s="5">
        <v>1234</v>
      </c>
      <c r="H546" s="5">
        <v>1217.45</v>
      </c>
      <c r="I546" s="5">
        <v>337613.23</v>
      </c>
      <c r="K546" s="5">
        <v>0.73799999999999999</v>
      </c>
      <c r="L546" s="5">
        <v>1E-3</v>
      </c>
      <c r="M546" s="5">
        <v>146251.05600000001</v>
      </c>
      <c r="N546" s="6">
        <v>5.8999999999999997E-2</v>
      </c>
      <c r="O546" s="5">
        <v>9.0009999999999994</v>
      </c>
      <c r="P546" s="6">
        <v>1.01E-2</v>
      </c>
      <c r="Q546" s="5">
        <v>2460961.233</v>
      </c>
      <c r="R546" s="1" t="s">
        <v>44</v>
      </c>
      <c r="T546" s="1" t="s">
        <v>71</v>
      </c>
      <c r="V546" s="1" t="s">
        <v>223</v>
      </c>
      <c r="Y546" s="1" t="s">
        <v>579</v>
      </c>
      <c r="Z546" s="1" t="str">
        <f t="shared" si="24"/>
        <v>1588 93</v>
      </c>
      <c r="AA546" s="3">
        <f>IF(INDEX('CAMD Facility Data 2023'!$AA$2:$AE$10000,MATCH(Z546,'CAMD Facility Data 2023'!$AE$2:$AE$10000,0),1)&gt;0,INDEX('CAMD Facility Data 2023'!$AA$2:$AE$10000,MATCH(Z546,'CAMD Facility Data 2023'!$AE$2:$AE$10000,0),1),"")</f>
        <v>37703</v>
      </c>
      <c r="AB546" s="5">
        <f>IF(INDEX('CAMD Facility Data 2023'!$AC$2:$AE$10000,MATCH(Z546,'CAMD Facility Data 2023'!$AE$2:$AE$10000,0),1)&gt;0,INDEX('CAMD Facility Data 2023'!$AC$2:$AE$10000,MATCH(Z546,'CAMD Facility Data 2023'!$AE$2:$AE$10000,0),1),"")</f>
        <v>3107</v>
      </c>
      <c r="AC546" s="1" t="str">
        <f>IF(INDEX('CAMD Facility Data 2023'!$AE$2:$AG$10000,MATCH(Z546,'CAMD Facility Data 2023'!$AE$2:$AE$10000,0),3)&gt;0,INDEX('CAMD Facility Data 2023'!$AE$2:$AG$10000,MATCH(Z546,'CAMD Facility Data 2023'!$AE$2:$AE$10000,0),3),"")</f>
        <v>Y</v>
      </c>
      <c r="AD546" s="20">
        <f t="shared" si="25"/>
        <v>5.3321370137064832E-2</v>
      </c>
      <c r="AE546" s="25">
        <f t="shared" si="26"/>
        <v>9.0418940329172748E-2</v>
      </c>
    </row>
    <row r="547" spans="1:31" x14ac:dyDescent="0.2">
      <c r="A547" s="1" t="s">
        <v>1568</v>
      </c>
      <c r="B547" s="1" t="s">
        <v>1569</v>
      </c>
      <c r="C547" s="1">
        <v>1588</v>
      </c>
      <c r="D547" s="1">
        <v>94</v>
      </c>
      <c r="F547" s="1">
        <v>2023</v>
      </c>
      <c r="G547" s="5">
        <v>1238</v>
      </c>
      <c r="H547" s="5">
        <v>1223.29</v>
      </c>
      <c r="I547" s="5">
        <v>333373.32</v>
      </c>
      <c r="K547" s="5">
        <v>0.73099999999999998</v>
      </c>
      <c r="L547" s="5">
        <v>1E-3</v>
      </c>
      <c r="M547" s="5">
        <v>144889.10500000001</v>
      </c>
      <c r="N547" s="6">
        <v>5.8999999999999997E-2</v>
      </c>
      <c r="O547" s="5">
        <v>9.1020000000000003</v>
      </c>
      <c r="P547" s="6">
        <v>1.09E-2</v>
      </c>
      <c r="Q547" s="5">
        <v>2438066.5070000002</v>
      </c>
      <c r="R547" s="1" t="s">
        <v>44</v>
      </c>
      <c r="T547" s="1" t="s">
        <v>71</v>
      </c>
      <c r="V547" s="1" t="s">
        <v>223</v>
      </c>
      <c r="Y547" s="1" t="s">
        <v>579</v>
      </c>
      <c r="Z547" s="1" t="str">
        <f t="shared" si="24"/>
        <v>1588 94</v>
      </c>
      <c r="AA547" s="3">
        <f>IF(INDEX('CAMD Facility Data 2023'!$AA$2:$AE$10000,MATCH(Z547,'CAMD Facility Data 2023'!$AE$2:$AE$10000,0),1)&gt;0,INDEX('CAMD Facility Data 2023'!$AA$2:$AE$10000,MATCH(Z547,'CAMD Facility Data 2023'!$AE$2:$AE$10000,0),1),"")</f>
        <v>37732</v>
      </c>
      <c r="AB547" s="5">
        <f>IF(INDEX('CAMD Facility Data 2023'!$AC$2:$AE$10000,MATCH(Z547,'CAMD Facility Data 2023'!$AE$2:$AE$10000,0),1)&gt;0,INDEX('CAMD Facility Data 2023'!$AC$2:$AE$10000,MATCH(Z547,'CAMD Facility Data 2023'!$AE$2:$AE$10000,0),1),"")</f>
        <v>3086</v>
      </c>
      <c r="AC547" s="1" t="str">
        <f>IF(INDEX('CAMD Facility Data 2023'!$AE$2:$AG$10000,MATCH(Z547,'CAMD Facility Data 2023'!$AE$2:$AE$10000,0),3)&gt;0,INDEX('CAMD Facility Data 2023'!$AE$2:$AG$10000,MATCH(Z547,'CAMD Facility Data 2023'!$AE$2:$AE$10000,0),3),"")</f>
        <v>Y</v>
      </c>
      <c r="AD547" s="20">
        <f t="shared" si="25"/>
        <v>5.4605449530274346E-2</v>
      </c>
      <c r="AE547" s="25">
        <f t="shared" si="26"/>
        <v>9.0187328064287989E-2</v>
      </c>
    </row>
    <row r="548" spans="1:31" x14ac:dyDescent="0.2">
      <c r="A548" s="1" t="s">
        <v>1568</v>
      </c>
      <c r="B548" s="1" t="s">
        <v>1576</v>
      </c>
      <c r="C548" s="1">
        <v>1592</v>
      </c>
      <c r="D548" s="1" t="s">
        <v>1577</v>
      </c>
      <c r="F548" s="1">
        <v>2023</v>
      </c>
      <c r="G548" s="5">
        <v>68</v>
      </c>
      <c r="H548" s="5">
        <v>42.84</v>
      </c>
      <c r="I548" s="5">
        <v>574.66999999999996</v>
      </c>
      <c r="M548" s="5">
        <v>1361.7</v>
      </c>
      <c r="N548" s="6">
        <v>8.1000000000000003E-2</v>
      </c>
      <c r="O548" s="5">
        <v>4.5339999999999998</v>
      </c>
      <c r="P548" s="6">
        <v>0.5393</v>
      </c>
      <c r="Q548" s="5">
        <v>16806.099999999999</v>
      </c>
      <c r="R548" s="1" t="s">
        <v>94</v>
      </c>
      <c r="S548" s="1" t="s">
        <v>44</v>
      </c>
      <c r="T548" s="1" t="s">
        <v>93</v>
      </c>
      <c r="Y548" s="1" t="s">
        <v>617</v>
      </c>
      <c r="Z548" s="1" t="str">
        <f t="shared" si="24"/>
        <v>1592 J1T1</v>
      </c>
      <c r="AA548" s="3">
        <f>IF(INDEX('CAMD Facility Data 2023'!$AA$2:$AE$10000,MATCH(Z548,'CAMD Facility Data 2023'!$AE$2:$AE$10000,0),1)&gt;0,INDEX('CAMD Facility Data 2023'!$AA$2:$AE$10000,MATCH(Z548,'CAMD Facility Data 2023'!$AE$2:$AE$10000,0),1),"")</f>
        <v>25569</v>
      </c>
      <c r="AB548" s="5">
        <f>IF(INDEX('CAMD Facility Data 2023'!$AC$2:$AE$10000,MATCH(Z548,'CAMD Facility Data 2023'!$AE$2:$AE$10000,0),1)&gt;0,INDEX('CAMD Facility Data 2023'!$AC$2:$AE$10000,MATCH(Z548,'CAMD Facility Data 2023'!$AE$2:$AE$10000,0),1),"")</f>
        <v>392</v>
      </c>
      <c r="AC548" s="1" t="str">
        <f>IF(INDEX('CAMD Facility Data 2023'!$AE$2:$AG$10000,MATCH(Z548,'CAMD Facility Data 2023'!$AE$2:$AE$10000,0),3)&gt;0,INDEX('CAMD Facility Data 2023'!$AE$2:$AG$10000,MATCH(Z548,'CAMD Facility Data 2023'!$AE$2:$AE$10000,0),3),"")</f>
        <v/>
      </c>
      <c r="AD548" s="20">
        <f t="shared" si="25"/>
        <v>15.779490838220196</v>
      </c>
      <c r="AE548" s="25">
        <f t="shared" si="26"/>
        <v>4.8941443015562388E-3</v>
      </c>
    </row>
    <row r="549" spans="1:31" x14ac:dyDescent="0.2">
      <c r="A549" s="1" t="s">
        <v>1568</v>
      </c>
      <c r="B549" s="1" t="s">
        <v>1576</v>
      </c>
      <c r="C549" s="1">
        <v>1592</v>
      </c>
      <c r="D549" s="1" t="s">
        <v>1582</v>
      </c>
      <c r="F549" s="1">
        <v>2023</v>
      </c>
      <c r="G549" s="5">
        <v>64</v>
      </c>
      <c r="H549" s="5">
        <v>36.72</v>
      </c>
      <c r="I549" s="5">
        <v>447.01</v>
      </c>
      <c r="M549" s="5">
        <v>1167.2</v>
      </c>
      <c r="N549" s="6">
        <v>8.1000000000000003E-2</v>
      </c>
      <c r="O549" s="5">
        <v>3.9260000000000002</v>
      </c>
      <c r="P549" s="6">
        <v>0.54510000000000003</v>
      </c>
      <c r="Q549" s="5">
        <v>14405.4</v>
      </c>
      <c r="R549" s="1" t="s">
        <v>94</v>
      </c>
      <c r="S549" s="1" t="s">
        <v>44</v>
      </c>
      <c r="T549" s="1" t="s">
        <v>93</v>
      </c>
      <c r="Y549" s="1" t="s">
        <v>617</v>
      </c>
      <c r="Z549" s="1" t="str">
        <f t="shared" si="24"/>
        <v>1592 J1T2</v>
      </c>
      <c r="AA549" s="3">
        <f>IF(INDEX('CAMD Facility Data 2023'!$AA$2:$AE$10000,MATCH(Z549,'CAMD Facility Data 2023'!$AE$2:$AE$10000,0),1)&gt;0,INDEX('CAMD Facility Data 2023'!$AA$2:$AE$10000,MATCH(Z549,'CAMD Facility Data 2023'!$AE$2:$AE$10000,0),1),"")</f>
        <v>25569</v>
      </c>
      <c r="AB549" s="5">
        <f>IF(INDEX('CAMD Facility Data 2023'!$AC$2:$AE$10000,MATCH(Z549,'CAMD Facility Data 2023'!$AE$2:$AE$10000,0),1)&gt;0,INDEX('CAMD Facility Data 2023'!$AC$2:$AE$10000,MATCH(Z549,'CAMD Facility Data 2023'!$AE$2:$AE$10000,0),1),"")</f>
        <v>392</v>
      </c>
      <c r="AC549" s="1" t="str">
        <f>IF(INDEX('CAMD Facility Data 2023'!$AE$2:$AG$10000,MATCH(Z549,'CAMD Facility Data 2023'!$AE$2:$AE$10000,0),3)&gt;0,INDEX('CAMD Facility Data 2023'!$AE$2:$AG$10000,MATCH(Z549,'CAMD Facility Data 2023'!$AE$2:$AE$10000,0),3),"")</f>
        <v/>
      </c>
      <c r="AD549" s="20">
        <f t="shared" si="25"/>
        <v>17.565602559226864</v>
      </c>
      <c r="AE549" s="25">
        <f t="shared" si="26"/>
        <v>4.1950307520268381E-3</v>
      </c>
    </row>
    <row r="550" spans="1:31" x14ac:dyDescent="0.2">
      <c r="A550" s="1" t="s">
        <v>1568</v>
      </c>
      <c r="B550" s="1" t="s">
        <v>1576</v>
      </c>
      <c r="C550" s="1">
        <v>1592</v>
      </c>
      <c r="D550" s="1" t="s">
        <v>1583</v>
      </c>
      <c r="F550" s="1">
        <v>2023</v>
      </c>
      <c r="G550" s="5">
        <v>73</v>
      </c>
      <c r="H550" s="5">
        <v>44.36</v>
      </c>
      <c r="I550" s="5">
        <v>567</v>
      </c>
      <c r="M550" s="5">
        <v>1410.1</v>
      </c>
      <c r="N550" s="6">
        <v>8.1000000000000003E-2</v>
      </c>
      <c r="O550" s="5">
        <v>4.1319999999999997</v>
      </c>
      <c r="P550" s="6">
        <v>0.47489999999999999</v>
      </c>
      <c r="Q550" s="5">
        <v>17402.5</v>
      </c>
      <c r="R550" s="1" t="s">
        <v>94</v>
      </c>
      <c r="S550" s="1" t="s">
        <v>44</v>
      </c>
      <c r="T550" s="1" t="s">
        <v>93</v>
      </c>
      <c r="Y550" s="1" t="s">
        <v>617</v>
      </c>
      <c r="Z550" s="1" t="str">
        <f t="shared" si="24"/>
        <v>1592 J2T1</v>
      </c>
      <c r="AA550" s="3">
        <f>IF(INDEX('CAMD Facility Data 2023'!$AA$2:$AE$10000,MATCH(Z550,'CAMD Facility Data 2023'!$AE$2:$AE$10000,0),1)&gt;0,INDEX('CAMD Facility Data 2023'!$AA$2:$AE$10000,MATCH(Z550,'CAMD Facility Data 2023'!$AE$2:$AE$10000,0),1),"")</f>
        <v>25569</v>
      </c>
      <c r="AB550" s="5">
        <f>IF(INDEX('CAMD Facility Data 2023'!$AC$2:$AE$10000,MATCH(Z550,'CAMD Facility Data 2023'!$AE$2:$AE$10000,0),1)&gt;0,INDEX('CAMD Facility Data 2023'!$AC$2:$AE$10000,MATCH(Z550,'CAMD Facility Data 2023'!$AE$2:$AE$10000,0),1),"")</f>
        <v>392</v>
      </c>
      <c r="AC550" s="1" t="str">
        <f>IF(INDEX('CAMD Facility Data 2023'!$AE$2:$AG$10000,MATCH(Z550,'CAMD Facility Data 2023'!$AE$2:$AE$10000,0),3)&gt;0,INDEX('CAMD Facility Data 2023'!$AE$2:$AG$10000,MATCH(Z550,'CAMD Facility Data 2023'!$AE$2:$AE$10000,0),3),"")</f>
        <v/>
      </c>
      <c r="AD550" s="20">
        <f t="shared" si="25"/>
        <v>14.574955908289242</v>
      </c>
      <c r="AE550" s="25">
        <f t="shared" si="26"/>
        <v>5.0678233622216007E-3</v>
      </c>
    </row>
    <row r="551" spans="1:31" x14ac:dyDescent="0.2">
      <c r="A551" s="1" t="s">
        <v>1568</v>
      </c>
      <c r="B551" s="1" t="s">
        <v>1576</v>
      </c>
      <c r="C551" s="1">
        <v>1592</v>
      </c>
      <c r="D551" s="1" t="s">
        <v>1585</v>
      </c>
      <c r="F551" s="1">
        <v>2023</v>
      </c>
      <c r="G551" s="5">
        <v>65</v>
      </c>
      <c r="H551" s="5">
        <v>40.880000000000003</v>
      </c>
      <c r="I551" s="5">
        <v>468.76</v>
      </c>
      <c r="M551" s="5">
        <v>1299.3</v>
      </c>
      <c r="N551" s="6">
        <v>8.1000000000000003E-2</v>
      </c>
      <c r="O551" s="5">
        <v>3.9689999999999999</v>
      </c>
      <c r="P551" s="6">
        <v>0.49509999999999998</v>
      </c>
      <c r="Q551" s="5">
        <v>16037</v>
      </c>
      <c r="R551" s="1" t="s">
        <v>94</v>
      </c>
      <c r="S551" s="1" t="s">
        <v>44</v>
      </c>
      <c r="T551" s="1" t="s">
        <v>93</v>
      </c>
      <c r="Y551" s="1" t="s">
        <v>617</v>
      </c>
      <c r="Z551" s="1" t="str">
        <f t="shared" si="24"/>
        <v>1592 J2T2</v>
      </c>
      <c r="AA551" s="3">
        <f>IF(INDEX('CAMD Facility Data 2023'!$AA$2:$AE$10000,MATCH(Z551,'CAMD Facility Data 2023'!$AE$2:$AE$10000,0),1)&gt;0,INDEX('CAMD Facility Data 2023'!$AA$2:$AE$10000,MATCH(Z551,'CAMD Facility Data 2023'!$AE$2:$AE$10000,0),1),"")</f>
        <v>25569</v>
      </c>
      <c r="AB551" s="5">
        <f>IF(INDEX('CAMD Facility Data 2023'!$AC$2:$AE$10000,MATCH(Z551,'CAMD Facility Data 2023'!$AE$2:$AE$10000,0),1)&gt;0,INDEX('CAMD Facility Data 2023'!$AC$2:$AE$10000,MATCH(Z551,'CAMD Facility Data 2023'!$AE$2:$AE$10000,0),1),"")</f>
        <v>392</v>
      </c>
      <c r="AC551" s="1" t="str">
        <f>IF(INDEX('CAMD Facility Data 2023'!$AE$2:$AG$10000,MATCH(Z551,'CAMD Facility Data 2023'!$AE$2:$AE$10000,0),3)&gt;0,INDEX('CAMD Facility Data 2023'!$AE$2:$AG$10000,MATCH(Z551,'CAMD Facility Data 2023'!$AE$2:$AE$10000,0),3),"")</f>
        <v/>
      </c>
      <c r="AD551" s="20">
        <f t="shared" si="25"/>
        <v>16.934038740506871</v>
      </c>
      <c r="AE551" s="25">
        <f t="shared" si="26"/>
        <v>4.6701728636660139E-3</v>
      </c>
    </row>
    <row r="552" spans="1:31" x14ac:dyDescent="0.2">
      <c r="A552" s="1" t="s">
        <v>1568</v>
      </c>
      <c r="B552" s="1" t="s">
        <v>1576</v>
      </c>
      <c r="C552" s="1">
        <v>1592</v>
      </c>
      <c r="D552" s="1" t="s">
        <v>1586</v>
      </c>
      <c r="F552" s="1">
        <v>2023</v>
      </c>
      <c r="G552" s="5">
        <v>122</v>
      </c>
      <c r="H552" s="5">
        <v>74.989999999999995</v>
      </c>
      <c r="I552" s="5">
        <v>832.91</v>
      </c>
      <c r="M552" s="5">
        <v>2383.6</v>
      </c>
      <c r="N552" s="6">
        <v>8.1100000000000005E-2</v>
      </c>
      <c r="O552" s="5">
        <v>6.9859999999999998</v>
      </c>
      <c r="P552" s="6">
        <v>0.47499999999999998</v>
      </c>
      <c r="Q552" s="5">
        <v>29418.7</v>
      </c>
      <c r="R552" s="1" t="s">
        <v>94</v>
      </c>
      <c r="S552" s="1" t="s">
        <v>44</v>
      </c>
      <c r="T552" s="1" t="s">
        <v>93</v>
      </c>
      <c r="Y552" s="1" t="s">
        <v>617</v>
      </c>
      <c r="Z552" s="1" t="str">
        <f t="shared" si="24"/>
        <v>1592 J3T1</v>
      </c>
      <c r="AA552" s="3">
        <f>IF(INDEX('CAMD Facility Data 2023'!$AA$2:$AE$10000,MATCH(Z552,'CAMD Facility Data 2023'!$AE$2:$AE$10000,0),1)&gt;0,INDEX('CAMD Facility Data 2023'!$AA$2:$AE$10000,MATCH(Z552,'CAMD Facility Data 2023'!$AE$2:$AE$10000,0),1),"")</f>
        <v>25569</v>
      </c>
      <c r="AB552" s="5">
        <f>IF(INDEX('CAMD Facility Data 2023'!$AC$2:$AE$10000,MATCH(Z552,'CAMD Facility Data 2023'!$AE$2:$AE$10000,0),1)&gt;0,INDEX('CAMD Facility Data 2023'!$AC$2:$AE$10000,MATCH(Z552,'CAMD Facility Data 2023'!$AE$2:$AE$10000,0),1),"")</f>
        <v>392</v>
      </c>
      <c r="AC552" s="1" t="str">
        <f>IF(INDEX('CAMD Facility Data 2023'!$AE$2:$AG$10000,MATCH(Z552,'CAMD Facility Data 2023'!$AE$2:$AE$10000,0),3)&gt;0,INDEX('CAMD Facility Data 2023'!$AE$2:$AG$10000,MATCH(Z552,'CAMD Facility Data 2023'!$AE$2:$AE$10000,0),3),"")</f>
        <v/>
      </c>
      <c r="AD552" s="20">
        <f t="shared" si="25"/>
        <v>16.774921660203383</v>
      </c>
      <c r="AE552" s="25">
        <f t="shared" si="26"/>
        <v>8.5670895070356912E-3</v>
      </c>
    </row>
    <row r="553" spans="1:31" x14ac:dyDescent="0.2">
      <c r="A553" s="1" t="s">
        <v>1568</v>
      </c>
      <c r="B553" s="1" t="s">
        <v>1576</v>
      </c>
      <c r="C553" s="1">
        <v>1592</v>
      </c>
      <c r="D553" s="1" t="s">
        <v>1588</v>
      </c>
      <c r="F553" s="1">
        <v>2023</v>
      </c>
      <c r="G553" s="5">
        <v>109</v>
      </c>
      <c r="H553" s="5">
        <v>70.489999999999995</v>
      </c>
      <c r="I553" s="5">
        <v>815.99</v>
      </c>
      <c r="M553" s="5">
        <v>2240.6</v>
      </c>
      <c r="N553" s="6">
        <v>8.1000000000000003E-2</v>
      </c>
      <c r="O553" s="5">
        <v>6.9829999999999997</v>
      </c>
      <c r="P553" s="6">
        <v>0.50509999999999999</v>
      </c>
      <c r="Q553" s="5">
        <v>27653.7</v>
      </c>
      <c r="R553" s="1" t="s">
        <v>94</v>
      </c>
      <c r="S553" s="1" t="s">
        <v>44</v>
      </c>
      <c r="T553" s="1" t="s">
        <v>93</v>
      </c>
      <c r="Y553" s="1" t="s">
        <v>617</v>
      </c>
      <c r="Z553" s="1" t="str">
        <f t="shared" si="24"/>
        <v>1592 J3T2</v>
      </c>
      <c r="AA553" s="3">
        <f>IF(INDEX('CAMD Facility Data 2023'!$AA$2:$AE$10000,MATCH(Z553,'CAMD Facility Data 2023'!$AE$2:$AE$10000,0),1)&gt;0,INDEX('CAMD Facility Data 2023'!$AA$2:$AE$10000,MATCH(Z553,'CAMD Facility Data 2023'!$AE$2:$AE$10000,0),1),"")</f>
        <v>25569</v>
      </c>
      <c r="AB553" s="5">
        <f>IF(INDEX('CAMD Facility Data 2023'!$AC$2:$AE$10000,MATCH(Z553,'CAMD Facility Data 2023'!$AE$2:$AE$10000,0),1)&gt;0,INDEX('CAMD Facility Data 2023'!$AC$2:$AE$10000,MATCH(Z553,'CAMD Facility Data 2023'!$AE$2:$AE$10000,0),1),"")</f>
        <v>392</v>
      </c>
      <c r="AC553" s="1" t="str">
        <f>IF(INDEX('CAMD Facility Data 2023'!$AE$2:$AG$10000,MATCH(Z553,'CAMD Facility Data 2023'!$AE$2:$AE$10000,0),3)&gt;0,INDEX('CAMD Facility Data 2023'!$AE$2:$AG$10000,MATCH(Z553,'CAMD Facility Data 2023'!$AE$2:$AE$10000,0),3),"")</f>
        <v/>
      </c>
      <c r="AD553" s="20">
        <f t="shared" si="25"/>
        <v>17.115405826051791</v>
      </c>
      <c r="AE553" s="25">
        <f t="shared" si="26"/>
        <v>8.0530996645233437E-3</v>
      </c>
    </row>
    <row r="554" spans="1:31" x14ac:dyDescent="0.2">
      <c r="A554" s="1" t="s">
        <v>1568</v>
      </c>
      <c r="B554" s="1" t="s">
        <v>1589</v>
      </c>
      <c r="C554" s="1">
        <v>1595</v>
      </c>
      <c r="D554" s="1">
        <v>2</v>
      </c>
      <c r="F554" s="1">
        <v>2023</v>
      </c>
      <c r="G554" s="5">
        <v>1317</v>
      </c>
      <c r="H554" s="5">
        <v>841.89</v>
      </c>
      <c r="J554" s="5">
        <v>23250.23</v>
      </c>
      <c r="K554" s="5">
        <v>1.6E-2</v>
      </c>
      <c r="L554" s="5">
        <v>1E-3</v>
      </c>
      <c r="M554" s="5">
        <v>3092.9639999999999</v>
      </c>
      <c r="N554" s="6">
        <v>5.9299999999999999E-2</v>
      </c>
      <c r="O554" s="5">
        <v>2.9540000000000002</v>
      </c>
      <c r="P554" s="6">
        <v>7.4200000000000002E-2</v>
      </c>
      <c r="Q554" s="5">
        <v>52043.606</v>
      </c>
      <c r="R554" s="1" t="s">
        <v>44</v>
      </c>
      <c r="S554" s="1" t="s">
        <v>173</v>
      </c>
      <c r="T554" s="1" t="s">
        <v>89</v>
      </c>
      <c r="Y554" s="1" t="s">
        <v>579</v>
      </c>
      <c r="Z554" s="1" t="str">
        <f t="shared" si="24"/>
        <v>1595 2</v>
      </c>
      <c r="AA554" s="3">
        <f>IF(INDEX('CAMD Facility Data 2023'!$AA$2:$AE$10000,MATCH(Z554,'CAMD Facility Data 2023'!$AE$2:$AE$10000,0),1)&gt;0,INDEX('CAMD Facility Data 2023'!$AA$2:$AE$10000,MATCH(Z554,'CAMD Facility Data 2023'!$AE$2:$AE$10000,0),1),"")</f>
        <v>18050</v>
      </c>
      <c r="AB554" s="5">
        <f>IF(INDEX('CAMD Facility Data 2023'!$AC$2:$AE$10000,MATCH(Z554,'CAMD Facility Data 2023'!$AE$2:$AE$10000,0),1)&gt;0,INDEX('CAMD Facility Data 2023'!$AC$2:$AE$10000,MATCH(Z554,'CAMD Facility Data 2023'!$AE$2:$AE$10000,0),1),"")</f>
        <v>273</v>
      </c>
      <c r="AC554" s="1" t="str">
        <f>IF(INDEX('CAMD Facility Data 2023'!$AE$2:$AG$10000,MATCH(Z554,'CAMD Facility Data 2023'!$AE$2:$AE$10000,0),3)&gt;0,INDEX('CAMD Facility Data 2023'!$AE$2:$AG$10000,MATCH(Z554,'CAMD Facility Data 2023'!$AE$2:$AE$10000,0),3),"")</f>
        <v/>
      </c>
      <c r="AD554" s="20" t="str">
        <f t="shared" si="25"/>
        <v/>
      </c>
      <c r="AE554" s="25">
        <f t="shared" si="26"/>
        <v>2.1762091257296737E-2</v>
      </c>
    </row>
    <row r="555" spans="1:31" x14ac:dyDescent="0.2">
      <c r="A555" s="1" t="s">
        <v>1568</v>
      </c>
      <c r="B555" s="1" t="s">
        <v>1589</v>
      </c>
      <c r="C555" s="1">
        <v>1595</v>
      </c>
      <c r="D555" s="1">
        <v>3</v>
      </c>
      <c r="F555" s="1">
        <v>2023</v>
      </c>
      <c r="G555" s="5">
        <v>1684</v>
      </c>
      <c r="H555" s="5">
        <v>1345.93</v>
      </c>
      <c r="J555" s="5">
        <v>70532.259999999995</v>
      </c>
      <c r="K555" s="5">
        <v>3.6999999999999998E-2</v>
      </c>
      <c r="L555" s="5">
        <v>1E-3</v>
      </c>
      <c r="M555" s="5">
        <v>7416.9539999999997</v>
      </c>
      <c r="N555" s="6">
        <v>5.9400000000000001E-2</v>
      </c>
      <c r="O555" s="5">
        <v>4.9169999999999998</v>
      </c>
      <c r="P555" s="6">
        <v>5.7599999999999998E-2</v>
      </c>
      <c r="Q555" s="5">
        <v>124779.921</v>
      </c>
      <c r="R555" s="1" t="s">
        <v>44</v>
      </c>
      <c r="S555" s="1" t="s">
        <v>173</v>
      </c>
      <c r="T555" s="1" t="s">
        <v>89</v>
      </c>
      <c r="V555" s="1" t="s">
        <v>90</v>
      </c>
      <c r="Y555" s="1" t="s">
        <v>579</v>
      </c>
      <c r="Z555" s="1" t="str">
        <f t="shared" si="24"/>
        <v>1595 3</v>
      </c>
      <c r="AA555" s="3">
        <f>IF(INDEX('CAMD Facility Data 2023'!$AA$2:$AE$10000,MATCH(Z555,'CAMD Facility Data 2023'!$AE$2:$AE$10000,0),1)&gt;0,INDEX('CAMD Facility Data 2023'!$AA$2:$AE$10000,MATCH(Z555,'CAMD Facility Data 2023'!$AE$2:$AE$10000,0),1),"")</f>
        <v>20029</v>
      </c>
      <c r="AB555" s="5">
        <f>IF(INDEX('CAMD Facility Data 2023'!$AC$2:$AE$10000,MATCH(Z555,'CAMD Facility Data 2023'!$AE$2:$AE$10000,0),1)&gt;0,INDEX('CAMD Facility Data 2023'!$AC$2:$AE$10000,MATCH(Z555,'CAMD Facility Data 2023'!$AE$2:$AE$10000,0),1),"")</f>
        <v>409</v>
      </c>
      <c r="AC555" s="1" t="str">
        <f>IF(INDEX('CAMD Facility Data 2023'!$AE$2:$AG$10000,MATCH(Z555,'CAMD Facility Data 2023'!$AE$2:$AE$10000,0),3)&gt;0,INDEX('CAMD Facility Data 2023'!$AE$2:$AG$10000,MATCH(Z555,'CAMD Facility Data 2023'!$AE$2:$AE$10000,0),3),"")</f>
        <v/>
      </c>
      <c r="AD555" s="20" t="str">
        <f t="shared" si="25"/>
        <v/>
      </c>
      <c r="AE555" s="25">
        <f t="shared" si="26"/>
        <v>3.4827098335398737E-2</v>
      </c>
    </row>
    <row r="556" spans="1:31" x14ac:dyDescent="0.2">
      <c r="A556" s="1" t="s">
        <v>1568</v>
      </c>
      <c r="B556" s="1" t="s">
        <v>1589</v>
      </c>
      <c r="C556" s="1">
        <v>1595</v>
      </c>
      <c r="D556" s="1">
        <v>4</v>
      </c>
      <c r="F556" s="1">
        <v>2023</v>
      </c>
      <c r="G556" s="5">
        <v>8277</v>
      </c>
      <c r="H556" s="5">
        <v>8267.0300000000007</v>
      </c>
      <c r="I556" s="5">
        <v>2246107.61</v>
      </c>
      <c r="K556" s="5">
        <v>4.3259999999999996</v>
      </c>
      <c r="L556" s="5">
        <v>1E-3</v>
      </c>
      <c r="M556" s="5">
        <v>855829.42099999997</v>
      </c>
      <c r="N556" s="6">
        <v>5.91E-2</v>
      </c>
      <c r="O556" s="5">
        <v>46.598999999999997</v>
      </c>
      <c r="P556" s="6">
        <v>7.6E-3</v>
      </c>
      <c r="Q556" s="5">
        <v>14377984.848999999</v>
      </c>
      <c r="R556" s="1" t="s">
        <v>44</v>
      </c>
      <c r="S556" s="1" t="s">
        <v>94</v>
      </c>
      <c r="T556" s="1" t="s">
        <v>71</v>
      </c>
      <c r="V556" s="1" t="s">
        <v>64</v>
      </c>
      <c r="Y556" s="1" t="s">
        <v>579</v>
      </c>
      <c r="Z556" s="1" t="str">
        <f t="shared" si="24"/>
        <v>1595 4</v>
      </c>
      <c r="AA556" s="3">
        <f>IF(INDEX('CAMD Facility Data 2023'!$AA$2:$AE$10000,MATCH(Z556,'CAMD Facility Data 2023'!$AE$2:$AE$10000,0),1)&gt;0,INDEX('CAMD Facility Data 2023'!$AA$2:$AE$10000,MATCH(Z556,'CAMD Facility Data 2023'!$AE$2:$AE$10000,0),1),"")</f>
        <v>37476</v>
      </c>
      <c r="AB556" s="5">
        <f>IF(INDEX('CAMD Facility Data 2023'!$AC$2:$AE$10000,MATCH(Z556,'CAMD Facility Data 2023'!$AE$2:$AE$10000,0),1)&gt;0,INDEX('CAMD Facility Data 2023'!$AC$2:$AE$10000,MATCH(Z556,'CAMD Facility Data 2023'!$AE$2:$AE$10000,0),1),"")</f>
        <v>2450</v>
      </c>
      <c r="AC556" s="1" t="str">
        <f>IF(INDEX('CAMD Facility Data 2023'!$AE$2:$AG$10000,MATCH(Z556,'CAMD Facility Data 2023'!$AE$2:$AE$10000,0),3)&gt;0,INDEX('CAMD Facility Data 2023'!$AE$2:$AG$10000,MATCH(Z556,'CAMD Facility Data 2023'!$AE$2:$AE$10000,0),3),"")</f>
        <v>Y</v>
      </c>
      <c r="AD556" s="20">
        <f t="shared" si="25"/>
        <v>4.1493114392680414E-2</v>
      </c>
      <c r="AE556" s="25">
        <f t="shared" si="26"/>
        <v>0.66992753932531912</v>
      </c>
    </row>
    <row r="557" spans="1:31" x14ac:dyDescent="0.2">
      <c r="A557" s="1" t="s">
        <v>1568</v>
      </c>
      <c r="B557" s="1" t="s">
        <v>1594</v>
      </c>
      <c r="C557" s="1">
        <v>1599</v>
      </c>
      <c r="D557" s="1">
        <v>1</v>
      </c>
      <c r="F557" s="1">
        <v>2023</v>
      </c>
      <c r="G557" s="5">
        <v>101</v>
      </c>
      <c r="H557" s="5">
        <v>96.17</v>
      </c>
      <c r="I557" s="5">
        <v>28780.14</v>
      </c>
      <c r="K557" s="5">
        <v>42.470999999999997</v>
      </c>
      <c r="L557" s="5">
        <v>0.30959999999999999</v>
      </c>
      <c r="M557" s="5">
        <v>22270.035</v>
      </c>
      <c r="N557" s="6">
        <v>8.1000000000000003E-2</v>
      </c>
      <c r="O557" s="5">
        <v>21.574999999999999</v>
      </c>
      <c r="P557" s="6">
        <v>0.13780000000000001</v>
      </c>
      <c r="Q557" s="5">
        <v>274448.842</v>
      </c>
      <c r="R557" s="1" t="s">
        <v>173</v>
      </c>
      <c r="T557" s="1" t="s">
        <v>89</v>
      </c>
      <c r="V557" s="1" t="s">
        <v>1598</v>
      </c>
      <c r="W557" s="1" t="s">
        <v>58</v>
      </c>
      <c r="Y557" s="1" t="s">
        <v>594</v>
      </c>
      <c r="Z557" s="1" t="str">
        <f t="shared" si="24"/>
        <v>1599 1</v>
      </c>
      <c r="AA557" s="3">
        <f>IF(INDEX('CAMD Facility Data 2023'!$AA$2:$AE$10000,MATCH(Z557,'CAMD Facility Data 2023'!$AE$2:$AE$10000,0),1)&gt;0,INDEX('CAMD Facility Data 2023'!$AA$2:$AE$10000,MATCH(Z557,'CAMD Facility Data 2023'!$AE$2:$AE$10000,0),1),"")</f>
        <v>25020</v>
      </c>
      <c r="AB557" s="5">
        <f>IF(INDEX('CAMD Facility Data 2023'!$AC$2:$AE$10000,MATCH(Z557,'CAMD Facility Data 2023'!$AE$2:$AE$10000,0),1)&gt;0,INDEX('CAMD Facility Data 2023'!$AC$2:$AE$10000,MATCH(Z557,'CAMD Facility Data 2023'!$AE$2:$AE$10000,0),1),"")</f>
        <v>5450</v>
      </c>
      <c r="AC557" s="1" t="str">
        <f>IF(INDEX('CAMD Facility Data 2023'!$AE$2:$AG$10000,MATCH(Z557,'CAMD Facility Data 2023'!$AE$2:$AE$10000,0),3)&gt;0,INDEX('CAMD Facility Data 2023'!$AE$2:$AG$10000,MATCH(Z557,'CAMD Facility Data 2023'!$AE$2:$AE$10000,0),3),"")</f>
        <v>Y</v>
      </c>
      <c r="AD557" s="20">
        <f t="shared" si="25"/>
        <v>1.4992977796494389</v>
      </c>
      <c r="AE557" s="25">
        <f t="shared" si="26"/>
        <v>5.748582841104269E-3</v>
      </c>
    </row>
    <row r="558" spans="1:31" x14ac:dyDescent="0.2">
      <c r="A558" s="1" t="s">
        <v>1568</v>
      </c>
      <c r="B558" s="1" t="s">
        <v>1594</v>
      </c>
      <c r="C558" s="1">
        <v>1599</v>
      </c>
      <c r="D558" s="1">
        <v>2</v>
      </c>
      <c r="F558" s="1">
        <v>2023</v>
      </c>
      <c r="G558" s="5">
        <v>265</v>
      </c>
      <c r="H558" s="5">
        <v>258.68</v>
      </c>
      <c r="I558" s="5">
        <v>58696.53</v>
      </c>
      <c r="K558" s="5">
        <v>34.341000000000001</v>
      </c>
      <c r="L558" s="5">
        <v>8.3199999999999996E-2</v>
      </c>
      <c r="M558" s="5">
        <v>39780.665000000001</v>
      </c>
      <c r="N558" s="6">
        <v>6.5000000000000002E-2</v>
      </c>
      <c r="O558" s="5">
        <v>35.356999999999999</v>
      </c>
      <c r="P558" s="6">
        <v>9.1800000000000007E-2</v>
      </c>
      <c r="Q558" s="5">
        <v>588570.01</v>
      </c>
      <c r="R558" s="1" t="s">
        <v>44</v>
      </c>
      <c r="S558" s="1" t="s">
        <v>173</v>
      </c>
      <c r="T558" s="1" t="s">
        <v>89</v>
      </c>
      <c r="V558" s="1" t="s">
        <v>1600</v>
      </c>
      <c r="W558" s="1" t="s">
        <v>58</v>
      </c>
      <c r="Y558" s="1" t="s">
        <v>594</v>
      </c>
      <c r="Z558" s="1" t="str">
        <f t="shared" si="24"/>
        <v>1599 2</v>
      </c>
      <c r="AA558" s="3">
        <f>IF(INDEX('CAMD Facility Data 2023'!$AA$2:$AE$10000,MATCH(Z558,'CAMD Facility Data 2023'!$AE$2:$AE$10000,0),1)&gt;0,INDEX('CAMD Facility Data 2023'!$AA$2:$AE$10000,MATCH(Z558,'CAMD Facility Data 2023'!$AE$2:$AE$10000,0),1),"")</f>
        <v>27791</v>
      </c>
      <c r="AB558" s="5">
        <f>IF(INDEX('CAMD Facility Data 2023'!$AC$2:$AE$10000,MATCH(Z558,'CAMD Facility Data 2023'!$AE$2:$AE$10000,0),1)&gt;0,INDEX('CAMD Facility Data 2023'!$AC$2:$AE$10000,MATCH(Z558,'CAMD Facility Data 2023'!$AE$2:$AE$10000,0),1),"")</f>
        <v>6213.1</v>
      </c>
      <c r="AC558" s="1" t="str">
        <f>IF(INDEX('CAMD Facility Data 2023'!$AE$2:$AG$10000,MATCH(Z558,'CAMD Facility Data 2023'!$AE$2:$AE$10000,0),3)&gt;0,INDEX('CAMD Facility Data 2023'!$AE$2:$AG$10000,MATCH(Z558,'CAMD Facility Data 2023'!$AE$2:$AE$10000,0),3),"")</f>
        <v/>
      </c>
      <c r="AD558" s="20">
        <f t="shared" si="25"/>
        <v>1.2047390194957011</v>
      </c>
      <c r="AE558" s="25">
        <f t="shared" si="26"/>
        <v>1.0813982924133858E-2</v>
      </c>
    </row>
    <row r="559" spans="1:31" x14ac:dyDescent="0.2">
      <c r="A559" s="1" t="s">
        <v>1568</v>
      </c>
      <c r="B559" s="1" t="s">
        <v>1594</v>
      </c>
      <c r="C559" s="1">
        <v>1599</v>
      </c>
      <c r="D559" s="1">
        <v>3</v>
      </c>
      <c r="F559" s="1">
        <v>2023</v>
      </c>
      <c r="G559" s="5">
        <v>9</v>
      </c>
      <c r="H559" s="5">
        <v>6.53</v>
      </c>
      <c r="I559" s="5">
        <v>1391.23</v>
      </c>
      <c r="K559" s="5">
        <v>5.0000000000000001E-3</v>
      </c>
      <c r="L559" s="5">
        <v>1E-3</v>
      </c>
      <c r="M559" s="5">
        <v>1142.3720000000001</v>
      </c>
      <c r="N559" s="6">
        <v>6.9800000000000001E-2</v>
      </c>
      <c r="O559" s="5">
        <v>0.13900000000000001</v>
      </c>
      <c r="P559" s="6">
        <v>2.3800000000000002E-2</v>
      </c>
      <c r="Q559" s="5">
        <v>15227.421</v>
      </c>
      <c r="R559" s="1" t="s">
        <v>44</v>
      </c>
      <c r="S559" s="1" t="s">
        <v>94</v>
      </c>
      <c r="T559" s="1" t="s">
        <v>93</v>
      </c>
      <c r="V559" s="1" t="s">
        <v>643</v>
      </c>
      <c r="Y559" s="1" t="s">
        <v>579</v>
      </c>
      <c r="Z559" s="1" t="str">
        <f t="shared" si="24"/>
        <v>1599 3</v>
      </c>
      <c r="AA559" s="3">
        <f>IF(INDEX('CAMD Facility Data 2023'!$AA$2:$AE$10000,MATCH(Z559,'CAMD Facility Data 2023'!$AE$2:$AE$10000,0),1)&gt;0,INDEX('CAMD Facility Data 2023'!$AA$2:$AE$10000,MATCH(Z559,'CAMD Facility Data 2023'!$AE$2:$AE$10000,0),1),"")</f>
        <v>43560</v>
      </c>
      <c r="AB559" s="5">
        <f>IF(INDEX('CAMD Facility Data 2023'!$AC$2:$AE$10000,MATCH(Z559,'CAMD Facility Data 2023'!$AE$2:$AE$10000,0),1)&gt;0,INDEX('CAMD Facility Data 2023'!$AC$2:$AE$10000,MATCH(Z559,'CAMD Facility Data 2023'!$AE$2:$AE$10000,0),1),"")</f>
        <v>3667.4</v>
      </c>
      <c r="AC559" s="1" t="str">
        <f>IF(INDEX('CAMD Facility Data 2023'!$AE$2:$AG$10000,MATCH(Z559,'CAMD Facility Data 2023'!$AE$2:$AE$10000,0),3)&gt;0,INDEX('CAMD Facility Data 2023'!$AE$2:$AG$10000,MATCH(Z559,'CAMD Facility Data 2023'!$AE$2:$AE$10000,0),3),"")</f>
        <v>Y</v>
      </c>
      <c r="AD559" s="20">
        <f t="shared" si="25"/>
        <v>0.1998231780510771</v>
      </c>
      <c r="AE559" s="25">
        <f t="shared" si="26"/>
        <v>4.7398431272649579E-4</v>
      </c>
    </row>
    <row r="560" spans="1:31" x14ac:dyDescent="0.2">
      <c r="A560" s="1" t="s">
        <v>1568</v>
      </c>
      <c r="B560" s="1" t="s">
        <v>1604</v>
      </c>
      <c r="C560" s="1">
        <v>1660</v>
      </c>
      <c r="D560" s="1">
        <v>3</v>
      </c>
      <c r="F560" s="1">
        <v>2023</v>
      </c>
      <c r="G560" s="5">
        <v>0</v>
      </c>
      <c r="H560" s="5">
        <v>0</v>
      </c>
      <c r="R560" s="1" t="s">
        <v>44</v>
      </c>
      <c r="S560" s="1" t="s">
        <v>94</v>
      </c>
      <c r="T560" s="1" t="s">
        <v>71</v>
      </c>
      <c r="V560" s="1" t="s">
        <v>1606</v>
      </c>
      <c r="Y560" s="1" t="s">
        <v>617</v>
      </c>
      <c r="Z560" s="1" t="str">
        <f t="shared" si="24"/>
        <v>1660 3</v>
      </c>
      <c r="AA560" s="3">
        <f>IF(INDEX('CAMD Facility Data 2023'!$AA$2:$AE$10000,MATCH(Z560,'CAMD Facility Data 2023'!$AE$2:$AE$10000,0),1)&gt;0,INDEX('CAMD Facility Data 2023'!$AA$2:$AE$10000,MATCH(Z560,'CAMD Facility Data 2023'!$AE$2:$AE$10000,0),1),"")</f>
        <v>28216</v>
      </c>
      <c r="AB560" s="5">
        <f>IF(INDEX('CAMD Facility Data 2023'!$AC$2:$AE$10000,MATCH(Z560,'CAMD Facility Data 2023'!$AE$2:$AE$10000,0),1)&gt;0,INDEX('CAMD Facility Data 2023'!$AC$2:$AE$10000,MATCH(Z560,'CAMD Facility Data 2023'!$AE$2:$AE$10000,0),1),"")</f>
        <v>975</v>
      </c>
      <c r="AC560" s="1" t="str">
        <f>IF(INDEX('CAMD Facility Data 2023'!$AE$2:$AG$10000,MATCH(Z560,'CAMD Facility Data 2023'!$AE$2:$AE$10000,0),3)&gt;0,INDEX('CAMD Facility Data 2023'!$AE$2:$AG$10000,MATCH(Z560,'CAMD Facility Data 2023'!$AE$2:$AE$10000,0),3),"")</f>
        <v/>
      </c>
      <c r="AD560" s="20" t="str">
        <f t="shared" si="25"/>
        <v/>
      </c>
      <c r="AE560" s="25">
        <f t="shared" si="26"/>
        <v>0</v>
      </c>
    </row>
    <row r="561" spans="1:31" x14ac:dyDescent="0.2">
      <c r="A561" s="1" t="s">
        <v>1568</v>
      </c>
      <c r="B561" s="1" t="s">
        <v>1604</v>
      </c>
      <c r="C561" s="1">
        <v>1660</v>
      </c>
      <c r="D561" s="1">
        <v>4</v>
      </c>
      <c r="F561" s="1">
        <v>2023</v>
      </c>
      <c r="G561" s="5">
        <v>526</v>
      </c>
      <c r="H561" s="5">
        <v>363.29</v>
      </c>
      <c r="I561" s="5">
        <v>14792.29</v>
      </c>
      <c r="K561" s="5">
        <v>4.5999999999999999E-2</v>
      </c>
      <c r="L561" s="5">
        <v>1E-3</v>
      </c>
      <c r="M561" s="5">
        <v>9065.3770000000004</v>
      </c>
      <c r="N561" s="6">
        <v>6.2E-2</v>
      </c>
      <c r="O561" s="5">
        <v>0.93200000000000005</v>
      </c>
      <c r="P561" s="6">
        <v>1.77E-2</v>
      </c>
      <c r="Q561" s="5">
        <v>146356.511</v>
      </c>
      <c r="R561" s="1" t="s">
        <v>44</v>
      </c>
      <c r="S561" s="1" t="s">
        <v>94</v>
      </c>
      <c r="T561" s="1" t="s">
        <v>93</v>
      </c>
      <c r="V561" s="1" t="s">
        <v>1608</v>
      </c>
      <c r="Y561" s="1" t="s">
        <v>579</v>
      </c>
      <c r="Z561" s="1" t="str">
        <f t="shared" si="24"/>
        <v>1660 4</v>
      </c>
      <c r="AA561" s="3">
        <f>IF(INDEX('CAMD Facility Data 2023'!$AA$2:$AE$10000,MATCH(Z561,'CAMD Facility Data 2023'!$AE$2:$AE$10000,0),1)&gt;0,INDEX('CAMD Facility Data 2023'!$AA$2:$AE$10000,MATCH(Z561,'CAMD Facility Data 2023'!$AE$2:$AE$10000,0),1),"")</f>
        <v>39931</v>
      </c>
      <c r="AB561" s="5">
        <f>IF(INDEX('CAMD Facility Data 2023'!$AC$2:$AE$10000,MATCH(Z561,'CAMD Facility Data 2023'!$AE$2:$AE$10000,0),1)&gt;0,INDEX('CAMD Facility Data 2023'!$AC$2:$AE$10000,MATCH(Z561,'CAMD Facility Data 2023'!$AE$2:$AE$10000,0),1),"")</f>
        <v>565</v>
      </c>
      <c r="AC561" s="1" t="str">
        <f>IF(INDEX('CAMD Facility Data 2023'!$AE$2:$AG$10000,MATCH(Z561,'CAMD Facility Data 2023'!$AE$2:$AE$10000,0),3)&gt;0,INDEX('CAMD Facility Data 2023'!$AE$2:$AG$10000,MATCH(Z561,'CAMD Facility Data 2023'!$AE$2:$AE$10000,0),3),"")</f>
        <v>Y</v>
      </c>
      <c r="AD561" s="20">
        <f t="shared" si="25"/>
        <v>0.12601159117350999</v>
      </c>
      <c r="AE561" s="25">
        <f t="shared" si="26"/>
        <v>2.9570556229037863E-2</v>
      </c>
    </row>
    <row r="562" spans="1:31" x14ac:dyDescent="0.2">
      <c r="A562" s="1" t="s">
        <v>1568</v>
      </c>
      <c r="B562" s="1" t="s">
        <v>1604</v>
      </c>
      <c r="C562" s="1">
        <v>1660</v>
      </c>
      <c r="D562" s="1">
        <v>5</v>
      </c>
      <c r="F562" s="1">
        <v>2023</v>
      </c>
      <c r="G562" s="5">
        <v>647</v>
      </c>
      <c r="H562" s="5">
        <v>442.93</v>
      </c>
      <c r="I562" s="5">
        <v>17691.46</v>
      </c>
      <c r="K562" s="5">
        <v>5.5E-2</v>
      </c>
      <c r="L562" s="5">
        <v>1E-3</v>
      </c>
      <c r="M562" s="5">
        <v>10972.448</v>
      </c>
      <c r="N562" s="6">
        <v>6.1800000000000001E-2</v>
      </c>
      <c r="O562" s="5">
        <v>1.417</v>
      </c>
      <c r="P562" s="6">
        <v>2.1999999999999999E-2</v>
      </c>
      <c r="Q562" s="5">
        <v>176757.378</v>
      </c>
      <c r="R562" s="1" t="s">
        <v>44</v>
      </c>
      <c r="S562" s="1" t="s">
        <v>94</v>
      </c>
      <c r="T562" s="1" t="s">
        <v>93</v>
      </c>
      <c r="V562" s="1" t="s">
        <v>1608</v>
      </c>
      <c r="Y562" s="1" t="s">
        <v>579</v>
      </c>
      <c r="Z562" s="1" t="str">
        <f t="shared" si="24"/>
        <v>1660 5</v>
      </c>
      <c r="AA562" s="3">
        <f>IF(INDEX('CAMD Facility Data 2023'!$AA$2:$AE$10000,MATCH(Z562,'CAMD Facility Data 2023'!$AE$2:$AE$10000,0),1)&gt;0,INDEX('CAMD Facility Data 2023'!$AA$2:$AE$10000,MATCH(Z562,'CAMD Facility Data 2023'!$AE$2:$AE$10000,0),1),"")</f>
        <v>39924</v>
      </c>
      <c r="AB562" s="5">
        <f>IF(INDEX('CAMD Facility Data 2023'!$AC$2:$AE$10000,MATCH(Z562,'CAMD Facility Data 2023'!$AE$2:$AE$10000,0),1)&gt;0,INDEX('CAMD Facility Data 2023'!$AC$2:$AE$10000,MATCH(Z562,'CAMD Facility Data 2023'!$AE$2:$AE$10000,0),1),"")</f>
        <v>565</v>
      </c>
      <c r="AC562" s="1" t="str">
        <f>IF(INDEX('CAMD Facility Data 2023'!$AE$2:$AG$10000,MATCH(Z562,'CAMD Facility Data 2023'!$AE$2:$AE$10000,0),3)&gt;0,INDEX('CAMD Facility Data 2023'!$AE$2:$AG$10000,MATCH(Z562,'CAMD Facility Data 2023'!$AE$2:$AE$10000,0),3),"")</f>
        <v>Y</v>
      </c>
      <c r="AD562" s="20">
        <f t="shared" si="25"/>
        <v>0.16019028389968945</v>
      </c>
      <c r="AE562" s="25">
        <f t="shared" si="26"/>
        <v>3.5712890047278456E-2</v>
      </c>
    </row>
    <row r="563" spans="1:31" x14ac:dyDescent="0.2">
      <c r="A563" s="1" t="s">
        <v>1568</v>
      </c>
      <c r="B563" s="1" t="s">
        <v>1611</v>
      </c>
      <c r="C563" s="1">
        <v>1678</v>
      </c>
      <c r="D563" s="1">
        <v>2</v>
      </c>
      <c r="E563" s="1" t="s">
        <v>1156</v>
      </c>
      <c r="F563" s="1">
        <v>2023</v>
      </c>
      <c r="G563" s="5">
        <v>109</v>
      </c>
      <c r="H563" s="5">
        <v>74.489999999999995</v>
      </c>
      <c r="I563" s="5">
        <v>2191.19</v>
      </c>
      <c r="M563" s="5">
        <v>1924.1</v>
      </c>
      <c r="N563" s="6">
        <v>7.1499999999999994E-2</v>
      </c>
      <c r="O563" s="5">
        <v>6.3739999999999997</v>
      </c>
      <c r="P563" s="6">
        <v>0.69630000000000003</v>
      </c>
      <c r="Q563" s="5">
        <v>27420</v>
      </c>
      <c r="R563" s="1" t="s">
        <v>44</v>
      </c>
      <c r="S563" s="1" t="s">
        <v>94</v>
      </c>
      <c r="T563" s="1" t="s">
        <v>93</v>
      </c>
      <c r="V563" s="1" t="s">
        <v>95</v>
      </c>
      <c r="Y563" s="1" t="s">
        <v>617</v>
      </c>
      <c r="Z563" s="1" t="str">
        <f t="shared" si="24"/>
        <v>1678 2</v>
      </c>
      <c r="AA563" s="3">
        <f>IF(INDEX('CAMD Facility Data 2023'!$AA$2:$AE$10000,MATCH(Z563,'CAMD Facility Data 2023'!$AE$2:$AE$10000,0),1)&gt;0,INDEX('CAMD Facility Data 2023'!$AA$2:$AE$10000,MATCH(Z563,'CAMD Facility Data 2023'!$AE$2:$AE$10000,0),1),"")</f>
        <v>33182</v>
      </c>
      <c r="AB563" s="5">
        <f>IF(INDEX('CAMD Facility Data 2023'!$AC$2:$AE$10000,MATCH(Z563,'CAMD Facility Data 2023'!$AE$2:$AE$10000,0),1)&gt;0,INDEX('CAMD Facility Data 2023'!$AC$2:$AE$10000,MATCH(Z563,'CAMD Facility Data 2023'!$AE$2:$AE$10000,0),1),"")</f>
        <v>485.9</v>
      </c>
      <c r="AC563" s="1" t="str">
        <f>IF(INDEX('CAMD Facility Data 2023'!$AE$2:$AG$10000,MATCH(Z563,'CAMD Facility Data 2023'!$AE$2:$AE$10000,0),3)&gt;0,INDEX('CAMD Facility Data 2023'!$AE$2:$AG$10000,MATCH(Z563,'CAMD Facility Data 2023'!$AE$2:$AE$10000,0),3),"")</f>
        <v/>
      </c>
      <c r="AD563" s="20">
        <f t="shared" si="25"/>
        <v>5.8178432723771101</v>
      </c>
      <c r="AE563" s="25">
        <f t="shared" si="26"/>
        <v>6.4419365842794197E-3</v>
      </c>
    </row>
    <row r="564" spans="1:31" x14ac:dyDescent="0.2">
      <c r="A564" s="1" t="s">
        <v>1568</v>
      </c>
      <c r="B564" s="1" t="s">
        <v>1616</v>
      </c>
      <c r="C564" s="1">
        <v>1682</v>
      </c>
      <c r="D564" s="1">
        <v>9</v>
      </c>
      <c r="F564" s="1">
        <v>2023</v>
      </c>
      <c r="G564" s="5">
        <v>1020</v>
      </c>
      <c r="H564" s="5">
        <v>902.34</v>
      </c>
      <c r="I564" s="5">
        <v>52713.74</v>
      </c>
      <c r="K564" s="5">
        <v>0.38200000000000001</v>
      </c>
      <c r="L564" s="5">
        <v>1.9E-3</v>
      </c>
      <c r="M564" s="5">
        <v>33940.177000000003</v>
      </c>
      <c r="N564" s="6">
        <v>6.0299999999999999E-2</v>
      </c>
      <c r="O564" s="5">
        <v>45.314</v>
      </c>
      <c r="P564" s="6">
        <v>0.14280000000000001</v>
      </c>
      <c r="Q564" s="5">
        <v>561871.23600000003</v>
      </c>
      <c r="R564" s="1" t="s">
        <v>44</v>
      </c>
      <c r="S564" s="1" t="s">
        <v>94</v>
      </c>
      <c r="T564" s="1" t="s">
        <v>656</v>
      </c>
      <c r="V564" s="1" t="s">
        <v>289</v>
      </c>
      <c r="Y564" s="1" t="s">
        <v>579</v>
      </c>
      <c r="Z564" s="1" t="str">
        <f t="shared" si="24"/>
        <v>1682 9</v>
      </c>
      <c r="AA564" s="3">
        <f>IF(INDEX('CAMD Facility Data 2023'!$AA$2:$AE$10000,MATCH(Z564,'CAMD Facility Data 2023'!$AE$2:$AE$10000,0),1)&gt;0,INDEX('CAMD Facility Data 2023'!$AA$2:$AE$10000,MATCH(Z564,'CAMD Facility Data 2023'!$AE$2:$AE$10000,0),1),"")</f>
        <v>27576</v>
      </c>
      <c r="AB564" s="5">
        <f>IF(INDEX('CAMD Facility Data 2023'!$AC$2:$AE$10000,MATCH(Z564,'CAMD Facility Data 2023'!$AE$2:$AE$10000,0),1)&gt;0,INDEX('CAMD Facility Data 2023'!$AC$2:$AE$10000,MATCH(Z564,'CAMD Facility Data 2023'!$AE$2:$AE$10000,0),1),"")</f>
        <v>1334</v>
      </c>
      <c r="AC564" s="1" t="str">
        <f>IF(INDEX('CAMD Facility Data 2023'!$AE$2:$AG$10000,MATCH(Z564,'CAMD Facility Data 2023'!$AE$2:$AE$10000,0),3)&gt;0,INDEX('CAMD Facility Data 2023'!$AE$2:$AG$10000,MATCH(Z564,'CAMD Facility Data 2023'!$AE$2:$AE$10000,0),3),"")</f>
        <v/>
      </c>
      <c r="AD564" s="20">
        <f t="shared" si="25"/>
        <v>1.7192481504822084</v>
      </c>
      <c r="AE564" s="25">
        <f t="shared" si="26"/>
        <v>4.8081373354418686E-2</v>
      </c>
    </row>
    <row r="565" spans="1:31" x14ac:dyDescent="0.2">
      <c r="A565" s="1" t="s">
        <v>1621</v>
      </c>
      <c r="B565" s="1" t="s">
        <v>1622</v>
      </c>
      <c r="C565" s="1">
        <v>1702</v>
      </c>
      <c r="D565" s="1">
        <v>1</v>
      </c>
      <c r="F565" s="1">
        <v>2023</v>
      </c>
      <c r="G565" s="5">
        <v>2655</v>
      </c>
      <c r="H565" s="5">
        <v>2650.61</v>
      </c>
      <c r="I565" s="5">
        <v>489722.48</v>
      </c>
      <c r="K565" s="5">
        <v>148.50899999999999</v>
      </c>
      <c r="L565" s="5">
        <v>5.7500000000000002E-2</v>
      </c>
      <c r="M565" s="5">
        <v>542716.16700000002</v>
      </c>
      <c r="N565" s="6">
        <v>0.105</v>
      </c>
      <c r="O565" s="5">
        <v>149.94999999999999</v>
      </c>
      <c r="P565" s="6">
        <v>5.8799999999999998E-2</v>
      </c>
      <c r="Q565" s="5">
        <v>5174620.2819999997</v>
      </c>
      <c r="R565" s="1" t="s">
        <v>55</v>
      </c>
      <c r="S565" s="1" t="s">
        <v>94</v>
      </c>
      <c r="T565" s="1" t="s">
        <v>43</v>
      </c>
      <c r="U565" s="1" t="s">
        <v>212</v>
      </c>
      <c r="V565" s="1" t="s">
        <v>223</v>
      </c>
      <c r="W565" s="1" t="s">
        <v>232</v>
      </c>
      <c r="X565" s="1" t="s">
        <v>214</v>
      </c>
      <c r="Y565" s="1" t="s">
        <v>1005</v>
      </c>
      <c r="Z565" s="1" t="str">
        <f t="shared" si="24"/>
        <v>1702 1</v>
      </c>
      <c r="AA565" s="3">
        <f>IF(INDEX('CAMD Facility Data 2023'!$AA$2:$AE$10000,MATCH(Z565,'CAMD Facility Data 2023'!$AE$2:$AE$10000,0),1)&gt;0,INDEX('CAMD Facility Data 2023'!$AA$2:$AE$10000,MATCH(Z565,'CAMD Facility Data 2023'!$AE$2:$AE$10000,0),1),"")</f>
        <v>20637</v>
      </c>
      <c r="AB565" s="5">
        <f>IF(INDEX('CAMD Facility Data 2023'!$AC$2:$AE$10000,MATCH(Z565,'CAMD Facility Data 2023'!$AE$2:$AE$10000,0),1)&gt;0,INDEX('CAMD Facility Data 2023'!$AC$2:$AE$10000,MATCH(Z565,'CAMD Facility Data 2023'!$AE$2:$AE$10000,0),1),"")</f>
        <v>3400</v>
      </c>
      <c r="AC565" s="1" t="str">
        <f>IF(INDEX('CAMD Facility Data 2023'!$AE$2:$AG$10000,MATCH(Z565,'CAMD Facility Data 2023'!$AE$2:$AE$10000,0),3)&gt;0,INDEX('CAMD Facility Data 2023'!$AE$2:$AG$10000,MATCH(Z565,'CAMD Facility Data 2023'!$AE$2:$AE$10000,0),3),"")</f>
        <v>Y</v>
      </c>
      <c r="AD565" s="20">
        <f t="shared" si="25"/>
        <v>0.61238765269668649</v>
      </c>
      <c r="AE565" s="25">
        <f t="shared" si="26"/>
        <v>0.173738258192318</v>
      </c>
    </row>
    <row r="566" spans="1:31" x14ac:dyDescent="0.2">
      <c r="A566" s="1" t="s">
        <v>1621</v>
      </c>
      <c r="B566" s="1" t="s">
        <v>1622</v>
      </c>
      <c r="C566" s="1">
        <v>1702</v>
      </c>
      <c r="D566" s="1">
        <v>2</v>
      </c>
      <c r="F566" s="1">
        <v>2023</v>
      </c>
      <c r="G566" s="5">
        <v>811</v>
      </c>
      <c r="H566" s="5">
        <v>810.03</v>
      </c>
      <c r="I566" s="5">
        <v>186608.61</v>
      </c>
      <c r="K566" s="5">
        <v>51.463000000000001</v>
      </c>
      <c r="L566" s="5">
        <v>5.57E-2</v>
      </c>
      <c r="M566" s="5">
        <v>195275.443</v>
      </c>
      <c r="N566" s="6">
        <v>0.105</v>
      </c>
      <c r="O566" s="5">
        <v>58.206000000000003</v>
      </c>
      <c r="P566" s="6">
        <v>6.2799999999999995E-2</v>
      </c>
      <c r="Q566" s="5">
        <v>1861881.7890000001</v>
      </c>
      <c r="R566" s="1" t="s">
        <v>55</v>
      </c>
      <c r="S566" s="1" t="s">
        <v>94</v>
      </c>
      <c r="T566" s="1" t="s">
        <v>89</v>
      </c>
      <c r="U566" s="1" t="s">
        <v>212</v>
      </c>
      <c r="V566" s="1" t="s">
        <v>563</v>
      </c>
      <c r="W566" s="1" t="s">
        <v>232</v>
      </c>
      <c r="X566" s="1" t="s">
        <v>214</v>
      </c>
      <c r="Y566" s="1" t="s">
        <v>1005</v>
      </c>
      <c r="Z566" s="1" t="str">
        <f t="shared" si="24"/>
        <v>1702 2</v>
      </c>
      <c r="AA566" s="3">
        <f>IF(INDEX('CAMD Facility Data 2023'!$AA$2:$AE$10000,MATCH(Z566,'CAMD Facility Data 2023'!$AE$2:$AE$10000,0),1)&gt;0,INDEX('CAMD Facility Data 2023'!$AA$2:$AE$10000,MATCH(Z566,'CAMD Facility Data 2023'!$AE$2:$AE$10000,0),1),"")</f>
        <v>20637</v>
      </c>
      <c r="AB566" s="5">
        <f>IF(INDEX('CAMD Facility Data 2023'!$AC$2:$AE$10000,MATCH(Z566,'CAMD Facility Data 2023'!$AE$2:$AE$10000,0),1)&gt;0,INDEX('CAMD Facility Data 2023'!$AC$2:$AE$10000,MATCH(Z566,'CAMD Facility Data 2023'!$AE$2:$AE$10000,0),1),"")</f>
        <v>3100</v>
      </c>
      <c r="AC566" s="1" t="str">
        <f>IF(INDEX('CAMD Facility Data 2023'!$AE$2:$AG$10000,MATCH(Z566,'CAMD Facility Data 2023'!$AE$2:$AE$10000,0),3)&gt;0,INDEX('CAMD Facility Data 2023'!$AE$2:$AG$10000,MATCH(Z566,'CAMD Facility Data 2023'!$AE$2:$AE$10000,0),3),"")</f>
        <v>Y</v>
      </c>
      <c r="AD566" s="20">
        <f t="shared" si="25"/>
        <v>0.62382973647357431</v>
      </c>
      <c r="AE566" s="25">
        <f t="shared" si="26"/>
        <v>6.8562446199734867E-2</v>
      </c>
    </row>
    <row r="567" spans="1:31" x14ac:dyDescent="0.2">
      <c r="A567" s="1" t="s">
        <v>1621</v>
      </c>
      <c r="B567" s="1" t="s">
        <v>1622</v>
      </c>
      <c r="C567" s="1">
        <v>1702</v>
      </c>
      <c r="D567" s="1">
        <v>3</v>
      </c>
      <c r="E567" s="1" t="s">
        <v>1627</v>
      </c>
      <c r="F567" s="1">
        <v>2023</v>
      </c>
      <c r="G567" s="5">
        <v>244</v>
      </c>
      <c r="H567" s="5">
        <v>227.92</v>
      </c>
      <c r="J567" s="5">
        <v>213201.16</v>
      </c>
      <c r="K567" s="5">
        <v>34.667999999999999</v>
      </c>
      <c r="L567" s="5">
        <v>9.9699999999999997E-2</v>
      </c>
      <c r="M567" s="5">
        <v>20718.538</v>
      </c>
      <c r="N567" s="6">
        <v>6.0400000000000002E-2</v>
      </c>
      <c r="O567" s="5">
        <v>30.655999999999999</v>
      </c>
      <c r="P567" s="6">
        <v>8.2100000000000006E-2</v>
      </c>
      <c r="Q567" s="5">
        <v>323594.42200000002</v>
      </c>
      <c r="R567" s="1" t="s">
        <v>44</v>
      </c>
      <c r="S567" s="1" t="s">
        <v>173</v>
      </c>
      <c r="T567" s="1" t="s">
        <v>89</v>
      </c>
      <c r="V567" s="1" t="s">
        <v>90</v>
      </c>
      <c r="Y567" s="1" t="s">
        <v>461</v>
      </c>
      <c r="Z567" s="1" t="str">
        <f t="shared" si="24"/>
        <v>1702 3</v>
      </c>
      <c r="AA567" s="3">
        <f>IF(INDEX('CAMD Facility Data 2023'!$AA$2:$AE$10000,MATCH(Z567,'CAMD Facility Data 2023'!$AE$2:$AE$10000,0),1)&gt;0,INDEX('CAMD Facility Data 2023'!$AA$2:$AE$10000,MATCH(Z567,'CAMD Facility Data 2023'!$AE$2:$AE$10000,0),1),"")</f>
        <v>27030</v>
      </c>
      <c r="AB567" s="5">
        <f>IF(INDEX('CAMD Facility Data 2023'!$AC$2:$AE$10000,MATCH(Z567,'CAMD Facility Data 2023'!$AE$2:$AE$10000,0),1)&gt;0,INDEX('CAMD Facility Data 2023'!$AC$2:$AE$10000,MATCH(Z567,'CAMD Facility Data 2023'!$AE$2:$AE$10000,0),1),"")</f>
        <v>10856.4</v>
      </c>
      <c r="AC567" s="1" t="str">
        <f>IF(INDEX('CAMD Facility Data 2023'!$AE$2:$AG$10000,MATCH(Z567,'CAMD Facility Data 2023'!$AE$2:$AE$10000,0),3)&gt;0,INDEX('CAMD Facility Data 2023'!$AE$2:$AG$10000,MATCH(Z567,'CAMD Facility Data 2023'!$AE$2:$AE$10000,0),3),"")</f>
        <v/>
      </c>
      <c r="AD567" s="20" t="str">
        <f t="shared" si="25"/>
        <v/>
      </c>
      <c r="AE567" s="25">
        <f t="shared" si="26"/>
        <v>3.4026014619409316E-3</v>
      </c>
    </row>
    <row r="568" spans="1:31" x14ac:dyDescent="0.2">
      <c r="A568" s="1" t="s">
        <v>1621</v>
      </c>
      <c r="B568" s="1" t="s">
        <v>1622</v>
      </c>
      <c r="C568" s="1">
        <v>1702</v>
      </c>
      <c r="D568" s="1">
        <v>4</v>
      </c>
      <c r="E568" s="1" t="s">
        <v>1627</v>
      </c>
      <c r="F568" s="1">
        <v>2023</v>
      </c>
      <c r="G568" s="5">
        <v>389</v>
      </c>
      <c r="H568" s="5">
        <v>375.32</v>
      </c>
      <c r="J568" s="5">
        <v>280669.96999999997</v>
      </c>
      <c r="K568" s="5">
        <v>3.2080000000000002</v>
      </c>
      <c r="L568" s="5">
        <v>2.53E-2</v>
      </c>
      <c r="M568" s="5">
        <v>24756.385999999999</v>
      </c>
      <c r="N568" s="6">
        <v>5.8999999999999997E-2</v>
      </c>
      <c r="O568" s="5">
        <v>20.117000000000001</v>
      </c>
      <c r="P568" s="6">
        <v>7.4499999999999997E-2</v>
      </c>
      <c r="Q568" s="5">
        <v>417552.99200000003</v>
      </c>
      <c r="R568" s="1" t="s">
        <v>44</v>
      </c>
      <c r="S568" s="1" t="s">
        <v>173</v>
      </c>
      <c r="T568" s="1" t="s">
        <v>89</v>
      </c>
      <c r="V568" s="1" t="s">
        <v>90</v>
      </c>
      <c r="Y568" s="1" t="s">
        <v>461</v>
      </c>
      <c r="Z568" s="1" t="str">
        <f t="shared" si="24"/>
        <v>1702 4</v>
      </c>
      <c r="AA568" s="3">
        <f>IF(INDEX('CAMD Facility Data 2023'!$AA$2:$AE$10000,MATCH(Z568,'CAMD Facility Data 2023'!$AE$2:$AE$10000,0),1)&gt;0,INDEX('CAMD Facility Data 2023'!$AA$2:$AE$10000,MATCH(Z568,'CAMD Facility Data 2023'!$AE$2:$AE$10000,0),1),"")</f>
        <v>28126</v>
      </c>
      <c r="AB568" s="5">
        <f>IF(INDEX('CAMD Facility Data 2023'!$AC$2:$AE$10000,MATCH(Z568,'CAMD Facility Data 2023'!$AE$2:$AE$10000,0),1)&gt;0,INDEX('CAMD Facility Data 2023'!$AC$2:$AE$10000,MATCH(Z568,'CAMD Facility Data 2023'!$AE$2:$AE$10000,0),1),"")</f>
        <v>11475.5</v>
      </c>
      <c r="AC568" s="1" t="str">
        <f>IF(INDEX('CAMD Facility Data 2023'!$AE$2:$AG$10000,MATCH(Z568,'CAMD Facility Data 2023'!$AE$2:$AE$10000,0),3)&gt;0,INDEX('CAMD Facility Data 2023'!$AE$2:$AG$10000,MATCH(Z568,'CAMD Facility Data 2023'!$AE$2:$AE$10000,0),3),"")</f>
        <v/>
      </c>
      <c r="AD568" s="20" t="str">
        <f t="shared" si="25"/>
        <v/>
      </c>
      <c r="AE568" s="25">
        <f t="shared" si="26"/>
        <v>4.1537071732531631E-3</v>
      </c>
    </row>
    <row r="569" spans="1:31" x14ac:dyDescent="0.2">
      <c r="A569" s="1" t="s">
        <v>1621</v>
      </c>
      <c r="B569" s="1" t="s">
        <v>1630</v>
      </c>
      <c r="C569" s="1">
        <v>1710</v>
      </c>
      <c r="D569" s="1">
        <v>1</v>
      </c>
      <c r="F569" s="1">
        <v>2023</v>
      </c>
      <c r="G569" s="5">
        <v>6427</v>
      </c>
      <c r="H569" s="5">
        <v>6416.25</v>
      </c>
      <c r="I569" s="5">
        <v>1343999.5</v>
      </c>
      <c r="K569" s="5">
        <v>1825.2470000000001</v>
      </c>
      <c r="L569" s="5">
        <v>0.26279999999999998</v>
      </c>
      <c r="M569" s="5">
        <v>1426936.33</v>
      </c>
      <c r="N569" s="6">
        <v>0.105</v>
      </c>
      <c r="O569" s="5">
        <v>1066.5609999999999</v>
      </c>
      <c r="P569" s="6">
        <v>0.16009999999999999</v>
      </c>
      <c r="Q569" s="5">
        <v>13605385.301000001</v>
      </c>
      <c r="R569" s="1" t="s">
        <v>55</v>
      </c>
      <c r="T569" s="1" t="s">
        <v>43</v>
      </c>
      <c r="U569" s="1" t="s">
        <v>1009</v>
      </c>
      <c r="V569" s="1" t="s">
        <v>213</v>
      </c>
      <c r="W569" s="1" t="s">
        <v>232</v>
      </c>
      <c r="X569" s="1" t="s">
        <v>214</v>
      </c>
      <c r="Y569" s="1" t="s">
        <v>1005</v>
      </c>
      <c r="Z569" s="1" t="str">
        <f t="shared" si="24"/>
        <v>1710 1</v>
      </c>
      <c r="AA569" s="3">
        <f>IF(INDEX('CAMD Facility Data 2023'!$AA$2:$AE$10000,MATCH(Z569,'CAMD Facility Data 2023'!$AE$2:$AE$10000,0),1)&gt;0,INDEX('CAMD Facility Data 2023'!$AA$2:$AE$10000,MATCH(Z569,'CAMD Facility Data 2023'!$AE$2:$AE$10000,0),1),"")</f>
        <v>22859</v>
      </c>
      <c r="AB569" s="5">
        <f>IF(INDEX('CAMD Facility Data 2023'!$AC$2:$AE$10000,MATCH(Z569,'CAMD Facility Data 2023'!$AE$2:$AE$10000,0),1)&gt;0,INDEX('CAMD Facility Data 2023'!$AC$2:$AE$10000,MATCH(Z569,'CAMD Facility Data 2023'!$AE$2:$AE$10000,0),1),"")</f>
        <v>3237</v>
      </c>
      <c r="AC569" s="1" t="str">
        <f>IF(INDEX('CAMD Facility Data 2023'!$AE$2:$AG$10000,MATCH(Z569,'CAMD Facility Data 2023'!$AE$2:$AE$10000,0),3)&gt;0,INDEX('CAMD Facility Data 2023'!$AE$2:$AG$10000,MATCH(Z569,'CAMD Facility Data 2023'!$AE$2:$AE$10000,0),3),"")</f>
        <v/>
      </c>
      <c r="AD569" s="20">
        <f t="shared" si="25"/>
        <v>1.5871449356938006</v>
      </c>
      <c r="AE569" s="25">
        <f t="shared" si="26"/>
        <v>0.47980419397999446</v>
      </c>
    </row>
    <row r="570" spans="1:31" x14ac:dyDescent="0.2">
      <c r="A570" s="1" t="s">
        <v>1621</v>
      </c>
      <c r="B570" s="1" t="s">
        <v>1630</v>
      </c>
      <c r="C570" s="1">
        <v>1710</v>
      </c>
      <c r="D570" s="1">
        <v>2</v>
      </c>
      <c r="F570" s="1">
        <v>2023</v>
      </c>
      <c r="G570" s="5">
        <v>3842</v>
      </c>
      <c r="H570" s="5">
        <v>3836.13</v>
      </c>
      <c r="I570" s="5">
        <v>858609.6</v>
      </c>
      <c r="K570" s="5">
        <v>1178.21</v>
      </c>
      <c r="L570" s="5">
        <v>0.27279999999999999</v>
      </c>
      <c r="M570" s="5">
        <v>892125.78399999999</v>
      </c>
      <c r="N570" s="6">
        <v>0.105</v>
      </c>
      <c r="O570" s="5">
        <v>213.08699999999999</v>
      </c>
      <c r="P570" s="6">
        <v>5.1499999999999997E-2</v>
      </c>
      <c r="Q570" s="5">
        <v>8506133.5519999992</v>
      </c>
      <c r="R570" s="1" t="s">
        <v>55</v>
      </c>
      <c r="T570" s="1" t="s">
        <v>86</v>
      </c>
      <c r="U570" s="1" t="s">
        <v>1009</v>
      </c>
      <c r="V570" s="1" t="s">
        <v>1633</v>
      </c>
      <c r="W570" s="1" t="s">
        <v>232</v>
      </c>
      <c r="X570" s="1" t="s">
        <v>214</v>
      </c>
      <c r="Y570" s="1" t="s">
        <v>1005</v>
      </c>
      <c r="Z570" s="1" t="str">
        <f t="shared" si="24"/>
        <v>1710 2</v>
      </c>
      <c r="AA570" s="3">
        <f>IF(INDEX('CAMD Facility Data 2023'!$AA$2:$AE$10000,MATCH(Z570,'CAMD Facility Data 2023'!$AE$2:$AE$10000,0),1)&gt;0,INDEX('CAMD Facility Data 2023'!$AA$2:$AE$10000,MATCH(Z570,'CAMD Facility Data 2023'!$AE$2:$AE$10000,0),1),"")</f>
        <v>24593</v>
      </c>
      <c r="AB570" s="5">
        <f>IF(INDEX('CAMD Facility Data 2023'!$AC$2:$AE$10000,MATCH(Z570,'CAMD Facility Data 2023'!$AE$2:$AE$10000,0),1)&gt;0,INDEX('CAMD Facility Data 2023'!$AC$2:$AE$10000,MATCH(Z570,'CAMD Facility Data 2023'!$AE$2:$AE$10000,0),1),"")</f>
        <v>4270</v>
      </c>
      <c r="AC570" s="1" t="str">
        <f>IF(INDEX('CAMD Facility Data 2023'!$AE$2:$AG$10000,MATCH(Z570,'CAMD Facility Data 2023'!$AE$2:$AE$10000,0),3)&gt;0,INDEX('CAMD Facility Data 2023'!$AE$2:$AG$10000,MATCH(Z570,'CAMD Facility Data 2023'!$AE$2:$AE$10000,0),3),"")</f>
        <v>Y</v>
      </c>
      <c r="AD570" s="20">
        <f t="shared" si="25"/>
        <v>0.49635363965182783</v>
      </c>
      <c r="AE570" s="25">
        <f t="shared" si="26"/>
        <v>0.22740510816677892</v>
      </c>
    </row>
    <row r="571" spans="1:31" x14ac:dyDescent="0.2">
      <c r="A571" s="1" t="s">
        <v>1621</v>
      </c>
      <c r="B571" s="1" t="s">
        <v>1630</v>
      </c>
      <c r="C571" s="1">
        <v>1710</v>
      </c>
      <c r="D571" s="1">
        <v>3</v>
      </c>
      <c r="F571" s="1">
        <v>2023</v>
      </c>
      <c r="G571" s="5">
        <v>6553</v>
      </c>
      <c r="H571" s="5">
        <v>6542.49</v>
      </c>
      <c r="I571" s="5">
        <v>4949709.45</v>
      </c>
      <c r="K571" s="5">
        <v>1217.085</v>
      </c>
      <c r="L571" s="5">
        <v>5.5100000000000003E-2</v>
      </c>
      <c r="M571" s="5">
        <v>4995109.5460000001</v>
      </c>
      <c r="N571" s="6">
        <v>0.105</v>
      </c>
      <c r="O571" s="5">
        <v>1254.203</v>
      </c>
      <c r="P571" s="6">
        <v>5.3600000000000002E-2</v>
      </c>
      <c r="Q571" s="5">
        <v>47626885.931999996</v>
      </c>
      <c r="R571" s="1" t="s">
        <v>55</v>
      </c>
      <c r="T571" s="1" t="s">
        <v>89</v>
      </c>
      <c r="U571" s="1" t="s">
        <v>212</v>
      </c>
      <c r="V571" s="1" t="s">
        <v>563</v>
      </c>
      <c r="W571" s="1" t="s">
        <v>232</v>
      </c>
      <c r="X571" s="1" t="s">
        <v>214</v>
      </c>
      <c r="Y571" s="1" t="s">
        <v>1005</v>
      </c>
      <c r="Z571" s="1" t="str">
        <f t="shared" si="24"/>
        <v>1710 3</v>
      </c>
      <c r="AA571" s="3">
        <f>IF(INDEX('CAMD Facility Data 2023'!$AA$2:$AE$10000,MATCH(Z571,'CAMD Facility Data 2023'!$AE$2:$AE$10000,0),1)&gt;0,INDEX('CAMD Facility Data 2023'!$AA$2:$AE$10000,MATCH(Z571,'CAMD Facility Data 2023'!$AE$2:$AE$10000,0),1),"")</f>
        <v>29373</v>
      </c>
      <c r="AB571" s="5">
        <f>IF(INDEX('CAMD Facility Data 2023'!$AC$2:$AE$10000,MATCH(Z571,'CAMD Facility Data 2023'!$AE$2:$AE$10000,0),1)&gt;0,INDEX('CAMD Facility Data 2023'!$AC$2:$AE$10000,MATCH(Z571,'CAMD Facility Data 2023'!$AE$2:$AE$10000,0),1),"")</f>
        <v>9909.7000000000007</v>
      </c>
      <c r="AC571" s="1" t="str">
        <f>IF(INDEX('CAMD Facility Data 2023'!$AE$2:$AG$10000,MATCH(Z571,'CAMD Facility Data 2023'!$AE$2:$AE$10000,0),3)&gt;0,INDEX('CAMD Facility Data 2023'!$AE$2:$AG$10000,MATCH(Z571,'CAMD Facility Data 2023'!$AE$2:$AE$10000,0),3),"")</f>
        <v>Y</v>
      </c>
      <c r="AD571" s="20">
        <f t="shared" si="25"/>
        <v>0.50677843322702509</v>
      </c>
      <c r="AE571" s="25">
        <f t="shared" si="26"/>
        <v>0.54864013286552915</v>
      </c>
    </row>
    <row r="572" spans="1:31" x14ac:dyDescent="0.2">
      <c r="A572" s="1" t="s">
        <v>1621</v>
      </c>
      <c r="B572" s="1" t="s">
        <v>1637</v>
      </c>
      <c r="C572" s="1">
        <v>1728</v>
      </c>
      <c r="D572" s="1" t="s">
        <v>1638</v>
      </c>
      <c r="F572" s="1">
        <v>2023</v>
      </c>
      <c r="G572" s="5">
        <v>212</v>
      </c>
      <c r="H572" s="5">
        <v>186.66</v>
      </c>
      <c r="I572" s="5">
        <v>12064.76</v>
      </c>
      <c r="K572" s="5">
        <v>4.3999999999999997E-2</v>
      </c>
      <c r="L572" s="5">
        <v>1E-3</v>
      </c>
      <c r="M572" s="5">
        <v>8636.9179999999997</v>
      </c>
      <c r="N572" s="6">
        <v>5.91E-2</v>
      </c>
      <c r="O572" s="5">
        <v>2.355</v>
      </c>
      <c r="P572" s="6">
        <v>3.27E-2</v>
      </c>
      <c r="Q572" s="5">
        <v>145332.82500000001</v>
      </c>
      <c r="R572" s="1" t="s">
        <v>44</v>
      </c>
      <c r="T572" s="1" t="s">
        <v>93</v>
      </c>
      <c r="V572" s="1" t="s">
        <v>140</v>
      </c>
      <c r="Y572" s="1" t="s">
        <v>461</v>
      </c>
      <c r="Z572" s="1" t="str">
        <f t="shared" si="24"/>
        <v>1728 CTG111</v>
      </c>
      <c r="AA572" s="3">
        <f>IF(INDEX('CAMD Facility Data 2023'!$AA$2:$AE$10000,MATCH(Z572,'CAMD Facility Data 2023'!$AE$2:$AE$10000,0),1)&gt;0,INDEX('CAMD Facility Data 2023'!$AA$2:$AE$10000,MATCH(Z572,'CAMD Facility Data 2023'!$AE$2:$AE$10000,0),1),"")</f>
        <v>36406</v>
      </c>
      <c r="AB572" s="5">
        <f>IF(INDEX('CAMD Facility Data 2023'!$AC$2:$AE$10000,MATCH(Z572,'CAMD Facility Data 2023'!$AE$2:$AE$10000,0),1)&gt;0,INDEX('CAMD Facility Data 2023'!$AC$2:$AE$10000,MATCH(Z572,'CAMD Facility Data 2023'!$AE$2:$AE$10000,0),1),"")</f>
        <v>1000</v>
      </c>
      <c r="AC572" s="1" t="str">
        <f>IF(INDEX('CAMD Facility Data 2023'!$AE$2:$AG$10000,MATCH(Z572,'CAMD Facility Data 2023'!$AE$2:$AE$10000,0),3)&gt;0,INDEX('CAMD Facility Data 2023'!$AE$2:$AG$10000,MATCH(Z572,'CAMD Facility Data 2023'!$AE$2:$AE$10000,0),3),"")</f>
        <v/>
      </c>
      <c r="AD572" s="20">
        <f t="shared" si="25"/>
        <v>0.39039317814859142</v>
      </c>
      <c r="AE572" s="25">
        <f t="shared" si="26"/>
        <v>1.6590505136986303E-2</v>
      </c>
    </row>
    <row r="573" spans="1:31" x14ac:dyDescent="0.2">
      <c r="A573" s="1" t="s">
        <v>1621</v>
      </c>
      <c r="B573" s="1" t="s">
        <v>1637</v>
      </c>
      <c r="C573" s="1">
        <v>1728</v>
      </c>
      <c r="D573" s="1" t="s">
        <v>1643</v>
      </c>
      <c r="F573" s="1">
        <v>2023</v>
      </c>
      <c r="G573" s="5">
        <v>183</v>
      </c>
      <c r="H573" s="5">
        <v>166.19</v>
      </c>
      <c r="I573" s="5">
        <v>10770.92</v>
      </c>
      <c r="K573" s="5">
        <v>3.5000000000000003E-2</v>
      </c>
      <c r="L573" s="5">
        <v>1E-3</v>
      </c>
      <c r="M573" s="5">
        <v>6934.5889999999999</v>
      </c>
      <c r="N573" s="6">
        <v>5.8999999999999997E-2</v>
      </c>
      <c r="O573" s="5">
        <v>2.5190000000000001</v>
      </c>
      <c r="P573" s="6">
        <v>4.3299999999999998E-2</v>
      </c>
      <c r="Q573" s="5">
        <v>116677.86199999999</v>
      </c>
      <c r="R573" s="1" t="s">
        <v>44</v>
      </c>
      <c r="T573" s="1" t="s">
        <v>93</v>
      </c>
      <c r="V573" s="1" t="s">
        <v>140</v>
      </c>
      <c r="Y573" s="1" t="s">
        <v>461</v>
      </c>
      <c r="Z573" s="1" t="str">
        <f t="shared" si="24"/>
        <v>1728 CTG121</v>
      </c>
      <c r="AA573" s="3">
        <f>IF(INDEX('CAMD Facility Data 2023'!$AA$2:$AE$10000,MATCH(Z573,'CAMD Facility Data 2023'!$AE$2:$AE$10000,0),1)&gt;0,INDEX('CAMD Facility Data 2023'!$AA$2:$AE$10000,MATCH(Z573,'CAMD Facility Data 2023'!$AE$2:$AE$10000,0),1),"")</f>
        <v>36508</v>
      </c>
      <c r="AB573" s="5">
        <f>IF(INDEX('CAMD Facility Data 2023'!$AC$2:$AE$10000,MATCH(Z573,'CAMD Facility Data 2023'!$AE$2:$AE$10000,0),1)&gt;0,INDEX('CAMD Facility Data 2023'!$AC$2:$AE$10000,MATCH(Z573,'CAMD Facility Data 2023'!$AE$2:$AE$10000,0),1),"")</f>
        <v>950</v>
      </c>
      <c r="AC573" s="1" t="str">
        <f>IF(INDEX('CAMD Facility Data 2023'!$AE$2:$AG$10000,MATCH(Z573,'CAMD Facility Data 2023'!$AE$2:$AE$10000,0),3)&gt;0,INDEX('CAMD Facility Data 2023'!$AE$2:$AG$10000,MATCH(Z573,'CAMD Facility Data 2023'!$AE$2:$AE$10000,0),3),"")</f>
        <v/>
      </c>
      <c r="AD573" s="20">
        <f t="shared" si="25"/>
        <v>0.46774091721041472</v>
      </c>
      <c r="AE573" s="25">
        <f t="shared" si="26"/>
        <v>1.4020411199230953E-2</v>
      </c>
    </row>
    <row r="574" spans="1:31" x14ac:dyDescent="0.2">
      <c r="A574" s="1" t="s">
        <v>1621</v>
      </c>
      <c r="B574" s="1" t="s">
        <v>1645</v>
      </c>
      <c r="C574" s="1">
        <v>1730</v>
      </c>
      <c r="D574" s="1" t="s">
        <v>1643</v>
      </c>
      <c r="F574" s="1">
        <v>2023</v>
      </c>
      <c r="G574" s="5">
        <v>38</v>
      </c>
      <c r="H574" s="5">
        <v>31.84</v>
      </c>
      <c r="I574" s="5">
        <v>1184.1600000000001</v>
      </c>
      <c r="K574" s="5">
        <v>5.0000000000000001E-3</v>
      </c>
      <c r="L574" s="5">
        <v>8.0000000000000004E-4</v>
      </c>
      <c r="M574" s="5">
        <v>990.4</v>
      </c>
      <c r="N574" s="6">
        <v>5.74E-2</v>
      </c>
      <c r="O574" s="5">
        <v>5.8769999999999998</v>
      </c>
      <c r="P574" s="6">
        <v>0.70040000000000002</v>
      </c>
      <c r="Q574" s="5">
        <v>16790.5</v>
      </c>
      <c r="R574" s="1" t="s">
        <v>44</v>
      </c>
      <c r="T574" s="1" t="s">
        <v>93</v>
      </c>
      <c r="Y574" s="1" t="s">
        <v>1020</v>
      </c>
      <c r="Z574" s="1" t="str">
        <f t="shared" si="24"/>
        <v>1730 CTG121</v>
      </c>
      <c r="AA574" s="3">
        <f>IF(INDEX('CAMD Facility Data 2023'!$AA$2:$AE$10000,MATCH(Z574,'CAMD Facility Data 2023'!$AE$2:$AE$10000,0),1)&gt;0,INDEX('CAMD Facility Data 2023'!$AA$2:$AE$10000,MATCH(Z574,'CAMD Facility Data 2023'!$AE$2:$AE$10000,0),1),"")</f>
        <v>25709</v>
      </c>
      <c r="AB574" s="5">
        <f>IF(INDEX('CAMD Facility Data 2023'!$AC$2:$AE$10000,MATCH(Z574,'CAMD Facility Data 2023'!$AE$2:$AE$10000,0),1)&gt;0,INDEX('CAMD Facility Data 2023'!$AC$2:$AE$10000,MATCH(Z574,'CAMD Facility Data 2023'!$AE$2:$AE$10000,0),1),"")</f>
        <v>514.1</v>
      </c>
      <c r="AC574" s="1" t="str">
        <f>IF(INDEX('CAMD Facility Data 2023'!$AE$2:$AG$10000,MATCH(Z574,'CAMD Facility Data 2023'!$AE$2:$AE$10000,0),3)&gt;0,INDEX('CAMD Facility Data 2023'!$AE$2:$AG$10000,MATCH(Z574,'CAMD Facility Data 2023'!$AE$2:$AE$10000,0),3),"")</f>
        <v/>
      </c>
      <c r="AD574" s="20">
        <f t="shared" si="25"/>
        <v>9.9260235103364405</v>
      </c>
      <c r="AE574" s="25">
        <f t="shared" si="26"/>
        <v>3.7283091699907363E-3</v>
      </c>
    </row>
    <row r="575" spans="1:31" x14ac:dyDescent="0.2">
      <c r="A575" s="1" t="s">
        <v>1621</v>
      </c>
      <c r="B575" s="1" t="s">
        <v>1645</v>
      </c>
      <c r="C575" s="1">
        <v>1730</v>
      </c>
      <c r="D575" s="1" t="s">
        <v>1649</v>
      </c>
      <c r="F575" s="1">
        <v>2023</v>
      </c>
      <c r="G575" s="5">
        <v>42</v>
      </c>
      <c r="H575" s="5">
        <v>34.049999999999997</v>
      </c>
      <c r="I575" s="5">
        <v>1266.93</v>
      </c>
      <c r="K575" s="5">
        <v>5.0000000000000001E-3</v>
      </c>
      <c r="L575" s="5">
        <v>8.0000000000000004E-4</v>
      </c>
      <c r="M575" s="5">
        <v>1075.2</v>
      </c>
      <c r="N575" s="6">
        <v>5.8999999999999997E-2</v>
      </c>
      <c r="O575" s="5">
        <v>6.3780000000000001</v>
      </c>
      <c r="P575" s="6">
        <v>0.70020000000000004</v>
      </c>
      <c r="Q575" s="5">
        <v>18220.400000000001</v>
      </c>
      <c r="R575" s="1" t="s">
        <v>44</v>
      </c>
      <c r="T575" s="1" t="s">
        <v>93</v>
      </c>
      <c r="Y575" s="1" t="s">
        <v>1020</v>
      </c>
      <c r="Z575" s="1" t="str">
        <f t="shared" si="24"/>
        <v>1730 CTG122</v>
      </c>
      <c r="AA575" s="3">
        <f>IF(INDEX('CAMD Facility Data 2023'!$AA$2:$AE$10000,MATCH(Z575,'CAMD Facility Data 2023'!$AE$2:$AE$10000,0),1)&gt;0,INDEX('CAMD Facility Data 2023'!$AA$2:$AE$10000,MATCH(Z575,'CAMD Facility Data 2023'!$AE$2:$AE$10000,0),1),"")</f>
        <v>24227</v>
      </c>
      <c r="AB575" s="5">
        <f>IF(INDEX('CAMD Facility Data 2023'!$AC$2:$AE$10000,MATCH(Z575,'CAMD Facility Data 2023'!$AE$2:$AE$10000,0),1)&gt;0,INDEX('CAMD Facility Data 2023'!$AC$2:$AE$10000,MATCH(Z575,'CAMD Facility Data 2023'!$AE$2:$AE$10000,0),1),"")</f>
        <v>514.1</v>
      </c>
      <c r="AC575" s="1" t="str">
        <f>IF(INDEX('CAMD Facility Data 2023'!$AE$2:$AG$10000,MATCH(Z575,'CAMD Facility Data 2023'!$AE$2:$AE$10000,0),3)&gt;0,INDEX('CAMD Facility Data 2023'!$AE$2:$AG$10000,MATCH(Z575,'CAMD Facility Data 2023'!$AE$2:$AE$10000,0),3),"")</f>
        <v/>
      </c>
      <c r="AD575" s="20">
        <f t="shared" si="25"/>
        <v>10.068433141531102</v>
      </c>
      <c r="AE575" s="25">
        <f t="shared" si="26"/>
        <v>4.0458166463714128E-3</v>
      </c>
    </row>
    <row r="576" spans="1:31" x14ac:dyDescent="0.2">
      <c r="A576" s="1" t="s">
        <v>1621</v>
      </c>
      <c r="B576" s="1" t="s">
        <v>1651</v>
      </c>
      <c r="C576" s="1">
        <v>1733</v>
      </c>
      <c r="D576" s="1">
        <v>1</v>
      </c>
      <c r="F576" s="1">
        <v>2023</v>
      </c>
      <c r="G576" s="5">
        <v>4777</v>
      </c>
      <c r="H576" s="5">
        <v>4764.72</v>
      </c>
      <c r="I576" s="5">
        <v>2581033.15</v>
      </c>
      <c r="K576" s="5">
        <v>670.28399999999999</v>
      </c>
      <c r="L576" s="5">
        <v>5.1299999999999998E-2</v>
      </c>
      <c r="M576" s="5">
        <v>2616719.4190000002</v>
      </c>
      <c r="N576" s="6">
        <v>0.105</v>
      </c>
      <c r="O576" s="5">
        <v>752.31299999999999</v>
      </c>
      <c r="P576" s="6">
        <v>6.5199999999999994E-2</v>
      </c>
      <c r="Q576" s="5">
        <v>24949238.368000001</v>
      </c>
      <c r="R576" s="1" t="s">
        <v>55</v>
      </c>
      <c r="S576" s="1" t="s">
        <v>94</v>
      </c>
      <c r="T576" s="1" t="s">
        <v>86</v>
      </c>
      <c r="U576" s="1" t="s">
        <v>56</v>
      </c>
      <c r="V576" s="1" t="s">
        <v>1633</v>
      </c>
      <c r="W576" s="1" t="s">
        <v>58</v>
      </c>
      <c r="Y576" s="1" t="s">
        <v>1005</v>
      </c>
      <c r="Z576" s="1" t="str">
        <f t="shared" si="24"/>
        <v>1733 1</v>
      </c>
      <c r="AA576" s="3">
        <f>IF(INDEX('CAMD Facility Data 2023'!$AA$2:$AE$10000,MATCH(Z576,'CAMD Facility Data 2023'!$AE$2:$AE$10000,0),1)&gt;0,INDEX('CAMD Facility Data 2023'!$AA$2:$AE$10000,MATCH(Z576,'CAMD Facility Data 2023'!$AE$2:$AE$10000,0),1),"")</f>
        <v>25993</v>
      </c>
      <c r="AB576" s="5">
        <f>IF(INDEX('CAMD Facility Data 2023'!$AC$2:$AE$10000,MATCH(Z576,'CAMD Facility Data 2023'!$AE$2:$AE$10000,0),1)&gt;0,INDEX('CAMD Facility Data 2023'!$AC$2:$AE$10000,MATCH(Z576,'CAMD Facility Data 2023'!$AE$2:$AE$10000,0),1),"")</f>
        <v>8000</v>
      </c>
      <c r="AC576" s="1" t="str">
        <f>IF(INDEX('CAMD Facility Data 2023'!$AE$2:$AG$10000,MATCH(Z576,'CAMD Facility Data 2023'!$AE$2:$AE$10000,0),3)&gt;0,INDEX('CAMD Facility Data 2023'!$AE$2:$AG$10000,MATCH(Z576,'CAMD Facility Data 2023'!$AE$2:$AE$10000,0),3),"")</f>
        <v>Y</v>
      </c>
      <c r="AD576" s="20">
        <f t="shared" si="25"/>
        <v>0.58295493027666079</v>
      </c>
      <c r="AE576" s="25">
        <f t="shared" si="26"/>
        <v>0.35601082146118723</v>
      </c>
    </row>
    <row r="577" spans="1:31" x14ac:dyDescent="0.2">
      <c r="A577" s="1" t="s">
        <v>1621</v>
      </c>
      <c r="B577" s="1" t="s">
        <v>1651</v>
      </c>
      <c r="C577" s="1">
        <v>1733</v>
      </c>
      <c r="D577" s="1">
        <v>2</v>
      </c>
      <c r="F577" s="1">
        <v>2023</v>
      </c>
      <c r="G577" s="5">
        <v>7782</v>
      </c>
      <c r="H577" s="5">
        <v>7774.43</v>
      </c>
      <c r="I577" s="5">
        <v>4052737.05</v>
      </c>
      <c r="K577" s="5">
        <v>754.274</v>
      </c>
      <c r="L577" s="5">
        <v>3.73E-2</v>
      </c>
      <c r="M577" s="5">
        <v>4180434.5249999999</v>
      </c>
      <c r="N577" s="6">
        <v>0.105</v>
      </c>
      <c r="O577" s="5">
        <v>1303.847</v>
      </c>
      <c r="P577" s="6">
        <v>6.7699999999999996E-2</v>
      </c>
      <c r="Q577" s="5">
        <v>39859248.903999999</v>
      </c>
      <c r="R577" s="1" t="s">
        <v>55</v>
      </c>
      <c r="S577" s="1" t="s">
        <v>94</v>
      </c>
      <c r="T577" s="1" t="s">
        <v>86</v>
      </c>
      <c r="U577" s="1" t="s">
        <v>56</v>
      </c>
      <c r="V577" s="1" t="s">
        <v>1633</v>
      </c>
      <c r="W577" s="1" t="s">
        <v>58</v>
      </c>
      <c r="Y577" s="1" t="s">
        <v>1005</v>
      </c>
      <c r="Z577" s="1" t="str">
        <f t="shared" si="24"/>
        <v>1733 2</v>
      </c>
      <c r="AA577" s="3">
        <f>IF(INDEX('CAMD Facility Data 2023'!$AA$2:$AE$10000,MATCH(Z577,'CAMD Facility Data 2023'!$AE$2:$AE$10000,0),1)&gt;0,INDEX('CAMD Facility Data 2023'!$AA$2:$AE$10000,MATCH(Z577,'CAMD Facility Data 2023'!$AE$2:$AE$10000,0),1),"")</f>
        <v>26634</v>
      </c>
      <c r="AB577" s="5">
        <f>IF(INDEX('CAMD Facility Data 2023'!$AC$2:$AE$10000,MATCH(Z577,'CAMD Facility Data 2023'!$AE$2:$AE$10000,0),1)&gt;0,INDEX('CAMD Facility Data 2023'!$AC$2:$AE$10000,MATCH(Z577,'CAMD Facility Data 2023'!$AE$2:$AE$10000,0),1),"")</f>
        <v>8220</v>
      </c>
      <c r="AC577" s="1" t="str">
        <f>IF(INDEX('CAMD Facility Data 2023'!$AE$2:$AG$10000,MATCH(Z577,'CAMD Facility Data 2023'!$AE$2:$AE$10000,0),3)&gt;0,INDEX('CAMD Facility Data 2023'!$AE$2:$AG$10000,MATCH(Z577,'CAMD Facility Data 2023'!$AE$2:$AE$10000,0),3),"")</f>
        <v>Y</v>
      </c>
      <c r="AD577" s="20">
        <f t="shared" si="25"/>
        <v>0.64344021529844875</v>
      </c>
      <c r="AE577" s="25">
        <f t="shared" si="26"/>
        <v>0.55354532468975326</v>
      </c>
    </row>
    <row r="578" spans="1:31" x14ac:dyDescent="0.2">
      <c r="A578" s="1" t="s">
        <v>1621</v>
      </c>
      <c r="B578" s="1" t="s">
        <v>1651</v>
      </c>
      <c r="C578" s="1">
        <v>1733</v>
      </c>
      <c r="D578" s="1">
        <v>3</v>
      </c>
      <c r="F578" s="1">
        <v>2023</v>
      </c>
      <c r="G578" s="5">
        <v>6623</v>
      </c>
      <c r="H578" s="5">
        <v>6602.17</v>
      </c>
      <c r="I578" s="5">
        <v>3321869.2</v>
      </c>
      <c r="K578" s="5">
        <v>800.14</v>
      </c>
      <c r="L578" s="5">
        <v>6.0100000000000001E-2</v>
      </c>
      <c r="M578" s="5">
        <v>3213600.145</v>
      </c>
      <c r="N578" s="6">
        <v>0.10489999999999999</v>
      </c>
      <c r="O578" s="5">
        <v>960.75199999999995</v>
      </c>
      <c r="P578" s="6">
        <v>6.6900000000000001E-2</v>
      </c>
      <c r="Q578" s="5">
        <v>30624081.407000002</v>
      </c>
      <c r="R578" s="1" t="s">
        <v>55</v>
      </c>
      <c r="S578" s="1" t="s">
        <v>94</v>
      </c>
      <c r="T578" s="1" t="s">
        <v>86</v>
      </c>
      <c r="U578" s="1" t="s">
        <v>56</v>
      </c>
      <c r="V578" s="1" t="s">
        <v>1633</v>
      </c>
      <c r="W578" s="1" t="s">
        <v>58</v>
      </c>
      <c r="Y578" s="1" t="s">
        <v>1005</v>
      </c>
      <c r="Z578" s="1" t="str">
        <f t="shared" si="24"/>
        <v>1733 3</v>
      </c>
      <c r="AA578" s="3">
        <f>IF(INDEX('CAMD Facility Data 2023'!$AA$2:$AE$10000,MATCH(Z578,'CAMD Facility Data 2023'!$AE$2:$AE$10000,0),1)&gt;0,INDEX('CAMD Facility Data 2023'!$AA$2:$AE$10000,MATCH(Z578,'CAMD Facility Data 2023'!$AE$2:$AE$10000,0),1),"")</f>
        <v>26696</v>
      </c>
      <c r="AB578" s="5">
        <f>IF(INDEX('CAMD Facility Data 2023'!$AC$2:$AE$10000,MATCH(Z578,'CAMD Facility Data 2023'!$AE$2:$AE$10000,0),1)&gt;0,INDEX('CAMD Facility Data 2023'!$AC$2:$AE$10000,MATCH(Z578,'CAMD Facility Data 2023'!$AE$2:$AE$10000,0),1),"")</f>
        <v>8200</v>
      </c>
      <c r="AC578" s="1" t="str">
        <f>IF(INDEX('CAMD Facility Data 2023'!$AE$2:$AG$10000,MATCH(Z578,'CAMD Facility Data 2023'!$AE$2:$AE$10000,0),3)&gt;0,INDEX('CAMD Facility Data 2023'!$AE$2:$AG$10000,MATCH(Z578,'CAMD Facility Data 2023'!$AE$2:$AE$10000,0),3),"")</f>
        <v>Y</v>
      </c>
      <c r="AD578" s="20">
        <f t="shared" si="25"/>
        <v>0.57844059603550912</v>
      </c>
      <c r="AE578" s="25">
        <f t="shared" si="26"/>
        <v>0.42632923219456514</v>
      </c>
    </row>
    <row r="579" spans="1:31" x14ac:dyDescent="0.2">
      <c r="A579" s="1" t="s">
        <v>1621</v>
      </c>
      <c r="B579" s="1" t="s">
        <v>1651</v>
      </c>
      <c r="C579" s="1">
        <v>1733</v>
      </c>
      <c r="D579" s="1">
        <v>4</v>
      </c>
      <c r="F579" s="1">
        <v>2023</v>
      </c>
      <c r="G579" s="5">
        <v>5341</v>
      </c>
      <c r="H579" s="5">
        <v>5323.79</v>
      </c>
      <c r="I579" s="5">
        <v>2571451.4300000002</v>
      </c>
      <c r="K579" s="5">
        <v>611.16999999999996</v>
      </c>
      <c r="L579" s="5">
        <v>5.5199999999999999E-2</v>
      </c>
      <c r="M579" s="5">
        <v>2465466.8259999999</v>
      </c>
      <c r="N579" s="6">
        <v>0.105</v>
      </c>
      <c r="O579" s="5">
        <v>807.97199999999998</v>
      </c>
      <c r="P579" s="6">
        <v>7.6799999999999993E-2</v>
      </c>
      <c r="Q579" s="5">
        <v>23494723.535</v>
      </c>
      <c r="R579" s="1" t="s">
        <v>55</v>
      </c>
      <c r="S579" s="1" t="s">
        <v>94</v>
      </c>
      <c r="T579" s="1" t="s">
        <v>86</v>
      </c>
      <c r="U579" s="1" t="s">
        <v>56</v>
      </c>
      <c r="V579" s="1" t="s">
        <v>1633</v>
      </c>
      <c r="W579" s="1" t="s">
        <v>58</v>
      </c>
      <c r="Y579" s="1" t="s">
        <v>1005</v>
      </c>
      <c r="Z579" s="1" t="str">
        <f t="shared" ref="Z579:Z642" si="27">C579&amp;" "&amp;D579</f>
        <v>1733 4</v>
      </c>
      <c r="AA579" s="3">
        <f>IF(INDEX('CAMD Facility Data 2023'!$AA$2:$AE$10000,MATCH(Z579,'CAMD Facility Data 2023'!$AE$2:$AE$10000,0),1)&gt;0,INDEX('CAMD Facility Data 2023'!$AA$2:$AE$10000,MATCH(Z579,'CAMD Facility Data 2023'!$AE$2:$AE$10000,0),1),"")</f>
        <v>27061</v>
      </c>
      <c r="AB579" s="5">
        <f>IF(INDEX('CAMD Facility Data 2023'!$AC$2:$AE$10000,MATCH(Z579,'CAMD Facility Data 2023'!$AE$2:$AE$10000,0),1)&gt;0,INDEX('CAMD Facility Data 2023'!$AC$2:$AE$10000,MATCH(Z579,'CAMD Facility Data 2023'!$AE$2:$AE$10000,0),1),"")</f>
        <v>8005</v>
      </c>
      <c r="AC579" s="1" t="str">
        <f>IF(INDEX('CAMD Facility Data 2023'!$AE$2:$AG$10000,MATCH(Z579,'CAMD Facility Data 2023'!$AE$2:$AE$10000,0),3)&gt;0,INDEX('CAMD Facility Data 2023'!$AE$2:$AG$10000,MATCH(Z579,'CAMD Facility Data 2023'!$AE$2:$AE$10000,0),3),"")</f>
        <v>Y</v>
      </c>
      <c r="AD579" s="20">
        <f t="shared" ref="AD579:AD642" si="28">IF(ISNUMBER(O579*2000/I579),O579*2000/I579,"")</f>
        <v>0.62841708038794253</v>
      </c>
      <c r="AE579" s="25">
        <f t="shared" ref="AE579:AE642" si="29">Q579/(AB579*8760)</f>
        <v>0.33504635423351276</v>
      </c>
    </row>
    <row r="580" spans="1:31" x14ac:dyDescent="0.2">
      <c r="A580" s="1" t="s">
        <v>1621</v>
      </c>
      <c r="B580" s="1" t="s">
        <v>1658</v>
      </c>
      <c r="C580" s="1">
        <v>1866</v>
      </c>
      <c r="D580" s="1">
        <v>5</v>
      </c>
      <c r="F580" s="1">
        <v>2023</v>
      </c>
      <c r="G580" s="5">
        <v>0</v>
      </c>
      <c r="H580" s="5">
        <v>0</v>
      </c>
      <c r="R580" s="1" t="s">
        <v>44</v>
      </c>
      <c r="T580" s="1" t="s">
        <v>1660</v>
      </c>
      <c r="Y580" s="1" t="s">
        <v>461</v>
      </c>
      <c r="Z580" s="1" t="str">
        <f t="shared" si="27"/>
        <v>1866 5</v>
      </c>
      <c r="AA580" s="3">
        <f>IF(INDEX('CAMD Facility Data 2023'!$AA$2:$AE$10000,MATCH(Z580,'CAMD Facility Data 2023'!$AE$2:$AE$10000,0),1)&gt;0,INDEX('CAMD Facility Data 2023'!$AA$2:$AE$10000,MATCH(Z580,'CAMD Facility Data 2023'!$AE$2:$AE$10000,0),1),"")</f>
        <v>21337</v>
      </c>
      <c r="AB580" s="5">
        <f>IF(INDEX('CAMD Facility Data 2023'!$AC$2:$AE$10000,MATCH(Z580,'CAMD Facility Data 2023'!$AE$2:$AE$10000,0),1)&gt;0,INDEX('CAMD Facility Data 2023'!$AC$2:$AE$10000,MATCH(Z580,'CAMD Facility Data 2023'!$AE$2:$AE$10000,0),1),"")</f>
        <v>260</v>
      </c>
      <c r="AC580" s="1" t="str">
        <f>IF(INDEX('CAMD Facility Data 2023'!$AE$2:$AG$10000,MATCH(Z580,'CAMD Facility Data 2023'!$AE$2:$AE$10000,0),3)&gt;0,INDEX('CAMD Facility Data 2023'!$AE$2:$AG$10000,MATCH(Z580,'CAMD Facility Data 2023'!$AE$2:$AE$10000,0),3),"")</f>
        <v/>
      </c>
      <c r="AD580" s="20" t="str">
        <f t="shared" si="28"/>
        <v/>
      </c>
      <c r="AE580" s="25">
        <f t="shared" si="29"/>
        <v>0</v>
      </c>
    </row>
    <row r="581" spans="1:31" x14ac:dyDescent="0.2">
      <c r="A581" s="1" t="s">
        <v>1621</v>
      </c>
      <c r="B581" s="1" t="s">
        <v>1658</v>
      </c>
      <c r="C581" s="1">
        <v>1866</v>
      </c>
      <c r="D581" s="1">
        <v>7</v>
      </c>
      <c r="F581" s="1">
        <v>2023</v>
      </c>
      <c r="G581" s="5">
        <v>0</v>
      </c>
      <c r="H581" s="5">
        <v>0</v>
      </c>
      <c r="R581" s="1" t="s">
        <v>44</v>
      </c>
      <c r="T581" s="1" t="s">
        <v>89</v>
      </c>
      <c r="V581" s="1" t="s">
        <v>90</v>
      </c>
      <c r="W581" s="1" t="s">
        <v>58</v>
      </c>
      <c r="Y581" s="1" t="s">
        <v>461</v>
      </c>
      <c r="Z581" s="1" t="str">
        <f t="shared" si="27"/>
        <v>1866 7</v>
      </c>
      <c r="AA581" s="3">
        <f>IF(INDEX('CAMD Facility Data 2023'!$AA$2:$AE$10000,MATCH(Z581,'CAMD Facility Data 2023'!$AE$2:$AE$10000,0),1)&gt;0,INDEX('CAMD Facility Data 2023'!$AA$2:$AE$10000,MATCH(Z581,'CAMD Facility Data 2023'!$AE$2:$AE$10000,0),1),"")</f>
        <v>30147</v>
      </c>
      <c r="AB581" s="5">
        <f>IF(INDEX('CAMD Facility Data 2023'!$AC$2:$AE$10000,MATCH(Z581,'CAMD Facility Data 2023'!$AE$2:$AE$10000,0),1)&gt;0,INDEX('CAMD Facility Data 2023'!$AC$2:$AE$10000,MATCH(Z581,'CAMD Facility Data 2023'!$AE$2:$AE$10000,0),1),"")</f>
        <v>439</v>
      </c>
      <c r="AC581" s="1" t="str">
        <f>IF(INDEX('CAMD Facility Data 2023'!$AE$2:$AG$10000,MATCH(Z581,'CAMD Facility Data 2023'!$AE$2:$AE$10000,0),3)&gt;0,INDEX('CAMD Facility Data 2023'!$AE$2:$AG$10000,MATCH(Z581,'CAMD Facility Data 2023'!$AE$2:$AE$10000,0),3),"")</f>
        <v/>
      </c>
      <c r="AD581" s="20" t="str">
        <f t="shared" si="28"/>
        <v/>
      </c>
      <c r="AE581" s="25">
        <f t="shared" si="29"/>
        <v>0</v>
      </c>
    </row>
    <row r="582" spans="1:31" x14ac:dyDescent="0.2">
      <c r="A582" s="1" t="s">
        <v>1663</v>
      </c>
      <c r="B582" s="1" t="s">
        <v>1664</v>
      </c>
      <c r="C582" s="1">
        <v>1891</v>
      </c>
      <c r="D582" s="1">
        <v>1</v>
      </c>
      <c r="E582" s="1" t="s">
        <v>1665</v>
      </c>
      <c r="F582" s="1">
        <v>2023</v>
      </c>
      <c r="G582" s="5">
        <v>2275</v>
      </c>
      <c r="H582" s="5">
        <v>2248.7399999999998</v>
      </c>
      <c r="I582" s="5">
        <v>59763.53</v>
      </c>
      <c r="K582" s="5">
        <v>0.64500000000000002</v>
      </c>
      <c r="L582" s="5">
        <v>2E-3</v>
      </c>
      <c r="M582" s="5">
        <v>45623.398999999998</v>
      </c>
      <c r="N582" s="6">
        <v>5.9299999999999999E-2</v>
      </c>
      <c r="O582" s="5">
        <v>35.683999999999997</v>
      </c>
      <c r="P582" s="6">
        <v>9.4600000000000004E-2</v>
      </c>
      <c r="Q582" s="5">
        <v>767697.82900000003</v>
      </c>
      <c r="R582" s="1" t="s">
        <v>284</v>
      </c>
      <c r="T582" s="1" t="s">
        <v>43</v>
      </c>
      <c r="V582" s="1" t="s">
        <v>242</v>
      </c>
      <c r="Y582" s="1" t="s">
        <v>1666</v>
      </c>
      <c r="Z582" s="1" t="str">
        <f t="shared" si="27"/>
        <v>1891 1</v>
      </c>
      <c r="AA582" s="3">
        <f>IF(INDEX('CAMD Facility Data 2023'!$AA$2:$AE$10000,MATCH(Z582,'CAMD Facility Data 2023'!$AE$2:$AE$10000,0),1)&gt;0,INDEX('CAMD Facility Data 2023'!$AA$2:$AE$10000,MATCH(Z582,'CAMD Facility Data 2023'!$AE$2:$AE$10000,0),1),"")</f>
        <v>19478</v>
      </c>
      <c r="AB582" s="5">
        <f>IF(INDEX('CAMD Facility Data 2023'!$AC$2:$AE$10000,MATCH(Z582,'CAMD Facility Data 2023'!$AE$2:$AE$10000,0),1)&gt;0,INDEX('CAMD Facility Data 2023'!$AC$2:$AE$10000,MATCH(Z582,'CAMD Facility Data 2023'!$AE$2:$AE$10000,0),1),"")</f>
        <v>660</v>
      </c>
      <c r="AC582" s="1" t="str">
        <f>IF(INDEX('CAMD Facility Data 2023'!$AE$2:$AG$10000,MATCH(Z582,'CAMD Facility Data 2023'!$AE$2:$AE$10000,0),3)&gt;0,INDEX('CAMD Facility Data 2023'!$AE$2:$AG$10000,MATCH(Z582,'CAMD Facility Data 2023'!$AE$2:$AE$10000,0),3),"")</f>
        <v/>
      </c>
      <c r="AD582" s="20">
        <f t="shared" si="28"/>
        <v>1.1941731018900656</v>
      </c>
      <c r="AE582" s="25">
        <f t="shared" si="29"/>
        <v>0.13278293707624186</v>
      </c>
    </row>
    <row r="583" spans="1:31" x14ac:dyDescent="0.2">
      <c r="A583" s="1" t="s">
        <v>1663</v>
      </c>
      <c r="B583" s="1" t="s">
        <v>1664</v>
      </c>
      <c r="C583" s="1">
        <v>1891</v>
      </c>
      <c r="D583" s="1">
        <v>2</v>
      </c>
      <c r="E583" s="1" t="s">
        <v>1665</v>
      </c>
      <c r="F583" s="1">
        <v>2023</v>
      </c>
      <c r="G583" s="5">
        <v>1908</v>
      </c>
      <c r="H583" s="5">
        <v>1884.26</v>
      </c>
      <c r="I583" s="5">
        <v>49543.33</v>
      </c>
      <c r="K583" s="5">
        <v>0.54400000000000004</v>
      </c>
      <c r="L583" s="5">
        <v>2E-3</v>
      </c>
      <c r="M583" s="5">
        <v>38491.779000000002</v>
      </c>
      <c r="N583" s="6">
        <v>5.9200000000000003E-2</v>
      </c>
      <c r="O583" s="5">
        <v>31.114000000000001</v>
      </c>
      <c r="P583" s="6">
        <v>9.7900000000000001E-2</v>
      </c>
      <c r="Q583" s="5">
        <v>647716.15099999995</v>
      </c>
      <c r="R583" s="1" t="s">
        <v>284</v>
      </c>
      <c r="T583" s="1" t="s">
        <v>43</v>
      </c>
      <c r="V583" s="1" t="s">
        <v>242</v>
      </c>
      <c r="Y583" s="1" t="s">
        <v>1666</v>
      </c>
      <c r="Z583" s="1" t="str">
        <f t="shared" si="27"/>
        <v>1891 2</v>
      </c>
      <c r="AA583" s="3">
        <f>IF(INDEX('CAMD Facility Data 2023'!$AA$2:$AE$10000,MATCH(Z583,'CAMD Facility Data 2023'!$AE$2:$AE$10000,0),1)&gt;0,INDEX('CAMD Facility Data 2023'!$AA$2:$AE$10000,MATCH(Z583,'CAMD Facility Data 2023'!$AE$2:$AE$10000,0),1),"")</f>
        <v>19600</v>
      </c>
      <c r="AB583" s="5">
        <f>IF(INDEX('CAMD Facility Data 2023'!$AC$2:$AE$10000,MATCH(Z583,'CAMD Facility Data 2023'!$AE$2:$AE$10000,0),1)&gt;0,INDEX('CAMD Facility Data 2023'!$AC$2:$AE$10000,MATCH(Z583,'CAMD Facility Data 2023'!$AE$2:$AE$10000,0),1),"")</f>
        <v>660</v>
      </c>
      <c r="AC583" s="1" t="str">
        <f>IF(INDEX('CAMD Facility Data 2023'!$AE$2:$AG$10000,MATCH(Z583,'CAMD Facility Data 2023'!$AE$2:$AE$10000,0),3)&gt;0,INDEX('CAMD Facility Data 2023'!$AE$2:$AG$10000,MATCH(Z583,'CAMD Facility Data 2023'!$AE$2:$AE$10000,0),3),"")</f>
        <v/>
      </c>
      <c r="AD583" s="20">
        <f t="shared" si="28"/>
        <v>1.2560318412185858</v>
      </c>
      <c r="AE583" s="25">
        <f t="shared" si="29"/>
        <v>0.11203060588764355</v>
      </c>
    </row>
    <row r="584" spans="1:31" x14ac:dyDescent="0.2">
      <c r="A584" s="1" t="s">
        <v>1663</v>
      </c>
      <c r="B584" s="1" t="s">
        <v>1672</v>
      </c>
      <c r="C584" s="1">
        <v>1893</v>
      </c>
      <c r="D584" s="1">
        <v>3</v>
      </c>
      <c r="F584" s="1">
        <v>2023</v>
      </c>
      <c r="G584" s="5">
        <v>7762</v>
      </c>
      <c r="H584" s="5">
        <v>7741.47</v>
      </c>
      <c r="I584" s="5">
        <v>2335890.9300000002</v>
      </c>
      <c r="K584" s="5">
        <v>170.83199999999999</v>
      </c>
      <c r="L584" s="5">
        <v>1.61E-2</v>
      </c>
      <c r="M584" s="5">
        <v>2464472.8459999999</v>
      </c>
      <c r="N584" s="6">
        <v>0.1038</v>
      </c>
      <c r="O584" s="5">
        <v>648.70100000000002</v>
      </c>
      <c r="P584" s="6">
        <v>5.3999999999999999E-2</v>
      </c>
      <c r="Q584" s="5">
        <v>23522734.159000002</v>
      </c>
      <c r="R584" s="1" t="s">
        <v>55</v>
      </c>
      <c r="S584" s="1" t="s">
        <v>44</v>
      </c>
      <c r="T584" s="1" t="s">
        <v>43</v>
      </c>
      <c r="U584" s="1" t="s">
        <v>56</v>
      </c>
      <c r="V584" s="1" t="s">
        <v>855</v>
      </c>
      <c r="W584" s="1" t="s">
        <v>232</v>
      </c>
      <c r="X584" s="1" t="s">
        <v>344</v>
      </c>
      <c r="Y584" s="1" t="s">
        <v>205</v>
      </c>
      <c r="Z584" s="1" t="str">
        <f t="shared" si="27"/>
        <v>1893 3</v>
      </c>
      <c r="AA584" s="3">
        <f>IF(INDEX('CAMD Facility Data 2023'!$AA$2:$AE$10000,MATCH(Z584,'CAMD Facility Data 2023'!$AE$2:$AE$10000,0),1)&gt;0,INDEX('CAMD Facility Data 2023'!$AA$2:$AE$10000,MATCH(Z584,'CAMD Facility Data 2023'!$AE$2:$AE$10000,0),1),"")</f>
        <v>26696</v>
      </c>
      <c r="AB584" s="5">
        <f>IF(INDEX('CAMD Facility Data 2023'!$AC$2:$AE$10000,MATCH(Z584,'CAMD Facility Data 2023'!$AE$2:$AE$10000,0),1)&gt;0,INDEX('CAMD Facility Data 2023'!$AC$2:$AE$10000,MATCH(Z584,'CAMD Facility Data 2023'!$AE$2:$AE$10000,0),1),"")</f>
        <v>4500</v>
      </c>
      <c r="AC584" s="1" t="str">
        <f>IF(INDEX('CAMD Facility Data 2023'!$AE$2:$AG$10000,MATCH(Z584,'CAMD Facility Data 2023'!$AE$2:$AE$10000,0),3)&gt;0,INDEX('CAMD Facility Data 2023'!$AE$2:$AG$10000,MATCH(Z584,'CAMD Facility Data 2023'!$AE$2:$AE$10000,0),3),"")</f>
        <v>Y</v>
      </c>
      <c r="AD584" s="20">
        <f t="shared" si="28"/>
        <v>0.55542062488337152</v>
      </c>
      <c r="AE584" s="25">
        <f t="shared" si="29"/>
        <v>0.5967208056570269</v>
      </c>
    </row>
    <row r="585" spans="1:31" x14ac:dyDescent="0.2">
      <c r="A585" s="1" t="s">
        <v>1663</v>
      </c>
      <c r="B585" s="1" t="s">
        <v>1672</v>
      </c>
      <c r="C585" s="1">
        <v>1893</v>
      </c>
      <c r="D585" s="1">
        <v>4</v>
      </c>
      <c r="F585" s="1">
        <v>2023</v>
      </c>
      <c r="G585" s="5">
        <v>6589</v>
      </c>
      <c r="H585" s="5">
        <v>6579.52</v>
      </c>
      <c r="I585" s="5">
        <v>3167054.45</v>
      </c>
      <c r="K585" s="5">
        <v>407.79300000000001</v>
      </c>
      <c r="L585" s="5">
        <v>2.7099999999999999E-2</v>
      </c>
      <c r="M585" s="5">
        <v>3218145.5</v>
      </c>
      <c r="N585" s="6">
        <v>0.104</v>
      </c>
      <c r="O585" s="5">
        <v>1686.6030000000001</v>
      </c>
      <c r="P585" s="6">
        <v>0.1071</v>
      </c>
      <c r="Q585" s="5">
        <v>30706645.934999999</v>
      </c>
      <c r="R585" s="1" t="s">
        <v>55</v>
      </c>
      <c r="T585" s="1" t="s">
        <v>43</v>
      </c>
      <c r="U585" s="1" t="s">
        <v>1009</v>
      </c>
      <c r="V585" s="1" t="s">
        <v>1677</v>
      </c>
      <c r="W585" s="1" t="s">
        <v>232</v>
      </c>
      <c r="X585" s="1" t="s">
        <v>214</v>
      </c>
      <c r="Y585" s="1" t="s">
        <v>205</v>
      </c>
      <c r="Z585" s="1" t="str">
        <f t="shared" si="27"/>
        <v>1893 4</v>
      </c>
      <c r="AA585" s="3">
        <f>IF(INDEX('CAMD Facility Data 2023'!$AA$2:$AE$10000,MATCH(Z585,'CAMD Facility Data 2023'!$AE$2:$AE$10000,0),1)&gt;0,INDEX('CAMD Facility Data 2023'!$AA$2:$AE$10000,MATCH(Z585,'CAMD Facility Data 2023'!$AE$2:$AE$10000,0),1),"")</f>
        <v>29342</v>
      </c>
      <c r="AB585" s="5">
        <f>IF(INDEX('CAMD Facility Data 2023'!$AC$2:$AE$10000,MATCH(Z585,'CAMD Facility Data 2023'!$AE$2:$AE$10000,0),1)&gt;0,INDEX('CAMD Facility Data 2023'!$AC$2:$AE$10000,MATCH(Z585,'CAMD Facility Data 2023'!$AE$2:$AE$10000,0),1),"")</f>
        <v>7000</v>
      </c>
      <c r="AC585" s="1" t="str">
        <f>IF(INDEX('CAMD Facility Data 2023'!$AE$2:$AG$10000,MATCH(Z585,'CAMD Facility Data 2023'!$AE$2:$AE$10000,0),3)&gt;0,INDEX('CAMD Facility Data 2023'!$AE$2:$AG$10000,MATCH(Z585,'CAMD Facility Data 2023'!$AE$2:$AE$10000,0),3),"")</f>
        <v>Y</v>
      </c>
      <c r="AD585" s="20">
        <f t="shared" si="28"/>
        <v>1.0650925183809201</v>
      </c>
      <c r="AE585" s="25">
        <f t="shared" si="29"/>
        <v>0.50076069691780822</v>
      </c>
    </row>
    <row r="586" spans="1:31" x14ac:dyDescent="0.2">
      <c r="A586" s="1" t="s">
        <v>1663</v>
      </c>
      <c r="B586" s="1" t="s">
        <v>1679</v>
      </c>
      <c r="C586" s="1">
        <v>1897</v>
      </c>
      <c r="D586" s="1">
        <v>3</v>
      </c>
      <c r="E586" s="1" t="s">
        <v>1665</v>
      </c>
      <c r="F586" s="1">
        <v>2023</v>
      </c>
      <c r="G586" s="5">
        <v>3150</v>
      </c>
      <c r="H586" s="5">
        <v>3119.66</v>
      </c>
      <c r="J586" s="5">
        <v>500889.83</v>
      </c>
      <c r="K586" s="5">
        <v>21.530999999999999</v>
      </c>
      <c r="L586" s="5">
        <v>4.7500000000000001E-2</v>
      </c>
      <c r="M586" s="5">
        <v>88736.528000000006</v>
      </c>
      <c r="N586" s="6">
        <v>0.1021</v>
      </c>
      <c r="O586" s="5">
        <v>141.374</v>
      </c>
      <c r="P586" s="6">
        <v>0.3196</v>
      </c>
      <c r="Q586" s="5">
        <v>853345.74699999997</v>
      </c>
      <c r="R586" s="1" t="s">
        <v>657</v>
      </c>
      <c r="S586" s="1" t="s">
        <v>55</v>
      </c>
      <c r="T586" s="1" t="s">
        <v>1660</v>
      </c>
      <c r="W586" s="1" t="s">
        <v>58</v>
      </c>
      <c r="Y586" s="1" t="s">
        <v>1666</v>
      </c>
      <c r="Z586" s="1" t="str">
        <f t="shared" si="27"/>
        <v>1897 3</v>
      </c>
      <c r="AA586" s="3">
        <f>IF(INDEX('CAMD Facility Data 2023'!$AA$2:$AE$10000,MATCH(Z586,'CAMD Facility Data 2023'!$AE$2:$AE$10000,0),1)&gt;0,INDEX('CAMD Facility Data 2023'!$AA$2:$AE$10000,MATCH(Z586,'CAMD Facility Data 2023'!$AE$2:$AE$10000,0),1),"")</f>
        <v>18080</v>
      </c>
      <c r="AB586" s="5">
        <f>IF(INDEX('CAMD Facility Data 2023'!$AC$2:$AE$10000,MATCH(Z586,'CAMD Facility Data 2023'!$AE$2:$AE$10000,0),1)&gt;0,INDEX('CAMD Facility Data 2023'!$AC$2:$AE$10000,MATCH(Z586,'CAMD Facility Data 2023'!$AE$2:$AE$10000,0),1),"")</f>
        <v>686</v>
      </c>
      <c r="AC586" s="1" t="str">
        <f>IF(INDEX('CAMD Facility Data 2023'!$AE$2:$AG$10000,MATCH(Z586,'CAMD Facility Data 2023'!$AE$2:$AE$10000,0),3)&gt;0,INDEX('CAMD Facility Data 2023'!$AE$2:$AG$10000,MATCH(Z586,'CAMD Facility Data 2023'!$AE$2:$AE$10000,0),3),"")</f>
        <v/>
      </c>
      <c r="AD586" s="20" t="str">
        <f t="shared" si="28"/>
        <v/>
      </c>
      <c r="AE586" s="25">
        <f t="shared" si="29"/>
        <v>0.14200276685038007</v>
      </c>
    </row>
    <row r="587" spans="1:31" x14ac:dyDescent="0.2">
      <c r="A587" s="1" t="s">
        <v>1663</v>
      </c>
      <c r="B587" s="1" t="s">
        <v>1679</v>
      </c>
      <c r="C587" s="1">
        <v>1897</v>
      </c>
      <c r="D587" s="1">
        <v>4</v>
      </c>
      <c r="E587" s="1" t="s">
        <v>1665</v>
      </c>
      <c r="F587" s="1">
        <v>2023</v>
      </c>
      <c r="G587" s="5">
        <v>2233</v>
      </c>
      <c r="H587" s="5">
        <v>2204.69</v>
      </c>
      <c r="J587" s="5">
        <v>314691.83</v>
      </c>
      <c r="K587" s="5">
        <v>14.61</v>
      </c>
      <c r="L587" s="5">
        <v>5.21E-2</v>
      </c>
      <c r="M587" s="5">
        <v>53211.813000000002</v>
      </c>
      <c r="N587" s="6">
        <v>0.1014</v>
      </c>
      <c r="O587" s="5">
        <v>85.370999999999995</v>
      </c>
      <c r="P587" s="6">
        <v>0.31530000000000002</v>
      </c>
      <c r="Q587" s="5">
        <v>512576.37099999998</v>
      </c>
      <c r="R587" s="1" t="s">
        <v>657</v>
      </c>
      <c r="S587" s="1" t="s">
        <v>55</v>
      </c>
      <c r="T587" s="1" t="s">
        <v>1660</v>
      </c>
      <c r="W587" s="1" t="s">
        <v>58</v>
      </c>
      <c r="Y587" s="1" t="s">
        <v>1666</v>
      </c>
      <c r="Z587" s="1" t="str">
        <f t="shared" si="27"/>
        <v>1897 4</v>
      </c>
      <c r="AA587" s="3">
        <f>IF(INDEX('CAMD Facility Data 2023'!$AA$2:$AE$10000,MATCH(Z587,'CAMD Facility Data 2023'!$AE$2:$AE$10000,0),1)&gt;0,INDEX('CAMD Facility Data 2023'!$AA$2:$AE$10000,MATCH(Z587,'CAMD Facility Data 2023'!$AE$2:$AE$10000,0),1),"")</f>
        <v>18688</v>
      </c>
      <c r="AB587" s="5">
        <f>IF(INDEX('CAMD Facility Data 2023'!$AC$2:$AE$10000,MATCH(Z587,'CAMD Facility Data 2023'!$AE$2:$AE$10000,0),1)&gt;0,INDEX('CAMD Facility Data 2023'!$AC$2:$AE$10000,MATCH(Z587,'CAMD Facility Data 2023'!$AE$2:$AE$10000,0),1),"")</f>
        <v>661</v>
      </c>
      <c r="AC587" s="1" t="str">
        <f>IF(INDEX('CAMD Facility Data 2023'!$AE$2:$AG$10000,MATCH(Z587,'CAMD Facility Data 2023'!$AE$2:$AE$10000,0),3)&gt;0,INDEX('CAMD Facility Data 2023'!$AE$2:$AG$10000,MATCH(Z587,'CAMD Facility Data 2023'!$AE$2:$AE$10000,0),3),"")</f>
        <v/>
      </c>
      <c r="AD587" s="20" t="str">
        <f t="shared" si="28"/>
        <v/>
      </c>
      <c r="AE587" s="25">
        <f t="shared" si="29"/>
        <v>8.8522366657686216E-2</v>
      </c>
    </row>
    <row r="588" spans="1:31" x14ac:dyDescent="0.2">
      <c r="A588" s="1" t="s">
        <v>1663</v>
      </c>
      <c r="B588" s="1" t="s">
        <v>1683</v>
      </c>
      <c r="C588" s="1">
        <v>1904</v>
      </c>
      <c r="D588" s="1">
        <v>5</v>
      </c>
      <c r="F588" s="1">
        <v>2023</v>
      </c>
      <c r="G588" s="5">
        <v>5556</v>
      </c>
      <c r="H588" s="5">
        <v>5493.59</v>
      </c>
      <c r="I588" s="5">
        <v>1420854.76</v>
      </c>
      <c r="K588" s="5">
        <v>3.258</v>
      </c>
      <c r="L588" s="5">
        <v>1E-3</v>
      </c>
      <c r="M588" s="5">
        <v>638399.69499999995</v>
      </c>
      <c r="N588" s="6">
        <v>5.8999999999999997E-2</v>
      </c>
      <c r="O588" s="5">
        <v>79.040000000000006</v>
      </c>
      <c r="P588" s="6">
        <v>1.8700000000000001E-2</v>
      </c>
      <c r="Q588" s="5">
        <v>10742291.129000001</v>
      </c>
      <c r="R588" s="1" t="s">
        <v>44</v>
      </c>
      <c r="T588" s="1" t="s">
        <v>71</v>
      </c>
      <c r="V588" s="1" t="s">
        <v>223</v>
      </c>
      <c r="Y588" s="1" t="s">
        <v>1666</v>
      </c>
      <c r="Z588" s="1" t="str">
        <f t="shared" si="27"/>
        <v>1904 5</v>
      </c>
      <c r="AA588" s="3">
        <f>IF(INDEX('CAMD Facility Data 2023'!$AA$2:$AE$10000,MATCH(Z588,'CAMD Facility Data 2023'!$AE$2:$AE$10000,0),1)&gt;0,INDEX('CAMD Facility Data 2023'!$AA$2:$AE$10000,MATCH(Z588,'CAMD Facility Data 2023'!$AE$2:$AE$10000,0),1),"")</f>
        <v>37421</v>
      </c>
      <c r="AB588" s="5">
        <f>IF(INDEX('CAMD Facility Data 2023'!$AC$2:$AE$10000,MATCH(Z588,'CAMD Facility Data 2023'!$AE$2:$AE$10000,0),1)&gt;0,INDEX('CAMD Facility Data 2023'!$AC$2:$AE$10000,MATCH(Z588,'CAMD Facility Data 2023'!$AE$2:$AE$10000,0),1),"")</f>
        <v>2900</v>
      </c>
      <c r="AC588" s="1" t="str">
        <f>IF(INDEX('CAMD Facility Data 2023'!$AE$2:$AG$10000,MATCH(Z588,'CAMD Facility Data 2023'!$AE$2:$AE$10000,0),3)&gt;0,INDEX('CAMD Facility Data 2023'!$AE$2:$AG$10000,MATCH(Z588,'CAMD Facility Data 2023'!$AE$2:$AE$10000,0),3),"")</f>
        <v>Y</v>
      </c>
      <c r="AD588" s="20">
        <f t="shared" si="28"/>
        <v>0.11125697323208461</v>
      </c>
      <c r="AE588" s="25">
        <f t="shared" si="29"/>
        <v>0.42285825574712649</v>
      </c>
    </row>
    <row r="589" spans="1:31" x14ac:dyDescent="0.2">
      <c r="A589" s="1" t="s">
        <v>1663</v>
      </c>
      <c r="B589" s="1" t="s">
        <v>1683</v>
      </c>
      <c r="C589" s="1">
        <v>1904</v>
      </c>
      <c r="D589" s="1">
        <v>6</v>
      </c>
      <c r="F589" s="1">
        <v>2023</v>
      </c>
      <c r="G589" s="5">
        <v>2595</v>
      </c>
      <c r="H589" s="5">
        <v>2430.0500000000002</v>
      </c>
      <c r="I589" s="5">
        <v>413243.43</v>
      </c>
      <c r="K589" s="5">
        <v>1.3520000000000001</v>
      </c>
      <c r="L589" s="5">
        <v>1E-3</v>
      </c>
      <c r="M589" s="5">
        <v>267780.68</v>
      </c>
      <c r="N589" s="6">
        <v>5.8999999999999997E-2</v>
      </c>
      <c r="O589" s="5">
        <v>64.816000000000003</v>
      </c>
      <c r="P589" s="6">
        <v>3.1099999999999999E-2</v>
      </c>
      <c r="Q589" s="5">
        <v>4505877.3310000002</v>
      </c>
      <c r="R589" s="1" t="s">
        <v>44</v>
      </c>
      <c r="T589" s="1" t="s">
        <v>93</v>
      </c>
      <c r="Y589" s="1" t="s">
        <v>1666</v>
      </c>
      <c r="Z589" s="1" t="str">
        <f t="shared" si="27"/>
        <v>1904 6</v>
      </c>
      <c r="AA589" s="3">
        <f>IF(INDEX('CAMD Facility Data 2023'!$AA$2:$AE$10000,MATCH(Z589,'CAMD Facility Data 2023'!$AE$2:$AE$10000,0),1)&gt;0,INDEX('CAMD Facility Data 2023'!$AA$2:$AE$10000,MATCH(Z589,'CAMD Facility Data 2023'!$AE$2:$AE$10000,0),1),"")</f>
        <v>43180</v>
      </c>
      <c r="AB589" s="5">
        <f>IF(INDEX('CAMD Facility Data 2023'!$AC$2:$AE$10000,MATCH(Z589,'CAMD Facility Data 2023'!$AE$2:$AE$10000,0),1)&gt;0,INDEX('CAMD Facility Data 2023'!$AC$2:$AE$10000,MATCH(Z589,'CAMD Facility Data 2023'!$AE$2:$AE$10000,0),1),"")</f>
        <v>2420</v>
      </c>
      <c r="AC589" s="1" t="str">
        <f>IF(INDEX('CAMD Facility Data 2023'!$AE$2:$AG$10000,MATCH(Z589,'CAMD Facility Data 2023'!$AE$2:$AE$10000,0),3)&gt;0,INDEX('CAMD Facility Data 2023'!$AE$2:$AG$10000,MATCH(Z589,'CAMD Facility Data 2023'!$AE$2:$AE$10000,0),3),"")</f>
        <v/>
      </c>
      <c r="AD589" s="20">
        <f t="shared" si="28"/>
        <v>0.31369403743454555</v>
      </c>
      <c r="AE589" s="25">
        <f t="shared" si="29"/>
        <v>0.21254940426997246</v>
      </c>
    </row>
    <row r="590" spans="1:31" x14ac:dyDescent="0.2">
      <c r="A590" s="1" t="s">
        <v>1663</v>
      </c>
      <c r="B590" s="1" t="s">
        <v>1689</v>
      </c>
      <c r="C590" s="1">
        <v>1912</v>
      </c>
      <c r="D590" s="1">
        <v>7</v>
      </c>
      <c r="F590" s="1">
        <v>2023</v>
      </c>
      <c r="G590" s="5">
        <v>5305</v>
      </c>
      <c r="H590" s="5">
        <v>5260.37</v>
      </c>
      <c r="I590" s="5">
        <v>1347939.82</v>
      </c>
      <c r="K590" s="5">
        <v>2.972</v>
      </c>
      <c r="L590" s="5">
        <v>1E-3</v>
      </c>
      <c r="M590" s="5">
        <v>588712.00100000005</v>
      </c>
      <c r="N590" s="6">
        <v>5.8999999999999997E-2</v>
      </c>
      <c r="O590" s="5">
        <v>65.716999999999999</v>
      </c>
      <c r="P590" s="6">
        <v>1.4E-2</v>
      </c>
      <c r="Q590" s="5">
        <v>9906248.5580000002</v>
      </c>
      <c r="R590" s="1" t="s">
        <v>44</v>
      </c>
      <c r="T590" s="1" t="s">
        <v>71</v>
      </c>
      <c r="V590" s="1" t="s">
        <v>64</v>
      </c>
      <c r="Y590" s="1" t="s">
        <v>1666</v>
      </c>
      <c r="Z590" s="1" t="str">
        <f t="shared" si="27"/>
        <v>1912 7</v>
      </c>
      <c r="AA590" s="3">
        <f>IF(INDEX('CAMD Facility Data 2023'!$AA$2:$AE$10000,MATCH(Z590,'CAMD Facility Data 2023'!$AE$2:$AE$10000,0),1)&gt;0,INDEX('CAMD Facility Data 2023'!$AA$2:$AE$10000,MATCH(Z590,'CAMD Facility Data 2023'!$AE$2:$AE$10000,0),1),"")</f>
        <v>39491</v>
      </c>
      <c r="AB590" s="5">
        <f>IF(INDEX('CAMD Facility Data 2023'!$AC$2:$AE$10000,MATCH(Z590,'CAMD Facility Data 2023'!$AE$2:$AE$10000,0),1)&gt;0,INDEX('CAMD Facility Data 2023'!$AC$2:$AE$10000,MATCH(Z590,'CAMD Facility Data 2023'!$AE$2:$AE$10000,0),1),"")</f>
        <v>2400</v>
      </c>
      <c r="AC590" s="1" t="str">
        <f>IF(INDEX('CAMD Facility Data 2023'!$AE$2:$AG$10000,MATCH(Z590,'CAMD Facility Data 2023'!$AE$2:$AE$10000,0),3)&gt;0,INDEX('CAMD Facility Data 2023'!$AE$2:$AG$10000,MATCH(Z590,'CAMD Facility Data 2023'!$AE$2:$AE$10000,0),3),"")</f>
        <v>Y</v>
      </c>
      <c r="AD590" s="20">
        <f t="shared" si="28"/>
        <v>9.7507320467763905E-2</v>
      </c>
      <c r="AE590" s="25">
        <f t="shared" si="29"/>
        <v>0.47118762167047185</v>
      </c>
    </row>
    <row r="591" spans="1:31" x14ac:dyDescent="0.2">
      <c r="A591" s="1" t="s">
        <v>1663</v>
      </c>
      <c r="B591" s="1" t="s">
        <v>1689</v>
      </c>
      <c r="C591" s="1">
        <v>1912</v>
      </c>
      <c r="D591" s="1">
        <v>8</v>
      </c>
      <c r="F591" s="1">
        <v>2023</v>
      </c>
      <c r="G591" s="5">
        <v>4569</v>
      </c>
      <c r="H591" s="5">
        <v>4528.53</v>
      </c>
      <c r="I591" s="5">
        <v>1158463.3999999999</v>
      </c>
      <c r="K591" s="5">
        <v>2.532</v>
      </c>
      <c r="L591" s="5">
        <v>1E-3</v>
      </c>
      <c r="M591" s="5">
        <v>501648.77799999999</v>
      </c>
      <c r="N591" s="6">
        <v>5.8999999999999997E-2</v>
      </c>
      <c r="O591" s="5">
        <v>56.457999999999998</v>
      </c>
      <c r="P591" s="6">
        <v>1.44E-2</v>
      </c>
      <c r="Q591" s="5">
        <v>8441126.1270000003</v>
      </c>
      <c r="R591" s="1" t="s">
        <v>44</v>
      </c>
      <c r="T591" s="1" t="s">
        <v>71</v>
      </c>
      <c r="V591" s="1" t="s">
        <v>64</v>
      </c>
      <c r="Y591" s="1" t="s">
        <v>1666</v>
      </c>
      <c r="Z591" s="1" t="str">
        <f t="shared" si="27"/>
        <v>1912 8</v>
      </c>
      <c r="AA591" s="3">
        <f>IF(INDEX('CAMD Facility Data 2023'!$AA$2:$AE$10000,MATCH(Z591,'CAMD Facility Data 2023'!$AE$2:$AE$10000,0),1)&gt;0,INDEX('CAMD Facility Data 2023'!$AA$2:$AE$10000,MATCH(Z591,'CAMD Facility Data 2023'!$AE$2:$AE$10000,0),1),"")</f>
        <v>39505</v>
      </c>
      <c r="AB591" s="5">
        <f>IF(INDEX('CAMD Facility Data 2023'!$AC$2:$AE$10000,MATCH(Z591,'CAMD Facility Data 2023'!$AE$2:$AE$10000,0),1)&gt;0,INDEX('CAMD Facility Data 2023'!$AC$2:$AE$10000,MATCH(Z591,'CAMD Facility Data 2023'!$AE$2:$AE$10000,0),1),"")</f>
        <v>2400</v>
      </c>
      <c r="AC591" s="1" t="str">
        <f>IF(INDEX('CAMD Facility Data 2023'!$AE$2:$AG$10000,MATCH(Z591,'CAMD Facility Data 2023'!$AE$2:$AE$10000,0),3)&gt;0,INDEX('CAMD Facility Data 2023'!$AE$2:$AG$10000,MATCH(Z591,'CAMD Facility Data 2023'!$AE$2:$AE$10000,0),3),"")</f>
        <v>Y</v>
      </c>
      <c r="AD591" s="20">
        <f t="shared" si="28"/>
        <v>9.7470494104518107E-2</v>
      </c>
      <c r="AE591" s="25">
        <f t="shared" si="29"/>
        <v>0.40149953039383562</v>
      </c>
    </row>
    <row r="592" spans="1:31" x14ac:dyDescent="0.2">
      <c r="A592" s="1" t="s">
        <v>1663</v>
      </c>
      <c r="B592" s="1" t="s">
        <v>1695</v>
      </c>
      <c r="C592" s="1">
        <v>1913</v>
      </c>
      <c r="D592" s="1">
        <v>1</v>
      </c>
      <c r="F592" s="1">
        <v>2023</v>
      </c>
      <c r="G592" s="5">
        <v>391</v>
      </c>
      <c r="H592" s="5">
        <v>333.77</v>
      </c>
      <c r="I592" s="5">
        <v>6604.35</v>
      </c>
      <c r="K592" s="5">
        <v>3.7999999999999999E-2</v>
      </c>
      <c r="L592" s="5">
        <v>1E-3</v>
      </c>
      <c r="O592" s="5">
        <v>13.483000000000001</v>
      </c>
      <c r="P592" s="6">
        <v>0.2064</v>
      </c>
      <c r="Q592" s="5">
        <v>125126.189</v>
      </c>
      <c r="R592" s="1" t="s">
        <v>44</v>
      </c>
      <c r="S592" s="1" t="s">
        <v>94</v>
      </c>
      <c r="T592" s="1" t="s">
        <v>93</v>
      </c>
      <c r="Y592" s="1" t="s">
        <v>1696</v>
      </c>
      <c r="Z592" s="1" t="str">
        <f t="shared" si="27"/>
        <v>1913 1</v>
      </c>
      <c r="AA592" s="3">
        <f>IF(INDEX('CAMD Facility Data 2023'!$AA$2:$AE$10000,MATCH(Z592,'CAMD Facility Data 2023'!$AE$2:$AE$10000,0),1)&gt;0,INDEX('CAMD Facility Data 2023'!$AA$2:$AE$10000,MATCH(Z592,'CAMD Facility Data 2023'!$AE$2:$AE$10000,0),1),"")</f>
        <v>26299</v>
      </c>
      <c r="AB592" s="5">
        <f>IF(INDEX('CAMD Facility Data 2023'!$AC$2:$AE$10000,MATCH(Z592,'CAMD Facility Data 2023'!$AE$2:$AE$10000,0),1)&gt;0,INDEX('CAMD Facility Data 2023'!$AC$2:$AE$10000,MATCH(Z592,'CAMD Facility Data 2023'!$AE$2:$AE$10000,0),1),"")</f>
        <v>852.5</v>
      </c>
      <c r="AC592" s="1" t="str">
        <f>IF(INDEX('CAMD Facility Data 2023'!$AE$2:$AG$10000,MATCH(Z592,'CAMD Facility Data 2023'!$AE$2:$AE$10000,0),3)&gt;0,INDEX('CAMD Facility Data 2023'!$AE$2:$AG$10000,MATCH(Z592,'CAMD Facility Data 2023'!$AE$2:$AE$10000,0),3),"")</f>
        <v/>
      </c>
      <c r="AD592" s="20">
        <f t="shared" si="28"/>
        <v>4.0830664637700904</v>
      </c>
      <c r="AE592" s="25">
        <f t="shared" si="29"/>
        <v>1.6755204140387524E-2</v>
      </c>
    </row>
    <row r="593" spans="1:31" x14ac:dyDescent="0.2">
      <c r="A593" s="1" t="s">
        <v>1663</v>
      </c>
      <c r="B593" s="1" t="s">
        <v>1695</v>
      </c>
      <c r="C593" s="1">
        <v>1913</v>
      </c>
      <c r="D593" s="1">
        <v>2</v>
      </c>
      <c r="F593" s="1">
        <v>2023</v>
      </c>
      <c r="G593" s="5">
        <v>297</v>
      </c>
      <c r="H593" s="5">
        <v>260.72000000000003</v>
      </c>
      <c r="I593" s="5">
        <v>8159.95</v>
      </c>
      <c r="K593" s="5">
        <v>8.3000000000000004E-2</v>
      </c>
      <c r="L593" s="5">
        <v>4.1999999999999997E-3</v>
      </c>
      <c r="O593" s="5">
        <v>50.331000000000003</v>
      </c>
      <c r="P593" s="6">
        <v>0.64700000000000002</v>
      </c>
      <c r="Q593" s="5">
        <v>177759.2</v>
      </c>
      <c r="R593" s="1" t="s">
        <v>44</v>
      </c>
      <c r="S593" s="1" t="s">
        <v>94</v>
      </c>
      <c r="T593" s="1" t="s">
        <v>93</v>
      </c>
      <c r="Y593" s="1" t="s">
        <v>1696</v>
      </c>
      <c r="Z593" s="1" t="str">
        <f t="shared" si="27"/>
        <v>1913 2</v>
      </c>
      <c r="AA593" s="3">
        <f>IF(INDEX('CAMD Facility Data 2023'!$AA$2:$AE$10000,MATCH(Z593,'CAMD Facility Data 2023'!$AE$2:$AE$10000,0),1)&gt;0,INDEX('CAMD Facility Data 2023'!$AA$2:$AE$10000,MATCH(Z593,'CAMD Facility Data 2023'!$AE$2:$AE$10000,0),1),"")</f>
        <v>26299</v>
      </c>
      <c r="AB593" s="5">
        <f>IF(INDEX('CAMD Facility Data 2023'!$AC$2:$AE$10000,MATCH(Z593,'CAMD Facility Data 2023'!$AE$2:$AE$10000,0),1)&gt;0,INDEX('CAMD Facility Data 2023'!$AC$2:$AE$10000,MATCH(Z593,'CAMD Facility Data 2023'!$AE$2:$AE$10000,0),1),"")</f>
        <v>728.4</v>
      </c>
      <c r="AC593" s="1" t="str">
        <f>IF(INDEX('CAMD Facility Data 2023'!$AE$2:$AG$10000,MATCH(Z593,'CAMD Facility Data 2023'!$AE$2:$AE$10000,0),3)&gt;0,INDEX('CAMD Facility Data 2023'!$AE$2:$AG$10000,MATCH(Z593,'CAMD Facility Data 2023'!$AE$2:$AE$10000,0),3),"")</f>
        <v/>
      </c>
      <c r="AD593" s="20">
        <f t="shared" si="28"/>
        <v>12.336105000643387</v>
      </c>
      <c r="AE593" s="25">
        <f t="shared" si="29"/>
        <v>2.7858520206921283E-2</v>
      </c>
    </row>
    <row r="594" spans="1:31" x14ac:dyDescent="0.2">
      <c r="A594" s="1" t="s">
        <v>1663</v>
      </c>
      <c r="B594" s="1" t="s">
        <v>1695</v>
      </c>
      <c r="C594" s="1">
        <v>1913</v>
      </c>
      <c r="D594" s="1">
        <v>3</v>
      </c>
      <c r="F594" s="1">
        <v>2023</v>
      </c>
      <c r="G594" s="5">
        <v>358</v>
      </c>
      <c r="H594" s="5">
        <v>303.60000000000002</v>
      </c>
      <c r="I594" s="5">
        <v>9352.27</v>
      </c>
      <c r="K594" s="5">
        <v>0.92400000000000004</v>
      </c>
      <c r="L594" s="5">
        <v>1.54E-2</v>
      </c>
      <c r="O594" s="5">
        <v>31.044</v>
      </c>
      <c r="P594" s="6">
        <v>0.43459999999999999</v>
      </c>
      <c r="Q594" s="5">
        <v>144551.20000000001</v>
      </c>
      <c r="R594" s="1" t="s">
        <v>44</v>
      </c>
      <c r="S594" s="1" t="s">
        <v>94</v>
      </c>
      <c r="T594" s="1" t="s">
        <v>93</v>
      </c>
      <c r="Y594" s="1" t="s">
        <v>1696</v>
      </c>
      <c r="Z594" s="1" t="str">
        <f t="shared" si="27"/>
        <v>1913 3</v>
      </c>
      <c r="AA594" s="3">
        <f>IF(INDEX('CAMD Facility Data 2023'!$AA$2:$AE$10000,MATCH(Z594,'CAMD Facility Data 2023'!$AE$2:$AE$10000,0),1)&gt;0,INDEX('CAMD Facility Data 2023'!$AA$2:$AE$10000,MATCH(Z594,'CAMD Facility Data 2023'!$AE$2:$AE$10000,0),1),"")</f>
        <v>26299</v>
      </c>
      <c r="AB594" s="5">
        <f>IF(INDEX('CAMD Facility Data 2023'!$AC$2:$AE$10000,MATCH(Z594,'CAMD Facility Data 2023'!$AE$2:$AE$10000,0),1)&gt;0,INDEX('CAMD Facility Data 2023'!$AC$2:$AE$10000,MATCH(Z594,'CAMD Facility Data 2023'!$AE$2:$AE$10000,0),1),"")</f>
        <v>761.6</v>
      </c>
      <c r="AC594" s="1" t="str">
        <f>IF(INDEX('CAMD Facility Data 2023'!$AE$2:$AG$10000,MATCH(Z594,'CAMD Facility Data 2023'!$AE$2:$AE$10000,0),3)&gt;0,INDEX('CAMD Facility Data 2023'!$AE$2:$AG$10000,MATCH(Z594,'CAMD Facility Data 2023'!$AE$2:$AE$10000,0),3),"")</f>
        <v/>
      </c>
      <c r="AD594" s="20">
        <f t="shared" si="28"/>
        <v>6.638816030760446</v>
      </c>
      <c r="AE594" s="25">
        <f t="shared" si="29"/>
        <v>2.1666594720079816E-2</v>
      </c>
    </row>
    <row r="595" spans="1:31" x14ac:dyDescent="0.2">
      <c r="A595" s="1" t="s">
        <v>1663</v>
      </c>
      <c r="B595" s="1" t="s">
        <v>1695</v>
      </c>
      <c r="C595" s="1">
        <v>1913</v>
      </c>
      <c r="D595" s="1">
        <v>4</v>
      </c>
      <c r="F595" s="1">
        <v>2023</v>
      </c>
      <c r="G595" s="5">
        <v>487</v>
      </c>
      <c r="H595" s="5">
        <v>424.52</v>
      </c>
      <c r="I595" s="5">
        <v>12800.33</v>
      </c>
      <c r="K595" s="5">
        <v>5.8000000000000003E-2</v>
      </c>
      <c r="L595" s="5">
        <v>1E-3</v>
      </c>
      <c r="O595" s="5">
        <v>35.600999999999999</v>
      </c>
      <c r="P595" s="6">
        <v>0.3548</v>
      </c>
      <c r="Q595" s="5">
        <v>195226.58100000001</v>
      </c>
      <c r="R595" s="1" t="s">
        <v>44</v>
      </c>
      <c r="S595" s="1" t="s">
        <v>94</v>
      </c>
      <c r="T595" s="1" t="s">
        <v>93</v>
      </c>
      <c r="Y595" s="1" t="s">
        <v>1696</v>
      </c>
      <c r="Z595" s="1" t="str">
        <f t="shared" si="27"/>
        <v>1913 4</v>
      </c>
      <c r="AA595" s="3">
        <f>IF(INDEX('CAMD Facility Data 2023'!$AA$2:$AE$10000,MATCH(Z595,'CAMD Facility Data 2023'!$AE$2:$AE$10000,0),1)&gt;0,INDEX('CAMD Facility Data 2023'!$AA$2:$AE$10000,MATCH(Z595,'CAMD Facility Data 2023'!$AE$2:$AE$10000,0),1),"")</f>
        <v>26299</v>
      </c>
      <c r="AB595" s="5">
        <f>IF(INDEX('CAMD Facility Data 2023'!$AC$2:$AE$10000,MATCH(Z595,'CAMD Facility Data 2023'!$AE$2:$AE$10000,0),1)&gt;0,INDEX('CAMD Facility Data 2023'!$AC$2:$AE$10000,MATCH(Z595,'CAMD Facility Data 2023'!$AE$2:$AE$10000,0),1),"")</f>
        <v>779.3</v>
      </c>
      <c r="AC595" s="1" t="str">
        <f>IF(INDEX('CAMD Facility Data 2023'!$AE$2:$AG$10000,MATCH(Z595,'CAMD Facility Data 2023'!$AE$2:$AE$10000,0),3)&gt;0,INDEX('CAMD Facility Data 2023'!$AE$2:$AG$10000,MATCH(Z595,'CAMD Facility Data 2023'!$AE$2:$AE$10000,0),3),"")</f>
        <v/>
      </c>
      <c r="AD595" s="20">
        <f t="shared" si="28"/>
        <v>5.5625128414658063</v>
      </c>
      <c r="AE595" s="25">
        <f t="shared" si="29"/>
        <v>2.859763811569568E-2</v>
      </c>
    </row>
    <row r="596" spans="1:31" x14ac:dyDescent="0.2">
      <c r="A596" s="1" t="s">
        <v>1663</v>
      </c>
      <c r="B596" s="1" t="s">
        <v>1695</v>
      </c>
      <c r="C596" s="1">
        <v>1913</v>
      </c>
      <c r="D596" s="1">
        <v>5</v>
      </c>
      <c r="F596" s="1">
        <v>2023</v>
      </c>
      <c r="G596" s="5">
        <v>581</v>
      </c>
      <c r="H596" s="5">
        <v>491.82</v>
      </c>
      <c r="I596" s="5">
        <v>17199.22</v>
      </c>
      <c r="K596" s="5">
        <v>0.24299999999999999</v>
      </c>
      <c r="L596" s="5">
        <v>5.1000000000000004E-3</v>
      </c>
      <c r="O596" s="5">
        <v>56.223999999999997</v>
      </c>
      <c r="P596" s="6">
        <v>0.5494</v>
      </c>
      <c r="Q596" s="5">
        <v>220333.7</v>
      </c>
      <c r="R596" s="1" t="s">
        <v>44</v>
      </c>
      <c r="S596" s="1" t="s">
        <v>94</v>
      </c>
      <c r="T596" s="1" t="s">
        <v>93</v>
      </c>
      <c r="Y596" s="1" t="s">
        <v>1696</v>
      </c>
      <c r="Z596" s="1" t="str">
        <f t="shared" si="27"/>
        <v>1913 5</v>
      </c>
      <c r="AA596" s="3">
        <f>IF(INDEX('CAMD Facility Data 2023'!$AA$2:$AE$10000,MATCH(Z596,'CAMD Facility Data 2023'!$AE$2:$AE$10000,0),1)&gt;0,INDEX('CAMD Facility Data 2023'!$AA$2:$AE$10000,MATCH(Z596,'CAMD Facility Data 2023'!$AE$2:$AE$10000,0),1),"")</f>
        <v>26299</v>
      </c>
      <c r="AB596" s="5">
        <f>IF(INDEX('CAMD Facility Data 2023'!$AC$2:$AE$10000,MATCH(Z596,'CAMD Facility Data 2023'!$AE$2:$AE$10000,0),1)&gt;0,INDEX('CAMD Facility Data 2023'!$AC$2:$AE$10000,MATCH(Z596,'CAMD Facility Data 2023'!$AE$2:$AE$10000,0),1),"")</f>
        <v>727.5</v>
      </c>
      <c r="AC596" s="1" t="str">
        <f>IF(INDEX('CAMD Facility Data 2023'!$AE$2:$AG$10000,MATCH(Z596,'CAMD Facility Data 2023'!$AE$2:$AE$10000,0),3)&gt;0,INDEX('CAMD Facility Data 2023'!$AE$2:$AG$10000,MATCH(Z596,'CAMD Facility Data 2023'!$AE$2:$AE$10000,0),3),"")</f>
        <v/>
      </c>
      <c r="AD596" s="20">
        <f t="shared" si="28"/>
        <v>6.5379709079830359</v>
      </c>
      <c r="AE596" s="25">
        <f t="shared" si="29"/>
        <v>3.4573537949755997E-2</v>
      </c>
    </row>
    <row r="597" spans="1:31" x14ac:dyDescent="0.2">
      <c r="A597" s="1" t="s">
        <v>1663</v>
      </c>
      <c r="B597" s="1" t="s">
        <v>1695</v>
      </c>
      <c r="C597" s="1">
        <v>1913</v>
      </c>
      <c r="D597" s="1">
        <v>6</v>
      </c>
      <c r="F597" s="1">
        <v>2023</v>
      </c>
      <c r="G597" s="5">
        <v>686</v>
      </c>
      <c r="H597" s="5">
        <v>612</v>
      </c>
      <c r="I597" s="5">
        <v>19708.919999999998</v>
      </c>
      <c r="K597" s="5">
        <v>0.996</v>
      </c>
      <c r="L597" s="5">
        <v>8.0999999999999996E-3</v>
      </c>
      <c r="O597" s="5">
        <v>78.897000000000006</v>
      </c>
      <c r="P597" s="6">
        <v>0.53610000000000002</v>
      </c>
      <c r="Q597" s="5">
        <v>291927.2</v>
      </c>
      <c r="R597" s="1" t="s">
        <v>44</v>
      </c>
      <c r="S597" s="1" t="s">
        <v>94</v>
      </c>
      <c r="T597" s="1" t="s">
        <v>93</v>
      </c>
      <c r="Y597" s="1" t="s">
        <v>1696</v>
      </c>
      <c r="Z597" s="1" t="str">
        <f t="shared" si="27"/>
        <v>1913 6</v>
      </c>
      <c r="AA597" s="3">
        <f>IF(INDEX('CAMD Facility Data 2023'!$AA$2:$AE$10000,MATCH(Z597,'CAMD Facility Data 2023'!$AE$2:$AE$10000,0),1)&gt;0,INDEX('CAMD Facility Data 2023'!$AA$2:$AE$10000,MATCH(Z597,'CAMD Facility Data 2023'!$AE$2:$AE$10000,0),1),"")</f>
        <v>26299</v>
      </c>
      <c r="AB597" s="5">
        <f>IF(INDEX('CAMD Facility Data 2023'!$AC$2:$AE$10000,MATCH(Z597,'CAMD Facility Data 2023'!$AE$2:$AE$10000,0),1)&gt;0,INDEX('CAMD Facility Data 2023'!$AC$2:$AE$10000,MATCH(Z597,'CAMD Facility Data 2023'!$AE$2:$AE$10000,0),1),"")</f>
        <v>779.1</v>
      </c>
      <c r="AC597" s="1" t="str">
        <f>IF(INDEX('CAMD Facility Data 2023'!$AE$2:$AG$10000,MATCH(Z597,'CAMD Facility Data 2023'!$AE$2:$AE$10000,0),3)&gt;0,INDEX('CAMD Facility Data 2023'!$AE$2:$AG$10000,MATCH(Z597,'CAMD Facility Data 2023'!$AE$2:$AE$10000,0),3),"")</f>
        <v/>
      </c>
      <c r="AD597" s="20">
        <f t="shared" si="28"/>
        <v>8.0062225631845898</v>
      </c>
      <c r="AE597" s="25">
        <f t="shared" si="29"/>
        <v>4.2773742563278434E-2</v>
      </c>
    </row>
    <row r="598" spans="1:31" x14ac:dyDescent="0.2">
      <c r="A598" s="1" t="s">
        <v>1663</v>
      </c>
      <c r="B598" s="1" t="s">
        <v>1703</v>
      </c>
      <c r="C598" s="1">
        <v>1915</v>
      </c>
      <c r="D598" s="1">
        <v>1</v>
      </c>
      <c r="F598" s="1">
        <v>2023</v>
      </c>
      <c r="G598" s="5">
        <v>2357</v>
      </c>
      <c r="H598" s="5">
        <v>2350.33</v>
      </c>
      <c r="I598" s="5">
        <v>1052113.21</v>
      </c>
      <c r="K598" s="5">
        <v>557.51499999999999</v>
      </c>
      <c r="L598" s="5">
        <v>0.1162</v>
      </c>
      <c r="M598" s="5">
        <v>1090211.399</v>
      </c>
      <c r="N598" s="6">
        <v>0.10489999999999999</v>
      </c>
      <c r="O598" s="5">
        <v>492.60700000000003</v>
      </c>
      <c r="P598" s="6">
        <v>0.10580000000000001</v>
      </c>
      <c r="Q598" s="5">
        <v>10394871.612</v>
      </c>
      <c r="R598" s="1" t="s">
        <v>55</v>
      </c>
      <c r="T598" s="1" t="s">
        <v>606</v>
      </c>
      <c r="U598" s="1" t="s">
        <v>212</v>
      </c>
      <c r="V598" s="1" t="s">
        <v>1010</v>
      </c>
      <c r="W598" s="1" t="s">
        <v>123</v>
      </c>
      <c r="X598" s="1" t="s">
        <v>214</v>
      </c>
      <c r="Y598" s="1" t="s">
        <v>205</v>
      </c>
      <c r="Z598" s="1" t="str">
        <f t="shared" si="27"/>
        <v>1915 1</v>
      </c>
      <c r="AA598" s="3">
        <f>IF(INDEX('CAMD Facility Data 2023'!$AA$2:$AE$10000,MATCH(Z598,'CAMD Facility Data 2023'!$AE$2:$AE$10000,0),1)&gt;0,INDEX('CAMD Facility Data 2023'!$AA$2:$AE$10000,MATCH(Z598,'CAMD Facility Data 2023'!$AE$2:$AE$10000,0),1),"")</f>
        <v>24869</v>
      </c>
      <c r="AB598" s="5">
        <f>IF(INDEX('CAMD Facility Data 2023'!$AC$2:$AE$10000,MATCH(Z598,'CAMD Facility Data 2023'!$AE$2:$AE$10000,0),1)&gt;0,INDEX('CAMD Facility Data 2023'!$AC$2:$AE$10000,MATCH(Z598,'CAMD Facility Data 2023'!$AE$2:$AE$10000,0),1),"")</f>
        <v>7530</v>
      </c>
      <c r="AC598" s="1" t="str">
        <f>IF(INDEX('CAMD Facility Data 2023'!$AE$2:$AG$10000,MATCH(Z598,'CAMD Facility Data 2023'!$AE$2:$AE$10000,0),3)&gt;0,INDEX('CAMD Facility Data 2023'!$AE$2:$AG$10000,MATCH(Z598,'CAMD Facility Data 2023'!$AE$2:$AE$10000,0),3),"")</f>
        <v>Y</v>
      </c>
      <c r="AD598" s="20">
        <f t="shared" si="28"/>
        <v>0.9364144377580812</v>
      </c>
      <c r="AE598" s="25">
        <f t="shared" si="29"/>
        <v>0.1575868764212556</v>
      </c>
    </row>
    <row r="599" spans="1:31" x14ac:dyDescent="0.2">
      <c r="A599" s="1" t="s">
        <v>1663</v>
      </c>
      <c r="B599" s="1" t="s">
        <v>1706</v>
      </c>
      <c r="C599" s="1">
        <v>1927</v>
      </c>
      <c r="D599" s="1">
        <v>10</v>
      </c>
      <c r="F599" s="1">
        <v>2023</v>
      </c>
      <c r="G599" s="5">
        <v>5550</v>
      </c>
      <c r="H599" s="5">
        <v>5468.81</v>
      </c>
      <c r="I599" s="5">
        <v>1205115.33</v>
      </c>
      <c r="K599" s="5">
        <v>2.5289999999999999</v>
      </c>
      <c r="L599" s="5">
        <v>1E-3</v>
      </c>
      <c r="M599" s="5">
        <v>500931.67700000003</v>
      </c>
      <c r="N599" s="6">
        <v>5.8999999999999997E-2</v>
      </c>
      <c r="O599" s="5">
        <v>79.685000000000002</v>
      </c>
      <c r="P599" s="6">
        <v>2.3300000000000001E-2</v>
      </c>
      <c r="Q599" s="5">
        <v>8429105.068</v>
      </c>
      <c r="R599" s="1" t="s">
        <v>44</v>
      </c>
      <c r="T599" s="1" t="s">
        <v>71</v>
      </c>
      <c r="V599" s="1" t="s">
        <v>64</v>
      </c>
      <c r="Y599" s="1" t="s">
        <v>1666</v>
      </c>
      <c r="Z599" s="1" t="str">
        <f t="shared" si="27"/>
        <v>1927 10</v>
      </c>
      <c r="AA599" s="3">
        <f>IF(INDEX('CAMD Facility Data 2023'!$AA$2:$AE$10000,MATCH(Z599,'CAMD Facility Data 2023'!$AE$2:$AE$10000,0),1)&gt;0,INDEX('CAMD Facility Data 2023'!$AA$2:$AE$10000,MATCH(Z599,'CAMD Facility Data 2023'!$AE$2:$AE$10000,0),1),"")</f>
        <v>39795</v>
      </c>
      <c r="AB599" s="5">
        <f>IF(INDEX('CAMD Facility Data 2023'!$AC$2:$AE$10000,MATCH(Z599,'CAMD Facility Data 2023'!$AE$2:$AE$10000,0),1)&gt;0,INDEX('CAMD Facility Data 2023'!$AC$2:$AE$10000,MATCH(Z599,'CAMD Facility Data 2023'!$AE$2:$AE$10000,0),1),"")</f>
        <v>1975</v>
      </c>
      <c r="AC599" s="1" t="str">
        <f>IF(INDEX('CAMD Facility Data 2023'!$AE$2:$AG$10000,MATCH(Z599,'CAMD Facility Data 2023'!$AE$2:$AE$10000,0),3)&gt;0,INDEX('CAMD Facility Data 2023'!$AE$2:$AG$10000,MATCH(Z599,'CAMD Facility Data 2023'!$AE$2:$AE$10000,0),3),"")</f>
        <v>Y</v>
      </c>
      <c r="AD599" s="20">
        <f t="shared" si="28"/>
        <v>0.1322446043400676</v>
      </c>
      <c r="AE599" s="25">
        <f t="shared" si="29"/>
        <v>0.48720334477775851</v>
      </c>
    </row>
    <row r="600" spans="1:31" x14ac:dyDescent="0.2">
      <c r="A600" s="1" t="s">
        <v>1663</v>
      </c>
      <c r="B600" s="1" t="s">
        <v>1706</v>
      </c>
      <c r="C600" s="1">
        <v>1927</v>
      </c>
      <c r="D600" s="1">
        <v>9</v>
      </c>
      <c r="F600" s="1">
        <v>2023</v>
      </c>
      <c r="G600" s="5">
        <v>5946</v>
      </c>
      <c r="H600" s="5">
        <v>5871.13</v>
      </c>
      <c r="I600" s="5">
        <v>1313415.3899999999</v>
      </c>
      <c r="K600" s="5">
        <v>2.7469999999999999</v>
      </c>
      <c r="L600" s="5">
        <v>1E-3</v>
      </c>
      <c r="M600" s="5">
        <v>544209.99800000002</v>
      </c>
      <c r="N600" s="6">
        <v>5.8999999999999997E-2</v>
      </c>
      <c r="O600" s="5">
        <v>77.266000000000005</v>
      </c>
      <c r="P600" s="6">
        <v>2.0299999999999999E-2</v>
      </c>
      <c r="Q600" s="5">
        <v>9157389.8760000002</v>
      </c>
      <c r="R600" s="1" t="s">
        <v>44</v>
      </c>
      <c r="T600" s="1" t="s">
        <v>71</v>
      </c>
      <c r="V600" s="1" t="s">
        <v>64</v>
      </c>
      <c r="Y600" s="1" t="s">
        <v>1666</v>
      </c>
      <c r="Z600" s="1" t="str">
        <f t="shared" si="27"/>
        <v>1927 9</v>
      </c>
      <c r="AA600" s="3">
        <f>IF(INDEX('CAMD Facility Data 2023'!$AA$2:$AE$10000,MATCH(Z600,'CAMD Facility Data 2023'!$AE$2:$AE$10000,0),1)&gt;0,INDEX('CAMD Facility Data 2023'!$AA$2:$AE$10000,MATCH(Z600,'CAMD Facility Data 2023'!$AE$2:$AE$10000,0),1),"")</f>
        <v>39799</v>
      </c>
      <c r="AB600" s="5">
        <f>IF(INDEX('CAMD Facility Data 2023'!$AC$2:$AE$10000,MATCH(Z600,'CAMD Facility Data 2023'!$AE$2:$AE$10000,0),1)&gt;0,INDEX('CAMD Facility Data 2023'!$AC$2:$AE$10000,MATCH(Z600,'CAMD Facility Data 2023'!$AE$2:$AE$10000,0),1),"")</f>
        <v>1975</v>
      </c>
      <c r="AC600" s="1" t="str">
        <f>IF(INDEX('CAMD Facility Data 2023'!$AE$2:$AG$10000,MATCH(Z600,'CAMD Facility Data 2023'!$AE$2:$AE$10000,0),3)&gt;0,INDEX('CAMD Facility Data 2023'!$AE$2:$AG$10000,MATCH(Z600,'CAMD Facility Data 2023'!$AE$2:$AE$10000,0),3),"")</f>
        <v>Y</v>
      </c>
      <c r="AD600" s="20">
        <f t="shared" si="28"/>
        <v>0.11765660824181451</v>
      </c>
      <c r="AE600" s="25">
        <f t="shared" si="29"/>
        <v>0.52929829928905847</v>
      </c>
    </row>
    <row r="601" spans="1:31" x14ac:dyDescent="0.2">
      <c r="A601" s="1" t="s">
        <v>1663</v>
      </c>
      <c r="B601" s="1" t="s">
        <v>1711</v>
      </c>
      <c r="C601" s="1">
        <v>2001</v>
      </c>
      <c r="D601" s="1">
        <v>7</v>
      </c>
      <c r="F601" s="1">
        <v>2023</v>
      </c>
      <c r="G601" s="5">
        <v>16</v>
      </c>
      <c r="H601" s="5">
        <v>7.01</v>
      </c>
      <c r="I601" s="5">
        <v>177.25</v>
      </c>
      <c r="K601" s="5">
        <v>0.41699999999999998</v>
      </c>
      <c r="L601" s="5">
        <v>0.34039999999999998</v>
      </c>
      <c r="O601" s="5">
        <v>1.472</v>
      </c>
      <c r="P601" s="6">
        <v>1.2</v>
      </c>
      <c r="Q601" s="5">
        <v>2453.5</v>
      </c>
      <c r="R601" s="1" t="s">
        <v>94</v>
      </c>
      <c r="T601" s="1" t="s">
        <v>93</v>
      </c>
      <c r="V601" s="1" t="s">
        <v>95</v>
      </c>
      <c r="Y601" s="1" t="s">
        <v>1696</v>
      </c>
      <c r="Z601" s="1" t="str">
        <f t="shared" si="27"/>
        <v>2001 7</v>
      </c>
      <c r="AA601" s="3">
        <f>IF(INDEX('CAMD Facility Data 2023'!$AA$2:$AE$10000,MATCH(Z601,'CAMD Facility Data 2023'!$AE$2:$AE$10000,0),1)&gt;0,INDEX('CAMD Facility Data 2023'!$AA$2:$AE$10000,MATCH(Z601,'CAMD Facility Data 2023'!$AE$2:$AE$10000,0),1),"")</f>
        <v>37032</v>
      </c>
      <c r="AB601" s="5">
        <f>IF(INDEX('CAMD Facility Data 2023'!$AC$2:$AE$10000,MATCH(Z601,'CAMD Facility Data 2023'!$AE$2:$AE$10000,0),1)&gt;0,INDEX('CAMD Facility Data 2023'!$AC$2:$AE$10000,MATCH(Z601,'CAMD Facility Data 2023'!$AE$2:$AE$10000,0),1),"")</f>
        <v>350</v>
      </c>
      <c r="AC601" s="1" t="str">
        <f>IF(INDEX('CAMD Facility Data 2023'!$AE$2:$AG$10000,MATCH(Z601,'CAMD Facility Data 2023'!$AE$2:$AE$10000,0),3)&gt;0,INDEX('CAMD Facility Data 2023'!$AE$2:$AG$10000,MATCH(Z601,'CAMD Facility Data 2023'!$AE$2:$AE$10000,0),3),"")</f>
        <v/>
      </c>
      <c r="AD601" s="20">
        <f t="shared" si="28"/>
        <v>16.609308885754583</v>
      </c>
      <c r="AE601" s="25">
        <f t="shared" si="29"/>
        <v>8.0022831050228312E-4</v>
      </c>
    </row>
    <row r="602" spans="1:31" x14ac:dyDescent="0.2">
      <c r="A602" s="1" t="s">
        <v>1663</v>
      </c>
      <c r="B602" s="1" t="s">
        <v>1717</v>
      </c>
      <c r="C602" s="1">
        <v>2038</v>
      </c>
      <c r="D602" s="1">
        <v>1</v>
      </c>
      <c r="F602" s="1">
        <v>2023</v>
      </c>
      <c r="G602" s="5">
        <v>23</v>
      </c>
      <c r="H602" s="5">
        <v>16.37</v>
      </c>
      <c r="I602" s="5">
        <v>197.35</v>
      </c>
      <c r="K602" s="5">
        <v>2E-3</v>
      </c>
      <c r="L602" s="5">
        <v>1.1000000000000001E-3</v>
      </c>
      <c r="O602" s="5">
        <v>2.0379999999999998</v>
      </c>
      <c r="P602" s="6">
        <v>1.2010000000000001</v>
      </c>
      <c r="Q602" s="5">
        <v>3397.1</v>
      </c>
      <c r="R602" s="1" t="s">
        <v>94</v>
      </c>
      <c r="T602" s="1" t="s">
        <v>93</v>
      </c>
      <c r="Y602" s="1" t="s">
        <v>1696</v>
      </c>
      <c r="Z602" s="1" t="str">
        <f t="shared" si="27"/>
        <v>2038 1</v>
      </c>
      <c r="AA602" s="3">
        <f>IF(INDEX('CAMD Facility Data 2023'!$AA$2:$AE$10000,MATCH(Z602,'CAMD Facility Data 2023'!$AE$2:$AE$10000,0),1)&gt;0,INDEX('CAMD Facility Data 2023'!$AA$2:$AE$10000,MATCH(Z602,'CAMD Facility Data 2023'!$AE$2:$AE$10000,0),1),"")</f>
        <v>28592</v>
      </c>
      <c r="AB602" s="5">
        <f>IF(INDEX('CAMD Facility Data 2023'!$AC$2:$AE$10000,MATCH(Z602,'CAMD Facility Data 2023'!$AE$2:$AE$10000,0),1)&gt;0,INDEX('CAMD Facility Data 2023'!$AC$2:$AE$10000,MATCH(Z602,'CAMD Facility Data 2023'!$AE$2:$AE$10000,0),1),"")</f>
        <v>363.3</v>
      </c>
      <c r="AC602" s="1" t="str">
        <f>IF(INDEX('CAMD Facility Data 2023'!$AE$2:$AG$10000,MATCH(Z602,'CAMD Facility Data 2023'!$AE$2:$AE$10000,0),3)&gt;0,INDEX('CAMD Facility Data 2023'!$AE$2:$AG$10000,MATCH(Z602,'CAMD Facility Data 2023'!$AE$2:$AE$10000,0),3),"")</f>
        <v/>
      </c>
      <c r="AD602" s="20">
        <f t="shared" si="28"/>
        <v>20.653661008360778</v>
      </c>
      <c r="AE602" s="25">
        <f t="shared" si="29"/>
        <v>1.0674285814835343E-3</v>
      </c>
    </row>
    <row r="603" spans="1:31" x14ac:dyDescent="0.2">
      <c r="A603" s="1" t="s">
        <v>1663</v>
      </c>
      <c r="B603" s="1" t="s">
        <v>1717</v>
      </c>
      <c r="C603" s="1">
        <v>2038</v>
      </c>
      <c r="D603" s="1">
        <v>2</v>
      </c>
      <c r="F603" s="1">
        <v>2023</v>
      </c>
      <c r="G603" s="5">
        <v>569</v>
      </c>
      <c r="H603" s="5">
        <v>471.13</v>
      </c>
      <c r="I603" s="5">
        <v>49714.82</v>
      </c>
      <c r="K603" s="5">
        <v>0.17299999999999999</v>
      </c>
      <c r="L603" s="5">
        <v>1E-3</v>
      </c>
      <c r="M603" s="5">
        <v>34318.546999999999</v>
      </c>
      <c r="N603" s="6">
        <v>5.8999999999999997E-2</v>
      </c>
      <c r="O603" s="5">
        <v>13.346</v>
      </c>
      <c r="P603" s="6">
        <v>5.4199999999999998E-2</v>
      </c>
      <c r="Q603" s="5">
        <v>577473.67700000003</v>
      </c>
      <c r="R603" s="1" t="s">
        <v>44</v>
      </c>
      <c r="T603" s="1" t="s">
        <v>93</v>
      </c>
      <c r="V603" s="1" t="s">
        <v>140</v>
      </c>
      <c r="Y603" s="1" t="s">
        <v>1666</v>
      </c>
      <c r="Z603" s="1" t="str">
        <f t="shared" si="27"/>
        <v>2038 2</v>
      </c>
      <c r="AA603" s="3">
        <f>IF(INDEX('CAMD Facility Data 2023'!$AA$2:$AE$10000,MATCH(Z603,'CAMD Facility Data 2023'!$AE$2:$AE$10000,0),1)&gt;0,INDEX('CAMD Facility Data 2023'!$AA$2:$AE$10000,MATCH(Z603,'CAMD Facility Data 2023'!$AE$2:$AE$10000,0),1),"")</f>
        <v>39205</v>
      </c>
      <c r="AB603" s="5">
        <f>IF(INDEX('CAMD Facility Data 2023'!$AC$2:$AE$10000,MATCH(Z603,'CAMD Facility Data 2023'!$AE$2:$AE$10000,0),1)&gt;0,INDEX('CAMD Facility Data 2023'!$AC$2:$AE$10000,MATCH(Z603,'CAMD Facility Data 2023'!$AE$2:$AE$10000,0),1),"")</f>
        <v>1885</v>
      </c>
      <c r="AC603" s="1" t="str">
        <f>IF(INDEX('CAMD Facility Data 2023'!$AE$2:$AG$10000,MATCH(Z603,'CAMD Facility Data 2023'!$AE$2:$AE$10000,0),3)&gt;0,INDEX('CAMD Facility Data 2023'!$AE$2:$AG$10000,MATCH(Z603,'CAMD Facility Data 2023'!$AE$2:$AE$10000,0),3),"")</f>
        <v/>
      </c>
      <c r="AD603" s="20">
        <f t="shared" si="28"/>
        <v>0.53690227582036909</v>
      </c>
      <c r="AE603" s="25">
        <f t="shared" si="29"/>
        <v>3.4971699005607843E-2</v>
      </c>
    </row>
    <row r="604" spans="1:31" x14ac:dyDescent="0.2">
      <c r="A604" s="1" t="s">
        <v>1663</v>
      </c>
      <c r="B604" s="1" t="s">
        <v>1723</v>
      </c>
      <c r="C604" s="1">
        <v>2039</v>
      </c>
      <c r="D604" s="1" t="s">
        <v>1724</v>
      </c>
      <c r="F604" s="1">
        <v>2023</v>
      </c>
      <c r="G604" s="5">
        <v>547</v>
      </c>
      <c r="H604" s="5">
        <v>468.41</v>
      </c>
      <c r="I604" s="5">
        <v>58015.12</v>
      </c>
      <c r="K604" s="5">
        <v>0.20499999999999999</v>
      </c>
      <c r="L604" s="5">
        <v>1E-3</v>
      </c>
      <c r="M604" s="5">
        <v>40576.474000000002</v>
      </c>
      <c r="N604" s="6">
        <v>5.91E-2</v>
      </c>
      <c r="O604" s="5">
        <v>10.763999999999999</v>
      </c>
      <c r="P604" s="6">
        <v>3.78E-2</v>
      </c>
      <c r="Q604" s="5">
        <v>682188.95900000003</v>
      </c>
      <c r="R604" s="1" t="s">
        <v>44</v>
      </c>
      <c r="S604" s="1" t="s">
        <v>94</v>
      </c>
      <c r="T604" s="1" t="s">
        <v>93</v>
      </c>
      <c r="V604" s="1" t="s">
        <v>140</v>
      </c>
      <c r="Y604" s="1" t="s">
        <v>1666</v>
      </c>
      <c r="Z604" s="1" t="str">
        <f t="shared" si="27"/>
        <v>2039 ERPS11</v>
      </c>
      <c r="AA604" s="3">
        <f>IF(INDEX('CAMD Facility Data 2023'!$AA$2:$AE$10000,MATCH(Z604,'CAMD Facility Data 2023'!$AE$2:$AE$10000,0),1)&gt;0,INDEX('CAMD Facility Data 2023'!$AA$2:$AE$10000,MATCH(Z604,'CAMD Facility Data 2023'!$AE$2:$AE$10000,0),1),"")</f>
        <v>39977</v>
      </c>
      <c r="AB604" s="5">
        <f>IF(INDEX('CAMD Facility Data 2023'!$AC$2:$AE$10000,MATCH(Z604,'CAMD Facility Data 2023'!$AE$2:$AE$10000,0),1)&gt;0,INDEX('CAMD Facility Data 2023'!$AC$2:$AE$10000,MATCH(Z604,'CAMD Facility Data 2023'!$AE$2:$AE$10000,0),1),"")</f>
        <v>2269</v>
      </c>
      <c r="AC604" s="1" t="str">
        <f>IF(INDEX('CAMD Facility Data 2023'!$AE$2:$AG$10000,MATCH(Z604,'CAMD Facility Data 2023'!$AE$2:$AE$10000,0),3)&gt;0,INDEX('CAMD Facility Data 2023'!$AE$2:$AG$10000,MATCH(Z604,'CAMD Facility Data 2023'!$AE$2:$AE$10000,0),3),"")</f>
        <v/>
      </c>
      <c r="AD604" s="20">
        <f t="shared" si="28"/>
        <v>0.37107567820250997</v>
      </c>
      <c r="AE604" s="25">
        <f t="shared" si="29"/>
        <v>3.4321486091070635E-2</v>
      </c>
    </row>
    <row r="605" spans="1:31" x14ac:dyDescent="0.2">
      <c r="A605" s="1" t="s">
        <v>1663</v>
      </c>
      <c r="B605" s="1" t="s">
        <v>1728</v>
      </c>
      <c r="C605" s="1">
        <v>2042</v>
      </c>
      <c r="D605" s="1">
        <v>1</v>
      </c>
      <c r="F605" s="1">
        <v>2023</v>
      </c>
      <c r="G605" s="5">
        <v>23</v>
      </c>
      <c r="H605" s="5">
        <v>15.3</v>
      </c>
      <c r="I605" s="5">
        <v>184.32</v>
      </c>
      <c r="K605" s="5">
        <v>3.0000000000000001E-3</v>
      </c>
      <c r="L605" s="5">
        <v>1.1999999999999999E-3</v>
      </c>
      <c r="O605" s="5">
        <v>2.0510000000000002</v>
      </c>
      <c r="P605" s="6">
        <v>1.2002999999999999</v>
      </c>
      <c r="Q605" s="5">
        <v>3419.1</v>
      </c>
      <c r="R605" s="1" t="s">
        <v>94</v>
      </c>
      <c r="T605" s="1" t="s">
        <v>93</v>
      </c>
      <c r="Y605" s="1" t="s">
        <v>1696</v>
      </c>
      <c r="Z605" s="1" t="str">
        <f t="shared" si="27"/>
        <v>2042 1</v>
      </c>
      <c r="AA605" s="3">
        <f>IF(INDEX('CAMD Facility Data 2023'!$AA$2:$AE$10000,MATCH(Z605,'CAMD Facility Data 2023'!$AE$2:$AE$10000,0),1)&gt;0,INDEX('CAMD Facility Data 2023'!$AA$2:$AE$10000,MATCH(Z605,'CAMD Facility Data 2023'!$AE$2:$AE$10000,0),1),"")</f>
        <v>28606</v>
      </c>
      <c r="AB605" s="5">
        <f>IF(INDEX('CAMD Facility Data 2023'!$AC$2:$AE$10000,MATCH(Z605,'CAMD Facility Data 2023'!$AE$2:$AE$10000,0),1)&gt;0,INDEX('CAMD Facility Data 2023'!$AC$2:$AE$10000,MATCH(Z605,'CAMD Facility Data 2023'!$AE$2:$AE$10000,0),1),"")</f>
        <v>363.3</v>
      </c>
      <c r="AC605" s="1" t="str">
        <f>IF(INDEX('CAMD Facility Data 2023'!$AE$2:$AG$10000,MATCH(Z605,'CAMD Facility Data 2023'!$AE$2:$AE$10000,0),3)&gt;0,INDEX('CAMD Facility Data 2023'!$AE$2:$AG$10000,MATCH(Z605,'CAMD Facility Data 2023'!$AE$2:$AE$10000,0),3),"")</f>
        <v/>
      </c>
      <c r="AD605" s="20">
        <f t="shared" si="28"/>
        <v>22.254774305555557</v>
      </c>
      <c r="AE605" s="25">
        <f t="shared" si="29"/>
        <v>1.0743413685055936E-3</v>
      </c>
    </row>
    <row r="606" spans="1:31" x14ac:dyDescent="0.2">
      <c r="A606" s="1" t="s">
        <v>1732</v>
      </c>
      <c r="B606" s="1" t="s">
        <v>1733</v>
      </c>
      <c r="C606" s="1">
        <v>2047</v>
      </c>
      <c r="D606" s="1">
        <v>5</v>
      </c>
      <c r="F606" s="1">
        <v>2023</v>
      </c>
      <c r="G606" s="5">
        <v>8361</v>
      </c>
      <c r="H606" s="5">
        <v>8350.4699999999993</v>
      </c>
      <c r="I606" s="5">
        <v>595735.51</v>
      </c>
      <c r="K606" s="5">
        <v>2.09</v>
      </c>
      <c r="L606" s="5">
        <v>1E-3</v>
      </c>
      <c r="M606" s="5">
        <v>413930.766</v>
      </c>
      <c r="N606" s="6">
        <v>5.8999999999999997E-2</v>
      </c>
      <c r="O606" s="5">
        <v>189.79400000000001</v>
      </c>
      <c r="P606" s="6">
        <v>5.5E-2</v>
      </c>
      <c r="Q606" s="5">
        <v>6965205.608</v>
      </c>
      <c r="R606" s="1" t="s">
        <v>284</v>
      </c>
      <c r="T606" s="1" t="s">
        <v>93</v>
      </c>
      <c r="V606" s="1" t="s">
        <v>140</v>
      </c>
      <c r="Y606" s="1" t="s">
        <v>346</v>
      </c>
      <c r="Z606" s="1" t="str">
        <f t="shared" si="27"/>
        <v>2047 5</v>
      </c>
      <c r="AA606" s="3">
        <f>IF(INDEX('CAMD Facility Data 2023'!$AA$2:$AE$10000,MATCH(Z606,'CAMD Facility Data 2023'!$AE$2:$AE$10000,0),1)&gt;0,INDEX('CAMD Facility Data 2023'!$AA$2:$AE$10000,MATCH(Z606,'CAMD Facility Data 2023'!$AE$2:$AE$10000,0),1),"")</f>
        <v>34468</v>
      </c>
      <c r="AB606" s="5">
        <f>IF(INDEX('CAMD Facility Data 2023'!$AC$2:$AE$10000,MATCH(Z606,'CAMD Facility Data 2023'!$AE$2:$AE$10000,0),1)&gt;0,INDEX('CAMD Facility Data 2023'!$AC$2:$AE$10000,MATCH(Z606,'CAMD Facility Data 2023'!$AE$2:$AE$10000,0),1),"")</f>
        <v>1096</v>
      </c>
      <c r="AC606" s="1" t="str">
        <f>IF(INDEX('CAMD Facility Data 2023'!$AE$2:$AG$10000,MATCH(Z606,'CAMD Facility Data 2023'!$AE$2:$AE$10000,0),3)&gt;0,INDEX('CAMD Facility Data 2023'!$AE$2:$AG$10000,MATCH(Z606,'CAMD Facility Data 2023'!$AE$2:$AE$10000,0),3),"")</f>
        <v/>
      </c>
      <c r="AD606" s="20">
        <f t="shared" si="28"/>
        <v>0.6371753800608595</v>
      </c>
      <c r="AE606" s="25">
        <f t="shared" si="29"/>
        <v>0.72546970386294707</v>
      </c>
    </row>
    <row r="607" spans="1:31" x14ac:dyDescent="0.2">
      <c r="A607" s="1" t="s">
        <v>1732</v>
      </c>
      <c r="B607" s="1" t="s">
        <v>1737</v>
      </c>
      <c r="C607" s="1">
        <v>2049</v>
      </c>
      <c r="D607" s="1">
        <v>4</v>
      </c>
      <c r="F607" s="1">
        <v>2023</v>
      </c>
      <c r="G607" s="5">
        <v>7895</v>
      </c>
      <c r="H607" s="5">
        <v>7886.69</v>
      </c>
      <c r="I607" s="5">
        <v>1359016.86</v>
      </c>
      <c r="K607" s="5">
        <v>3.8730000000000002</v>
      </c>
      <c r="L607" s="5">
        <v>1E-3</v>
      </c>
      <c r="M607" s="5">
        <v>767167.56200000003</v>
      </c>
      <c r="N607" s="6">
        <v>5.8999999999999997E-2</v>
      </c>
      <c r="O607" s="5">
        <v>1341.548</v>
      </c>
      <c r="P607" s="6">
        <v>0.1888</v>
      </c>
      <c r="Q607" s="5">
        <v>12909019.344000001</v>
      </c>
      <c r="R607" s="1" t="s">
        <v>44</v>
      </c>
      <c r="T607" s="1" t="s">
        <v>89</v>
      </c>
      <c r="V607" s="1" t="s">
        <v>90</v>
      </c>
      <c r="W607" s="1" t="s">
        <v>58</v>
      </c>
      <c r="Y607" s="1" t="s">
        <v>346</v>
      </c>
      <c r="Z607" s="1" t="str">
        <f t="shared" si="27"/>
        <v>2049 4</v>
      </c>
      <c r="AA607" s="3">
        <f>IF(INDEX('CAMD Facility Data 2023'!$AA$2:$AE$10000,MATCH(Z607,'CAMD Facility Data 2023'!$AE$2:$AE$10000,0),1)&gt;0,INDEX('CAMD Facility Data 2023'!$AA$2:$AE$10000,MATCH(Z607,'CAMD Facility Data 2023'!$AE$2:$AE$10000,0),1),"")</f>
        <v>25039</v>
      </c>
      <c r="AB607" s="5">
        <f>IF(INDEX('CAMD Facility Data 2023'!$AC$2:$AE$10000,MATCH(Z607,'CAMD Facility Data 2023'!$AE$2:$AE$10000,0),1)&gt;0,INDEX('CAMD Facility Data 2023'!$AC$2:$AE$10000,MATCH(Z607,'CAMD Facility Data 2023'!$AE$2:$AE$10000,0),1),"")</f>
        <v>2526</v>
      </c>
      <c r="AC607" s="1" t="str">
        <f>IF(INDEX('CAMD Facility Data 2023'!$AE$2:$AG$10000,MATCH(Z607,'CAMD Facility Data 2023'!$AE$2:$AE$10000,0),3)&gt;0,INDEX('CAMD Facility Data 2023'!$AE$2:$AG$10000,MATCH(Z607,'CAMD Facility Data 2023'!$AE$2:$AE$10000,0),3),"")</f>
        <v/>
      </c>
      <c r="AD607" s="20">
        <f t="shared" si="28"/>
        <v>1.9742919157014724</v>
      </c>
      <c r="AE607" s="25">
        <f t="shared" si="29"/>
        <v>0.58338572652631815</v>
      </c>
    </row>
    <row r="608" spans="1:31" x14ac:dyDescent="0.2">
      <c r="A608" s="1" t="s">
        <v>1732</v>
      </c>
      <c r="B608" s="1" t="s">
        <v>1737</v>
      </c>
      <c r="C608" s="1">
        <v>2049</v>
      </c>
      <c r="D608" s="1">
        <v>5</v>
      </c>
      <c r="F608" s="1">
        <v>2023</v>
      </c>
      <c r="G608" s="5">
        <v>8147</v>
      </c>
      <c r="H608" s="5">
        <v>8140.21</v>
      </c>
      <c r="I608" s="5">
        <v>2107967.19</v>
      </c>
      <c r="K608" s="5">
        <v>6.343</v>
      </c>
      <c r="L608" s="5">
        <v>1E-3</v>
      </c>
      <c r="M608" s="5">
        <v>1256370.4820000001</v>
      </c>
      <c r="N608" s="6">
        <v>5.8999999999999997E-2</v>
      </c>
      <c r="O608" s="5">
        <v>2721.9160000000002</v>
      </c>
      <c r="P608" s="6">
        <v>0.24460000000000001</v>
      </c>
      <c r="Q608" s="5">
        <v>21141213.158</v>
      </c>
      <c r="R608" s="1" t="s">
        <v>44</v>
      </c>
      <c r="T608" s="1" t="s">
        <v>89</v>
      </c>
      <c r="V608" s="1" t="s">
        <v>90</v>
      </c>
      <c r="W608" s="1" t="s">
        <v>58</v>
      </c>
      <c r="Y608" s="1" t="s">
        <v>346</v>
      </c>
      <c r="Z608" s="1" t="str">
        <f t="shared" si="27"/>
        <v>2049 5</v>
      </c>
      <c r="AA608" s="3">
        <f>IF(INDEX('CAMD Facility Data 2023'!$AA$2:$AE$10000,MATCH(Z608,'CAMD Facility Data 2023'!$AE$2:$AE$10000,0),1)&gt;0,INDEX('CAMD Facility Data 2023'!$AA$2:$AE$10000,MATCH(Z608,'CAMD Facility Data 2023'!$AE$2:$AE$10000,0),1),"")</f>
        <v>26815</v>
      </c>
      <c r="AB608" s="5">
        <f>IF(INDEX('CAMD Facility Data 2023'!$AC$2:$AE$10000,MATCH(Z608,'CAMD Facility Data 2023'!$AE$2:$AE$10000,0),1)&gt;0,INDEX('CAMD Facility Data 2023'!$AC$2:$AE$10000,MATCH(Z608,'CAMD Facility Data 2023'!$AE$2:$AE$10000,0),1),"")</f>
        <v>5095</v>
      </c>
      <c r="AC608" s="1" t="str">
        <f>IF(INDEX('CAMD Facility Data 2023'!$AE$2:$AG$10000,MATCH(Z608,'CAMD Facility Data 2023'!$AE$2:$AE$10000,0),3)&gt;0,INDEX('CAMD Facility Data 2023'!$AE$2:$AG$10000,MATCH(Z608,'CAMD Facility Data 2023'!$AE$2:$AE$10000,0),3),"")</f>
        <v/>
      </c>
      <c r="AD608" s="20">
        <f t="shared" si="28"/>
        <v>2.5825031935150755</v>
      </c>
      <c r="AE608" s="25">
        <f t="shared" si="29"/>
        <v>0.47367625073377517</v>
      </c>
    </row>
    <row r="609" spans="1:31" x14ac:dyDescent="0.2">
      <c r="A609" s="1" t="s">
        <v>1732</v>
      </c>
      <c r="B609" s="1" t="s">
        <v>1742</v>
      </c>
      <c r="C609" s="1">
        <v>2050</v>
      </c>
      <c r="D609" s="1">
        <v>1</v>
      </c>
      <c r="F609" s="1">
        <v>2023</v>
      </c>
      <c r="G609" s="5">
        <v>0</v>
      </c>
      <c r="H609" s="5">
        <v>0</v>
      </c>
      <c r="R609" s="1" t="s">
        <v>44</v>
      </c>
      <c r="S609" s="1" t="s">
        <v>173</v>
      </c>
      <c r="T609" s="1" t="s">
        <v>43</v>
      </c>
      <c r="Y609" s="1" t="s">
        <v>247</v>
      </c>
      <c r="Z609" s="1" t="str">
        <f t="shared" si="27"/>
        <v>2050 1</v>
      </c>
      <c r="AA609" s="3">
        <f>IF(INDEX('CAMD Facility Data 2023'!$AA$2:$AE$10000,MATCH(Z609,'CAMD Facility Data 2023'!$AE$2:$AE$10000,0),1)&gt;0,INDEX('CAMD Facility Data 2023'!$AA$2:$AE$10000,MATCH(Z609,'CAMD Facility Data 2023'!$AE$2:$AE$10000,0),1),"")</f>
        <v>24381</v>
      </c>
      <c r="AB609" s="5">
        <f>IF(INDEX('CAMD Facility Data 2023'!$AC$2:$AE$10000,MATCH(Z609,'CAMD Facility Data 2023'!$AE$2:$AE$10000,0),1)&gt;0,INDEX('CAMD Facility Data 2023'!$AC$2:$AE$10000,MATCH(Z609,'CAMD Facility Data 2023'!$AE$2:$AE$10000,0),1),"")</f>
        <v>5585</v>
      </c>
      <c r="AC609" s="1" t="str">
        <f>IF(INDEX('CAMD Facility Data 2023'!$AE$2:$AG$10000,MATCH(Z609,'CAMD Facility Data 2023'!$AE$2:$AE$10000,0),3)&gt;0,INDEX('CAMD Facility Data 2023'!$AE$2:$AG$10000,MATCH(Z609,'CAMD Facility Data 2023'!$AE$2:$AE$10000,0),3),"")</f>
        <v/>
      </c>
      <c r="AD609" s="20" t="str">
        <f t="shared" si="28"/>
        <v/>
      </c>
      <c r="AE609" s="25">
        <f t="shared" si="29"/>
        <v>0</v>
      </c>
    </row>
    <row r="610" spans="1:31" x14ac:dyDescent="0.2">
      <c r="A610" s="1" t="s">
        <v>1732</v>
      </c>
      <c r="B610" s="1" t="s">
        <v>1747</v>
      </c>
      <c r="C610" s="1">
        <v>2070</v>
      </c>
      <c r="D610" s="1">
        <v>3</v>
      </c>
      <c r="F610" s="1">
        <v>2023</v>
      </c>
      <c r="G610" s="5">
        <v>2415</v>
      </c>
      <c r="H610" s="5">
        <v>2259.61</v>
      </c>
      <c r="I610" s="5">
        <v>61465.98</v>
      </c>
      <c r="K610" s="5">
        <v>0.2</v>
      </c>
      <c r="L610" s="5">
        <v>1E-3</v>
      </c>
      <c r="M610" s="5">
        <v>39646.129000000001</v>
      </c>
      <c r="N610" s="6">
        <v>5.9299999999999999E-2</v>
      </c>
      <c r="O610" s="5">
        <v>139.70099999999999</v>
      </c>
      <c r="P610" s="6">
        <v>0.31019999999999998</v>
      </c>
      <c r="Q610" s="5">
        <v>667144.26800000004</v>
      </c>
      <c r="R610" s="1" t="s">
        <v>44</v>
      </c>
      <c r="S610" s="1" t="s">
        <v>94</v>
      </c>
      <c r="T610" s="1" t="s">
        <v>89</v>
      </c>
      <c r="Y610" s="1" t="s">
        <v>346</v>
      </c>
      <c r="Z610" s="1" t="str">
        <f t="shared" si="27"/>
        <v>2070 3</v>
      </c>
      <c r="AA610" s="3">
        <f>IF(INDEX('CAMD Facility Data 2023'!$AA$2:$AE$10000,MATCH(Z610,'CAMD Facility Data 2023'!$AE$2:$AE$10000,0),1)&gt;0,INDEX('CAMD Facility Data 2023'!$AA$2:$AE$10000,MATCH(Z610,'CAMD Facility Data 2023'!$AE$2:$AE$10000,0),1),"")</f>
        <v>25781</v>
      </c>
      <c r="AB610" s="5">
        <f>IF(INDEX('CAMD Facility Data 2023'!$AC$2:$AE$10000,MATCH(Z610,'CAMD Facility Data 2023'!$AE$2:$AE$10000,0),1)&gt;0,INDEX('CAMD Facility Data 2023'!$AC$2:$AE$10000,MATCH(Z610,'CAMD Facility Data 2023'!$AE$2:$AE$10000,0),1),"")</f>
        <v>725</v>
      </c>
      <c r="AC610" s="1" t="str">
        <f>IF(INDEX('CAMD Facility Data 2023'!$AE$2:$AG$10000,MATCH(Z610,'CAMD Facility Data 2023'!$AE$2:$AE$10000,0),3)&gt;0,INDEX('CAMD Facility Data 2023'!$AE$2:$AG$10000,MATCH(Z610,'CAMD Facility Data 2023'!$AE$2:$AE$10000,0),3),"")</f>
        <v/>
      </c>
      <c r="AD610" s="20">
        <f t="shared" si="28"/>
        <v>4.5456364642685267</v>
      </c>
      <c r="AE610" s="25">
        <f t="shared" si="29"/>
        <v>0.10504554684301685</v>
      </c>
    </row>
    <row r="611" spans="1:31" x14ac:dyDescent="0.2">
      <c r="A611" s="1" t="s">
        <v>1732</v>
      </c>
      <c r="B611" s="1" t="s">
        <v>1747</v>
      </c>
      <c r="C611" s="1">
        <v>2070</v>
      </c>
      <c r="D611" s="1" t="s">
        <v>569</v>
      </c>
      <c r="F611" s="1">
        <v>2023</v>
      </c>
      <c r="G611" s="5">
        <v>1898</v>
      </c>
      <c r="H611" s="5">
        <v>1748.13</v>
      </c>
      <c r="I611" s="5">
        <v>120554.93</v>
      </c>
      <c r="K611" s="5">
        <v>0.43099999999999999</v>
      </c>
      <c r="L611" s="5">
        <v>1E-3</v>
      </c>
      <c r="M611" s="5">
        <v>85410.95</v>
      </c>
      <c r="N611" s="6">
        <v>5.8999999999999997E-2</v>
      </c>
      <c r="O611" s="5">
        <v>25.428999999999998</v>
      </c>
      <c r="P611" s="6">
        <v>4.0300000000000002E-2</v>
      </c>
      <c r="Q611" s="5">
        <v>1437322.571</v>
      </c>
      <c r="R611" s="1" t="s">
        <v>44</v>
      </c>
      <c r="S611" s="1" t="s">
        <v>94</v>
      </c>
      <c r="T611" s="1" t="s">
        <v>93</v>
      </c>
      <c r="V611" s="1" t="s">
        <v>140</v>
      </c>
      <c r="Y611" s="1" t="s">
        <v>346</v>
      </c>
      <c r="Z611" s="1" t="str">
        <f t="shared" si="27"/>
        <v>2070 **4</v>
      </c>
      <c r="AA611" s="3">
        <f>IF(INDEX('CAMD Facility Data 2023'!$AA$2:$AE$10000,MATCH(Z611,'CAMD Facility Data 2023'!$AE$2:$AE$10000,0),1)&gt;0,INDEX('CAMD Facility Data 2023'!$AA$2:$AE$10000,MATCH(Z611,'CAMD Facility Data 2023'!$AE$2:$AE$10000,0),1),"")</f>
        <v>35582</v>
      </c>
      <c r="AB611" s="5">
        <f>IF(INDEX('CAMD Facility Data 2023'!$AC$2:$AE$10000,MATCH(Z611,'CAMD Facility Data 2023'!$AE$2:$AE$10000,0),1)&gt;0,INDEX('CAMD Facility Data 2023'!$AC$2:$AE$10000,MATCH(Z611,'CAMD Facility Data 2023'!$AE$2:$AE$10000,0),1),"")</f>
        <v>1200</v>
      </c>
      <c r="AC611" s="1" t="str">
        <f>IF(INDEX('CAMD Facility Data 2023'!$AE$2:$AG$10000,MATCH(Z611,'CAMD Facility Data 2023'!$AE$2:$AE$10000,0),3)&gt;0,INDEX('CAMD Facility Data 2023'!$AE$2:$AG$10000,MATCH(Z611,'CAMD Facility Data 2023'!$AE$2:$AE$10000,0),3),"")</f>
        <v/>
      </c>
      <c r="AD611" s="20">
        <f t="shared" si="28"/>
        <v>0.42186578350632364</v>
      </c>
      <c r="AE611" s="25">
        <f t="shared" si="29"/>
        <v>0.1367315992199391</v>
      </c>
    </row>
    <row r="612" spans="1:31" x14ac:dyDescent="0.2">
      <c r="A612" s="1" t="s">
        <v>1732</v>
      </c>
      <c r="B612" s="1" t="s">
        <v>1747</v>
      </c>
      <c r="C612" s="1">
        <v>2070</v>
      </c>
      <c r="D612" s="1">
        <v>5</v>
      </c>
      <c r="F612" s="1">
        <v>2023</v>
      </c>
      <c r="G612" s="5">
        <v>2009</v>
      </c>
      <c r="H612" s="5">
        <v>1841.2</v>
      </c>
      <c r="I612" s="5">
        <v>127868.82</v>
      </c>
      <c r="K612" s="5">
        <v>0.46400000000000002</v>
      </c>
      <c r="L612" s="5">
        <v>1E-3</v>
      </c>
      <c r="M612" s="5">
        <v>91918.955000000002</v>
      </c>
      <c r="N612" s="6">
        <v>5.8999999999999997E-2</v>
      </c>
      <c r="O612" s="5">
        <v>17.989999999999998</v>
      </c>
      <c r="P612" s="6">
        <v>2.8199999999999999E-2</v>
      </c>
      <c r="Q612" s="5">
        <v>1546711.8189999999</v>
      </c>
      <c r="R612" s="1" t="s">
        <v>44</v>
      </c>
      <c r="T612" s="1" t="s">
        <v>93</v>
      </c>
      <c r="V612" s="1" t="s">
        <v>140</v>
      </c>
      <c r="Y612" s="1" t="s">
        <v>346</v>
      </c>
      <c r="Z612" s="1" t="str">
        <f t="shared" si="27"/>
        <v>2070 5</v>
      </c>
      <c r="AA612" s="3">
        <f>IF(INDEX('CAMD Facility Data 2023'!$AA$2:$AE$10000,MATCH(Z612,'CAMD Facility Data 2023'!$AE$2:$AE$10000,0),1)&gt;0,INDEX('CAMD Facility Data 2023'!$AA$2:$AE$10000,MATCH(Z612,'CAMD Facility Data 2023'!$AE$2:$AE$10000,0),1),"")</f>
        <v>38778</v>
      </c>
      <c r="AB612" s="5">
        <f>IF(INDEX('CAMD Facility Data 2023'!$AC$2:$AE$10000,MATCH(Z612,'CAMD Facility Data 2023'!$AE$2:$AE$10000,0),1)&gt;0,INDEX('CAMD Facility Data 2023'!$AC$2:$AE$10000,MATCH(Z612,'CAMD Facility Data 2023'!$AE$2:$AE$10000,0),1),"")</f>
        <v>1143.3</v>
      </c>
      <c r="AC612" s="1" t="str">
        <f>IF(INDEX('CAMD Facility Data 2023'!$AE$2:$AG$10000,MATCH(Z612,'CAMD Facility Data 2023'!$AE$2:$AE$10000,0),3)&gt;0,INDEX('CAMD Facility Data 2023'!$AE$2:$AG$10000,MATCH(Z612,'CAMD Facility Data 2023'!$AE$2:$AE$10000,0),3),"")</f>
        <v/>
      </c>
      <c r="AD612" s="20">
        <f t="shared" si="28"/>
        <v>0.28138212270982088</v>
      </c>
      <c r="AE612" s="25">
        <f t="shared" si="29"/>
        <v>0.1544347731492631</v>
      </c>
    </row>
    <row r="613" spans="1:31" x14ac:dyDescent="0.2">
      <c r="A613" s="1" t="s">
        <v>1732</v>
      </c>
      <c r="B613" s="1" t="s">
        <v>1747</v>
      </c>
      <c r="C613" s="1">
        <v>2070</v>
      </c>
      <c r="D613" s="1">
        <v>6</v>
      </c>
      <c r="F613" s="1">
        <v>2023</v>
      </c>
      <c r="G613" s="5">
        <v>6583</v>
      </c>
      <c r="H613" s="5">
        <v>6539.09</v>
      </c>
      <c r="I613" s="5">
        <v>875444.9</v>
      </c>
      <c r="K613" s="5">
        <v>2.0990000000000002</v>
      </c>
      <c r="L613" s="5">
        <v>1E-3</v>
      </c>
      <c r="M613" s="5">
        <v>415773.30499999999</v>
      </c>
      <c r="N613" s="6">
        <v>5.91E-2</v>
      </c>
      <c r="O613" s="5">
        <v>23.134</v>
      </c>
      <c r="P613" s="6">
        <v>7.6E-3</v>
      </c>
      <c r="Q613" s="5">
        <v>6995155.1009999998</v>
      </c>
      <c r="R613" s="1" t="s">
        <v>44</v>
      </c>
      <c r="T613" s="1" t="s">
        <v>71</v>
      </c>
      <c r="V613" s="1" t="s">
        <v>64</v>
      </c>
      <c r="Y613" s="1" t="s">
        <v>346</v>
      </c>
      <c r="Z613" s="1" t="str">
        <f t="shared" si="27"/>
        <v>2070 6</v>
      </c>
      <c r="AA613" s="3">
        <f>IF(INDEX('CAMD Facility Data 2023'!$AA$2:$AE$10000,MATCH(Z613,'CAMD Facility Data 2023'!$AE$2:$AE$10000,0),1)&gt;0,INDEX('CAMD Facility Data 2023'!$AA$2:$AE$10000,MATCH(Z613,'CAMD Facility Data 2023'!$AE$2:$AE$10000,0),1),"")</f>
        <v>40828</v>
      </c>
      <c r="AB613" s="5">
        <f>IF(INDEX('CAMD Facility Data 2023'!$AC$2:$AE$10000,MATCH(Z613,'CAMD Facility Data 2023'!$AE$2:$AE$10000,0),1)&gt;0,INDEX('CAMD Facility Data 2023'!$AC$2:$AE$10000,MATCH(Z613,'CAMD Facility Data 2023'!$AE$2:$AE$10000,0),1),"")</f>
        <v>1540</v>
      </c>
      <c r="AC613" s="1" t="str">
        <f>IF(INDEX('CAMD Facility Data 2023'!$AE$2:$AG$10000,MATCH(Z613,'CAMD Facility Data 2023'!$AE$2:$AE$10000,0),3)&gt;0,INDEX('CAMD Facility Data 2023'!$AE$2:$AG$10000,MATCH(Z613,'CAMD Facility Data 2023'!$AE$2:$AE$10000,0),3),"")</f>
        <v>Y</v>
      </c>
      <c r="AD613" s="20">
        <f t="shared" si="28"/>
        <v>5.2850841897645412E-2</v>
      </c>
      <c r="AE613" s="25">
        <f t="shared" si="29"/>
        <v>0.51852836839530336</v>
      </c>
    </row>
    <row r="614" spans="1:31" x14ac:dyDescent="0.2">
      <c r="A614" s="1" t="s">
        <v>1732</v>
      </c>
      <c r="B614" s="1" t="s">
        <v>1747</v>
      </c>
      <c r="C614" s="1">
        <v>2070</v>
      </c>
      <c r="D614" s="1">
        <v>7</v>
      </c>
      <c r="F614" s="1">
        <v>2023</v>
      </c>
      <c r="G614" s="5">
        <v>7513</v>
      </c>
      <c r="H614" s="5">
        <v>7491.13</v>
      </c>
      <c r="I614" s="5">
        <v>1014877.46</v>
      </c>
      <c r="K614" s="5">
        <v>2.52</v>
      </c>
      <c r="L614" s="5">
        <v>1E-3</v>
      </c>
      <c r="M614" s="5">
        <v>499145.51199999999</v>
      </c>
      <c r="N614" s="6">
        <v>5.8999999999999997E-2</v>
      </c>
      <c r="O614" s="5">
        <v>24.64</v>
      </c>
      <c r="P614" s="6">
        <v>6.8999999999999999E-3</v>
      </c>
      <c r="Q614" s="5">
        <v>8397459.5109999999</v>
      </c>
      <c r="R614" s="1" t="s">
        <v>44</v>
      </c>
      <c r="T614" s="1" t="s">
        <v>71</v>
      </c>
      <c r="V614" s="1" t="s">
        <v>64</v>
      </c>
      <c r="Y614" s="1" t="s">
        <v>346</v>
      </c>
      <c r="Z614" s="1" t="str">
        <f t="shared" si="27"/>
        <v>2070 7</v>
      </c>
      <c r="AA614" s="3">
        <f>IF(INDEX('CAMD Facility Data 2023'!$AA$2:$AE$10000,MATCH(Z614,'CAMD Facility Data 2023'!$AE$2:$AE$10000,0),1)&gt;0,INDEX('CAMD Facility Data 2023'!$AA$2:$AE$10000,MATCH(Z614,'CAMD Facility Data 2023'!$AE$2:$AE$10000,0),1),"")</f>
        <v>40810</v>
      </c>
      <c r="AB614" s="5">
        <f>IF(INDEX('CAMD Facility Data 2023'!$AC$2:$AE$10000,MATCH(Z614,'CAMD Facility Data 2023'!$AE$2:$AE$10000,0),1)&gt;0,INDEX('CAMD Facility Data 2023'!$AC$2:$AE$10000,MATCH(Z614,'CAMD Facility Data 2023'!$AE$2:$AE$10000,0),1),"")</f>
        <v>1540</v>
      </c>
      <c r="AC614" s="1" t="str">
        <f>IF(INDEX('CAMD Facility Data 2023'!$AE$2:$AG$10000,MATCH(Z614,'CAMD Facility Data 2023'!$AE$2:$AE$10000,0),3)&gt;0,INDEX('CAMD Facility Data 2023'!$AE$2:$AG$10000,MATCH(Z614,'CAMD Facility Data 2023'!$AE$2:$AE$10000,0),3),"")</f>
        <v>Y</v>
      </c>
      <c r="AD614" s="20">
        <f t="shared" si="28"/>
        <v>4.8557586449895142E-2</v>
      </c>
      <c r="AE614" s="25">
        <f t="shared" si="29"/>
        <v>0.62247668794105437</v>
      </c>
    </row>
    <row r="615" spans="1:31" x14ac:dyDescent="0.2">
      <c r="A615" s="1" t="s">
        <v>1755</v>
      </c>
      <c r="B615" s="1" t="s">
        <v>1756</v>
      </c>
      <c r="C615" s="1">
        <v>2079</v>
      </c>
      <c r="D615" s="1" t="s">
        <v>955</v>
      </c>
      <c r="F615" s="1">
        <v>2023</v>
      </c>
      <c r="G615" s="5">
        <v>6074</v>
      </c>
      <c r="H615" s="5">
        <v>6048.99</v>
      </c>
      <c r="I615" s="5">
        <v>2386415.87</v>
      </c>
      <c r="K615" s="5">
        <v>1293.885</v>
      </c>
      <c r="L615" s="5">
        <v>0.1094</v>
      </c>
      <c r="M615" s="5">
        <v>2404229.159</v>
      </c>
      <c r="N615" s="6">
        <v>0.10100000000000001</v>
      </c>
      <c r="O615" s="5">
        <v>760.03099999999995</v>
      </c>
      <c r="P615" s="6">
        <v>6.6000000000000003E-2</v>
      </c>
      <c r="Q615" s="5">
        <v>23303011.712000001</v>
      </c>
      <c r="R615" s="1" t="s">
        <v>55</v>
      </c>
      <c r="T615" s="1" t="s">
        <v>89</v>
      </c>
      <c r="U615" s="1" t="s">
        <v>212</v>
      </c>
      <c r="V615" s="1" t="s">
        <v>563</v>
      </c>
      <c r="W615" s="1" t="s">
        <v>232</v>
      </c>
      <c r="X615" s="1" t="s">
        <v>214</v>
      </c>
      <c r="Y615" s="1" t="s">
        <v>1188</v>
      </c>
      <c r="Z615" s="1" t="str">
        <f t="shared" si="27"/>
        <v>2079 5A</v>
      </c>
      <c r="AA615" s="3">
        <f>IF(INDEX('CAMD Facility Data 2023'!$AA$2:$AE$10000,MATCH(Z615,'CAMD Facility Data 2023'!$AE$2:$AE$10000,0),1)&gt;0,INDEX('CAMD Facility Data 2023'!$AA$2:$AE$10000,MATCH(Z615,'CAMD Facility Data 2023'!$AE$2:$AE$10000,0),1),"")</f>
        <v>37022</v>
      </c>
      <c r="AB615" s="5">
        <f>IF(INDEX('CAMD Facility Data 2023'!$AC$2:$AE$10000,MATCH(Z615,'CAMD Facility Data 2023'!$AE$2:$AE$10000,0),1)&gt;0,INDEX('CAMD Facility Data 2023'!$AC$2:$AE$10000,MATCH(Z615,'CAMD Facility Data 2023'!$AE$2:$AE$10000,0),1),"")</f>
        <v>7179</v>
      </c>
      <c r="AC615" s="1" t="str">
        <f>IF(INDEX('CAMD Facility Data 2023'!$AE$2:$AG$10000,MATCH(Z615,'CAMD Facility Data 2023'!$AE$2:$AE$10000,0),3)&gt;0,INDEX('CAMD Facility Data 2023'!$AE$2:$AG$10000,MATCH(Z615,'CAMD Facility Data 2023'!$AE$2:$AE$10000,0),3),"")</f>
        <v>Y</v>
      </c>
      <c r="AD615" s="20">
        <f t="shared" si="28"/>
        <v>0.63696441978488849</v>
      </c>
      <c r="AE615" s="25">
        <f t="shared" si="29"/>
        <v>0.37054759079786875</v>
      </c>
    </row>
    <row r="616" spans="1:31" x14ac:dyDescent="0.2">
      <c r="A616" s="1" t="s">
        <v>1755</v>
      </c>
      <c r="B616" s="1" t="s">
        <v>1756</v>
      </c>
      <c r="C616" s="1">
        <v>2079</v>
      </c>
      <c r="D616" s="1">
        <v>6</v>
      </c>
      <c r="F616" s="1">
        <v>2023</v>
      </c>
      <c r="G616" s="5">
        <v>0</v>
      </c>
      <c r="H616" s="5">
        <v>0</v>
      </c>
      <c r="R616" s="1" t="s">
        <v>44</v>
      </c>
      <c r="T616" s="1" t="s">
        <v>93</v>
      </c>
      <c r="V616" s="1" t="s">
        <v>454</v>
      </c>
      <c r="Y616" s="1" t="s">
        <v>1207</v>
      </c>
      <c r="Z616" s="1" t="str">
        <f t="shared" si="27"/>
        <v>2079 6</v>
      </c>
      <c r="AA616" s="3">
        <f>IF(INDEX('CAMD Facility Data 2023'!$AA$2:$AE$10000,MATCH(Z616,'CAMD Facility Data 2023'!$AE$2:$AE$10000,0),1)&gt;0,INDEX('CAMD Facility Data 2023'!$AA$2:$AE$10000,MATCH(Z616,'CAMD Facility Data 2023'!$AE$2:$AE$10000,0),1),"")</f>
        <v>35724</v>
      </c>
      <c r="AB616" s="5">
        <f>IF(INDEX('CAMD Facility Data 2023'!$AC$2:$AE$10000,MATCH(Z616,'CAMD Facility Data 2023'!$AE$2:$AE$10000,0),1)&gt;0,INDEX('CAMD Facility Data 2023'!$AC$2:$AE$10000,MATCH(Z616,'CAMD Facility Data 2023'!$AE$2:$AE$10000,0),1),"")</f>
        <v>1602</v>
      </c>
      <c r="AC616" s="1" t="str">
        <f>IF(INDEX('CAMD Facility Data 2023'!$AE$2:$AG$10000,MATCH(Z616,'CAMD Facility Data 2023'!$AE$2:$AE$10000,0),3)&gt;0,INDEX('CAMD Facility Data 2023'!$AE$2:$AG$10000,MATCH(Z616,'CAMD Facility Data 2023'!$AE$2:$AE$10000,0),3),"")</f>
        <v/>
      </c>
      <c r="AD616" s="20" t="str">
        <f t="shared" si="28"/>
        <v/>
      </c>
      <c r="AE616" s="25">
        <f t="shared" si="29"/>
        <v>0</v>
      </c>
    </row>
    <row r="617" spans="1:31" x14ac:dyDescent="0.2">
      <c r="A617" s="1" t="s">
        <v>1755</v>
      </c>
      <c r="B617" s="1" t="s">
        <v>1756</v>
      </c>
      <c r="C617" s="1">
        <v>2079</v>
      </c>
      <c r="D617" s="1">
        <v>7</v>
      </c>
      <c r="F617" s="1">
        <v>2023</v>
      </c>
      <c r="G617" s="5">
        <v>1725</v>
      </c>
      <c r="H617" s="5">
        <v>1552.18</v>
      </c>
      <c r="I617" s="5">
        <v>93014.38</v>
      </c>
      <c r="K617" s="5">
        <v>0.36799999999999999</v>
      </c>
      <c r="L617" s="5">
        <v>1E-3</v>
      </c>
      <c r="M617" s="5">
        <v>72974.569000000003</v>
      </c>
      <c r="N617" s="6">
        <v>5.8999999999999997E-2</v>
      </c>
      <c r="O617" s="5">
        <v>17.599</v>
      </c>
      <c r="P617" s="6">
        <v>3.15E-2</v>
      </c>
      <c r="Q617" s="5">
        <v>1227946.139</v>
      </c>
      <c r="R617" s="1" t="s">
        <v>44</v>
      </c>
      <c r="T617" s="1" t="s">
        <v>93</v>
      </c>
      <c r="V617" s="1" t="s">
        <v>454</v>
      </c>
      <c r="Y617" s="1" t="s">
        <v>1207</v>
      </c>
      <c r="Z617" s="1" t="str">
        <f t="shared" si="27"/>
        <v>2079 7</v>
      </c>
      <c r="AA617" s="3">
        <f>IF(INDEX('CAMD Facility Data 2023'!$AA$2:$AE$10000,MATCH(Z617,'CAMD Facility Data 2023'!$AE$2:$AE$10000,0),1)&gt;0,INDEX('CAMD Facility Data 2023'!$AA$2:$AE$10000,MATCH(Z617,'CAMD Facility Data 2023'!$AE$2:$AE$10000,0),1),"")</f>
        <v>36677</v>
      </c>
      <c r="AB617" s="5">
        <f>IF(INDEX('CAMD Facility Data 2023'!$AC$2:$AE$10000,MATCH(Z617,'CAMD Facility Data 2023'!$AE$2:$AE$10000,0),1)&gt;0,INDEX('CAMD Facility Data 2023'!$AC$2:$AE$10000,MATCH(Z617,'CAMD Facility Data 2023'!$AE$2:$AE$10000,0),1),"")</f>
        <v>925</v>
      </c>
      <c r="AC617" s="1" t="str">
        <f>IF(INDEX('CAMD Facility Data 2023'!$AE$2:$AG$10000,MATCH(Z617,'CAMD Facility Data 2023'!$AE$2:$AE$10000,0),3)&gt;0,INDEX('CAMD Facility Data 2023'!$AE$2:$AG$10000,MATCH(Z617,'CAMD Facility Data 2023'!$AE$2:$AE$10000,0),3),"")</f>
        <v/>
      </c>
      <c r="AD617" s="20">
        <f t="shared" si="28"/>
        <v>0.37841460642967245</v>
      </c>
      <c r="AE617" s="25">
        <f t="shared" si="29"/>
        <v>0.15154216203875107</v>
      </c>
    </row>
    <row r="618" spans="1:31" x14ac:dyDescent="0.2">
      <c r="A618" s="1" t="s">
        <v>1755</v>
      </c>
      <c r="B618" s="1" t="s">
        <v>1756</v>
      </c>
      <c r="C618" s="1">
        <v>2079</v>
      </c>
      <c r="D618" s="1">
        <v>8</v>
      </c>
      <c r="F618" s="1">
        <v>2023</v>
      </c>
      <c r="G618" s="5">
        <v>1863</v>
      </c>
      <c r="H618" s="5">
        <v>1688.59</v>
      </c>
      <c r="I618" s="5">
        <v>102075.11</v>
      </c>
      <c r="K618" s="5">
        <v>0.35299999999999998</v>
      </c>
      <c r="L618" s="5">
        <v>1E-3</v>
      </c>
      <c r="M618" s="5">
        <v>69918.039000000004</v>
      </c>
      <c r="N618" s="6">
        <v>5.91E-2</v>
      </c>
      <c r="O618" s="5">
        <v>15.247999999999999</v>
      </c>
      <c r="P618" s="6">
        <v>2.98E-2</v>
      </c>
      <c r="Q618" s="5">
        <v>1176503.8189999999</v>
      </c>
      <c r="R618" s="1" t="s">
        <v>44</v>
      </c>
      <c r="T618" s="1" t="s">
        <v>93</v>
      </c>
      <c r="V618" s="1" t="s">
        <v>454</v>
      </c>
      <c r="Y618" s="1" t="s">
        <v>1207</v>
      </c>
      <c r="Z618" s="1" t="str">
        <f t="shared" si="27"/>
        <v>2079 8</v>
      </c>
      <c r="AA618" s="3">
        <f>IF(INDEX('CAMD Facility Data 2023'!$AA$2:$AE$10000,MATCH(Z618,'CAMD Facility Data 2023'!$AE$2:$AE$10000,0),1)&gt;0,INDEX('CAMD Facility Data 2023'!$AA$2:$AE$10000,MATCH(Z618,'CAMD Facility Data 2023'!$AE$2:$AE$10000,0),1),"")</f>
        <v>36691</v>
      </c>
      <c r="AB618" s="5">
        <f>IF(INDEX('CAMD Facility Data 2023'!$AC$2:$AE$10000,MATCH(Z618,'CAMD Facility Data 2023'!$AE$2:$AE$10000,0),1)&gt;0,INDEX('CAMD Facility Data 2023'!$AC$2:$AE$10000,MATCH(Z618,'CAMD Facility Data 2023'!$AE$2:$AE$10000,0),1),"")</f>
        <v>925</v>
      </c>
      <c r="AC618" s="1" t="str">
        <f>IF(INDEX('CAMD Facility Data 2023'!$AE$2:$AG$10000,MATCH(Z618,'CAMD Facility Data 2023'!$AE$2:$AE$10000,0),3)&gt;0,INDEX('CAMD Facility Data 2023'!$AE$2:$AG$10000,MATCH(Z618,'CAMD Facility Data 2023'!$AE$2:$AE$10000,0),3),"")</f>
        <v/>
      </c>
      <c r="AD618" s="20">
        <f t="shared" si="28"/>
        <v>0.29876039320457259</v>
      </c>
      <c r="AE618" s="25">
        <f t="shared" si="29"/>
        <v>0.14519360965074662</v>
      </c>
    </row>
    <row r="619" spans="1:31" x14ac:dyDescent="0.2">
      <c r="A619" s="1" t="s">
        <v>1755</v>
      </c>
      <c r="B619" s="1" t="s">
        <v>1756</v>
      </c>
      <c r="C619" s="1">
        <v>2079</v>
      </c>
      <c r="D619" s="1">
        <v>9</v>
      </c>
      <c r="F619" s="1">
        <v>2023</v>
      </c>
      <c r="G619" s="5">
        <v>2011</v>
      </c>
      <c r="H619" s="5">
        <v>1893.68</v>
      </c>
      <c r="I619" s="5">
        <v>247655.18</v>
      </c>
      <c r="K619" s="5">
        <v>0.63300000000000001</v>
      </c>
      <c r="L619" s="5">
        <v>1E-3</v>
      </c>
      <c r="M619" s="5">
        <v>125477.079</v>
      </c>
      <c r="N619" s="6">
        <v>5.8999999999999997E-2</v>
      </c>
      <c r="O619" s="5">
        <v>13.473000000000001</v>
      </c>
      <c r="P619" s="6">
        <v>1.5599999999999999E-2</v>
      </c>
      <c r="Q619" s="5">
        <v>2111386.5499999998</v>
      </c>
      <c r="R619" s="1" t="s">
        <v>44</v>
      </c>
      <c r="T619" s="1" t="s">
        <v>71</v>
      </c>
      <c r="V619" s="1" t="s">
        <v>223</v>
      </c>
      <c r="Y619" s="1" t="s">
        <v>1207</v>
      </c>
      <c r="Z619" s="1" t="str">
        <f t="shared" si="27"/>
        <v>2079 9</v>
      </c>
      <c r="AA619" s="3">
        <f>IF(INDEX('CAMD Facility Data 2023'!$AA$2:$AE$10000,MATCH(Z619,'CAMD Facility Data 2023'!$AE$2:$AE$10000,0),1)&gt;0,INDEX('CAMD Facility Data 2023'!$AA$2:$AE$10000,MATCH(Z619,'CAMD Facility Data 2023'!$AE$2:$AE$10000,0),1),"")</f>
        <v>36722</v>
      </c>
      <c r="AB619" s="5">
        <f>IF(INDEX('CAMD Facility Data 2023'!$AC$2:$AE$10000,MATCH(Z619,'CAMD Facility Data 2023'!$AE$2:$AE$10000,0),1)&gt;0,INDEX('CAMD Facility Data 2023'!$AC$2:$AE$10000,MATCH(Z619,'CAMD Facility Data 2023'!$AE$2:$AE$10000,0),1),"")</f>
        <v>2439</v>
      </c>
      <c r="AC619" s="1" t="str">
        <f>IF(INDEX('CAMD Facility Data 2023'!$AE$2:$AG$10000,MATCH(Z619,'CAMD Facility Data 2023'!$AE$2:$AE$10000,0),3)&gt;0,INDEX('CAMD Facility Data 2023'!$AE$2:$AG$10000,MATCH(Z619,'CAMD Facility Data 2023'!$AE$2:$AE$10000,0),3),"")</f>
        <v>Y</v>
      </c>
      <c r="AD619" s="20">
        <f t="shared" si="28"/>
        <v>0.10880450794528101</v>
      </c>
      <c r="AE619" s="25">
        <f t="shared" si="29"/>
        <v>9.8821591583495738E-2</v>
      </c>
    </row>
    <row r="620" spans="1:31" x14ac:dyDescent="0.2">
      <c r="A620" s="1" t="s">
        <v>1755</v>
      </c>
      <c r="B620" s="1" t="s">
        <v>1763</v>
      </c>
      <c r="C620" s="1">
        <v>2081</v>
      </c>
      <c r="D620" s="1">
        <v>11</v>
      </c>
      <c r="F620" s="1">
        <v>2023</v>
      </c>
      <c r="G620" s="5">
        <v>318</v>
      </c>
      <c r="H620" s="5">
        <v>266.82</v>
      </c>
      <c r="I620" s="5">
        <v>3745.89</v>
      </c>
      <c r="K620" s="5">
        <v>1.1890000000000001</v>
      </c>
      <c r="L620" s="5">
        <v>0.03</v>
      </c>
      <c r="O620" s="5">
        <v>47.62</v>
      </c>
      <c r="P620" s="6">
        <v>1.1999</v>
      </c>
      <c r="Q620" s="5">
        <v>79365.100000000006</v>
      </c>
      <c r="R620" s="1" t="s">
        <v>94</v>
      </c>
      <c r="T620" s="1" t="s">
        <v>93</v>
      </c>
      <c r="Y620" s="1" t="s">
        <v>1195</v>
      </c>
      <c r="Z620" s="1" t="str">
        <f t="shared" si="27"/>
        <v>2081 11</v>
      </c>
      <c r="AA620" s="3">
        <f>IF(INDEX('CAMD Facility Data 2023'!$AA$2:$AE$10000,MATCH(Z620,'CAMD Facility Data 2023'!$AE$2:$AE$10000,0),1)&gt;0,INDEX('CAMD Facility Data 2023'!$AA$2:$AE$10000,MATCH(Z620,'CAMD Facility Data 2023'!$AE$2:$AE$10000,0),1),"")</f>
        <v>26449</v>
      </c>
      <c r="AB620" s="5">
        <f>IF(INDEX('CAMD Facility Data 2023'!$AC$2:$AE$10000,MATCH(Z620,'CAMD Facility Data 2023'!$AE$2:$AE$10000,0),1)&gt;0,INDEX('CAMD Facility Data 2023'!$AC$2:$AE$10000,MATCH(Z620,'CAMD Facility Data 2023'!$AE$2:$AE$10000,0),1),"")</f>
        <v>1000</v>
      </c>
      <c r="AC620" s="1" t="str">
        <f>IF(INDEX('CAMD Facility Data 2023'!$AE$2:$AG$10000,MATCH(Z620,'CAMD Facility Data 2023'!$AE$2:$AE$10000,0),3)&gt;0,INDEX('CAMD Facility Data 2023'!$AE$2:$AG$10000,MATCH(Z620,'CAMD Facility Data 2023'!$AE$2:$AE$10000,0),3),"")</f>
        <v/>
      </c>
      <c r="AD620" s="20">
        <f t="shared" si="28"/>
        <v>25.425199351822933</v>
      </c>
      <c r="AE620" s="25">
        <f t="shared" si="29"/>
        <v>9.05994292237443E-3</v>
      </c>
    </row>
    <row r="621" spans="1:31" x14ac:dyDescent="0.2">
      <c r="A621" s="1" t="s">
        <v>1755</v>
      </c>
      <c r="B621" s="1" t="s">
        <v>1763</v>
      </c>
      <c r="C621" s="1">
        <v>2081</v>
      </c>
      <c r="D621" s="1">
        <v>12</v>
      </c>
      <c r="F621" s="1">
        <v>2023</v>
      </c>
      <c r="G621" s="5">
        <v>273</v>
      </c>
      <c r="H621" s="5">
        <v>233.23</v>
      </c>
      <c r="I621" s="5">
        <v>2992.59</v>
      </c>
      <c r="K621" s="5">
        <v>1.0369999999999999</v>
      </c>
      <c r="L621" s="5">
        <v>0.03</v>
      </c>
      <c r="O621" s="5">
        <v>41.585999999999999</v>
      </c>
      <c r="P621" s="6">
        <v>1.2</v>
      </c>
      <c r="Q621" s="5">
        <v>69314.899999999994</v>
      </c>
      <c r="R621" s="1" t="s">
        <v>94</v>
      </c>
      <c r="T621" s="1" t="s">
        <v>93</v>
      </c>
      <c r="Y621" s="1" t="s">
        <v>1195</v>
      </c>
      <c r="Z621" s="1" t="str">
        <f t="shared" si="27"/>
        <v>2081 12</v>
      </c>
      <c r="AA621" s="3">
        <f>IF(INDEX('CAMD Facility Data 2023'!$AA$2:$AE$10000,MATCH(Z621,'CAMD Facility Data 2023'!$AE$2:$AE$10000,0),1)&gt;0,INDEX('CAMD Facility Data 2023'!$AA$2:$AE$10000,MATCH(Z621,'CAMD Facility Data 2023'!$AE$2:$AE$10000,0),1),"")</f>
        <v>26449</v>
      </c>
      <c r="AB621" s="5">
        <f>IF(INDEX('CAMD Facility Data 2023'!$AC$2:$AE$10000,MATCH(Z621,'CAMD Facility Data 2023'!$AE$2:$AE$10000,0),1)&gt;0,INDEX('CAMD Facility Data 2023'!$AC$2:$AE$10000,MATCH(Z621,'CAMD Facility Data 2023'!$AE$2:$AE$10000,0),1),"")</f>
        <v>1000</v>
      </c>
      <c r="AC621" s="1" t="str">
        <f>IF(INDEX('CAMD Facility Data 2023'!$AE$2:$AG$10000,MATCH(Z621,'CAMD Facility Data 2023'!$AE$2:$AE$10000,0),3)&gt;0,INDEX('CAMD Facility Data 2023'!$AE$2:$AG$10000,MATCH(Z621,'CAMD Facility Data 2023'!$AE$2:$AE$10000,0),3),"")</f>
        <v/>
      </c>
      <c r="AD621" s="20">
        <f t="shared" si="28"/>
        <v>27.792647840165206</v>
      </c>
      <c r="AE621" s="25">
        <f t="shared" si="29"/>
        <v>7.9126598173515968E-3</v>
      </c>
    </row>
    <row r="622" spans="1:31" x14ac:dyDescent="0.2">
      <c r="A622" s="1" t="s">
        <v>1755</v>
      </c>
      <c r="B622" s="1" t="s">
        <v>1763</v>
      </c>
      <c r="C622" s="1">
        <v>2081</v>
      </c>
      <c r="D622" s="1">
        <v>13</v>
      </c>
      <c r="F622" s="1">
        <v>2023</v>
      </c>
      <c r="G622" s="5">
        <v>160</v>
      </c>
      <c r="H622" s="5">
        <v>132.29</v>
      </c>
      <c r="I622" s="5">
        <v>1685.59</v>
      </c>
      <c r="K622" s="5">
        <v>0.54600000000000004</v>
      </c>
      <c r="L622" s="5">
        <v>3.0200000000000001E-2</v>
      </c>
      <c r="O622" s="5">
        <v>21.835000000000001</v>
      </c>
      <c r="P622" s="6">
        <v>1.2</v>
      </c>
      <c r="Q622" s="5">
        <v>36392.5</v>
      </c>
      <c r="R622" s="1" t="s">
        <v>94</v>
      </c>
      <c r="T622" s="1" t="s">
        <v>93</v>
      </c>
      <c r="Y622" s="1" t="s">
        <v>1195</v>
      </c>
      <c r="Z622" s="1" t="str">
        <f t="shared" si="27"/>
        <v>2081 13</v>
      </c>
      <c r="AA622" s="3">
        <f>IF(INDEX('CAMD Facility Data 2023'!$AA$2:$AE$10000,MATCH(Z622,'CAMD Facility Data 2023'!$AE$2:$AE$10000,0),1)&gt;0,INDEX('CAMD Facility Data 2023'!$AA$2:$AE$10000,MATCH(Z622,'CAMD Facility Data 2023'!$AE$2:$AE$10000,0),1),"")</f>
        <v>27936</v>
      </c>
      <c r="AB622" s="5">
        <f>IF(INDEX('CAMD Facility Data 2023'!$AC$2:$AE$10000,MATCH(Z622,'CAMD Facility Data 2023'!$AE$2:$AE$10000,0),1)&gt;0,INDEX('CAMD Facility Data 2023'!$AC$2:$AE$10000,MATCH(Z622,'CAMD Facility Data 2023'!$AE$2:$AE$10000,0),1),"")</f>
        <v>1000</v>
      </c>
      <c r="AC622" s="1" t="str">
        <f>IF(INDEX('CAMD Facility Data 2023'!$AE$2:$AG$10000,MATCH(Z622,'CAMD Facility Data 2023'!$AE$2:$AE$10000,0),3)&gt;0,INDEX('CAMD Facility Data 2023'!$AE$2:$AG$10000,MATCH(Z622,'CAMD Facility Data 2023'!$AE$2:$AE$10000,0),3),"")</f>
        <v/>
      </c>
      <c r="AD622" s="20">
        <f t="shared" si="28"/>
        <v>25.907842357868759</v>
      </c>
      <c r="AE622" s="25">
        <f t="shared" si="29"/>
        <v>4.1543949771689495E-3</v>
      </c>
    </row>
    <row r="623" spans="1:31" x14ac:dyDescent="0.2">
      <c r="A623" s="1" t="s">
        <v>1755</v>
      </c>
      <c r="B623" s="1" t="s">
        <v>1763</v>
      </c>
      <c r="C623" s="1">
        <v>2081</v>
      </c>
      <c r="D623" s="1">
        <v>14</v>
      </c>
      <c r="F623" s="1">
        <v>2023</v>
      </c>
      <c r="G623" s="5">
        <v>348</v>
      </c>
      <c r="H623" s="5">
        <v>294.43</v>
      </c>
      <c r="I623" s="5">
        <v>3936.59</v>
      </c>
      <c r="K623" s="5">
        <v>1.2549999999999999</v>
      </c>
      <c r="L623" s="5">
        <v>0.03</v>
      </c>
      <c r="O623" s="5">
        <v>50.234999999999999</v>
      </c>
      <c r="P623" s="6">
        <v>1.2</v>
      </c>
      <c r="Q623" s="5">
        <v>83730.3</v>
      </c>
      <c r="R623" s="1" t="s">
        <v>94</v>
      </c>
      <c r="T623" s="1" t="s">
        <v>93</v>
      </c>
      <c r="Y623" s="1" t="s">
        <v>1195</v>
      </c>
      <c r="Z623" s="1" t="str">
        <f t="shared" si="27"/>
        <v>2081 14</v>
      </c>
      <c r="AA623" s="3">
        <f>IF(INDEX('CAMD Facility Data 2023'!$AA$2:$AE$10000,MATCH(Z623,'CAMD Facility Data 2023'!$AE$2:$AE$10000,0),1)&gt;0,INDEX('CAMD Facility Data 2023'!$AA$2:$AE$10000,MATCH(Z623,'CAMD Facility Data 2023'!$AE$2:$AE$10000,0),1),"")</f>
        <v>27908</v>
      </c>
      <c r="AB623" s="5">
        <f>IF(INDEX('CAMD Facility Data 2023'!$AC$2:$AE$10000,MATCH(Z623,'CAMD Facility Data 2023'!$AE$2:$AE$10000,0),1)&gt;0,INDEX('CAMD Facility Data 2023'!$AC$2:$AE$10000,MATCH(Z623,'CAMD Facility Data 2023'!$AE$2:$AE$10000,0),1),"")</f>
        <v>1000</v>
      </c>
      <c r="AC623" s="1" t="str">
        <f>IF(INDEX('CAMD Facility Data 2023'!$AE$2:$AG$10000,MATCH(Z623,'CAMD Facility Data 2023'!$AE$2:$AE$10000,0),3)&gt;0,INDEX('CAMD Facility Data 2023'!$AE$2:$AG$10000,MATCH(Z623,'CAMD Facility Data 2023'!$AE$2:$AE$10000,0),3),"")</f>
        <v/>
      </c>
      <c r="AD623" s="20">
        <f t="shared" si="28"/>
        <v>25.522088914517386</v>
      </c>
      <c r="AE623" s="25">
        <f t="shared" si="29"/>
        <v>9.558253424657534E-3</v>
      </c>
    </row>
    <row r="624" spans="1:31" x14ac:dyDescent="0.2">
      <c r="A624" s="1" t="s">
        <v>1755</v>
      </c>
      <c r="B624" s="1" t="s">
        <v>1763</v>
      </c>
      <c r="C624" s="1">
        <v>2081</v>
      </c>
      <c r="D624" s="1">
        <v>15</v>
      </c>
      <c r="F624" s="1">
        <v>2023</v>
      </c>
      <c r="G624" s="5">
        <v>341</v>
      </c>
      <c r="H624" s="5">
        <v>292.95</v>
      </c>
      <c r="I624" s="5">
        <v>3874.84</v>
      </c>
      <c r="K624" s="5">
        <v>1.244</v>
      </c>
      <c r="L624" s="5">
        <v>3.0099999999999998E-2</v>
      </c>
      <c r="O624" s="5">
        <v>49.722999999999999</v>
      </c>
      <c r="P624" s="6">
        <v>1.1999</v>
      </c>
      <c r="Q624" s="5">
        <v>82867.8</v>
      </c>
      <c r="R624" s="1" t="s">
        <v>94</v>
      </c>
      <c r="T624" s="1" t="s">
        <v>93</v>
      </c>
      <c r="Y624" s="1" t="s">
        <v>1195</v>
      </c>
      <c r="Z624" s="1" t="str">
        <f t="shared" si="27"/>
        <v>2081 15</v>
      </c>
      <c r="AA624" s="3">
        <f>IF(INDEX('CAMD Facility Data 2023'!$AA$2:$AE$10000,MATCH(Z624,'CAMD Facility Data 2023'!$AE$2:$AE$10000,0),1)&gt;0,INDEX('CAMD Facility Data 2023'!$AA$2:$AE$10000,MATCH(Z624,'CAMD Facility Data 2023'!$AE$2:$AE$10000,0),1),"")</f>
        <v>27542</v>
      </c>
      <c r="AB624" s="5">
        <f>IF(INDEX('CAMD Facility Data 2023'!$AC$2:$AE$10000,MATCH(Z624,'CAMD Facility Data 2023'!$AE$2:$AE$10000,0),1)&gt;0,INDEX('CAMD Facility Data 2023'!$AC$2:$AE$10000,MATCH(Z624,'CAMD Facility Data 2023'!$AE$2:$AE$10000,0),1),"")</f>
        <v>1000</v>
      </c>
      <c r="AC624" s="1" t="str">
        <f>IF(INDEX('CAMD Facility Data 2023'!$AE$2:$AG$10000,MATCH(Z624,'CAMD Facility Data 2023'!$AE$2:$AE$10000,0),3)&gt;0,INDEX('CAMD Facility Data 2023'!$AE$2:$AG$10000,MATCH(Z624,'CAMD Facility Data 2023'!$AE$2:$AE$10000,0),3),"")</f>
        <v/>
      </c>
      <c r="AD624" s="20">
        <f t="shared" si="28"/>
        <v>25.664543568250558</v>
      </c>
      <c r="AE624" s="25">
        <f t="shared" si="29"/>
        <v>9.4597945205479456E-3</v>
      </c>
    </row>
    <row r="625" spans="1:31" x14ac:dyDescent="0.2">
      <c r="A625" s="1" t="s">
        <v>1755</v>
      </c>
      <c r="B625" s="1" t="s">
        <v>1763</v>
      </c>
      <c r="C625" s="1">
        <v>2081</v>
      </c>
      <c r="D625" s="1">
        <v>16</v>
      </c>
      <c r="F625" s="1">
        <v>2023</v>
      </c>
      <c r="G625" s="5">
        <v>301</v>
      </c>
      <c r="H625" s="5">
        <v>261.24</v>
      </c>
      <c r="I625" s="5">
        <v>3329.65</v>
      </c>
      <c r="K625" s="5">
        <v>1.133</v>
      </c>
      <c r="L625" s="5">
        <v>0.03</v>
      </c>
      <c r="O625" s="5">
        <v>45.401000000000003</v>
      </c>
      <c r="P625" s="6">
        <v>1.2</v>
      </c>
      <c r="Q625" s="5">
        <v>75671.8</v>
      </c>
      <c r="R625" s="1" t="s">
        <v>94</v>
      </c>
      <c r="T625" s="1" t="s">
        <v>93</v>
      </c>
      <c r="Y625" s="1" t="s">
        <v>1195</v>
      </c>
      <c r="Z625" s="1" t="str">
        <f t="shared" si="27"/>
        <v>2081 16</v>
      </c>
      <c r="AA625" s="3">
        <f>IF(INDEX('CAMD Facility Data 2023'!$AA$2:$AE$10000,MATCH(Z625,'CAMD Facility Data 2023'!$AE$2:$AE$10000,0),1)&gt;0,INDEX('CAMD Facility Data 2023'!$AA$2:$AE$10000,MATCH(Z625,'CAMD Facility Data 2023'!$AE$2:$AE$10000,0),1),"")</f>
        <v>27542</v>
      </c>
      <c r="AB625" s="5">
        <f>IF(INDEX('CAMD Facility Data 2023'!$AC$2:$AE$10000,MATCH(Z625,'CAMD Facility Data 2023'!$AE$2:$AE$10000,0),1)&gt;0,INDEX('CAMD Facility Data 2023'!$AC$2:$AE$10000,MATCH(Z625,'CAMD Facility Data 2023'!$AE$2:$AE$10000,0),1),"")</f>
        <v>1000</v>
      </c>
      <c r="AC625" s="1" t="str">
        <f>IF(INDEX('CAMD Facility Data 2023'!$AE$2:$AG$10000,MATCH(Z625,'CAMD Facility Data 2023'!$AE$2:$AE$10000,0),3)&gt;0,INDEX('CAMD Facility Data 2023'!$AE$2:$AG$10000,MATCH(Z625,'CAMD Facility Data 2023'!$AE$2:$AE$10000,0),3),"")</f>
        <v/>
      </c>
      <c r="AD625" s="20">
        <f t="shared" si="28"/>
        <v>27.270734161248178</v>
      </c>
      <c r="AE625" s="25">
        <f t="shared" si="29"/>
        <v>8.6383333333333329E-3</v>
      </c>
    </row>
    <row r="626" spans="1:31" x14ac:dyDescent="0.2">
      <c r="A626" s="1" t="s">
        <v>1755</v>
      </c>
      <c r="B626" s="1" t="s">
        <v>1763</v>
      </c>
      <c r="C626" s="1">
        <v>2081</v>
      </c>
      <c r="D626" s="1">
        <v>17</v>
      </c>
      <c r="F626" s="1">
        <v>2023</v>
      </c>
      <c r="G626" s="5">
        <v>355</v>
      </c>
      <c r="H626" s="5">
        <v>304.77999999999997</v>
      </c>
      <c r="I626" s="5">
        <v>4266.5200000000004</v>
      </c>
      <c r="K626" s="5">
        <v>1.3720000000000001</v>
      </c>
      <c r="L626" s="5">
        <v>3.0099999999999998E-2</v>
      </c>
      <c r="O626" s="5">
        <v>54.893000000000001</v>
      </c>
      <c r="P626" s="6">
        <v>1.2</v>
      </c>
      <c r="Q626" s="5">
        <v>91482.9</v>
      </c>
      <c r="R626" s="1" t="s">
        <v>94</v>
      </c>
      <c r="T626" s="1" t="s">
        <v>93</v>
      </c>
      <c r="Y626" s="1" t="s">
        <v>1195</v>
      </c>
      <c r="Z626" s="1" t="str">
        <f t="shared" si="27"/>
        <v>2081 17</v>
      </c>
      <c r="AA626" s="3">
        <f>IF(INDEX('CAMD Facility Data 2023'!$AA$2:$AE$10000,MATCH(Z626,'CAMD Facility Data 2023'!$AE$2:$AE$10000,0),1)&gt;0,INDEX('CAMD Facility Data 2023'!$AA$2:$AE$10000,MATCH(Z626,'CAMD Facility Data 2023'!$AE$2:$AE$10000,0),1),"")</f>
        <v>28276</v>
      </c>
      <c r="AB626" s="5">
        <f>IF(INDEX('CAMD Facility Data 2023'!$AC$2:$AE$10000,MATCH(Z626,'CAMD Facility Data 2023'!$AE$2:$AE$10000,0),1)&gt;0,INDEX('CAMD Facility Data 2023'!$AC$2:$AE$10000,MATCH(Z626,'CAMD Facility Data 2023'!$AE$2:$AE$10000,0),1),"")</f>
        <v>1000</v>
      </c>
      <c r="AC626" s="1" t="str">
        <f>IF(INDEX('CAMD Facility Data 2023'!$AE$2:$AG$10000,MATCH(Z626,'CAMD Facility Data 2023'!$AE$2:$AE$10000,0),3)&gt;0,INDEX('CAMD Facility Data 2023'!$AE$2:$AG$10000,MATCH(Z626,'CAMD Facility Data 2023'!$AE$2:$AE$10000,0),3),"")</f>
        <v/>
      </c>
      <c r="AD626" s="20">
        <f t="shared" si="28"/>
        <v>25.731978286753606</v>
      </c>
      <c r="AE626" s="25">
        <f t="shared" si="29"/>
        <v>1.0443253424657534E-2</v>
      </c>
    </row>
    <row r="627" spans="1:31" x14ac:dyDescent="0.2">
      <c r="A627" s="1" t="s">
        <v>1755</v>
      </c>
      <c r="B627" s="1" t="s">
        <v>1763</v>
      </c>
      <c r="C627" s="1">
        <v>2081</v>
      </c>
      <c r="D627" s="1">
        <v>18</v>
      </c>
      <c r="F627" s="1">
        <v>2023</v>
      </c>
      <c r="G627" s="5">
        <v>345</v>
      </c>
      <c r="H627" s="5">
        <v>295.83999999999997</v>
      </c>
      <c r="I627" s="5">
        <v>4070.21</v>
      </c>
      <c r="K627" s="5">
        <v>1.2969999999999999</v>
      </c>
      <c r="L627" s="5">
        <v>0.03</v>
      </c>
      <c r="O627" s="5">
        <v>51.904000000000003</v>
      </c>
      <c r="P627" s="6">
        <v>1.2</v>
      </c>
      <c r="Q627" s="5">
        <v>86509</v>
      </c>
      <c r="R627" s="1" t="s">
        <v>94</v>
      </c>
      <c r="T627" s="1" t="s">
        <v>93</v>
      </c>
      <c r="Y627" s="1" t="s">
        <v>1195</v>
      </c>
      <c r="Z627" s="1" t="str">
        <f t="shared" si="27"/>
        <v>2081 18</v>
      </c>
      <c r="AA627" s="3">
        <f>IF(INDEX('CAMD Facility Data 2023'!$AA$2:$AE$10000,MATCH(Z627,'CAMD Facility Data 2023'!$AE$2:$AE$10000,0),1)&gt;0,INDEX('CAMD Facility Data 2023'!$AA$2:$AE$10000,MATCH(Z627,'CAMD Facility Data 2023'!$AE$2:$AE$10000,0),1),"")</f>
        <v>28276</v>
      </c>
      <c r="AB627" s="5">
        <f>IF(INDEX('CAMD Facility Data 2023'!$AC$2:$AE$10000,MATCH(Z627,'CAMD Facility Data 2023'!$AE$2:$AE$10000,0),1)&gt;0,INDEX('CAMD Facility Data 2023'!$AC$2:$AE$10000,MATCH(Z627,'CAMD Facility Data 2023'!$AE$2:$AE$10000,0),1),"")</f>
        <v>1000</v>
      </c>
      <c r="AC627" s="1" t="str">
        <f>IF(INDEX('CAMD Facility Data 2023'!$AE$2:$AG$10000,MATCH(Z627,'CAMD Facility Data 2023'!$AE$2:$AE$10000,0),3)&gt;0,INDEX('CAMD Facility Data 2023'!$AE$2:$AG$10000,MATCH(Z627,'CAMD Facility Data 2023'!$AE$2:$AE$10000,0),3),"")</f>
        <v/>
      </c>
      <c r="AD627" s="20">
        <f t="shared" si="28"/>
        <v>25.504335157154053</v>
      </c>
      <c r="AE627" s="25">
        <f t="shared" si="29"/>
        <v>9.8754566210045667E-3</v>
      </c>
    </row>
    <row r="628" spans="1:31" x14ac:dyDescent="0.2">
      <c r="A628" s="1" t="s">
        <v>1755</v>
      </c>
      <c r="B628" s="1" t="s">
        <v>1772</v>
      </c>
      <c r="C628" s="1">
        <v>2082</v>
      </c>
      <c r="D628" s="1" t="s">
        <v>993</v>
      </c>
      <c r="F628" s="1">
        <v>2023</v>
      </c>
      <c r="G628" s="5">
        <v>9</v>
      </c>
      <c r="H628" s="5">
        <v>3.19</v>
      </c>
      <c r="I628" s="5">
        <v>57.88</v>
      </c>
      <c r="K628" s="5">
        <v>0.71099999999999997</v>
      </c>
      <c r="L628" s="5">
        <v>0.5</v>
      </c>
      <c r="O628" s="5">
        <v>1.706</v>
      </c>
      <c r="P628" s="6">
        <v>1.2</v>
      </c>
      <c r="Q628" s="5">
        <v>2842.5</v>
      </c>
      <c r="R628" s="1" t="s">
        <v>94</v>
      </c>
      <c r="T628" s="1" t="s">
        <v>93</v>
      </c>
      <c r="Y628" s="1" t="s">
        <v>1195</v>
      </c>
      <c r="Z628" s="1" t="str">
        <f t="shared" si="27"/>
        <v>2082 CT01</v>
      </c>
      <c r="AA628" s="3">
        <f>IF(INDEX('CAMD Facility Data 2023'!$AA$2:$AE$10000,MATCH(Z628,'CAMD Facility Data 2023'!$AE$2:$AE$10000,0),1)&gt;0,INDEX('CAMD Facility Data 2023'!$AA$2:$AE$10000,MATCH(Z628,'CAMD Facility Data 2023'!$AE$2:$AE$10000,0),1),"")</f>
        <v>27030</v>
      </c>
      <c r="AB628" s="5">
        <f>IF(INDEX('CAMD Facility Data 2023'!$AC$2:$AE$10000,MATCH(Z628,'CAMD Facility Data 2023'!$AE$2:$AE$10000,0),1)&gt;0,INDEX('CAMD Facility Data 2023'!$AC$2:$AE$10000,MATCH(Z628,'CAMD Facility Data 2023'!$AE$2:$AE$10000,0),1),"")</f>
        <v>891</v>
      </c>
      <c r="AC628" s="1" t="str">
        <f>IF(INDEX('CAMD Facility Data 2023'!$AE$2:$AG$10000,MATCH(Z628,'CAMD Facility Data 2023'!$AE$2:$AE$10000,0),3)&gt;0,INDEX('CAMD Facility Data 2023'!$AE$2:$AG$10000,MATCH(Z628,'CAMD Facility Data 2023'!$AE$2:$AE$10000,0),3),"")</f>
        <v/>
      </c>
      <c r="AD628" s="20">
        <f t="shared" si="28"/>
        <v>58.949550794747751</v>
      </c>
      <c r="AE628" s="25">
        <f t="shared" si="29"/>
        <v>3.6418215641959934E-4</v>
      </c>
    </row>
    <row r="629" spans="1:31" x14ac:dyDescent="0.2">
      <c r="A629" s="1" t="s">
        <v>1755</v>
      </c>
      <c r="B629" s="1" t="s">
        <v>1776</v>
      </c>
      <c r="C629" s="1">
        <v>2092</v>
      </c>
      <c r="D629" s="1">
        <v>3</v>
      </c>
      <c r="F629" s="1">
        <v>2023</v>
      </c>
      <c r="G629" s="5">
        <v>2391</v>
      </c>
      <c r="H629" s="5">
        <v>2108.46</v>
      </c>
      <c r="I629" s="5">
        <v>39654.11</v>
      </c>
      <c r="K629" s="5">
        <v>0.249</v>
      </c>
      <c r="L629" s="5">
        <v>1E-3</v>
      </c>
      <c r="O629" s="5">
        <v>100.08</v>
      </c>
      <c r="P629" s="6">
        <v>0.21990000000000001</v>
      </c>
      <c r="Q629" s="5">
        <v>828923.505</v>
      </c>
      <c r="R629" s="1" t="s">
        <v>44</v>
      </c>
      <c r="T629" s="1" t="s">
        <v>93</v>
      </c>
      <c r="V629" s="1" t="s">
        <v>95</v>
      </c>
      <c r="Y629" s="1" t="s">
        <v>1195</v>
      </c>
      <c r="Z629" s="1" t="str">
        <f t="shared" si="27"/>
        <v>2092 3</v>
      </c>
      <c r="AA629" s="3">
        <f>IF(INDEX('CAMD Facility Data 2023'!$AA$2:$AE$10000,MATCH(Z629,'CAMD Facility Data 2023'!$AE$2:$AE$10000,0),1)&gt;0,INDEX('CAMD Facility Data 2023'!$AA$2:$AE$10000,MATCH(Z629,'CAMD Facility Data 2023'!$AE$2:$AE$10000,0),1),"")</f>
        <v>29738</v>
      </c>
      <c r="AB629" s="5">
        <f>IF(INDEX('CAMD Facility Data 2023'!$AC$2:$AE$10000,MATCH(Z629,'CAMD Facility Data 2023'!$AE$2:$AE$10000,0),1)&gt;0,INDEX('CAMD Facility Data 2023'!$AC$2:$AE$10000,MATCH(Z629,'CAMD Facility Data 2023'!$AE$2:$AE$10000,0),1),"")</f>
        <v>1187</v>
      </c>
      <c r="AC629" s="1" t="str">
        <f>IF(INDEX('CAMD Facility Data 2023'!$AE$2:$AG$10000,MATCH(Z629,'CAMD Facility Data 2023'!$AE$2:$AE$10000,0),3)&gt;0,INDEX('CAMD Facility Data 2023'!$AE$2:$AG$10000,MATCH(Z629,'CAMD Facility Data 2023'!$AE$2:$AE$10000,0),3),"")</f>
        <v/>
      </c>
      <c r="AD629" s="20">
        <f t="shared" si="28"/>
        <v>5.047648276559479</v>
      </c>
      <c r="AE629" s="25">
        <f t="shared" si="29"/>
        <v>7.9718593841963739E-2</v>
      </c>
    </row>
    <row r="630" spans="1:31" x14ac:dyDescent="0.2">
      <c r="A630" s="1" t="s">
        <v>1755</v>
      </c>
      <c r="B630" s="1" t="s">
        <v>1780</v>
      </c>
      <c r="C630" s="1">
        <v>2098</v>
      </c>
      <c r="D630" s="1">
        <v>6</v>
      </c>
      <c r="F630" s="1">
        <v>2023</v>
      </c>
      <c r="G630" s="5">
        <v>2238</v>
      </c>
      <c r="H630" s="5">
        <v>2065.66</v>
      </c>
      <c r="I630" s="5">
        <v>58279.42</v>
      </c>
      <c r="K630" s="5">
        <v>0.55100000000000005</v>
      </c>
      <c r="L630" s="5">
        <v>1.1999999999999999E-3</v>
      </c>
      <c r="M630" s="5">
        <v>40950.366000000002</v>
      </c>
      <c r="N630" s="6">
        <v>5.96E-2</v>
      </c>
      <c r="O630" s="5">
        <v>88.31</v>
      </c>
      <c r="P630" s="6">
        <v>0.21879999999999999</v>
      </c>
      <c r="Q630" s="5">
        <v>676143.96499999997</v>
      </c>
      <c r="R630" s="1" t="s">
        <v>44</v>
      </c>
      <c r="T630" s="1" t="s">
        <v>606</v>
      </c>
      <c r="V630" s="1" t="s">
        <v>220</v>
      </c>
      <c r="Y630" s="1" t="s">
        <v>1207</v>
      </c>
      <c r="Z630" s="1" t="str">
        <f t="shared" si="27"/>
        <v>2098 6</v>
      </c>
      <c r="AA630" s="3">
        <f>IF(INDEX('CAMD Facility Data 2023'!$AA$2:$AE$10000,MATCH(Z630,'CAMD Facility Data 2023'!$AE$2:$AE$10000,0),1)&gt;0,INDEX('CAMD Facility Data 2023'!$AA$2:$AE$10000,MATCH(Z630,'CAMD Facility Data 2023'!$AE$2:$AE$10000,0),1),"")</f>
        <v>24259</v>
      </c>
      <c r="AB630" s="5">
        <f>IF(INDEX('CAMD Facility Data 2023'!$AC$2:$AE$10000,MATCH(Z630,'CAMD Facility Data 2023'!$AE$2:$AE$10000,0),1)&gt;0,INDEX('CAMD Facility Data 2023'!$AC$2:$AE$10000,MATCH(Z630,'CAMD Facility Data 2023'!$AE$2:$AE$10000,0),1),"")</f>
        <v>1571</v>
      </c>
      <c r="AC630" s="1" t="str">
        <f>IF(INDEX('CAMD Facility Data 2023'!$AE$2:$AG$10000,MATCH(Z630,'CAMD Facility Data 2023'!$AE$2:$AE$10000,0),3)&gt;0,INDEX('CAMD Facility Data 2023'!$AE$2:$AG$10000,MATCH(Z630,'CAMD Facility Data 2023'!$AE$2:$AE$10000,0),3),"")</f>
        <v/>
      </c>
      <c r="AD630" s="20">
        <f t="shared" si="28"/>
        <v>3.0305723701436973</v>
      </c>
      <c r="AE630" s="25">
        <f t="shared" si="29"/>
        <v>4.9131371185499741E-2</v>
      </c>
    </row>
    <row r="631" spans="1:31" x14ac:dyDescent="0.2">
      <c r="A631" s="1" t="s">
        <v>1755</v>
      </c>
      <c r="B631" s="1" t="s">
        <v>1780</v>
      </c>
      <c r="C631" s="1">
        <v>2098</v>
      </c>
      <c r="D631" s="1" t="s">
        <v>253</v>
      </c>
      <c r="F631" s="1">
        <v>2023</v>
      </c>
      <c r="G631" s="5">
        <v>1040</v>
      </c>
      <c r="H631" s="5">
        <v>925.66</v>
      </c>
      <c r="I631" s="5">
        <v>15285.46</v>
      </c>
      <c r="K631" s="5">
        <v>0.443</v>
      </c>
      <c r="L631" s="5">
        <v>1.1000000000000001E-3</v>
      </c>
      <c r="O631" s="5">
        <v>84.153999999999996</v>
      </c>
      <c r="P631" s="6">
        <v>0.34449999999999997</v>
      </c>
      <c r="Q631" s="5">
        <v>426544.87900000002</v>
      </c>
      <c r="R631" s="1" t="s">
        <v>44</v>
      </c>
      <c r="S631" s="1" t="s">
        <v>94</v>
      </c>
      <c r="T631" s="1" t="s">
        <v>93</v>
      </c>
      <c r="Y631" s="1" t="s">
        <v>1195</v>
      </c>
      <c r="Z631" s="1" t="str">
        <f t="shared" si="27"/>
        <v>2098 GT5</v>
      </c>
      <c r="AA631" s="3">
        <f>IF(INDEX('CAMD Facility Data 2023'!$AA$2:$AE$10000,MATCH(Z631,'CAMD Facility Data 2023'!$AE$2:$AE$10000,0),1)&gt;0,INDEX('CAMD Facility Data 2023'!$AA$2:$AE$10000,MATCH(Z631,'CAMD Facility Data 2023'!$AE$2:$AE$10000,0),1),"")</f>
        <v>26830</v>
      </c>
      <c r="AB631" s="5">
        <f>IF(INDEX('CAMD Facility Data 2023'!$AC$2:$AE$10000,MATCH(Z631,'CAMD Facility Data 2023'!$AE$2:$AE$10000,0),1)&gt;0,INDEX('CAMD Facility Data 2023'!$AC$2:$AE$10000,MATCH(Z631,'CAMD Facility Data 2023'!$AE$2:$AE$10000,0),1),"")</f>
        <v>867</v>
      </c>
      <c r="AC631" s="1" t="str">
        <f>IF(INDEX('CAMD Facility Data 2023'!$AE$2:$AG$10000,MATCH(Z631,'CAMD Facility Data 2023'!$AE$2:$AE$10000,0),3)&gt;0,INDEX('CAMD Facility Data 2023'!$AE$2:$AG$10000,MATCH(Z631,'CAMD Facility Data 2023'!$AE$2:$AE$10000,0),3),"")</f>
        <v/>
      </c>
      <c r="AD631" s="20">
        <f t="shared" si="28"/>
        <v>11.010986911744888</v>
      </c>
      <c r="AE631" s="25">
        <f t="shared" si="29"/>
        <v>5.6161865957771777E-2</v>
      </c>
    </row>
    <row r="632" spans="1:31" x14ac:dyDescent="0.2">
      <c r="A632" s="1" t="s">
        <v>1755</v>
      </c>
      <c r="B632" s="1" t="s">
        <v>1784</v>
      </c>
      <c r="C632" s="1">
        <v>2103</v>
      </c>
      <c r="D632" s="1">
        <v>1</v>
      </c>
      <c r="F632" s="1">
        <v>2023</v>
      </c>
      <c r="G632" s="5">
        <v>8410</v>
      </c>
      <c r="H632" s="5">
        <v>8402.06</v>
      </c>
      <c r="I632" s="5">
        <v>4499455.05</v>
      </c>
      <c r="K632" s="5">
        <v>10504.223</v>
      </c>
      <c r="L632" s="5">
        <v>0.47749999999999998</v>
      </c>
      <c r="M632" s="5">
        <v>4561012.3689999999</v>
      </c>
      <c r="N632" s="6">
        <v>0.105</v>
      </c>
      <c r="O632" s="5">
        <v>2025.7260000000001</v>
      </c>
      <c r="P632" s="6">
        <v>9.2799999999999994E-2</v>
      </c>
      <c r="Q632" s="5">
        <v>43487898.526000001</v>
      </c>
      <c r="R632" s="1" t="s">
        <v>55</v>
      </c>
      <c r="T632" s="1" t="s">
        <v>43</v>
      </c>
      <c r="V632" s="1" t="s">
        <v>213</v>
      </c>
      <c r="W632" s="1" t="s">
        <v>58</v>
      </c>
      <c r="X632" s="1" t="s">
        <v>214</v>
      </c>
      <c r="Y632" s="1" t="s">
        <v>1188</v>
      </c>
      <c r="Z632" s="1" t="str">
        <f t="shared" si="27"/>
        <v>2103 1</v>
      </c>
      <c r="AA632" s="3">
        <f>IF(INDEX('CAMD Facility Data 2023'!$AA$2:$AE$10000,MATCH(Z632,'CAMD Facility Data 2023'!$AE$2:$AE$10000,0),1)&gt;0,INDEX('CAMD Facility Data 2023'!$AA$2:$AE$10000,MATCH(Z632,'CAMD Facility Data 2023'!$AE$2:$AE$10000,0),1),"")</f>
        <v>25689</v>
      </c>
      <c r="AB632" s="5">
        <f>IF(INDEX('CAMD Facility Data 2023'!$AC$2:$AE$10000,MATCH(Z632,'CAMD Facility Data 2023'!$AE$2:$AE$10000,0),1)&gt;0,INDEX('CAMD Facility Data 2023'!$AC$2:$AE$10000,MATCH(Z632,'CAMD Facility Data 2023'!$AE$2:$AE$10000,0),1),"")</f>
        <v>6183</v>
      </c>
      <c r="AC632" s="1" t="str">
        <f>IF(INDEX('CAMD Facility Data 2023'!$AE$2:$AG$10000,MATCH(Z632,'CAMD Facility Data 2023'!$AE$2:$AE$10000,0),3)&gt;0,INDEX('CAMD Facility Data 2023'!$AE$2:$AG$10000,MATCH(Z632,'CAMD Facility Data 2023'!$AE$2:$AE$10000,0),3),"")</f>
        <v/>
      </c>
      <c r="AD632" s="20">
        <f t="shared" si="28"/>
        <v>0.90043170894662017</v>
      </c>
      <c r="AE632" s="25">
        <f t="shared" si="29"/>
        <v>0.80290667602359389</v>
      </c>
    </row>
    <row r="633" spans="1:31" x14ac:dyDescent="0.2">
      <c r="A633" s="1" t="s">
        <v>1755</v>
      </c>
      <c r="B633" s="1" t="s">
        <v>1784</v>
      </c>
      <c r="C633" s="1">
        <v>2103</v>
      </c>
      <c r="D633" s="1">
        <v>2</v>
      </c>
      <c r="F633" s="1">
        <v>2023</v>
      </c>
      <c r="G633" s="5">
        <v>8400</v>
      </c>
      <c r="H633" s="5">
        <v>8390.9</v>
      </c>
      <c r="I633" s="5">
        <v>4485606</v>
      </c>
      <c r="K633" s="5">
        <v>10280.337</v>
      </c>
      <c r="L633" s="5">
        <v>0.48049999999999998</v>
      </c>
      <c r="M633" s="5">
        <v>4454176.102</v>
      </c>
      <c r="N633" s="6">
        <v>0.105</v>
      </c>
      <c r="O633" s="5">
        <v>1888.9870000000001</v>
      </c>
      <c r="P633" s="6">
        <v>8.8300000000000003E-2</v>
      </c>
      <c r="Q633" s="5">
        <v>42469239.140000001</v>
      </c>
      <c r="R633" s="1" t="s">
        <v>55</v>
      </c>
      <c r="T633" s="1" t="s">
        <v>43</v>
      </c>
      <c r="V633" s="1" t="s">
        <v>213</v>
      </c>
      <c r="W633" s="1" t="s">
        <v>58</v>
      </c>
      <c r="X633" s="1" t="s">
        <v>214</v>
      </c>
      <c r="Y633" s="1" t="s">
        <v>1188</v>
      </c>
      <c r="Z633" s="1" t="str">
        <f t="shared" si="27"/>
        <v>2103 2</v>
      </c>
      <c r="AA633" s="3">
        <f>IF(INDEX('CAMD Facility Data 2023'!$AA$2:$AE$10000,MATCH(Z633,'CAMD Facility Data 2023'!$AE$2:$AE$10000,0),1)&gt;0,INDEX('CAMD Facility Data 2023'!$AA$2:$AE$10000,MATCH(Z633,'CAMD Facility Data 2023'!$AE$2:$AE$10000,0),1),"")</f>
        <v>26024</v>
      </c>
      <c r="AB633" s="5">
        <f>IF(INDEX('CAMD Facility Data 2023'!$AC$2:$AE$10000,MATCH(Z633,'CAMD Facility Data 2023'!$AE$2:$AE$10000,0),1)&gt;0,INDEX('CAMD Facility Data 2023'!$AC$2:$AE$10000,MATCH(Z633,'CAMD Facility Data 2023'!$AE$2:$AE$10000,0),1),"")</f>
        <v>6183</v>
      </c>
      <c r="AC633" s="1" t="str">
        <f>IF(INDEX('CAMD Facility Data 2023'!$AE$2:$AG$10000,MATCH(Z633,'CAMD Facility Data 2023'!$AE$2:$AE$10000,0),3)&gt;0,INDEX('CAMD Facility Data 2023'!$AE$2:$AG$10000,MATCH(Z633,'CAMD Facility Data 2023'!$AE$2:$AE$10000,0),3),"")</f>
        <v/>
      </c>
      <c r="AD633" s="20">
        <f t="shared" si="28"/>
        <v>0.8422438350581839</v>
      </c>
      <c r="AE633" s="25">
        <f t="shared" si="29"/>
        <v>0.78409941125947791</v>
      </c>
    </row>
    <row r="634" spans="1:31" x14ac:dyDescent="0.2">
      <c r="A634" s="1" t="s">
        <v>1755</v>
      </c>
      <c r="B634" s="1" t="s">
        <v>1784</v>
      </c>
      <c r="C634" s="1">
        <v>2103</v>
      </c>
      <c r="D634" s="1">
        <v>3</v>
      </c>
      <c r="F634" s="1">
        <v>2023</v>
      </c>
      <c r="G634" s="5">
        <v>7974</v>
      </c>
      <c r="H634" s="5">
        <v>7965.11</v>
      </c>
      <c r="I634" s="5">
        <v>4021243.4</v>
      </c>
      <c r="K634" s="5">
        <v>9926.8760000000002</v>
      </c>
      <c r="L634" s="5">
        <v>0.49009999999999998</v>
      </c>
      <c r="M634" s="5">
        <v>4228222.4550000001</v>
      </c>
      <c r="N634" s="6">
        <v>0.105</v>
      </c>
      <c r="O634" s="5">
        <v>1822.3620000000001</v>
      </c>
      <c r="P634" s="6">
        <v>8.8999999999999996E-2</v>
      </c>
      <c r="Q634" s="5">
        <v>40314852.618000001</v>
      </c>
      <c r="R634" s="1" t="s">
        <v>55</v>
      </c>
      <c r="T634" s="1" t="s">
        <v>43</v>
      </c>
      <c r="V634" s="1" t="s">
        <v>213</v>
      </c>
      <c r="W634" s="1" t="s">
        <v>58</v>
      </c>
      <c r="X634" s="1" t="s">
        <v>214</v>
      </c>
      <c r="Y634" s="1" t="s">
        <v>1188</v>
      </c>
      <c r="Z634" s="1" t="str">
        <f t="shared" si="27"/>
        <v>2103 3</v>
      </c>
      <c r="AA634" s="3">
        <f>IF(INDEX('CAMD Facility Data 2023'!$AA$2:$AE$10000,MATCH(Z634,'CAMD Facility Data 2023'!$AE$2:$AE$10000,0),1)&gt;0,INDEX('CAMD Facility Data 2023'!$AA$2:$AE$10000,MATCH(Z634,'CAMD Facility Data 2023'!$AE$2:$AE$10000,0),1),"")</f>
        <v>26481</v>
      </c>
      <c r="AB634" s="5">
        <f>IF(INDEX('CAMD Facility Data 2023'!$AC$2:$AE$10000,MATCH(Z634,'CAMD Facility Data 2023'!$AE$2:$AE$10000,0),1)&gt;0,INDEX('CAMD Facility Data 2023'!$AC$2:$AE$10000,MATCH(Z634,'CAMD Facility Data 2023'!$AE$2:$AE$10000,0),1),"")</f>
        <v>6107</v>
      </c>
      <c r="AC634" s="1" t="str">
        <f>IF(INDEX('CAMD Facility Data 2023'!$AE$2:$AG$10000,MATCH(Z634,'CAMD Facility Data 2023'!$AE$2:$AE$10000,0),3)&gt;0,INDEX('CAMD Facility Data 2023'!$AE$2:$AG$10000,MATCH(Z634,'CAMD Facility Data 2023'!$AE$2:$AE$10000,0),3),"")</f>
        <v/>
      </c>
      <c r="AD634" s="20">
        <f t="shared" si="28"/>
        <v>0.90636741859495495</v>
      </c>
      <c r="AE634" s="25">
        <f t="shared" si="29"/>
        <v>0.7535863968138965</v>
      </c>
    </row>
    <row r="635" spans="1:31" x14ac:dyDescent="0.2">
      <c r="A635" s="1" t="s">
        <v>1755</v>
      </c>
      <c r="B635" s="1" t="s">
        <v>1784</v>
      </c>
      <c r="C635" s="1">
        <v>2103</v>
      </c>
      <c r="D635" s="1">
        <v>4</v>
      </c>
      <c r="F635" s="1">
        <v>2023</v>
      </c>
      <c r="G635" s="5">
        <v>7062</v>
      </c>
      <c r="H635" s="5">
        <v>7048.04</v>
      </c>
      <c r="I635" s="5">
        <v>3637505.49</v>
      </c>
      <c r="K635" s="5">
        <v>8534.2160000000003</v>
      </c>
      <c r="L635" s="5">
        <v>0.49469999999999997</v>
      </c>
      <c r="M635" s="5">
        <v>3586587.6230000001</v>
      </c>
      <c r="N635" s="6">
        <v>0.105</v>
      </c>
      <c r="O635" s="5">
        <v>1518.5309999999999</v>
      </c>
      <c r="P635" s="6">
        <v>8.77E-2</v>
      </c>
      <c r="Q635" s="5">
        <v>34197049.898999996</v>
      </c>
      <c r="R635" s="1" t="s">
        <v>55</v>
      </c>
      <c r="T635" s="1" t="s">
        <v>43</v>
      </c>
      <c r="V635" s="1" t="s">
        <v>213</v>
      </c>
      <c r="W635" s="1" t="s">
        <v>58</v>
      </c>
      <c r="X635" s="1" t="s">
        <v>214</v>
      </c>
      <c r="Y635" s="1" t="s">
        <v>1188</v>
      </c>
      <c r="Z635" s="1" t="str">
        <f t="shared" si="27"/>
        <v>2103 4</v>
      </c>
      <c r="AA635" s="3">
        <f>IF(INDEX('CAMD Facility Data 2023'!$AA$2:$AE$10000,MATCH(Z635,'CAMD Facility Data 2023'!$AE$2:$AE$10000,0),1)&gt;0,INDEX('CAMD Facility Data 2023'!$AA$2:$AE$10000,MATCH(Z635,'CAMD Facility Data 2023'!$AE$2:$AE$10000,0),1),"")</f>
        <v>26816</v>
      </c>
      <c r="AB635" s="5">
        <f>IF(INDEX('CAMD Facility Data 2023'!$AC$2:$AE$10000,MATCH(Z635,'CAMD Facility Data 2023'!$AE$2:$AE$10000,0),1)&gt;0,INDEX('CAMD Facility Data 2023'!$AC$2:$AE$10000,MATCH(Z635,'CAMD Facility Data 2023'!$AE$2:$AE$10000,0),1),"")</f>
        <v>6107</v>
      </c>
      <c r="AC635" s="1" t="str">
        <f>IF(INDEX('CAMD Facility Data 2023'!$AE$2:$AG$10000,MATCH(Z635,'CAMD Facility Data 2023'!$AE$2:$AE$10000,0),3)&gt;0,INDEX('CAMD Facility Data 2023'!$AE$2:$AG$10000,MATCH(Z635,'CAMD Facility Data 2023'!$AE$2:$AE$10000,0),3),"")</f>
        <v/>
      </c>
      <c r="AD635" s="20">
        <f t="shared" si="28"/>
        <v>0.83492987387903561</v>
      </c>
      <c r="AE635" s="25">
        <f t="shared" si="29"/>
        <v>0.6392292155756587</v>
      </c>
    </row>
    <row r="636" spans="1:31" x14ac:dyDescent="0.2">
      <c r="A636" s="1" t="s">
        <v>1755</v>
      </c>
      <c r="B636" s="1" t="s">
        <v>1790</v>
      </c>
      <c r="C636" s="1">
        <v>2107</v>
      </c>
      <c r="D636" s="1">
        <v>1</v>
      </c>
      <c r="F636" s="1">
        <v>2023</v>
      </c>
      <c r="G636" s="5">
        <v>5088</v>
      </c>
      <c r="H636" s="5">
        <v>5069.63</v>
      </c>
      <c r="I636" s="5">
        <v>1715115.12</v>
      </c>
      <c r="K636" s="5">
        <v>498.39100000000002</v>
      </c>
      <c r="L636" s="5">
        <v>5.4699999999999999E-2</v>
      </c>
      <c r="M636" s="5">
        <v>1788684.7609999999</v>
      </c>
      <c r="N636" s="6">
        <v>0.105</v>
      </c>
      <c r="O636" s="5">
        <v>1879.194</v>
      </c>
      <c r="P636" s="6">
        <v>0.22800000000000001</v>
      </c>
      <c r="Q636" s="5">
        <v>17054592.16</v>
      </c>
      <c r="R636" s="1" t="s">
        <v>55</v>
      </c>
      <c r="T636" s="1" t="s">
        <v>606</v>
      </c>
      <c r="U636" s="1" t="s">
        <v>56</v>
      </c>
      <c r="V636" s="1" t="s">
        <v>1793</v>
      </c>
      <c r="W636" s="1" t="s">
        <v>800</v>
      </c>
      <c r="Y636" s="1" t="s">
        <v>1188</v>
      </c>
      <c r="Z636" s="1" t="str">
        <f t="shared" si="27"/>
        <v>2107 1</v>
      </c>
      <c r="AA636" s="3">
        <f>IF(INDEX('CAMD Facility Data 2023'!$AA$2:$AE$10000,MATCH(Z636,'CAMD Facility Data 2023'!$AE$2:$AE$10000,0),1)&gt;0,INDEX('CAMD Facility Data 2023'!$AA$2:$AE$10000,MATCH(Z636,'CAMD Facility Data 2023'!$AE$2:$AE$10000,0),1),"")</f>
        <v>24532</v>
      </c>
      <c r="AB636" s="5">
        <f>IF(INDEX('CAMD Facility Data 2023'!$AC$2:$AE$10000,MATCH(Z636,'CAMD Facility Data 2023'!$AE$2:$AE$10000,0),1)&gt;0,INDEX('CAMD Facility Data 2023'!$AC$2:$AE$10000,MATCH(Z636,'CAMD Facility Data 2023'!$AE$2:$AE$10000,0),1),"")</f>
        <v>4920</v>
      </c>
      <c r="AC636" s="1" t="str">
        <f>IF(INDEX('CAMD Facility Data 2023'!$AE$2:$AG$10000,MATCH(Z636,'CAMD Facility Data 2023'!$AE$2:$AE$10000,0),3)&gt;0,INDEX('CAMD Facility Data 2023'!$AE$2:$AG$10000,MATCH(Z636,'CAMD Facility Data 2023'!$AE$2:$AE$10000,0),3),"")</f>
        <v/>
      </c>
      <c r="AD636" s="20">
        <f t="shared" si="28"/>
        <v>2.1913327893698469</v>
      </c>
      <c r="AE636" s="25">
        <f t="shared" si="29"/>
        <v>0.39570553884990906</v>
      </c>
    </row>
    <row r="637" spans="1:31" x14ac:dyDescent="0.2">
      <c r="A637" s="1" t="s">
        <v>1755</v>
      </c>
      <c r="B637" s="1" t="s">
        <v>1790</v>
      </c>
      <c r="C637" s="1">
        <v>2107</v>
      </c>
      <c r="D637" s="1">
        <v>2</v>
      </c>
      <c r="F637" s="1">
        <v>2023</v>
      </c>
      <c r="G637" s="5">
        <v>4656</v>
      </c>
      <c r="H637" s="5">
        <v>4641.66</v>
      </c>
      <c r="I637" s="5">
        <v>1639343.01</v>
      </c>
      <c r="K637" s="5">
        <v>403.49599999999998</v>
      </c>
      <c r="L637" s="5">
        <v>5.0200000000000002E-2</v>
      </c>
      <c r="M637" s="5">
        <v>1744198.345</v>
      </c>
      <c r="N637" s="6">
        <v>0.10489999999999999</v>
      </c>
      <c r="O637" s="5">
        <v>1666.43</v>
      </c>
      <c r="P637" s="6">
        <v>0.2069</v>
      </c>
      <c r="Q637" s="5">
        <v>16630433.501</v>
      </c>
      <c r="R637" s="1" t="s">
        <v>55</v>
      </c>
      <c r="T637" s="1" t="s">
        <v>606</v>
      </c>
      <c r="U637" s="1" t="s">
        <v>56</v>
      </c>
      <c r="V637" s="1" t="s">
        <v>1793</v>
      </c>
      <c r="W637" s="1" t="s">
        <v>800</v>
      </c>
      <c r="Y637" s="1" t="s">
        <v>1188</v>
      </c>
      <c r="Z637" s="1" t="str">
        <f t="shared" si="27"/>
        <v>2107 2</v>
      </c>
      <c r="AA637" s="3">
        <f>IF(INDEX('CAMD Facility Data 2023'!$AA$2:$AE$10000,MATCH(Z637,'CAMD Facility Data 2023'!$AE$2:$AE$10000,0),1)&gt;0,INDEX('CAMD Facility Data 2023'!$AA$2:$AE$10000,MATCH(Z637,'CAMD Facility Data 2023'!$AE$2:$AE$10000,0),1),"")</f>
        <v>24898</v>
      </c>
      <c r="AB637" s="5">
        <f>IF(INDEX('CAMD Facility Data 2023'!$AC$2:$AE$10000,MATCH(Z637,'CAMD Facility Data 2023'!$AE$2:$AE$10000,0),1)&gt;0,INDEX('CAMD Facility Data 2023'!$AC$2:$AE$10000,MATCH(Z637,'CAMD Facility Data 2023'!$AE$2:$AE$10000,0),1),"")</f>
        <v>4920</v>
      </c>
      <c r="AC637" s="1" t="str">
        <f>IF(INDEX('CAMD Facility Data 2023'!$AE$2:$AG$10000,MATCH(Z637,'CAMD Facility Data 2023'!$AE$2:$AE$10000,0),3)&gt;0,INDEX('CAMD Facility Data 2023'!$AE$2:$AG$10000,MATCH(Z637,'CAMD Facility Data 2023'!$AE$2:$AE$10000,0),3),"")</f>
        <v/>
      </c>
      <c r="AD637" s="20">
        <f t="shared" si="28"/>
        <v>2.0330461530439563</v>
      </c>
      <c r="AE637" s="25">
        <f t="shared" si="29"/>
        <v>0.38586408798771205</v>
      </c>
    </row>
    <row r="638" spans="1:31" x14ac:dyDescent="0.2">
      <c r="A638" s="1" t="s">
        <v>1755</v>
      </c>
      <c r="B638" s="1" t="s">
        <v>1796</v>
      </c>
      <c r="C638" s="1">
        <v>2122</v>
      </c>
      <c r="D638" s="1" t="s">
        <v>1797</v>
      </c>
      <c r="E638" s="1" t="s">
        <v>1798</v>
      </c>
      <c r="F638" s="1">
        <v>2023</v>
      </c>
      <c r="G638" s="5">
        <v>0</v>
      </c>
      <c r="H638" s="5">
        <v>0</v>
      </c>
      <c r="R638" s="1" t="s">
        <v>44</v>
      </c>
      <c r="S638" s="1" t="s">
        <v>94</v>
      </c>
      <c r="T638" s="1" t="s">
        <v>93</v>
      </c>
      <c r="Y638" s="1" t="s">
        <v>1195</v>
      </c>
      <c r="Z638" s="1" t="str">
        <f t="shared" si="27"/>
        <v>2122 GT1A</v>
      </c>
      <c r="AA638" s="3">
        <f>IF(INDEX('CAMD Facility Data 2023'!$AA$2:$AE$10000,MATCH(Z638,'CAMD Facility Data 2023'!$AE$2:$AE$10000,0),1)&gt;0,INDEX('CAMD Facility Data 2023'!$AA$2:$AE$10000,MATCH(Z638,'CAMD Facility Data 2023'!$AE$2:$AE$10000,0),1),"")</f>
        <v>31564</v>
      </c>
      <c r="AB638" s="5">
        <f>IF(INDEX('CAMD Facility Data 2023'!$AC$2:$AE$10000,MATCH(Z638,'CAMD Facility Data 2023'!$AE$2:$AE$10000,0),1)&gt;0,INDEX('CAMD Facility Data 2023'!$AC$2:$AE$10000,MATCH(Z638,'CAMD Facility Data 2023'!$AE$2:$AE$10000,0),1),"")</f>
        <v>297</v>
      </c>
      <c r="AC638" s="1" t="str">
        <f>IF(INDEX('CAMD Facility Data 2023'!$AE$2:$AG$10000,MATCH(Z638,'CAMD Facility Data 2023'!$AE$2:$AE$10000,0),3)&gt;0,INDEX('CAMD Facility Data 2023'!$AE$2:$AG$10000,MATCH(Z638,'CAMD Facility Data 2023'!$AE$2:$AE$10000,0),3),"")</f>
        <v/>
      </c>
      <c r="AD638" s="20" t="str">
        <f t="shared" si="28"/>
        <v/>
      </c>
      <c r="AE638" s="25">
        <f t="shared" si="29"/>
        <v>0</v>
      </c>
    </row>
    <row r="639" spans="1:31" x14ac:dyDescent="0.2">
      <c r="A639" s="1" t="s">
        <v>1755</v>
      </c>
      <c r="B639" s="1" t="s">
        <v>1796</v>
      </c>
      <c r="C639" s="1">
        <v>2122</v>
      </c>
      <c r="D639" s="1" t="s">
        <v>1803</v>
      </c>
      <c r="E639" s="1" t="s">
        <v>1798</v>
      </c>
      <c r="F639" s="1">
        <v>2023</v>
      </c>
      <c r="G639" s="5">
        <v>0</v>
      </c>
      <c r="H639" s="5">
        <v>0</v>
      </c>
      <c r="R639" s="1" t="s">
        <v>44</v>
      </c>
      <c r="S639" s="1" t="s">
        <v>94</v>
      </c>
      <c r="T639" s="1" t="s">
        <v>93</v>
      </c>
      <c r="Y639" s="1" t="s">
        <v>1195</v>
      </c>
      <c r="Z639" s="1" t="str">
        <f t="shared" si="27"/>
        <v>2122 GT1B</v>
      </c>
      <c r="AA639" s="3">
        <f>IF(INDEX('CAMD Facility Data 2023'!$AA$2:$AE$10000,MATCH(Z639,'CAMD Facility Data 2023'!$AE$2:$AE$10000,0),1)&gt;0,INDEX('CAMD Facility Data 2023'!$AA$2:$AE$10000,MATCH(Z639,'CAMD Facility Data 2023'!$AE$2:$AE$10000,0),1),"")</f>
        <v>31564</v>
      </c>
      <c r="AB639" s="5">
        <f>IF(INDEX('CAMD Facility Data 2023'!$AC$2:$AE$10000,MATCH(Z639,'CAMD Facility Data 2023'!$AE$2:$AE$10000,0),1)&gt;0,INDEX('CAMD Facility Data 2023'!$AC$2:$AE$10000,MATCH(Z639,'CAMD Facility Data 2023'!$AE$2:$AE$10000,0),1),"")</f>
        <v>297</v>
      </c>
      <c r="AC639" s="1" t="str">
        <f>IF(INDEX('CAMD Facility Data 2023'!$AE$2:$AG$10000,MATCH(Z639,'CAMD Facility Data 2023'!$AE$2:$AE$10000,0),3)&gt;0,INDEX('CAMD Facility Data 2023'!$AE$2:$AG$10000,MATCH(Z639,'CAMD Facility Data 2023'!$AE$2:$AE$10000,0),3),"")</f>
        <v/>
      </c>
      <c r="AD639" s="20" t="str">
        <f t="shared" si="28"/>
        <v/>
      </c>
      <c r="AE639" s="25">
        <f t="shared" si="29"/>
        <v>0</v>
      </c>
    </row>
    <row r="640" spans="1:31" x14ac:dyDescent="0.2">
      <c r="A640" s="1" t="s">
        <v>1755</v>
      </c>
      <c r="B640" s="1" t="s">
        <v>1796</v>
      </c>
      <c r="C640" s="1">
        <v>2122</v>
      </c>
      <c r="D640" s="1" t="s">
        <v>1804</v>
      </c>
      <c r="E640" s="1" t="s">
        <v>1798</v>
      </c>
      <c r="F640" s="1">
        <v>2023</v>
      </c>
      <c r="G640" s="5">
        <v>351</v>
      </c>
      <c r="H640" s="5">
        <v>351</v>
      </c>
      <c r="I640" s="5">
        <v>4521</v>
      </c>
      <c r="K640" s="5">
        <v>3.427</v>
      </c>
      <c r="L640" s="5">
        <v>9.1800000000000007E-2</v>
      </c>
      <c r="O640" s="5">
        <v>28.492999999999999</v>
      </c>
      <c r="P640" s="6">
        <v>0.79110000000000003</v>
      </c>
      <c r="Q640" s="5">
        <v>71682.600000000006</v>
      </c>
      <c r="R640" s="1" t="s">
        <v>44</v>
      </c>
      <c r="S640" s="1" t="s">
        <v>94</v>
      </c>
      <c r="T640" s="1" t="s">
        <v>93</v>
      </c>
      <c r="Y640" s="1" t="s">
        <v>1195</v>
      </c>
      <c r="Z640" s="1" t="str">
        <f t="shared" si="27"/>
        <v>2122 GT2A</v>
      </c>
      <c r="AA640" s="3">
        <f>IF(INDEX('CAMD Facility Data 2023'!$AA$2:$AE$10000,MATCH(Z640,'CAMD Facility Data 2023'!$AE$2:$AE$10000,0),1)&gt;0,INDEX('CAMD Facility Data 2023'!$AA$2:$AE$10000,MATCH(Z640,'CAMD Facility Data 2023'!$AE$2:$AE$10000,0),1),"")</f>
        <v>31564</v>
      </c>
      <c r="AB640" s="5">
        <f>IF(INDEX('CAMD Facility Data 2023'!$AC$2:$AE$10000,MATCH(Z640,'CAMD Facility Data 2023'!$AE$2:$AE$10000,0),1)&gt;0,INDEX('CAMD Facility Data 2023'!$AC$2:$AE$10000,MATCH(Z640,'CAMD Facility Data 2023'!$AE$2:$AE$10000,0),1),"")</f>
        <v>297</v>
      </c>
      <c r="AC640" s="1" t="str">
        <f>IF(INDEX('CAMD Facility Data 2023'!$AE$2:$AG$10000,MATCH(Z640,'CAMD Facility Data 2023'!$AE$2:$AE$10000,0),3)&gt;0,INDEX('CAMD Facility Data 2023'!$AE$2:$AG$10000,MATCH(Z640,'CAMD Facility Data 2023'!$AE$2:$AE$10000,0),3),"")</f>
        <v/>
      </c>
      <c r="AD640" s="20">
        <f t="shared" si="28"/>
        <v>12.604733466047335</v>
      </c>
      <c r="AE640" s="25">
        <f t="shared" si="29"/>
        <v>2.7552004058853375E-2</v>
      </c>
    </row>
    <row r="641" spans="1:31" x14ac:dyDescent="0.2">
      <c r="A641" s="1" t="s">
        <v>1755</v>
      </c>
      <c r="B641" s="1" t="s">
        <v>1796</v>
      </c>
      <c r="C641" s="1">
        <v>2122</v>
      </c>
      <c r="D641" s="1" t="s">
        <v>1806</v>
      </c>
      <c r="E641" s="1" t="s">
        <v>1798</v>
      </c>
      <c r="F641" s="1">
        <v>2023</v>
      </c>
      <c r="G641" s="5">
        <v>351</v>
      </c>
      <c r="H641" s="5">
        <v>351</v>
      </c>
      <c r="I641" s="5">
        <v>4523</v>
      </c>
      <c r="K641" s="5">
        <v>3.4350000000000001</v>
      </c>
      <c r="L641" s="5">
        <v>9.1800000000000007E-2</v>
      </c>
      <c r="O641" s="5">
        <v>28.512</v>
      </c>
      <c r="P641" s="6">
        <v>0.79110000000000003</v>
      </c>
      <c r="Q641" s="5">
        <v>71715.7</v>
      </c>
      <c r="R641" s="1" t="s">
        <v>44</v>
      </c>
      <c r="S641" s="1" t="s">
        <v>94</v>
      </c>
      <c r="T641" s="1" t="s">
        <v>93</v>
      </c>
      <c r="Y641" s="1" t="s">
        <v>1195</v>
      </c>
      <c r="Z641" s="1" t="str">
        <f t="shared" si="27"/>
        <v>2122 GT2B</v>
      </c>
      <c r="AA641" s="3">
        <f>IF(INDEX('CAMD Facility Data 2023'!$AA$2:$AE$10000,MATCH(Z641,'CAMD Facility Data 2023'!$AE$2:$AE$10000,0),1)&gt;0,INDEX('CAMD Facility Data 2023'!$AA$2:$AE$10000,MATCH(Z641,'CAMD Facility Data 2023'!$AE$2:$AE$10000,0),1),"")</f>
        <v>31564</v>
      </c>
      <c r="AB641" s="5">
        <f>IF(INDEX('CAMD Facility Data 2023'!$AC$2:$AE$10000,MATCH(Z641,'CAMD Facility Data 2023'!$AE$2:$AE$10000,0),1)&gt;0,INDEX('CAMD Facility Data 2023'!$AC$2:$AE$10000,MATCH(Z641,'CAMD Facility Data 2023'!$AE$2:$AE$10000,0),1),"")</f>
        <v>297</v>
      </c>
      <c r="AC641" s="1" t="str">
        <f>IF(INDEX('CAMD Facility Data 2023'!$AE$2:$AG$10000,MATCH(Z641,'CAMD Facility Data 2023'!$AE$2:$AE$10000,0),3)&gt;0,INDEX('CAMD Facility Data 2023'!$AE$2:$AG$10000,MATCH(Z641,'CAMD Facility Data 2023'!$AE$2:$AE$10000,0),3),"")</f>
        <v/>
      </c>
      <c r="AD641" s="20">
        <f t="shared" si="28"/>
        <v>12.607561353084236</v>
      </c>
      <c r="AE641" s="25">
        <f t="shared" si="29"/>
        <v>2.7564726411758375E-2</v>
      </c>
    </row>
    <row r="642" spans="1:31" x14ac:dyDescent="0.2">
      <c r="A642" s="1" t="s">
        <v>1755</v>
      </c>
      <c r="B642" s="1" t="s">
        <v>1807</v>
      </c>
      <c r="C642" s="1">
        <v>2123</v>
      </c>
      <c r="D642" s="1">
        <v>6</v>
      </c>
      <c r="E642" s="1" t="s">
        <v>1808</v>
      </c>
      <c r="F642" s="1">
        <v>2023</v>
      </c>
      <c r="G642" s="5">
        <v>0</v>
      </c>
      <c r="H642" s="5">
        <v>0</v>
      </c>
      <c r="R642" s="1" t="s">
        <v>55</v>
      </c>
      <c r="T642" s="1" t="s">
        <v>1660</v>
      </c>
      <c r="W642" s="1" t="s">
        <v>232</v>
      </c>
      <c r="Y642" s="1" t="s">
        <v>1188</v>
      </c>
      <c r="Z642" s="1" t="str">
        <f t="shared" si="27"/>
        <v>2123 6</v>
      </c>
      <c r="AA642" s="3">
        <f>IF(INDEX('CAMD Facility Data 2023'!$AA$2:$AE$10000,MATCH(Z642,'CAMD Facility Data 2023'!$AE$2:$AE$10000,0),1)&gt;0,INDEX('CAMD Facility Data 2023'!$AA$2:$AE$10000,MATCH(Z642,'CAMD Facility Data 2023'!$AE$2:$AE$10000,0),1),"")</f>
        <v>20821</v>
      </c>
      <c r="AB642" s="5">
        <f>IF(INDEX('CAMD Facility Data 2023'!$AC$2:$AE$10000,MATCH(Z642,'CAMD Facility Data 2023'!$AE$2:$AE$10000,0),1)&gt;0,INDEX('CAMD Facility Data 2023'!$AC$2:$AE$10000,MATCH(Z642,'CAMD Facility Data 2023'!$AE$2:$AE$10000,0),1),"")</f>
        <v>260</v>
      </c>
      <c r="AC642" s="1" t="str">
        <f>IF(INDEX('CAMD Facility Data 2023'!$AE$2:$AG$10000,MATCH(Z642,'CAMD Facility Data 2023'!$AE$2:$AE$10000,0),3)&gt;0,INDEX('CAMD Facility Data 2023'!$AE$2:$AG$10000,MATCH(Z642,'CAMD Facility Data 2023'!$AE$2:$AE$10000,0),3),"")</f>
        <v/>
      </c>
      <c r="AD642" s="20" t="str">
        <f t="shared" si="28"/>
        <v/>
      </c>
      <c r="AE642" s="25">
        <f t="shared" si="29"/>
        <v>0</v>
      </c>
    </row>
    <row r="643" spans="1:31" x14ac:dyDescent="0.2">
      <c r="A643" s="1" t="s">
        <v>1755</v>
      </c>
      <c r="B643" s="1" t="s">
        <v>1807</v>
      </c>
      <c r="C643" s="1">
        <v>2123</v>
      </c>
      <c r="D643" s="1">
        <v>7</v>
      </c>
      <c r="E643" s="1" t="s">
        <v>1808</v>
      </c>
      <c r="F643" s="1">
        <v>2023</v>
      </c>
      <c r="G643" s="5">
        <v>0</v>
      </c>
      <c r="H643" s="5">
        <v>0</v>
      </c>
      <c r="R643" s="1" t="s">
        <v>55</v>
      </c>
      <c r="T643" s="1" t="s">
        <v>1660</v>
      </c>
      <c r="W643" s="1" t="s">
        <v>232</v>
      </c>
      <c r="Y643" s="1" t="s">
        <v>1188</v>
      </c>
      <c r="Z643" s="1" t="str">
        <f t="shared" ref="Z643:Z706" si="30">C643&amp;" "&amp;D643</f>
        <v>2123 7</v>
      </c>
      <c r="AA643" s="3">
        <f>IF(INDEX('CAMD Facility Data 2023'!$AA$2:$AE$10000,MATCH(Z643,'CAMD Facility Data 2023'!$AE$2:$AE$10000,0),1)&gt;0,INDEX('CAMD Facility Data 2023'!$AA$2:$AE$10000,MATCH(Z643,'CAMD Facility Data 2023'!$AE$2:$AE$10000,0),1),"")</f>
        <v>23743</v>
      </c>
      <c r="AB643" s="5">
        <f>IF(INDEX('CAMD Facility Data 2023'!$AC$2:$AE$10000,MATCH(Z643,'CAMD Facility Data 2023'!$AE$2:$AE$10000,0),1)&gt;0,INDEX('CAMD Facility Data 2023'!$AC$2:$AE$10000,MATCH(Z643,'CAMD Facility Data 2023'!$AE$2:$AE$10000,0),1),"")</f>
        <v>345</v>
      </c>
      <c r="AC643" s="1" t="str">
        <f>IF(INDEX('CAMD Facility Data 2023'!$AE$2:$AG$10000,MATCH(Z643,'CAMD Facility Data 2023'!$AE$2:$AE$10000,0),3)&gt;0,INDEX('CAMD Facility Data 2023'!$AE$2:$AG$10000,MATCH(Z643,'CAMD Facility Data 2023'!$AE$2:$AE$10000,0),3),"")</f>
        <v/>
      </c>
      <c r="AD643" s="20" t="str">
        <f t="shared" ref="AD643:AD706" si="31">IF(ISNUMBER(O643*2000/I643),O643*2000/I643,"")</f>
        <v/>
      </c>
      <c r="AE643" s="25">
        <f t="shared" ref="AE643:AE706" si="32">Q643/(AB643*8760)</f>
        <v>0</v>
      </c>
    </row>
    <row r="644" spans="1:31" x14ac:dyDescent="0.2">
      <c r="A644" s="1" t="s">
        <v>1755</v>
      </c>
      <c r="B644" s="1" t="s">
        <v>1807</v>
      </c>
      <c r="C644" s="1">
        <v>2123</v>
      </c>
      <c r="D644" s="1">
        <v>8</v>
      </c>
      <c r="F644" s="1">
        <v>2023</v>
      </c>
      <c r="G644" s="5">
        <v>409</v>
      </c>
      <c r="H644" s="5">
        <v>396.01</v>
      </c>
      <c r="J644" s="5">
        <v>41532.1</v>
      </c>
      <c r="K644" s="5">
        <v>0.02</v>
      </c>
      <c r="L644" s="5">
        <v>1E-3</v>
      </c>
      <c r="M644" s="5">
        <v>4014.7919999999999</v>
      </c>
      <c r="N644" s="6">
        <v>5.9400000000000001E-2</v>
      </c>
      <c r="O644" s="5">
        <v>0.64200000000000002</v>
      </c>
      <c r="P644" s="6">
        <v>2.2100000000000002E-2</v>
      </c>
      <c r="Q644" s="5">
        <v>67560.319000000003</v>
      </c>
      <c r="R644" s="1" t="s">
        <v>44</v>
      </c>
      <c r="T644" s="1" t="s">
        <v>89</v>
      </c>
      <c r="Y644" s="1" t="s">
        <v>1207</v>
      </c>
      <c r="Z644" s="1" t="str">
        <f t="shared" si="30"/>
        <v>2123 8</v>
      </c>
      <c r="AA644" s="3">
        <f>IF(INDEX('CAMD Facility Data 2023'!$AA$2:$AE$10000,MATCH(Z644,'CAMD Facility Data 2023'!$AE$2:$AE$10000,0),1)&gt;0,INDEX('CAMD Facility Data 2023'!$AA$2:$AE$10000,MATCH(Z644,'CAMD Facility Data 2023'!$AE$2:$AE$10000,0),1),"")</f>
        <v>25569</v>
      </c>
      <c r="AB644" s="5">
        <f>IF(INDEX('CAMD Facility Data 2023'!$AC$2:$AE$10000,MATCH(Z644,'CAMD Facility Data 2023'!$AE$2:$AE$10000,0),1)&gt;0,INDEX('CAMD Facility Data 2023'!$AC$2:$AE$10000,MATCH(Z644,'CAMD Facility Data 2023'!$AE$2:$AE$10000,0),1),"")</f>
        <v>490</v>
      </c>
      <c r="AC644" s="1" t="str">
        <f>IF(INDEX('CAMD Facility Data 2023'!$AE$2:$AG$10000,MATCH(Z644,'CAMD Facility Data 2023'!$AE$2:$AE$10000,0),3)&gt;0,INDEX('CAMD Facility Data 2023'!$AE$2:$AG$10000,MATCH(Z644,'CAMD Facility Data 2023'!$AE$2:$AE$10000,0),3),"")</f>
        <v/>
      </c>
      <c r="AD644" s="20" t="str">
        <f t="shared" si="31"/>
        <v/>
      </c>
      <c r="AE644" s="25">
        <f t="shared" si="32"/>
        <v>1.5739520780915107E-2</v>
      </c>
    </row>
    <row r="645" spans="1:31" x14ac:dyDescent="0.2">
      <c r="A645" s="1" t="s">
        <v>1755</v>
      </c>
      <c r="B645" s="1" t="s">
        <v>1815</v>
      </c>
      <c r="C645" s="1">
        <v>2131</v>
      </c>
      <c r="D645" s="1" t="s">
        <v>381</v>
      </c>
      <c r="F645" s="1">
        <v>2023</v>
      </c>
      <c r="G645" s="5">
        <v>108</v>
      </c>
      <c r="H645" s="5">
        <v>79.05</v>
      </c>
      <c r="I645" s="5">
        <v>1363.95</v>
      </c>
      <c r="K645" s="5">
        <v>0.121</v>
      </c>
      <c r="L645" s="5">
        <v>1.9300000000000001E-2</v>
      </c>
      <c r="O645" s="5">
        <v>7.944</v>
      </c>
      <c r="P645" s="6">
        <v>0.71870000000000001</v>
      </c>
      <c r="Q645" s="5">
        <v>22371.3</v>
      </c>
      <c r="R645" s="1" t="s">
        <v>44</v>
      </c>
      <c r="S645" s="1" t="s">
        <v>94</v>
      </c>
      <c r="T645" s="1" t="s">
        <v>93</v>
      </c>
      <c r="V645" s="1" t="s">
        <v>95</v>
      </c>
      <c r="Y645" s="1" t="s">
        <v>1195</v>
      </c>
      <c r="Z645" s="1" t="str">
        <f t="shared" si="30"/>
        <v>2131 4A</v>
      </c>
      <c r="AA645" s="3">
        <f>IF(INDEX('CAMD Facility Data 2023'!$AA$2:$AE$10000,MATCH(Z645,'CAMD Facility Data 2023'!$AE$2:$AE$10000,0),1)&gt;0,INDEX('CAMD Facility Data 2023'!$AA$2:$AE$10000,MATCH(Z645,'CAMD Facility Data 2023'!$AE$2:$AE$10000,0),1),"")</f>
        <v>35065</v>
      </c>
      <c r="AB645" s="5">
        <f>IF(INDEX('CAMD Facility Data 2023'!$AC$2:$AE$10000,MATCH(Z645,'CAMD Facility Data 2023'!$AE$2:$AE$10000,0),1)&gt;0,INDEX('CAMD Facility Data 2023'!$AC$2:$AE$10000,MATCH(Z645,'CAMD Facility Data 2023'!$AE$2:$AE$10000,0),1),"")</f>
        <v>283</v>
      </c>
      <c r="AC645" s="1" t="str">
        <f>IF(INDEX('CAMD Facility Data 2023'!$AE$2:$AG$10000,MATCH(Z645,'CAMD Facility Data 2023'!$AE$2:$AE$10000,0),3)&gt;0,INDEX('CAMD Facility Data 2023'!$AE$2:$AG$10000,MATCH(Z645,'CAMD Facility Data 2023'!$AE$2:$AE$10000,0),3),"")</f>
        <v/>
      </c>
      <c r="AD645" s="20">
        <f t="shared" si="31"/>
        <v>11.648520840206752</v>
      </c>
      <c r="AE645" s="25">
        <f t="shared" si="32"/>
        <v>9.0240331090565857E-3</v>
      </c>
    </row>
    <row r="646" spans="1:31" x14ac:dyDescent="0.2">
      <c r="A646" s="1" t="s">
        <v>1755</v>
      </c>
      <c r="B646" s="1" t="s">
        <v>1815</v>
      </c>
      <c r="C646" s="1">
        <v>2131</v>
      </c>
      <c r="D646" s="1" t="s">
        <v>815</v>
      </c>
      <c r="F646" s="1">
        <v>2023</v>
      </c>
      <c r="G646" s="5">
        <v>103</v>
      </c>
      <c r="H646" s="5">
        <v>71.47</v>
      </c>
      <c r="I646" s="5">
        <v>1314.49</v>
      </c>
      <c r="K646" s="5">
        <v>1.2E-2</v>
      </c>
      <c r="L646" s="5">
        <v>5.4999999999999997E-3</v>
      </c>
      <c r="O646" s="5">
        <v>7.085</v>
      </c>
      <c r="P646" s="6">
        <v>0.70499999999999996</v>
      </c>
      <c r="Q646" s="5">
        <v>20226.400000000001</v>
      </c>
      <c r="R646" s="1" t="s">
        <v>44</v>
      </c>
      <c r="S646" s="1" t="s">
        <v>94</v>
      </c>
      <c r="T646" s="1" t="s">
        <v>93</v>
      </c>
      <c r="V646" s="1" t="s">
        <v>95</v>
      </c>
      <c r="Y646" s="1" t="s">
        <v>1195</v>
      </c>
      <c r="Z646" s="1" t="str">
        <f t="shared" si="30"/>
        <v>2131 4B</v>
      </c>
      <c r="AA646" s="3">
        <f>IF(INDEX('CAMD Facility Data 2023'!$AA$2:$AE$10000,MATCH(Z646,'CAMD Facility Data 2023'!$AE$2:$AE$10000,0),1)&gt;0,INDEX('CAMD Facility Data 2023'!$AA$2:$AE$10000,MATCH(Z646,'CAMD Facility Data 2023'!$AE$2:$AE$10000,0),1),"")</f>
        <v>35065</v>
      </c>
      <c r="AB646" s="5">
        <f>IF(INDEX('CAMD Facility Data 2023'!$AC$2:$AE$10000,MATCH(Z646,'CAMD Facility Data 2023'!$AE$2:$AE$10000,0),1)&gt;0,INDEX('CAMD Facility Data 2023'!$AC$2:$AE$10000,MATCH(Z646,'CAMD Facility Data 2023'!$AE$2:$AE$10000,0),1),"")</f>
        <v>283</v>
      </c>
      <c r="AC646" s="1" t="str">
        <f>IF(INDEX('CAMD Facility Data 2023'!$AE$2:$AG$10000,MATCH(Z646,'CAMD Facility Data 2023'!$AE$2:$AE$10000,0),3)&gt;0,INDEX('CAMD Facility Data 2023'!$AE$2:$AG$10000,MATCH(Z646,'CAMD Facility Data 2023'!$AE$2:$AE$10000,0),3),"")</f>
        <v/>
      </c>
      <c r="AD646" s="20">
        <f t="shared" si="31"/>
        <v>10.779846176083501</v>
      </c>
      <c r="AE646" s="25">
        <f t="shared" si="32"/>
        <v>8.1588331155105932E-3</v>
      </c>
    </row>
    <row r="647" spans="1:31" x14ac:dyDescent="0.2">
      <c r="A647" s="1" t="s">
        <v>1755</v>
      </c>
      <c r="B647" s="1" t="s">
        <v>1821</v>
      </c>
      <c r="C647" s="1">
        <v>2161</v>
      </c>
      <c r="D647" s="1" t="s">
        <v>1822</v>
      </c>
      <c r="F647" s="1">
        <v>2023</v>
      </c>
      <c r="G647" s="5">
        <v>1315</v>
      </c>
      <c r="H647" s="5">
        <v>1162.8399999999999</v>
      </c>
      <c r="I647" s="5">
        <v>64001.27</v>
      </c>
      <c r="K647" s="5">
        <v>0.35799999999999998</v>
      </c>
      <c r="L647" s="5">
        <v>1E-3</v>
      </c>
      <c r="M647" s="5">
        <v>50184.913</v>
      </c>
      <c r="N647" s="6">
        <v>5.91E-2</v>
      </c>
      <c r="O647" s="5">
        <v>67.022999999999996</v>
      </c>
      <c r="P647" s="6">
        <v>0.1525</v>
      </c>
      <c r="Q647" s="5">
        <v>843803.97600000002</v>
      </c>
      <c r="R647" s="1" t="s">
        <v>284</v>
      </c>
      <c r="S647" s="1" t="s">
        <v>94</v>
      </c>
      <c r="T647" s="1" t="s">
        <v>93</v>
      </c>
      <c r="V647" s="1" t="s">
        <v>95</v>
      </c>
      <c r="Y647" s="1" t="s">
        <v>1195</v>
      </c>
      <c r="Z647" s="1" t="str">
        <f t="shared" si="30"/>
        <v>2161 **GT1</v>
      </c>
      <c r="AA647" s="3">
        <f>IF(INDEX('CAMD Facility Data 2023'!$AA$2:$AE$10000,MATCH(Z647,'CAMD Facility Data 2023'!$AE$2:$AE$10000,0),1)&gt;0,INDEX('CAMD Facility Data 2023'!$AA$2:$AE$10000,MATCH(Z647,'CAMD Facility Data 2023'!$AE$2:$AE$10000,0),1),"")</f>
        <v>32599</v>
      </c>
      <c r="AB647" s="5">
        <f>IF(INDEX('CAMD Facility Data 2023'!$AC$2:$AE$10000,MATCH(Z647,'CAMD Facility Data 2023'!$AE$2:$AE$10000,0),1)&gt;0,INDEX('CAMD Facility Data 2023'!$AC$2:$AE$10000,MATCH(Z647,'CAMD Facility Data 2023'!$AE$2:$AE$10000,0),1),"")</f>
        <v>991</v>
      </c>
      <c r="AC647" s="1" t="str">
        <f>IF(INDEX('CAMD Facility Data 2023'!$AE$2:$AG$10000,MATCH(Z647,'CAMD Facility Data 2023'!$AE$2:$AE$10000,0),3)&gt;0,INDEX('CAMD Facility Data 2023'!$AE$2:$AG$10000,MATCH(Z647,'CAMD Facility Data 2023'!$AE$2:$AE$10000,0),3),"")</f>
        <v/>
      </c>
      <c r="AD647" s="20">
        <f t="shared" si="31"/>
        <v>2.094427188710474</v>
      </c>
      <c r="AE647" s="25">
        <f t="shared" si="32"/>
        <v>9.7199449843108521E-2</v>
      </c>
    </row>
    <row r="648" spans="1:31" x14ac:dyDescent="0.2">
      <c r="A648" s="1" t="s">
        <v>1755</v>
      </c>
      <c r="B648" s="1" t="s">
        <v>1821</v>
      </c>
      <c r="C648" s="1">
        <v>2161</v>
      </c>
      <c r="D648" s="1" t="s">
        <v>1826</v>
      </c>
      <c r="F648" s="1">
        <v>2023</v>
      </c>
      <c r="G648" s="5">
        <v>1536</v>
      </c>
      <c r="H648" s="5">
        <v>1368.36</v>
      </c>
      <c r="I648" s="5">
        <v>74159.95</v>
      </c>
      <c r="K648" s="5">
        <v>0.42299999999999999</v>
      </c>
      <c r="L648" s="5">
        <v>1E-3</v>
      </c>
      <c r="M648" s="5">
        <v>59295.409</v>
      </c>
      <c r="N648" s="6">
        <v>5.9400000000000001E-2</v>
      </c>
      <c r="O648" s="5">
        <v>72.548000000000002</v>
      </c>
      <c r="P648" s="6">
        <v>0.1459</v>
      </c>
      <c r="Q648" s="5">
        <v>993555.03500000003</v>
      </c>
      <c r="R648" s="1" t="s">
        <v>284</v>
      </c>
      <c r="S648" s="1" t="s">
        <v>94</v>
      </c>
      <c r="T648" s="1" t="s">
        <v>93</v>
      </c>
      <c r="V648" s="1" t="s">
        <v>95</v>
      </c>
      <c r="Y648" s="1" t="s">
        <v>1207</v>
      </c>
      <c r="Z648" s="1" t="str">
        <f t="shared" si="30"/>
        <v>2161 **GT2</v>
      </c>
      <c r="AA648" s="3">
        <f>IF(INDEX('CAMD Facility Data 2023'!$AA$2:$AE$10000,MATCH(Z648,'CAMD Facility Data 2023'!$AE$2:$AE$10000,0),1)&gt;0,INDEX('CAMD Facility Data 2023'!$AA$2:$AE$10000,MATCH(Z648,'CAMD Facility Data 2023'!$AE$2:$AE$10000,0),1),"")</f>
        <v>33695</v>
      </c>
      <c r="AB648" s="5">
        <f>IF(INDEX('CAMD Facility Data 2023'!$AC$2:$AE$10000,MATCH(Z648,'CAMD Facility Data 2023'!$AE$2:$AE$10000,0),1)&gt;0,INDEX('CAMD Facility Data 2023'!$AC$2:$AE$10000,MATCH(Z648,'CAMD Facility Data 2023'!$AE$2:$AE$10000,0),1),"")</f>
        <v>973</v>
      </c>
      <c r="AC648" s="1" t="str">
        <f>IF(INDEX('CAMD Facility Data 2023'!$AE$2:$AG$10000,MATCH(Z648,'CAMD Facility Data 2023'!$AE$2:$AE$10000,0),3)&gt;0,INDEX('CAMD Facility Data 2023'!$AE$2:$AG$10000,MATCH(Z648,'CAMD Facility Data 2023'!$AE$2:$AE$10000,0),3),"")</f>
        <v/>
      </c>
      <c r="AD648" s="20">
        <f t="shared" si="31"/>
        <v>1.9565277484680075</v>
      </c>
      <c r="AE648" s="25">
        <f t="shared" si="32"/>
        <v>0.11656682892433608</v>
      </c>
    </row>
    <row r="649" spans="1:31" x14ac:dyDescent="0.2">
      <c r="A649" s="1" t="s">
        <v>1755</v>
      </c>
      <c r="B649" s="1" t="s">
        <v>1828</v>
      </c>
      <c r="C649" s="1">
        <v>2167</v>
      </c>
      <c r="D649" s="1">
        <v>1</v>
      </c>
      <c r="F649" s="1">
        <v>2023</v>
      </c>
      <c r="G649" s="5">
        <v>7616</v>
      </c>
      <c r="H649" s="5">
        <v>7601.28</v>
      </c>
      <c r="I649" s="5">
        <v>3091013.55</v>
      </c>
      <c r="K649" s="5">
        <v>5197.5889999999999</v>
      </c>
      <c r="L649" s="5">
        <v>0.36359999999999998</v>
      </c>
      <c r="M649" s="5">
        <v>2970312.9730000002</v>
      </c>
      <c r="N649" s="6">
        <v>0.105</v>
      </c>
      <c r="O649" s="5">
        <v>5319.2209999999995</v>
      </c>
      <c r="P649" s="6">
        <v>0.39879999999999999</v>
      </c>
      <c r="Q649" s="5">
        <v>28321119.925000001</v>
      </c>
      <c r="R649" s="1" t="s">
        <v>55</v>
      </c>
      <c r="S649" s="1" t="s">
        <v>94</v>
      </c>
      <c r="T649" s="1" t="s">
        <v>606</v>
      </c>
      <c r="V649" s="1" t="s">
        <v>872</v>
      </c>
      <c r="W649" s="1" t="s">
        <v>58</v>
      </c>
      <c r="X649" s="1" t="s">
        <v>937</v>
      </c>
      <c r="Y649" s="1" t="s">
        <v>1188</v>
      </c>
      <c r="Z649" s="1" t="str">
        <f t="shared" si="30"/>
        <v>2167 1</v>
      </c>
      <c r="AA649" s="3">
        <f>IF(INDEX('CAMD Facility Data 2023'!$AA$2:$AE$10000,MATCH(Z649,'CAMD Facility Data 2023'!$AE$2:$AE$10000,0),1)&gt;0,INDEX('CAMD Facility Data 2023'!$AA$2:$AE$10000,MATCH(Z649,'CAMD Facility Data 2023'!$AE$2:$AE$10000,0),1),"")</f>
        <v>26634</v>
      </c>
      <c r="AB649" s="5">
        <f>IF(INDEX('CAMD Facility Data 2023'!$AC$2:$AE$10000,MATCH(Z649,'CAMD Facility Data 2023'!$AE$2:$AE$10000,0),1)&gt;0,INDEX('CAMD Facility Data 2023'!$AC$2:$AE$10000,MATCH(Z649,'CAMD Facility Data 2023'!$AE$2:$AE$10000,0),1),"")</f>
        <v>6728</v>
      </c>
      <c r="AC649" s="1" t="str">
        <f>IF(INDEX('CAMD Facility Data 2023'!$AE$2:$AG$10000,MATCH(Z649,'CAMD Facility Data 2023'!$AE$2:$AE$10000,0),3)&gt;0,INDEX('CAMD Facility Data 2023'!$AE$2:$AG$10000,MATCH(Z649,'CAMD Facility Data 2023'!$AE$2:$AE$10000,0),3),"")</f>
        <v>Y</v>
      </c>
      <c r="AD649" s="20">
        <f t="shared" si="31"/>
        <v>3.4417325669762917</v>
      </c>
      <c r="AE649" s="25">
        <f t="shared" si="32"/>
        <v>0.48052980940077317</v>
      </c>
    </row>
    <row r="650" spans="1:31" x14ac:dyDescent="0.2">
      <c r="A650" s="1" t="s">
        <v>1755</v>
      </c>
      <c r="B650" s="1" t="s">
        <v>1828</v>
      </c>
      <c r="C650" s="1">
        <v>2167</v>
      </c>
      <c r="D650" s="1">
        <v>2</v>
      </c>
      <c r="F650" s="1">
        <v>2023</v>
      </c>
      <c r="G650" s="5">
        <v>4832</v>
      </c>
      <c r="H650" s="5">
        <v>4814.7299999999996</v>
      </c>
      <c r="I650" s="5">
        <v>1888805.16</v>
      </c>
      <c r="K650" s="5">
        <v>5615.3969999999999</v>
      </c>
      <c r="L650" s="5">
        <v>0.66200000000000003</v>
      </c>
      <c r="M650" s="5">
        <v>1775234.409</v>
      </c>
      <c r="N650" s="6">
        <v>0.10489999999999999</v>
      </c>
      <c r="O650" s="5">
        <v>4699.3540000000003</v>
      </c>
      <c r="P650" s="6">
        <v>0.55889999999999995</v>
      </c>
      <c r="Q650" s="5">
        <v>16929303.234000001</v>
      </c>
      <c r="R650" s="1" t="s">
        <v>55</v>
      </c>
      <c r="S650" s="1" t="s">
        <v>94</v>
      </c>
      <c r="T650" s="1" t="s">
        <v>606</v>
      </c>
      <c r="V650" s="1" t="s">
        <v>872</v>
      </c>
      <c r="W650" s="1" t="s">
        <v>58</v>
      </c>
      <c r="X650" s="1" t="s">
        <v>937</v>
      </c>
      <c r="Y650" s="1" t="s">
        <v>1188</v>
      </c>
      <c r="Z650" s="1" t="str">
        <f t="shared" si="30"/>
        <v>2167 2</v>
      </c>
      <c r="AA650" s="3">
        <f>IF(INDEX('CAMD Facility Data 2023'!$AA$2:$AE$10000,MATCH(Z650,'CAMD Facility Data 2023'!$AE$2:$AE$10000,0),1)&gt;0,INDEX('CAMD Facility Data 2023'!$AA$2:$AE$10000,MATCH(Z650,'CAMD Facility Data 2023'!$AE$2:$AE$10000,0),1),"")</f>
        <v>28277</v>
      </c>
      <c r="AB650" s="5">
        <f>IF(INDEX('CAMD Facility Data 2023'!$AC$2:$AE$10000,MATCH(Z650,'CAMD Facility Data 2023'!$AE$2:$AE$10000,0),1)&gt;0,INDEX('CAMD Facility Data 2023'!$AC$2:$AE$10000,MATCH(Z650,'CAMD Facility Data 2023'!$AE$2:$AE$10000,0),1),"")</f>
        <v>6985</v>
      </c>
      <c r="AC650" s="1" t="str">
        <f>IF(INDEX('CAMD Facility Data 2023'!$AE$2:$AG$10000,MATCH(Z650,'CAMD Facility Data 2023'!$AE$2:$AE$10000,0),3)&gt;0,INDEX('CAMD Facility Data 2023'!$AE$2:$AG$10000,MATCH(Z650,'CAMD Facility Data 2023'!$AE$2:$AE$10000,0),3),"")</f>
        <v>Y</v>
      </c>
      <c r="AD650" s="20">
        <f t="shared" si="31"/>
        <v>4.9760071599973816</v>
      </c>
      <c r="AE650" s="25">
        <f t="shared" si="32"/>
        <v>0.27667413920240047</v>
      </c>
    </row>
    <row r="651" spans="1:31" x14ac:dyDescent="0.2">
      <c r="A651" s="1" t="s">
        <v>1755</v>
      </c>
      <c r="B651" s="1" t="s">
        <v>1834</v>
      </c>
      <c r="C651" s="1">
        <v>2168</v>
      </c>
      <c r="D651" s="1" t="s">
        <v>1835</v>
      </c>
      <c r="F651" s="1">
        <v>2023</v>
      </c>
      <c r="G651" s="5">
        <v>7271</v>
      </c>
      <c r="H651" s="5">
        <v>7218.42</v>
      </c>
      <c r="I651" s="5">
        <v>1083906.5900000001</v>
      </c>
      <c r="K651" s="5">
        <v>2053.509</v>
      </c>
      <c r="L651" s="5">
        <v>0.3518</v>
      </c>
      <c r="M651" s="5">
        <v>1196063.4790000001</v>
      </c>
      <c r="N651" s="6">
        <v>0.1045</v>
      </c>
      <c r="O651" s="5">
        <v>2147.8629999999998</v>
      </c>
      <c r="P651" s="6">
        <v>0.38279999999999997</v>
      </c>
      <c r="Q651" s="5">
        <v>11406282.966</v>
      </c>
      <c r="R651" s="1" t="s">
        <v>55</v>
      </c>
      <c r="S651" s="1" t="s">
        <v>94</v>
      </c>
      <c r="T651" s="1" t="s">
        <v>606</v>
      </c>
      <c r="V651" s="1" t="s">
        <v>1010</v>
      </c>
      <c r="W651" s="1" t="s">
        <v>58</v>
      </c>
      <c r="X651" s="1" t="s">
        <v>937</v>
      </c>
      <c r="Y651" s="1" t="s">
        <v>1188</v>
      </c>
      <c r="Z651" s="1" t="str">
        <f t="shared" si="30"/>
        <v>2168 MB1</v>
      </c>
      <c r="AA651" s="3">
        <f>IF(INDEX('CAMD Facility Data 2023'!$AA$2:$AE$10000,MATCH(Z651,'CAMD Facility Data 2023'!$AE$2:$AE$10000,0),1)&gt;0,INDEX('CAMD Facility Data 2023'!$AA$2:$AE$10000,MATCH(Z651,'CAMD Facility Data 2023'!$AE$2:$AE$10000,0),1),"")</f>
        <v>24441</v>
      </c>
      <c r="AB651" s="5">
        <f>IF(INDEX('CAMD Facility Data 2023'!$AC$2:$AE$10000,MATCH(Z651,'CAMD Facility Data 2023'!$AE$2:$AE$10000,0),1)&gt;0,INDEX('CAMD Facility Data 2023'!$AC$2:$AE$10000,MATCH(Z651,'CAMD Facility Data 2023'!$AE$2:$AE$10000,0),1),"")</f>
        <v>2065</v>
      </c>
      <c r="AC651" s="1" t="str">
        <f>IF(INDEX('CAMD Facility Data 2023'!$AE$2:$AG$10000,MATCH(Z651,'CAMD Facility Data 2023'!$AE$2:$AE$10000,0),3)&gt;0,INDEX('CAMD Facility Data 2023'!$AE$2:$AG$10000,MATCH(Z651,'CAMD Facility Data 2023'!$AE$2:$AE$10000,0),3),"")</f>
        <v>Y</v>
      </c>
      <c r="AD651" s="20">
        <f t="shared" si="31"/>
        <v>3.9631883776995944</v>
      </c>
      <c r="AE651" s="25">
        <f t="shared" si="32"/>
        <v>0.63055065209459682</v>
      </c>
    </row>
    <row r="652" spans="1:31" x14ac:dyDescent="0.2">
      <c r="A652" s="1" t="s">
        <v>1755</v>
      </c>
      <c r="B652" s="1" t="s">
        <v>1834</v>
      </c>
      <c r="C652" s="1">
        <v>2168</v>
      </c>
      <c r="D652" s="1" t="s">
        <v>1838</v>
      </c>
      <c r="F652" s="1">
        <v>2023</v>
      </c>
      <c r="G652" s="5">
        <v>7332</v>
      </c>
      <c r="H652" s="5">
        <v>7316.36</v>
      </c>
      <c r="I652" s="5">
        <v>1841573.33</v>
      </c>
      <c r="K652" s="5">
        <v>3138.7719999999999</v>
      </c>
      <c r="L652" s="5">
        <v>0.34389999999999998</v>
      </c>
      <c r="M652" s="5">
        <v>1907298.9750000001</v>
      </c>
      <c r="N652" s="6">
        <v>0.105</v>
      </c>
      <c r="O652" s="5">
        <v>2520.183</v>
      </c>
      <c r="P652" s="6">
        <v>0.27979999999999999</v>
      </c>
      <c r="Q652" s="5">
        <v>18185598.671</v>
      </c>
      <c r="R652" s="1" t="s">
        <v>55</v>
      </c>
      <c r="S652" s="1" t="s">
        <v>94</v>
      </c>
      <c r="T652" s="1" t="s">
        <v>606</v>
      </c>
      <c r="V652" s="1" t="s">
        <v>1010</v>
      </c>
      <c r="W652" s="1" t="s">
        <v>58</v>
      </c>
      <c r="X652" s="1" t="s">
        <v>937</v>
      </c>
      <c r="Y652" s="1" t="s">
        <v>1188</v>
      </c>
      <c r="Z652" s="1" t="str">
        <f t="shared" si="30"/>
        <v>2168 MB2</v>
      </c>
      <c r="AA652" s="3">
        <f>IF(INDEX('CAMD Facility Data 2023'!$AA$2:$AE$10000,MATCH(Z652,'CAMD Facility Data 2023'!$AE$2:$AE$10000,0),1)&gt;0,INDEX('CAMD Facility Data 2023'!$AA$2:$AE$10000,MATCH(Z652,'CAMD Facility Data 2023'!$AE$2:$AE$10000,0),1),"")</f>
        <v>25263</v>
      </c>
      <c r="AB652" s="5">
        <f>IF(INDEX('CAMD Facility Data 2023'!$AC$2:$AE$10000,MATCH(Z652,'CAMD Facility Data 2023'!$AE$2:$AE$10000,0),1)&gt;0,INDEX('CAMD Facility Data 2023'!$AC$2:$AE$10000,MATCH(Z652,'CAMD Facility Data 2023'!$AE$2:$AE$10000,0),1),"")</f>
        <v>3122</v>
      </c>
      <c r="AC652" s="1" t="str">
        <f>IF(INDEX('CAMD Facility Data 2023'!$AE$2:$AG$10000,MATCH(Z652,'CAMD Facility Data 2023'!$AE$2:$AE$10000,0),3)&gt;0,INDEX('CAMD Facility Data 2023'!$AE$2:$AG$10000,MATCH(Z652,'CAMD Facility Data 2023'!$AE$2:$AE$10000,0),3),"")</f>
        <v>Y</v>
      </c>
      <c r="AD652" s="20">
        <f t="shared" si="31"/>
        <v>2.7369890288322103</v>
      </c>
      <c r="AE652" s="25">
        <f t="shared" si="32"/>
        <v>0.66495246106581951</v>
      </c>
    </row>
    <row r="653" spans="1:31" x14ac:dyDescent="0.2">
      <c r="A653" s="1" t="s">
        <v>1755</v>
      </c>
      <c r="B653" s="1" t="s">
        <v>1834</v>
      </c>
      <c r="C653" s="1">
        <v>2168</v>
      </c>
      <c r="D653" s="1" t="s">
        <v>1840</v>
      </c>
      <c r="F653" s="1">
        <v>2023</v>
      </c>
      <c r="G653" s="5">
        <v>5109</v>
      </c>
      <c r="H653" s="5">
        <v>5089.9399999999996</v>
      </c>
      <c r="I653" s="5">
        <v>3259773.96</v>
      </c>
      <c r="K653" s="5">
        <v>6096.8940000000002</v>
      </c>
      <c r="L653" s="5">
        <v>0.36420000000000002</v>
      </c>
      <c r="M653" s="5">
        <v>3429205.378</v>
      </c>
      <c r="N653" s="6">
        <v>0.1048</v>
      </c>
      <c r="O653" s="5">
        <v>3160.951</v>
      </c>
      <c r="P653" s="6">
        <v>0.18890000000000001</v>
      </c>
      <c r="Q653" s="5">
        <v>32698524.752999999</v>
      </c>
      <c r="R653" s="1" t="s">
        <v>55</v>
      </c>
      <c r="S653" s="1" t="s">
        <v>94</v>
      </c>
      <c r="T653" s="1" t="s">
        <v>89</v>
      </c>
      <c r="V653" s="1" t="s">
        <v>1841</v>
      </c>
      <c r="W653" s="1" t="s">
        <v>58</v>
      </c>
      <c r="X653" s="1" t="s">
        <v>937</v>
      </c>
      <c r="Y653" s="1" t="s">
        <v>1188</v>
      </c>
      <c r="Z653" s="1" t="str">
        <f t="shared" si="30"/>
        <v>2168 MB3</v>
      </c>
      <c r="AA653" s="3">
        <f>IF(INDEX('CAMD Facility Data 2023'!$AA$2:$AE$10000,MATCH(Z653,'CAMD Facility Data 2023'!$AE$2:$AE$10000,0),1)&gt;0,INDEX('CAMD Facility Data 2023'!$AA$2:$AE$10000,MATCH(Z653,'CAMD Facility Data 2023'!$AE$2:$AE$10000,0),1),"")</f>
        <v>30103</v>
      </c>
      <c r="AB653" s="5">
        <f>IF(INDEX('CAMD Facility Data 2023'!$AC$2:$AE$10000,MATCH(Z653,'CAMD Facility Data 2023'!$AE$2:$AE$10000,0),1)&gt;0,INDEX('CAMD Facility Data 2023'!$AC$2:$AE$10000,MATCH(Z653,'CAMD Facility Data 2023'!$AE$2:$AE$10000,0),1),"")</f>
        <v>7823</v>
      </c>
      <c r="AC653" s="1" t="str">
        <f>IF(INDEX('CAMD Facility Data 2023'!$AE$2:$AG$10000,MATCH(Z653,'CAMD Facility Data 2023'!$AE$2:$AE$10000,0),3)&gt;0,INDEX('CAMD Facility Data 2023'!$AE$2:$AG$10000,MATCH(Z653,'CAMD Facility Data 2023'!$AE$2:$AE$10000,0),3),"")</f>
        <v>Y</v>
      </c>
      <c r="AD653" s="20">
        <f t="shared" si="31"/>
        <v>1.9393682131260415</v>
      </c>
      <c r="AE653" s="25">
        <f t="shared" si="32"/>
        <v>0.47714537966726145</v>
      </c>
    </row>
    <row r="654" spans="1:31" x14ac:dyDescent="0.2">
      <c r="A654" s="1" t="s">
        <v>1843</v>
      </c>
      <c r="B654" s="1" t="s">
        <v>1844</v>
      </c>
      <c r="C654" s="1">
        <v>2176</v>
      </c>
      <c r="D654" s="1" t="s">
        <v>1162</v>
      </c>
      <c r="F654" s="1">
        <v>2023</v>
      </c>
      <c r="G654" s="5">
        <v>116</v>
      </c>
      <c r="H654" s="5">
        <v>99.77</v>
      </c>
      <c r="I654" s="5">
        <v>1918.42</v>
      </c>
      <c r="K654" s="5">
        <v>1.0999999999999999E-2</v>
      </c>
      <c r="L654" s="5">
        <v>1.1999999999999999E-3</v>
      </c>
      <c r="M654" s="5">
        <v>1390.0350000000001</v>
      </c>
      <c r="N654" s="6">
        <v>6.0400000000000002E-2</v>
      </c>
      <c r="O654" s="5">
        <v>1.7330000000000001</v>
      </c>
      <c r="P654" s="6">
        <v>0.1469</v>
      </c>
      <c r="Q654" s="5">
        <v>22820.626</v>
      </c>
      <c r="R654" s="1" t="s">
        <v>44</v>
      </c>
      <c r="S654" s="1" t="s">
        <v>94</v>
      </c>
      <c r="T654" s="1" t="s">
        <v>93</v>
      </c>
      <c r="V654" s="1" t="s">
        <v>140</v>
      </c>
      <c r="Y654" s="1" t="s">
        <v>247</v>
      </c>
      <c r="Z654" s="1" t="str">
        <f t="shared" si="30"/>
        <v>2176 GT-2</v>
      </c>
      <c r="AA654" s="3">
        <f>IF(INDEX('CAMD Facility Data 2023'!$AA$2:$AE$10000,MATCH(Z654,'CAMD Facility Data 2023'!$AE$2:$AE$10000,0),1)&gt;0,INDEX('CAMD Facility Data 2023'!$AA$2:$AE$10000,MATCH(Z654,'CAMD Facility Data 2023'!$AE$2:$AE$10000,0),1),"")</f>
        <v>37773</v>
      </c>
      <c r="AB654" s="5">
        <f>IF(INDEX('CAMD Facility Data 2023'!$AC$2:$AE$10000,MATCH(Z654,'CAMD Facility Data 2023'!$AE$2:$AE$10000,0),1)&gt;0,INDEX('CAMD Facility Data 2023'!$AC$2:$AE$10000,MATCH(Z654,'CAMD Facility Data 2023'!$AE$2:$AE$10000,0),1),"")</f>
        <v>420.8</v>
      </c>
      <c r="AC654" s="1" t="str">
        <f>IF(INDEX('CAMD Facility Data 2023'!$AE$2:$AG$10000,MATCH(Z654,'CAMD Facility Data 2023'!$AE$2:$AE$10000,0),3)&gt;0,INDEX('CAMD Facility Data 2023'!$AE$2:$AG$10000,MATCH(Z654,'CAMD Facility Data 2023'!$AE$2:$AE$10000,0),3),"")</f>
        <v/>
      </c>
      <c r="AD654" s="20">
        <f t="shared" si="31"/>
        <v>1.8066950928368135</v>
      </c>
      <c r="AE654" s="25">
        <f t="shared" si="32"/>
        <v>6.1908134321232008E-3</v>
      </c>
    </row>
    <row r="655" spans="1:31" x14ac:dyDescent="0.2">
      <c r="A655" s="1" t="s">
        <v>203</v>
      </c>
      <c r="B655" s="1" t="s">
        <v>1849</v>
      </c>
      <c r="C655" s="1">
        <v>2226</v>
      </c>
      <c r="D655" s="1">
        <v>1</v>
      </c>
      <c r="F655" s="1">
        <v>2023</v>
      </c>
      <c r="G655" s="5">
        <v>942</v>
      </c>
      <c r="H655" s="5">
        <v>934.87</v>
      </c>
      <c r="I655" s="5">
        <v>26021.16</v>
      </c>
      <c r="K655" s="5">
        <v>0.10199999999999999</v>
      </c>
      <c r="L655" s="5">
        <v>8.9999999999999998E-4</v>
      </c>
      <c r="M655" s="5">
        <v>18436.7</v>
      </c>
      <c r="N655" s="6">
        <v>5.8900000000000001E-2</v>
      </c>
      <c r="O655" s="5">
        <v>39.084000000000003</v>
      </c>
      <c r="P655" s="6">
        <v>0.25009999999999999</v>
      </c>
      <c r="Q655" s="5">
        <v>312623.90000000002</v>
      </c>
      <c r="R655" s="1" t="s">
        <v>44</v>
      </c>
      <c r="T655" s="1" t="s">
        <v>43</v>
      </c>
      <c r="Y655" s="1" t="s">
        <v>1666</v>
      </c>
      <c r="Z655" s="1" t="str">
        <f t="shared" si="30"/>
        <v>2226 1</v>
      </c>
      <c r="AA655" s="3">
        <f>IF(INDEX('CAMD Facility Data 2023'!$AA$2:$AE$10000,MATCH(Z655,'CAMD Facility Data 2023'!$AE$2:$AE$10000,0),1)&gt;0,INDEX('CAMD Facility Data 2023'!$AA$2:$AE$10000,MATCH(Z655,'CAMD Facility Data 2023'!$AE$2:$AE$10000,0),1),"")</f>
        <v>21306</v>
      </c>
      <c r="AB655" s="5">
        <f>IF(INDEX('CAMD Facility Data 2023'!$AC$2:$AE$10000,MATCH(Z655,'CAMD Facility Data 2023'!$AE$2:$AE$10000,0),1)&gt;0,INDEX('CAMD Facility Data 2023'!$AC$2:$AE$10000,MATCH(Z655,'CAMD Facility Data 2023'!$AE$2:$AE$10000,0),1),"")</f>
        <v>1275</v>
      </c>
      <c r="AC655" s="1" t="str">
        <f>IF(INDEX('CAMD Facility Data 2023'!$AE$2:$AG$10000,MATCH(Z655,'CAMD Facility Data 2023'!$AE$2:$AE$10000,0),3)&gt;0,INDEX('CAMD Facility Data 2023'!$AE$2:$AG$10000,MATCH(Z655,'CAMD Facility Data 2023'!$AE$2:$AE$10000,0),3),"")</f>
        <v/>
      </c>
      <c r="AD655" s="20">
        <f t="shared" si="31"/>
        <v>3.0040167309989254</v>
      </c>
      <c r="AE655" s="25">
        <f t="shared" si="32"/>
        <v>2.7990321425373804E-2</v>
      </c>
    </row>
    <row r="656" spans="1:31" x14ac:dyDescent="0.2">
      <c r="A656" s="1" t="s">
        <v>203</v>
      </c>
      <c r="B656" s="1" t="s">
        <v>1854</v>
      </c>
      <c r="C656" s="1">
        <v>2240</v>
      </c>
      <c r="D656" s="1" t="s">
        <v>1859</v>
      </c>
      <c r="F656" s="1">
        <v>2023</v>
      </c>
      <c r="G656" s="5">
        <v>445</v>
      </c>
      <c r="H656" s="5">
        <v>391.65</v>
      </c>
      <c r="I656" s="5">
        <v>13780.3</v>
      </c>
      <c r="K656" s="5">
        <v>0.06</v>
      </c>
      <c r="L656" s="5">
        <v>1E-3</v>
      </c>
      <c r="M656" s="5">
        <v>13355.9</v>
      </c>
      <c r="N656" s="6">
        <v>5.8999999999999997E-2</v>
      </c>
      <c r="O656" s="5">
        <v>79.271000000000001</v>
      </c>
      <c r="P656" s="6">
        <v>0.7</v>
      </c>
      <c r="Q656" s="5">
        <v>226491.6</v>
      </c>
      <c r="R656" s="1" t="s">
        <v>44</v>
      </c>
      <c r="S656" s="1" t="s">
        <v>94</v>
      </c>
      <c r="T656" s="1" t="s">
        <v>93</v>
      </c>
      <c r="V656" s="1" t="s">
        <v>183</v>
      </c>
      <c r="Y656" s="1" t="s">
        <v>1666</v>
      </c>
      <c r="Z656" s="1" t="str">
        <f t="shared" si="30"/>
        <v>2240 50T</v>
      </c>
      <c r="AA656" s="3">
        <f>IF(INDEX('CAMD Facility Data 2023'!$AA$2:$AE$10000,MATCH(Z656,'CAMD Facility Data 2023'!$AE$2:$AE$10000,0),1)&gt;0,INDEX('CAMD Facility Data 2023'!$AA$2:$AE$10000,MATCH(Z656,'CAMD Facility Data 2023'!$AE$2:$AE$10000,0),1),"")</f>
        <v>37911</v>
      </c>
      <c r="AB656" s="5">
        <f>IF(INDEX('CAMD Facility Data 2023'!$AC$2:$AE$10000,MATCH(Z656,'CAMD Facility Data 2023'!$AE$2:$AE$10000,0),1)&gt;0,INDEX('CAMD Facility Data 2023'!$AC$2:$AE$10000,MATCH(Z656,'CAMD Facility Data 2023'!$AE$2:$AE$10000,0),1),"")</f>
        <v>578.29999999999995</v>
      </c>
      <c r="AC656" s="1" t="str">
        <f>IF(INDEX('CAMD Facility Data 2023'!$AE$2:$AG$10000,MATCH(Z656,'CAMD Facility Data 2023'!$AE$2:$AE$10000,0),3)&gt;0,INDEX('CAMD Facility Data 2023'!$AE$2:$AG$10000,MATCH(Z656,'CAMD Facility Data 2023'!$AE$2:$AE$10000,0),3),"")</f>
        <v/>
      </c>
      <c r="AD656" s="20">
        <f t="shared" si="31"/>
        <v>11.504974492572732</v>
      </c>
      <c r="AE656" s="25">
        <f t="shared" si="32"/>
        <v>4.4708984055770458E-2</v>
      </c>
    </row>
    <row r="657" spans="1:31" x14ac:dyDescent="0.2">
      <c r="A657" s="1" t="s">
        <v>203</v>
      </c>
      <c r="B657" s="1" t="s">
        <v>1854</v>
      </c>
      <c r="C657" s="1">
        <v>2240</v>
      </c>
      <c r="D657" s="1">
        <v>8</v>
      </c>
      <c r="F657" s="1">
        <v>2023</v>
      </c>
      <c r="G657" s="5">
        <v>7928</v>
      </c>
      <c r="H657" s="5">
        <v>7924.84</v>
      </c>
      <c r="I657" s="5">
        <v>426429.86</v>
      </c>
      <c r="K657" s="5">
        <v>889.21600000000001</v>
      </c>
      <c r="L657" s="5">
        <v>0.37880000000000003</v>
      </c>
      <c r="M657" s="5">
        <v>481367.45899999997</v>
      </c>
      <c r="N657" s="6">
        <v>0.104</v>
      </c>
      <c r="O657" s="5">
        <v>458.31</v>
      </c>
      <c r="P657" s="6">
        <v>0.19570000000000001</v>
      </c>
      <c r="Q657" s="5">
        <v>4629704.034</v>
      </c>
      <c r="R657" s="1" t="s">
        <v>55</v>
      </c>
      <c r="S657" s="1" t="s">
        <v>44</v>
      </c>
      <c r="T657" s="1" t="s">
        <v>89</v>
      </c>
      <c r="U657" s="1" t="s">
        <v>56</v>
      </c>
      <c r="V657" s="1" t="s">
        <v>90</v>
      </c>
      <c r="W657" s="1" t="s">
        <v>123</v>
      </c>
      <c r="X657" s="1" t="s">
        <v>214</v>
      </c>
      <c r="Y657" s="1" t="s">
        <v>205</v>
      </c>
      <c r="Z657" s="1" t="str">
        <f t="shared" si="30"/>
        <v>2240 8</v>
      </c>
      <c r="AA657" s="3">
        <f>IF(INDEX('CAMD Facility Data 2023'!$AA$2:$AE$10000,MATCH(Z657,'CAMD Facility Data 2023'!$AE$2:$AE$10000,0),1)&gt;0,INDEX('CAMD Facility Data 2023'!$AA$2:$AE$10000,MATCH(Z657,'CAMD Facility Data 2023'!$AE$2:$AE$10000,0),1),"")</f>
        <v>27956</v>
      </c>
      <c r="AB657" s="5">
        <f>IF(INDEX('CAMD Facility Data 2023'!$AC$2:$AE$10000,MATCH(Z657,'CAMD Facility Data 2023'!$AE$2:$AE$10000,0),1)&gt;0,INDEX('CAMD Facility Data 2023'!$AC$2:$AE$10000,MATCH(Z657,'CAMD Facility Data 2023'!$AE$2:$AE$10000,0),1),"")</f>
        <v>1192</v>
      </c>
      <c r="AC657" s="1" t="str">
        <f>IF(INDEX('CAMD Facility Data 2023'!$AE$2:$AG$10000,MATCH(Z657,'CAMD Facility Data 2023'!$AE$2:$AE$10000,0),3)&gt;0,INDEX('CAMD Facility Data 2023'!$AE$2:$AG$10000,MATCH(Z657,'CAMD Facility Data 2023'!$AE$2:$AE$10000,0),3),"")</f>
        <v/>
      </c>
      <c r="AD657" s="20">
        <f t="shared" si="31"/>
        <v>2.1495211428205332</v>
      </c>
      <c r="AE657" s="25">
        <f t="shared" si="32"/>
        <v>0.44337670026202075</v>
      </c>
    </row>
    <row r="658" spans="1:31" x14ac:dyDescent="0.2">
      <c r="A658" s="1" t="s">
        <v>203</v>
      </c>
      <c r="B658" s="1" t="s">
        <v>1861</v>
      </c>
      <c r="C658" s="1">
        <v>2241</v>
      </c>
      <c r="D658" s="1" t="s">
        <v>1162</v>
      </c>
      <c r="F658" s="1">
        <v>2023</v>
      </c>
      <c r="G658" s="5">
        <v>73</v>
      </c>
      <c r="H658" s="5">
        <v>60.47</v>
      </c>
      <c r="I658" s="5">
        <v>1429.46</v>
      </c>
      <c r="K658" s="5">
        <v>3.4000000000000002E-2</v>
      </c>
      <c r="L658" s="5">
        <v>3.0000000000000001E-3</v>
      </c>
      <c r="M658" s="5">
        <v>1359.7339999999999</v>
      </c>
      <c r="N658" s="6">
        <v>6.4299999999999996E-2</v>
      </c>
      <c r="O658" s="5">
        <v>0.67800000000000005</v>
      </c>
      <c r="P658" s="6">
        <v>6.0400000000000002E-2</v>
      </c>
      <c r="Q658" s="5">
        <v>20748.967000000001</v>
      </c>
      <c r="R658" s="1" t="s">
        <v>44</v>
      </c>
      <c r="S658" s="1" t="s">
        <v>94</v>
      </c>
      <c r="T658" s="1" t="s">
        <v>93</v>
      </c>
      <c r="V658" s="1" t="s">
        <v>183</v>
      </c>
      <c r="Y658" s="1" t="s">
        <v>1666</v>
      </c>
      <c r="Z658" s="1" t="str">
        <f t="shared" si="30"/>
        <v>2241 GT-2</v>
      </c>
      <c r="AA658" s="3">
        <f>IF(INDEX('CAMD Facility Data 2023'!$AA$2:$AE$10000,MATCH(Z658,'CAMD Facility Data 2023'!$AE$2:$AE$10000,0),1)&gt;0,INDEX('CAMD Facility Data 2023'!$AA$2:$AE$10000,MATCH(Z658,'CAMD Facility Data 2023'!$AE$2:$AE$10000,0),1),"")</f>
        <v>37707</v>
      </c>
      <c r="AB658" s="5">
        <f>IF(INDEX('CAMD Facility Data 2023'!$AC$2:$AE$10000,MATCH(Z658,'CAMD Facility Data 2023'!$AE$2:$AE$10000,0),1)&gt;0,INDEX('CAMD Facility Data 2023'!$AC$2:$AE$10000,MATCH(Z658,'CAMD Facility Data 2023'!$AE$2:$AE$10000,0),1),"")</f>
        <v>530</v>
      </c>
      <c r="AC658" s="1" t="str">
        <f>IF(INDEX('CAMD Facility Data 2023'!$AE$2:$AG$10000,MATCH(Z658,'CAMD Facility Data 2023'!$AE$2:$AE$10000,0),3)&gt;0,INDEX('CAMD Facility Data 2023'!$AE$2:$AG$10000,MATCH(Z658,'CAMD Facility Data 2023'!$AE$2:$AE$10000,0),3),"")</f>
        <v/>
      </c>
      <c r="AD658" s="20">
        <f t="shared" si="31"/>
        <v>0.94860996460201752</v>
      </c>
      <c r="AE658" s="25">
        <f t="shared" si="32"/>
        <v>4.4690632807788408E-3</v>
      </c>
    </row>
    <row r="659" spans="1:31" x14ac:dyDescent="0.2">
      <c r="A659" s="1" t="s">
        <v>203</v>
      </c>
      <c r="B659" s="1" t="s">
        <v>1861</v>
      </c>
      <c r="C659" s="1">
        <v>2241</v>
      </c>
      <c r="D659" s="1" t="s">
        <v>1164</v>
      </c>
      <c r="F659" s="1">
        <v>2023</v>
      </c>
      <c r="G659" s="5">
        <v>264</v>
      </c>
      <c r="H659" s="5">
        <v>214.94</v>
      </c>
      <c r="I659" s="5">
        <v>4703.76</v>
      </c>
      <c r="K659" s="5">
        <v>4.2999999999999997E-2</v>
      </c>
      <c r="L659" s="5">
        <v>1.4E-3</v>
      </c>
      <c r="M659" s="5">
        <v>4270.1959999999999</v>
      </c>
      <c r="N659" s="6">
        <v>6.0400000000000002E-2</v>
      </c>
      <c r="O659" s="5">
        <v>1.476</v>
      </c>
      <c r="P659" s="6">
        <v>4.0899999999999999E-2</v>
      </c>
      <c r="Q659" s="5">
        <v>70234.542000000001</v>
      </c>
      <c r="R659" s="1" t="s">
        <v>44</v>
      </c>
      <c r="S659" s="1" t="s">
        <v>94</v>
      </c>
      <c r="T659" s="1" t="s">
        <v>93</v>
      </c>
      <c r="V659" s="1" t="s">
        <v>183</v>
      </c>
      <c r="Y659" s="1" t="s">
        <v>1666</v>
      </c>
      <c r="Z659" s="1" t="str">
        <f t="shared" si="30"/>
        <v>2241 GT-3</v>
      </c>
      <c r="AA659" s="3">
        <f>IF(INDEX('CAMD Facility Data 2023'!$AA$2:$AE$10000,MATCH(Z659,'CAMD Facility Data 2023'!$AE$2:$AE$10000,0),1)&gt;0,INDEX('CAMD Facility Data 2023'!$AA$2:$AE$10000,MATCH(Z659,'CAMD Facility Data 2023'!$AE$2:$AE$10000,0),1),"")</f>
        <v>37707</v>
      </c>
      <c r="AB659" s="5">
        <f>IF(INDEX('CAMD Facility Data 2023'!$AC$2:$AE$10000,MATCH(Z659,'CAMD Facility Data 2023'!$AE$2:$AE$10000,0),1)&gt;0,INDEX('CAMD Facility Data 2023'!$AC$2:$AE$10000,MATCH(Z659,'CAMD Facility Data 2023'!$AE$2:$AE$10000,0),1),"")</f>
        <v>530</v>
      </c>
      <c r="AC659" s="1" t="str">
        <f>IF(INDEX('CAMD Facility Data 2023'!$AE$2:$AG$10000,MATCH(Z659,'CAMD Facility Data 2023'!$AE$2:$AE$10000,0),3)&gt;0,INDEX('CAMD Facility Data 2023'!$AE$2:$AG$10000,MATCH(Z659,'CAMD Facility Data 2023'!$AE$2:$AE$10000,0),3),"")</f>
        <v/>
      </c>
      <c r="AD659" s="20">
        <f t="shared" si="31"/>
        <v>0.62758303995101783</v>
      </c>
      <c r="AE659" s="25">
        <f t="shared" si="32"/>
        <v>1.5127626001550789E-2</v>
      </c>
    </row>
    <row r="660" spans="1:31" x14ac:dyDescent="0.2">
      <c r="A660" s="1" t="s">
        <v>203</v>
      </c>
      <c r="B660" s="1" t="s">
        <v>1864</v>
      </c>
      <c r="C660" s="1">
        <v>2250</v>
      </c>
      <c r="D660" s="1">
        <v>1</v>
      </c>
      <c r="F660" s="1">
        <v>2023</v>
      </c>
      <c r="G660" s="5">
        <v>304</v>
      </c>
      <c r="H660" s="5">
        <v>255.05</v>
      </c>
      <c r="I660" s="5">
        <v>4937.84</v>
      </c>
      <c r="K660" s="5">
        <v>0.23499999999999999</v>
      </c>
      <c r="L660" s="5">
        <v>7.4000000000000003E-3</v>
      </c>
      <c r="O660" s="5">
        <v>29.97</v>
      </c>
      <c r="P660" s="6">
        <v>0.71650000000000003</v>
      </c>
      <c r="Q660" s="5">
        <v>84147.4</v>
      </c>
      <c r="R660" s="1" t="s">
        <v>44</v>
      </c>
      <c r="S660" s="1" t="s">
        <v>94</v>
      </c>
      <c r="T660" s="1" t="s">
        <v>93</v>
      </c>
      <c r="V660" s="1" t="s">
        <v>95</v>
      </c>
      <c r="Y660" s="1" t="s">
        <v>1696</v>
      </c>
      <c r="Z660" s="1" t="str">
        <f t="shared" si="30"/>
        <v>2250 1</v>
      </c>
      <c r="AA660" s="3">
        <f>IF(INDEX('CAMD Facility Data 2023'!$AA$2:$AE$10000,MATCH(Z660,'CAMD Facility Data 2023'!$AE$2:$AE$10000,0),1)&gt;0,INDEX('CAMD Facility Data 2023'!$AA$2:$AE$10000,MATCH(Z660,'CAMD Facility Data 2023'!$AE$2:$AE$10000,0),1),"")</f>
        <v>26451</v>
      </c>
      <c r="AB660" s="5">
        <f>IF(INDEX('CAMD Facility Data 2023'!$AC$2:$AE$10000,MATCH(Z660,'CAMD Facility Data 2023'!$AE$2:$AE$10000,0),1)&gt;0,INDEX('CAMD Facility Data 2023'!$AC$2:$AE$10000,MATCH(Z660,'CAMD Facility Data 2023'!$AE$2:$AE$10000,0),1),"")</f>
        <v>548.79999999999995</v>
      </c>
      <c r="AC660" s="1" t="str">
        <f>IF(INDEX('CAMD Facility Data 2023'!$AE$2:$AG$10000,MATCH(Z660,'CAMD Facility Data 2023'!$AE$2:$AE$10000,0),3)&gt;0,INDEX('CAMD Facility Data 2023'!$AE$2:$AG$10000,MATCH(Z660,'CAMD Facility Data 2023'!$AE$2:$AE$10000,0),3),"")</f>
        <v/>
      </c>
      <c r="AD660" s="20">
        <f t="shared" si="31"/>
        <v>12.138910940816228</v>
      </c>
      <c r="AE660" s="25">
        <f t="shared" si="32"/>
        <v>1.7503403024614932E-2</v>
      </c>
    </row>
    <row r="661" spans="1:31" x14ac:dyDescent="0.2">
      <c r="A661" s="1" t="s">
        <v>203</v>
      </c>
      <c r="B661" s="1" t="s">
        <v>1869</v>
      </c>
      <c r="C661" s="1">
        <v>2265</v>
      </c>
      <c r="D661" s="1" t="s">
        <v>372</v>
      </c>
      <c r="F661" s="1">
        <v>2023</v>
      </c>
      <c r="G661" s="5">
        <v>153</v>
      </c>
      <c r="H661" s="5">
        <v>108.29</v>
      </c>
      <c r="I661" s="5">
        <v>1509.63</v>
      </c>
      <c r="K661" s="5">
        <v>5.9960000000000004</v>
      </c>
      <c r="L661" s="5">
        <v>0.4572</v>
      </c>
      <c r="O661" s="5">
        <v>14.509</v>
      </c>
      <c r="P661" s="6">
        <v>1.1555</v>
      </c>
      <c r="Q661" s="5">
        <v>24324.799999999999</v>
      </c>
      <c r="R661" s="1" t="s">
        <v>44</v>
      </c>
      <c r="S661" s="1" t="s">
        <v>94</v>
      </c>
      <c r="T661" s="1" t="s">
        <v>93</v>
      </c>
      <c r="Y661" s="1" t="s">
        <v>1696</v>
      </c>
      <c r="Z661" s="1" t="str">
        <f t="shared" si="30"/>
        <v>2265 1A</v>
      </c>
      <c r="AA661" s="3">
        <f>IF(INDEX('CAMD Facility Data 2023'!$AA$2:$AE$10000,MATCH(Z661,'CAMD Facility Data 2023'!$AE$2:$AE$10000,0),1)&gt;0,INDEX('CAMD Facility Data 2023'!$AA$2:$AE$10000,MATCH(Z661,'CAMD Facility Data 2023'!$AE$2:$AE$10000,0),1),"")</f>
        <v>26816</v>
      </c>
      <c r="AB661" s="5">
        <f>IF(INDEX('CAMD Facility Data 2023'!$AC$2:$AE$10000,MATCH(Z661,'CAMD Facility Data 2023'!$AE$2:$AE$10000,0),1)&gt;0,INDEX('CAMD Facility Data 2023'!$AC$2:$AE$10000,MATCH(Z661,'CAMD Facility Data 2023'!$AE$2:$AE$10000,0),1),"")</f>
        <v>487</v>
      </c>
      <c r="AC661" s="1" t="str">
        <f>IF(INDEX('CAMD Facility Data 2023'!$AE$2:$AG$10000,MATCH(Z661,'CAMD Facility Data 2023'!$AE$2:$AE$10000,0),3)&gt;0,INDEX('CAMD Facility Data 2023'!$AE$2:$AG$10000,MATCH(Z661,'CAMD Facility Data 2023'!$AE$2:$AE$10000,0),3),"")</f>
        <v/>
      </c>
      <c r="AD661" s="20">
        <f t="shared" si="31"/>
        <v>19.221928552029304</v>
      </c>
      <c r="AE661" s="25">
        <f t="shared" si="32"/>
        <v>5.7018555502423747E-3</v>
      </c>
    </row>
    <row r="662" spans="1:31" x14ac:dyDescent="0.2">
      <c r="A662" s="1" t="s">
        <v>203</v>
      </c>
      <c r="B662" s="1" t="s">
        <v>1869</v>
      </c>
      <c r="C662" s="1">
        <v>2265</v>
      </c>
      <c r="D662" s="1" t="s">
        <v>1199</v>
      </c>
      <c r="F662" s="1">
        <v>2023</v>
      </c>
      <c r="G662" s="5">
        <v>89</v>
      </c>
      <c r="H662" s="5">
        <v>53.58</v>
      </c>
      <c r="I662" s="5">
        <v>665.13</v>
      </c>
      <c r="K662" s="5">
        <v>2.919</v>
      </c>
      <c r="L662" s="5">
        <v>0.42220000000000002</v>
      </c>
      <c r="O662" s="5">
        <v>7.1440000000000001</v>
      </c>
      <c r="P662" s="6">
        <v>1.1234999999999999</v>
      </c>
      <c r="Q662" s="5">
        <v>12072.5</v>
      </c>
      <c r="R662" s="1" t="s">
        <v>44</v>
      </c>
      <c r="S662" s="1" t="s">
        <v>94</v>
      </c>
      <c r="T662" s="1" t="s">
        <v>93</v>
      </c>
      <c r="Y662" s="1" t="s">
        <v>1696</v>
      </c>
      <c r="Z662" s="1" t="str">
        <f t="shared" si="30"/>
        <v>2265 1B</v>
      </c>
      <c r="AA662" s="3">
        <f>IF(INDEX('CAMD Facility Data 2023'!$AA$2:$AE$10000,MATCH(Z662,'CAMD Facility Data 2023'!$AE$2:$AE$10000,0),1)&gt;0,INDEX('CAMD Facility Data 2023'!$AA$2:$AE$10000,MATCH(Z662,'CAMD Facility Data 2023'!$AE$2:$AE$10000,0),1),"")</f>
        <v>26816</v>
      </c>
      <c r="AB662" s="5">
        <f>IF(INDEX('CAMD Facility Data 2023'!$AC$2:$AE$10000,MATCH(Z662,'CAMD Facility Data 2023'!$AE$2:$AE$10000,0),1)&gt;0,INDEX('CAMD Facility Data 2023'!$AC$2:$AE$10000,MATCH(Z662,'CAMD Facility Data 2023'!$AE$2:$AE$10000,0),1),"")</f>
        <v>487</v>
      </c>
      <c r="AC662" s="1" t="str">
        <f>IF(INDEX('CAMD Facility Data 2023'!$AE$2:$AG$10000,MATCH(Z662,'CAMD Facility Data 2023'!$AE$2:$AE$10000,0),3)&gt;0,INDEX('CAMD Facility Data 2023'!$AE$2:$AG$10000,MATCH(Z662,'CAMD Facility Data 2023'!$AE$2:$AE$10000,0),3),"")</f>
        <v/>
      </c>
      <c r="AD662" s="20">
        <f t="shared" si="31"/>
        <v>21.481514891825658</v>
      </c>
      <c r="AE662" s="25">
        <f t="shared" si="32"/>
        <v>2.8298547626414636E-3</v>
      </c>
    </row>
    <row r="663" spans="1:31" x14ac:dyDescent="0.2">
      <c r="A663" s="1" t="s">
        <v>203</v>
      </c>
      <c r="B663" s="1" t="s">
        <v>1871</v>
      </c>
      <c r="C663" s="1">
        <v>2266</v>
      </c>
      <c r="D663" s="1" t="s">
        <v>372</v>
      </c>
      <c r="F663" s="1">
        <v>2023</v>
      </c>
      <c r="G663" s="5">
        <v>165</v>
      </c>
      <c r="H663" s="5">
        <v>135.84</v>
      </c>
      <c r="I663" s="5">
        <v>2098.91</v>
      </c>
      <c r="K663" s="5">
        <v>8.0549999999999997</v>
      </c>
      <c r="L663" s="5">
        <v>0.50049999999999994</v>
      </c>
      <c r="O663" s="5">
        <v>19.331</v>
      </c>
      <c r="P663" s="6">
        <v>1.2002999999999999</v>
      </c>
      <c r="Q663" s="5">
        <v>32215.200000000001</v>
      </c>
      <c r="R663" s="1" t="s">
        <v>94</v>
      </c>
      <c r="T663" s="1" t="s">
        <v>93</v>
      </c>
      <c r="Y663" s="1" t="s">
        <v>1696</v>
      </c>
      <c r="Z663" s="1" t="str">
        <f t="shared" si="30"/>
        <v>2266 1A</v>
      </c>
      <c r="AA663" s="3">
        <f>IF(INDEX('CAMD Facility Data 2023'!$AA$2:$AE$10000,MATCH(Z663,'CAMD Facility Data 2023'!$AE$2:$AE$10000,0),1)&gt;0,INDEX('CAMD Facility Data 2023'!$AA$2:$AE$10000,MATCH(Z663,'CAMD Facility Data 2023'!$AE$2:$AE$10000,0),1),"")</f>
        <v>26816</v>
      </c>
      <c r="AB663" s="5">
        <f>IF(INDEX('CAMD Facility Data 2023'!$AC$2:$AE$10000,MATCH(Z663,'CAMD Facility Data 2023'!$AE$2:$AE$10000,0),1)&gt;0,INDEX('CAMD Facility Data 2023'!$AC$2:$AE$10000,MATCH(Z663,'CAMD Facility Data 2023'!$AE$2:$AE$10000,0),1),"")</f>
        <v>477.7</v>
      </c>
      <c r="AC663" s="1" t="str">
        <f>IF(INDEX('CAMD Facility Data 2023'!$AE$2:$AG$10000,MATCH(Z663,'CAMD Facility Data 2023'!$AE$2:$AE$10000,0),3)&gt;0,INDEX('CAMD Facility Data 2023'!$AE$2:$AG$10000,MATCH(Z663,'CAMD Facility Data 2023'!$AE$2:$AE$10000,0),3),"")</f>
        <v/>
      </c>
      <c r="AD663" s="20">
        <f t="shared" si="31"/>
        <v>18.420037066858512</v>
      </c>
      <c r="AE663" s="25">
        <f t="shared" si="32"/>
        <v>7.6984179329607338E-3</v>
      </c>
    </row>
    <row r="664" spans="1:31" x14ac:dyDescent="0.2">
      <c r="A664" s="1" t="s">
        <v>203</v>
      </c>
      <c r="B664" s="1" t="s">
        <v>1871</v>
      </c>
      <c r="C664" s="1">
        <v>2266</v>
      </c>
      <c r="D664" s="1" t="s">
        <v>1199</v>
      </c>
      <c r="F664" s="1">
        <v>2023</v>
      </c>
      <c r="G664" s="5">
        <v>167</v>
      </c>
      <c r="H664" s="5">
        <v>136.43</v>
      </c>
      <c r="I664" s="5">
        <v>2098.98</v>
      </c>
      <c r="K664" s="5">
        <v>7.7</v>
      </c>
      <c r="L664" s="5">
        <v>0.50080000000000002</v>
      </c>
      <c r="O664" s="5">
        <v>18.474</v>
      </c>
      <c r="P664" s="6">
        <v>1.2002999999999999</v>
      </c>
      <c r="Q664" s="5">
        <v>30793.200000000001</v>
      </c>
      <c r="R664" s="1" t="s">
        <v>94</v>
      </c>
      <c r="T664" s="1" t="s">
        <v>93</v>
      </c>
      <c r="Y664" s="1" t="s">
        <v>1696</v>
      </c>
      <c r="Z664" s="1" t="str">
        <f t="shared" si="30"/>
        <v>2266 1B</v>
      </c>
      <c r="AA664" s="3">
        <f>IF(INDEX('CAMD Facility Data 2023'!$AA$2:$AE$10000,MATCH(Z664,'CAMD Facility Data 2023'!$AE$2:$AE$10000,0),1)&gt;0,INDEX('CAMD Facility Data 2023'!$AA$2:$AE$10000,MATCH(Z664,'CAMD Facility Data 2023'!$AE$2:$AE$10000,0),1),"")</f>
        <v>26816</v>
      </c>
      <c r="AB664" s="5">
        <f>IF(INDEX('CAMD Facility Data 2023'!$AC$2:$AE$10000,MATCH(Z664,'CAMD Facility Data 2023'!$AE$2:$AE$10000,0),1)&gt;0,INDEX('CAMD Facility Data 2023'!$AC$2:$AE$10000,MATCH(Z664,'CAMD Facility Data 2023'!$AE$2:$AE$10000,0),1),"")</f>
        <v>477.7</v>
      </c>
      <c r="AC664" s="1" t="str">
        <f>IF(INDEX('CAMD Facility Data 2023'!$AE$2:$AG$10000,MATCH(Z664,'CAMD Facility Data 2023'!$AE$2:$AE$10000,0),3)&gt;0,INDEX('CAMD Facility Data 2023'!$AE$2:$AG$10000,MATCH(Z664,'CAMD Facility Data 2023'!$AE$2:$AE$10000,0),3),"")</f>
        <v/>
      </c>
      <c r="AD664" s="20">
        <f t="shared" si="31"/>
        <v>17.602835663036331</v>
      </c>
      <c r="AE664" s="25">
        <f t="shared" si="32"/>
        <v>7.3586047298556728E-3</v>
      </c>
    </row>
    <row r="665" spans="1:31" x14ac:dyDescent="0.2">
      <c r="A665" s="1" t="s">
        <v>203</v>
      </c>
      <c r="B665" s="1" t="s">
        <v>1874</v>
      </c>
      <c r="C665" s="1">
        <v>2271</v>
      </c>
      <c r="D665" s="1" t="s">
        <v>372</v>
      </c>
      <c r="F665" s="1">
        <v>2023</v>
      </c>
      <c r="G665" s="5">
        <v>99</v>
      </c>
      <c r="H665" s="5">
        <v>74.459999999999994</v>
      </c>
      <c r="I665" s="5">
        <v>1069.1099999999999</v>
      </c>
      <c r="K665" s="5">
        <v>4.1219999999999999</v>
      </c>
      <c r="L665" s="5">
        <v>0.50129999999999997</v>
      </c>
      <c r="O665" s="5">
        <v>9.891</v>
      </c>
      <c r="P665" s="6">
        <v>1.2001999999999999</v>
      </c>
      <c r="Q665" s="5">
        <v>16484.400000000001</v>
      </c>
      <c r="R665" s="1" t="s">
        <v>94</v>
      </c>
      <c r="T665" s="1" t="s">
        <v>93</v>
      </c>
      <c r="Y665" s="1" t="s">
        <v>1696</v>
      </c>
      <c r="Z665" s="1" t="str">
        <f t="shared" si="30"/>
        <v>2271 1A</v>
      </c>
      <c r="AA665" s="3">
        <f>IF(INDEX('CAMD Facility Data 2023'!$AA$2:$AE$10000,MATCH(Z665,'CAMD Facility Data 2023'!$AE$2:$AE$10000,0),1)&gt;0,INDEX('CAMD Facility Data 2023'!$AA$2:$AE$10000,MATCH(Z665,'CAMD Facility Data 2023'!$AE$2:$AE$10000,0),1),"")</f>
        <v>26816</v>
      </c>
      <c r="AB665" s="5">
        <f>IF(INDEX('CAMD Facility Data 2023'!$AC$2:$AE$10000,MATCH(Z665,'CAMD Facility Data 2023'!$AE$2:$AE$10000,0),1)&gt;0,INDEX('CAMD Facility Data 2023'!$AC$2:$AE$10000,MATCH(Z665,'CAMD Facility Data 2023'!$AE$2:$AE$10000,0),1),"")</f>
        <v>454.8</v>
      </c>
      <c r="AC665" s="1" t="str">
        <f>IF(INDEX('CAMD Facility Data 2023'!$AE$2:$AG$10000,MATCH(Z665,'CAMD Facility Data 2023'!$AE$2:$AE$10000,0),3)&gt;0,INDEX('CAMD Facility Data 2023'!$AE$2:$AG$10000,MATCH(Z665,'CAMD Facility Data 2023'!$AE$2:$AE$10000,0),3),"")</f>
        <v/>
      </c>
      <c r="AD665" s="20">
        <f t="shared" si="31"/>
        <v>18.503241013553332</v>
      </c>
      <c r="AE665" s="25">
        <f t="shared" si="32"/>
        <v>4.1376007517981714E-3</v>
      </c>
    </row>
    <row r="666" spans="1:31" x14ac:dyDescent="0.2">
      <c r="A666" s="1" t="s">
        <v>203</v>
      </c>
      <c r="B666" s="1" t="s">
        <v>1874</v>
      </c>
      <c r="C666" s="1">
        <v>2271</v>
      </c>
      <c r="D666" s="1" t="s">
        <v>1199</v>
      </c>
      <c r="F666" s="1">
        <v>2023</v>
      </c>
      <c r="G666" s="5">
        <v>34</v>
      </c>
      <c r="H666" s="5">
        <v>20.29</v>
      </c>
      <c r="I666" s="5">
        <v>238.44</v>
      </c>
      <c r="K666" s="5">
        <v>1.034</v>
      </c>
      <c r="L666" s="5">
        <v>0.50160000000000005</v>
      </c>
      <c r="O666" s="5">
        <v>2.4820000000000002</v>
      </c>
      <c r="P666" s="6">
        <v>1.2</v>
      </c>
      <c r="Q666" s="5">
        <v>4136.3</v>
      </c>
      <c r="R666" s="1" t="s">
        <v>94</v>
      </c>
      <c r="T666" s="1" t="s">
        <v>93</v>
      </c>
      <c r="Y666" s="1" t="s">
        <v>1696</v>
      </c>
      <c r="Z666" s="1" t="str">
        <f t="shared" si="30"/>
        <v>2271 1B</v>
      </c>
      <c r="AA666" s="3">
        <f>IF(INDEX('CAMD Facility Data 2023'!$AA$2:$AE$10000,MATCH(Z666,'CAMD Facility Data 2023'!$AE$2:$AE$10000,0),1)&gt;0,INDEX('CAMD Facility Data 2023'!$AA$2:$AE$10000,MATCH(Z666,'CAMD Facility Data 2023'!$AE$2:$AE$10000,0),1),"")</f>
        <v>26816</v>
      </c>
      <c r="AB666" s="5">
        <f>IF(INDEX('CAMD Facility Data 2023'!$AC$2:$AE$10000,MATCH(Z666,'CAMD Facility Data 2023'!$AE$2:$AE$10000,0),1)&gt;0,INDEX('CAMD Facility Data 2023'!$AC$2:$AE$10000,MATCH(Z666,'CAMD Facility Data 2023'!$AE$2:$AE$10000,0),1),"")</f>
        <v>454.8</v>
      </c>
      <c r="AC666" s="1" t="str">
        <f>IF(INDEX('CAMD Facility Data 2023'!$AE$2:$AG$10000,MATCH(Z666,'CAMD Facility Data 2023'!$AE$2:$AE$10000,0),3)&gt;0,INDEX('CAMD Facility Data 2023'!$AE$2:$AG$10000,MATCH(Z666,'CAMD Facility Data 2023'!$AE$2:$AE$10000,0),3),"")</f>
        <v/>
      </c>
      <c r="AD666" s="20">
        <f t="shared" si="31"/>
        <v>20.818654588156349</v>
      </c>
      <c r="AE666" s="25">
        <f t="shared" si="32"/>
        <v>1.0382154030272729E-3</v>
      </c>
    </row>
    <row r="667" spans="1:31" x14ac:dyDescent="0.2">
      <c r="A667" s="1" t="s">
        <v>203</v>
      </c>
      <c r="B667" s="1" t="s">
        <v>1877</v>
      </c>
      <c r="C667" s="1">
        <v>2277</v>
      </c>
      <c r="D667" s="1">
        <v>1</v>
      </c>
      <c r="F667" s="1">
        <v>2023</v>
      </c>
      <c r="G667" s="5">
        <v>4853</v>
      </c>
      <c r="H667" s="5">
        <v>4836.07</v>
      </c>
      <c r="I667" s="5">
        <v>417716.36</v>
      </c>
      <c r="K667" s="5">
        <v>1290.5989999999999</v>
      </c>
      <c r="L667" s="5">
        <v>0.56489999999999996</v>
      </c>
      <c r="M667" s="5">
        <v>468599.67599999998</v>
      </c>
      <c r="N667" s="6">
        <v>0.105</v>
      </c>
      <c r="O667" s="5">
        <v>1095.8430000000001</v>
      </c>
      <c r="P667" s="6">
        <v>0.49099999999999999</v>
      </c>
      <c r="Q667" s="5">
        <v>4467957.8190000001</v>
      </c>
      <c r="R667" s="1" t="s">
        <v>55</v>
      </c>
      <c r="S667" s="1" t="s">
        <v>44</v>
      </c>
      <c r="T667" s="1" t="s">
        <v>606</v>
      </c>
      <c r="V667" s="1" t="s">
        <v>220</v>
      </c>
      <c r="W667" s="1" t="s">
        <v>232</v>
      </c>
      <c r="Y667" s="1" t="s">
        <v>205</v>
      </c>
      <c r="Z667" s="1" t="str">
        <f t="shared" si="30"/>
        <v>2277 1</v>
      </c>
      <c r="AA667" s="3">
        <f>IF(INDEX('CAMD Facility Data 2023'!$AA$2:$AE$10000,MATCH(Z667,'CAMD Facility Data 2023'!$AE$2:$AE$10000,0),1)&gt;0,INDEX('CAMD Facility Data 2023'!$AA$2:$AE$10000,MATCH(Z667,'CAMD Facility Data 2023'!$AE$2:$AE$10000,0),1),"")</f>
        <v>25020</v>
      </c>
      <c r="AB667" s="5">
        <f>IF(INDEX('CAMD Facility Data 2023'!$AC$2:$AE$10000,MATCH(Z667,'CAMD Facility Data 2023'!$AE$2:$AE$10000,0),1)&gt;0,INDEX('CAMD Facility Data 2023'!$AC$2:$AE$10000,MATCH(Z667,'CAMD Facility Data 2023'!$AE$2:$AE$10000,0),1),"")</f>
        <v>1495.5</v>
      </c>
      <c r="AC667" s="1" t="str">
        <f>IF(INDEX('CAMD Facility Data 2023'!$AE$2:$AG$10000,MATCH(Z667,'CAMD Facility Data 2023'!$AE$2:$AE$10000,0),3)&gt;0,INDEX('CAMD Facility Data 2023'!$AE$2:$AG$10000,MATCH(Z667,'CAMD Facility Data 2023'!$AE$2:$AE$10000,0),3),"")</f>
        <v/>
      </c>
      <c r="AD667" s="20">
        <f t="shared" si="31"/>
        <v>5.2468282544643454</v>
      </c>
      <c r="AE667" s="25">
        <f t="shared" si="32"/>
        <v>0.34105038242581626</v>
      </c>
    </row>
    <row r="668" spans="1:31" x14ac:dyDescent="0.2">
      <c r="A668" s="1" t="s">
        <v>203</v>
      </c>
      <c r="B668" s="1" t="s">
        <v>1877</v>
      </c>
      <c r="C668" s="1">
        <v>2277</v>
      </c>
      <c r="D668" s="1">
        <v>2</v>
      </c>
      <c r="F668" s="1">
        <v>2023</v>
      </c>
      <c r="G668" s="5">
        <v>4276</v>
      </c>
      <c r="H668" s="5">
        <v>4256.16</v>
      </c>
      <c r="I668" s="5">
        <v>396330.9</v>
      </c>
      <c r="K668" s="5">
        <v>1216.4169999999999</v>
      </c>
      <c r="L668" s="5">
        <v>0.56479999999999997</v>
      </c>
      <c r="M668" s="5">
        <v>433812.484</v>
      </c>
      <c r="N668" s="6">
        <v>0.105</v>
      </c>
      <c r="O668" s="5">
        <v>843.56200000000001</v>
      </c>
      <c r="P668" s="6">
        <v>0.39140000000000003</v>
      </c>
      <c r="Q668" s="5">
        <v>4136281.95</v>
      </c>
      <c r="R668" s="1" t="s">
        <v>55</v>
      </c>
      <c r="S668" s="1" t="s">
        <v>44</v>
      </c>
      <c r="T668" s="1" t="s">
        <v>606</v>
      </c>
      <c r="V668" s="1" t="s">
        <v>220</v>
      </c>
      <c r="W668" s="1" t="s">
        <v>232</v>
      </c>
      <c r="Y668" s="1" t="s">
        <v>205</v>
      </c>
      <c r="Z668" s="1" t="str">
        <f t="shared" si="30"/>
        <v>2277 2</v>
      </c>
      <c r="AA668" s="3">
        <f>IF(INDEX('CAMD Facility Data 2023'!$AA$2:$AE$10000,MATCH(Z668,'CAMD Facility Data 2023'!$AE$2:$AE$10000,0),1)&gt;0,INDEX('CAMD Facility Data 2023'!$AA$2:$AE$10000,MATCH(Z668,'CAMD Facility Data 2023'!$AE$2:$AE$10000,0),1),"")</f>
        <v>22463</v>
      </c>
      <c r="AB668" s="5">
        <f>IF(INDEX('CAMD Facility Data 2023'!$AC$2:$AE$10000,MATCH(Z668,'CAMD Facility Data 2023'!$AE$2:$AE$10000,0),1)&gt;0,INDEX('CAMD Facility Data 2023'!$AC$2:$AE$10000,MATCH(Z668,'CAMD Facility Data 2023'!$AE$2:$AE$10000,0),1),"")</f>
        <v>1619.7</v>
      </c>
      <c r="AC668" s="1" t="str">
        <f>IF(INDEX('CAMD Facility Data 2023'!$AE$2:$AG$10000,MATCH(Z668,'CAMD Facility Data 2023'!$AE$2:$AE$10000,0),3)&gt;0,INDEX('CAMD Facility Data 2023'!$AE$2:$AG$10000,MATCH(Z668,'CAMD Facility Data 2023'!$AE$2:$AE$10000,0),3),"")</f>
        <v/>
      </c>
      <c r="AD668" s="20">
        <f t="shared" si="31"/>
        <v>4.256857085834084</v>
      </c>
      <c r="AE668" s="25">
        <f t="shared" si="32"/>
        <v>0.29152207494876864</v>
      </c>
    </row>
    <row r="669" spans="1:31" x14ac:dyDescent="0.2">
      <c r="A669" s="1" t="s">
        <v>203</v>
      </c>
      <c r="B669" s="1" t="s">
        <v>1880</v>
      </c>
      <c r="C669" s="1">
        <v>2290</v>
      </c>
      <c r="D669" s="1">
        <v>1</v>
      </c>
      <c r="E669" s="1" t="s">
        <v>1881</v>
      </c>
      <c r="F669" s="1">
        <v>2023</v>
      </c>
      <c r="G669" s="5">
        <v>376</v>
      </c>
      <c r="H669" s="5">
        <v>306.97000000000003</v>
      </c>
      <c r="I669" s="5">
        <v>6547.3</v>
      </c>
      <c r="K669" s="5">
        <v>2.7789999999999999</v>
      </c>
      <c r="L669" s="5">
        <v>5.0099999999999999E-2</v>
      </c>
      <c r="O669" s="5">
        <v>66.024000000000001</v>
      </c>
      <c r="P669" s="6">
        <v>1.1995</v>
      </c>
      <c r="Q669" s="5">
        <v>110039.5</v>
      </c>
      <c r="R669" s="1" t="s">
        <v>94</v>
      </c>
      <c r="T669" s="1" t="s">
        <v>93</v>
      </c>
      <c r="Y669" s="1" t="s">
        <v>1696</v>
      </c>
      <c r="Z669" s="1" t="str">
        <f t="shared" si="30"/>
        <v>2290 1</v>
      </c>
      <c r="AA669" s="3">
        <f>IF(INDEX('CAMD Facility Data 2023'!$AA$2:$AE$10000,MATCH(Z669,'CAMD Facility Data 2023'!$AE$2:$AE$10000,0),1)&gt;0,INDEX('CAMD Facility Data 2023'!$AA$2:$AE$10000,MATCH(Z669,'CAMD Facility Data 2023'!$AE$2:$AE$10000,0),1),"")</f>
        <v>26816</v>
      </c>
      <c r="AB669" s="5">
        <f>IF(INDEX('CAMD Facility Data 2023'!$AC$2:$AE$10000,MATCH(Z669,'CAMD Facility Data 2023'!$AE$2:$AE$10000,0),1)&gt;0,INDEX('CAMD Facility Data 2023'!$AC$2:$AE$10000,MATCH(Z669,'CAMD Facility Data 2023'!$AE$2:$AE$10000,0),1),"")</f>
        <v>795</v>
      </c>
      <c r="AC669" s="1" t="str">
        <f>IF(INDEX('CAMD Facility Data 2023'!$AE$2:$AG$10000,MATCH(Z669,'CAMD Facility Data 2023'!$AE$2:$AE$10000,0),3)&gt;0,INDEX('CAMD Facility Data 2023'!$AE$2:$AG$10000,MATCH(Z669,'CAMD Facility Data 2023'!$AE$2:$AE$10000,0),3),"")</f>
        <v/>
      </c>
      <c r="AD669" s="20">
        <f t="shared" si="31"/>
        <v>20.168313656010874</v>
      </c>
      <c r="AE669" s="25">
        <f t="shared" si="32"/>
        <v>1.580073806036587E-2</v>
      </c>
    </row>
    <row r="670" spans="1:31" x14ac:dyDescent="0.2">
      <c r="A670" s="1" t="s">
        <v>203</v>
      </c>
      <c r="B670" s="1" t="s">
        <v>1880</v>
      </c>
      <c r="C670" s="1">
        <v>2290</v>
      </c>
      <c r="D670" s="1">
        <v>2</v>
      </c>
      <c r="E670" s="1" t="s">
        <v>1881</v>
      </c>
      <c r="F670" s="1">
        <v>2023</v>
      </c>
      <c r="G670" s="5">
        <v>235</v>
      </c>
      <c r="H670" s="5">
        <v>182.64</v>
      </c>
      <c r="I670" s="5">
        <v>4585.9799999999996</v>
      </c>
      <c r="K670" s="5">
        <v>1.94</v>
      </c>
      <c r="L670" s="5">
        <v>4.9599999999999998E-2</v>
      </c>
      <c r="O670" s="5">
        <v>46.116</v>
      </c>
      <c r="P670" s="6">
        <v>1.1989000000000001</v>
      </c>
      <c r="Q670" s="5">
        <v>76860.7</v>
      </c>
      <c r="R670" s="1" t="s">
        <v>94</v>
      </c>
      <c r="T670" s="1" t="s">
        <v>93</v>
      </c>
      <c r="Y670" s="1" t="s">
        <v>1696</v>
      </c>
      <c r="Z670" s="1" t="str">
        <f t="shared" si="30"/>
        <v>2290 2</v>
      </c>
      <c r="AA670" s="3">
        <f>IF(INDEX('CAMD Facility Data 2023'!$AA$2:$AE$10000,MATCH(Z670,'CAMD Facility Data 2023'!$AE$2:$AE$10000,0),1)&gt;0,INDEX('CAMD Facility Data 2023'!$AA$2:$AE$10000,MATCH(Z670,'CAMD Facility Data 2023'!$AE$2:$AE$10000,0),1),"")</f>
        <v>26816</v>
      </c>
      <c r="AB670" s="5">
        <f>IF(INDEX('CAMD Facility Data 2023'!$AC$2:$AE$10000,MATCH(Z670,'CAMD Facility Data 2023'!$AE$2:$AE$10000,0),1)&gt;0,INDEX('CAMD Facility Data 2023'!$AC$2:$AE$10000,MATCH(Z670,'CAMD Facility Data 2023'!$AE$2:$AE$10000,0),1),"")</f>
        <v>795</v>
      </c>
      <c r="AC670" s="1" t="str">
        <f>IF(INDEX('CAMD Facility Data 2023'!$AE$2:$AG$10000,MATCH(Z670,'CAMD Facility Data 2023'!$AE$2:$AE$10000,0),3)&gt;0,INDEX('CAMD Facility Data 2023'!$AE$2:$AG$10000,MATCH(Z670,'CAMD Facility Data 2023'!$AE$2:$AE$10000,0),3),"")</f>
        <v/>
      </c>
      <c r="AD670" s="20">
        <f t="shared" si="31"/>
        <v>20.11173184357542</v>
      </c>
      <c r="AE670" s="25">
        <f t="shared" si="32"/>
        <v>1.1036544039516384E-2</v>
      </c>
    </row>
    <row r="671" spans="1:31" x14ac:dyDescent="0.2">
      <c r="A671" s="1" t="s">
        <v>203</v>
      </c>
      <c r="B671" s="1" t="s">
        <v>1887</v>
      </c>
      <c r="C671" s="1">
        <v>2291</v>
      </c>
      <c r="D671" s="1">
        <v>1</v>
      </c>
      <c r="E671" s="1" t="s">
        <v>1888</v>
      </c>
      <c r="F671" s="1">
        <v>2023</v>
      </c>
      <c r="G671" s="5">
        <v>394</v>
      </c>
      <c r="H671" s="5">
        <v>384.93</v>
      </c>
      <c r="I671" s="5">
        <v>10686.45</v>
      </c>
      <c r="K671" s="5">
        <v>3.7999999999999999E-2</v>
      </c>
      <c r="L671" s="5">
        <v>1E-3</v>
      </c>
      <c r="M671" s="5">
        <v>7513.4120000000003</v>
      </c>
      <c r="N671" s="6">
        <v>5.8999999999999997E-2</v>
      </c>
      <c r="O671" s="5">
        <v>3.5019999999999998</v>
      </c>
      <c r="P671" s="6">
        <v>5.5500000000000001E-2</v>
      </c>
      <c r="Q671" s="5">
        <v>126747.609</v>
      </c>
      <c r="R671" s="1" t="s">
        <v>44</v>
      </c>
      <c r="T671" s="1" t="s">
        <v>43</v>
      </c>
      <c r="W671" s="1" t="s">
        <v>58</v>
      </c>
      <c r="Y671" s="1" t="s">
        <v>1666</v>
      </c>
      <c r="Z671" s="1" t="str">
        <f t="shared" si="30"/>
        <v>2291 1</v>
      </c>
      <c r="AA671" s="3">
        <f>IF(INDEX('CAMD Facility Data 2023'!$AA$2:$AE$10000,MATCH(Z671,'CAMD Facility Data 2023'!$AE$2:$AE$10000,0),1)&gt;0,INDEX('CAMD Facility Data 2023'!$AA$2:$AE$10000,MATCH(Z671,'CAMD Facility Data 2023'!$AE$2:$AE$10000,0),1),"")</f>
        <v>19906</v>
      </c>
      <c r="AB671" s="5">
        <f>IF(INDEX('CAMD Facility Data 2023'!$AC$2:$AE$10000,MATCH(Z671,'CAMD Facility Data 2023'!$AE$2:$AE$10000,0),1)&gt;0,INDEX('CAMD Facility Data 2023'!$AC$2:$AE$10000,MATCH(Z671,'CAMD Facility Data 2023'!$AE$2:$AE$10000,0),1),"")</f>
        <v>1010</v>
      </c>
      <c r="AC671" s="1" t="str">
        <f>IF(INDEX('CAMD Facility Data 2023'!$AE$2:$AG$10000,MATCH(Z671,'CAMD Facility Data 2023'!$AE$2:$AE$10000,0),3)&gt;0,INDEX('CAMD Facility Data 2023'!$AE$2:$AG$10000,MATCH(Z671,'CAMD Facility Data 2023'!$AE$2:$AE$10000,0),3),"")</f>
        <v/>
      </c>
      <c r="AD671" s="20">
        <f t="shared" si="31"/>
        <v>0.65540942034071181</v>
      </c>
      <c r="AE671" s="25">
        <f t="shared" si="32"/>
        <v>1.4325648650481486E-2</v>
      </c>
    </row>
    <row r="672" spans="1:31" x14ac:dyDescent="0.2">
      <c r="A672" s="1" t="s">
        <v>203</v>
      </c>
      <c r="B672" s="1" t="s">
        <v>1887</v>
      </c>
      <c r="C672" s="1">
        <v>2291</v>
      </c>
      <c r="D672" s="1">
        <v>2</v>
      </c>
      <c r="E672" s="1" t="s">
        <v>1888</v>
      </c>
      <c r="F672" s="1">
        <v>2023</v>
      </c>
      <c r="G672" s="5">
        <v>662</v>
      </c>
      <c r="H672" s="5">
        <v>650.24</v>
      </c>
      <c r="I672" s="5">
        <v>27763.71</v>
      </c>
      <c r="K672" s="5">
        <v>9.6000000000000002E-2</v>
      </c>
      <c r="L672" s="5">
        <v>1E-3</v>
      </c>
      <c r="M672" s="5">
        <v>18904.152999999998</v>
      </c>
      <c r="N672" s="6">
        <v>5.8999999999999997E-2</v>
      </c>
      <c r="O672" s="5">
        <v>10.244999999999999</v>
      </c>
      <c r="P672" s="6">
        <v>6.0499999999999998E-2</v>
      </c>
      <c r="Q672" s="5">
        <v>318907.28700000001</v>
      </c>
      <c r="R672" s="1" t="s">
        <v>44</v>
      </c>
      <c r="T672" s="1" t="s">
        <v>43</v>
      </c>
      <c r="V672" s="1" t="s">
        <v>1233</v>
      </c>
      <c r="W672" s="1" t="s">
        <v>58</v>
      </c>
      <c r="Y672" s="1" t="s">
        <v>1666</v>
      </c>
      <c r="Z672" s="1" t="str">
        <f t="shared" si="30"/>
        <v>2291 2</v>
      </c>
      <c r="AA672" s="3">
        <f>IF(INDEX('CAMD Facility Data 2023'!$AA$2:$AE$10000,MATCH(Z672,'CAMD Facility Data 2023'!$AE$2:$AE$10000,0),1)&gt;0,INDEX('CAMD Facility Data 2023'!$AA$2:$AE$10000,MATCH(Z672,'CAMD Facility Data 2023'!$AE$2:$AE$10000,0),1),"")</f>
        <v>20919</v>
      </c>
      <c r="AB672" s="5">
        <f>IF(INDEX('CAMD Facility Data 2023'!$AC$2:$AE$10000,MATCH(Z672,'CAMD Facility Data 2023'!$AE$2:$AE$10000,0),1)&gt;0,INDEX('CAMD Facility Data 2023'!$AC$2:$AE$10000,MATCH(Z672,'CAMD Facility Data 2023'!$AE$2:$AE$10000,0),1),"")</f>
        <v>1511</v>
      </c>
      <c r="AC672" s="1" t="str">
        <f>IF(INDEX('CAMD Facility Data 2023'!$AE$2:$AG$10000,MATCH(Z672,'CAMD Facility Data 2023'!$AE$2:$AE$10000,0),3)&gt;0,INDEX('CAMD Facility Data 2023'!$AE$2:$AG$10000,MATCH(Z672,'CAMD Facility Data 2023'!$AE$2:$AE$10000,0),3),"")</f>
        <v/>
      </c>
      <c r="AD672" s="20">
        <f t="shared" si="31"/>
        <v>0.73801375968845662</v>
      </c>
      <c r="AE672" s="25">
        <f t="shared" si="32"/>
        <v>2.4093276928098057E-2</v>
      </c>
    </row>
    <row r="673" spans="1:31" x14ac:dyDescent="0.2">
      <c r="A673" s="1" t="s">
        <v>203</v>
      </c>
      <c r="B673" s="1" t="s">
        <v>1887</v>
      </c>
      <c r="C673" s="1">
        <v>2291</v>
      </c>
      <c r="D673" s="1">
        <v>3</v>
      </c>
      <c r="E673" s="1" t="s">
        <v>1888</v>
      </c>
      <c r="F673" s="1">
        <v>2023</v>
      </c>
      <c r="G673" s="5">
        <v>3202</v>
      </c>
      <c r="H673" s="5">
        <v>3155.47</v>
      </c>
      <c r="I673" s="5">
        <v>136742.01999999999</v>
      </c>
      <c r="K673" s="5">
        <v>0.47799999999999998</v>
      </c>
      <c r="L673" s="5">
        <v>6.9999999999999999E-4</v>
      </c>
      <c r="M673" s="5">
        <v>94172.971999999994</v>
      </c>
      <c r="N673" s="6">
        <v>5.0700000000000002E-2</v>
      </c>
      <c r="O673" s="5">
        <v>49.697000000000003</v>
      </c>
      <c r="P673" s="6">
        <v>4.5999999999999999E-2</v>
      </c>
      <c r="Q673" s="5">
        <v>1589072.987</v>
      </c>
      <c r="R673" s="1" t="s">
        <v>44</v>
      </c>
      <c r="T673" s="1" t="s">
        <v>43</v>
      </c>
      <c r="V673" s="1" t="s">
        <v>1233</v>
      </c>
      <c r="W673" s="1" t="s">
        <v>58</v>
      </c>
      <c r="Y673" s="1" t="s">
        <v>1666</v>
      </c>
      <c r="Z673" s="1" t="str">
        <f t="shared" si="30"/>
        <v>2291 3</v>
      </c>
      <c r="AA673" s="3">
        <f>IF(INDEX('CAMD Facility Data 2023'!$AA$2:$AE$10000,MATCH(Z673,'CAMD Facility Data 2023'!$AE$2:$AE$10000,0),1)&gt;0,INDEX('CAMD Facility Data 2023'!$AA$2:$AE$10000,MATCH(Z673,'CAMD Facility Data 2023'!$AE$2:$AE$10000,0),1),"")</f>
        <v>21651</v>
      </c>
      <c r="AB673" s="5">
        <f>IF(INDEX('CAMD Facility Data 2023'!$AC$2:$AE$10000,MATCH(Z673,'CAMD Facility Data 2023'!$AE$2:$AE$10000,0),1)&gt;0,INDEX('CAMD Facility Data 2023'!$AC$2:$AE$10000,MATCH(Z673,'CAMD Facility Data 2023'!$AE$2:$AE$10000,0),1),"")</f>
        <v>1357</v>
      </c>
      <c r="AC673" s="1" t="str">
        <f>IF(INDEX('CAMD Facility Data 2023'!$AE$2:$AG$10000,MATCH(Z673,'CAMD Facility Data 2023'!$AE$2:$AE$10000,0),3)&gt;0,INDEX('CAMD Facility Data 2023'!$AE$2:$AG$10000,MATCH(Z673,'CAMD Facility Data 2023'!$AE$2:$AE$10000,0),3),"")</f>
        <v/>
      </c>
      <c r="AD673" s="20">
        <f t="shared" si="31"/>
        <v>0.72687239811142179</v>
      </c>
      <c r="AE673" s="25">
        <f t="shared" si="32"/>
        <v>0.13367798519767282</v>
      </c>
    </row>
    <row r="674" spans="1:31" x14ac:dyDescent="0.2">
      <c r="A674" s="1" t="s">
        <v>203</v>
      </c>
      <c r="B674" s="1" t="s">
        <v>1887</v>
      </c>
      <c r="C674" s="1">
        <v>2291</v>
      </c>
      <c r="D674" s="1">
        <v>4</v>
      </c>
      <c r="F674" s="1">
        <v>2023</v>
      </c>
      <c r="G674" s="5">
        <v>7010</v>
      </c>
      <c r="H674" s="5">
        <v>6996.96</v>
      </c>
      <c r="I674" s="5">
        <v>541543.18999999994</v>
      </c>
      <c r="K674" s="5">
        <v>1638.2739999999999</v>
      </c>
      <c r="L674" s="5">
        <v>0.57420000000000004</v>
      </c>
      <c r="M674" s="5">
        <v>611616.35499999998</v>
      </c>
      <c r="N674" s="6">
        <v>0.1022</v>
      </c>
      <c r="O674" s="5">
        <v>912.12599999999998</v>
      </c>
      <c r="P674" s="6">
        <v>0.30149999999999999</v>
      </c>
      <c r="Q674" s="5">
        <v>5842470.0489999996</v>
      </c>
      <c r="R674" s="1" t="s">
        <v>55</v>
      </c>
      <c r="S674" s="1" t="s">
        <v>284</v>
      </c>
      <c r="T674" s="1" t="s">
        <v>43</v>
      </c>
      <c r="W674" s="1" t="s">
        <v>58</v>
      </c>
      <c r="X674" s="1" t="s">
        <v>214</v>
      </c>
      <c r="Y674" s="1" t="s">
        <v>205</v>
      </c>
      <c r="Z674" s="1" t="str">
        <f t="shared" si="30"/>
        <v>2291 4</v>
      </c>
      <c r="AA674" s="3">
        <f>IF(INDEX('CAMD Facility Data 2023'!$AA$2:$AE$10000,MATCH(Z674,'CAMD Facility Data 2023'!$AE$2:$AE$10000,0),1)&gt;0,INDEX('CAMD Facility Data 2023'!$AA$2:$AE$10000,MATCH(Z674,'CAMD Facility Data 2023'!$AE$2:$AE$10000,0),1),"")</f>
        <v>23085</v>
      </c>
      <c r="AB674" s="5">
        <f>IF(INDEX('CAMD Facility Data 2023'!$AC$2:$AE$10000,MATCH(Z674,'CAMD Facility Data 2023'!$AE$2:$AE$10000,0),1)&gt;0,INDEX('CAMD Facility Data 2023'!$AC$2:$AE$10000,MATCH(Z674,'CAMD Facility Data 2023'!$AE$2:$AE$10000,0),1),"")</f>
        <v>1691</v>
      </c>
      <c r="AC674" s="1" t="str">
        <f>IF(INDEX('CAMD Facility Data 2023'!$AE$2:$AG$10000,MATCH(Z674,'CAMD Facility Data 2023'!$AE$2:$AE$10000,0),3)&gt;0,INDEX('CAMD Facility Data 2023'!$AE$2:$AG$10000,MATCH(Z674,'CAMD Facility Data 2023'!$AE$2:$AE$10000,0),3),"")</f>
        <v/>
      </c>
      <c r="AD674" s="20">
        <f t="shared" si="31"/>
        <v>3.368617745890222</v>
      </c>
      <c r="AE674" s="25">
        <f t="shared" si="32"/>
        <v>0.39441078399207191</v>
      </c>
    </row>
    <row r="675" spans="1:31" x14ac:dyDescent="0.2">
      <c r="A675" s="1" t="s">
        <v>203</v>
      </c>
      <c r="B675" s="1" t="s">
        <v>1887</v>
      </c>
      <c r="C675" s="1">
        <v>2291</v>
      </c>
      <c r="D675" s="1">
        <v>5</v>
      </c>
      <c r="F675" s="1">
        <v>2023</v>
      </c>
      <c r="G675" s="5">
        <v>8222</v>
      </c>
      <c r="H675" s="5">
        <v>8209.67</v>
      </c>
      <c r="I675" s="5">
        <v>1007619.66</v>
      </c>
      <c r="K675" s="5">
        <v>2675.6550000000002</v>
      </c>
      <c r="L675" s="5">
        <v>0.54890000000000005</v>
      </c>
      <c r="M675" s="5">
        <v>1005436.7120000001</v>
      </c>
      <c r="N675" s="6">
        <v>0.1041</v>
      </c>
      <c r="O675" s="5">
        <v>1501.114</v>
      </c>
      <c r="P675" s="6">
        <v>0.31430000000000002</v>
      </c>
      <c r="Q675" s="5">
        <v>9596058.9879999999</v>
      </c>
      <c r="R675" s="1" t="s">
        <v>55</v>
      </c>
      <c r="S675" s="1" t="s">
        <v>284</v>
      </c>
      <c r="T675" s="1" t="s">
        <v>89</v>
      </c>
      <c r="V675" s="1" t="s">
        <v>90</v>
      </c>
      <c r="W675" s="1" t="s">
        <v>58</v>
      </c>
      <c r="X675" s="1" t="s">
        <v>214</v>
      </c>
      <c r="Y675" s="1" t="s">
        <v>205</v>
      </c>
      <c r="Z675" s="1" t="str">
        <f t="shared" si="30"/>
        <v>2291 5</v>
      </c>
      <c r="AA675" s="3">
        <f>IF(INDEX('CAMD Facility Data 2023'!$AA$2:$AE$10000,MATCH(Z675,'CAMD Facility Data 2023'!$AE$2:$AE$10000,0),1)&gt;0,INDEX('CAMD Facility Data 2023'!$AA$2:$AE$10000,MATCH(Z675,'CAMD Facility Data 2023'!$AE$2:$AE$10000,0),1),"")</f>
        <v>24959</v>
      </c>
      <c r="AB675" s="5">
        <f>IF(INDEX('CAMD Facility Data 2023'!$AC$2:$AE$10000,MATCH(Z675,'CAMD Facility Data 2023'!$AE$2:$AE$10000,0),1)&gt;0,INDEX('CAMD Facility Data 2023'!$AC$2:$AE$10000,MATCH(Z675,'CAMD Facility Data 2023'!$AE$2:$AE$10000,0),1),"")</f>
        <v>2586</v>
      </c>
      <c r="AC675" s="1" t="str">
        <f>IF(INDEX('CAMD Facility Data 2023'!$AE$2:$AG$10000,MATCH(Z675,'CAMD Facility Data 2023'!$AE$2:$AE$10000,0),3)&gt;0,INDEX('CAMD Facility Data 2023'!$AE$2:$AG$10000,MATCH(Z675,'CAMD Facility Data 2023'!$AE$2:$AE$10000,0),3),"")</f>
        <v/>
      </c>
      <c r="AD675" s="20">
        <f t="shared" si="31"/>
        <v>2.9795250322924423</v>
      </c>
      <c r="AE675" s="25">
        <f t="shared" si="32"/>
        <v>0.42360422418572785</v>
      </c>
    </row>
    <row r="676" spans="1:31" x14ac:dyDescent="0.2">
      <c r="A676" s="1" t="s">
        <v>203</v>
      </c>
      <c r="B676" s="1" t="s">
        <v>1894</v>
      </c>
      <c r="C676" s="1">
        <v>2292</v>
      </c>
      <c r="D676" s="1">
        <v>1</v>
      </c>
      <c r="F676" s="1">
        <v>2023</v>
      </c>
      <c r="G676" s="5">
        <v>340</v>
      </c>
      <c r="H676" s="5">
        <v>284.85000000000002</v>
      </c>
      <c r="I676" s="5">
        <v>7507.02</v>
      </c>
      <c r="K676" s="5">
        <v>0.04</v>
      </c>
      <c r="L676" s="5">
        <v>1E-3</v>
      </c>
      <c r="O676" s="5">
        <v>16.581</v>
      </c>
      <c r="P676" s="6">
        <v>0.26300000000000001</v>
      </c>
      <c r="Q676" s="5">
        <v>122967.016</v>
      </c>
      <c r="R676" s="1" t="s">
        <v>94</v>
      </c>
      <c r="S676" s="1" t="s">
        <v>44</v>
      </c>
      <c r="T676" s="1" t="s">
        <v>93</v>
      </c>
      <c r="Y676" s="1" t="s">
        <v>1696</v>
      </c>
      <c r="Z676" s="1" t="str">
        <f t="shared" si="30"/>
        <v>2292 1</v>
      </c>
      <c r="AA676" s="3">
        <f>IF(INDEX('CAMD Facility Data 2023'!$AA$2:$AE$10000,MATCH(Z676,'CAMD Facility Data 2023'!$AE$2:$AE$10000,0),1)&gt;0,INDEX('CAMD Facility Data 2023'!$AA$2:$AE$10000,MATCH(Z676,'CAMD Facility Data 2023'!$AE$2:$AE$10000,0),1),"")</f>
        <v>26451</v>
      </c>
      <c r="AB676" s="5">
        <f>IF(INDEX('CAMD Facility Data 2023'!$AC$2:$AE$10000,MATCH(Z676,'CAMD Facility Data 2023'!$AE$2:$AE$10000,0),1)&gt;0,INDEX('CAMD Facility Data 2023'!$AC$2:$AE$10000,MATCH(Z676,'CAMD Facility Data 2023'!$AE$2:$AE$10000,0),1),"")</f>
        <v>1001</v>
      </c>
      <c r="AC676" s="1" t="str">
        <f>IF(INDEX('CAMD Facility Data 2023'!$AE$2:$AG$10000,MATCH(Z676,'CAMD Facility Data 2023'!$AE$2:$AE$10000,0),3)&gt;0,INDEX('CAMD Facility Data 2023'!$AE$2:$AG$10000,MATCH(Z676,'CAMD Facility Data 2023'!$AE$2:$AE$10000,0),3),"")</f>
        <v/>
      </c>
      <c r="AD676" s="20">
        <f t="shared" si="31"/>
        <v>4.4174652525236375</v>
      </c>
      <c r="AE676" s="25">
        <f t="shared" si="32"/>
        <v>1.4023307286320985E-2</v>
      </c>
    </row>
    <row r="677" spans="1:31" x14ac:dyDescent="0.2">
      <c r="A677" s="1" t="s">
        <v>203</v>
      </c>
      <c r="B677" s="1" t="s">
        <v>1894</v>
      </c>
      <c r="C677" s="1">
        <v>2292</v>
      </c>
      <c r="D677" s="1">
        <v>2</v>
      </c>
      <c r="F677" s="1">
        <v>2023</v>
      </c>
      <c r="G677" s="5">
        <v>1127</v>
      </c>
      <c r="H677" s="5">
        <v>978.3</v>
      </c>
      <c r="I677" s="5">
        <v>27317.48</v>
      </c>
      <c r="K677" s="5">
        <v>0.13300000000000001</v>
      </c>
      <c r="L677" s="5">
        <v>1E-3</v>
      </c>
      <c r="O677" s="5">
        <v>63.061999999999998</v>
      </c>
      <c r="P677" s="6">
        <v>0.27710000000000001</v>
      </c>
      <c r="Q677" s="5">
        <v>433322.53700000001</v>
      </c>
      <c r="R677" s="1" t="s">
        <v>44</v>
      </c>
      <c r="S677" s="1" t="s">
        <v>94</v>
      </c>
      <c r="T677" s="1" t="s">
        <v>93</v>
      </c>
      <c r="Y677" s="1" t="s">
        <v>1696</v>
      </c>
      <c r="Z677" s="1" t="str">
        <f t="shared" si="30"/>
        <v>2292 2</v>
      </c>
      <c r="AA677" s="3">
        <f>IF(INDEX('CAMD Facility Data 2023'!$AA$2:$AE$10000,MATCH(Z677,'CAMD Facility Data 2023'!$AE$2:$AE$10000,0),1)&gt;0,INDEX('CAMD Facility Data 2023'!$AA$2:$AE$10000,MATCH(Z677,'CAMD Facility Data 2023'!$AE$2:$AE$10000,0),1),"")</f>
        <v>26451</v>
      </c>
      <c r="AB677" s="5">
        <f>IF(INDEX('CAMD Facility Data 2023'!$AC$2:$AE$10000,MATCH(Z677,'CAMD Facility Data 2023'!$AE$2:$AE$10000,0),1)&gt;0,INDEX('CAMD Facility Data 2023'!$AC$2:$AE$10000,MATCH(Z677,'CAMD Facility Data 2023'!$AE$2:$AE$10000,0),1),"")</f>
        <v>1001</v>
      </c>
      <c r="AC677" s="1" t="str">
        <f>IF(INDEX('CAMD Facility Data 2023'!$AE$2:$AG$10000,MATCH(Z677,'CAMD Facility Data 2023'!$AE$2:$AE$10000,0),3)&gt;0,INDEX('CAMD Facility Data 2023'!$AE$2:$AG$10000,MATCH(Z677,'CAMD Facility Data 2023'!$AE$2:$AE$10000,0),3),"")</f>
        <v/>
      </c>
      <c r="AD677" s="20">
        <f t="shared" si="31"/>
        <v>4.6169705258318121</v>
      </c>
      <c r="AE677" s="25">
        <f t="shared" si="32"/>
        <v>4.9416626410119562E-2</v>
      </c>
    </row>
    <row r="678" spans="1:31" x14ac:dyDescent="0.2">
      <c r="A678" s="1" t="s">
        <v>203</v>
      </c>
      <c r="B678" s="1" t="s">
        <v>1894</v>
      </c>
      <c r="C678" s="1">
        <v>2292</v>
      </c>
      <c r="D678" s="1" t="s">
        <v>101</v>
      </c>
      <c r="F678" s="1">
        <v>2023</v>
      </c>
      <c r="G678" s="5">
        <v>1568</v>
      </c>
      <c r="H678" s="5">
        <v>1352.11</v>
      </c>
      <c r="I678" s="5">
        <v>87838.18</v>
      </c>
      <c r="K678" s="5">
        <v>0.34799999999999998</v>
      </c>
      <c r="L678" s="5">
        <v>1E-3</v>
      </c>
      <c r="M678" s="5">
        <v>68678.759000000005</v>
      </c>
      <c r="N678" s="6">
        <v>5.9499999999999997E-2</v>
      </c>
      <c r="O678" s="5">
        <v>30.812999999999999</v>
      </c>
      <c r="P678" s="6">
        <v>5.3900000000000003E-2</v>
      </c>
      <c r="Q678" s="5">
        <v>1145876.9069999999</v>
      </c>
      <c r="R678" s="1" t="s">
        <v>44</v>
      </c>
      <c r="S678" s="1" t="s">
        <v>94</v>
      </c>
      <c r="T678" s="1" t="s">
        <v>93</v>
      </c>
      <c r="V678" s="1" t="s">
        <v>183</v>
      </c>
      <c r="Y678" s="1" t="s">
        <v>1666</v>
      </c>
      <c r="Z678" s="1" t="str">
        <f t="shared" si="30"/>
        <v>2292 CT3</v>
      </c>
      <c r="AA678" s="3">
        <f>IF(INDEX('CAMD Facility Data 2023'!$AA$2:$AE$10000,MATCH(Z678,'CAMD Facility Data 2023'!$AE$2:$AE$10000,0),1)&gt;0,INDEX('CAMD Facility Data 2023'!$AA$2:$AE$10000,MATCH(Z678,'CAMD Facility Data 2023'!$AE$2:$AE$10000,0),1),"")</f>
        <v>35217</v>
      </c>
      <c r="AB678" s="5">
        <f>IF(INDEX('CAMD Facility Data 2023'!$AC$2:$AE$10000,MATCH(Z678,'CAMD Facility Data 2023'!$AE$2:$AE$10000,0),1)&gt;0,INDEX('CAMD Facility Data 2023'!$AC$2:$AE$10000,MATCH(Z678,'CAMD Facility Data 2023'!$AE$2:$AE$10000,0),1),"")</f>
        <v>1418</v>
      </c>
      <c r="AC678" s="1" t="str">
        <f>IF(INDEX('CAMD Facility Data 2023'!$AE$2:$AG$10000,MATCH(Z678,'CAMD Facility Data 2023'!$AE$2:$AE$10000,0),3)&gt;0,INDEX('CAMD Facility Data 2023'!$AE$2:$AG$10000,MATCH(Z678,'CAMD Facility Data 2023'!$AE$2:$AE$10000,0),3),"")</f>
        <v/>
      </c>
      <c r="AD678" s="20">
        <f t="shared" si="31"/>
        <v>0.70158557474665351</v>
      </c>
      <c r="AE678" s="25">
        <f t="shared" si="32"/>
        <v>9.2248142521784482E-2</v>
      </c>
    </row>
    <row r="679" spans="1:31" x14ac:dyDescent="0.2">
      <c r="A679" s="1" t="s">
        <v>203</v>
      </c>
      <c r="B679" s="1" t="s">
        <v>1894</v>
      </c>
      <c r="C679" s="1">
        <v>2292</v>
      </c>
      <c r="D679" s="1" t="s">
        <v>862</v>
      </c>
      <c r="F679" s="1">
        <v>2023</v>
      </c>
      <c r="G679" s="5">
        <v>760</v>
      </c>
      <c r="H679" s="5">
        <v>615.08000000000004</v>
      </c>
      <c r="I679" s="5">
        <v>10572.37</v>
      </c>
      <c r="K679" s="5">
        <v>3.6999999999999998E-2</v>
      </c>
      <c r="L679" s="5">
        <v>1E-3</v>
      </c>
      <c r="M679" s="5">
        <v>7366.2510000000002</v>
      </c>
      <c r="N679" s="6">
        <v>6.0299999999999999E-2</v>
      </c>
      <c r="O679" s="5">
        <v>4.6950000000000003</v>
      </c>
      <c r="P679" s="6">
        <v>7.8799999999999995E-2</v>
      </c>
      <c r="Q679" s="5">
        <v>122421.87699999999</v>
      </c>
      <c r="R679" s="1" t="s">
        <v>44</v>
      </c>
      <c r="S679" s="1" t="s">
        <v>94</v>
      </c>
      <c r="T679" s="1" t="s">
        <v>93</v>
      </c>
      <c r="V679" s="1" t="s">
        <v>95</v>
      </c>
      <c r="Y679" s="1" t="s">
        <v>1666</v>
      </c>
      <c r="Z679" s="1" t="str">
        <f t="shared" si="30"/>
        <v>2292 CT4A</v>
      </c>
      <c r="AA679" s="3">
        <f>IF(INDEX('CAMD Facility Data 2023'!$AA$2:$AE$10000,MATCH(Z679,'CAMD Facility Data 2023'!$AE$2:$AE$10000,0),1)&gt;0,INDEX('CAMD Facility Data 2023'!$AA$2:$AE$10000,MATCH(Z679,'CAMD Facility Data 2023'!$AE$2:$AE$10000,0),1),"")</f>
        <v>36665</v>
      </c>
      <c r="AB679" s="5">
        <f>IF(INDEX('CAMD Facility Data 2023'!$AC$2:$AE$10000,MATCH(Z679,'CAMD Facility Data 2023'!$AE$2:$AE$10000,0),1)&gt;0,INDEX('CAMD Facility Data 2023'!$AC$2:$AE$10000,MATCH(Z679,'CAMD Facility Data 2023'!$AE$2:$AE$10000,0),1),"")</f>
        <v>315</v>
      </c>
      <c r="AC679" s="1" t="str">
        <f>IF(INDEX('CAMD Facility Data 2023'!$AE$2:$AG$10000,MATCH(Z679,'CAMD Facility Data 2023'!$AE$2:$AE$10000,0),3)&gt;0,INDEX('CAMD Facility Data 2023'!$AE$2:$AG$10000,MATCH(Z679,'CAMD Facility Data 2023'!$AE$2:$AE$10000,0),3),"")</f>
        <v/>
      </c>
      <c r="AD679" s="20">
        <f t="shared" si="31"/>
        <v>0.88816414862514259</v>
      </c>
      <c r="AE679" s="25">
        <f t="shared" si="32"/>
        <v>4.4365397187794448E-2</v>
      </c>
    </row>
    <row r="680" spans="1:31" x14ac:dyDescent="0.2">
      <c r="A680" s="1" t="s">
        <v>203</v>
      </c>
      <c r="B680" s="1" t="s">
        <v>1894</v>
      </c>
      <c r="C680" s="1">
        <v>2292</v>
      </c>
      <c r="D680" s="1" t="s">
        <v>864</v>
      </c>
      <c r="F680" s="1">
        <v>2023</v>
      </c>
      <c r="G680" s="5">
        <v>766</v>
      </c>
      <c r="H680" s="5">
        <v>624.16</v>
      </c>
      <c r="I680" s="5">
        <v>10404.790000000001</v>
      </c>
      <c r="K680" s="5">
        <v>3.5999999999999997E-2</v>
      </c>
      <c r="L680" s="5">
        <v>1E-3</v>
      </c>
      <c r="M680" s="5">
        <v>7111.5389999999998</v>
      </c>
      <c r="N680" s="6">
        <v>6.0400000000000002E-2</v>
      </c>
      <c r="O680" s="5">
        <v>4.867</v>
      </c>
      <c r="P680" s="6">
        <v>8.3599999999999994E-2</v>
      </c>
      <c r="Q680" s="5">
        <v>117947.505</v>
      </c>
      <c r="R680" s="1" t="s">
        <v>44</v>
      </c>
      <c r="S680" s="1" t="s">
        <v>94</v>
      </c>
      <c r="T680" s="1" t="s">
        <v>93</v>
      </c>
      <c r="V680" s="1" t="s">
        <v>95</v>
      </c>
      <c r="Y680" s="1" t="s">
        <v>1666</v>
      </c>
      <c r="Z680" s="1" t="str">
        <f t="shared" si="30"/>
        <v>2292 CT4B</v>
      </c>
      <c r="AA680" s="3">
        <f>IF(INDEX('CAMD Facility Data 2023'!$AA$2:$AE$10000,MATCH(Z680,'CAMD Facility Data 2023'!$AE$2:$AE$10000,0),1)&gt;0,INDEX('CAMD Facility Data 2023'!$AA$2:$AE$10000,MATCH(Z680,'CAMD Facility Data 2023'!$AE$2:$AE$10000,0),1),"")</f>
        <v>36665</v>
      </c>
      <c r="AB680" s="5">
        <f>IF(INDEX('CAMD Facility Data 2023'!$AC$2:$AE$10000,MATCH(Z680,'CAMD Facility Data 2023'!$AE$2:$AE$10000,0),1)&gt;0,INDEX('CAMD Facility Data 2023'!$AC$2:$AE$10000,MATCH(Z680,'CAMD Facility Data 2023'!$AE$2:$AE$10000,0),1),"")</f>
        <v>315</v>
      </c>
      <c r="AC680" s="1" t="str">
        <f>IF(INDEX('CAMD Facility Data 2023'!$AE$2:$AG$10000,MATCH(Z680,'CAMD Facility Data 2023'!$AE$2:$AE$10000,0),3)&gt;0,INDEX('CAMD Facility Data 2023'!$AE$2:$AG$10000,MATCH(Z680,'CAMD Facility Data 2023'!$AE$2:$AE$10000,0),3),"")</f>
        <v/>
      </c>
      <c r="AD680" s="20">
        <f t="shared" si="31"/>
        <v>0.93553065463118423</v>
      </c>
      <c r="AE680" s="25">
        <f t="shared" si="32"/>
        <v>4.2743895412046096E-2</v>
      </c>
    </row>
    <row r="681" spans="1:31" x14ac:dyDescent="0.2">
      <c r="A681" s="1" t="s">
        <v>203</v>
      </c>
      <c r="B681" s="1" t="s">
        <v>1894</v>
      </c>
      <c r="C681" s="1">
        <v>2292</v>
      </c>
      <c r="D681" s="1" t="s">
        <v>1900</v>
      </c>
      <c r="F681" s="1">
        <v>2023</v>
      </c>
      <c r="G681" s="5">
        <v>754</v>
      </c>
      <c r="H681" s="5">
        <v>607.47</v>
      </c>
      <c r="I681" s="5">
        <v>10369.16</v>
      </c>
      <c r="K681" s="5">
        <v>3.6999999999999998E-2</v>
      </c>
      <c r="L681" s="5">
        <v>1E-3</v>
      </c>
      <c r="M681" s="5">
        <v>7240.2910000000002</v>
      </c>
      <c r="N681" s="6">
        <v>6.08E-2</v>
      </c>
      <c r="O681" s="5">
        <v>4.5599999999999996</v>
      </c>
      <c r="P681" s="6">
        <v>7.7600000000000002E-2</v>
      </c>
      <c r="Q681" s="5">
        <v>118965.18799999999</v>
      </c>
      <c r="R681" s="1" t="s">
        <v>44</v>
      </c>
      <c r="S681" s="1" t="s">
        <v>94</v>
      </c>
      <c r="T681" s="1" t="s">
        <v>93</v>
      </c>
      <c r="V681" s="1" t="s">
        <v>95</v>
      </c>
      <c r="Y681" s="1" t="s">
        <v>1666</v>
      </c>
      <c r="Z681" s="1" t="str">
        <f t="shared" si="30"/>
        <v>2292 CT5A</v>
      </c>
      <c r="AA681" s="3">
        <f>IF(INDEX('CAMD Facility Data 2023'!$AA$2:$AE$10000,MATCH(Z681,'CAMD Facility Data 2023'!$AE$2:$AE$10000,0),1)&gt;0,INDEX('CAMD Facility Data 2023'!$AA$2:$AE$10000,MATCH(Z681,'CAMD Facility Data 2023'!$AE$2:$AE$10000,0),1),"")</f>
        <v>36665</v>
      </c>
      <c r="AB681" s="5">
        <f>IF(INDEX('CAMD Facility Data 2023'!$AC$2:$AE$10000,MATCH(Z681,'CAMD Facility Data 2023'!$AE$2:$AE$10000,0),1)&gt;0,INDEX('CAMD Facility Data 2023'!$AC$2:$AE$10000,MATCH(Z681,'CAMD Facility Data 2023'!$AE$2:$AE$10000,0),1),"")</f>
        <v>315</v>
      </c>
      <c r="AC681" s="1" t="str">
        <f>IF(INDEX('CAMD Facility Data 2023'!$AE$2:$AG$10000,MATCH(Z681,'CAMD Facility Data 2023'!$AE$2:$AE$10000,0),3)&gt;0,INDEX('CAMD Facility Data 2023'!$AE$2:$AG$10000,MATCH(Z681,'CAMD Facility Data 2023'!$AE$2:$AE$10000,0),3),"")</f>
        <v/>
      </c>
      <c r="AD681" s="20">
        <f t="shared" si="31"/>
        <v>0.87953122528729422</v>
      </c>
      <c r="AE681" s="25">
        <f t="shared" si="32"/>
        <v>4.3112701311879394E-2</v>
      </c>
    </row>
    <row r="682" spans="1:31" x14ac:dyDescent="0.2">
      <c r="A682" s="1" t="s">
        <v>203</v>
      </c>
      <c r="B682" s="1" t="s">
        <v>1894</v>
      </c>
      <c r="C682" s="1">
        <v>2292</v>
      </c>
      <c r="D682" s="1" t="s">
        <v>1902</v>
      </c>
      <c r="F682" s="1">
        <v>2023</v>
      </c>
      <c r="G682" s="5">
        <v>755</v>
      </c>
      <c r="H682" s="5">
        <v>609.44000000000005</v>
      </c>
      <c r="I682" s="5">
        <v>10680.29</v>
      </c>
      <c r="K682" s="5">
        <v>3.7999999999999999E-2</v>
      </c>
      <c r="L682" s="5">
        <v>1E-3</v>
      </c>
      <c r="M682" s="5">
        <v>7526.4470000000001</v>
      </c>
      <c r="N682" s="6">
        <v>6.0699999999999997E-2</v>
      </c>
      <c r="O682" s="5">
        <v>4.8970000000000002</v>
      </c>
      <c r="P682" s="6">
        <v>7.9799999999999996E-2</v>
      </c>
      <c r="Q682" s="5">
        <v>123760.11900000001</v>
      </c>
      <c r="R682" s="1" t="s">
        <v>44</v>
      </c>
      <c r="S682" s="1" t="s">
        <v>94</v>
      </c>
      <c r="T682" s="1" t="s">
        <v>93</v>
      </c>
      <c r="V682" s="1" t="s">
        <v>95</v>
      </c>
      <c r="Y682" s="1" t="s">
        <v>1666</v>
      </c>
      <c r="Z682" s="1" t="str">
        <f t="shared" si="30"/>
        <v>2292 CT5B</v>
      </c>
      <c r="AA682" s="3">
        <f>IF(INDEX('CAMD Facility Data 2023'!$AA$2:$AE$10000,MATCH(Z682,'CAMD Facility Data 2023'!$AE$2:$AE$10000,0),1)&gt;0,INDEX('CAMD Facility Data 2023'!$AA$2:$AE$10000,MATCH(Z682,'CAMD Facility Data 2023'!$AE$2:$AE$10000,0),1),"")</f>
        <v>36665</v>
      </c>
      <c r="AB682" s="5">
        <f>IF(INDEX('CAMD Facility Data 2023'!$AC$2:$AE$10000,MATCH(Z682,'CAMD Facility Data 2023'!$AE$2:$AE$10000,0),1)&gt;0,INDEX('CAMD Facility Data 2023'!$AC$2:$AE$10000,MATCH(Z682,'CAMD Facility Data 2023'!$AE$2:$AE$10000,0),1),"")</f>
        <v>315</v>
      </c>
      <c r="AC682" s="1" t="str">
        <f>IF(INDEX('CAMD Facility Data 2023'!$AE$2:$AG$10000,MATCH(Z682,'CAMD Facility Data 2023'!$AE$2:$AE$10000,0),3)&gt;0,INDEX('CAMD Facility Data 2023'!$AE$2:$AG$10000,MATCH(Z682,'CAMD Facility Data 2023'!$AE$2:$AE$10000,0),3),"")</f>
        <v/>
      </c>
      <c r="AD682" s="20">
        <f t="shared" si="31"/>
        <v>0.91701629824658315</v>
      </c>
      <c r="AE682" s="25">
        <f t="shared" si="32"/>
        <v>4.4850372907153734E-2</v>
      </c>
    </row>
    <row r="683" spans="1:31" x14ac:dyDescent="0.2">
      <c r="A683" s="1" t="s">
        <v>1903</v>
      </c>
      <c r="B683" s="1" t="s">
        <v>1904</v>
      </c>
      <c r="C683" s="1">
        <v>2322</v>
      </c>
      <c r="D683" s="1" t="s">
        <v>616</v>
      </c>
      <c r="E683" s="1" t="s">
        <v>1905</v>
      </c>
      <c r="F683" s="1">
        <v>2023</v>
      </c>
      <c r="G683" s="5">
        <v>339</v>
      </c>
      <c r="H683" s="5">
        <v>221.58</v>
      </c>
      <c r="I683" s="5">
        <v>4668.1000000000004</v>
      </c>
      <c r="K683" s="5">
        <v>1.4999999999999999E-2</v>
      </c>
      <c r="L683" s="5">
        <v>1E-3</v>
      </c>
      <c r="M683" s="5">
        <v>2890.8310000000001</v>
      </c>
      <c r="N683" s="6">
        <v>5.9700000000000003E-2</v>
      </c>
      <c r="O683" s="5">
        <v>0.83299999999999996</v>
      </c>
      <c r="P683" s="6">
        <v>6.4600000000000005E-2</v>
      </c>
      <c r="Q683" s="5">
        <v>48654.896999999997</v>
      </c>
      <c r="R683" s="1" t="s">
        <v>44</v>
      </c>
      <c r="T683" s="1" t="s">
        <v>93</v>
      </c>
      <c r="V683" s="1" t="s">
        <v>223</v>
      </c>
      <c r="Y683" s="1" t="s">
        <v>247</v>
      </c>
      <c r="Z683" s="1" t="str">
        <f t="shared" si="30"/>
        <v>2322 11A</v>
      </c>
      <c r="AA683" s="3">
        <f>IF(INDEX('CAMD Facility Data 2023'!$AA$2:$AE$10000,MATCH(Z683,'CAMD Facility Data 2023'!$AE$2:$AE$10000,0),1)&gt;0,INDEX('CAMD Facility Data 2023'!$AA$2:$AE$10000,MATCH(Z683,'CAMD Facility Data 2023'!$AE$2:$AE$10000,0),1),"")</f>
        <v>39652</v>
      </c>
      <c r="AB683" s="5">
        <f>IF(INDEX('CAMD Facility Data 2023'!$AC$2:$AE$10000,MATCH(Z683,'CAMD Facility Data 2023'!$AE$2:$AE$10000,0),1)&gt;0,INDEX('CAMD Facility Data 2023'!$AC$2:$AE$10000,MATCH(Z683,'CAMD Facility Data 2023'!$AE$2:$AE$10000,0),1),"")</f>
        <v>328.4</v>
      </c>
      <c r="AC683" s="1" t="str">
        <f>IF(INDEX('CAMD Facility Data 2023'!$AE$2:$AG$10000,MATCH(Z683,'CAMD Facility Data 2023'!$AE$2:$AE$10000,0),3)&gt;0,INDEX('CAMD Facility Data 2023'!$AE$2:$AG$10000,MATCH(Z683,'CAMD Facility Data 2023'!$AE$2:$AE$10000,0),3),"")</f>
        <v>Y</v>
      </c>
      <c r="AD683" s="20">
        <f t="shared" si="31"/>
        <v>0.3568903836678734</v>
      </c>
      <c r="AE683" s="25">
        <f t="shared" si="32"/>
        <v>1.69129475831345E-2</v>
      </c>
    </row>
    <row r="684" spans="1:31" x14ac:dyDescent="0.2">
      <c r="A684" s="1" t="s">
        <v>1903</v>
      </c>
      <c r="B684" s="1" t="s">
        <v>1904</v>
      </c>
      <c r="C684" s="1">
        <v>2322</v>
      </c>
      <c r="D684" s="1" t="s">
        <v>623</v>
      </c>
      <c r="E684" s="1" t="s">
        <v>1905</v>
      </c>
      <c r="F684" s="1">
        <v>2023</v>
      </c>
      <c r="G684" s="5">
        <v>339</v>
      </c>
      <c r="H684" s="5">
        <v>221.81</v>
      </c>
      <c r="I684" s="5">
        <v>4673.07</v>
      </c>
      <c r="K684" s="5">
        <v>1.4E-2</v>
      </c>
      <c r="L684" s="5">
        <v>8.9999999999999998E-4</v>
      </c>
      <c r="M684" s="5">
        <v>2719.54</v>
      </c>
      <c r="N684" s="6">
        <v>6.2399999999999997E-2</v>
      </c>
      <c r="O684" s="5">
        <v>0.69099999999999995</v>
      </c>
      <c r="P684" s="6">
        <v>6.2600000000000003E-2</v>
      </c>
      <c r="Q684" s="5">
        <v>45744.894</v>
      </c>
      <c r="R684" s="1" t="s">
        <v>44</v>
      </c>
      <c r="T684" s="1" t="s">
        <v>93</v>
      </c>
      <c r="V684" s="1" t="s">
        <v>223</v>
      </c>
      <c r="Y684" s="1" t="s">
        <v>247</v>
      </c>
      <c r="Z684" s="1" t="str">
        <f t="shared" si="30"/>
        <v>2322 11B</v>
      </c>
      <c r="AA684" s="3">
        <f>IF(INDEX('CAMD Facility Data 2023'!$AA$2:$AE$10000,MATCH(Z684,'CAMD Facility Data 2023'!$AE$2:$AE$10000,0),1)&gt;0,INDEX('CAMD Facility Data 2023'!$AA$2:$AE$10000,MATCH(Z684,'CAMD Facility Data 2023'!$AE$2:$AE$10000,0),1),"")</f>
        <v>39652</v>
      </c>
      <c r="AB684" s="5">
        <f>IF(INDEX('CAMD Facility Data 2023'!$AC$2:$AE$10000,MATCH(Z684,'CAMD Facility Data 2023'!$AE$2:$AE$10000,0),1)&gt;0,INDEX('CAMD Facility Data 2023'!$AC$2:$AE$10000,MATCH(Z684,'CAMD Facility Data 2023'!$AE$2:$AE$10000,0),1),"")</f>
        <v>328.4</v>
      </c>
      <c r="AC684" s="1" t="str">
        <f>IF(INDEX('CAMD Facility Data 2023'!$AE$2:$AG$10000,MATCH(Z684,'CAMD Facility Data 2023'!$AE$2:$AE$10000,0),3)&gt;0,INDEX('CAMD Facility Data 2023'!$AE$2:$AG$10000,MATCH(Z684,'CAMD Facility Data 2023'!$AE$2:$AE$10000,0),3),"")</f>
        <v>Y</v>
      </c>
      <c r="AD684" s="20">
        <f t="shared" si="31"/>
        <v>0.29573706364338648</v>
      </c>
      <c r="AE684" s="25">
        <f t="shared" si="32"/>
        <v>1.5901400313683613E-2</v>
      </c>
    </row>
    <row r="685" spans="1:31" x14ac:dyDescent="0.2">
      <c r="A685" s="1" t="s">
        <v>1903</v>
      </c>
      <c r="B685" s="1" t="s">
        <v>1904</v>
      </c>
      <c r="C685" s="1">
        <v>2322</v>
      </c>
      <c r="D685" s="1" t="s">
        <v>624</v>
      </c>
      <c r="E685" s="1" t="s">
        <v>1177</v>
      </c>
      <c r="F685" s="1">
        <v>2023</v>
      </c>
      <c r="G685" s="5">
        <v>255</v>
      </c>
      <c r="H685" s="5">
        <v>162.05000000000001</v>
      </c>
      <c r="I685" s="5">
        <v>3314.4</v>
      </c>
      <c r="K685" s="5">
        <v>1.0999999999999999E-2</v>
      </c>
      <c r="L685" s="5">
        <v>1E-3</v>
      </c>
      <c r="M685" s="5">
        <v>2184.489</v>
      </c>
      <c r="N685" s="6">
        <v>0.06</v>
      </c>
      <c r="O685" s="5">
        <v>0.55400000000000005</v>
      </c>
      <c r="P685" s="6">
        <v>5.11E-2</v>
      </c>
      <c r="Q685" s="5">
        <v>36756.612000000001</v>
      </c>
      <c r="R685" s="1" t="s">
        <v>44</v>
      </c>
      <c r="T685" s="1" t="s">
        <v>93</v>
      </c>
      <c r="V685" s="1" t="s">
        <v>223</v>
      </c>
      <c r="Y685" s="1" t="s">
        <v>247</v>
      </c>
      <c r="Z685" s="1" t="str">
        <f t="shared" si="30"/>
        <v>2322 12A</v>
      </c>
      <c r="AA685" s="3">
        <f>IF(INDEX('CAMD Facility Data 2023'!$AA$2:$AE$10000,MATCH(Z685,'CAMD Facility Data 2023'!$AE$2:$AE$10000,0),1)&gt;0,INDEX('CAMD Facility Data 2023'!$AA$2:$AE$10000,MATCH(Z685,'CAMD Facility Data 2023'!$AE$2:$AE$10000,0),1),"")</f>
        <v>39652</v>
      </c>
      <c r="AB685" s="5">
        <f>IF(INDEX('CAMD Facility Data 2023'!$AC$2:$AE$10000,MATCH(Z685,'CAMD Facility Data 2023'!$AE$2:$AE$10000,0),1)&gt;0,INDEX('CAMD Facility Data 2023'!$AC$2:$AE$10000,MATCH(Z685,'CAMD Facility Data 2023'!$AE$2:$AE$10000,0),1),"")</f>
        <v>328.4</v>
      </c>
      <c r="AC685" s="1" t="str">
        <f>IF(INDEX('CAMD Facility Data 2023'!$AE$2:$AG$10000,MATCH(Z685,'CAMD Facility Data 2023'!$AE$2:$AE$10000,0),3)&gt;0,INDEX('CAMD Facility Data 2023'!$AE$2:$AG$10000,MATCH(Z685,'CAMD Facility Data 2023'!$AE$2:$AE$10000,0),3),"")</f>
        <v>Y</v>
      </c>
      <c r="AD685" s="20">
        <f t="shared" si="31"/>
        <v>0.33429881728216265</v>
      </c>
      <c r="AE685" s="25">
        <f t="shared" si="32"/>
        <v>1.2776980127809388E-2</v>
      </c>
    </row>
    <row r="686" spans="1:31" x14ac:dyDescent="0.2">
      <c r="A686" s="1" t="s">
        <v>1903</v>
      </c>
      <c r="B686" s="1" t="s">
        <v>1904</v>
      </c>
      <c r="C686" s="1">
        <v>2322</v>
      </c>
      <c r="D686" s="1" t="s">
        <v>626</v>
      </c>
      <c r="E686" s="1" t="s">
        <v>1177</v>
      </c>
      <c r="F686" s="1">
        <v>2023</v>
      </c>
      <c r="G686" s="5">
        <v>256</v>
      </c>
      <c r="H686" s="5">
        <v>163.74</v>
      </c>
      <c r="I686" s="5">
        <v>3324.58</v>
      </c>
      <c r="K686" s="5">
        <v>1.0999999999999999E-2</v>
      </c>
      <c r="L686" s="5">
        <v>8.9999999999999998E-4</v>
      </c>
      <c r="M686" s="5">
        <v>2106.6179999999999</v>
      </c>
      <c r="N686" s="6">
        <v>5.9400000000000001E-2</v>
      </c>
      <c r="O686" s="5">
        <v>0.53300000000000003</v>
      </c>
      <c r="P686" s="6">
        <v>5.5100000000000003E-2</v>
      </c>
      <c r="Q686" s="5">
        <v>35449.766000000003</v>
      </c>
      <c r="R686" s="1" t="s">
        <v>44</v>
      </c>
      <c r="T686" s="1" t="s">
        <v>93</v>
      </c>
      <c r="V686" s="1" t="s">
        <v>223</v>
      </c>
      <c r="Y686" s="1" t="s">
        <v>247</v>
      </c>
      <c r="Z686" s="1" t="str">
        <f t="shared" si="30"/>
        <v>2322 12B</v>
      </c>
      <c r="AA686" s="3">
        <f>IF(INDEX('CAMD Facility Data 2023'!$AA$2:$AE$10000,MATCH(Z686,'CAMD Facility Data 2023'!$AE$2:$AE$10000,0),1)&gt;0,INDEX('CAMD Facility Data 2023'!$AA$2:$AE$10000,MATCH(Z686,'CAMD Facility Data 2023'!$AE$2:$AE$10000,0),1),"")</f>
        <v>39652</v>
      </c>
      <c r="AB686" s="5">
        <f>IF(INDEX('CAMD Facility Data 2023'!$AC$2:$AE$10000,MATCH(Z686,'CAMD Facility Data 2023'!$AE$2:$AE$10000,0),1)&gt;0,INDEX('CAMD Facility Data 2023'!$AC$2:$AE$10000,MATCH(Z686,'CAMD Facility Data 2023'!$AE$2:$AE$10000,0),1),"")</f>
        <v>328.4</v>
      </c>
      <c r="AC686" s="1" t="str">
        <f>IF(INDEX('CAMD Facility Data 2023'!$AE$2:$AG$10000,MATCH(Z686,'CAMD Facility Data 2023'!$AE$2:$AE$10000,0),3)&gt;0,INDEX('CAMD Facility Data 2023'!$AE$2:$AG$10000,MATCH(Z686,'CAMD Facility Data 2023'!$AE$2:$AE$10000,0),3),"")</f>
        <v>Y</v>
      </c>
      <c r="AD686" s="20">
        <f t="shared" si="31"/>
        <v>0.32064200590751313</v>
      </c>
      <c r="AE686" s="25">
        <f t="shared" si="32"/>
        <v>1.232270688379802E-2</v>
      </c>
    </row>
    <row r="687" spans="1:31" x14ac:dyDescent="0.2">
      <c r="A687" s="1" t="s">
        <v>1903</v>
      </c>
      <c r="B687" s="1" t="s">
        <v>1904</v>
      </c>
      <c r="C687" s="1">
        <v>2322</v>
      </c>
      <c r="D687" s="1" t="s">
        <v>627</v>
      </c>
      <c r="E687" s="1" t="s">
        <v>1910</v>
      </c>
      <c r="F687" s="1">
        <v>2023</v>
      </c>
      <c r="G687" s="5">
        <v>257</v>
      </c>
      <c r="H687" s="5">
        <v>167.36</v>
      </c>
      <c r="I687" s="5">
        <v>3647.23</v>
      </c>
      <c r="K687" s="5">
        <v>1.2E-2</v>
      </c>
      <c r="L687" s="5">
        <v>1E-3</v>
      </c>
      <c r="M687" s="5">
        <v>2349.085</v>
      </c>
      <c r="N687" s="6">
        <v>5.96E-2</v>
      </c>
      <c r="O687" s="5">
        <v>0.624</v>
      </c>
      <c r="P687" s="6">
        <v>6.2E-2</v>
      </c>
      <c r="Q687" s="5">
        <v>39519.930999999997</v>
      </c>
      <c r="R687" s="1" t="s">
        <v>44</v>
      </c>
      <c r="T687" s="1" t="s">
        <v>93</v>
      </c>
      <c r="V687" s="1" t="s">
        <v>223</v>
      </c>
      <c r="Y687" s="1" t="s">
        <v>247</v>
      </c>
      <c r="Z687" s="1" t="str">
        <f t="shared" si="30"/>
        <v>2322 13A</v>
      </c>
      <c r="AA687" s="3">
        <f>IF(INDEX('CAMD Facility Data 2023'!$AA$2:$AE$10000,MATCH(Z687,'CAMD Facility Data 2023'!$AE$2:$AE$10000,0),1)&gt;0,INDEX('CAMD Facility Data 2023'!$AA$2:$AE$10000,MATCH(Z687,'CAMD Facility Data 2023'!$AE$2:$AE$10000,0),1),"")</f>
        <v>39658</v>
      </c>
      <c r="AB687" s="5">
        <f>IF(INDEX('CAMD Facility Data 2023'!$AC$2:$AE$10000,MATCH(Z687,'CAMD Facility Data 2023'!$AE$2:$AE$10000,0),1)&gt;0,INDEX('CAMD Facility Data 2023'!$AC$2:$AE$10000,MATCH(Z687,'CAMD Facility Data 2023'!$AE$2:$AE$10000,0),1),"")</f>
        <v>328.4</v>
      </c>
      <c r="AC687" s="1" t="str">
        <f>IF(INDEX('CAMD Facility Data 2023'!$AE$2:$AG$10000,MATCH(Z687,'CAMD Facility Data 2023'!$AE$2:$AE$10000,0),3)&gt;0,INDEX('CAMD Facility Data 2023'!$AE$2:$AG$10000,MATCH(Z687,'CAMD Facility Data 2023'!$AE$2:$AE$10000,0),3),"")</f>
        <v>Y</v>
      </c>
      <c r="AD687" s="20">
        <f t="shared" si="31"/>
        <v>0.34217748812112203</v>
      </c>
      <c r="AE687" s="25">
        <f t="shared" si="32"/>
        <v>1.3737538515230895E-2</v>
      </c>
    </row>
    <row r="688" spans="1:31" x14ac:dyDescent="0.2">
      <c r="A688" s="1" t="s">
        <v>1903</v>
      </c>
      <c r="B688" s="1" t="s">
        <v>1904</v>
      </c>
      <c r="C688" s="1">
        <v>2322</v>
      </c>
      <c r="D688" s="1" t="s">
        <v>629</v>
      </c>
      <c r="E688" s="1" t="s">
        <v>1910</v>
      </c>
      <c r="F688" s="1">
        <v>2023</v>
      </c>
      <c r="G688" s="5">
        <v>252</v>
      </c>
      <c r="H688" s="5">
        <v>163.96</v>
      </c>
      <c r="I688" s="5">
        <v>3595.73</v>
      </c>
      <c r="K688" s="5">
        <v>1.2E-2</v>
      </c>
      <c r="L688" s="5">
        <v>1E-3</v>
      </c>
      <c r="M688" s="5">
        <v>2293.8719999999998</v>
      </c>
      <c r="N688" s="6">
        <v>5.9499999999999997E-2</v>
      </c>
      <c r="O688" s="5">
        <v>0.56699999999999995</v>
      </c>
      <c r="P688" s="6">
        <v>6.25E-2</v>
      </c>
      <c r="Q688" s="5">
        <v>38596.752</v>
      </c>
      <c r="R688" s="1" t="s">
        <v>44</v>
      </c>
      <c r="T688" s="1" t="s">
        <v>93</v>
      </c>
      <c r="V688" s="1" t="s">
        <v>223</v>
      </c>
      <c r="Y688" s="1" t="s">
        <v>247</v>
      </c>
      <c r="Z688" s="1" t="str">
        <f t="shared" si="30"/>
        <v>2322 13B</v>
      </c>
      <c r="AA688" s="3">
        <f>IF(INDEX('CAMD Facility Data 2023'!$AA$2:$AE$10000,MATCH(Z688,'CAMD Facility Data 2023'!$AE$2:$AE$10000,0),1)&gt;0,INDEX('CAMD Facility Data 2023'!$AA$2:$AE$10000,MATCH(Z688,'CAMD Facility Data 2023'!$AE$2:$AE$10000,0),1),"")</f>
        <v>39658</v>
      </c>
      <c r="AB688" s="5">
        <f>IF(INDEX('CAMD Facility Data 2023'!$AC$2:$AE$10000,MATCH(Z688,'CAMD Facility Data 2023'!$AE$2:$AE$10000,0),1)&gt;0,INDEX('CAMD Facility Data 2023'!$AC$2:$AE$10000,MATCH(Z688,'CAMD Facility Data 2023'!$AE$2:$AE$10000,0),1),"")</f>
        <v>328.4</v>
      </c>
      <c r="AC688" s="1" t="str">
        <f>IF(INDEX('CAMD Facility Data 2023'!$AE$2:$AG$10000,MATCH(Z688,'CAMD Facility Data 2023'!$AE$2:$AE$10000,0),3)&gt;0,INDEX('CAMD Facility Data 2023'!$AE$2:$AG$10000,MATCH(Z688,'CAMD Facility Data 2023'!$AE$2:$AE$10000,0),3),"")</f>
        <v>Y</v>
      </c>
      <c r="AD688" s="20">
        <f t="shared" si="31"/>
        <v>0.315374068687026</v>
      </c>
      <c r="AE688" s="25">
        <f t="shared" si="32"/>
        <v>1.3416631905627951E-2</v>
      </c>
    </row>
    <row r="689" spans="1:31" x14ac:dyDescent="0.2">
      <c r="A689" s="1" t="s">
        <v>1903</v>
      </c>
      <c r="B689" s="1" t="s">
        <v>1904</v>
      </c>
      <c r="C689" s="1">
        <v>2322</v>
      </c>
      <c r="D689" s="1" t="s">
        <v>630</v>
      </c>
      <c r="E689" s="1" t="s">
        <v>1912</v>
      </c>
      <c r="F689" s="1">
        <v>2023</v>
      </c>
      <c r="G689" s="5">
        <v>282</v>
      </c>
      <c r="H689" s="5">
        <v>180.74</v>
      </c>
      <c r="I689" s="5">
        <v>3810.91</v>
      </c>
      <c r="K689" s="5">
        <v>1.2999999999999999E-2</v>
      </c>
      <c r="L689" s="5">
        <v>1E-3</v>
      </c>
      <c r="M689" s="5">
        <v>2500.7139999999999</v>
      </c>
      <c r="N689" s="6">
        <v>5.9700000000000003E-2</v>
      </c>
      <c r="O689" s="5">
        <v>0.73</v>
      </c>
      <c r="P689" s="6">
        <v>6.59E-2</v>
      </c>
      <c r="Q689" s="5">
        <v>42078.985000000001</v>
      </c>
      <c r="R689" s="1" t="s">
        <v>44</v>
      </c>
      <c r="T689" s="1" t="s">
        <v>93</v>
      </c>
      <c r="V689" s="1" t="s">
        <v>223</v>
      </c>
      <c r="Y689" s="1" t="s">
        <v>247</v>
      </c>
      <c r="Z689" s="1" t="str">
        <f t="shared" si="30"/>
        <v>2322 14A</v>
      </c>
      <c r="AA689" s="3">
        <f>IF(INDEX('CAMD Facility Data 2023'!$AA$2:$AE$10000,MATCH(Z689,'CAMD Facility Data 2023'!$AE$2:$AE$10000,0),1)&gt;0,INDEX('CAMD Facility Data 2023'!$AA$2:$AE$10000,MATCH(Z689,'CAMD Facility Data 2023'!$AE$2:$AE$10000,0),1),"")</f>
        <v>39652</v>
      </c>
      <c r="AB689" s="5">
        <f>IF(INDEX('CAMD Facility Data 2023'!$AC$2:$AE$10000,MATCH(Z689,'CAMD Facility Data 2023'!$AE$2:$AE$10000,0),1)&gt;0,INDEX('CAMD Facility Data 2023'!$AC$2:$AE$10000,MATCH(Z689,'CAMD Facility Data 2023'!$AE$2:$AE$10000,0),1),"")</f>
        <v>328.4</v>
      </c>
      <c r="AC689" s="1" t="str">
        <f>IF(INDEX('CAMD Facility Data 2023'!$AE$2:$AG$10000,MATCH(Z689,'CAMD Facility Data 2023'!$AE$2:$AE$10000,0),3)&gt;0,INDEX('CAMD Facility Data 2023'!$AE$2:$AG$10000,MATCH(Z689,'CAMD Facility Data 2023'!$AE$2:$AE$10000,0),3),"")</f>
        <v>Y</v>
      </c>
      <c r="AD689" s="20">
        <f t="shared" si="31"/>
        <v>0.38311059563201444</v>
      </c>
      <c r="AE689" s="25">
        <f t="shared" si="32"/>
        <v>1.4627092266920284E-2</v>
      </c>
    </row>
    <row r="690" spans="1:31" x14ac:dyDescent="0.2">
      <c r="A690" s="1" t="s">
        <v>1903</v>
      </c>
      <c r="B690" s="1" t="s">
        <v>1904</v>
      </c>
      <c r="C690" s="1">
        <v>2322</v>
      </c>
      <c r="D690" s="1" t="s">
        <v>632</v>
      </c>
      <c r="E690" s="1" t="s">
        <v>1912</v>
      </c>
      <c r="F690" s="1">
        <v>2023</v>
      </c>
      <c r="G690" s="5">
        <v>281</v>
      </c>
      <c r="H690" s="5">
        <v>182.13</v>
      </c>
      <c r="I690" s="5">
        <v>3848.69</v>
      </c>
      <c r="K690" s="5">
        <v>1.2999999999999999E-2</v>
      </c>
      <c r="L690" s="5">
        <v>1E-3</v>
      </c>
      <c r="M690" s="5">
        <v>2483.431</v>
      </c>
      <c r="N690" s="6">
        <v>6.0499999999999998E-2</v>
      </c>
      <c r="O690" s="5">
        <v>0.7</v>
      </c>
      <c r="P690" s="6">
        <v>6.5600000000000006E-2</v>
      </c>
      <c r="Q690" s="5">
        <v>41794.413999999997</v>
      </c>
      <c r="R690" s="1" t="s">
        <v>44</v>
      </c>
      <c r="T690" s="1" t="s">
        <v>93</v>
      </c>
      <c r="V690" s="1" t="s">
        <v>223</v>
      </c>
      <c r="Y690" s="1" t="s">
        <v>247</v>
      </c>
      <c r="Z690" s="1" t="str">
        <f t="shared" si="30"/>
        <v>2322 14B</v>
      </c>
      <c r="AA690" s="3">
        <f>IF(INDEX('CAMD Facility Data 2023'!$AA$2:$AE$10000,MATCH(Z690,'CAMD Facility Data 2023'!$AE$2:$AE$10000,0),1)&gt;0,INDEX('CAMD Facility Data 2023'!$AA$2:$AE$10000,MATCH(Z690,'CAMD Facility Data 2023'!$AE$2:$AE$10000,0),1),"")</f>
        <v>39652</v>
      </c>
      <c r="AB690" s="5">
        <f>IF(INDEX('CAMD Facility Data 2023'!$AC$2:$AE$10000,MATCH(Z690,'CAMD Facility Data 2023'!$AE$2:$AE$10000,0),1)&gt;0,INDEX('CAMD Facility Data 2023'!$AC$2:$AE$10000,MATCH(Z690,'CAMD Facility Data 2023'!$AE$2:$AE$10000,0),1),"")</f>
        <v>328.4</v>
      </c>
      <c r="AC690" s="1" t="str">
        <f>IF(INDEX('CAMD Facility Data 2023'!$AE$2:$AG$10000,MATCH(Z690,'CAMD Facility Data 2023'!$AE$2:$AE$10000,0),3)&gt;0,INDEX('CAMD Facility Data 2023'!$AE$2:$AG$10000,MATCH(Z690,'CAMD Facility Data 2023'!$AE$2:$AE$10000,0),3),"")</f>
        <v>Y</v>
      </c>
      <c r="AD690" s="20">
        <f t="shared" si="31"/>
        <v>0.36376013656594841</v>
      </c>
      <c r="AE690" s="25">
        <f t="shared" si="32"/>
        <v>1.4528172431437326E-2</v>
      </c>
    </row>
    <row r="691" spans="1:31" x14ac:dyDescent="0.2">
      <c r="A691" s="1" t="s">
        <v>1903</v>
      </c>
      <c r="B691" s="1" t="s">
        <v>1904</v>
      </c>
      <c r="C691" s="1">
        <v>2322</v>
      </c>
      <c r="D691" s="1" t="s">
        <v>1914</v>
      </c>
      <c r="E691" s="1" t="s">
        <v>1915</v>
      </c>
      <c r="F691" s="1">
        <v>2023</v>
      </c>
      <c r="G691" s="5">
        <v>633</v>
      </c>
      <c r="H691" s="5">
        <v>470.4</v>
      </c>
      <c r="I691" s="5">
        <v>10794.7</v>
      </c>
      <c r="K691" s="5">
        <v>3.5000000000000003E-2</v>
      </c>
      <c r="L691" s="5">
        <v>1E-3</v>
      </c>
      <c r="M691" s="5">
        <v>6945.1509999999998</v>
      </c>
      <c r="N691" s="6">
        <v>5.9499999999999997E-2</v>
      </c>
      <c r="O691" s="5">
        <v>1.3859999999999999</v>
      </c>
      <c r="P691" s="6">
        <v>4.1700000000000001E-2</v>
      </c>
      <c r="Q691" s="5">
        <v>116855.656</v>
      </c>
      <c r="R691" s="1" t="s">
        <v>44</v>
      </c>
      <c r="T691" s="1" t="s">
        <v>93</v>
      </c>
      <c r="V691" s="1" t="s">
        <v>223</v>
      </c>
      <c r="Y691" s="1" t="s">
        <v>247</v>
      </c>
      <c r="Z691" s="1" t="str">
        <f t="shared" si="30"/>
        <v>2322 15A</v>
      </c>
      <c r="AA691" s="3">
        <f>IF(INDEX('CAMD Facility Data 2023'!$AA$2:$AE$10000,MATCH(Z691,'CAMD Facility Data 2023'!$AE$2:$AE$10000,0),1)&gt;0,INDEX('CAMD Facility Data 2023'!$AA$2:$AE$10000,MATCH(Z691,'CAMD Facility Data 2023'!$AE$2:$AE$10000,0),1),"")</f>
        <v>39580</v>
      </c>
      <c r="AB691" s="5">
        <f>IF(INDEX('CAMD Facility Data 2023'!$AC$2:$AE$10000,MATCH(Z691,'CAMD Facility Data 2023'!$AE$2:$AE$10000,0),1)&gt;0,INDEX('CAMD Facility Data 2023'!$AC$2:$AE$10000,MATCH(Z691,'CAMD Facility Data 2023'!$AE$2:$AE$10000,0),1),"")</f>
        <v>328.4</v>
      </c>
      <c r="AC691" s="1" t="str">
        <f>IF(INDEX('CAMD Facility Data 2023'!$AE$2:$AG$10000,MATCH(Z691,'CAMD Facility Data 2023'!$AE$2:$AE$10000,0),3)&gt;0,INDEX('CAMD Facility Data 2023'!$AE$2:$AG$10000,MATCH(Z691,'CAMD Facility Data 2023'!$AE$2:$AE$10000,0),3),"")</f>
        <v>Y</v>
      </c>
      <c r="AD691" s="20">
        <f t="shared" si="31"/>
        <v>0.25679268529926724</v>
      </c>
      <c r="AE691" s="25">
        <f t="shared" si="32"/>
        <v>4.0620239823358308E-2</v>
      </c>
    </row>
    <row r="692" spans="1:31" x14ac:dyDescent="0.2">
      <c r="A692" s="1" t="s">
        <v>1903</v>
      </c>
      <c r="B692" s="1" t="s">
        <v>1904</v>
      </c>
      <c r="C692" s="1">
        <v>2322</v>
      </c>
      <c r="D692" s="1" t="s">
        <v>1917</v>
      </c>
      <c r="E692" s="1" t="s">
        <v>1915</v>
      </c>
      <c r="F692" s="1">
        <v>2023</v>
      </c>
      <c r="G692" s="5">
        <v>628</v>
      </c>
      <c r="H692" s="5">
        <v>466.38</v>
      </c>
      <c r="I692" s="5">
        <v>10736.03</v>
      </c>
      <c r="K692" s="5">
        <v>3.5000000000000003E-2</v>
      </c>
      <c r="L692" s="5">
        <v>1E-3</v>
      </c>
      <c r="M692" s="5">
        <v>6916.5330000000004</v>
      </c>
      <c r="N692" s="6">
        <v>5.96E-2</v>
      </c>
      <c r="O692" s="5">
        <v>1.337</v>
      </c>
      <c r="P692" s="6">
        <v>4.2299999999999997E-2</v>
      </c>
      <c r="Q692" s="5">
        <v>116382.93</v>
      </c>
      <c r="R692" s="1" t="s">
        <v>44</v>
      </c>
      <c r="T692" s="1" t="s">
        <v>93</v>
      </c>
      <c r="V692" s="1" t="s">
        <v>223</v>
      </c>
      <c r="Y692" s="1" t="s">
        <v>247</v>
      </c>
      <c r="Z692" s="1" t="str">
        <f t="shared" si="30"/>
        <v>2322 15B</v>
      </c>
      <c r="AA692" s="3">
        <f>IF(INDEX('CAMD Facility Data 2023'!$AA$2:$AE$10000,MATCH(Z692,'CAMD Facility Data 2023'!$AE$2:$AE$10000,0),1)&gt;0,INDEX('CAMD Facility Data 2023'!$AA$2:$AE$10000,MATCH(Z692,'CAMD Facility Data 2023'!$AE$2:$AE$10000,0),1),"")</f>
        <v>39580</v>
      </c>
      <c r="AB692" s="5">
        <f>IF(INDEX('CAMD Facility Data 2023'!$AC$2:$AE$10000,MATCH(Z692,'CAMD Facility Data 2023'!$AE$2:$AE$10000,0),1)&gt;0,INDEX('CAMD Facility Data 2023'!$AC$2:$AE$10000,MATCH(Z692,'CAMD Facility Data 2023'!$AE$2:$AE$10000,0),1),"")</f>
        <v>328.4</v>
      </c>
      <c r="AC692" s="1" t="str">
        <f>IF(INDEX('CAMD Facility Data 2023'!$AE$2:$AG$10000,MATCH(Z692,'CAMD Facility Data 2023'!$AE$2:$AE$10000,0),3)&gt;0,INDEX('CAMD Facility Data 2023'!$AE$2:$AG$10000,MATCH(Z692,'CAMD Facility Data 2023'!$AE$2:$AE$10000,0),3),"")</f>
        <v>Y</v>
      </c>
      <c r="AD692" s="20">
        <f t="shared" si="31"/>
        <v>0.2490678584169381</v>
      </c>
      <c r="AE692" s="25">
        <f t="shared" si="32"/>
        <v>4.0455915355480286E-2</v>
      </c>
    </row>
    <row r="693" spans="1:31" x14ac:dyDescent="0.2">
      <c r="A693" s="1" t="s">
        <v>1903</v>
      </c>
      <c r="B693" s="1" t="s">
        <v>1904</v>
      </c>
      <c r="C693" s="1">
        <v>2322</v>
      </c>
      <c r="D693" s="1" t="s">
        <v>1918</v>
      </c>
      <c r="E693" s="1" t="s">
        <v>1919</v>
      </c>
      <c r="F693" s="1">
        <v>2023</v>
      </c>
      <c r="G693" s="5">
        <v>578</v>
      </c>
      <c r="H693" s="5">
        <v>441.52</v>
      </c>
      <c r="I693" s="5">
        <v>10249.69</v>
      </c>
      <c r="K693" s="5">
        <v>3.3000000000000002E-2</v>
      </c>
      <c r="L693" s="5">
        <v>1E-3</v>
      </c>
      <c r="M693" s="5">
        <v>6492.085</v>
      </c>
      <c r="N693" s="6">
        <v>5.9299999999999999E-2</v>
      </c>
      <c r="O693" s="5">
        <v>1.161</v>
      </c>
      <c r="P693" s="6">
        <v>3.6600000000000001E-2</v>
      </c>
      <c r="Q693" s="5">
        <v>109261.685</v>
      </c>
      <c r="R693" s="1" t="s">
        <v>44</v>
      </c>
      <c r="T693" s="1" t="s">
        <v>93</v>
      </c>
      <c r="V693" s="1" t="s">
        <v>223</v>
      </c>
      <c r="Y693" s="1" t="s">
        <v>247</v>
      </c>
      <c r="Z693" s="1" t="str">
        <f t="shared" si="30"/>
        <v>2322 16A</v>
      </c>
      <c r="AA693" s="3">
        <f>IF(INDEX('CAMD Facility Data 2023'!$AA$2:$AE$10000,MATCH(Z693,'CAMD Facility Data 2023'!$AE$2:$AE$10000,0),1)&gt;0,INDEX('CAMD Facility Data 2023'!$AA$2:$AE$10000,MATCH(Z693,'CAMD Facility Data 2023'!$AE$2:$AE$10000,0),1),"")</f>
        <v>39590</v>
      </c>
      <c r="AB693" s="5">
        <f>IF(INDEX('CAMD Facility Data 2023'!$AC$2:$AE$10000,MATCH(Z693,'CAMD Facility Data 2023'!$AE$2:$AE$10000,0),1)&gt;0,INDEX('CAMD Facility Data 2023'!$AC$2:$AE$10000,MATCH(Z693,'CAMD Facility Data 2023'!$AE$2:$AE$10000,0),1),"")</f>
        <v>328.4</v>
      </c>
      <c r="AC693" s="1" t="str">
        <f>IF(INDEX('CAMD Facility Data 2023'!$AE$2:$AG$10000,MATCH(Z693,'CAMD Facility Data 2023'!$AE$2:$AE$10000,0),3)&gt;0,INDEX('CAMD Facility Data 2023'!$AE$2:$AG$10000,MATCH(Z693,'CAMD Facility Data 2023'!$AE$2:$AE$10000,0),3),"")</f>
        <v>Y</v>
      </c>
      <c r="AD693" s="20">
        <f t="shared" si="31"/>
        <v>0.22654343692345816</v>
      </c>
      <c r="AE693" s="25">
        <f t="shared" si="32"/>
        <v>3.7980496624007917E-2</v>
      </c>
    </row>
    <row r="694" spans="1:31" x14ac:dyDescent="0.2">
      <c r="A694" s="1" t="s">
        <v>1903</v>
      </c>
      <c r="B694" s="1" t="s">
        <v>1904</v>
      </c>
      <c r="C694" s="1">
        <v>2322</v>
      </c>
      <c r="D694" s="1" t="s">
        <v>1921</v>
      </c>
      <c r="E694" s="1" t="s">
        <v>1919</v>
      </c>
      <c r="F694" s="1">
        <v>2023</v>
      </c>
      <c r="G694" s="5">
        <v>566</v>
      </c>
      <c r="H694" s="5">
        <v>431.98</v>
      </c>
      <c r="I694" s="5">
        <v>10129.92</v>
      </c>
      <c r="K694" s="5">
        <v>3.3000000000000002E-2</v>
      </c>
      <c r="L694" s="5">
        <v>1E-3</v>
      </c>
      <c r="M694" s="5">
        <v>6543.777</v>
      </c>
      <c r="N694" s="6">
        <v>5.9400000000000001E-2</v>
      </c>
      <c r="O694" s="5">
        <v>1.1419999999999999</v>
      </c>
      <c r="P694" s="6">
        <v>3.6700000000000003E-2</v>
      </c>
      <c r="Q694" s="5">
        <v>110104.535</v>
      </c>
      <c r="R694" s="1" t="s">
        <v>44</v>
      </c>
      <c r="T694" s="1" t="s">
        <v>93</v>
      </c>
      <c r="V694" s="1" t="s">
        <v>223</v>
      </c>
      <c r="Y694" s="1" t="s">
        <v>247</v>
      </c>
      <c r="Z694" s="1" t="str">
        <f t="shared" si="30"/>
        <v>2322 16B</v>
      </c>
      <c r="AA694" s="3">
        <f>IF(INDEX('CAMD Facility Data 2023'!$AA$2:$AE$10000,MATCH(Z694,'CAMD Facility Data 2023'!$AE$2:$AE$10000,0),1)&gt;0,INDEX('CAMD Facility Data 2023'!$AA$2:$AE$10000,MATCH(Z694,'CAMD Facility Data 2023'!$AE$2:$AE$10000,0),1),"")</f>
        <v>39590</v>
      </c>
      <c r="AB694" s="5">
        <f>IF(INDEX('CAMD Facility Data 2023'!$AC$2:$AE$10000,MATCH(Z694,'CAMD Facility Data 2023'!$AE$2:$AE$10000,0),1)&gt;0,INDEX('CAMD Facility Data 2023'!$AC$2:$AE$10000,MATCH(Z694,'CAMD Facility Data 2023'!$AE$2:$AE$10000,0),1),"")</f>
        <v>328.4</v>
      </c>
      <c r="AC694" s="1" t="str">
        <f>IF(INDEX('CAMD Facility Data 2023'!$AE$2:$AG$10000,MATCH(Z694,'CAMD Facility Data 2023'!$AE$2:$AE$10000,0),3)&gt;0,INDEX('CAMD Facility Data 2023'!$AE$2:$AG$10000,MATCH(Z694,'CAMD Facility Data 2023'!$AE$2:$AE$10000,0),3),"")</f>
        <v>Y</v>
      </c>
      <c r="AD694" s="20">
        <f t="shared" si="31"/>
        <v>0.2254706848622694</v>
      </c>
      <c r="AE694" s="25">
        <f t="shared" si="32"/>
        <v>3.8273480038821132E-2</v>
      </c>
    </row>
    <row r="695" spans="1:31" x14ac:dyDescent="0.2">
      <c r="A695" s="1" t="s">
        <v>1903</v>
      </c>
      <c r="B695" s="1" t="s">
        <v>1904</v>
      </c>
      <c r="C695" s="1">
        <v>2322</v>
      </c>
      <c r="D695" s="1" t="s">
        <v>1922</v>
      </c>
      <c r="E695" s="1" t="s">
        <v>1923</v>
      </c>
      <c r="F695" s="1">
        <v>2023</v>
      </c>
      <c r="G695" s="5">
        <v>538</v>
      </c>
      <c r="H695" s="5">
        <v>411.13</v>
      </c>
      <c r="I695" s="5">
        <v>9035.0499999999993</v>
      </c>
      <c r="K695" s="5">
        <v>0.03</v>
      </c>
      <c r="L695" s="5">
        <v>1E-3</v>
      </c>
      <c r="M695" s="5">
        <v>5950.2250000000004</v>
      </c>
      <c r="N695" s="6">
        <v>5.9400000000000001E-2</v>
      </c>
      <c r="O695" s="5">
        <v>1.125</v>
      </c>
      <c r="P695" s="6">
        <v>4.0300000000000002E-2</v>
      </c>
      <c r="Q695" s="5">
        <v>100110.92200000001</v>
      </c>
      <c r="R695" s="1" t="s">
        <v>44</v>
      </c>
      <c r="T695" s="1" t="s">
        <v>93</v>
      </c>
      <c r="V695" s="1" t="s">
        <v>223</v>
      </c>
      <c r="Y695" s="1" t="s">
        <v>247</v>
      </c>
      <c r="Z695" s="1" t="str">
        <f t="shared" si="30"/>
        <v>2322 17A</v>
      </c>
      <c r="AA695" s="3">
        <f>IF(INDEX('CAMD Facility Data 2023'!$AA$2:$AE$10000,MATCH(Z695,'CAMD Facility Data 2023'!$AE$2:$AE$10000,0),1)&gt;0,INDEX('CAMD Facility Data 2023'!$AA$2:$AE$10000,MATCH(Z695,'CAMD Facility Data 2023'!$AE$2:$AE$10000,0),1),"")</f>
        <v>39590</v>
      </c>
      <c r="AB695" s="5">
        <f>IF(INDEX('CAMD Facility Data 2023'!$AC$2:$AE$10000,MATCH(Z695,'CAMD Facility Data 2023'!$AE$2:$AE$10000,0),1)&gt;0,INDEX('CAMD Facility Data 2023'!$AC$2:$AE$10000,MATCH(Z695,'CAMD Facility Data 2023'!$AE$2:$AE$10000,0),1),"")</f>
        <v>328.4</v>
      </c>
      <c r="AC695" s="1" t="str">
        <f>IF(INDEX('CAMD Facility Data 2023'!$AE$2:$AG$10000,MATCH(Z695,'CAMD Facility Data 2023'!$AE$2:$AE$10000,0),3)&gt;0,INDEX('CAMD Facility Data 2023'!$AE$2:$AG$10000,MATCH(Z695,'CAMD Facility Data 2023'!$AE$2:$AE$10000,0),3),"")</f>
        <v>Y</v>
      </c>
      <c r="AD695" s="20">
        <f t="shared" si="31"/>
        <v>0.24903016585409049</v>
      </c>
      <c r="AE695" s="25">
        <f t="shared" si="32"/>
        <v>3.4799596354818441E-2</v>
      </c>
    </row>
    <row r="696" spans="1:31" x14ac:dyDescent="0.2">
      <c r="A696" s="1" t="s">
        <v>1903</v>
      </c>
      <c r="B696" s="1" t="s">
        <v>1904</v>
      </c>
      <c r="C696" s="1">
        <v>2322</v>
      </c>
      <c r="D696" s="1" t="s">
        <v>1925</v>
      </c>
      <c r="E696" s="1" t="s">
        <v>1923</v>
      </c>
      <c r="F696" s="1">
        <v>2023</v>
      </c>
      <c r="G696" s="5">
        <v>537</v>
      </c>
      <c r="H696" s="5">
        <v>410.16</v>
      </c>
      <c r="I696" s="5">
        <v>9012.43</v>
      </c>
      <c r="K696" s="5">
        <v>2.9000000000000001E-2</v>
      </c>
      <c r="L696" s="5">
        <v>1E-3</v>
      </c>
      <c r="M696" s="5">
        <v>5760.7780000000002</v>
      </c>
      <c r="N696" s="6">
        <v>5.9400000000000001E-2</v>
      </c>
      <c r="O696" s="5">
        <v>1.0780000000000001</v>
      </c>
      <c r="P696" s="6">
        <v>4.0899999999999999E-2</v>
      </c>
      <c r="Q696" s="5">
        <v>96922.248000000007</v>
      </c>
      <c r="R696" s="1" t="s">
        <v>44</v>
      </c>
      <c r="T696" s="1" t="s">
        <v>93</v>
      </c>
      <c r="V696" s="1" t="s">
        <v>223</v>
      </c>
      <c r="Y696" s="1" t="s">
        <v>247</v>
      </c>
      <c r="Z696" s="1" t="str">
        <f t="shared" si="30"/>
        <v>2322 17B</v>
      </c>
      <c r="AA696" s="3">
        <f>IF(INDEX('CAMD Facility Data 2023'!$AA$2:$AE$10000,MATCH(Z696,'CAMD Facility Data 2023'!$AE$2:$AE$10000,0),1)&gt;0,INDEX('CAMD Facility Data 2023'!$AA$2:$AE$10000,MATCH(Z696,'CAMD Facility Data 2023'!$AE$2:$AE$10000,0),1),"")</f>
        <v>39590</v>
      </c>
      <c r="AB696" s="5">
        <f>IF(INDEX('CAMD Facility Data 2023'!$AC$2:$AE$10000,MATCH(Z696,'CAMD Facility Data 2023'!$AE$2:$AE$10000,0),1)&gt;0,INDEX('CAMD Facility Data 2023'!$AC$2:$AE$10000,MATCH(Z696,'CAMD Facility Data 2023'!$AE$2:$AE$10000,0),1),"")</f>
        <v>328.4</v>
      </c>
      <c r="AC696" s="1" t="str">
        <f>IF(INDEX('CAMD Facility Data 2023'!$AE$2:$AG$10000,MATCH(Z696,'CAMD Facility Data 2023'!$AE$2:$AE$10000,0),3)&gt;0,INDEX('CAMD Facility Data 2023'!$AE$2:$AG$10000,MATCH(Z696,'CAMD Facility Data 2023'!$AE$2:$AE$10000,0),3),"")</f>
        <v>Y</v>
      </c>
      <c r="AD696" s="20">
        <f t="shared" si="31"/>
        <v>0.2392251590303614</v>
      </c>
      <c r="AE696" s="25">
        <f t="shared" si="32"/>
        <v>3.3691180151168808E-2</v>
      </c>
    </row>
    <row r="697" spans="1:31" x14ac:dyDescent="0.2">
      <c r="A697" s="1" t="s">
        <v>1903</v>
      </c>
      <c r="B697" s="1" t="s">
        <v>1904</v>
      </c>
      <c r="C697" s="1">
        <v>2322</v>
      </c>
      <c r="D697" s="1" t="s">
        <v>1926</v>
      </c>
      <c r="E697" s="1" t="s">
        <v>1927</v>
      </c>
      <c r="F697" s="1">
        <v>2023</v>
      </c>
      <c r="G697" s="5">
        <v>515</v>
      </c>
      <c r="H697" s="5">
        <v>388.89</v>
      </c>
      <c r="I697" s="5">
        <v>8291.18</v>
      </c>
      <c r="K697" s="5">
        <v>2.8000000000000001E-2</v>
      </c>
      <c r="L697" s="5">
        <v>1E-3</v>
      </c>
      <c r="M697" s="5">
        <v>5575.4970000000003</v>
      </c>
      <c r="N697" s="6">
        <v>5.9400000000000001E-2</v>
      </c>
      <c r="O697" s="5">
        <v>1.1160000000000001</v>
      </c>
      <c r="P697" s="6">
        <v>4.3200000000000002E-2</v>
      </c>
      <c r="Q697" s="5">
        <v>93825.241999999998</v>
      </c>
      <c r="R697" s="1" t="s">
        <v>44</v>
      </c>
      <c r="T697" s="1" t="s">
        <v>93</v>
      </c>
      <c r="V697" s="1" t="s">
        <v>223</v>
      </c>
      <c r="Y697" s="1" t="s">
        <v>247</v>
      </c>
      <c r="Z697" s="1" t="str">
        <f t="shared" si="30"/>
        <v>2322 18A</v>
      </c>
      <c r="AA697" s="3">
        <f>IF(INDEX('CAMD Facility Data 2023'!$AA$2:$AE$10000,MATCH(Z697,'CAMD Facility Data 2023'!$AE$2:$AE$10000,0),1)&gt;0,INDEX('CAMD Facility Data 2023'!$AA$2:$AE$10000,MATCH(Z697,'CAMD Facility Data 2023'!$AE$2:$AE$10000,0),1),"")</f>
        <v>39580</v>
      </c>
      <c r="AB697" s="5">
        <f>IF(INDEX('CAMD Facility Data 2023'!$AC$2:$AE$10000,MATCH(Z697,'CAMD Facility Data 2023'!$AE$2:$AE$10000,0),1)&gt;0,INDEX('CAMD Facility Data 2023'!$AC$2:$AE$10000,MATCH(Z697,'CAMD Facility Data 2023'!$AE$2:$AE$10000,0),1),"")</f>
        <v>328.4</v>
      </c>
      <c r="AC697" s="1" t="str">
        <f>IF(INDEX('CAMD Facility Data 2023'!$AE$2:$AG$10000,MATCH(Z697,'CAMD Facility Data 2023'!$AE$2:$AE$10000,0),3)&gt;0,INDEX('CAMD Facility Data 2023'!$AE$2:$AG$10000,MATCH(Z697,'CAMD Facility Data 2023'!$AE$2:$AE$10000,0),3),"")</f>
        <v>Y</v>
      </c>
      <c r="AD697" s="20">
        <f t="shared" si="31"/>
        <v>0.26920173003118975</v>
      </c>
      <c r="AE697" s="25">
        <f t="shared" si="32"/>
        <v>3.2614628696488859E-2</v>
      </c>
    </row>
    <row r="698" spans="1:31" x14ac:dyDescent="0.2">
      <c r="A698" s="1" t="s">
        <v>1903</v>
      </c>
      <c r="B698" s="1" t="s">
        <v>1904</v>
      </c>
      <c r="C698" s="1">
        <v>2322</v>
      </c>
      <c r="D698" s="1" t="s">
        <v>1929</v>
      </c>
      <c r="E698" s="1" t="s">
        <v>1927</v>
      </c>
      <c r="F698" s="1">
        <v>2023</v>
      </c>
      <c r="G698" s="5">
        <v>511</v>
      </c>
      <c r="H698" s="5">
        <v>383.53</v>
      </c>
      <c r="I698" s="5">
        <v>8245.16</v>
      </c>
      <c r="K698" s="5">
        <v>2.7E-2</v>
      </c>
      <c r="L698" s="5">
        <v>1E-3</v>
      </c>
      <c r="M698" s="5">
        <v>5304.2569999999996</v>
      </c>
      <c r="N698" s="6">
        <v>5.9400000000000001E-2</v>
      </c>
      <c r="O698" s="5">
        <v>1.05</v>
      </c>
      <c r="P698" s="6">
        <v>4.3400000000000001E-2</v>
      </c>
      <c r="Q698" s="5">
        <v>89250.298999999999</v>
      </c>
      <c r="R698" s="1" t="s">
        <v>44</v>
      </c>
      <c r="T698" s="1" t="s">
        <v>93</v>
      </c>
      <c r="V698" s="1" t="s">
        <v>223</v>
      </c>
      <c r="Y698" s="1" t="s">
        <v>247</v>
      </c>
      <c r="Z698" s="1" t="str">
        <f t="shared" si="30"/>
        <v>2322 18B</v>
      </c>
      <c r="AA698" s="3">
        <f>IF(INDEX('CAMD Facility Data 2023'!$AA$2:$AE$10000,MATCH(Z698,'CAMD Facility Data 2023'!$AE$2:$AE$10000,0),1)&gt;0,INDEX('CAMD Facility Data 2023'!$AA$2:$AE$10000,MATCH(Z698,'CAMD Facility Data 2023'!$AE$2:$AE$10000,0),1),"")</f>
        <v>39580</v>
      </c>
      <c r="AB698" s="5">
        <f>IF(INDEX('CAMD Facility Data 2023'!$AC$2:$AE$10000,MATCH(Z698,'CAMD Facility Data 2023'!$AE$2:$AE$10000,0),1)&gt;0,INDEX('CAMD Facility Data 2023'!$AC$2:$AE$10000,MATCH(Z698,'CAMD Facility Data 2023'!$AE$2:$AE$10000,0),1),"")</f>
        <v>328.4</v>
      </c>
      <c r="AC698" s="1" t="str">
        <f>IF(INDEX('CAMD Facility Data 2023'!$AE$2:$AG$10000,MATCH(Z698,'CAMD Facility Data 2023'!$AE$2:$AE$10000,0),3)&gt;0,INDEX('CAMD Facility Data 2023'!$AE$2:$AG$10000,MATCH(Z698,'CAMD Facility Data 2023'!$AE$2:$AE$10000,0),3),"")</f>
        <v>Y</v>
      </c>
      <c r="AD698" s="20">
        <f t="shared" si="31"/>
        <v>0.25469487553910414</v>
      </c>
      <c r="AE698" s="25">
        <f t="shared" si="32"/>
        <v>3.1024330989048884E-2</v>
      </c>
    </row>
    <row r="699" spans="1:31" x14ac:dyDescent="0.2">
      <c r="A699" s="1" t="s">
        <v>1903</v>
      </c>
      <c r="B699" s="1" t="s">
        <v>1904</v>
      </c>
      <c r="C699" s="1">
        <v>2322</v>
      </c>
      <c r="D699" s="1" t="s">
        <v>1930</v>
      </c>
      <c r="E699" s="1" t="s">
        <v>1931</v>
      </c>
      <c r="F699" s="1">
        <v>2023</v>
      </c>
      <c r="G699" s="5">
        <v>287</v>
      </c>
      <c r="H699" s="5">
        <v>193.22</v>
      </c>
      <c r="I699" s="5">
        <v>4137.67</v>
      </c>
      <c r="K699" s="5">
        <v>1.2999999999999999E-2</v>
      </c>
      <c r="L699" s="5">
        <v>1E-3</v>
      </c>
      <c r="M699" s="5">
        <v>2664.6309999999999</v>
      </c>
      <c r="N699" s="6">
        <v>5.9499999999999997E-2</v>
      </c>
      <c r="O699" s="5">
        <v>0.61199999999999999</v>
      </c>
      <c r="P699" s="6">
        <v>5.2299999999999999E-2</v>
      </c>
      <c r="Q699" s="5">
        <v>44842.042000000001</v>
      </c>
      <c r="R699" s="1" t="s">
        <v>44</v>
      </c>
      <c r="T699" s="1" t="s">
        <v>93</v>
      </c>
      <c r="V699" s="1" t="s">
        <v>223</v>
      </c>
      <c r="Y699" s="1" t="s">
        <v>247</v>
      </c>
      <c r="Z699" s="1" t="str">
        <f t="shared" si="30"/>
        <v>2322 19A</v>
      </c>
      <c r="AA699" s="3">
        <f>IF(INDEX('CAMD Facility Data 2023'!$AA$2:$AE$10000,MATCH(Z699,'CAMD Facility Data 2023'!$AE$2:$AE$10000,0),1)&gt;0,INDEX('CAMD Facility Data 2023'!$AA$2:$AE$10000,MATCH(Z699,'CAMD Facility Data 2023'!$AE$2:$AE$10000,0),1),"")</f>
        <v>39549</v>
      </c>
      <c r="AB699" s="5">
        <f>IF(INDEX('CAMD Facility Data 2023'!$AC$2:$AE$10000,MATCH(Z699,'CAMD Facility Data 2023'!$AE$2:$AE$10000,0),1)&gt;0,INDEX('CAMD Facility Data 2023'!$AC$2:$AE$10000,MATCH(Z699,'CAMD Facility Data 2023'!$AE$2:$AE$10000,0),1),"")</f>
        <v>328.4</v>
      </c>
      <c r="AC699" s="1" t="str">
        <f>IF(INDEX('CAMD Facility Data 2023'!$AE$2:$AG$10000,MATCH(Z699,'CAMD Facility Data 2023'!$AE$2:$AE$10000,0),3)&gt;0,INDEX('CAMD Facility Data 2023'!$AE$2:$AG$10000,MATCH(Z699,'CAMD Facility Data 2023'!$AE$2:$AE$10000,0),3),"")</f>
        <v>Y</v>
      </c>
      <c r="AD699" s="20">
        <f t="shared" si="31"/>
        <v>0.2958186612272124</v>
      </c>
      <c r="AE699" s="25">
        <f t="shared" si="32"/>
        <v>1.5587559580420358E-2</v>
      </c>
    </row>
    <row r="700" spans="1:31" x14ac:dyDescent="0.2">
      <c r="A700" s="1" t="s">
        <v>1903</v>
      </c>
      <c r="B700" s="1" t="s">
        <v>1904</v>
      </c>
      <c r="C700" s="1">
        <v>2322</v>
      </c>
      <c r="D700" s="1" t="s">
        <v>1933</v>
      </c>
      <c r="E700" s="1" t="s">
        <v>1931</v>
      </c>
      <c r="F700" s="1">
        <v>2023</v>
      </c>
      <c r="G700" s="5">
        <v>278</v>
      </c>
      <c r="H700" s="5">
        <v>190.54</v>
      </c>
      <c r="I700" s="5">
        <v>4106</v>
      </c>
      <c r="K700" s="5">
        <v>1.2999999999999999E-2</v>
      </c>
      <c r="L700" s="5">
        <v>1E-3</v>
      </c>
      <c r="M700" s="5">
        <v>2668.5880000000002</v>
      </c>
      <c r="N700" s="6">
        <v>5.9299999999999999E-2</v>
      </c>
      <c r="O700" s="5">
        <v>0.59599999999999997</v>
      </c>
      <c r="P700" s="6">
        <v>5.0999999999999997E-2</v>
      </c>
      <c r="Q700" s="5">
        <v>44905.254000000001</v>
      </c>
      <c r="R700" s="1" t="s">
        <v>44</v>
      </c>
      <c r="T700" s="1" t="s">
        <v>93</v>
      </c>
      <c r="V700" s="1" t="s">
        <v>223</v>
      </c>
      <c r="Y700" s="1" t="s">
        <v>247</v>
      </c>
      <c r="Z700" s="1" t="str">
        <f t="shared" si="30"/>
        <v>2322 19B</v>
      </c>
      <c r="AA700" s="3">
        <f>IF(INDEX('CAMD Facility Data 2023'!$AA$2:$AE$10000,MATCH(Z700,'CAMD Facility Data 2023'!$AE$2:$AE$10000,0),1)&gt;0,INDEX('CAMD Facility Data 2023'!$AA$2:$AE$10000,MATCH(Z700,'CAMD Facility Data 2023'!$AE$2:$AE$10000,0),1),"")</f>
        <v>39549</v>
      </c>
      <c r="AB700" s="5">
        <f>IF(INDEX('CAMD Facility Data 2023'!$AC$2:$AE$10000,MATCH(Z700,'CAMD Facility Data 2023'!$AE$2:$AE$10000,0),1)&gt;0,INDEX('CAMD Facility Data 2023'!$AC$2:$AE$10000,MATCH(Z700,'CAMD Facility Data 2023'!$AE$2:$AE$10000,0),1),"")</f>
        <v>328.4</v>
      </c>
      <c r="AC700" s="1" t="str">
        <f>IF(INDEX('CAMD Facility Data 2023'!$AE$2:$AG$10000,MATCH(Z700,'CAMD Facility Data 2023'!$AE$2:$AE$10000,0),3)&gt;0,INDEX('CAMD Facility Data 2023'!$AE$2:$AG$10000,MATCH(Z700,'CAMD Facility Data 2023'!$AE$2:$AE$10000,0),3),"")</f>
        <v>Y</v>
      </c>
      <c r="AD700" s="20">
        <f t="shared" si="31"/>
        <v>0.29030686799805161</v>
      </c>
      <c r="AE700" s="25">
        <f t="shared" si="32"/>
        <v>1.5609532728213171E-2</v>
      </c>
    </row>
    <row r="701" spans="1:31" x14ac:dyDescent="0.2">
      <c r="A701" s="1" t="s">
        <v>1903</v>
      </c>
      <c r="B701" s="1" t="s">
        <v>1904</v>
      </c>
      <c r="C701" s="1">
        <v>2322</v>
      </c>
      <c r="D701" s="1" t="s">
        <v>1934</v>
      </c>
      <c r="E701" s="1" t="s">
        <v>1935</v>
      </c>
      <c r="F701" s="1">
        <v>2023</v>
      </c>
      <c r="G701" s="5">
        <v>231</v>
      </c>
      <c r="H701" s="5">
        <v>148.24</v>
      </c>
      <c r="I701" s="5">
        <v>3062.03</v>
      </c>
      <c r="K701" s="5">
        <v>0.01</v>
      </c>
      <c r="L701" s="5">
        <v>1E-3</v>
      </c>
      <c r="M701" s="5">
        <v>2014.1759999999999</v>
      </c>
      <c r="N701" s="6">
        <v>5.9400000000000001E-2</v>
      </c>
      <c r="O701" s="5">
        <v>0.47699999999999998</v>
      </c>
      <c r="P701" s="6">
        <v>5.6000000000000001E-2</v>
      </c>
      <c r="Q701" s="5">
        <v>33890.038999999997</v>
      </c>
      <c r="R701" s="1" t="s">
        <v>44</v>
      </c>
      <c r="T701" s="1" t="s">
        <v>93</v>
      </c>
      <c r="V701" s="1" t="s">
        <v>223</v>
      </c>
      <c r="Y701" s="1" t="s">
        <v>247</v>
      </c>
      <c r="Z701" s="1" t="str">
        <f t="shared" si="30"/>
        <v>2322 20A</v>
      </c>
      <c r="AA701" s="3">
        <f>IF(INDEX('CAMD Facility Data 2023'!$AA$2:$AE$10000,MATCH(Z701,'CAMD Facility Data 2023'!$AE$2:$AE$10000,0),1)&gt;0,INDEX('CAMD Facility Data 2023'!$AA$2:$AE$10000,MATCH(Z701,'CAMD Facility Data 2023'!$AE$2:$AE$10000,0),1),"")</f>
        <v>39548</v>
      </c>
      <c r="AB701" s="5">
        <f>IF(INDEX('CAMD Facility Data 2023'!$AC$2:$AE$10000,MATCH(Z701,'CAMD Facility Data 2023'!$AE$2:$AE$10000,0),1)&gt;0,INDEX('CAMD Facility Data 2023'!$AC$2:$AE$10000,MATCH(Z701,'CAMD Facility Data 2023'!$AE$2:$AE$10000,0),1),"")</f>
        <v>328.4</v>
      </c>
      <c r="AC701" s="1" t="str">
        <f>IF(INDEX('CAMD Facility Data 2023'!$AE$2:$AG$10000,MATCH(Z701,'CAMD Facility Data 2023'!$AE$2:$AE$10000,0),3)&gt;0,INDEX('CAMD Facility Data 2023'!$AE$2:$AG$10000,MATCH(Z701,'CAMD Facility Data 2023'!$AE$2:$AE$10000,0),3),"")</f>
        <v>Y</v>
      </c>
      <c r="AD701" s="20">
        <f t="shared" si="31"/>
        <v>0.31155801870001271</v>
      </c>
      <c r="AE701" s="25">
        <f t="shared" si="32"/>
        <v>1.1780529577472621E-2</v>
      </c>
    </row>
    <row r="702" spans="1:31" x14ac:dyDescent="0.2">
      <c r="A702" s="1" t="s">
        <v>1903</v>
      </c>
      <c r="B702" s="1" t="s">
        <v>1904</v>
      </c>
      <c r="C702" s="1">
        <v>2322</v>
      </c>
      <c r="D702" s="1" t="s">
        <v>1937</v>
      </c>
      <c r="E702" s="1" t="s">
        <v>1935</v>
      </c>
      <c r="F702" s="1">
        <v>2023</v>
      </c>
      <c r="G702" s="5">
        <v>225</v>
      </c>
      <c r="H702" s="5">
        <v>148.59</v>
      </c>
      <c r="I702" s="5">
        <v>3085.41</v>
      </c>
      <c r="K702" s="5">
        <v>0.01</v>
      </c>
      <c r="L702" s="5">
        <v>1E-3</v>
      </c>
      <c r="M702" s="5">
        <v>2062.4259999999999</v>
      </c>
      <c r="N702" s="6">
        <v>5.9700000000000003E-2</v>
      </c>
      <c r="O702" s="5">
        <v>0.45300000000000001</v>
      </c>
      <c r="P702" s="6">
        <v>5.4899999999999997E-2</v>
      </c>
      <c r="Q702" s="5">
        <v>34709.908000000003</v>
      </c>
      <c r="R702" s="1" t="s">
        <v>44</v>
      </c>
      <c r="T702" s="1" t="s">
        <v>93</v>
      </c>
      <c r="V702" s="1" t="s">
        <v>223</v>
      </c>
      <c r="Y702" s="1" t="s">
        <v>247</v>
      </c>
      <c r="Z702" s="1" t="str">
        <f t="shared" si="30"/>
        <v>2322 20B</v>
      </c>
      <c r="AA702" s="3">
        <f>IF(INDEX('CAMD Facility Data 2023'!$AA$2:$AE$10000,MATCH(Z702,'CAMD Facility Data 2023'!$AE$2:$AE$10000,0),1)&gt;0,INDEX('CAMD Facility Data 2023'!$AA$2:$AE$10000,MATCH(Z702,'CAMD Facility Data 2023'!$AE$2:$AE$10000,0),1),"")</f>
        <v>39548</v>
      </c>
      <c r="AB702" s="5">
        <f>IF(INDEX('CAMD Facility Data 2023'!$AC$2:$AE$10000,MATCH(Z702,'CAMD Facility Data 2023'!$AE$2:$AE$10000,0),1)&gt;0,INDEX('CAMD Facility Data 2023'!$AC$2:$AE$10000,MATCH(Z702,'CAMD Facility Data 2023'!$AE$2:$AE$10000,0),1),"")</f>
        <v>328.4</v>
      </c>
      <c r="AC702" s="1" t="str">
        <f>IF(INDEX('CAMD Facility Data 2023'!$AE$2:$AG$10000,MATCH(Z702,'CAMD Facility Data 2023'!$AE$2:$AE$10000,0),3)&gt;0,INDEX('CAMD Facility Data 2023'!$AE$2:$AG$10000,MATCH(Z702,'CAMD Facility Data 2023'!$AE$2:$AE$10000,0),3),"")</f>
        <v>Y</v>
      </c>
      <c r="AD702" s="20">
        <f t="shared" si="31"/>
        <v>0.29364006728441278</v>
      </c>
      <c r="AE702" s="25">
        <f t="shared" si="32"/>
        <v>1.2065524557978633E-2</v>
      </c>
    </row>
    <row r="703" spans="1:31" x14ac:dyDescent="0.2">
      <c r="A703" s="1" t="s">
        <v>1903</v>
      </c>
      <c r="B703" s="1" t="s">
        <v>1904</v>
      </c>
      <c r="C703" s="1">
        <v>2322</v>
      </c>
      <c r="D703" s="1" t="s">
        <v>1938</v>
      </c>
      <c r="E703" s="1" t="s">
        <v>1939</v>
      </c>
      <c r="F703" s="1">
        <v>2023</v>
      </c>
      <c r="G703" s="5">
        <v>292</v>
      </c>
      <c r="H703" s="5">
        <v>202.73</v>
      </c>
      <c r="I703" s="5">
        <v>4506.62</v>
      </c>
      <c r="K703" s="5">
        <v>1.4999999999999999E-2</v>
      </c>
      <c r="L703" s="5">
        <v>1E-3</v>
      </c>
      <c r="M703" s="5">
        <v>3054.723</v>
      </c>
      <c r="N703" s="6">
        <v>0.06</v>
      </c>
      <c r="O703" s="5">
        <v>0.67700000000000005</v>
      </c>
      <c r="P703" s="6">
        <v>4.7699999999999999E-2</v>
      </c>
      <c r="Q703" s="5">
        <v>51403.911999999997</v>
      </c>
      <c r="R703" s="1" t="s">
        <v>44</v>
      </c>
      <c r="T703" s="1" t="s">
        <v>93</v>
      </c>
      <c r="V703" s="1" t="s">
        <v>223</v>
      </c>
      <c r="Y703" s="1" t="s">
        <v>247</v>
      </c>
      <c r="Z703" s="1" t="str">
        <f t="shared" si="30"/>
        <v>2322 21A</v>
      </c>
      <c r="AA703" s="3">
        <f>IF(INDEX('CAMD Facility Data 2023'!$AA$2:$AE$10000,MATCH(Z703,'CAMD Facility Data 2023'!$AE$2:$AE$10000,0),1)&gt;0,INDEX('CAMD Facility Data 2023'!$AA$2:$AE$10000,MATCH(Z703,'CAMD Facility Data 2023'!$AE$2:$AE$10000,0),1),"")</f>
        <v>39558</v>
      </c>
      <c r="AB703" s="5">
        <f>IF(INDEX('CAMD Facility Data 2023'!$AC$2:$AE$10000,MATCH(Z703,'CAMD Facility Data 2023'!$AE$2:$AE$10000,0),1)&gt;0,INDEX('CAMD Facility Data 2023'!$AC$2:$AE$10000,MATCH(Z703,'CAMD Facility Data 2023'!$AE$2:$AE$10000,0),1),"")</f>
        <v>328.4</v>
      </c>
      <c r="AC703" s="1" t="str">
        <f>IF(INDEX('CAMD Facility Data 2023'!$AE$2:$AG$10000,MATCH(Z703,'CAMD Facility Data 2023'!$AE$2:$AE$10000,0),3)&gt;0,INDEX('CAMD Facility Data 2023'!$AE$2:$AG$10000,MATCH(Z703,'CAMD Facility Data 2023'!$AE$2:$AE$10000,0),3),"")</f>
        <v>Y</v>
      </c>
      <c r="AD703" s="20">
        <f t="shared" si="31"/>
        <v>0.30044689811876751</v>
      </c>
      <c r="AE703" s="25">
        <f t="shared" si="32"/>
        <v>1.7868533751578149E-2</v>
      </c>
    </row>
    <row r="704" spans="1:31" x14ac:dyDescent="0.2">
      <c r="A704" s="1" t="s">
        <v>1903</v>
      </c>
      <c r="B704" s="1" t="s">
        <v>1904</v>
      </c>
      <c r="C704" s="1">
        <v>2322</v>
      </c>
      <c r="D704" s="1" t="s">
        <v>1941</v>
      </c>
      <c r="E704" s="1" t="s">
        <v>1939</v>
      </c>
      <c r="F704" s="1">
        <v>2023</v>
      </c>
      <c r="G704" s="5">
        <v>286</v>
      </c>
      <c r="H704" s="5">
        <v>199.62</v>
      </c>
      <c r="I704" s="5">
        <v>4461.6099999999997</v>
      </c>
      <c r="K704" s="5">
        <v>1.4E-2</v>
      </c>
      <c r="L704" s="5">
        <v>1E-3</v>
      </c>
      <c r="M704" s="5">
        <v>2825.1950000000002</v>
      </c>
      <c r="N704" s="6">
        <v>5.9700000000000003E-2</v>
      </c>
      <c r="O704" s="5">
        <v>0.59799999999999998</v>
      </c>
      <c r="P704" s="6">
        <v>4.7699999999999999E-2</v>
      </c>
      <c r="Q704" s="5">
        <v>47524.347000000002</v>
      </c>
      <c r="R704" s="1" t="s">
        <v>44</v>
      </c>
      <c r="T704" s="1" t="s">
        <v>93</v>
      </c>
      <c r="V704" s="1" t="s">
        <v>223</v>
      </c>
      <c r="Y704" s="1" t="s">
        <v>247</v>
      </c>
      <c r="Z704" s="1" t="str">
        <f t="shared" si="30"/>
        <v>2322 21B</v>
      </c>
      <c r="AA704" s="3">
        <f>IF(INDEX('CAMD Facility Data 2023'!$AA$2:$AE$10000,MATCH(Z704,'CAMD Facility Data 2023'!$AE$2:$AE$10000,0),1)&gt;0,INDEX('CAMD Facility Data 2023'!$AA$2:$AE$10000,MATCH(Z704,'CAMD Facility Data 2023'!$AE$2:$AE$10000,0),1),"")</f>
        <v>39558</v>
      </c>
      <c r="AB704" s="5">
        <f>IF(INDEX('CAMD Facility Data 2023'!$AC$2:$AE$10000,MATCH(Z704,'CAMD Facility Data 2023'!$AE$2:$AE$10000,0),1)&gt;0,INDEX('CAMD Facility Data 2023'!$AC$2:$AE$10000,MATCH(Z704,'CAMD Facility Data 2023'!$AE$2:$AE$10000,0),1),"")</f>
        <v>328.4</v>
      </c>
      <c r="AC704" s="1" t="str">
        <f>IF(INDEX('CAMD Facility Data 2023'!$AE$2:$AG$10000,MATCH(Z704,'CAMD Facility Data 2023'!$AE$2:$AE$10000,0),3)&gt;0,INDEX('CAMD Facility Data 2023'!$AE$2:$AG$10000,MATCH(Z704,'CAMD Facility Data 2023'!$AE$2:$AE$10000,0),3),"")</f>
        <v>Y</v>
      </c>
      <c r="AD704" s="20">
        <f t="shared" si="31"/>
        <v>0.26806466723895633</v>
      </c>
      <c r="AE704" s="25">
        <f t="shared" si="32"/>
        <v>1.651995665993693E-2</v>
      </c>
    </row>
    <row r="705" spans="1:31" x14ac:dyDescent="0.2">
      <c r="A705" s="1" t="s">
        <v>1903</v>
      </c>
      <c r="B705" s="1" t="s">
        <v>1904</v>
      </c>
      <c r="C705" s="1">
        <v>2322</v>
      </c>
      <c r="D705" s="1" t="s">
        <v>1942</v>
      </c>
      <c r="E705" s="1" t="s">
        <v>1943</v>
      </c>
      <c r="F705" s="1">
        <v>2023</v>
      </c>
      <c r="G705" s="5">
        <v>161</v>
      </c>
      <c r="H705" s="5">
        <v>117.15</v>
      </c>
      <c r="I705" s="5">
        <v>2679.78</v>
      </c>
      <c r="K705" s="5">
        <v>8.9999999999999993E-3</v>
      </c>
      <c r="L705" s="5">
        <v>1E-3</v>
      </c>
      <c r="M705" s="5">
        <v>1699.729</v>
      </c>
      <c r="N705" s="6">
        <v>5.9299999999999999E-2</v>
      </c>
      <c r="O705" s="5">
        <v>0.32</v>
      </c>
      <c r="P705" s="6">
        <v>3.5099999999999999E-2</v>
      </c>
      <c r="Q705" s="5">
        <v>28600.847000000002</v>
      </c>
      <c r="R705" s="1" t="s">
        <v>44</v>
      </c>
      <c r="T705" s="1" t="s">
        <v>93</v>
      </c>
      <c r="V705" s="1" t="s">
        <v>223</v>
      </c>
      <c r="Y705" s="1" t="s">
        <v>247</v>
      </c>
      <c r="Z705" s="1" t="str">
        <f t="shared" si="30"/>
        <v>2322 22A</v>
      </c>
      <c r="AA705" s="3">
        <f>IF(INDEX('CAMD Facility Data 2023'!$AA$2:$AE$10000,MATCH(Z705,'CAMD Facility Data 2023'!$AE$2:$AE$10000,0),1)&gt;0,INDEX('CAMD Facility Data 2023'!$AA$2:$AE$10000,MATCH(Z705,'CAMD Facility Data 2023'!$AE$2:$AE$10000,0),1),"")</f>
        <v>39558</v>
      </c>
      <c r="AB705" s="5">
        <f>IF(INDEX('CAMD Facility Data 2023'!$AC$2:$AE$10000,MATCH(Z705,'CAMD Facility Data 2023'!$AE$2:$AE$10000,0),1)&gt;0,INDEX('CAMD Facility Data 2023'!$AC$2:$AE$10000,MATCH(Z705,'CAMD Facility Data 2023'!$AE$2:$AE$10000,0),1),"")</f>
        <v>328.4</v>
      </c>
      <c r="AC705" s="1" t="str">
        <f>IF(INDEX('CAMD Facility Data 2023'!$AE$2:$AG$10000,MATCH(Z705,'CAMD Facility Data 2023'!$AE$2:$AE$10000,0),3)&gt;0,INDEX('CAMD Facility Data 2023'!$AE$2:$AG$10000,MATCH(Z705,'CAMD Facility Data 2023'!$AE$2:$AE$10000,0),3),"")</f>
        <v>Y</v>
      </c>
      <c r="AD705" s="20">
        <f t="shared" si="31"/>
        <v>0.23882557523378783</v>
      </c>
      <c r="AE705" s="25">
        <f t="shared" si="32"/>
        <v>9.9419514986179014E-3</v>
      </c>
    </row>
    <row r="706" spans="1:31" x14ac:dyDescent="0.2">
      <c r="A706" s="1" t="s">
        <v>1903</v>
      </c>
      <c r="B706" s="1" t="s">
        <v>1904</v>
      </c>
      <c r="C706" s="1">
        <v>2322</v>
      </c>
      <c r="D706" s="1" t="s">
        <v>1945</v>
      </c>
      <c r="E706" s="1" t="s">
        <v>1943</v>
      </c>
      <c r="F706" s="1">
        <v>2023</v>
      </c>
      <c r="G706" s="5">
        <v>163</v>
      </c>
      <c r="H706" s="5">
        <v>117.8</v>
      </c>
      <c r="I706" s="5">
        <v>2688.12</v>
      </c>
      <c r="K706" s="5">
        <v>8.9999999999999993E-3</v>
      </c>
      <c r="L706" s="5">
        <v>1E-3</v>
      </c>
      <c r="M706" s="5">
        <v>1748.9839999999999</v>
      </c>
      <c r="N706" s="6">
        <v>5.9400000000000001E-2</v>
      </c>
      <c r="O706" s="5">
        <v>0.311</v>
      </c>
      <c r="P706" s="6">
        <v>3.4799999999999998E-2</v>
      </c>
      <c r="Q706" s="5">
        <v>29420.672999999999</v>
      </c>
      <c r="R706" s="1" t="s">
        <v>44</v>
      </c>
      <c r="T706" s="1" t="s">
        <v>93</v>
      </c>
      <c r="V706" s="1" t="s">
        <v>223</v>
      </c>
      <c r="Y706" s="1" t="s">
        <v>247</v>
      </c>
      <c r="Z706" s="1" t="str">
        <f t="shared" si="30"/>
        <v>2322 22B</v>
      </c>
      <c r="AA706" s="3">
        <f>IF(INDEX('CAMD Facility Data 2023'!$AA$2:$AE$10000,MATCH(Z706,'CAMD Facility Data 2023'!$AE$2:$AE$10000,0),1)&gt;0,INDEX('CAMD Facility Data 2023'!$AA$2:$AE$10000,MATCH(Z706,'CAMD Facility Data 2023'!$AE$2:$AE$10000,0),1),"")</f>
        <v>39558</v>
      </c>
      <c r="AB706" s="5">
        <f>IF(INDEX('CAMD Facility Data 2023'!$AC$2:$AE$10000,MATCH(Z706,'CAMD Facility Data 2023'!$AE$2:$AE$10000,0),1)&gt;0,INDEX('CAMD Facility Data 2023'!$AC$2:$AE$10000,MATCH(Z706,'CAMD Facility Data 2023'!$AE$2:$AE$10000,0),1),"")</f>
        <v>328.4</v>
      </c>
      <c r="AC706" s="1" t="str">
        <f>IF(INDEX('CAMD Facility Data 2023'!$AE$2:$AG$10000,MATCH(Z706,'CAMD Facility Data 2023'!$AE$2:$AE$10000,0),3)&gt;0,INDEX('CAMD Facility Data 2023'!$AE$2:$AG$10000,MATCH(Z706,'CAMD Facility Data 2023'!$AE$2:$AE$10000,0),3),"")</f>
        <v>Y</v>
      </c>
      <c r="AD706" s="20">
        <f t="shared" si="31"/>
        <v>0.23138847968096662</v>
      </c>
      <c r="AE706" s="25">
        <f t="shared" si="32"/>
        <v>1.0226931531877263E-2</v>
      </c>
    </row>
    <row r="707" spans="1:31" x14ac:dyDescent="0.2">
      <c r="A707" s="1" t="s">
        <v>1903</v>
      </c>
      <c r="B707" s="1" t="s">
        <v>1946</v>
      </c>
      <c r="C707" s="1">
        <v>2330</v>
      </c>
      <c r="D707" s="1">
        <v>1</v>
      </c>
      <c r="F707" s="1">
        <v>2023</v>
      </c>
      <c r="G707" s="5">
        <v>5385</v>
      </c>
      <c r="H707" s="5">
        <v>5300.5</v>
      </c>
      <c r="I707" s="5">
        <v>223058.74</v>
      </c>
      <c r="K707" s="5">
        <v>0.75800000000000001</v>
      </c>
      <c r="L707" s="5">
        <v>1E-3</v>
      </c>
      <c r="M707" s="5">
        <v>150113.62</v>
      </c>
      <c r="N707" s="6">
        <v>5.9200000000000003E-2</v>
      </c>
      <c r="O707" s="5">
        <v>177.58699999999999</v>
      </c>
      <c r="P707" s="6">
        <v>0.1406</v>
      </c>
      <c r="Q707" s="5">
        <v>2525952.9440000001</v>
      </c>
      <c r="R707" s="1" t="s">
        <v>44</v>
      </c>
      <c r="T707" s="1" t="s">
        <v>89</v>
      </c>
      <c r="V707" s="1" t="s">
        <v>289</v>
      </c>
      <c r="Y707" s="1" t="s">
        <v>247</v>
      </c>
      <c r="Z707" s="1" t="str">
        <f t="shared" ref="Z707:Z770" si="33">C707&amp;" "&amp;D707</f>
        <v>2330 1</v>
      </c>
      <c r="AA707" s="3">
        <f>IF(INDEX('CAMD Facility Data 2023'!$AA$2:$AE$10000,MATCH(Z707,'CAMD Facility Data 2023'!$AE$2:$AE$10000,0),1)&gt;0,INDEX('CAMD Facility Data 2023'!$AA$2:$AE$10000,MATCH(Z707,'CAMD Facility Data 2023'!$AE$2:$AE$10000,0),1),"")</f>
        <v>25020</v>
      </c>
      <c r="AB707" s="5">
        <f>IF(INDEX('CAMD Facility Data 2023'!$AC$2:$AE$10000,MATCH(Z707,'CAMD Facility Data 2023'!$AE$2:$AE$10000,0),1)&gt;0,INDEX('CAMD Facility Data 2023'!$AC$2:$AE$10000,MATCH(Z707,'CAMD Facility Data 2023'!$AE$2:$AE$10000,0),1),"")</f>
        <v>1319.8</v>
      </c>
      <c r="AC707" s="1" t="str">
        <f>IF(INDEX('CAMD Facility Data 2023'!$AE$2:$AG$10000,MATCH(Z707,'CAMD Facility Data 2023'!$AE$2:$AE$10000,0),3)&gt;0,INDEX('CAMD Facility Data 2023'!$AE$2:$AG$10000,MATCH(Z707,'CAMD Facility Data 2023'!$AE$2:$AE$10000,0),3),"")</f>
        <v/>
      </c>
      <c r="AD707" s="20">
        <f t="shared" ref="AD707:AD770" si="34">IF(ISNUMBER(O707*2000/I707),O707*2000/I707,"")</f>
        <v>1.5922890983783016</v>
      </c>
      <c r="AE707" s="25">
        <f t="shared" ref="AE707:AE770" si="35">Q707/(AB707*8760)</f>
        <v>0.21848067335510224</v>
      </c>
    </row>
    <row r="708" spans="1:31" x14ac:dyDescent="0.2">
      <c r="A708" s="1" t="s">
        <v>1903</v>
      </c>
      <c r="B708" s="1" t="s">
        <v>1946</v>
      </c>
      <c r="C708" s="1">
        <v>2330</v>
      </c>
      <c r="D708" s="1">
        <v>2</v>
      </c>
      <c r="F708" s="1">
        <v>2023</v>
      </c>
      <c r="G708" s="5">
        <v>5035</v>
      </c>
      <c r="H708" s="5">
        <v>4913.3999999999996</v>
      </c>
      <c r="I708" s="5">
        <v>219035.3</v>
      </c>
      <c r="K708" s="5">
        <v>0.72899999999999998</v>
      </c>
      <c r="L708" s="5">
        <v>1E-3</v>
      </c>
      <c r="M708" s="5">
        <v>144463.274</v>
      </c>
      <c r="N708" s="6">
        <v>5.91E-2</v>
      </c>
      <c r="O708" s="5">
        <v>149.30199999999999</v>
      </c>
      <c r="P708" s="6">
        <v>0.1241</v>
      </c>
      <c r="Q708" s="5">
        <v>2430880.733</v>
      </c>
      <c r="R708" s="1" t="s">
        <v>44</v>
      </c>
      <c r="T708" s="1" t="s">
        <v>89</v>
      </c>
      <c r="Y708" s="1" t="s">
        <v>247</v>
      </c>
      <c r="Z708" s="1" t="str">
        <f t="shared" si="33"/>
        <v>2330 2</v>
      </c>
      <c r="AA708" s="3">
        <f>IF(INDEX('CAMD Facility Data 2023'!$AA$2:$AE$10000,MATCH(Z708,'CAMD Facility Data 2023'!$AE$2:$AE$10000,0),1)&gt;0,INDEX('CAMD Facility Data 2023'!$AA$2:$AE$10000,MATCH(Z708,'CAMD Facility Data 2023'!$AE$2:$AE$10000,0),1),"")</f>
        <v>26085</v>
      </c>
      <c r="AB708" s="5">
        <f>IF(INDEX('CAMD Facility Data 2023'!$AC$2:$AE$10000,MATCH(Z708,'CAMD Facility Data 2023'!$AE$2:$AE$10000,0),1)&gt;0,INDEX('CAMD Facility Data 2023'!$AC$2:$AE$10000,MATCH(Z708,'CAMD Facility Data 2023'!$AE$2:$AE$10000,0),1),"")</f>
        <v>1320</v>
      </c>
      <c r="AC708" s="1" t="str">
        <f>IF(INDEX('CAMD Facility Data 2023'!$AE$2:$AG$10000,MATCH(Z708,'CAMD Facility Data 2023'!$AE$2:$AE$10000,0),3)&gt;0,INDEX('CAMD Facility Data 2023'!$AE$2:$AG$10000,MATCH(Z708,'CAMD Facility Data 2023'!$AE$2:$AE$10000,0),3),"")</f>
        <v/>
      </c>
      <c r="AD708" s="20">
        <f t="shared" si="34"/>
        <v>1.3632688429673208</v>
      </c>
      <c r="AE708" s="25">
        <f t="shared" si="35"/>
        <v>0.21022560649301231</v>
      </c>
    </row>
    <row r="709" spans="1:31" x14ac:dyDescent="0.2">
      <c r="A709" s="1" t="s">
        <v>1903</v>
      </c>
      <c r="B709" s="1" t="s">
        <v>1952</v>
      </c>
      <c r="C709" s="1">
        <v>2336</v>
      </c>
      <c r="D709" s="1">
        <v>3</v>
      </c>
      <c r="F709" s="1">
        <v>2023</v>
      </c>
      <c r="G709" s="5">
        <v>881</v>
      </c>
      <c r="H709" s="5">
        <v>840.52</v>
      </c>
      <c r="I709" s="5">
        <v>42154.29</v>
      </c>
      <c r="K709" s="5">
        <v>0.14799999999999999</v>
      </c>
      <c r="L709" s="5">
        <v>1E-3</v>
      </c>
      <c r="M709" s="5">
        <v>29291.620999999999</v>
      </c>
      <c r="N709" s="6">
        <v>5.9200000000000003E-2</v>
      </c>
      <c r="O709" s="5">
        <v>32.600999999999999</v>
      </c>
      <c r="P709" s="6">
        <v>0.1201</v>
      </c>
      <c r="Q709" s="5">
        <v>492879.97700000001</v>
      </c>
      <c r="R709" s="1" t="s">
        <v>44</v>
      </c>
      <c r="T709" s="1" t="s">
        <v>89</v>
      </c>
      <c r="Y709" s="1" t="s">
        <v>247</v>
      </c>
      <c r="Z709" s="1" t="str">
        <f t="shared" si="33"/>
        <v>2336 3</v>
      </c>
      <c r="AA709" s="3">
        <f>IF(INDEX('CAMD Facility Data 2023'!$AA$2:$AE$10000,MATCH(Z709,'CAMD Facility Data 2023'!$AE$2:$AE$10000,0),1)&gt;0,INDEX('CAMD Facility Data 2023'!$AA$2:$AE$10000,MATCH(Z709,'CAMD Facility Data 2023'!$AE$2:$AE$10000,0),1),"")</f>
        <v>27377</v>
      </c>
      <c r="AB709" s="5">
        <f>IF(INDEX('CAMD Facility Data 2023'!$AC$2:$AE$10000,MATCH(Z709,'CAMD Facility Data 2023'!$AE$2:$AE$10000,0),1)&gt;0,INDEX('CAMD Facility Data 2023'!$AC$2:$AE$10000,MATCH(Z709,'CAMD Facility Data 2023'!$AE$2:$AE$10000,0),1),"")</f>
        <v>1150</v>
      </c>
      <c r="AC709" s="1" t="str">
        <f>IF(INDEX('CAMD Facility Data 2023'!$AE$2:$AG$10000,MATCH(Z709,'CAMD Facility Data 2023'!$AE$2:$AE$10000,0),3)&gt;0,INDEX('CAMD Facility Data 2023'!$AE$2:$AG$10000,MATCH(Z709,'CAMD Facility Data 2023'!$AE$2:$AE$10000,0),3),"")</f>
        <v/>
      </c>
      <c r="AD709" s="20">
        <f t="shared" si="34"/>
        <v>1.5467464877240251</v>
      </c>
      <c r="AE709" s="25">
        <f t="shared" si="35"/>
        <v>4.8925945701806632E-2</v>
      </c>
    </row>
    <row r="710" spans="1:31" x14ac:dyDescent="0.2">
      <c r="A710" s="1" t="s">
        <v>1903</v>
      </c>
      <c r="B710" s="1" t="s">
        <v>1952</v>
      </c>
      <c r="C710" s="1">
        <v>2336</v>
      </c>
      <c r="D710" s="1">
        <v>4</v>
      </c>
      <c r="F710" s="1">
        <v>2023</v>
      </c>
      <c r="G710" s="5">
        <v>1095</v>
      </c>
      <c r="H710" s="5">
        <v>976.58</v>
      </c>
      <c r="I710" s="5">
        <v>46012.27</v>
      </c>
      <c r="K710" s="5">
        <v>0.187</v>
      </c>
      <c r="L710" s="5">
        <v>1E-3</v>
      </c>
      <c r="M710" s="5">
        <v>37137.016000000003</v>
      </c>
      <c r="N710" s="6">
        <v>5.8999999999999997E-2</v>
      </c>
      <c r="O710" s="5">
        <v>9.5570000000000004</v>
      </c>
      <c r="P710" s="6">
        <v>3.7100000000000001E-2</v>
      </c>
      <c r="Q710" s="5">
        <v>624901.62800000003</v>
      </c>
      <c r="R710" s="1" t="s">
        <v>44</v>
      </c>
      <c r="S710" s="1" t="s">
        <v>94</v>
      </c>
      <c r="T710" s="1" t="s">
        <v>93</v>
      </c>
      <c r="V710" s="1" t="s">
        <v>140</v>
      </c>
      <c r="Y710" s="1" t="s">
        <v>247</v>
      </c>
      <c r="Z710" s="1" t="str">
        <f t="shared" si="33"/>
        <v>2336 4</v>
      </c>
      <c r="AA710" s="3">
        <f>IF(INDEX('CAMD Facility Data 2023'!$AA$2:$AE$10000,MATCH(Z710,'CAMD Facility Data 2023'!$AE$2:$AE$10000,0),1)&gt;0,INDEX('CAMD Facility Data 2023'!$AA$2:$AE$10000,MATCH(Z710,'CAMD Facility Data 2023'!$AE$2:$AE$10000,0),1),"")</f>
        <v>34502</v>
      </c>
      <c r="AB710" s="5">
        <f>IF(INDEX('CAMD Facility Data 2023'!$AC$2:$AE$10000,MATCH(Z710,'CAMD Facility Data 2023'!$AE$2:$AE$10000,0),1)&gt;0,INDEX('CAMD Facility Data 2023'!$AC$2:$AE$10000,MATCH(Z710,'CAMD Facility Data 2023'!$AE$2:$AE$10000,0),1),"")</f>
        <v>1011</v>
      </c>
      <c r="AC710" s="1" t="str">
        <f>IF(INDEX('CAMD Facility Data 2023'!$AE$2:$AG$10000,MATCH(Z710,'CAMD Facility Data 2023'!$AE$2:$AE$10000,0),3)&gt;0,INDEX('CAMD Facility Data 2023'!$AE$2:$AG$10000,MATCH(Z710,'CAMD Facility Data 2023'!$AE$2:$AE$10000,0),3),"")</f>
        <v/>
      </c>
      <c r="AD710" s="20">
        <f t="shared" si="34"/>
        <v>0.41541093277945212</v>
      </c>
      <c r="AE710" s="25">
        <f t="shared" si="35"/>
        <v>7.055964617517807E-2</v>
      </c>
    </row>
    <row r="711" spans="1:31" x14ac:dyDescent="0.2">
      <c r="A711" s="1" t="s">
        <v>1903</v>
      </c>
      <c r="B711" s="1" t="s">
        <v>1952</v>
      </c>
      <c r="C711" s="1">
        <v>2336</v>
      </c>
      <c r="D711" s="1">
        <v>5</v>
      </c>
      <c r="F711" s="1">
        <v>2023</v>
      </c>
      <c r="G711" s="5">
        <v>1793</v>
      </c>
      <c r="H711" s="5">
        <v>1690.55</v>
      </c>
      <c r="I711" s="5">
        <v>75875.759999999995</v>
      </c>
      <c r="K711" s="5">
        <v>0.312</v>
      </c>
      <c r="L711" s="5">
        <v>1E-3</v>
      </c>
      <c r="M711" s="5">
        <v>61878.186000000002</v>
      </c>
      <c r="N711" s="6">
        <v>5.8999999999999997E-2</v>
      </c>
      <c r="O711" s="5">
        <v>13.949</v>
      </c>
      <c r="P711" s="6">
        <v>2.87E-2</v>
      </c>
      <c r="Q711" s="5">
        <v>1041237.423</v>
      </c>
      <c r="R711" s="1" t="s">
        <v>44</v>
      </c>
      <c r="S711" s="1" t="s">
        <v>94</v>
      </c>
      <c r="T711" s="1" t="s">
        <v>93</v>
      </c>
      <c r="V711" s="1" t="s">
        <v>140</v>
      </c>
      <c r="Y711" s="1" t="s">
        <v>247</v>
      </c>
      <c r="Z711" s="1" t="str">
        <f t="shared" si="33"/>
        <v>2336 5</v>
      </c>
      <c r="AA711" s="3">
        <f>IF(INDEX('CAMD Facility Data 2023'!$AA$2:$AE$10000,MATCH(Z711,'CAMD Facility Data 2023'!$AE$2:$AE$10000,0),1)&gt;0,INDEX('CAMD Facility Data 2023'!$AA$2:$AE$10000,MATCH(Z711,'CAMD Facility Data 2023'!$AE$2:$AE$10000,0),1),"")</f>
        <v>34502</v>
      </c>
      <c r="AB711" s="5">
        <f>IF(INDEX('CAMD Facility Data 2023'!$AC$2:$AE$10000,MATCH(Z711,'CAMD Facility Data 2023'!$AE$2:$AE$10000,0),1)&gt;0,INDEX('CAMD Facility Data 2023'!$AC$2:$AE$10000,MATCH(Z711,'CAMD Facility Data 2023'!$AE$2:$AE$10000,0),1),"")</f>
        <v>1011</v>
      </c>
      <c r="AC711" s="1" t="str">
        <f>IF(INDEX('CAMD Facility Data 2023'!$AE$2:$AG$10000,MATCH(Z711,'CAMD Facility Data 2023'!$AE$2:$AE$10000,0),3)&gt;0,INDEX('CAMD Facility Data 2023'!$AE$2:$AG$10000,MATCH(Z711,'CAMD Facility Data 2023'!$AE$2:$AE$10000,0),3),"")</f>
        <v/>
      </c>
      <c r="AD711" s="20">
        <f t="shared" si="34"/>
        <v>0.36768000742266044</v>
      </c>
      <c r="AE711" s="25">
        <f t="shared" si="35"/>
        <v>0.11756945550993861</v>
      </c>
    </row>
    <row r="712" spans="1:31" x14ac:dyDescent="0.2">
      <c r="A712" s="1" t="s">
        <v>1903</v>
      </c>
      <c r="B712" s="1" t="s">
        <v>1952</v>
      </c>
      <c r="C712" s="1">
        <v>2336</v>
      </c>
      <c r="D712" s="1">
        <v>6</v>
      </c>
      <c r="F712" s="1">
        <v>2023</v>
      </c>
      <c r="G712" s="5">
        <v>5780</v>
      </c>
      <c r="H712" s="5">
        <v>5658.36</v>
      </c>
      <c r="I712" s="5">
        <v>398620.61</v>
      </c>
      <c r="K712" s="5">
        <v>0.97799999999999998</v>
      </c>
      <c r="L712" s="5">
        <v>1E-3</v>
      </c>
      <c r="M712" s="5">
        <v>193733.11600000001</v>
      </c>
      <c r="N712" s="6">
        <v>5.91E-2</v>
      </c>
      <c r="O712" s="5">
        <v>249.40799999999999</v>
      </c>
      <c r="P712" s="6">
        <v>0.15229999999999999</v>
      </c>
      <c r="Q712" s="5">
        <v>3259931.4610000001</v>
      </c>
      <c r="R712" s="1" t="s">
        <v>44</v>
      </c>
      <c r="T712" s="1" t="s">
        <v>71</v>
      </c>
      <c r="V712" s="1" t="s">
        <v>454</v>
      </c>
      <c r="Y712" s="1" t="s">
        <v>247</v>
      </c>
      <c r="Z712" s="1" t="str">
        <f t="shared" si="33"/>
        <v>2336 6</v>
      </c>
      <c r="AA712" s="3">
        <f>IF(INDEX('CAMD Facility Data 2023'!$AA$2:$AE$10000,MATCH(Z712,'CAMD Facility Data 2023'!$AE$2:$AE$10000,0),1)&gt;0,INDEX('CAMD Facility Data 2023'!$AA$2:$AE$10000,MATCH(Z712,'CAMD Facility Data 2023'!$AE$2:$AE$10000,0),1),"")</f>
        <v>35366</v>
      </c>
      <c r="AB712" s="5">
        <f>IF(INDEX('CAMD Facility Data 2023'!$AC$2:$AE$10000,MATCH(Z712,'CAMD Facility Data 2023'!$AE$2:$AE$10000,0),1)&gt;0,INDEX('CAMD Facility Data 2023'!$AC$2:$AE$10000,MATCH(Z712,'CAMD Facility Data 2023'!$AE$2:$AE$10000,0),1),"")</f>
        <v>920</v>
      </c>
      <c r="AC712" s="1" t="str">
        <f>IF(INDEX('CAMD Facility Data 2023'!$AE$2:$AG$10000,MATCH(Z712,'CAMD Facility Data 2023'!$AE$2:$AE$10000,0),3)&gt;0,INDEX('CAMD Facility Data 2023'!$AE$2:$AG$10000,MATCH(Z712,'CAMD Facility Data 2023'!$AE$2:$AE$10000,0),3),"")</f>
        <v/>
      </c>
      <c r="AD712" s="20">
        <f t="shared" si="34"/>
        <v>1.2513552673555941</v>
      </c>
      <c r="AE712" s="25">
        <f t="shared" si="35"/>
        <v>0.40449814634206871</v>
      </c>
    </row>
    <row r="713" spans="1:31" x14ac:dyDescent="0.2">
      <c r="A713" s="1" t="s">
        <v>1903</v>
      </c>
      <c r="B713" s="1" t="s">
        <v>1952</v>
      </c>
      <c r="C713" s="1">
        <v>2336</v>
      </c>
      <c r="D713" s="1">
        <v>8</v>
      </c>
      <c r="F713" s="1">
        <v>2023</v>
      </c>
      <c r="G713" s="5">
        <v>8326</v>
      </c>
      <c r="H713" s="5">
        <v>8291.4500000000007</v>
      </c>
      <c r="I713" s="5">
        <v>1729068.95</v>
      </c>
      <c r="K713" s="5">
        <v>3.859</v>
      </c>
      <c r="L713" s="5">
        <v>1E-3</v>
      </c>
      <c r="M713" s="5">
        <v>764381.71</v>
      </c>
      <c r="N713" s="6">
        <v>5.8999999999999997E-2</v>
      </c>
      <c r="O713" s="5">
        <v>33.335000000000001</v>
      </c>
      <c r="P713" s="6">
        <v>5.8999999999999999E-3</v>
      </c>
      <c r="Q713" s="5">
        <v>12862204.436000001</v>
      </c>
      <c r="R713" s="1" t="s">
        <v>44</v>
      </c>
      <c r="T713" s="1" t="s">
        <v>71</v>
      </c>
      <c r="V713" s="1" t="s">
        <v>64</v>
      </c>
      <c r="Y713" s="1" t="s">
        <v>247</v>
      </c>
      <c r="Z713" s="1" t="str">
        <f t="shared" si="33"/>
        <v>2336 8</v>
      </c>
      <c r="AA713" s="3">
        <f>IF(INDEX('CAMD Facility Data 2023'!$AA$2:$AE$10000,MATCH(Z713,'CAMD Facility Data 2023'!$AE$2:$AE$10000,0),1)&gt;0,INDEX('CAMD Facility Data 2023'!$AA$2:$AE$10000,MATCH(Z713,'CAMD Facility Data 2023'!$AE$2:$AE$10000,0),1),"")</f>
        <v>39480</v>
      </c>
      <c r="AB713" s="5">
        <f>IF(INDEX('CAMD Facility Data 2023'!$AC$2:$AE$10000,MATCH(Z713,'CAMD Facility Data 2023'!$AE$2:$AE$10000,0),1)&gt;0,INDEX('CAMD Facility Data 2023'!$AC$2:$AE$10000,MATCH(Z713,'CAMD Facility Data 2023'!$AE$2:$AE$10000,0),1),"")</f>
        <v>2522</v>
      </c>
      <c r="AC713" s="1" t="str">
        <f>IF(INDEX('CAMD Facility Data 2023'!$AE$2:$AG$10000,MATCH(Z713,'CAMD Facility Data 2023'!$AE$2:$AE$10000,0),3)&gt;0,INDEX('CAMD Facility Data 2023'!$AE$2:$AG$10000,MATCH(Z713,'CAMD Facility Data 2023'!$AE$2:$AE$10000,0),3),"")</f>
        <v>Y</v>
      </c>
      <c r="AD713" s="20">
        <f t="shared" si="34"/>
        <v>3.8558323541695666E-2</v>
      </c>
      <c r="AE713" s="25">
        <f t="shared" si="35"/>
        <v>0.58219198161204233</v>
      </c>
    </row>
    <row r="714" spans="1:31" x14ac:dyDescent="0.2">
      <c r="A714" s="1" t="s">
        <v>1903</v>
      </c>
      <c r="B714" s="1" t="s">
        <v>1952</v>
      </c>
      <c r="C714" s="1">
        <v>2336</v>
      </c>
      <c r="D714" s="1">
        <v>9</v>
      </c>
      <c r="F714" s="1">
        <v>2023</v>
      </c>
      <c r="G714" s="5">
        <v>8089</v>
      </c>
      <c r="H714" s="5">
        <v>8029.91</v>
      </c>
      <c r="I714" s="5">
        <v>1699541.86</v>
      </c>
      <c r="K714" s="5">
        <v>3.8</v>
      </c>
      <c r="L714" s="5">
        <v>1E-3</v>
      </c>
      <c r="M714" s="5">
        <v>752657.93200000003</v>
      </c>
      <c r="N714" s="6">
        <v>5.8999999999999997E-2</v>
      </c>
      <c r="O714" s="5">
        <v>33.155000000000001</v>
      </c>
      <c r="P714" s="6">
        <v>6.0000000000000001E-3</v>
      </c>
      <c r="Q714" s="5">
        <v>12664796.613</v>
      </c>
      <c r="R714" s="1" t="s">
        <v>44</v>
      </c>
      <c r="T714" s="1" t="s">
        <v>71</v>
      </c>
      <c r="V714" s="1" t="s">
        <v>64</v>
      </c>
      <c r="Y714" s="1" t="s">
        <v>247</v>
      </c>
      <c r="Z714" s="1" t="str">
        <f t="shared" si="33"/>
        <v>2336 9</v>
      </c>
      <c r="AA714" s="3">
        <f>IF(INDEX('CAMD Facility Data 2023'!$AA$2:$AE$10000,MATCH(Z714,'CAMD Facility Data 2023'!$AE$2:$AE$10000,0),1)&gt;0,INDEX('CAMD Facility Data 2023'!$AA$2:$AE$10000,MATCH(Z714,'CAMD Facility Data 2023'!$AE$2:$AE$10000,0),1),"")</f>
        <v>39491</v>
      </c>
      <c r="AB714" s="5">
        <f>IF(INDEX('CAMD Facility Data 2023'!$AC$2:$AE$10000,MATCH(Z714,'CAMD Facility Data 2023'!$AE$2:$AE$10000,0),1)&gt;0,INDEX('CAMD Facility Data 2023'!$AC$2:$AE$10000,MATCH(Z714,'CAMD Facility Data 2023'!$AE$2:$AE$10000,0),1),"")</f>
        <v>2522</v>
      </c>
      <c r="AC714" s="1" t="str">
        <f>IF(INDEX('CAMD Facility Data 2023'!$AE$2:$AG$10000,MATCH(Z714,'CAMD Facility Data 2023'!$AE$2:$AE$10000,0),3)&gt;0,INDEX('CAMD Facility Data 2023'!$AE$2:$AG$10000,MATCH(Z714,'CAMD Facility Data 2023'!$AE$2:$AE$10000,0),3),"")</f>
        <v>Y</v>
      </c>
      <c r="AD714" s="20">
        <f t="shared" si="34"/>
        <v>3.9016397042435889E-2</v>
      </c>
      <c r="AE714" s="25">
        <f t="shared" si="35"/>
        <v>0.57325655749948401</v>
      </c>
    </row>
    <row r="715" spans="1:31" x14ac:dyDescent="0.2">
      <c r="A715" s="1" t="s">
        <v>1961</v>
      </c>
      <c r="B715" s="1" t="s">
        <v>1962</v>
      </c>
      <c r="C715" s="1">
        <v>2364</v>
      </c>
      <c r="D715" s="1">
        <v>1</v>
      </c>
      <c r="E715" s="1" t="s">
        <v>1963</v>
      </c>
      <c r="F715" s="1">
        <v>2023</v>
      </c>
      <c r="G715" s="5">
        <v>483</v>
      </c>
      <c r="H715" s="5">
        <v>462.34</v>
      </c>
      <c r="I715" s="5">
        <v>39884.79</v>
      </c>
      <c r="K715" s="5">
        <v>29.684000000000001</v>
      </c>
      <c r="L715" s="5">
        <v>0.14949999999999999</v>
      </c>
      <c r="M715" s="5">
        <v>42281.94</v>
      </c>
      <c r="N715" s="6">
        <v>0.10299999999999999</v>
      </c>
      <c r="O715" s="5">
        <v>49.744999999999997</v>
      </c>
      <c r="P715" s="6">
        <v>0.2838</v>
      </c>
      <c r="Q715" s="5">
        <v>412099.78200000001</v>
      </c>
      <c r="R715" s="1" t="s">
        <v>55</v>
      </c>
      <c r="T715" s="1" t="s">
        <v>606</v>
      </c>
      <c r="U715" s="1" t="s">
        <v>241</v>
      </c>
      <c r="V715" s="1" t="s">
        <v>223</v>
      </c>
      <c r="W715" s="1" t="s">
        <v>58</v>
      </c>
      <c r="Y715" s="1" t="s">
        <v>1964</v>
      </c>
      <c r="Z715" s="1" t="str">
        <f t="shared" si="33"/>
        <v>2364 1</v>
      </c>
      <c r="AA715" s="3">
        <f>IF(INDEX('CAMD Facility Data 2023'!$AA$2:$AE$10000,MATCH(Z715,'CAMD Facility Data 2023'!$AE$2:$AE$10000,0),1)&gt;0,INDEX('CAMD Facility Data 2023'!$AA$2:$AE$10000,MATCH(Z715,'CAMD Facility Data 2023'!$AE$2:$AE$10000,0),1),"")</f>
        <v>22251</v>
      </c>
      <c r="AB715" s="5">
        <f>IF(INDEX('CAMD Facility Data 2023'!$AC$2:$AE$10000,MATCH(Z715,'CAMD Facility Data 2023'!$AE$2:$AE$10000,0),1)&gt;0,INDEX('CAMD Facility Data 2023'!$AC$2:$AE$10000,MATCH(Z715,'CAMD Facility Data 2023'!$AE$2:$AE$10000,0),1),"")</f>
        <v>1400</v>
      </c>
      <c r="AC715" s="1" t="str">
        <f>IF(INDEX('CAMD Facility Data 2023'!$AE$2:$AG$10000,MATCH(Z715,'CAMD Facility Data 2023'!$AE$2:$AE$10000,0),3)&gt;0,INDEX('CAMD Facility Data 2023'!$AE$2:$AG$10000,MATCH(Z715,'CAMD Facility Data 2023'!$AE$2:$AE$10000,0),3),"")</f>
        <v>Y</v>
      </c>
      <c r="AD715" s="20">
        <f t="shared" si="34"/>
        <v>2.4944345952429483</v>
      </c>
      <c r="AE715" s="25">
        <f t="shared" si="35"/>
        <v>3.3602395792563598E-2</v>
      </c>
    </row>
    <row r="716" spans="1:31" x14ac:dyDescent="0.2">
      <c r="A716" s="1" t="s">
        <v>1961</v>
      </c>
      <c r="B716" s="1" t="s">
        <v>1962</v>
      </c>
      <c r="C716" s="1">
        <v>2364</v>
      </c>
      <c r="D716" s="1">
        <v>2</v>
      </c>
      <c r="E716" s="1" t="s">
        <v>1963</v>
      </c>
      <c r="F716" s="1">
        <v>2023</v>
      </c>
      <c r="G716" s="5">
        <v>721</v>
      </c>
      <c r="H716" s="5">
        <v>708.31</v>
      </c>
      <c r="I716" s="5">
        <v>140333.63</v>
      </c>
      <c r="K716" s="5">
        <v>69.804000000000002</v>
      </c>
      <c r="L716" s="5">
        <v>8.9300000000000004E-2</v>
      </c>
      <c r="M716" s="5">
        <v>143698.68</v>
      </c>
      <c r="N716" s="6">
        <v>0.10299999999999999</v>
      </c>
      <c r="O716" s="5">
        <v>225.97200000000001</v>
      </c>
      <c r="P716" s="6">
        <v>0.39589999999999997</v>
      </c>
      <c r="Q716" s="5">
        <v>1400554.98</v>
      </c>
      <c r="R716" s="1" t="s">
        <v>55</v>
      </c>
      <c r="T716" s="1" t="s">
        <v>606</v>
      </c>
      <c r="U716" s="1" t="s">
        <v>241</v>
      </c>
      <c r="V716" s="1" t="s">
        <v>223</v>
      </c>
      <c r="W716" s="1" t="s">
        <v>58</v>
      </c>
      <c r="Y716" s="1" t="s">
        <v>1964</v>
      </c>
      <c r="Z716" s="1" t="str">
        <f t="shared" si="33"/>
        <v>2364 2</v>
      </c>
      <c r="AA716" s="3">
        <f>IF(INDEX('CAMD Facility Data 2023'!$AA$2:$AE$10000,MATCH(Z716,'CAMD Facility Data 2023'!$AE$2:$AE$10000,0),1)&gt;0,INDEX('CAMD Facility Data 2023'!$AA$2:$AE$10000,MATCH(Z716,'CAMD Facility Data 2023'!$AE$2:$AE$10000,0),1),"")</f>
        <v>24959</v>
      </c>
      <c r="AB716" s="5">
        <f>IF(INDEX('CAMD Facility Data 2023'!$AC$2:$AE$10000,MATCH(Z716,'CAMD Facility Data 2023'!$AE$2:$AE$10000,0),1)&gt;0,INDEX('CAMD Facility Data 2023'!$AC$2:$AE$10000,MATCH(Z716,'CAMD Facility Data 2023'!$AE$2:$AE$10000,0),1),"")</f>
        <v>4090</v>
      </c>
      <c r="AC716" s="1" t="str">
        <f>IF(INDEX('CAMD Facility Data 2023'!$AE$2:$AG$10000,MATCH(Z716,'CAMD Facility Data 2023'!$AE$2:$AE$10000,0),3)&gt;0,INDEX('CAMD Facility Data 2023'!$AE$2:$AG$10000,MATCH(Z716,'CAMD Facility Data 2023'!$AE$2:$AE$10000,0),3),"")</f>
        <v>Y</v>
      </c>
      <c r="AD716" s="20">
        <f t="shared" si="34"/>
        <v>3.2204967547693308</v>
      </c>
      <c r="AE716" s="25">
        <f t="shared" si="35"/>
        <v>3.9090637036540844E-2</v>
      </c>
    </row>
    <row r="717" spans="1:31" x14ac:dyDescent="0.2">
      <c r="A717" s="1" t="s">
        <v>1961</v>
      </c>
      <c r="B717" s="1" t="s">
        <v>1969</v>
      </c>
      <c r="C717" s="1">
        <v>2367</v>
      </c>
      <c r="D717" s="1">
        <v>4</v>
      </c>
      <c r="F717" s="1">
        <v>2023</v>
      </c>
      <c r="G717" s="5">
        <v>0</v>
      </c>
      <c r="H717" s="5">
        <v>0</v>
      </c>
      <c r="R717" s="1" t="s">
        <v>55</v>
      </c>
      <c r="S717" s="1" t="s">
        <v>173</v>
      </c>
      <c r="T717" s="1" t="s">
        <v>89</v>
      </c>
      <c r="V717" s="1" t="s">
        <v>1973</v>
      </c>
      <c r="W717" s="1" t="s">
        <v>58</v>
      </c>
      <c r="X717" s="1" t="s">
        <v>1974</v>
      </c>
      <c r="Y717" s="1" t="s">
        <v>1964</v>
      </c>
      <c r="Z717" s="1" t="str">
        <f t="shared" si="33"/>
        <v>2367 4</v>
      </c>
      <c r="AA717" s="3">
        <f>IF(INDEX('CAMD Facility Data 2023'!$AA$2:$AE$10000,MATCH(Z717,'CAMD Facility Data 2023'!$AE$2:$AE$10000,0),1)&gt;0,INDEX('CAMD Facility Data 2023'!$AA$2:$AE$10000,MATCH(Z717,'CAMD Facility Data 2023'!$AE$2:$AE$10000,0),1),"")</f>
        <v>19268</v>
      </c>
      <c r="AB717" s="5">
        <f>IF(INDEX('CAMD Facility Data 2023'!$AC$2:$AE$10000,MATCH(Z717,'CAMD Facility Data 2023'!$AE$2:$AE$10000,0),1)&gt;0,INDEX('CAMD Facility Data 2023'!$AC$2:$AE$10000,MATCH(Z717,'CAMD Facility Data 2023'!$AE$2:$AE$10000,0),1),"")</f>
        <v>619</v>
      </c>
      <c r="AC717" s="1" t="str">
        <f>IF(INDEX('CAMD Facility Data 2023'!$AE$2:$AG$10000,MATCH(Z717,'CAMD Facility Data 2023'!$AE$2:$AE$10000,0),3)&gt;0,INDEX('CAMD Facility Data 2023'!$AE$2:$AG$10000,MATCH(Z717,'CAMD Facility Data 2023'!$AE$2:$AE$10000,0),3),"")</f>
        <v>Y</v>
      </c>
      <c r="AD717" s="20" t="str">
        <f t="shared" si="34"/>
        <v/>
      </c>
      <c r="AE717" s="25">
        <f t="shared" si="35"/>
        <v>0</v>
      </c>
    </row>
    <row r="718" spans="1:31" x14ac:dyDescent="0.2">
      <c r="A718" s="1" t="s">
        <v>1961</v>
      </c>
      <c r="B718" s="1" t="s">
        <v>1969</v>
      </c>
      <c r="C718" s="1">
        <v>2367</v>
      </c>
      <c r="D718" s="1">
        <v>5</v>
      </c>
      <c r="F718" s="1">
        <v>2023</v>
      </c>
      <c r="G718" s="5">
        <v>0</v>
      </c>
      <c r="H718" s="5">
        <v>0</v>
      </c>
      <c r="R718" s="1" t="s">
        <v>657</v>
      </c>
      <c r="S718" s="1" t="s">
        <v>1977</v>
      </c>
      <c r="T718" s="1" t="s">
        <v>885</v>
      </c>
      <c r="U718" s="1" t="s">
        <v>1069</v>
      </c>
      <c r="V718" s="1" t="s">
        <v>669</v>
      </c>
      <c r="W718" s="1" t="s">
        <v>232</v>
      </c>
      <c r="Y718" s="1" t="s">
        <v>1976</v>
      </c>
      <c r="Z718" s="1" t="str">
        <f t="shared" si="33"/>
        <v>2367 5</v>
      </c>
      <c r="AA718" s="3">
        <f>IF(INDEX('CAMD Facility Data 2023'!$AA$2:$AE$10000,MATCH(Z718,'CAMD Facility Data 2023'!$AE$2:$AE$10000,0),1)&gt;0,INDEX('CAMD Facility Data 2023'!$AA$2:$AE$10000,MATCH(Z718,'CAMD Facility Data 2023'!$AE$2:$AE$10000,0),1),"")</f>
        <v>20210</v>
      </c>
      <c r="AB718" s="5">
        <f>IF(INDEX('CAMD Facility Data 2023'!$AC$2:$AE$10000,MATCH(Z718,'CAMD Facility Data 2023'!$AE$2:$AE$10000,0),1)&gt;0,INDEX('CAMD Facility Data 2023'!$AC$2:$AE$10000,MATCH(Z718,'CAMD Facility Data 2023'!$AE$2:$AE$10000,0),1),"")</f>
        <v>775</v>
      </c>
      <c r="AC718" s="1" t="str">
        <f>IF(INDEX('CAMD Facility Data 2023'!$AE$2:$AG$10000,MATCH(Z718,'CAMD Facility Data 2023'!$AE$2:$AE$10000,0),3)&gt;0,INDEX('CAMD Facility Data 2023'!$AE$2:$AG$10000,MATCH(Z718,'CAMD Facility Data 2023'!$AE$2:$AE$10000,0),3),"")</f>
        <v>Y</v>
      </c>
      <c r="AD718" s="20" t="str">
        <f t="shared" si="34"/>
        <v/>
      </c>
      <c r="AE718" s="25">
        <f t="shared" si="35"/>
        <v>0</v>
      </c>
    </row>
    <row r="719" spans="1:31" x14ac:dyDescent="0.2">
      <c r="A719" s="1" t="s">
        <v>1961</v>
      </c>
      <c r="B719" s="1" t="s">
        <v>1969</v>
      </c>
      <c r="C719" s="1">
        <v>2367</v>
      </c>
      <c r="D719" s="1">
        <v>6</v>
      </c>
      <c r="F719" s="1">
        <v>2023</v>
      </c>
      <c r="G719" s="5">
        <v>0</v>
      </c>
      <c r="H719" s="5">
        <v>0</v>
      </c>
      <c r="R719" s="1" t="s">
        <v>55</v>
      </c>
      <c r="S719" s="1" t="s">
        <v>173</v>
      </c>
      <c r="T719" s="1" t="s">
        <v>89</v>
      </c>
      <c r="V719" s="1" t="s">
        <v>1973</v>
      </c>
      <c r="W719" s="1" t="s">
        <v>58</v>
      </c>
      <c r="X719" s="1" t="s">
        <v>1974</v>
      </c>
      <c r="Y719" s="1" t="s">
        <v>1964</v>
      </c>
      <c r="Z719" s="1" t="str">
        <f t="shared" si="33"/>
        <v>2367 6</v>
      </c>
      <c r="AA719" s="3">
        <f>IF(INDEX('CAMD Facility Data 2023'!$AA$2:$AE$10000,MATCH(Z719,'CAMD Facility Data 2023'!$AE$2:$AE$10000,0),1)&gt;0,INDEX('CAMD Facility Data 2023'!$AA$2:$AE$10000,MATCH(Z719,'CAMD Facility Data 2023'!$AE$2:$AE$10000,0),1),"")</f>
        <v>21002</v>
      </c>
      <c r="AB719" s="5">
        <f>IF(INDEX('CAMD Facility Data 2023'!$AC$2:$AE$10000,MATCH(Z719,'CAMD Facility Data 2023'!$AE$2:$AE$10000,0),1)&gt;0,INDEX('CAMD Facility Data 2023'!$AC$2:$AE$10000,MATCH(Z719,'CAMD Facility Data 2023'!$AE$2:$AE$10000,0),1),"")</f>
        <v>610</v>
      </c>
      <c r="AC719" s="1" t="str">
        <f>IF(INDEX('CAMD Facility Data 2023'!$AE$2:$AG$10000,MATCH(Z719,'CAMD Facility Data 2023'!$AE$2:$AE$10000,0),3)&gt;0,INDEX('CAMD Facility Data 2023'!$AE$2:$AG$10000,MATCH(Z719,'CAMD Facility Data 2023'!$AE$2:$AE$10000,0),3),"")</f>
        <v>Y</v>
      </c>
      <c r="AD719" s="20" t="str">
        <f t="shared" si="34"/>
        <v/>
      </c>
      <c r="AE719" s="25">
        <f t="shared" si="35"/>
        <v>0</v>
      </c>
    </row>
    <row r="720" spans="1:31" x14ac:dyDescent="0.2">
      <c r="A720" s="1" t="s">
        <v>1980</v>
      </c>
      <c r="B720" s="1" t="s">
        <v>1981</v>
      </c>
      <c r="C720" s="1">
        <v>2379</v>
      </c>
      <c r="D720" s="1">
        <v>2001</v>
      </c>
      <c r="F720" s="1">
        <v>2023</v>
      </c>
      <c r="G720" s="5">
        <v>118</v>
      </c>
      <c r="H720" s="5">
        <v>93.91</v>
      </c>
      <c r="I720" s="5">
        <v>2622.53</v>
      </c>
      <c r="K720" s="5">
        <v>0.10299999999999999</v>
      </c>
      <c r="L720" s="5">
        <v>9.2999999999999992E-3</v>
      </c>
      <c r="M720" s="5">
        <v>2851</v>
      </c>
      <c r="N720" s="6">
        <v>5.96E-2</v>
      </c>
      <c r="O720" s="5">
        <v>3.802</v>
      </c>
      <c r="P720" s="6">
        <v>0.1678</v>
      </c>
      <c r="Q720" s="5">
        <v>48177.4</v>
      </c>
      <c r="R720" s="1" t="s">
        <v>44</v>
      </c>
      <c r="S720" s="1" t="s">
        <v>94</v>
      </c>
      <c r="T720" s="1" t="s">
        <v>93</v>
      </c>
      <c r="V720" s="1" t="s">
        <v>95</v>
      </c>
      <c r="Y720" s="1" t="s">
        <v>1528</v>
      </c>
      <c r="Z720" s="1" t="str">
        <f t="shared" si="33"/>
        <v>2379 2001</v>
      </c>
      <c r="AA720" s="3">
        <f>IF(INDEX('CAMD Facility Data 2023'!$AA$2:$AE$10000,MATCH(Z720,'CAMD Facility Data 2023'!$AE$2:$AE$10000,0),1)&gt;0,INDEX('CAMD Facility Data 2023'!$AA$2:$AE$10000,MATCH(Z720,'CAMD Facility Data 2023'!$AE$2:$AE$10000,0),1),"")</f>
        <v>26766</v>
      </c>
      <c r="AB720" s="5">
        <f>IF(INDEX('CAMD Facility Data 2023'!$AC$2:$AE$10000,MATCH(Z720,'CAMD Facility Data 2023'!$AE$2:$AE$10000,0),1)&gt;0,INDEX('CAMD Facility Data 2023'!$AC$2:$AE$10000,MATCH(Z720,'CAMD Facility Data 2023'!$AE$2:$AE$10000,0),1),"")</f>
        <v>680</v>
      </c>
      <c r="AC720" s="1" t="str">
        <f>IF(INDEX('CAMD Facility Data 2023'!$AE$2:$AG$10000,MATCH(Z720,'CAMD Facility Data 2023'!$AE$2:$AE$10000,0),3)&gt;0,INDEX('CAMD Facility Data 2023'!$AE$2:$AG$10000,MATCH(Z720,'CAMD Facility Data 2023'!$AE$2:$AE$10000,0),3),"")</f>
        <v/>
      </c>
      <c r="AD720" s="20">
        <f t="shared" si="34"/>
        <v>2.8994901869568697</v>
      </c>
      <c r="AE720" s="25">
        <f t="shared" si="35"/>
        <v>8.0877988181573997E-3</v>
      </c>
    </row>
    <row r="721" spans="1:31" x14ac:dyDescent="0.2">
      <c r="A721" s="1" t="s">
        <v>1980</v>
      </c>
      <c r="B721" s="1" t="s">
        <v>1981</v>
      </c>
      <c r="C721" s="1">
        <v>2379</v>
      </c>
      <c r="D721" s="1">
        <v>3001</v>
      </c>
      <c r="F721" s="1">
        <v>2023</v>
      </c>
      <c r="G721" s="5">
        <v>73</v>
      </c>
      <c r="H721" s="5">
        <v>57.86</v>
      </c>
      <c r="I721" s="5">
        <v>1594.76</v>
      </c>
      <c r="K721" s="5">
        <v>0.104</v>
      </c>
      <c r="L721" s="5">
        <v>7.7000000000000002E-3</v>
      </c>
      <c r="M721" s="5">
        <v>1687</v>
      </c>
      <c r="N721" s="6">
        <v>5.9200000000000003E-2</v>
      </c>
      <c r="O721" s="5">
        <v>2.3359999999999999</v>
      </c>
      <c r="P721" s="6">
        <v>0.1641</v>
      </c>
      <c r="Q721" s="5">
        <v>28455.599999999999</v>
      </c>
      <c r="R721" s="1" t="s">
        <v>44</v>
      </c>
      <c r="S721" s="1" t="s">
        <v>94</v>
      </c>
      <c r="T721" s="1" t="s">
        <v>93</v>
      </c>
      <c r="V721" s="1" t="s">
        <v>95</v>
      </c>
      <c r="Y721" s="1" t="s">
        <v>1528</v>
      </c>
      <c r="Z721" s="1" t="str">
        <f t="shared" si="33"/>
        <v>2379 3001</v>
      </c>
      <c r="AA721" s="3">
        <f>IF(INDEX('CAMD Facility Data 2023'!$AA$2:$AE$10000,MATCH(Z721,'CAMD Facility Data 2023'!$AE$2:$AE$10000,0),1)&gt;0,INDEX('CAMD Facility Data 2023'!$AA$2:$AE$10000,MATCH(Z721,'CAMD Facility Data 2023'!$AE$2:$AE$10000,0),1),"")</f>
        <v>26784</v>
      </c>
      <c r="AB721" s="5">
        <f>IF(INDEX('CAMD Facility Data 2023'!$AC$2:$AE$10000,MATCH(Z721,'CAMD Facility Data 2023'!$AE$2:$AE$10000,0),1)&gt;0,INDEX('CAMD Facility Data 2023'!$AC$2:$AE$10000,MATCH(Z721,'CAMD Facility Data 2023'!$AE$2:$AE$10000,0),1),"")</f>
        <v>680</v>
      </c>
      <c r="AC721" s="1" t="str">
        <f>IF(INDEX('CAMD Facility Data 2023'!$AE$2:$AG$10000,MATCH(Z721,'CAMD Facility Data 2023'!$AE$2:$AE$10000,0),3)&gt;0,INDEX('CAMD Facility Data 2023'!$AE$2:$AG$10000,MATCH(Z721,'CAMD Facility Data 2023'!$AE$2:$AE$10000,0),3),"")</f>
        <v/>
      </c>
      <c r="AD721" s="20">
        <f t="shared" si="34"/>
        <v>2.9295944217311698</v>
      </c>
      <c r="AE721" s="25">
        <f t="shared" si="35"/>
        <v>4.7769943593875906E-3</v>
      </c>
    </row>
    <row r="722" spans="1:31" x14ac:dyDescent="0.2">
      <c r="A722" s="1" t="s">
        <v>1980</v>
      </c>
      <c r="B722" s="1" t="s">
        <v>1986</v>
      </c>
      <c r="C722" s="1">
        <v>2390</v>
      </c>
      <c r="D722" s="1">
        <v>12001</v>
      </c>
      <c r="F722" s="1">
        <v>2023</v>
      </c>
      <c r="G722" s="5">
        <v>25</v>
      </c>
      <c r="H722" s="5">
        <v>10.01</v>
      </c>
      <c r="I722" s="5">
        <v>149.16999999999999</v>
      </c>
      <c r="K722" s="5">
        <v>0.32300000000000001</v>
      </c>
      <c r="L722" s="5">
        <v>0.20200000000000001</v>
      </c>
      <c r="M722" s="5">
        <v>259.10000000000002</v>
      </c>
      <c r="N722" s="6">
        <v>8.1000000000000003E-2</v>
      </c>
      <c r="O722" s="5">
        <v>0.24</v>
      </c>
      <c r="P722" s="6">
        <v>0.15</v>
      </c>
      <c r="Q722" s="5">
        <v>3200.9</v>
      </c>
      <c r="R722" s="1" t="s">
        <v>44</v>
      </c>
      <c r="S722" s="1" t="s">
        <v>94</v>
      </c>
      <c r="T722" s="1" t="s">
        <v>93</v>
      </c>
      <c r="V722" s="1" t="s">
        <v>176</v>
      </c>
      <c r="Y722" s="1" t="s">
        <v>1528</v>
      </c>
      <c r="Z722" s="1" t="str">
        <f t="shared" si="33"/>
        <v>2390 12001</v>
      </c>
      <c r="AA722" s="3">
        <f>IF(INDEX('CAMD Facility Data 2023'!$AA$2:$AE$10000,MATCH(Z722,'CAMD Facility Data 2023'!$AE$2:$AE$10000,0),1)&gt;0,INDEX('CAMD Facility Data 2023'!$AA$2:$AE$10000,MATCH(Z722,'CAMD Facility Data 2023'!$AE$2:$AE$10000,0),1),"")</f>
        <v>26938</v>
      </c>
      <c r="AB722" s="5">
        <f>IF(INDEX('CAMD Facility Data 2023'!$AC$2:$AE$10000,MATCH(Z722,'CAMD Facility Data 2023'!$AE$2:$AE$10000,0),1)&gt;0,INDEX('CAMD Facility Data 2023'!$AC$2:$AE$10000,MATCH(Z722,'CAMD Facility Data 2023'!$AE$2:$AE$10000,0),1),"")</f>
        <v>858</v>
      </c>
      <c r="AC722" s="1" t="str">
        <f>IF(INDEX('CAMD Facility Data 2023'!$AE$2:$AG$10000,MATCH(Z722,'CAMD Facility Data 2023'!$AE$2:$AE$10000,0),3)&gt;0,INDEX('CAMD Facility Data 2023'!$AE$2:$AG$10000,MATCH(Z722,'CAMD Facility Data 2023'!$AE$2:$AE$10000,0),3),"")</f>
        <v>Y</v>
      </c>
      <c r="AD722" s="20">
        <f t="shared" si="34"/>
        <v>3.2178051887108672</v>
      </c>
      <c r="AE722" s="25">
        <f t="shared" si="35"/>
        <v>4.2587359368181286E-4</v>
      </c>
    </row>
    <row r="723" spans="1:31" x14ac:dyDescent="0.2">
      <c r="A723" s="1" t="s">
        <v>1980</v>
      </c>
      <c r="B723" s="1" t="s">
        <v>1986</v>
      </c>
      <c r="C723" s="1">
        <v>2390</v>
      </c>
      <c r="D723" s="1">
        <v>14001</v>
      </c>
      <c r="F723" s="1">
        <v>2023</v>
      </c>
      <c r="G723" s="5">
        <v>21</v>
      </c>
      <c r="H723" s="5">
        <v>11.4</v>
      </c>
      <c r="I723" s="5">
        <v>266.58999999999997</v>
      </c>
      <c r="K723" s="5">
        <v>0.42599999999999999</v>
      </c>
      <c r="L723" s="5">
        <v>0.15179999999999999</v>
      </c>
      <c r="M723" s="5">
        <v>427.7</v>
      </c>
      <c r="N723" s="6">
        <v>7.5600000000000001E-2</v>
      </c>
      <c r="O723" s="5">
        <v>0.42599999999999999</v>
      </c>
      <c r="P723" s="6">
        <v>0.1522</v>
      </c>
      <c r="Q723" s="5">
        <v>5679.1</v>
      </c>
      <c r="R723" s="1" t="s">
        <v>44</v>
      </c>
      <c r="S723" s="1" t="s">
        <v>94</v>
      </c>
      <c r="T723" s="1" t="s">
        <v>93</v>
      </c>
      <c r="V723" s="1" t="s">
        <v>176</v>
      </c>
      <c r="Y723" s="1" t="s">
        <v>1528</v>
      </c>
      <c r="Z723" s="1" t="str">
        <f t="shared" si="33"/>
        <v>2390 14001</v>
      </c>
      <c r="AA723" s="3">
        <f>IF(INDEX('CAMD Facility Data 2023'!$AA$2:$AE$10000,MATCH(Z723,'CAMD Facility Data 2023'!$AE$2:$AE$10000,0),1)&gt;0,INDEX('CAMD Facility Data 2023'!$AA$2:$AE$10000,MATCH(Z723,'CAMD Facility Data 2023'!$AE$2:$AE$10000,0),1),"")</f>
        <v>26451</v>
      </c>
      <c r="AB723" s="5">
        <f>IF(INDEX('CAMD Facility Data 2023'!$AC$2:$AE$10000,MATCH(Z723,'CAMD Facility Data 2023'!$AE$2:$AE$10000,0),1)&gt;0,INDEX('CAMD Facility Data 2023'!$AC$2:$AE$10000,MATCH(Z723,'CAMD Facility Data 2023'!$AE$2:$AE$10000,0),1),"")</f>
        <v>858</v>
      </c>
      <c r="AC723" s="1" t="str">
        <f>IF(INDEX('CAMD Facility Data 2023'!$AE$2:$AG$10000,MATCH(Z723,'CAMD Facility Data 2023'!$AE$2:$AE$10000,0),3)&gt;0,INDEX('CAMD Facility Data 2023'!$AE$2:$AG$10000,MATCH(Z723,'CAMD Facility Data 2023'!$AE$2:$AE$10000,0),3),"")</f>
        <v>Y</v>
      </c>
      <c r="AD723" s="20">
        <f t="shared" si="34"/>
        <v>3.1959188266626657</v>
      </c>
      <c r="AE723" s="25">
        <f t="shared" si="35"/>
        <v>7.5559334120977966E-4</v>
      </c>
    </row>
    <row r="724" spans="1:31" x14ac:dyDescent="0.2">
      <c r="A724" s="1" t="s">
        <v>1980</v>
      </c>
      <c r="B724" s="1" t="s">
        <v>1986</v>
      </c>
      <c r="C724" s="1">
        <v>2390</v>
      </c>
      <c r="D724" s="1">
        <v>15001</v>
      </c>
      <c r="F724" s="1">
        <v>2023</v>
      </c>
      <c r="G724" s="5">
        <v>6</v>
      </c>
      <c r="H724" s="5">
        <v>3.83</v>
      </c>
      <c r="I724" s="5">
        <v>103</v>
      </c>
      <c r="K724" s="5">
        <v>1E-3</v>
      </c>
      <c r="L724" s="5">
        <v>1E-3</v>
      </c>
      <c r="M724" s="5">
        <v>119.5</v>
      </c>
      <c r="N724" s="6">
        <v>5.8999999999999997E-2</v>
      </c>
      <c r="O724" s="5">
        <v>0.152</v>
      </c>
      <c r="P724" s="6">
        <v>0.15</v>
      </c>
      <c r="Q724" s="5">
        <v>2022.9</v>
      </c>
      <c r="R724" s="1" t="s">
        <v>44</v>
      </c>
      <c r="S724" s="1" t="s">
        <v>94</v>
      </c>
      <c r="T724" s="1" t="s">
        <v>93</v>
      </c>
      <c r="V724" s="1" t="s">
        <v>176</v>
      </c>
      <c r="Y724" s="1" t="s">
        <v>1528</v>
      </c>
      <c r="Z724" s="1" t="str">
        <f t="shared" si="33"/>
        <v>2390 15001</v>
      </c>
      <c r="AA724" s="3">
        <f>IF(INDEX('CAMD Facility Data 2023'!$AA$2:$AE$10000,MATCH(Z724,'CAMD Facility Data 2023'!$AE$2:$AE$10000,0),1)&gt;0,INDEX('CAMD Facility Data 2023'!$AA$2:$AE$10000,MATCH(Z724,'CAMD Facility Data 2023'!$AE$2:$AE$10000,0),1),"")</f>
        <v>26359</v>
      </c>
      <c r="AB724" s="5">
        <f>IF(INDEX('CAMD Facility Data 2023'!$AC$2:$AE$10000,MATCH(Z724,'CAMD Facility Data 2023'!$AE$2:$AE$10000,0),1)&gt;0,INDEX('CAMD Facility Data 2023'!$AC$2:$AE$10000,MATCH(Z724,'CAMD Facility Data 2023'!$AE$2:$AE$10000,0),1),"")</f>
        <v>858</v>
      </c>
      <c r="AC724" s="1" t="str">
        <f>IF(INDEX('CAMD Facility Data 2023'!$AE$2:$AG$10000,MATCH(Z724,'CAMD Facility Data 2023'!$AE$2:$AE$10000,0),3)&gt;0,INDEX('CAMD Facility Data 2023'!$AE$2:$AG$10000,MATCH(Z724,'CAMD Facility Data 2023'!$AE$2:$AE$10000,0),3),"")</f>
        <v>Y</v>
      </c>
      <c r="AD724" s="20">
        <f t="shared" si="34"/>
        <v>2.9514563106796117</v>
      </c>
      <c r="AE724" s="25">
        <f t="shared" si="35"/>
        <v>2.6914295749912192E-4</v>
      </c>
    </row>
    <row r="725" spans="1:31" x14ac:dyDescent="0.2">
      <c r="A725" s="1" t="s">
        <v>1980</v>
      </c>
      <c r="B725" s="1" t="s">
        <v>1986</v>
      </c>
      <c r="C725" s="1">
        <v>2390</v>
      </c>
      <c r="D725" s="1">
        <v>16001</v>
      </c>
      <c r="F725" s="1">
        <v>2023</v>
      </c>
      <c r="G725" s="5">
        <v>19</v>
      </c>
      <c r="H725" s="5">
        <v>9.43</v>
      </c>
      <c r="I725" s="5">
        <v>187</v>
      </c>
      <c r="K725" s="5">
        <v>0.34</v>
      </c>
      <c r="L725" s="5">
        <v>0.1246</v>
      </c>
      <c r="M725" s="5">
        <v>402</v>
      </c>
      <c r="N725" s="6">
        <v>7.2700000000000001E-2</v>
      </c>
      <c r="O725" s="5">
        <v>0.41699999999999998</v>
      </c>
      <c r="P725" s="6">
        <v>0.15</v>
      </c>
      <c r="Q725" s="5">
        <v>5559</v>
      </c>
      <c r="R725" s="1" t="s">
        <v>44</v>
      </c>
      <c r="S725" s="1" t="s">
        <v>94</v>
      </c>
      <c r="T725" s="1" t="s">
        <v>93</v>
      </c>
      <c r="V725" s="1" t="s">
        <v>176</v>
      </c>
      <c r="Y725" s="1" t="s">
        <v>1528</v>
      </c>
      <c r="Z725" s="1" t="str">
        <f t="shared" si="33"/>
        <v>2390 16001</v>
      </c>
      <c r="AA725" s="3">
        <f>IF(INDEX('CAMD Facility Data 2023'!$AA$2:$AE$10000,MATCH(Z725,'CAMD Facility Data 2023'!$AE$2:$AE$10000,0),1)&gt;0,INDEX('CAMD Facility Data 2023'!$AA$2:$AE$10000,MATCH(Z725,'CAMD Facility Data 2023'!$AE$2:$AE$10000,0),1),"")</f>
        <v>26359</v>
      </c>
      <c r="AB725" s="5">
        <f>IF(INDEX('CAMD Facility Data 2023'!$AC$2:$AE$10000,MATCH(Z725,'CAMD Facility Data 2023'!$AE$2:$AE$10000,0),1)&gt;0,INDEX('CAMD Facility Data 2023'!$AC$2:$AE$10000,MATCH(Z725,'CAMD Facility Data 2023'!$AE$2:$AE$10000,0),1),"")</f>
        <v>858</v>
      </c>
      <c r="AC725" s="1" t="str">
        <f>IF(INDEX('CAMD Facility Data 2023'!$AE$2:$AG$10000,MATCH(Z725,'CAMD Facility Data 2023'!$AE$2:$AE$10000,0),3)&gt;0,INDEX('CAMD Facility Data 2023'!$AE$2:$AG$10000,MATCH(Z725,'CAMD Facility Data 2023'!$AE$2:$AE$10000,0),3),"")</f>
        <v>Y</v>
      </c>
      <c r="AD725" s="20">
        <f t="shared" si="34"/>
        <v>4.4598930481283423</v>
      </c>
      <c r="AE725" s="25">
        <f t="shared" si="35"/>
        <v>7.3961426701152724E-4</v>
      </c>
    </row>
    <row r="726" spans="1:31" x14ac:dyDescent="0.2">
      <c r="A726" s="1" t="s">
        <v>1980</v>
      </c>
      <c r="B726" s="1" t="s">
        <v>1993</v>
      </c>
      <c r="C726" s="1">
        <v>2393</v>
      </c>
      <c r="D726" s="1">
        <v>4</v>
      </c>
      <c r="F726" s="1">
        <v>2023</v>
      </c>
      <c r="G726" s="5">
        <v>139</v>
      </c>
      <c r="H726" s="5">
        <v>115.99</v>
      </c>
      <c r="I726" s="5">
        <v>5246.42</v>
      </c>
      <c r="K726" s="5">
        <v>2.1000000000000001E-2</v>
      </c>
      <c r="L726" s="5">
        <v>1E-3</v>
      </c>
      <c r="M726" s="5">
        <v>4147.1400000000003</v>
      </c>
      <c r="N726" s="6">
        <v>5.91E-2</v>
      </c>
      <c r="O726" s="5">
        <v>1.093</v>
      </c>
      <c r="P726" s="6">
        <v>4.7500000000000001E-2</v>
      </c>
      <c r="Q726" s="5">
        <v>69771.611999999994</v>
      </c>
      <c r="R726" s="1" t="s">
        <v>44</v>
      </c>
      <c r="T726" s="1" t="s">
        <v>71</v>
      </c>
      <c r="V726" s="1" t="s">
        <v>140</v>
      </c>
      <c r="Y726" s="1" t="s">
        <v>1515</v>
      </c>
      <c r="Z726" s="1" t="str">
        <f t="shared" si="33"/>
        <v>2393 4</v>
      </c>
      <c r="AA726" s="3">
        <f>IF(INDEX('CAMD Facility Data 2023'!$AA$2:$AE$10000,MATCH(Z726,'CAMD Facility Data 2023'!$AE$2:$AE$10000,0),1)&gt;0,INDEX('CAMD Facility Data 2023'!$AA$2:$AE$10000,MATCH(Z726,'CAMD Facility Data 2023'!$AE$2:$AE$10000,0),1),"")</f>
        <v>27037</v>
      </c>
      <c r="AB726" s="5">
        <f>IF(INDEX('CAMD Facility Data 2023'!$AC$2:$AE$10000,MATCH(Z726,'CAMD Facility Data 2023'!$AE$2:$AE$10000,0),1)&gt;0,INDEX('CAMD Facility Data 2023'!$AC$2:$AE$10000,MATCH(Z726,'CAMD Facility Data 2023'!$AE$2:$AE$10000,0),1),"")</f>
        <v>915</v>
      </c>
      <c r="AC726" s="1" t="str">
        <f>IF(INDEX('CAMD Facility Data 2023'!$AE$2:$AG$10000,MATCH(Z726,'CAMD Facility Data 2023'!$AE$2:$AE$10000,0),3)&gt;0,INDEX('CAMD Facility Data 2023'!$AE$2:$AG$10000,MATCH(Z726,'CAMD Facility Data 2023'!$AE$2:$AE$10000,0),3),"")</f>
        <v/>
      </c>
      <c r="AD726" s="20">
        <f t="shared" si="34"/>
        <v>0.41666507828195226</v>
      </c>
      <c r="AE726" s="25">
        <f t="shared" si="35"/>
        <v>8.7046949621977683E-3</v>
      </c>
    </row>
    <row r="727" spans="1:31" x14ac:dyDescent="0.2">
      <c r="A727" s="1" t="s">
        <v>1980</v>
      </c>
      <c r="B727" s="1" t="s">
        <v>1993</v>
      </c>
      <c r="C727" s="1">
        <v>2393</v>
      </c>
      <c r="D727" s="1">
        <v>5</v>
      </c>
      <c r="F727" s="1">
        <v>2023</v>
      </c>
      <c r="G727" s="5">
        <v>132</v>
      </c>
      <c r="H727" s="5">
        <v>111.98</v>
      </c>
      <c r="I727" s="5">
        <v>5212.8900000000003</v>
      </c>
      <c r="K727" s="5">
        <v>2.1000000000000001E-2</v>
      </c>
      <c r="L727" s="5">
        <v>1E-3</v>
      </c>
      <c r="M727" s="5">
        <v>4075.8319999999999</v>
      </c>
      <c r="N727" s="6">
        <v>5.91E-2</v>
      </c>
      <c r="O727" s="5">
        <v>0.95299999999999996</v>
      </c>
      <c r="P727" s="6">
        <v>4.0500000000000001E-2</v>
      </c>
      <c r="Q727" s="5">
        <v>68586.683000000005</v>
      </c>
      <c r="R727" s="1" t="s">
        <v>44</v>
      </c>
      <c r="T727" s="1" t="s">
        <v>71</v>
      </c>
      <c r="V727" s="1" t="s">
        <v>140</v>
      </c>
      <c r="Y727" s="1" t="s">
        <v>1515</v>
      </c>
      <c r="Z727" s="1" t="str">
        <f t="shared" si="33"/>
        <v>2393 5</v>
      </c>
      <c r="AA727" s="3">
        <f>IF(INDEX('CAMD Facility Data 2023'!$AA$2:$AE$10000,MATCH(Z727,'CAMD Facility Data 2023'!$AE$2:$AE$10000,0),1)&gt;0,INDEX('CAMD Facility Data 2023'!$AA$2:$AE$10000,MATCH(Z727,'CAMD Facility Data 2023'!$AE$2:$AE$10000,0),1),"")</f>
        <v>27141</v>
      </c>
      <c r="AB727" s="5">
        <f>IF(INDEX('CAMD Facility Data 2023'!$AC$2:$AE$10000,MATCH(Z727,'CAMD Facility Data 2023'!$AE$2:$AE$10000,0),1)&gt;0,INDEX('CAMD Facility Data 2023'!$AC$2:$AE$10000,MATCH(Z727,'CAMD Facility Data 2023'!$AE$2:$AE$10000,0),1),"")</f>
        <v>911</v>
      </c>
      <c r="AC727" s="1" t="str">
        <f>IF(INDEX('CAMD Facility Data 2023'!$AE$2:$AG$10000,MATCH(Z727,'CAMD Facility Data 2023'!$AE$2:$AE$10000,0),3)&gt;0,INDEX('CAMD Facility Data 2023'!$AE$2:$AG$10000,MATCH(Z727,'CAMD Facility Data 2023'!$AE$2:$AE$10000,0),3),"")</f>
        <v/>
      </c>
      <c r="AD727" s="20">
        <f t="shared" si="34"/>
        <v>0.36563211577455113</v>
      </c>
      <c r="AE727" s="25">
        <f t="shared" si="35"/>
        <v>8.5944347122184975E-3</v>
      </c>
    </row>
    <row r="728" spans="1:31" x14ac:dyDescent="0.2">
      <c r="A728" s="1" t="s">
        <v>1980</v>
      </c>
      <c r="B728" s="1" t="s">
        <v>1993</v>
      </c>
      <c r="C728" s="1">
        <v>2393</v>
      </c>
      <c r="D728" s="1">
        <v>6</v>
      </c>
      <c r="F728" s="1">
        <v>2023</v>
      </c>
      <c r="G728" s="5">
        <v>142</v>
      </c>
      <c r="H728" s="5">
        <v>122.89</v>
      </c>
      <c r="I728" s="5">
        <v>5839.14</v>
      </c>
      <c r="K728" s="5">
        <v>2.3E-2</v>
      </c>
      <c r="L728" s="5">
        <v>1E-3</v>
      </c>
      <c r="M728" s="5">
        <v>4561.3959999999997</v>
      </c>
      <c r="N728" s="6">
        <v>5.91E-2</v>
      </c>
      <c r="O728" s="5">
        <v>0.77800000000000002</v>
      </c>
      <c r="P728" s="6">
        <v>3.5099999999999999E-2</v>
      </c>
      <c r="Q728" s="5">
        <v>76752.475999999995</v>
      </c>
      <c r="R728" s="1" t="s">
        <v>44</v>
      </c>
      <c r="T728" s="1" t="s">
        <v>71</v>
      </c>
      <c r="V728" s="1" t="s">
        <v>140</v>
      </c>
      <c r="Y728" s="1" t="s">
        <v>1515</v>
      </c>
      <c r="Z728" s="1" t="str">
        <f t="shared" si="33"/>
        <v>2393 6</v>
      </c>
      <c r="AA728" s="3">
        <f>IF(INDEX('CAMD Facility Data 2023'!$AA$2:$AE$10000,MATCH(Z728,'CAMD Facility Data 2023'!$AE$2:$AE$10000,0),1)&gt;0,INDEX('CAMD Facility Data 2023'!$AA$2:$AE$10000,MATCH(Z728,'CAMD Facility Data 2023'!$AE$2:$AE$10000,0),1),"")</f>
        <v>27141</v>
      </c>
      <c r="AB728" s="5">
        <f>IF(INDEX('CAMD Facility Data 2023'!$AC$2:$AE$10000,MATCH(Z728,'CAMD Facility Data 2023'!$AE$2:$AE$10000,0),1)&gt;0,INDEX('CAMD Facility Data 2023'!$AC$2:$AE$10000,MATCH(Z728,'CAMD Facility Data 2023'!$AE$2:$AE$10000,0),1),"")</f>
        <v>952</v>
      </c>
      <c r="AC728" s="1" t="str">
        <f>IF(INDEX('CAMD Facility Data 2023'!$AE$2:$AG$10000,MATCH(Z728,'CAMD Facility Data 2023'!$AE$2:$AE$10000,0),3)&gt;0,INDEX('CAMD Facility Data 2023'!$AE$2:$AG$10000,MATCH(Z728,'CAMD Facility Data 2023'!$AE$2:$AE$10000,0),3),"")</f>
        <v/>
      </c>
      <c r="AD728" s="20">
        <f t="shared" si="34"/>
        <v>0.2664775977284326</v>
      </c>
      <c r="AE728" s="25">
        <f t="shared" si="35"/>
        <v>9.2034644679789713E-3</v>
      </c>
    </row>
    <row r="729" spans="1:31" x14ac:dyDescent="0.2">
      <c r="A729" s="1" t="s">
        <v>1980</v>
      </c>
      <c r="B729" s="1" t="s">
        <v>1993</v>
      </c>
      <c r="C729" s="1">
        <v>2393</v>
      </c>
      <c r="D729" s="1">
        <v>7</v>
      </c>
      <c r="F729" s="1">
        <v>2023</v>
      </c>
      <c r="G729" s="5">
        <v>148</v>
      </c>
      <c r="H729" s="5">
        <v>132.91999999999999</v>
      </c>
      <c r="I729" s="5">
        <v>6345.5</v>
      </c>
      <c r="K729" s="5">
        <v>2.5000000000000001E-2</v>
      </c>
      <c r="L729" s="5">
        <v>1E-3</v>
      </c>
      <c r="M729" s="5">
        <v>4932.6229999999996</v>
      </c>
      <c r="N729" s="6">
        <v>5.91E-2</v>
      </c>
      <c r="O729" s="5">
        <v>1.1819999999999999</v>
      </c>
      <c r="P729" s="6">
        <v>4.1700000000000001E-2</v>
      </c>
      <c r="Q729" s="5">
        <v>82995.591</v>
      </c>
      <c r="R729" s="1" t="s">
        <v>44</v>
      </c>
      <c r="T729" s="1" t="s">
        <v>71</v>
      </c>
      <c r="V729" s="1" t="s">
        <v>140</v>
      </c>
      <c r="Y729" s="1" t="s">
        <v>1515</v>
      </c>
      <c r="Z729" s="1" t="str">
        <f t="shared" si="33"/>
        <v>2393 7</v>
      </c>
      <c r="AA729" s="3">
        <f>IF(INDEX('CAMD Facility Data 2023'!$AA$2:$AE$10000,MATCH(Z729,'CAMD Facility Data 2023'!$AE$2:$AE$10000,0),1)&gt;0,INDEX('CAMD Facility Data 2023'!$AA$2:$AE$10000,MATCH(Z729,'CAMD Facility Data 2023'!$AE$2:$AE$10000,0),1),"")</f>
        <v>27172</v>
      </c>
      <c r="AB729" s="5">
        <f>IF(INDEX('CAMD Facility Data 2023'!$AC$2:$AE$10000,MATCH(Z729,'CAMD Facility Data 2023'!$AE$2:$AE$10000,0),1)&gt;0,INDEX('CAMD Facility Data 2023'!$AC$2:$AE$10000,MATCH(Z729,'CAMD Facility Data 2023'!$AE$2:$AE$10000,0),1),"")</f>
        <v>997</v>
      </c>
      <c r="AC729" s="1" t="str">
        <f>IF(INDEX('CAMD Facility Data 2023'!$AE$2:$AG$10000,MATCH(Z729,'CAMD Facility Data 2023'!$AE$2:$AE$10000,0),3)&gt;0,INDEX('CAMD Facility Data 2023'!$AE$2:$AG$10000,MATCH(Z729,'CAMD Facility Data 2023'!$AE$2:$AE$10000,0),3),"")</f>
        <v/>
      </c>
      <c r="AD729" s="20">
        <f t="shared" si="34"/>
        <v>0.37254747458829091</v>
      </c>
      <c r="AE729" s="25">
        <f t="shared" si="35"/>
        <v>9.5028912078701858E-3</v>
      </c>
    </row>
    <row r="730" spans="1:31" x14ac:dyDescent="0.2">
      <c r="A730" s="1" t="s">
        <v>1980</v>
      </c>
      <c r="B730" s="1" t="s">
        <v>1993</v>
      </c>
      <c r="C730" s="1">
        <v>2393</v>
      </c>
      <c r="D730" s="1">
        <v>9</v>
      </c>
      <c r="F730" s="1">
        <v>2023</v>
      </c>
      <c r="G730" s="5">
        <v>97</v>
      </c>
      <c r="H730" s="5">
        <v>77.22</v>
      </c>
      <c r="I730" s="5">
        <v>9089.17</v>
      </c>
      <c r="K730" s="5">
        <v>3.2000000000000001E-2</v>
      </c>
      <c r="L730" s="5">
        <v>1.6000000000000001E-3</v>
      </c>
      <c r="M730" s="5">
        <v>5747.0910000000003</v>
      </c>
      <c r="N730" s="6">
        <v>6.1699999999999998E-2</v>
      </c>
      <c r="O730" s="5">
        <v>4.5270000000000001</v>
      </c>
      <c r="P730" s="6">
        <v>0.18310000000000001</v>
      </c>
      <c r="Q730" s="5">
        <v>96663.726999999999</v>
      </c>
      <c r="R730" s="1" t="s">
        <v>44</v>
      </c>
      <c r="S730" s="1" t="s">
        <v>94</v>
      </c>
      <c r="T730" s="1" t="s">
        <v>93</v>
      </c>
      <c r="V730" s="1" t="s">
        <v>183</v>
      </c>
      <c r="Y730" s="1" t="s">
        <v>1515</v>
      </c>
      <c r="Z730" s="1" t="str">
        <f t="shared" si="33"/>
        <v>2393 9</v>
      </c>
      <c r="AA730" s="3">
        <f>IF(INDEX('CAMD Facility Data 2023'!$AA$2:$AE$10000,MATCH(Z730,'CAMD Facility Data 2023'!$AE$2:$AE$10000,0),1)&gt;0,INDEX('CAMD Facility Data 2023'!$AA$2:$AE$10000,MATCH(Z730,'CAMD Facility Data 2023'!$AE$2:$AE$10000,0),1),"")</f>
        <v>35143</v>
      </c>
      <c r="AB730" s="5">
        <f>IF(INDEX('CAMD Facility Data 2023'!$AC$2:$AE$10000,MATCH(Z730,'CAMD Facility Data 2023'!$AE$2:$AE$10000,0),1)&gt;0,INDEX('CAMD Facility Data 2023'!$AC$2:$AE$10000,MATCH(Z730,'CAMD Facility Data 2023'!$AE$2:$AE$10000,0),1),"")</f>
        <v>1835</v>
      </c>
      <c r="AC730" s="1" t="str">
        <f>IF(INDEX('CAMD Facility Data 2023'!$AE$2:$AG$10000,MATCH(Z730,'CAMD Facility Data 2023'!$AE$2:$AE$10000,0),3)&gt;0,INDEX('CAMD Facility Data 2023'!$AE$2:$AG$10000,MATCH(Z730,'CAMD Facility Data 2023'!$AE$2:$AE$10000,0),3),"")</f>
        <v/>
      </c>
      <c r="AD730" s="20">
        <f t="shared" si="34"/>
        <v>0.99613055977608511</v>
      </c>
      <c r="AE730" s="25">
        <f t="shared" si="35"/>
        <v>6.0134452490264141E-3</v>
      </c>
    </row>
    <row r="731" spans="1:31" x14ac:dyDescent="0.2">
      <c r="A731" s="1" t="s">
        <v>1980</v>
      </c>
      <c r="B731" s="1" t="s">
        <v>2002</v>
      </c>
      <c r="C731" s="1">
        <v>2398</v>
      </c>
      <c r="D731" s="1">
        <v>1101</v>
      </c>
      <c r="F731" s="1">
        <v>2023</v>
      </c>
      <c r="G731" s="5">
        <v>1157</v>
      </c>
      <c r="H731" s="5">
        <v>1056.78</v>
      </c>
      <c r="I731" s="5">
        <v>117512.26</v>
      </c>
      <c r="K731" s="5">
        <v>0.29599999999999999</v>
      </c>
      <c r="L731" s="5">
        <v>1E-3</v>
      </c>
      <c r="M731" s="5">
        <v>58633.565000000002</v>
      </c>
      <c r="N731" s="6">
        <v>5.91E-2</v>
      </c>
      <c r="O731" s="5">
        <v>16.655999999999999</v>
      </c>
      <c r="P731" s="6">
        <v>4.0899999999999999E-2</v>
      </c>
      <c r="Q731" s="5">
        <v>986021.06599999999</v>
      </c>
      <c r="R731" s="1" t="s">
        <v>44</v>
      </c>
      <c r="S731" s="1" t="s">
        <v>94</v>
      </c>
      <c r="T731" s="1" t="s">
        <v>71</v>
      </c>
      <c r="V731" s="1" t="s">
        <v>183</v>
      </c>
      <c r="Y731" s="1" t="s">
        <v>1515</v>
      </c>
      <c r="Z731" s="1" t="str">
        <f t="shared" si="33"/>
        <v>2398 1101</v>
      </c>
      <c r="AA731" s="3">
        <f>IF(INDEX('CAMD Facility Data 2023'!$AA$2:$AE$10000,MATCH(Z731,'CAMD Facility Data 2023'!$AE$2:$AE$10000,0),1)&gt;0,INDEX('CAMD Facility Data 2023'!$AA$2:$AE$10000,MATCH(Z731,'CAMD Facility Data 2023'!$AE$2:$AE$10000,0),1),"")</f>
        <v>34851</v>
      </c>
      <c r="AB731" s="5">
        <f>IF(INDEX('CAMD Facility Data 2023'!$AC$2:$AE$10000,MATCH(Z731,'CAMD Facility Data 2023'!$AE$2:$AE$10000,0),1)&gt;0,INDEX('CAMD Facility Data 2023'!$AC$2:$AE$10000,MATCH(Z731,'CAMD Facility Data 2023'!$AE$2:$AE$10000,0),1),"")</f>
        <v>1515</v>
      </c>
      <c r="AC731" s="1" t="str">
        <f>IF(INDEX('CAMD Facility Data 2023'!$AE$2:$AG$10000,MATCH(Z731,'CAMD Facility Data 2023'!$AE$2:$AE$10000,0),3)&gt;0,INDEX('CAMD Facility Data 2023'!$AE$2:$AG$10000,MATCH(Z731,'CAMD Facility Data 2023'!$AE$2:$AE$10000,0),3),"")</f>
        <v/>
      </c>
      <c r="AD731" s="20">
        <f t="shared" si="34"/>
        <v>0.28347680488827293</v>
      </c>
      <c r="AE731" s="25">
        <f t="shared" si="35"/>
        <v>7.4296688066066874E-2</v>
      </c>
    </row>
    <row r="732" spans="1:31" x14ac:dyDescent="0.2">
      <c r="A732" s="1" t="s">
        <v>1980</v>
      </c>
      <c r="B732" s="1" t="s">
        <v>2002</v>
      </c>
      <c r="C732" s="1">
        <v>2398</v>
      </c>
      <c r="D732" s="1">
        <v>1201</v>
      </c>
      <c r="F732" s="1">
        <v>2023</v>
      </c>
      <c r="G732" s="5">
        <v>1842</v>
      </c>
      <c r="H732" s="5">
        <v>1698.5</v>
      </c>
      <c r="I732" s="5">
        <v>200203.57</v>
      </c>
      <c r="K732" s="5">
        <v>0.49299999999999999</v>
      </c>
      <c r="L732" s="5">
        <v>1E-3</v>
      </c>
      <c r="M732" s="5">
        <v>97643.623999999996</v>
      </c>
      <c r="N732" s="6">
        <v>5.91E-2</v>
      </c>
      <c r="O732" s="5">
        <v>27.052</v>
      </c>
      <c r="P732" s="6">
        <v>3.9600000000000003E-2</v>
      </c>
      <c r="Q732" s="5">
        <v>1641839.247</v>
      </c>
      <c r="R732" s="1" t="s">
        <v>44</v>
      </c>
      <c r="S732" s="1" t="s">
        <v>94</v>
      </c>
      <c r="T732" s="1" t="s">
        <v>71</v>
      </c>
      <c r="V732" s="1" t="s">
        <v>183</v>
      </c>
      <c r="Y732" s="1" t="s">
        <v>1515</v>
      </c>
      <c r="Z732" s="1" t="str">
        <f t="shared" si="33"/>
        <v>2398 1201</v>
      </c>
      <c r="AA732" s="3">
        <f>IF(INDEX('CAMD Facility Data 2023'!$AA$2:$AE$10000,MATCH(Z732,'CAMD Facility Data 2023'!$AE$2:$AE$10000,0),1)&gt;0,INDEX('CAMD Facility Data 2023'!$AA$2:$AE$10000,MATCH(Z732,'CAMD Facility Data 2023'!$AE$2:$AE$10000,0),1),"")</f>
        <v>34851</v>
      </c>
      <c r="AB732" s="5">
        <f>IF(INDEX('CAMD Facility Data 2023'!$AC$2:$AE$10000,MATCH(Z732,'CAMD Facility Data 2023'!$AE$2:$AE$10000,0),1)&gt;0,INDEX('CAMD Facility Data 2023'!$AC$2:$AE$10000,MATCH(Z732,'CAMD Facility Data 2023'!$AE$2:$AE$10000,0),1),"")</f>
        <v>1515</v>
      </c>
      <c r="AC732" s="1" t="str">
        <f>IF(INDEX('CAMD Facility Data 2023'!$AE$2:$AG$10000,MATCH(Z732,'CAMD Facility Data 2023'!$AE$2:$AE$10000,0),3)&gt;0,INDEX('CAMD Facility Data 2023'!$AE$2:$AG$10000,MATCH(Z732,'CAMD Facility Data 2023'!$AE$2:$AE$10000,0),3),"")</f>
        <v/>
      </c>
      <c r="AD732" s="20">
        <f t="shared" si="34"/>
        <v>0.27024493119678134</v>
      </c>
      <c r="AE732" s="25">
        <f t="shared" si="35"/>
        <v>0.12371258849857589</v>
      </c>
    </row>
    <row r="733" spans="1:31" x14ac:dyDescent="0.2">
      <c r="A733" s="1" t="s">
        <v>1980</v>
      </c>
      <c r="B733" s="1" t="s">
        <v>2002</v>
      </c>
      <c r="C733" s="1">
        <v>2398</v>
      </c>
      <c r="D733" s="1">
        <v>1301</v>
      </c>
      <c r="F733" s="1">
        <v>2023</v>
      </c>
      <c r="G733" s="5">
        <v>2621</v>
      </c>
      <c r="H733" s="5">
        <v>2525.3200000000002</v>
      </c>
      <c r="I733" s="5">
        <v>291904.25</v>
      </c>
      <c r="K733" s="5">
        <v>0.71099999999999997</v>
      </c>
      <c r="L733" s="5">
        <v>1E-3</v>
      </c>
      <c r="M733" s="5">
        <v>140869.10999999999</v>
      </c>
      <c r="N733" s="6">
        <v>5.8999999999999997E-2</v>
      </c>
      <c r="O733" s="5">
        <v>29.954999999999998</v>
      </c>
      <c r="P733" s="6">
        <v>2.7E-2</v>
      </c>
      <c r="Q733" s="5">
        <v>2369696.395</v>
      </c>
      <c r="R733" s="1" t="s">
        <v>44</v>
      </c>
      <c r="S733" s="1" t="s">
        <v>94</v>
      </c>
      <c r="T733" s="1" t="s">
        <v>71</v>
      </c>
      <c r="V733" s="1" t="s">
        <v>183</v>
      </c>
      <c r="Y733" s="1" t="s">
        <v>1515</v>
      </c>
      <c r="Z733" s="1" t="str">
        <f t="shared" si="33"/>
        <v>2398 1301</v>
      </c>
      <c r="AA733" s="3">
        <f>IF(INDEX('CAMD Facility Data 2023'!$AA$2:$AE$10000,MATCH(Z733,'CAMD Facility Data 2023'!$AE$2:$AE$10000,0),1)&gt;0,INDEX('CAMD Facility Data 2023'!$AA$2:$AE$10000,MATCH(Z733,'CAMD Facility Data 2023'!$AE$2:$AE$10000,0),1),"")</f>
        <v>34851</v>
      </c>
      <c r="AB733" s="5">
        <f>IF(INDEX('CAMD Facility Data 2023'!$AC$2:$AE$10000,MATCH(Z733,'CAMD Facility Data 2023'!$AE$2:$AE$10000,0),1)&gt;0,INDEX('CAMD Facility Data 2023'!$AC$2:$AE$10000,MATCH(Z733,'CAMD Facility Data 2023'!$AE$2:$AE$10000,0),1),"")</f>
        <v>1515</v>
      </c>
      <c r="AC733" s="1" t="str">
        <f>IF(INDEX('CAMD Facility Data 2023'!$AE$2:$AG$10000,MATCH(Z733,'CAMD Facility Data 2023'!$AE$2:$AE$10000,0),3)&gt;0,INDEX('CAMD Facility Data 2023'!$AE$2:$AG$10000,MATCH(Z733,'CAMD Facility Data 2023'!$AE$2:$AE$10000,0),3),"")</f>
        <v/>
      </c>
      <c r="AD733" s="20">
        <f t="shared" si="34"/>
        <v>0.20523853284082025</v>
      </c>
      <c r="AE733" s="25">
        <f t="shared" si="35"/>
        <v>0.17855662514881626</v>
      </c>
    </row>
    <row r="734" spans="1:31" x14ac:dyDescent="0.2">
      <c r="A734" s="1" t="s">
        <v>1980</v>
      </c>
      <c r="B734" s="1" t="s">
        <v>2002</v>
      </c>
      <c r="C734" s="1">
        <v>2398</v>
      </c>
      <c r="D734" s="1">
        <v>1401</v>
      </c>
      <c r="F734" s="1">
        <v>2023</v>
      </c>
      <c r="G734" s="5">
        <v>2427</v>
      </c>
      <c r="H734" s="5">
        <v>2330.11</v>
      </c>
      <c r="I734" s="5">
        <v>299494.90999999997</v>
      </c>
      <c r="K734" s="5">
        <v>0.73</v>
      </c>
      <c r="L734" s="5">
        <v>1E-3</v>
      </c>
      <c r="M734" s="5">
        <v>145078.818</v>
      </c>
      <c r="N734" s="6">
        <v>5.9200000000000003E-2</v>
      </c>
      <c r="O734" s="5">
        <v>42.018999999999998</v>
      </c>
      <c r="P734" s="6">
        <v>3.6400000000000002E-2</v>
      </c>
      <c r="Q734" s="5">
        <v>2434544.6710000001</v>
      </c>
      <c r="R734" s="1" t="s">
        <v>44</v>
      </c>
      <c r="S734" s="1" t="s">
        <v>94</v>
      </c>
      <c r="T734" s="1" t="s">
        <v>71</v>
      </c>
      <c r="V734" s="1" t="s">
        <v>183</v>
      </c>
      <c r="Y734" s="1" t="s">
        <v>1515</v>
      </c>
      <c r="Z734" s="1" t="str">
        <f t="shared" si="33"/>
        <v>2398 1401</v>
      </c>
      <c r="AA734" s="3">
        <f>IF(INDEX('CAMD Facility Data 2023'!$AA$2:$AE$10000,MATCH(Z734,'CAMD Facility Data 2023'!$AE$2:$AE$10000,0),1)&gt;0,INDEX('CAMD Facility Data 2023'!$AA$2:$AE$10000,MATCH(Z734,'CAMD Facility Data 2023'!$AE$2:$AE$10000,0),1),"")</f>
        <v>34851</v>
      </c>
      <c r="AB734" s="5">
        <f>IF(INDEX('CAMD Facility Data 2023'!$AC$2:$AE$10000,MATCH(Z734,'CAMD Facility Data 2023'!$AE$2:$AE$10000,0),1)&gt;0,INDEX('CAMD Facility Data 2023'!$AC$2:$AE$10000,MATCH(Z734,'CAMD Facility Data 2023'!$AE$2:$AE$10000,0),1),"")</f>
        <v>1515</v>
      </c>
      <c r="AC734" s="1" t="str">
        <f>IF(INDEX('CAMD Facility Data 2023'!$AE$2:$AG$10000,MATCH(Z734,'CAMD Facility Data 2023'!$AE$2:$AE$10000,0),3)&gt;0,INDEX('CAMD Facility Data 2023'!$AE$2:$AG$10000,MATCH(Z734,'CAMD Facility Data 2023'!$AE$2:$AE$10000,0),3),"")</f>
        <v/>
      </c>
      <c r="AD734" s="20">
        <f t="shared" si="34"/>
        <v>0.28059909265235927</v>
      </c>
      <c r="AE734" s="25">
        <f t="shared" si="35"/>
        <v>0.18344294279427945</v>
      </c>
    </row>
    <row r="735" spans="1:31" x14ac:dyDescent="0.2">
      <c r="A735" s="1" t="s">
        <v>1980</v>
      </c>
      <c r="B735" s="1" t="s">
        <v>2002</v>
      </c>
      <c r="C735" s="1">
        <v>2398</v>
      </c>
      <c r="D735" s="1">
        <v>2101</v>
      </c>
      <c r="F735" s="1">
        <v>2023</v>
      </c>
      <c r="G735" s="5">
        <v>4448</v>
      </c>
      <c r="H735" s="5">
        <v>4273.2299999999996</v>
      </c>
      <c r="I735" s="5">
        <v>871536.84</v>
      </c>
      <c r="K735" s="5">
        <v>1.865</v>
      </c>
      <c r="L735" s="5">
        <v>1E-3</v>
      </c>
      <c r="M735" s="5">
        <v>370354.60800000001</v>
      </c>
      <c r="N735" s="6">
        <v>5.9200000000000003E-2</v>
      </c>
      <c r="O735" s="5">
        <v>29.016999999999999</v>
      </c>
      <c r="P735" s="6">
        <v>1.8100000000000002E-2</v>
      </c>
      <c r="Q735" s="5">
        <v>6219116.4550000001</v>
      </c>
      <c r="R735" s="1" t="s">
        <v>44</v>
      </c>
      <c r="S735" s="1" t="s">
        <v>94</v>
      </c>
      <c r="T735" s="1" t="s">
        <v>71</v>
      </c>
      <c r="V735" s="1" t="s">
        <v>643</v>
      </c>
      <c r="Y735" s="1" t="s">
        <v>1515</v>
      </c>
      <c r="Z735" s="1" t="str">
        <f t="shared" si="33"/>
        <v>2398 2101</v>
      </c>
      <c r="AA735" s="3">
        <f>IF(INDEX('CAMD Facility Data 2023'!$AA$2:$AE$10000,MATCH(Z735,'CAMD Facility Data 2023'!$AE$2:$AE$10000,0),1)&gt;0,INDEX('CAMD Facility Data 2023'!$AA$2:$AE$10000,MATCH(Z735,'CAMD Facility Data 2023'!$AE$2:$AE$10000,0),1),"")</f>
        <v>37377</v>
      </c>
      <c r="AB735" s="5">
        <f>IF(INDEX('CAMD Facility Data 2023'!$AC$2:$AE$10000,MATCH(Z735,'CAMD Facility Data 2023'!$AE$2:$AE$10000,0),1)&gt;0,INDEX('CAMD Facility Data 2023'!$AC$2:$AE$10000,MATCH(Z735,'CAMD Facility Data 2023'!$AE$2:$AE$10000,0),1),"")</f>
        <v>2450</v>
      </c>
      <c r="AC735" s="1" t="str">
        <f>IF(INDEX('CAMD Facility Data 2023'!$AE$2:$AG$10000,MATCH(Z735,'CAMD Facility Data 2023'!$AE$2:$AE$10000,0),3)&gt;0,INDEX('CAMD Facility Data 2023'!$AE$2:$AG$10000,MATCH(Z735,'CAMD Facility Data 2023'!$AE$2:$AE$10000,0),3),"")</f>
        <v>Y</v>
      </c>
      <c r="AD735" s="20">
        <f t="shared" si="34"/>
        <v>6.6588120359892075E-2</v>
      </c>
      <c r="AE735" s="25">
        <f t="shared" si="35"/>
        <v>0.28977338808125991</v>
      </c>
    </row>
    <row r="736" spans="1:31" x14ac:dyDescent="0.2">
      <c r="A736" s="1" t="s">
        <v>1980</v>
      </c>
      <c r="B736" s="1" t="s">
        <v>2002</v>
      </c>
      <c r="C736" s="1">
        <v>2398</v>
      </c>
      <c r="D736" s="1">
        <v>2201</v>
      </c>
      <c r="F736" s="1">
        <v>2023</v>
      </c>
      <c r="G736" s="5">
        <v>4658</v>
      </c>
      <c r="H736" s="5">
        <v>4529.76</v>
      </c>
      <c r="I736" s="5">
        <v>966313.47</v>
      </c>
      <c r="K736" s="5">
        <v>2.052</v>
      </c>
      <c r="L736" s="5">
        <v>1E-3</v>
      </c>
      <c r="M736" s="5">
        <v>406502.25699999998</v>
      </c>
      <c r="N736" s="6">
        <v>5.8999999999999997E-2</v>
      </c>
      <c r="O736" s="5">
        <v>27.556999999999999</v>
      </c>
      <c r="P736" s="6">
        <v>1.4800000000000001E-2</v>
      </c>
      <c r="Q736" s="5">
        <v>6839481.909</v>
      </c>
      <c r="R736" s="1" t="s">
        <v>44</v>
      </c>
      <c r="S736" s="1" t="s">
        <v>94</v>
      </c>
      <c r="T736" s="1" t="s">
        <v>71</v>
      </c>
      <c r="V736" s="1" t="s">
        <v>643</v>
      </c>
      <c r="Y736" s="1" t="s">
        <v>1515</v>
      </c>
      <c r="Z736" s="1" t="str">
        <f t="shared" si="33"/>
        <v>2398 2201</v>
      </c>
      <c r="AA736" s="3">
        <f>IF(INDEX('CAMD Facility Data 2023'!$AA$2:$AE$10000,MATCH(Z736,'CAMD Facility Data 2023'!$AE$2:$AE$10000,0),1)&gt;0,INDEX('CAMD Facility Data 2023'!$AA$2:$AE$10000,MATCH(Z736,'CAMD Facility Data 2023'!$AE$2:$AE$10000,0),1),"")</f>
        <v>37377</v>
      </c>
      <c r="AB736" s="5">
        <f>IF(INDEX('CAMD Facility Data 2023'!$AC$2:$AE$10000,MATCH(Z736,'CAMD Facility Data 2023'!$AE$2:$AE$10000,0),1)&gt;0,INDEX('CAMD Facility Data 2023'!$AC$2:$AE$10000,MATCH(Z736,'CAMD Facility Data 2023'!$AE$2:$AE$10000,0),1),"")</f>
        <v>2450</v>
      </c>
      <c r="AC736" s="1" t="str">
        <f>IF(INDEX('CAMD Facility Data 2023'!$AE$2:$AG$10000,MATCH(Z736,'CAMD Facility Data 2023'!$AE$2:$AE$10000,0),3)&gt;0,INDEX('CAMD Facility Data 2023'!$AE$2:$AG$10000,MATCH(Z736,'CAMD Facility Data 2023'!$AE$2:$AE$10000,0),3),"")</f>
        <v>Y</v>
      </c>
      <c r="AD736" s="20">
        <f t="shared" si="34"/>
        <v>5.7035322088597191E-2</v>
      </c>
      <c r="AE736" s="25">
        <f t="shared" si="35"/>
        <v>0.31867868367346941</v>
      </c>
    </row>
    <row r="737" spans="1:31" x14ac:dyDescent="0.2">
      <c r="A737" s="1" t="s">
        <v>1980</v>
      </c>
      <c r="B737" s="1" t="s">
        <v>2012</v>
      </c>
      <c r="C737" s="1">
        <v>2399</v>
      </c>
      <c r="D737" s="1">
        <v>121</v>
      </c>
      <c r="F737" s="1">
        <v>2023</v>
      </c>
      <c r="G737" s="5">
        <v>316</v>
      </c>
      <c r="H737" s="5">
        <v>186.07</v>
      </c>
      <c r="I737" s="5">
        <v>6873.39</v>
      </c>
      <c r="K737" s="5">
        <v>0.02</v>
      </c>
      <c r="L737" s="5">
        <v>1E-3</v>
      </c>
      <c r="M737" s="5">
        <v>3918.7820000000002</v>
      </c>
      <c r="N737" s="6">
        <v>5.9700000000000003E-2</v>
      </c>
      <c r="O737" s="5">
        <v>3.2570000000000001</v>
      </c>
      <c r="P737" s="6">
        <v>0.14899999999999999</v>
      </c>
      <c r="Q737" s="5">
        <v>65462.485000000001</v>
      </c>
      <c r="R737" s="1" t="s">
        <v>44</v>
      </c>
      <c r="S737" s="1" t="s">
        <v>94</v>
      </c>
      <c r="T737" s="1" t="s">
        <v>93</v>
      </c>
      <c r="V737" s="1" t="s">
        <v>95</v>
      </c>
      <c r="Y737" s="1" t="s">
        <v>1515</v>
      </c>
      <c r="Z737" s="1" t="str">
        <f t="shared" si="33"/>
        <v>2399 121</v>
      </c>
      <c r="AA737" s="3">
        <f>IF(INDEX('CAMD Facility Data 2023'!$AA$2:$AE$10000,MATCH(Z737,'CAMD Facility Data 2023'!$AE$2:$AE$10000,0),1)&gt;0,INDEX('CAMD Facility Data 2023'!$AA$2:$AE$10000,MATCH(Z737,'CAMD Facility Data 2023'!$AE$2:$AE$10000,0),1),"")</f>
        <v>36658</v>
      </c>
      <c r="AB737" s="5">
        <f>IF(INDEX('CAMD Facility Data 2023'!$AC$2:$AE$10000,MATCH(Z737,'CAMD Facility Data 2023'!$AE$2:$AE$10000,0),1)&gt;0,INDEX('CAMD Facility Data 2023'!$AC$2:$AE$10000,MATCH(Z737,'CAMD Facility Data 2023'!$AE$2:$AE$10000,0),1),"")</f>
        <v>463</v>
      </c>
      <c r="AC737" s="1" t="str">
        <f>IF(INDEX('CAMD Facility Data 2023'!$AE$2:$AG$10000,MATCH(Z737,'CAMD Facility Data 2023'!$AE$2:$AE$10000,0),3)&gt;0,INDEX('CAMD Facility Data 2023'!$AE$2:$AG$10000,MATCH(Z737,'CAMD Facility Data 2023'!$AE$2:$AE$10000,0),3),"")</f>
        <v/>
      </c>
      <c r="AD737" s="20">
        <f t="shared" si="34"/>
        <v>0.94771284620834839</v>
      </c>
      <c r="AE737" s="25">
        <f t="shared" si="35"/>
        <v>1.6140143446058561E-2</v>
      </c>
    </row>
    <row r="738" spans="1:31" x14ac:dyDescent="0.2">
      <c r="A738" s="1" t="s">
        <v>1980</v>
      </c>
      <c r="B738" s="1" t="s">
        <v>2012</v>
      </c>
      <c r="C738" s="1">
        <v>2399</v>
      </c>
      <c r="D738" s="1">
        <v>122</v>
      </c>
      <c r="F738" s="1">
        <v>2023</v>
      </c>
      <c r="G738" s="5">
        <v>295</v>
      </c>
      <c r="H738" s="5">
        <v>179.38</v>
      </c>
      <c r="I738" s="5">
        <v>6789.08</v>
      </c>
      <c r="K738" s="5">
        <v>0.02</v>
      </c>
      <c r="L738" s="5">
        <v>1E-3</v>
      </c>
      <c r="M738" s="5">
        <v>3852.732</v>
      </c>
      <c r="N738" s="6">
        <v>5.9799999999999999E-2</v>
      </c>
      <c r="O738" s="5">
        <v>3.024</v>
      </c>
      <c r="P738" s="6">
        <v>0.1384</v>
      </c>
      <c r="Q738" s="5">
        <v>64346.822999999997</v>
      </c>
      <c r="R738" s="1" t="s">
        <v>44</v>
      </c>
      <c r="S738" s="1" t="s">
        <v>94</v>
      </c>
      <c r="T738" s="1" t="s">
        <v>93</v>
      </c>
      <c r="V738" s="1" t="s">
        <v>95</v>
      </c>
      <c r="Y738" s="1" t="s">
        <v>1515</v>
      </c>
      <c r="Z738" s="1" t="str">
        <f t="shared" si="33"/>
        <v>2399 122</v>
      </c>
      <c r="AA738" s="3">
        <f>IF(INDEX('CAMD Facility Data 2023'!$AA$2:$AE$10000,MATCH(Z738,'CAMD Facility Data 2023'!$AE$2:$AE$10000,0),1)&gt;0,INDEX('CAMD Facility Data 2023'!$AA$2:$AE$10000,MATCH(Z738,'CAMD Facility Data 2023'!$AE$2:$AE$10000,0),1),"")</f>
        <v>36662</v>
      </c>
      <c r="AB738" s="5">
        <f>IF(INDEX('CAMD Facility Data 2023'!$AC$2:$AE$10000,MATCH(Z738,'CAMD Facility Data 2023'!$AE$2:$AE$10000,0),1)&gt;0,INDEX('CAMD Facility Data 2023'!$AC$2:$AE$10000,MATCH(Z738,'CAMD Facility Data 2023'!$AE$2:$AE$10000,0),1),"")</f>
        <v>463</v>
      </c>
      <c r="AC738" s="1" t="str">
        <f>IF(INDEX('CAMD Facility Data 2023'!$AE$2:$AG$10000,MATCH(Z738,'CAMD Facility Data 2023'!$AE$2:$AE$10000,0),3)&gt;0,INDEX('CAMD Facility Data 2023'!$AE$2:$AG$10000,MATCH(Z738,'CAMD Facility Data 2023'!$AE$2:$AE$10000,0),3),"")</f>
        <v/>
      </c>
      <c r="AD738" s="20">
        <f t="shared" si="34"/>
        <v>0.89084235271936696</v>
      </c>
      <c r="AE738" s="25">
        <f t="shared" si="35"/>
        <v>1.5865070712151246E-2</v>
      </c>
    </row>
    <row r="739" spans="1:31" x14ac:dyDescent="0.2">
      <c r="A739" s="1" t="s">
        <v>1980</v>
      </c>
      <c r="B739" s="1" t="s">
        <v>2012</v>
      </c>
      <c r="C739" s="1">
        <v>2399</v>
      </c>
      <c r="D739" s="1">
        <v>123</v>
      </c>
      <c r="F739" s="1">
        <v>2023</v>
      </c>
      <c r="G739" s="5">
        <v>316</v>
      </c>
      <c r="H739" s="5">
        <v>179.6</v>
      </c>
      <c r="I739" s="5">
        <v>6789.21</v>
      </c>
      <c r="K739" s="5">
        <v>0.02</v>
      </c>
      <c r="L739" s="5">
        <v>1E-3</v>
      </c>
      <c r="M739" s="5">
        <v>3766.4789999999998</v>
      </c>
      <c r="N739" s="6">
        <v>5.9700000000000003E-2</v>
      </c>
      <c r="O739" s="5">
        <v>3.0640000000000001</v>
      </c>
      <c r="P739" s="6">
        <v>0.14860000000000001</v>
      </c>
      <c r="Q739" s="5">
        <v>62857.78</v>
      </c>
      <c r="R739" s="1" t="s">
        <v>44</v>
      </c>
      <c r="S739" s="1" t="s">
        <v>94</v>
      </c>
      <c r="T739" s="1" t="s">
        <v>93</v>
      </c>
      <c r="V739" s="1" t="s">
        <v>95</v>
      </c>
      <c r="Y739" s="1" t="s">
        <v>1515</v>
      </c>
      <c r="Z739" s="1" t="str">
        <f t="shared" si="33"/>
        <v>2399 123</v>
      </c>
      <c r="AA739" s="3">
        <f>IF(INDEX('CAMD Facility Data 2023'!$AA$2:$AE$10000,MATCH(Z739,'CAMD Facility Data 2023'!$AE$2:$AE$10000,0),1)&gt;0,INDEX('CAMD Facility Data 2023'!$AA$2:$AE$10000,MATCH(Z739,'CAMD Facility Data 2023'!$AE$2:$AE$10000,0),1),"")</f>
        <v>36689</v>
      </c>
      <c r="AB739" s="5">
        <f>IF(INDEX('CAMD Facility Data 2023'!$AC$2:$AE$10000,MATCH(Z739,'CAMD Facility Data 2023'!$AE$2:$AE$10000,0),1)&gt;0,INDEX('CAMD Facility Data 2023'!$AC$2:$AE$10000,MATCH(Z739,'CAMD Facility Data 2023'!$AE$2:$AE$10000,0),1),"")</f>
        <v>463</v>
      </c>
      <c r="AC739" s="1" t="str">
        <f>IF(INDEX('CAMD Facility Data 2023'!$AE$2:$AG$10000,MATCH(Z739,'CAMD Facility Data 2023'!$AE$2:$AE$10000,0),3)&gt;0,INDEX('CAMD Facility Data 2023'!$AE$2:$AG$10000,MATCH(Z739,'CAMD Facility Data 2023'!$AE$2:$AE$10000,0),3),"")</f>
        <v/>
      </c>
      <c r="AD739" s="20">
        <f t="shared" si="34"/>
        <v>0.90260869821378331</v>
      </c>
      <c r="AE739" s="25">
        <f t="shared" si="35"/>
        <v>1.5497938795033384E-2</v>
      </c>
    </row>
    <row r="740" spans="1:31" x14ac:dyDescent="0.2">
      <c r="A740" s="1" t="s">
        <v>1980</v>
      </c>
      <c r="B740" s="1" t="s">
        <v>2012</v>
      </c>
      <c r="C740" s="1">
        <v>2399</v>
      </c>
      <c r="D740" s="1">
        <v>124</v>
      </c>
      <c r="F740" s="1">
        <v>2023</v>
      </c>
      <c r="G740" s="5">
        <v>334</v>
      </c>
      <c r="H740" s="5">
        <v>193.79</v>
      </c>
      <c r="I740" s="5">
        <v>7125.27</v>
      </c>
      <c r="K740" s="5">
        <v>2.1999999999999999E-2</v>
      </c>
      <c r="L740" s="5">
        <v>1E-3</v>
      </c>
      <c r="M740" s="5">
        <v>4250.4769999999999</v>
      </c>
      <c r="N740" s="6">
        <v>5.9799999999999999E-2</v>
      </c>
      <c r="O740" s="5">
        <v>3.4580000000000002</v>
      </c>
      <c r="P740" s="6">
        <v>0.1515</v>
      </c>
      <c r="Q740" s="5">
        <v>71178.661999999997</v>
      </c>
      <c r="R740" s="1" t="s">
        <v>44</v>
      </c>
      <c r="S740" s="1" t="s">
        <v>94</v>
      </c>
      <c r="T740" s="1" t="s">
        <v>93</v>
      </c>
      <c r="V740" s="1" t="s">
        <v>95</v>
      </c>
      <c r="Y740" s="1" t="s">
        <v>1515</v>
      </c>
      <c r="Z740" s="1" t="str">
        <f t="shared" si="33"/>
        <v>2399 124</v>
      </c>
      <c r="AA740" s="3">
        <f>IF(INDEX('CAMD Facility Data 2023'!$AA$2:$AE$10000,MATCH(Z740,'CAMD Facility Data 2023'!$AE$2:$AE$10000,0),1)&gt;0,INDEX('CAMD Facility Data 2023'!$AA$2:$AE$10000,MATCH(Z740,'CAMD Facility Data 2023'!$AE$2:$AE$10000,0),1),"")</f>
        <v>36693</v>
      </c>
      <c r="AB740" s="5">
        <f>IF(INDEX('CAMD Facility Data 2023'!$AC$2:$AE$10000,MATCH(Z740,'CAMD Facility Data 2023'!$AE$2:$AE$10000,0),1)&gt;0,INDEX('CAMD Facility Data 2023'!$AC$2:$AE$10000,MATCH(Z740,'CAMD Facility Data 2023'!$AE$2:$AE$10000,0),1),"")</f>
        <v>463</v>
      </c>
      <c r="AC740" s="1" t="str">
        <f>IF(INDEX('CAMD Facility Data 2023'!$AE$2:$AG$10000,MATCH(Z740,'CAMD Facility Data 2023'!$AE$2:$AE$10000,0),3)&gt;0,INDEX('CAMD Facility Data 2023'!$AE$2:$AG$10000,MATCH(Z740,'CAMD Facility Data 2023'!$AE$2:$AE$10000,0),3),"")</f>
        <v/>
      </c>
      <c r="AD740" s="20">
        <f t="shared" si="34"/>
        <v>0.97062988490260715</v>
      </c>
      <c r="AE740" s="25">
        <f t="shared" si="35"/>
        <v>1.7549498998984191E-2</v>
      </c>
    </row>
    <row r="741" spans="1:31" x14ac:dyDescent="0.2">
      <c r="A741" s="1" t="s">
        <v>1980</v>
      </c>
      <c r="B741" s="1" t="s">
        <v>2019</v>
      </c>
      <c r="C741" s="1">
        <v>2404</v>
      </c>
      <c r="D741" s="1">
        <v>121</v>
      </c>
      <c r="F741" s="1">
        <v>2023</v>
      </c>
      <c r="G741" s="5">
        <v>702</v>
      </c>
      <c r="H741" s="5">
        <v>506.66</v>
      </c>
      <c r="I741" s="5">
        <v>13972.35</v>
      </c>
      <c r="K741" s="5">
        <v>4.7E-2</v>
      </c>
      <c r="L741" s="5">
        <v>1E-3</v>
      </c>
      <c r="M741" s="5">
        <v>9342.9259999999995</v>
      </c>
      <c r="N741" s="6">
        <v>5.9400000000000001E-2</v>
      </c>
      <c r="O741" s="5">
        <v>7.0490000000000004</v>
      </c>
      <c r="P741" s="6">
        <v>0.1169</v>
      </c>
      <c r="Q741" s="5">
        <v>156909.44099999999</v>
      </c>
      <c r="R741" s="1" t="s">
        <v>44</v>
      </c>
      <c r="S741" s="1" t="s">
        <v>94</v>
      </c>
      <c r="T741" s="1" t="s">
        <v>93</v>
      </c>
      <c r="V741" s="1" t="s">
        <v>95</v>
      </c>
      <c r="Y741" s="1" t="s">
        <v>1515</v>
      </c>
      <c r="Z741" s="1" t="str">
        <f t="shared" si="33"/>
        <v>2404 121</v>
      </c>
      <c r="AA741" s="3">
        <f>IF(INDEX('CAMD Facility Data 2023'!$AA$2:$AE$10000,MATCH(Z741,'CAMD Facility Data 2023'!$AE$2:$AE$10000,0),1)&gt;0,INDEX('CAMD Facility Data 2023'!$AA$2:$AE$10000,MATCH(Z741,'CAMD Facility Data 2023'!$AE$2:$AE$10000,0),1),"")</f>
        <v>37043</v>
      </c>
      <c r="AB741" s="5">
        <f>IF(INDEX('CAMD Facility Data 2023'!$AC$2:$AE$10000,MATCH(Z741,'CAMD Facility Data 2023'!$AE$2:$AE$10000,0),1)&gt;0,INDEX('CAMD Facility Data 2023'!$AC$2:$AE$10000,MATCH(Z741,'CAMD Facility Data 2023'!$AE$2:$AE$10000,0),1),"")</f>
        <v>463</v>
      </c>
      <c r="AC741" s="1" t="str">
        <f>IF(INDEX('CAMD Facility Data 2023'!$AE$2:$AG$10000,MATCH(Z741,'CAMD Facility Data 2023'!$AE$2:$AE$10000,0),3)&gt;0,INDEX('CAMD Facility Data 2023'!$AE$2:$AG$10000,MATCH(Z741,'CAMD Facility Data 2023'!$AE$2:$AE$10000,0),3),"")</f>
        <v/>
      </c>
      <c r="AD741" s="20">
        <f t="shared" si="34"/>
        <v>1.0089927607023872</v>
      </c>
      <c r="AE741" s="25">
        <f t="shared" si="35"/>
        <v>3.8686904198349061E-2</v>
      </c>
    </row>
    <row r="742" spans="1:31" x14ac:dyDescent="0.2">
      <c r="A742" s="1" t="s">
        <v>1980</v>
      </c>
      <c r="B742" s="1" t="s">
        <v>2019</v>
      </c>
      <c r="C742" s="1">
        <v>2404</v>
      </c>
      <c r="D742" s="1">
        <v>122</v>
      </c>
      <c r="F742" s="1">
        <v>2023</v>
      </c>
      <c r="G742" s="5">
        <v>396</v>
      </c>
      <c r="H742" s="5">
        <v>223.14</v>
      </c>
      <c r="I742" s="5">
        <v>6343.81</v>
      </c>
      <c r="K742" s="5">
        <v>2.1000000000000001E-2</v>
      </c>
      <c r="L742" s="5">
        <v>1E-3</v>
      </c>
      <c r="M742" s="5">
        <v>4205.759</v>
      </c>
      <c r="N742" s="6">
        <v>5.9499999999999997E-2</v>
      </c>
      <c r="O742" s="5">
        <v>3.1280000000000001</v>
      </c>
      <c r="P742" s="6">
        <v>0.1386</v>
      </c>
      <c r="Q742" s="5">
        <v>70570.164999999994</v>
      </c>
      <c r="R742" s="1" t="s">
        <v>44</v>
      </c>
      <c r="S742" s="1" t="s">
        <v>94</v>
      </c>
      <c r="T742" s="1" t="s">
        <v>93</v>
      </c>
      <c r="V742" s="1" t="s">
        <v>95</v>
      </c>
      <c r="Y742" s="1" t="s">
        <v>1515</v>
      </c>
      <c r="Z742" s="1" t="str">
        <f t="shared" si="33"/>
        <v>2404 122</v>
      </c>
      <c r="AA742" s="3">
        <f>IF(INDEX('CAMD Facility Data 2023'!$AA$2:$AE$10000,MATCH(Z742,'CAMD Facility Data 2023'!$AE$2:$AE$10000,0),1)&gt;0,INDEX('CAMD Facility Data 2023'!$AA$2:$AE$10000,MATCH(Z742,'CAMD Facility Data 2023'!$AE$2:$AE$10000,0),1),"")</f>
        <v>37042</v>
      </c>
      <c r="AB742" s="5">
        <f>IF(INDEX('CAMD Facility Data 2023'!$AC$2:$AE$10000,MATCH(Z742,'CAMD Facility Data 2023'!$AE$2:$AE$10000,0),1)&gt;0,INDEX('CAMD Facility Data 2023'!$AC$2:$AE$10000,MATCH(Z742,'CAMD Facility Data 2023'!$AE$2:$AE$10000,0),1),"")</f>
        <v>463</v>
      </c>
      <c r="AC742" s="1" t="str">
        <f>IF(INDEX('CAMD Facility Data 2023'!$AE$2:$AG$10000,MATCH(Z742,'CAMD Facility Data 2023'!$AE$2:$AE$10000,0),3)&gt;0,INDEX('CAMD Facility Data 2023'!$AE$2:$AG$10000,MATCH(Z742,'CAMD Facility Data 2023'!$AE$2:$AE$10000,0),3),"")</f>
        <v/>
      </c>
      <c r="AD742" s="20">
        <f t="shared" si="34"/>
        <v>0.9861581604745413</v>
      </c>
      <c r="AE742" s="25">
        <f t="shared" si="35"/>
        <v>1.7399470645088119E-2</v>
      </c>
    </row>
    <row r="743" spans="1:31" x14ac:dyDescent="0.2">
      <c r="A743" s="1" t="s">
        <v>1980</v>
      </c>
      <c r="B743" s="1" t="s">
        <v>2019</v>
      </c>
      <c r="C743" s="1">
        <v>2404</v>
      </c>
      <c r="D743" s="1">
        <v>123</v>
      </c>
      <c r="F743" s="1">
        <v>2023</v>
      </c>
      <c r="G743" s="5">
        <v>690</v>
      </c>
      <c r="H743" s="5">
        <v>502.72</v>
      </c>
      <c r="I743" s="5">
        <v>13794.83</v>
      </c>
      <c r="K743" s="5">
        <v>4.9000000000000002E-2</v>
      </c>
      <c r="L743" s="5">
        <v>1E-3</v>
      </c>
      <c r="M743" s="5">
        <v>9711.8140000000003</v>
      </c>
      <c r="N743" s="6">
        <v>5.9400000000000001E-2</v>
      </c>
      <c r="O743" s="5">
        <v>7.093</v>
      </c>
      <c r="P743" s="6">
        <v>0.1081</v>
      </c>
      <c r="Q743" s="5">
        <v>163154.31</v>
      </c>
      <c r="R743" s="1" t="s">
        <v>44</v>
      </c>
      <c r="S743" s="1" t="s">
        <v>94</v>
      </c>
      <c r="T743" s="1" t="s">
        <v>93</v>
      </c>
      <c r="V743" s="1" t="s">
        <v>95</v>
      </c>
      <c r="Y743" s="1" t="s">
        <v>1515</v>
      </c>
      <c r="Z743" s="1" t="str">
        <f t="shared" si="33"/>
        <v>2404 123</v>
      </c>
      <c r="AA743" s="3">
        <f>IF(INDEX('CAMD Facility Data 2023'!$AA$2:$AE$10000,MATCH(Z743,'CAMD Facility Data 2023'!$AE$2:$AE$10000,0),1)&gt;0,INDEX('CAMD Facility Data 2023'!$AA$2:$AE$10000,MATCH(Z743,'CAMD Facility Data 2023'!$AE$2:$AE$10000,0),1),"")</f>
        <v>37043</v>
      </c>
      <c r="AB743" s="5">
        <f>IF(INDEX('CAMD Facility Data 2023'!$AC$2:$AE$10000,MATCH(Z743,'CAMD Facility Data 2023'!$AE$2:$AE$10000,0),1)&gt;0,INDEX('CAMD Facility Data 2023'!$AC$2:$AE$10000,MATCH(Z743,'CAMD Facility Data 2023'!$AE$2:$AE$10000,0),1),"")</f>
        <v>463</v>
      </c>
      <c r="AC743" s="1" t="str">
        <f>IF(INDEX('CAMD Facility Data 2023'!$AE$2:$AG$10000,MATCH(Z743,'CAMD Facility Data 2023'!$AE$2:$AE$10000,0),3)&gt;0,INDEX('CAMD Facility Data 2023'!$AE$2:$AG$10000,MATCH(Z743,'CAMD Facility Data 2023'!$AE$2:$AE$10000,0),3),"")</f>
        <v/>
      </c>
      <c r="AD743" s="20">
        <f t="shared" si="34"/>
        <v>1.0283562755032138</v>
      </c>
      <c r="AE743" s="25">
        <f t="shared" si="35"/>
        <v>4.022661173407497E-2</v>
      </c>
    </row>
    <row r="744" spans="1:31" x14ac:dyDescent="0.2">
      <c r="A744" s="1" t="s">
        <v>1980</v>
      </c>
      <c r="B744" s="1" t="s">
        <v>2019</v>
      </c>
      <c r="C744" s="1">
        <v>2404</v>
      </c>
      <c r="D744" s="1">
        <v>124</v>
      </c>
      <c r="F744" s="1">
        <v>2023</v>
      </c>
      <c r="G744" s="5">
        <v>682</v>
      </c>
      <c r="H744" s="5">
        <v>501.47</v>
      </c>
      <c r="I744" s="5">
        <v>13702.33</v>
      </c>
      <c r="K744" s="5">
        <v>0.10100000000000001</v>
      </c>
      <c r="L744" s="5">
        <v>2.3999999999999998E-3</v>
      </c>
      <c r="M744" s="5">
        <v>9076.4570000000003</v>
      </c>
      <c r="N744" s="6">
        <v>5.9299999999999999E-2</v>
      </c>
      <c r="O744" s="5">
        <v>6.8289999999999997</v>
      </c>
      <c r="P744" s="6">
        <v>0.11409999999999999</v>
      </c>
      <c r="Q744" s="5">
        <v>152689.391</v>
      </c>
      <c r="R744" s="1" t="s">
        <v>44</v>
      </c>
      <c r="S744" s="1" t="s">
        <v>94</v>
      </c>
      <c r="T744" s="1" t="s">
        <v>93</v>
      </c>
      <c r="V744" s="1" t="s">
        <v>95</v>
      </c>
      <c r="Y744" s="1" t="s">
        <v>1515</v>
      </c>
      <c r="Z744" s="1" t="str">
        <f t="shared" si="33"/>
        <v>2404 124</v>
      </c>
      <c r="AA744" s="3">
        <f>IF(INDEX('CAMD Facility Data 2023'!$AA$2:$AE$10000,MATCH(Z744,'CAMD Facility Data 2023'!$AE$2:$AE$10000,0),1)&gt;0,INDEX('CAMD Facility Data 2023'!$AA$2:$AE$10000,MATCH(Z744,'CAMD Facility Data 2023'!$AE$2:$AE$10000,0),1),"")</f>
        <v>37043</v>
      </c>
      <c r="AB744" s="5">
        <f>IF(INDEX('CAMD Facility Data 2023'!$AC$2:$AE$10000,MATCH(Z744,'CAMD Facility Data 2023'!$AE$2:$AE$10000,0),1)&gt;0,INDEX('CAMD Facility Data 2023'!$AC$2:$AE$10000,MATCH(Z744,'CAMD Facility Data 2023'!$AE$2:$AE$10000,0),1),"")</f>
        <v>463</v>
      </c>
      <c r="AC744" s="1" t="str">
        <f>IF(INDEX('CAMD Facility Data 2023'!$AE$2:$AG$10000,MATCH(Z744,'CAMD Facility Data 2023'!$AE$2:$AE$10000,0),3)&gt;0,INDEX('CAMD Facility Data 2023'!$AE$2:$AG$10000,MATCH(Z744,'CAMD Facility Data 2023'!$AE$2:$AE$10000,0),3),"")</f>
        <v/>
      </c>
      <c r="AD744" s="20">
        <f t="shared" si="34"/>
        <v>0.99676478379954359</v>
      </c>
      <c r="AE744" s="25">
        <f t="shared" si="35"/>
        <v>3.7646427162539325E-2</v>
      </c>
    </row>
    <row r="745" spans="1:31" x14ac:dyDescent="0.2">
      <c r="A745" s="1" t="s">
        <v>1980</v>
      </c>
      <c r="B745" s="1" t="s">
        <v>2019</v>
      </c>
      <c r="C745" s="1">
        <v>2404</v>
      </c>
      <c r="D745" s="1">
        <v>131</v>
      </c>
      <c r="F745" s="1">
        <v>2023</v>
      </c>
      <c r="G745" s="5">
        <v>521</v>
      </c>
      <c r="H745" s="5">
        <v>337.31</v>
      </c>
      <c r="I745" s="5">
        <v>10396.19</v>
      </c>
      <c r="K745" s="5">
        <v>3.4000000000000002E-2</v>
      </c>
      <c r="L745" s="5">
        <v>1E-3</v>
      </c>
      <c r="M745" s="5">
        <v>6770.0010000000002</v>
      </c>
      <c r="N745" s="6">
        <v>5.9299999999999999E-2</v>
      </c>
      <c r="O745" s="5">
        <v>0.55000000000000004</v>
      </c>
      <c r="P745" s="6">
        <v>2.4400000000000002E-2</v>
      </c>
      <c r="Q745" s="5">
        <v>113913.46400000001</v>
      </c>
      <c r="R745" s="1" t="s">
        <v>44</v>
      </c>
      <c r="T745" s="1" t="s">
        <v>93</v>
      </c>
      <c r="V745" s="1" t="s">
        <v>176</v>
      </c>
      <c r="Y745" s="1" t="s">
        <v>1515</v>
      </c>
      <c r="Z745" s="1" t="str">
        <f t="shared" si="33"/>
        <v>2404 131</v>
      </c>
      <c r="AA745" s="3">
        <f>IF(INDEX('CAMD Facility Data 2023'!$AA$2:$AE$10000,MATCH(Z745,'CAMD Facility Data 2023'!$AE$2:$AE$10000,0),1)&gt;0,INDEX('CAMD Facility Data 2023'!$AA$2:$AE$10000,MATCH(Z745,'CAMD Facility Data 2023'!$AE$2:$AE$10000,0),1),"")</f>
        <v>41023</v>
      </c>
      <c r="AB745" s="5">
        <f>IF(INDEX('CAMD Facility Data 2023'!$AC$2:$AE$10000,MATCH(Z745,'CAMD Facility Data 2023'!$AE$2:$AE$10000,0),1)&gt;0,INDEX('CAMD Facility Data 2023'!$AC$2:$AE$10000,MATCH(Z745,'CAMD Facility Data 2023'!$AE$2:$AE$10000,0),1),"")</f>
        <v>490</v>
      </c>
      <c r="AC745" s="1" t="str">
        <f>IF(INDEX('CAMD Facility Data 2023'!$AE$2:$AG$10000,MATCH(Z745,'CAMD Facility Data 2023'!$AE$2:$AE$10000,0),3)&gt;0,INDEX('CAMD Facility Data 2023'!$AE$2:$AG$10000,MATCH(Z745,'CAMD Facility Data 2023'!$AE$2:$AE$10000,0),3),"")</f>
        <v>Y</v>
      </c>
      <c r="AD745" s="20">
        <f t="shared" si="34"/>
        <v>0.10580799312055666</v>
      </c>
      <c r="AE745" s="25">
        <f t="shared" si="35"/>
        <v>2.6538408349641229E-2</v>
      </c>
    </row>
    <row r="746" spans="1:31" x14ac:dyDescent="0.2">
      <c r="A746" s="1" t="s">
        <v>1980</v>
      </c>
      <c r="B746" s="1" t="s">
        <v>2019</v>
      </c>
      <c r="C746" s="1">
        <v>2404</v>
      </c>
      <c r="D746" s="1">
        <v>132</v>
      </c>
      <c r="F746" s="1">
        <v>2023</v>
      </c>
      <c r="G746" s="5">
        <v>379</v>
      </c>
      <c r="H746" s="5">
        <v>213.09</v>
      </c>
      <c r="I746" s="5">
        <v>6170.57</v>
      </c>
      <c r="K746" s="5">
        <v>2.1000000000000001E-2</v>
      </c>
      <c r="L746" s="5">
        <v>1E-3</v>
      </c>
      <c r="M746" s="5">
        <v>4103.9560000000001</v>
      </c>
      <c r="N746" s="6">
        <v>5.9299999999999999E-2</v>
      </c>
      <c r="O746" s="5">
        <v>0.39500000000000002</v>
      </c>
      <c r="P746" s="6">
        <v>3.0800000000000001E-2</v>
      </c>
      <c r="Q746" s="5">
        <v>69053.354000000007</v>
      </c>
      <c r="R746" s="1" t="s">
        <v>44</v>
      </c>
      <c r="T746" s="1" t="s">
        <v>93</v>
      </c>
      <c r="V746" s="1" t="s">
        <v>176</v>
      </c>
      <c r="Y746" s="1" t="s">
        <v>1515</v>
      </c>
      <c r="Z746" s="1" t="str">
        <f t="shared" si="33"/>
        <v>2404 132</v>
      </c>
      <c r="AA746" s="3">
        <f>IF(INDEX('CAMD Facility Data 2023'!$AA$2:$AE$10000,MATCH(Z746,'CAMD Facility Data 2023'!$AE$2:$AE$10000,0),1)&gt;0,INDEX('CAMD Facility Data 2023'!$AA$2:$AE$10000,MATCH(Z746,'CAMD Facility Data 2023'!$AE$2:$AE$10000,0),1),"")</f>
        <v>41034</v>
      </c>
      <c r="AB746" s="5">
        <f>IF(INDEX('CAMD Facility Data 2023'!$AC$2:$AE$10000,MATCH(Z746,'CAMD Facility Data 2023'!$AE$2:$AE$10000,0),1)&gt;0,INDEX('CAMD Facility Data 2023'!$AC$2:$AE$10000,MATCH(Z746,'CAMD Facility Data 2023'!$AE$2:$AE$10000,0),1),"")</f>
        <v>490</v>
      </c>
      <c r="AC746" s="1" t="str">
        <f>IF(INDEX('CAMD Facility Data 2023'!$AE$2:$AG$10000,MATCH(Z746,'CAMD Facility Data 2023'!$AE$2:$AE$10000,0),3)&gt;0,INDEX('CAMD Facility Data 2023'!$AE$2:$AG$10000,MATCH(Z746,'CAMD Facility Data 2023'!$AE$2:$AE$10000,0),3),"")</f>
        <v>Y</v>
      </c>
      <c r="AD746" s="20">
        <f t="shared" si="34"/>
        <v>0.1280270704327153</v>
      </c>
      <c r="AE746" s="25">
        <f t="shared" si="35"/>
        <v>1.6087352995992919E-2</v>
      </c>
    </row>
    <row r="747" spans="1:31" x14ac:dyDescent="0.2">
      <c r="A747" s="1" t="s">
        <v>1980</v>
      </c>
      <c r="B747" s="1" t="s">
        <v>2019</v>
      </c>
      <c r="C747" s="1">
        <v>2404</v>
      </c>
      <c r="D747" s="1">
        <v>133</v>
      </c>
      <c r="F747" s="1">
        <v>2023</v>
      </c>
      <c r="G747" s="5">
        <v>541</v>
      </c>
      <c r="H747" s="5">
        <v>352.12</v>
      </c>
      <c r="I747" s="5">
        <v>10891.18</v>
      </c>
      <c r="K747" s="5">
        <v>3.5000000000000003E-2</v>
      </c>
      <c r="L747" s="5">
        <v>1E-3</v>
      </c>
      <c r="M747" s="5">
        <v>6931.5569999999998</v>
      </c>
      <c r="N747" s="6">
        <v>5.9299999999999999E-2</v>
      </c>
      <c r="O747" s="5">
        <v>0.44800000000000001</v>
      </c>
      <c r="P747" s="6">
        <v>1.4800000000000001E-2</v>
      </c>
      <c r="Q747" s="5">
        <v>116628.44</v>
      </c>
      <c r="R747" s="1" t="s">
        <v>44</v>
      </c>
      <c r="T747" s="1" t="s">
        <v>93</v>
      </c>
      <c r="V747" s="1" t="s">
        <v>176</v>
      </c>
      <c r="Y747" s="1" t="s">
        <v>1515</v>
      </c>
      <c r="Z747" s="1" t="str">
        <f t="shared" si="33"/>
        <v>2404 133</v>
      </c>
      <c r="AA747" s="3">
        <f>IF(INDEX('CAMD Facility Data 2023'!$AA$2:$AE$10000,MATCH(Z747,'CAMD Facility Data 2023'!$AE$2:$AE$10000,0),1)&gt;0,INDEX('CAMD Facility Data 2023'!$AA$2:$AE$10000,MATCH(Z747,'CAMD Facility Data 2023'!$AE$2:$AE$10000,0),1),"")</f>
        <v>41038</v>
      </c>
      <c r="AB747" s="5">
        <f>IF(INDEX('CAMD Facility Data 2023'!$AC$2:$AE$10000,MATCH(Z747,'CAMD Facility Data 2023'!$AE$2:$AE$10000,0),1)&gt;0,INDEX('CAMD Facility Data 2023'!$AC$2:$AE$10000,MATCH(Z747,'CAMD Facility Data 2023'!$AE$2:$AE$10000,0),1),"")</f>
        <v>490</v>
      </c>
      <c r="AC747" s="1" t="str">
        <f>IF(INDEX('CAMD Facility Data 2023'!$AE$2:$AG$10000,MATCH(Z747,'CAMD Facility Data 2023'!$AE$2:$AE$10000,0),3)&gt;0,INDEX('CAMD Facility Data 2023'!$AE$2:$AG$10000,MATCH(Z747,'CAMD Facility Data 2023'!$AE$2:$AE$10000,0),3),"")</f>
        <v>Y</v>
      </c>
      <c r="AD747" s="20">
        <f t="shared" si="34"/>
        <v>8.2268404341861945E-2</v>
      </c>
      <c r="AE747" s="25">
        <f t="shared" si="35"/>
        <v>2.7170916037647937E-2</v>
      </c>
    </row>
    <row r="748" spans="1:31" x14ac:dyDescent="0.2">
      <c r="A748" s="1" t="s">
        <v>1980</v>
      </c>
      <c r="B748" s="1" t="s">
        <v>2019</v>
      </c>
      <c r="C748" s="1">
        <v>2404</v>
      </c>
      <c r="D748" s="1">
        <v>134</v>
      </c>
      <c r="F748" s="1">
        <v>2023</v>
      </c>
      <c r="G748" s="5">
        <v>440</v>
      </c>
      <c r="H748" s="5">
        <v>276.08</v>
      </c>
      <c r="I748" s="5">
        <v>8574.27</v>
      </c>
      <c r="K748" s="5">
        <v>2.5000000000000001E-2</v>
      </c>
      <c r="L748" s="5">
        <v>8.9999999999999998E-4</v>
      </c>
      <c r="M748" s="5">
        <v>5017.2809999999999</v>
      </c>
      <c r="N748" s="6">
        <v>5.3800000000000001E-2</v>
      </c>
      <c r="O748" s="5">
        <v>0.44900000000000001</v>
      </c>
      <c r="P748" s="6">
        <v>2.86E-2</v>
      </c>
      <c r="Q748" s="5">
        <v>84423.520999999993</v>
      </c>
      <c r="R748" s="1" t="s">
        <v>44</v>
      </c>
      <c r="T748" s="1" t="s">
        <v>93</v>
      </c>
      <c r="V748" s="1" t="s">
        <v>176</v>
      </c>
      <c r="Y748" s="1" t="s">
        <v>1515</v>
      </c>
      <c r="Z748" s="1" t="str">
        <f t="shared" si="33"/>
        <v>2404 134</v>
      </c>
      <c r="AA748" s="3">
        <f>IF(INDEX('CAMD Facility Data 2023'!$AA$2:$AE$10000,MATCH(Z748,'CAMD Facility Data 2023'!$AE$2:$AE$10000,0),1)&gt;0,INDEX('CAMD Facility Data 2023'!$AA$2:$AE$10000,MATCH(Z748,'CAMD Facility Data 2023'!$AE$2:$AE$10000,0),1),"")</f>
        <v>41043</v>
      </c>
      <c r="AB748" s="5">
        <f>IF(INDEX('CAMD Facility Data 2023'!$AC$2:$AE$10000,MATCH(Z748,'CAMD Facility Data 2023'!$AE$2:$AE$10000,0),1)&gt;0,INDEX('CAMD Facility Data 2023'!$AC$2:$AE$10000,MATCH(Z748,'CAMD Facility Data 2023'!$AE$2:$AE$10000,0),1),"")</f>
        <v>490</v>
      </c>
      <c r="AC748" s="1" t="str">
        <f>IF(INDEX('CAMD Facility Data 2023'!$AE$2:$AG$10000,MATCH(Z748,'CAMD Facility Data 2023'!$AE$2:$AE$10000,0),3)&gt;0,INDEX('CAMD Facility Data 2023'!$AE$2:$AG$10000,MATCH(Z748,'CAMD Facility Data 2023'!$AE$2:$AE$10000,0),3),"")</f>
        <v>Y</v>
      </c>
      <c r="AD748" s="20">
        <f t="shared" si="34"/>
        <v>0.10473194802589608</v>
      </c>
      <c r="AE748" s="25">
        <f t="shared" si="35"/>
        <v>1.9668139269406391E-2</v>
      </c>
    </row>
    <row r="749" spans="1:31" x14ac:dyDescent="0.2">
      <c r="A749" s="1" t="s">
        <v>1980</v>
      </c>
      <c r="B749" s="1" t="s">
        <v>2019</v>
      </c>
      <c r="C749" s="1">
        <v>2404</v>
      </c>
      <c r="D749" s="1">
        <v>141</v>
      </c>
      <c r="F749" s="1">
        <v>2023</v>
      </c>
      <c r="G749" s="5">
        <v>1295</v>
      </c>
      <c r="H749" s="5">
        <v>1036.8599999999999</v>
      </c>
      <c r="I749" s="5">
        <v>30861.89</v>
      </c>
      <c r="K749" s="5">
        <v>0.10199999999999999</v>
      </c>
      <c r="L749" s="5">
        <v>1E-3</v>
      </c>
      <c r="M749" s="5">
        <v>20278.645</v>
      </c>
      <c r="N749" s="6">
        <v>5.9299999999999999E-2</v>
      </c>
      <c r="O749" s="5">
        <v>1.2010000000000001</v>
      </c>
      <c r="P749" s="6">
        <v>9.1000000000000004E-3</v>
      </c>
      <c r="Q749" s="5">
        <v>341216.92800000001</v>
      </c>
      <c r="R749" s="1" t="s">
        <v>44</v>
      </c>
      <c r="T749" s="1" t="s">
        <v>93</v>
      </c>
      <c r="V749" s="1" t="s">
        <v>176</v>
      </c>
      <c r="Y749" s="1" t="s">
        <v>1515</v>
      </c>
      <c r="Z749" s="1" t="str">
        <f t="shared" si="33"/>
        <v>2404 141</v>
      </c>
      <c r="AA749" s="3">
        <f>IF(INDEX('CAMD Facility Data 2023'!$AA$2:$AE$10000,MATCH(Z749,'CAMD Facility Data 2023'!$AE$2:$AE$10000,0),1)&gt;0,INDEX('CAMD Facility Data 2023'!$AA$2:$AE$10000,MATCH(Z749,'CAMD Facility Data 2023'!$AE$2:$AE$10000,0),1),"")</f>
        <v>41004</v>
      </c>
      <c r="AB749" s="5">
        <f>IF(INDEX('CAMD Facility Data 2023'!$AC$2:$AE$10000,MATCH(Z749,'CAMD Facility Data 2023'!$AE$2:$AE$10000,0),1)&gt;0,INDEX('CAMD Facility Data 2023'!$AC$2:$AE$10000,MATCH(Z749,'CAMD Facility Data 2023'!$AE$2:$AE$10000,0),1),"")</f>
        <v>490</v>
      </c>
      <c r="AC749" s="1" t="str">
        <f>IF(INDEX('CAMD Facility Data 2023'!$AE$2:$AG$10000,MATCH(Z749,'CAMD Facility Data 2023'!$AE$2:$AE$10000,0),3)&gt;0,INDEX('CAMD Facility Data 2023'!$AE$2:$AG$10000,MATCH(Z749,'CAMD Facility Data 2023'!$AE$2:$AE$10000,0),3),"")</f>
        <v>Y</v>
      </c>
      <c r="AD749" s="20">
        <f t="shared" si="34"/>
        <v>7.7830618928393561E-2</v>
      </c>
      <c r="AE749" s="25">
        <f t="shared" si="35"/>
        <v>7.9493273693038866E-2</v>
      </c>
    </row>
    <row r="750" spans="1:31" x14ac:dyDescent="0.2">
      <c r="A750" s="1" t="s">
        <v>1980</v>
      </c>
      <c r="B750" s="1" t="s">
        <v>2019</v>
      </c>
      <c r="C750" s="1">
        <v>2404</v>
      </c>
      <c r="D750" s="1">
        <v>142</v>
      </c>
      <c r="F750" s="1">
        <v>2023</v>
      </c>
      <c r="G750" s="5">
        <v>1196</v>
      </c>
      <c r="H750" s="5">
        <v>967.52</v>
      </c>
      <c r="I750" s="5">
        <v>29595.88</v>
      </c>
      <c r="K750" s="5">
        <v>9.2999999999999999E-2</v>
      </c>
      <c r="L750" s="5">
        <v>1E-3</v>
      </c>
      <c r="M750" s="5">
        <v>18404.535</v>
      </c>
      <c r="N750" s="6">
        <v>5.79E-2</v>
      </c>
      <c r="O750" s="5">
        <v>1.19</v>
      </c>
      <c r="P750" s="6">
        <v>1.04E-2</v>
      </c>
      <c r="Q750" s="5">
        <v>309708.05900000001</v>
      </c>
      <c r="R750" s="1" t="s">
        <v>44</v>
      </c>
      <c r="T750" s="1" t="s">
        <v>93</v>
      </c>
      <c r="V750" s="1" t="s">
        <v>176</v>
      </c>
      <c r="Y750" s="1" t="s">
        <v>1515</v>
      </c>
      <c r="Z750" s="1" t="str">
        <f t="shared" si="33"/>
        <v>2404 142</v>
      </c>
      <c r="AA750" s="3">
        <f>IF(INDEX('CAMD Facility Data 2023'!$AA$2:$AE$10000,MATCH(Z750,'CAMD Facility Data 2023'!$AE$2:$AE$10000,0),1)&gt;0,INDEX('CAMD Facility Data 2023'!$AA$2:$AE$10000,MATCH(Z750,'CAMD Facility Data 2023'!$AE$2:$AE$10000,0),1),"")</f>
        <v>41011</v>
      </c>
      <c r="AB750" s="5">
        <f>IF(INDEX('CAMD Facility Data 2023'!$AC$2:$AE$10000,MATCH(Z750,'CAMD Facility Data 2023'!$AE$2:$AE$10000,0),1)&gt;0,INDEX('CAMD Facility Data 2023'!$AC$2:$AE$10000,MATCH(Z750,'CAMD Facility Data 2023'!$AE$2:$AE$10000,0),1),"")</f>
        <v>490</v>
      </c>
      <c r="AC750" s="1" t="str">
        <f>IF(INDEX('CAMD Facility Data 2023'!$AE$2:$AG$10000,MATCH(Z750,'CAMD Facility Data 2023'!$AE$2:$AE$10000,0),3)&gt;0,INDEX('CAMD Facility Data 2023'!$AE$2:$AG$10000,MATCH(Z750,'CAMD Facility Data 2023'!$AE$2:$AE$10000,0),3),"")</f>
        <v>Y</v>
      </c>
      <c r="AD750" s="20">
        <f t="shared" si="34"/>
        <v>8.0416598526551669E-2</v>
      </c>
      <c r="AE750" s="25">
        <f t="shared" si="35"/>
        <v>7.2152655623893391E-2</v>
      </c>
    </row>
    <row r="751" spans="1:31" x14ac:dyDescent="0.2">
      <c r="A751" s="1" t="s">
        <v>1980</v>
      </c>
      <c r="B751" s="1" t="s">
        <v>2032</v>
      </c>
      <c r="C751" s="1">
        <v>2406</v>
      </c>
      <c r="D751" s="1">
        <v>1101</v>
      </c>
      <c r="F751" s="1">
        <v>2023</v>
      </c>
      <c r="G751" s="5">
        <v>4779</v>
      </c>
      <c r="H751" s="5">
        <v>4690.92</v>
      </c>
      <c r="I751" s="5">
        <v>1034364.31</v>
      </c>
      <c r="K751" s="5">
        <v>2.2250000000000001</v>
      </c>
      <c r="L751" s="5">
        <v>1E-3</v>
      </c>
      <c r="M751" s="5">
        <v>438986.22100000002</v>
      </c>
      <c r="N751" s="6">
        <v>5.9200000000000003E-2</v>
      </c>
      <c r="O751" s="5">
        <v>27.113</v>
      </c>
      <c r="P751" s="6">
        <v>1.2500000000000001E-2</v>
      </c>
      <c r="Q751" s="5">
        <v>7370763.3609999996</v>
      </c>
      <c r="R751" s="1" t="s">
        <v>44</v>
      </c>
      <c r="S751" s="1" t="s">
        <v>94</v>
      </c>
      <c r="T751" s="1" t="s">
        <v>71</v>
      </c>
      <c r="V751" s="1" t="s">
        <v>643</v>
      </c>
      <c r="Y751" s="1" t="s">
        <v>1515</v>
      </c>
      <c r="Z751" s="1" t="str">
        <f t="shared" si="33"/>
        <v>2406 1101</v>
      </c>
      <c r="AA751" s="3">
        <f>IF(INDEX('CAMD Facility Data 2023'!$AA$2:$AE$10000,MATCH(Z751,'CAMD Facility Data 2023'!$AE$2:$AE$10000,0),1)&gt;0,INDEX('CAMD Facility Data 2023'!$AA$2:$AE$10000,MATCH(Z751,'CAMD Facility Data 2023'!$AE$2:$AE$10000,0),1),"")</f>
        <v>38482</v>
      </c>
      <c r="AB751" s="5">
        <f>IF(INDEX('CAMD Facility Data 2023'!$AC$2:$AE$10000,MATCH(Z751,'CAMD Facility Data 2023'!$AE$2:$AE$10000,0),1)&gt;0,INDEX('CAMD Facility Data 2023'!$AC$2:$AE$10000,MATCH(Z751,'CAMD Facility Data 2023'!$AE$2:$AE$10000,0),1),"")</f>
        <v>2650</v>
      </c>
      <c r="AC751" s="1" t="str">
        <f>IF(INDEX('CAMD Facility Data 2023'!$AE$2:$AG$10000,MATCH(Z751,'CAMD Facility Data 2023'!$AE$2:$AE$10000,0),3)&gt;0,INDEX('CAMD Facility Data 2023'!$AE$2:$AG$10000,MATCH(Z751,'CAMD Facility Data 2023'!$AE$2:$AE$10000,0),3),"")</f>
        <v>Y</v>
      </c>
      <c r="AD751" s="20">
        <f t="shared" si="34"/>
        <v>5.2424469285874721E-2</v>
      </c>
      <c r="AE751" s="25">
        <f t="shared" si="35"/>
        <v>0.31751371418109758</v>
      </c>
    </row>
    <row r="752" spans="1:31" x14ac:dyDescent="0.2">
      <c r="A752" s="1" t="s">
        <v>1980</v>
      </c>
      <c r="B752" s="1" t="s">
        <v>2032</v>
      </c>
      <c r="C752" s="1">
        <v>2406</v>
      </c>
      <c r="D752" s="1">
        <v>1201</v>
      </c>
      <c r="F752" s="1">
        <v>2023</v>
      </c>
      <c r="G752" s="5">
        <v>4607</v>
      </c>
      <c r="H752" s="5">
        <v>4518.4799999999996</v>
      </c>
      <c r="I752" s="5">
        <v>1009464.83</v>
      </c>
      <c r="K752" s="5">
        <v>2.19</v>
      </c>
      <c r="L752" s="5">
        <v>1E-3</v>
      </c>
      <c r="M752" s="5">
        <v>433546.22700000001</v>
      </c>
      <c r="N752" s="6">
        <v>5.91E-2</v>
      </c>
      <c r="O752" s="5">
        <v>23.611000000000001</v>
      </c>
      <c r="P752" s="6">
        <v>1.11E-2</v>
      </c>
      <c r="Q752" s="5">
        <v>7292761.5350000001</v>
      </c>
      <c r="R752" s="1" t="s">
        <v>44</v>
      </c>
      <c r="S752" s="1" t="s">
        <v>94</v>
      </c>
      <c r="T752" s="1" t="s">
        <v>71</v>
      </c>
      <c r="V752" s="1" t="s">
        <v>643</v>
      </c>
      <c r="Y752" s="1" t="s">
        <v>1515</v>
      </c>
      <c r="Z752" s="1" t="str">
        <f t="shared" si="33"/>
        <v>2406 1201</v>
      </c>
      <c r="AA752" s="3">
        <f>IF(INDEX('CAMD Facility Data 2023'!$AA$2:$AE$10000,MATCH(Z752,'CAMD Facility Data 2023'!$AE$2:$AE$10000,0),1)&gt;0,INDEX('CAMD Facility Data 2023'!$AA$2:$AE$10000,MATCH(Z752,'CAMD Facility Data 2023'!$AE$2:$AE$10000,0),1),"")</f>
        <v>38483</v>
      </c>
      <c r="AB752" s="5">
        <f>IF(INDEX('CAMD Facility Data 2023'!$AC$2:$AE$10000,MATCH(Z752,'CAMD Facility Data 2023'!$AE$2:$AE$10000,0),1)&gt;0,INDEX('CAMD Facility Data 2023'!$AC$2:$AE$10000,MATCH(Z752,'CAMD Facility Data 2023'!$AE$2:$AE$10000,0),1),"")</f>
        <v>2650</v>
      </c>
      <c r="AC752" s="1" t="str">
        <f>IF(INDEX('CAMD Facility Data 2023'!$AE$2:$AG$10000,MATCH(Z752,'CAMD Facility Data 2023'!$AE$2:$AE$10000,0),3)&gt;0,INDEX('CAMD Facility Data 2023'!$AE$2:$AG$10000,MATCH(Z752,'CAMD Facility Data 2023'!$AE$2:$AE$10000,0),3),"")</f>
        <v>Y</v>
      </c>
      <c r="AD752" s="20">
        <f t="shared" si="34"/>
        <v>4.6779242422938107E-2</v>
      </c>
      <c r="AE752" s="25">
        <f t="shared" si="35"/>
        <v>0.31415359416731281</v>
      </c>
    </row>
    <row r="753" spans="1:31" x14ac:dyDescent="0.2">
      <c r="A753" s="1" t="s">
        <v>1980</v>
      </c>
      <c r="B753" s="1" t="s">
        <v>2032</v>
      </c>
      <c r="C753" s="1">
        <v>2406</v>
      </c>
      <c r="D753" s="1">
        <v>2101</v>
      </c>
      <c r="F753" s="1">
        <v>2023</v>
      </c>
      <c r="G753" s="5">
        <v>6197</v>
      </c>
      <c r="H753" s="5">
        <v>6032.97</v>
      </c>
      <c r="I753" s="5">
        <v>1389213.65</v>
      </c>
      <c r="K753" s="5">
        <v>3.7040000000000002</v>
      </c>
      <c r="L753" s="5">
        <v>2.0999999999999999E-3</v>
      </c>
      <c r="M753" s="5">
        <v>587717.41200000001</v>
      </c>
      <c r="N753" s="6">
        <v>5.91E-2</v>
      </c>
      <c r="O753" s="5">
        <v>36.719000000000001</v>
      </c>
      <c r="P753" s="6">
        <v>1.3100000000000001E-2</v>
      </c>
      <c r="Q753" s="5">
        <v>9875491.8920000009</v>
      </c>
      <c r="R753" s="1" t="s">
        <v>44</v>
      </c>
      <c r="S753" s="1" t="s">
        <v>94</v>
      </c>
      <c r="T753" s="1" t="s">
        <v>71</v>
      </c>
      <c r="V753" s="1" t="s">
        <v>643</v>
      </c>
      <c r="Y753" s="1" t="s">
        <v>1515</v>
      </c>
      <c r="Z753" s="1" t="str">
        <f t="shared" si="33"/>
        <v>2406 2101</v>
      </c>
      <c r="AA753" s="3">
        <f>IF(INDEX('CAMD Facility Data 2023'!$AA$2:$AE$10000,MATCH(Z753,'CAMD Facility Data 2023'!$AE$2:$AE$10000,0),1)&gt;0,INDEX('CAMD Facility Data 2023'!$AA$2:$AE$10000,MATCH(Z753,'CAMD Facility Data 2023'!$AE$2:$AE$10000,0),1),"")</f>
        <v>38534</v>
      </c>
      <c r="AB753" s="5">
        <f>IF(INDEX('CAMD Facility Data 2023'!$AC$2:$AE$10000,MATCH(Z753,'CAMD Facility Data 2023'!$AE$2:$AE$10000,0),1)&gt;0,INDEX('CAMD Facility Data 2023'!$AC$2:$AE$10000,MATCH(Z753,'CAMD Facility Data 2023'!$AE$2:$AE$10000,0),1),"")</f>
        <v>2650</v>
      </c>
      <c r="AC753" s="1" t="str">
        <f>IF(INDEX('CAMD Facility Data 2023'!$AE$2:$AG$10000,MATCH(Z753,'CAMD Facility Data 2023'!$AE$2:$AE$10000,0),3)&gt;0,INDEX('CAMD Facility Data 2023'!$AE$2:$AG$10000,MATCH(Z753,'CAMD Facility Data 2023'!$AE$2:$AE$10000,0),3),"")</f>
        <v>Y</v>
      </c>
      <c r="AD753" s="20">
        <f t="shared" si="34"/>
        <v>5.286299915063461E-2</v>
      </c>
      <c r="AE753" s="25">
        <f t="shared" si="35"/>
        <v>0.42541104040665118</v>
      </c>
    </row>
    <row r="754" spans="1:31" x14ac:dyDescent="0.2">
      <c r="A754" s="1" t="s">
        <v>1980</v>
      </c>
      <c r="B754" s="1" t="s">
        <v>2032</v>
      </c>
      <c r="C754" s="1">
        <v>2406</v>
      </c>
      <c r="D754" s="1">
        <v>2201</v>
      </c>
      <c r="F754" s="1">
        <v>2023</v>
      </c>
      <c r="G754" s="5">
        <v>6008</v>
      </c>
      <c r="H754" s="5">
        <v>5868.03</v>
      </c>
      <c r="I754" s="5">
        <v>1351909.71</v>
      </c>
      <c r="K754" s="5">
        <v>2.88</v>
      </c>
      <c r="L754" s="5">
        <v>1E-3</v>
      </c>
      <c r="M754" s="5">
        <v>570560.90300000005</v>
      </c>
      <c r="N754" s="6">
        <v>5.8999999999999997E-2</v>
      </c>
      <c r="O754" s="5">
        <v>32.856999999999999</v>
      </c>
      <c r="P754" s="6">
        <v>1.1900000000000001E-2</v>
      </c>
      <c r="Q754" s="5">
        <v>9600748.6370000001</v>
      </c>
      <c r="R754" s="1" t="s">
        <v>44</v>
      </c>
      <c r="S754" s="1" t="s">
        <v>94</v>
      </c>
      <c r="T754" s="1" t="s">
        <v>71</v>
      </c>
      <c r="V754" s="1" t="s">
        <v>643</v>
      </c>
      <c r="Y754" s="1" t="s">
        <v>1515</v>
      </c>
      <c r="Z754" s="1" t="str">
        <f t="shared" si="33"/>
        <v>2406 2201</v>
      </c>
      <c r="AA754" s="3">
        <f>IF(INDEX('CAMD Facility Data 2023'!$AA$2:$AE$10000,MATCH(Z754,'CAMD Facility Data 2023'!$AE$2:$AE$10000,0),1)&gt;0,INDEX('CAMD Facility Data 2023'!$AA$2:$AE$10000,MATCH(Z754,'CAMD Facility Data 2023'!$AE$2:$AE$10000,0),1),"")</f>
        <v>38534</v>
      </c>
      <c r="AB754" s="5">
        <f>IF(INDEX('CAMD Facility Data 2023'!$AC$2:$AE$10000,MATCH(Z754,'CAMD Facility Data 2023'!$AE$2:$AE$10000,0),1)&gt;0,INDEX('CAMD Facility Data 2023'!$AC$2:$AE$10000,MATCH(Z754,'CAMD Facility Data 2023'!$AE$2:$AE$10000,0),1),"")</f>
        <v>2650</v>
      </c>
      <c r="AC754" s="1" t="str">
        <f>IF(INDEX('CAMD Facility Data 2023'!$AE$2:$AG$10000,MATCH(Z754,'CAMD Facility Data 2023'!$AE$2:$AE$10000,0),3)&gt;0,INDEX('CAMD Facility Data 2023'!$AE$2:$AG$10000,MATCH(Z754,'CAMD Facility Data 2023'!$AE$2:$AE$10000,0),3),"")</f>
        <v>Y</v>
      </c>
      <c r="AD754" s="20">
        <f t="shared" si="34"/>
        <v>4.860827577013261E-2</v>
      </c>
      <c r="AE754" s="25">
        <f t="shared" si="35"/>
        <v>0.41357580068062377</v>
      </c>
    </row>
    <row r="755" spans="1:31" x14ac:dyDescent="0.2">
      <c r="A755" s="1" t="s">
        <v>1980</v>
      </c>
      <c r="B755" s="1" t="s">
        <v>2032</v>
      </c>
      <c r="C755" s="1">
        <v>2406</v>
      </c>
      <c r="D755" s="1">
        <v>5</v>
      </c>
      <c r="F755" s="1">
        <v>2023</v>
      </c>
      <c r="G755" s="5">
        <v>114</v>
      </c>
      <c r="H755" s="5">
        <v>82.25</v>
      </c>
      <c r="I755" s="5">
        <v>5134.17</v>
      </c>
      <c r="K755" s="5">
        <v>1.7999999999999999E-2</v>
      </c>
      <c r="L755" s="5">
        <v>1E-3</v>
      </c>
      <c r="M755" s="5">
        <v>3608.0509999999999</v>
      </c>
      <c r="N755" s="6">
        <v>5.8200000000000002E-2</v>
      </c>
      <c r="O755" s="5">
        <v>1.371</v>
      </c>
      <c r="P755" s="6">
        <v>6.1600000000000002E-2</v>
      </c>
      <c r="Q755" s="5">
        <v>60447.909</v>
      </c>
      <c r="R755" s="1" t="s">
        <v>44</v>
      </c>
      <c r="S755" s="1" t="s">
        <v>94</v>
      </c>
      <c r="T755" s="1" t="s">
        <v>93</v>
      </c>
      <c r="V755" s="1" t="s">
        <v>183</v>
      </c>
      <c r="Y755" s="1" t="s">
        <v>1515</v>
      </c>
      <c r="Z755" s="1" t="str">
        <f t="shared" si="33"/>
        <v>2406 5</v>
      </c>
      <c r="AA755" s="3">
        <f>IF(INDEX('CAMD Facility Data 2023'!$AA$2:$AE$10000,MATCH(Z755,'CAMD Facility Data 2023'!$AE$2:$AE$10000,0),1)&gt;0,INDEX('CAMD Facility Data 2023'!$AA$2:$AE$10000,MATCH(Z755,'CAMD Facility Data 2023'!$AE$2:$AE$10000,0),1),"")</f>
        <v>36461</v>
      </c>
      <c r="AB755" s="5">
        <f>IF(INDEX('CAMD Facility Data 2023'!$AC$2:$AE$10000,MATCH(Z755,'CAMD Facility Data 2023'!$AE$2:$AE$10000,0),1)&gt;0,INDEX('CAMD Facility Data 2023'!$AC$2:$AE$10000,MATCH(Z755,'CAMD Facility Data 2023'!$AE$2:$AE$10000,0),1),"")</f>
        <v>1200</v>
      </c>
      <c r="AC755" s="1" t="str">
        <f>IF(INDEX('CAMD Facility Data 2023'!$AE$2:$AG$10000,MATCH(Z755,'CAMD Facility Data 2023'!$AE$2:$AE$10000,0),3)&gt;0,INDEX('CAMD Facility Data 2023'!$AE$2:$AG$10000,MATCH(Z755,'CAMD Facility Data 2023'!$AE$2:$AE$10000,0),3),"")</f>
        <v/>
      </c>
      <c r="AD755" s="20">
        <f t="shared" si="34"/>
        <v>0.53406879787774852</v>
      </c>
      <c r="AE755" s="25">
        <f t="shared" si="35"/>
        <v>5.7503718607305934E-3</v>
      </c>
    </row>
    <row r="756" spans="1:31" x14ac:dyDescent="0.2">
      <c r="A756" s="1" t="s">
        <v>1980</v>
      </c>
      <c r="B756" s="1" t="s">
        <v>2032</v>
      </c>
      <c r="C756" s="1">
        <v>2406</v>
      </c>
      <c r="D756" s="1">
        <v>6</v>
      </c>
      <c r="F756" s="1">
        <v>2023</v>
      </c>
      <c r="G756" s="5">
        <v>103</v>
      </c>
      <c r="H756" s="5">
        <v>75.13</v>
      </c>
      <c r="I756" s="5">
        <v>5175.7700000000004</v>
      </c>
      <c r="K756" s="5">
        <v>1.7999999999999999E-2</v>
      </c>
      <c r="L756" s="5">
        <v>1E-3</v>
      </c>
      <c r="M756" s="5">
        <v>3539.2849999999999</v>
      </c>
      <c r="N756" s="6">
        <v>5.9900000000000002E-2</v>
      </c>
      <c r="O756" s="5">
        <v>1.44</v>
      </c>
      <c r="P756" s="6">
        <v>6.7400000000000002E-2</v>
      </c>
      <c r="Q756" s="5">
        <v>59033.552000000003</v>
      </c>
      <c r="R756" s="1" t="s">
        <v>44</v>
      </c>
      <c r="S756" s="1" t="s">
        <v>94</v>
      </c>
      <c r="T756" s="1" t="s">
        <v>93</v>
      </c>
      <c r="V756" s="1" t="s">
        <v>183</v>
      </c>
      <c r="Y756" s="1" t="s">
        <v>1515</v>
      </c>
      <c r="Z756" s="1" t="str">
        <f t="shared" si="33"/>
        <v>2406 6</v>
      </c>
      <c r="AA756" s="3">
        <f>IF(INDEX('CAMD Facility Data 2023'!$AA$2:$AE$10000,MATCH(Z756,'CAMD Facility Data 2023'!$AE$2:$AE$10000,0),1)&gt;0,INDEX('CAMD Facility Data 2023'!$AA$2:$AE$10000,MATCH(Z756,'CAMD Facility Data 2023'!$AE$2:$AE$10000,0),1),"")</f>
        <v>36627</v>
      </c>
      <c r="AB756" s="5">
        <f>IF(INDEX('CAMD Facility Data 2023'!$AC$2:$AE$10000,MATCH(Z756,'CAMD Facility Data 2023'!$AE$2:$AE$10000,0),1)&gt;0,INDEX('CAMD Facility Data 2023'!$AC$2:$AE$10000,MATCH(Z756,'CAMD Facility Data 2023'!$AE$2:$AE$10000,0),1),"")</f>
        <v>1200</v>
      </c>
      <c r="AC756" s="1" t="str">
        <f>IF(INDEX('CAMD Facility Data 2023'!$AE$2:$AG$10000,MATCH(Z756,'CAMD Facility Data 2023'!$AE$2:$AE$10000,0),3)&gt;0,INDEX('CAMD Facility Data 2023'!$AE$2:$AG$10000,MATCH(Z756,'CAMD Facility Data 2023'!$AE$2:$AE$10000,0),3),"")</f>
        <v/>
      </c>
      <c r="AD756" s="20">
        <f t="shared" si="34"/>
        <v>0.55643894531634897</v>
      </c>
      <c r="AE756" s="25">
        <f t="shared" si="35"/>
        <v>5.6158249619482495E-3</v>
      </c>
    </row>
    <row r="757" spans="1:31" x14ac:dyDescent="0.2">
      <c r="A757" s="1" t="s">
        <v>1980</v>
      </c>
      <c r="B757" s="1" t="s">
        <v>2032</v>
      </c>
      <c r="C757" s="1">
        <v>2406</v>
      </c>
      <c r="D757" s="1">
        <v>7</v>
      </c>
      <c r="F757" s="1">
        <v>2023</v>
      </c>
      <c r="G757" s="5">
        <v>147</v>
      </c>
      <c r="H757" s="5">
        <v>114.89</v>
      </c>
      <c r="I757" s="5">
        <v>7320.32</v>
      </c>
      <c r="K757" s="5">
        <v>2.7E-2</v>
      </c>
      <c r="L757" s="5">
        <v>1E-3</v>
      </c>
      <c r="M757" s="5">
        <v>5208.5730000000003</v>
      </c>
      <c r="N757" s="6">
        <v>5.96E-2</v>
      </c>
      <c r="O757" s="5">
        <v>2.1030000000000002</v>
      </c>
      <c r="P757" s="6">
        <v>6.25E-2</v>
      </c>
      <c r="Q757" s="5">
        <v>87191.573999999993</v>
      </c>
      <c r="R757" s="1" t="s">
        <v>44</v>
      </c>
      <c r="S757" s="1" t="s">
        <v>94</v>
      </c>
      <c r="T757" s="1" t="s">
        <v>93</v>
      </c>
      <c r="V757" s="1" t="s">
        <v>183</v>
      </c>
      <c r="Y757" s="1" t="s">
        <v>1515</v>
      </c>
      <c r="Z757" s="1" t="str">
        <f t="shared" si="33"/>
        <v>2406 7</v>
      </c>
      <c r="AA757" s="3">
        <f>IF(INDEX('CAMD Facility Data 2023'!$AA$2:$AE$10000,MATCH(Z757,'CAMD Facility Data 2023'!$AE$2:$AE$10000,0),1)&gt;0,INDEX('CAMD Facility Data 2023'!$AA$2:$AE$10000,MATCH(Z757,'CAMD Facility Data 2023'!$AE$2:$AE$10000,0),1),"")</f>
        <v>34851</v>
      </c>
      <c r="AB757" s="5">
        <f>IF(INDEX('CAMD Facility Data 2023'!$AC$2:$AE$10000,MATCH(Z757,'CAMD Facility Data 2023'!$AE$2:$AE$10000,0),1)&gt;0,INDEX('CAMD Facility Data 2023'!$AC$2:$AE$10000,MATCH(Z757,'CAMD Facility Data 2023'!$AE$2:$AE$10000,0),1),"")</f>
        <v>1150</v>
      </c>
      <c r="AC757" s="1" t="str">
        <f>IF(INDEX('CAMD Facility Data 2023'!$AE$2:$AG$10000,MATCH(Z757,'CAMD Facility Data 2023'!$AE$2:$AE$10000,0),3)&gt;0,INDEX('CAMD Facility Data 2023'!$AE$2:$AG$10000,MATCH(Z757,'CAMD Facility Data 2023'!$AE$2:$AE$10000,0),3),"")</f>
        <v/>
      </c>
      <c r="AD757" s="20">
        <f t="shared" si="34"/>
        <v>0.57456504633677219</v>
      </c>
      <c r="AE757" s="25">
        <f t="shared" si="35"/>
        <v>8.6551095890410948E-3</v>
      </c>
    </row>
    <row r="758" spans="1:31" x14ac:dyDescent="0.2">
      <c r="A758" s="1" t="s">
        <v>1980</v>
      </c>
      <c r="B758" s="1" t="s">
        <v>2032</v>
      </c>
      <c r="C758" s="1">
        <v>2406</v>
      </c>
      <c r="D758" s="1">
        <v>8</v>
      </c>
      <c r="F758" s="1">
        <v>2023</v>
      </c>
      <c r="G758" s="5">
        <v>134</v>
      </c>
      <c r="H758" s="5">
        <v>94.72</v>
      </c>
      <c r="I758" s="5">
        <v>5917.64</v>
      </c>
      <c r="K758" s="5">
        <v>2.1999999999999999E-2</v>
      </c>
      <c r="L758" s="5">
        <v>1E-3</v>
      </c>
      <c r="M758" s="5">
        <v>4325.3950000000004</v>
      </c>
      <c r="N758" s="6">
        <v>5.8799999999999998E-2</v>
      </c>
      <c r="O758" s="5">
        <v>1.7150000000000001</v>
      </c>
      <c r="P758" s="6">
        <v>6.7699999999999996E-2</v>
      </c>
      <c r="Q758" s="5">
        <v>72438.217000000004</v>
      </c>
      <c r="R758" s="1" t="s">
        <v>44</v>
      </c>
      <c r="S758" s="1" t="s">
        <v>94</v>
      </c>
      <c r="T758" s="1" t="s">
        <v>93</v>
      </c>
      <c r="V758" s="1" t="s">
        <v>183</v>
      </c>
      <c r="Y758" s="1" t="s">
        <v>1515</v>
      </c>
      <c r="Z758" s="1" t="str">
        <f t="shared" si="33"/>
        <v>2406 8</v>
      </c>
      <c r="AA758" s="3">
        <f>IF(INDEX('CAMD Facility Data 2023'!$AA$2:$AE$10000,MATCH(Z758,'CAMD Facility Data 2023'!$AE$2:$AE$10000,0),1)&gt;0,INDEX('CAMD Facility Data 2023'!$AA$2:$AE$10000,MATCH(Z758,'CAMD Facility Data 2023'!$AE$2:$AE$10000,0),1),"")</f>
        <v>34851</v>
      </c>
      <c r="AB758" s="5">
        <f>IF(INDEX('CAMD Facility Data 2023'!$AC$2:$AE$10000,MATCH(Z758,'CAMD Facility Data 2023'!$AE$2:$AE$10000,0),1)&gt;0,INDEX('CAMD Facility Data 2023'!$AC$2:$AE$10000,MATCH(Z758,'CAMD Facility Data 2023'!$AE$2:$AE$10000,0),1),"")</f>
        <v>1150</v>
      </c>
      <c r="AC758" s="1" t="str">
        <f>IF(INDEX('CAMD Facility Data 2023'!$AE$2:$AG$10000,MATCH(Z758,'CAMD Facility Data 2023'!$AE$2:$AE$10000,0),3)&gt;0,INDEX('CAMD Facility Data 2023'!$AE$2:$AG$10000,MATCH(Z758,'CAMD Facility Data 2023'!$AE$2:$AE$10000,0),3),"")</f>
        <v/>
      </c>
      <c r="AD758" s="20">
        <f t="shared" si="34"/>
        <v>0.57962295780074491</v>
      </c>
      <c r="AE758" s="25">
        <f t="shared" si="35"/>
        <v>7.1906111772880683E-3</v>
      </c>
    </row>
    <row r="759" spans="1:31" x14ac:dyDescent="0.2">
      <c r="A759" s="1" t="s">
        <v>1980</v>
      </c>
      <c r="B759" s="1" t="s">
        <v>2043</v>
      </c>
      <c r="C759" s="1">
        <v>2410</v>
      </c>
      <c r="D759" s="1">
        <v>2001</v>
      </c>
      <c r="F759" s="1">
        <v>2023</v>
      </c>
      <c r="G759" s="5">
        <v>0</v>
      </c>
      <c r="H759" s="5">
        <v>0</v>
      </c>
      <c r="R759" s="1" t="s">
        <v>94</v>
      </c>
      <c r="T759" s="1" t="s">
        <v>93</v>
      </c>
      <c r="Y759" s="1" t="s">
        <v>1020</v>
      </c>
      <c r="Z759" s="1" t="str">
        <f t="shared" si="33"/>
        <v>2410 2001</v>
      </c>
      <c r="AA759" s="3">
        <f>IF(INDEX('CAMD Facility Data 2023'!$AA$2:$AE$10000,MATCH(Z759,'CAMD Facility Data 2023'!$AE$2:$AE$10000,0),1)&gt;0,INDEX('CAMD Facility Data 2023'!$AA$2:$AE$10000,MATCH(Z759,'CAMD Facility Data 2023'!$AE$2:$AE$10000,0),1),"")</f>
        <v>26101</v>
      </c>
      <c r="AB759" s="5">
        <f>IF(INDEX('CAMD Facility Data 2023'!$AC$2:$AE$10000,MATCH(Z759,'CAMD Facility Data 2023'!$AE$2:$AE$10000,0),1)&gt;0,INDEX('CAMD Facility Data 2023'!$AC$2:$AE$10000,MATCH(Z759,'CAMD Facility Data 2023'!$AE$2:$AE$10000,0),1),"")</f>
        <v>810</v>
      </c>
      <c r="AC759" s="1" t="str">
        <f>IF(INDEX('CAMD Facility Data 2023'!$AE$2:$AG$10000,MATCH(Z759,'CAMD Facility Data 2023'!$AE$2:$AE$10000,0),3)&gt;0,INDEX('CAMD Facility Data 2023'!$AE$2:$AG$10000,MATCH(Z759,'CAMD Facility Data 2023'!$AE$2:$AE$10000,0),3),"")</f>
        <v/>
      </c>
      <c r="AD759" s="20" t="str">
        <f t="shared" si="34"/>
        <v/>
      </c>
      <c r="AE759" s="25">
        <f t="shared" si="35"/>
        <v>0</v>
      </c>
    </row>
    <row r="760" spans="1:31" x14ac:dyDescent="0.2">
      <c r="A760" s="1" t="s">
        <v>1980</v>
      </c>
      <c r="B760" s="1" t="s">
        <v>2048</v>
      </c>
      <c r="C760" s="1">
        <v>2411</v>
      </c>
      <c r="D760" s="1">
        <v>7</v>
      </c>
      <c r="F760" s="1">
        <v>2023</v>
      </c>
      <c r="G760" s="5">
        <v>7734</v>
      </c>
      <c r="H760" s="5">
        <v>7716.19</v>
      </c>
      <c r="I760" s="5">
        <v>3351747.81</v>
      </c>
      <c r="K760" s="5">
        <v>6.673</v>
      </c>
      <c r="L760" s="5">
        <v>1E-3</v>
      </c>
      <c r="M760" s="5">
        <v>1321921.1140000001</v>
      </c>
      <c r="N760" s="6">
        <v>5.91E-2</v>
      </c>
      <c r="O760" s="5">
        <v>68.662000000000006</v>
      </c>
      <c r="P760" s="6">
        <v>6.3E-3</v>
      </c>
      <c r="Q760" s="5">
        <v>22225226.030999999</v>
      </c>
      <c r="R760" s="1" t="s">
        <v>44</v>
      </c>
      <c r="S760" s="1" t="s">
        <v>94</v>
      </c>
      <c r="T760" s="1" t="s">
        <v>71</v>
      </c>
      <c r="V760" s="1" t="s">
        <v>64</v>
      </c>
      <c r="Y760" s="1" t="s">
        <v>1515</v>
      </c>
      <c r="Z760" s="1" t="str">
        <f t="shared" si="33"/>
        <v>2411 7</v>
      </c>
      <c r="AA760" s="3">
        <f>IF(INDEX('CAMD Facility Data 2023'!$AA$2:$AE$10000,MATCH(Z760,'CAMD Facility Data 2023'!$AE$2:$AE$10000,0),1)&gt;0,INDEX('CAMD Facility Data 2023'!$AA$2:$AE$10000,MATCH(Z760,'CAMD Facility Data 2023'!$AE$2:$AE$10000,0),1),"")</f>
        <v>43217</v>
      </c>
      <c r="AB760" s="5">
        <f>IF(INDEX('CAMD Facility Data 2023'!$AC$2:$AE$10000,MATCH(Z760,'CAMD Facility Data 2023'!$AE$2:$AE$10000,0),1)&gt;0,INDEX('CAMD Facility Data 2023'!$AC$2:$AE$10000,MATCH(Z760,'CAMD Facility Data 2023'!$AE$2:$AE$10000,0),1),"")</f>
        <v>4182</v>
      </c>
      <c r="AC760" s="1" t="str">
        <f>IF(INDEX('CAMD Facility Data 2023'!$AE$2:$AG$10000,MATCH(Z760,'CAMD Facility Data 2023'!$AE$2:$AE$10000,0),3)&gt;0,INDEX('CAMD Facility Data 2023'!$AE$2:$AG$10000,MATCH(Z760,'CAMD Facility Data 2023'!$AE$2:$AE$10000,0),3),"")</f>
        <v>Y</v>
      </c>
      <c r="AD760" s="20">
        <f t="shared" si="34"/>
        <v>4.097086290033259E-2</v>
      </c>
      <c r="AE760" s="25">
        <f t="shared" si="35"/>
        <v>0.60667772817947763</v>
      </c>
    </row>
    <row r="761" spans="1:31" x14ac:dyDescent="0.2">
      <c r="A761" s="1" t="s">
        <v>1980</v>
      </c>
      <c r="B761" s="1" t="s">
        <v>2051</v>
      </c>
      <c r="C761" s="1">
        <v>2434</v>
      </c>
      <c r="D761" s="1" t="s">
        <v>2052</v>
      </c>
      <c r="F761" s="1">
        <v>2023</v>
      </c>
      <c r="G761" s="5">
        <v>1464</v>
      </c>
      <c r="H761" s="5">
        <v>1276.5899999999999</v>
      </c>
      <c r="I761" s="5">
        <v>71422.25</v>
      </c>
      <c r="K761" s="5">
        <v>0.21</v>
      </c>
      <c r="L761" s="5">
        <v>1E-3</v>
      </c>
      <c r="M761" s="5">
        <v>41615.553999999996</v>
      </c>
      <c r="N761" s="6">
        <v>5.9200000000000003E-2</v>
      </c>
      <c r="O761" s="5">
        <v>9.2370000000000001</v>
      </c>
      <c r="P761" s="6">
        <v>4.2999999999999997E-2</v>
      </c>
      <c r="Q761" s="5">
        <v>699870.10499999998</v>
      </c>
      <c r="R761" s="1" t="s">
        <v>284</v>
      </c>
      <c r="S761" s="1" t="s">
        <v>94</v>
      </c>
      <c r="T761" s="1" t="s">
        <v>93</v>
      </c>
      <c r="V761" s="1" t="s">
        <v>176</v>
      </c>
      <c r="Y761" s="1" t="s">
        <v>1515</v>
      </c>
      <c r="Z761" s="1" t="str">
        <f t="shared" si="33"/>
        <v>2434 U11</v>
      </c>
      <c r="AA761" s="3">
        <f>IF(INDEX('CAMD Facility Data 2023'!$AA$2:$AE$10000,MATCH(Z761,'CAMD Facility Data 2023'!$AE$2:$AE$10000,0),1)&gt;0,INDEX('CAMD Facility Data 2023'!$AA$2:$AE$10000,MATCH(Z761,'CAMD Facility Data 2023'!$AE$2:$AE$10000,0),1),"")</f>
        <v>41004</v>
      </c>
      <c r="AB761" s="5">
        <f>IF(INDEX('CAMD Facility Data 2023'!$AC$2:$AE$10000,MATCH(Z761,'CAMD Facility Data 2023'!$AE$2:$AE$10000,0),1)&gt;0,INDEX('CAMD Facility Data 2023'!$AC$2:$AE$10000,MATCH(Z761,'CAMD Facility Data 2023'!$AE$2:$AE$10000,0),1),"")</f>
        <v>610</v>
      </c>
      <c r="AC761" s="1" t="str">
        <f>IF(INDEX('CAMD Facility Data 2023'!$AE$2:$AG$10000,MATCH(Z761,'CAMD Facility Data 2023'!$AE$2:$AE$10000,0),3)&gt;0,INDEX('CAMD Facility Data 2023'!$AE$2:$AG$10000,MATCH(Z761,'CAMD Facility Data 2023'!$AE$2:$AE$10000,0),3),"")</f>
        <v>Y</v>
      </c>
      <c r="AD761" s="20">
        <f t="shared" si="34"/>
        <v>0.25865889131188108</v>
      </c>
      <c r="AE761" s="25">
        <f t="shared" si="35"/>
        <v>0.13097352066022905</v>
      </c>
    </row>
    <row r="762" spans="1:31" x14ac:dyDescent="0.2">
      <c r="A762" s="1" t="s">
        <v>2054</v>
      </c>
      <c r="B762" s="1" t="s">
        <v>2055</v>
      </c>
      <c r="C762" s="1">
        <v>2442</v>
      </c>
      <c r="D762" s="1">
        <v>4</v>
      </c>
      <c r="F762" s="1">
        <v>2023</v>
      </c>
      <c r="G762" s="5">
        <v>5933</v>
      </c>
      <c r="H762" s="5">
        <v>5920.43</v>
      </c>
      <c r="I762" s="5">
        <v>4061492.86</v>
      </c>
      <c r="K762" s="5">
        <v>788.75900000000001</v>
      </c>
      <c r="L762" s="5">
        <v>4.2500000000000003E-2</v>
      </c>
      <c r="M762" s="5">
        <v>3927509.1329999999</v>
      </c>
      <c r="N762" s="6">
        <v>0.10299999999999999</v>
      </c>
      <c r="O762" s="5">
        <v>1313.7750000000001</v>
      </c>
      <c r="P762" s="6">
        <v>7.5600000000000001E-2</v>
      </c>
      <c r="Q762" s="5">
        <v>38279806.732000001</v>
      </c>
      <c r="R762" s="1" t="s">
        <v>55</v>
      </c>
      <c r="T762" s="1" t="s">
        <v>86</v>
      </c>
      <c r="U762" s="1" t="s">
        <v>241</v>
      </c>
      <c r="V762" s="1" t="s">
        <v>1633</v>
      </c>
      <c r="W762" s="1" t="s">
        <v>232</v>
      </c>
      <c r="Y762" s="1" t="s">
        <v>236</v>
      </c>
      <c r="Z762" s="1" t="str">
        <f t="shared" si="33"/>
        <v>2442 4</v>
      </c>
      <c r="AA762" s="3">
        <f>IF(INDEX('CAMD Facility Data 2023'!$AA$2:$AE$10000,MATCH(Z762,'CAMD Facility Data 2023'!$AE$2:$AE$10000,0),1)&gt;0,INDEX('CAMD Facility Data 2023'!$AA$2:$AE$10000,MATCH(Z762,'CAMD Facility Data 2023'!$AE$2:$AE$10000,0),1),"")</f>
        <v>25384</v>
      </c>
      <c r="AB762" s="5">
        <f>IF(INDEX('CAMD Facility Data 2023'!$AC$2:$AE$10000,MATCH(Z762,'CAMD Facility Data 2023'!$AE$2:$AE$10000,0),1)&gt;0,INDEX('CAMD Facility Data 2023'!$AC$2:$AE$10000,MATCH(Z762,'CAMD Facility Data 2023'!$AE$2:$AE$10000,0),1),"")</f>
        <v>8612</v>
      </c>
      <c r="AC762" s="1" t="str">
        <f>IF(INDEX('CAMD Facility Data 2023'!$AE$2:$AG$10000,MATCH(Z762,'CAMD Facility Data 2023'!$AE$2:$AE$10000,0),3)&gt;0,INDEX('CAMD Facility Data 2023'!$AE$2:$AG$10000,MATCH(Z762,'CAMD Facility Data 2023'!$AE$2:$AE$10000,0),3),"")</f>
        <v>Y</v>
      </c>
      <c r="AD762" s="20">
        <f t="shared" si="34"/>
        <v>0.64694192272936801</v>
      </c>
      <c r="AE762" s="25">
        <f t="shared" si="35"/>
        <v>0.50741302265926058</v>
      </c>
    </row>
    <row r="763" spans="1:31" x14ac:dyDescent="0.2">
      <c r="A763" s="1" t="s">
        <v>2054</v>
      </c>
      <c r="B763" s="1" t="s">
        <v>2055</v>
      </c>
      <c r="C763" s="1">
        <v>2442</v>
      </c>
      <c r="D763" s="1">
        <v>5</v>
      </c>
      <c r="F763" s="1">
        <v>2023</v>
      </c>
      <c r="G763" s="5">
        <v>5712</v>
      </c>
      <c r="H763" s="5">
        <v>5697.42</v>
      </c>
      <c r="I763" s="5">
        <v>3944073.23</v>
      </c>
      <c r="K763" s="5">
        <v>1024.624</v>
      </c>
      <c r="L763" s="5">
        <v>5.5800000000000002E-2</v>
      </c>
      <c r="M763" s="5">
        <v>3925240.7740000002</v>
      </c>
      <c r="N763" s="6">
        <v>0.10290000000000001</v>
      </c>
      <c r="O763" s="5">
        <v>1294.279</v>
      </c>
      <c r="P763" s="6">
        <v>7.7899999999999997E-2</v>
      </c>
      <c r="Q763" s="5">
        <v>38257694.064999998</v>
      </c>
      <c r="R763" s="1" t="s">
        <v>55</v>
      </c>
      <c r="T763" s="1" t="s">
        <v>86</v>
      </c>
      <c r="U763" s="1" t="s">
        <v>241</v>
      </c>
      <c r="V763" s="1" t="s">
        <v>1633</v>
      </c>
      <c r="W763" s="1" t="s">
        <v>232</v>
      </c>
      <c r="Y763" s="1" t="s">
        <v>236</v>
      </c>
      <c r="Z763" s="1" t="str">
        <f t="shared" si="33"/>
        <v>2442 5</v>
      </c>
      <c r="AA763" s="3">
        <f>IF(INDEX('CAMD Facility Data 2023'!$AA$2:$AE$10000,MATCH(Z763,'CAMD Facility Data 2023'!$AE$2:$AE$10000,0),1)&gt;0,INDEX('CAMD Facility Data 2023'!$AA$2:$AE$10000,MATCH(Z763,'CAMD Facility Data 2023'!$AE$2:$AE$10000,0),1),"")</f>
        <v>25689</v>
      </c>
      <c r="AB763" s="5">
        <f>IF(INDEX('CAMD Facility Data 2023'!$AC$2:$AE$10000,MATCH(Z763,'CAMD Facility Data 2023'!$AE$2:$AE$10000,0),1)&gt;0,INDEX('CAMD Facility Data 2023'!$AC$2:$AE$10000,MATCH(Z763,'CAMD Facility Data 2023'!$AE$2:$AE$10000,0),1),"")</f>
        <v>8612</v>
      </c>
      <c r="AC763" s="1" t="str">
        <f>IF(INDEX('CAMD Facility Data 2023'!$AE$2:$AG$10000,MATCH(Z763,'CAMD Facility Data 2023'!$AE$2:$AE$10000,0),3)&gt;0,INDEX('CAMD Facility Data 2023'!$AE$2:$AG$10000,MATCH(Z763,'CAMD Facility Data 2023'!$AE$2:$AE$10000,0),3),"")</f>
        <v>Y</v>
      </c>
      <c r="AD763" s="20">
        <f t="shared" si="34"/>
        <v>0.65631590719729105</v>
      </c>
      <c r="AE763" s="25">
        <f t="shared" si="35"/>
        <v>0.50711991106441678</v>
      </c>
    </row>
    <row r="764" spans="1:31" x14ac:dyDescent="0.2">
      <c r="A764" s="1" t="s">
        <v>2054</v>
      </c>
      <c r="B764" s="1" t="s">
        <v>2062</v>
      </c>
      <c r="C764" s="1">
        <v>2444</v>
      </c>
      <c r="D764" s="1">
        <v>6</v>
      </c>
      <c r="F764" s="1">
        <v>2023</v>
      </c>
      <c r="G764" s="5">
        <v>2842</v>
      </c>
      <c r="H764" s="5">
        <v>2833.85</v>
      </c>
      <c r="I764" s="5">
        <v>87433.91</v>
      </c>
      <c r="K764" s="5">
        <v>0.14799999999999999</v>
      </c>
      <c r="L764" s="5">
        <v>0</v>
      </c>
      <c r="M764" s="5">
        <v>62715.644999999997</v>
      </c>
      <c r="N764" s="6">
        <v>5.9200000000000003E-2</v>
      </c>
      <c r="O764" s="5">
        <v>105.896</v>
      </c>
      <c r="P764" s="6">
        <v>0.1885</v>
      </c>
      <c r="Q764" s="5">
        <v>1055282.8189999999</v>
      </c>
      <c r="R764" s="1" t="s">
        <v>44</v>
      </c>
      <c r="S764" s="1" t="s">
        <v>94</v>
      </c>
      <c r="T764" s="1" t="s">
        <v>89</v>
      </c>
      <c r="Y764" s="1" t="s">
        <v>247</v>
      </c>
      <c r="Z764" s="1" t="str">
        <f t="shared" si="33"/>
        <v>2444 6</v>
      </c>
      <c r="AA764" s="3">
        <f>IF(INDEX('CAMD Facility Data 2023'!$AA$2:$AE$10000,MATCH(Z764,'CAMD Facility Data 2023'!$AE$2:$AE$10000,0),1)&gt;0,INDEX('CAMD Facility Data 2023'!$AA$2:$AE$10000,MATCH(Z764,'CAMD Facility Data 2023'!$AE$2:$AE$10000,0),1),"")</f>
        <v>20821</v>
      </c>
      <c r="AB764" s="5">
        <f>IF(INDEX('CAMD Facility Data 2023'!$AC$2:$AE$10000,MATCH(Z764,'CAMD Facility Data 2023'!$AE$2:$AE$10000,0),1)&gt;0,INDEX('CAMD Facility Data 2023'!$AC$2:$AE$10000,MATCH(Z764,'CAMD Facility Data 2023'!$AE$2:$AE$10000,0),1),"")</f>
        <v>610</v>
      </c>
      <c r="AC764" s="1" t="str">
        <f>IF(INDEX('CAMD Facility Data 2023'!$AE$2:$AG$10000,MATCH(Z764,'CAMD Facility Data 2023'!$AE$2:$AE$10000,0),3)&gt;0,INDEX('CAMD Facility Data 2023'!$AE$2:$AG$10000,MATCH(Z764,'CAMD Facility Data 2023'!$AE$2:$AE$10000,0),3),"")</f>
        <v/>
      </c>
      <c r="AD764" s="20">
        <f t="shared" si="34"/>
        <v>2.4223096050491164</v>
      </c>
      <c r="AE764" s="25">
        <f t="shared" si="35"/>
        <v>0.19748536922673851</v>
      </c>
    </row>
    <row r="765" spans="1:31" x14ac:dyDescent="0.2">
      <c r="A765" s="1" t="s">
        <v>2054</v>
      </c>
      <c r="B765" s="1" t="s">
        <v>2062</v>
      </c>
      <c r="C765" s="1">
        <v>2444</v>
      </c>
      <c r="D765" s="1">
        <v>7</v>
      </c>
      <c r="F765" s="1">
        <v>2023</v>
      </c>
      <c r="G765" s="5">
        <v>4156</v>
      </c>
      <c r="H765" s="5">
        <v>4132.26</v>
      </c>
      <c r="I765" s="5">
        <v>104218.42</v>
      </c>
      <c r="K765" s="5">
        <v>0.183</v>
      </c>
      <c r="L765" s="5">
        <v>0</v>
      </c>
      <c r="M765" s="5">
        <v>77791.297999999995</v>
      </c>
      <c r="N765" s="6">
        <v>5.8799999999999998E-2</v>
      </c>
      <c r="O765" s="5">
        <v>52.307000000000002</v>
      </c>
      <c r="P765" s="6">
        <v>7.6999999999999999E-2</v>
      </c>
      <c r="Q765" s="5">
        <v>1308985.017</v>
      </c>
      <c r="R765" s="1" t="s">
        <v>44</v>
      </c>
      <c r="S765" s="1" t="s">
        <v>94</v>
      </c>
      <c r="T765" s="1" t="s">
        <v>89</v>
      </c>
      <c r="Y765" s="1" t="s">
        <v>247</v>
      </c>
      <c r="Z765" s="1" t="str">
        <f t="shared" si="33"/>
        <v>2444 7</v>
      </c>
      <c r="AA765" s="3">
        <f>IF(INDEX('CAMD Facility Data 2023'!$AA$2:$AE$10000,MATCH(Z765,'CAMD Facility Data 2023'!$AE$2:$AE$10000,0),1)&gt;0,INDEX('CAMD Facility Data 2023'!$AA$2:$AE$10000,MATCH(Z765,'CAMD Facility Data 2023'!$AE$2:$AE$10000,0),1),"")</f>
        <v>21186</v>
      </c>
      <c r="AB765" s="5">
        <f>IF(INDEX('CAMD Facility Data 2023'!$AC$2:$AE$10000,MATCH(Z765,'CAMD Facility Data 2023'!$AE$2:$AE$10000,0),1)&gt;0,INDEX('CAMD Facility Data 2023'!$AC$2:$AE$10000,MATCH(Z765,'CAMD Facility Data 2023'!$AE$2:$AE$10000,0),1),"")</f>
        <v>615</v>
      </c>
      <c r="AC765" s="1" t="str">
        <f>IF(INDEX('CAMD Facility Data 2023'!$AE$2:$AG$10000,MATCH(Z765,'CAMD Facility Data 2023'!$AE$2:$AE$10000,0),3)&gt;0,INDEX('CAMD Facility Data 2023'!$AE$2:$AG$10000,MATCH(Z765,'CAMD Facility Data 2023'!$AE$2:$AE$10000,0),3),"")</f>
        <v/>
      </c>
      <c r="AD765" s="20">
        <f t="shared" si="34"/>
        <v>1.0037956821836294</v>
      </c>
      <c r="AE765" s="25">
        <f t="shared" si="35"/>
        <v>0.24297156643278761</v>
      </c>
    </row>
    <row r="766" spans="1:31" x14ac:dyDescent="0.2">
      <c r="A766" s="1" t="s">
        <v>2054</v>
      </c>
      <c r="B766" s="1" t="s">
        <v>2062</v>
      </c>
      <c r="C766" s="1">
        <v>2444</v>
      </c>
      <c r="D766" s="1">
        <v>8</v>
      </c>
      <c r="F766" s="1">
        <v>2023</v>
      </c>
      <c r="G766" s="5">
        <v>7319</v>
      </c>
      <c r="H766" s="5">
        <v>7287.85</v>
      </c>
      <c r="I766" s="5">
        <v>699947.59</v>
      </c>
      <c r="K766" s="5">
        <v>0.94899999999999995</v>
      </c>
      <c r="L766" s="5">
        <v>0</v>
      </c>
      <c r="M766" s="5">
        <v>402802.592</v>
      </c>
      <c r="N766" s="6">
        <v>5.8999999999999997E-2</v>
      </c>
      <c r="O766" s="5">
        <v>807.68100000000004</v>
      </c>
      <c r="P766" s="6">
        <v>0.23269999999999999</v>
      </c>
      <c r="Q766" s="5">
        <v>6777776.3260000004</v>
      </c>
      <c r="R766" s="1" t="s">
        <v>44</v>
      </c>
      <c r="S766" s="1" t="s">
        <v>94</v>
      </c>
      <c r="T766" s="1" t="s">
        <v>89</v>
      </c>
      <c r="Y766" s="1" t="s">
        <v>247</v>
      </c>
      <c r="Z766" s="1" t="str">
        <f t="shared" si="33"/>
        <v>2444 8</v>
      </c>
      <c r="AA766" s="3">
        <f>IF(INDEX('CAMD Facility Data 2023'!$AA$2:$AE$10000,MATCH(Z766,'CAMD Facility Data 2023'!$AE$2:$AE$10000,0),1)&gt;0,INDEX('CAMD Facility Data 2023'!$AA$2:$AE$10000,MATCH(Z766,'CAMD Facility Data 2023'!$AE$2:$AE$10000,0),1),"")</f>
        <v>24838</v>
      </c>
      <c r="AB766" s="5">
        <f>IF(INDEX('CAMD Facility Data 2023'!$AC$2:$AE$10000,MATCH(Z766,'CAMD Facility Data 2023'!$AE$2:$AE$10000,0),1)&gt;0,INDEX('CAMD Facility Data 2023'!$AC$2:$AE$10000,MATCH(Z766,'CAMD Facility Data 2023'!$AE$2:$AE$10000,0),1),"")</f>
        <v>1569</v>
      </c>
      <c r="AC766" s="1" t="str">
        <f>IF(INDEX('CAMD Facility Data 2023'!$AE$2:$AG$10000,MATCH(Z766,'CAMD Facility Data 2023'!$AE$2:$AE$10000,0),3)&gt;0,INDEX('CAMD Facility Data 2023'!$AE$2:$AG$10000,MATCH(Z766,'CAMD Facility Data 2023'!$AE$2:$AE$10000,0),3),"")</f>
        <v/>
      </c>
      <c r="AD766" s="20">
        <f t="shared" si="34"/>
        <v>2.3078327907379466</v>
      </c>
      <c r="AE766" s="25">
        <f t="shared" si="35"/>
        <v>0.49312859061555075</v>
      </c>
    </row>
    <row r="767" spans="1:31" x14ac:dyDescent="0.2">
      <c r="A767" s="1" t="s">
        <v>2054</v>
      </c>
      <c r="B767" s="1" t="s">
        <v>2062</v>
      </c>
      <c r="C767" s="1">
        <v>2444</v>
      </c>
      <c r="D767" s="1">
        <v>9</v>
      </c>
      <c r="F767" s="1">
        <v>2023</v>
      </c>
      <c r="G767" s="5">
        <v>1379</v>
      </c>
      <c r="H767" s="5">
        <v>1172</v>
      </c>
      <c r="I767" s="5">
        <v>76291.149999999994</v>
      </c>
      <c r="K767" s="5">
        <v>0.10199999999999999</v>
      </c>
      <c r="L767" s="5">
        <v>0</v>
      </c>
      <c r="M767" s="5">
        <v>43423.269</v>
      </c>
      <c r="N767" s="6">
        <v>5.91E-2</v>
      </c>
      <c r="O767" s="5">
        <v>3.3460000000000001</v>
      </c>
      <c r="P767" s="6">
        <v>1.2500000000000001E-2</v>
      </c>
      <c r="Q767" s="5">
        <v>730676.53200000001</v>
      </c>
      <c r="R767" s="1" t="s">
        <v>44</v>
      </c>
      <c r="T767" s="1" t="s">
        <v>93</v>
      </c>
      <c r="V767" s="1" t="s">
        <v>64</v>
      </c>
      <c r="Y767" s="1" t="s">
        <v>247</v>
      </c>
      <c r="Z767" s="1" t="str">
        <f t="shared" si="33"/>
        <v>2444 9</v>
      </c>
      <c r="AA767" s="3">
        <f>IF(INDEX('CAMD Facility Data 2023'!$AA$2:$AE$10000,MATCH(Z767,'CAMD Facility Data 2023'!$AE$2:$AE$10000,0),1)&gt;0,INDEX('CAMD Facility Data 2023'!$AA$2:$AE$10000,MATCH(Z767,'CAMD Facility Data 2023'!$AE$2:$AE$10000,0),1),"")</f>
        <v>41381</v>
      </c>
      <c r="AB767" s="5">
        <f>IF(INDEX('CAMD Facility Data 2023'!$AC$2:$AE$10000,MATCH(Z767,'CAMD Facility Data 2023'!$AE$2:$AE$10000,0),1)&gt;0,INDEX('CAMD Facility Data 2023'!$AC$2:$AE$10000,MATCH(Z767,'CAMD Facility Data 2023'!$AE$2:$AE$10000,0),1),"")</f>
        <v>888.1</v>
      </c>
      <c r="AC767" s="1" t="str">
        <f>IF(INDEX('CAMD Facility Data 2023'!$AE$2:$AG$10000,MATCH(Z767,'CAMD Facility Data 2023'!$AE$2:$AE$10000,0),3)&gt;0,INDEX('CAMD Facility Data 2023'!$AE$2:$AG$10000,MATCH(Z767,'CAMD Facility Data 2023'!$AE$2:$AE$10000,0),3),"")</f>
        <v>Y</v>
      </c>
      <c r="AD767" s="20">
        <f t="shared" si="34"/>
        <v>8.771659622380841E-2</v>
      </c>
      <c r="AE767" s="25">
        <f t="shared" si="35"/>
        <v>9.3920237601282097E-2</v>
      </c>
    </row>
    <row r="768" spans="1:31" x14ac:dyDescent="0.2">
      <c r="A768" s="1" t="s">
        <v>2054</v>
      </c>
      <c r="B768" s="1" t="s">
        <v>2069</v>
      </c>
      <c r="C768" s="1">
        <v>2446</v>
      </c>
      <c r="D768" s="1" t="s">
        <v>2070</v>
      </c>
      <c r="F768" s="1">
        <v>2023</v>
      </c>
      <c r="G768" s="5">
        <v>7837</v>
      </c>
      <c r="H768" s="5">
        <v>7825.68</v>
      </c>
      <c r="I768" s="5">
        <v>502608.49</v>
      </c>
      <c r="K768" s="5">
        <v>1.5429999999999999</v>
      </c>
      <c r="L768" s="5">
        <v>1E-3</v>
      </c>
      <c r="M768" s="5">
        <v>305706.21799999999</v>
      </c>
      <c r="N768" s="6">
        <v>5.91E-2</v>
      </c>
      <c r="O768" s="5">
        <v>377.48200000000003</v>
      </c>
      <c r="P768" s="6">
        <v>0.1338</v>
      </c>
      <c r="Q768" s="5">
        <v>5144081.9560000002</v>
      </c>
      <c r="R768" s="1" t="s">
        <v>44</v>
      </c>
      <c r="T768" s="1" t="s">
        <v>43</v>
      </c>
      <c r="V768" s="1" t="s">
        <v>220</v>
      </c>
      <c r="Y768" s="1" t="s">
        <v>247</v>
      </c>
      <c r="Z768" s="1" t="str">
        <f t="shared" si="33"/>
        <v>2446 051B</v>
      </c>
      <c r="AA768" s="3">
        <f>IF(INDEX('CAMD Facility Data 2023'!$AA$2:$AE$10000,MATCH(Z768,'CAMD Facility Data 2023'!$AE$2:$AE$10000,0),1)&gt;0,INDEX('CAMD Facility Data 2023'!$AA$2:$AE$10000,MATCH(Z768,'CAMD Facility Data 2023'!$AE$2:$AE$10000,0),1),"")</f>
        <v>24654</v>
      </c>
      <c r="AB768" s="5">
        <f>IF(INDEX('CAMD Facility Data 2023'!$AC$2:$AE$10000,MATCH(Z768,'CAMD Facility Data 2023'!$AE$2:$AE$10000,0),1)&gt;0,INDEX('CAMD Facility Data 2023'!$AC$2:$AE$10000,MATCH(Z768,'CAMD Facility Data 2023'!$AE$2:$AE$10000,0),1),"")</f>
        <v>2155</v>
      </c>
      <c r="AC768" s="1" t="str">
        <f>IF(INDEX('CAMD Facility Data 2023'!$AE$2:$AG$10000,MATCH(Z768,'CAMD Facility Data 2023'!$AE$2:$AE$10000,0),3)&gt;0,INDEX('CAMD Facility Data 2023'!$AE$2:$AG$10000,MATCH(Z768,'CAMD Facility Data 2023'!$AE$2:$AE$10000,0),3),"")</f>
        <v/>
      </c>
      <c r="AD768" s="20">
        <f t="shared" si="34"/>
        <v>1.5020916180703594</v>
      </c>
      <c r="AE768" s="25">
        <f t="shared" si="35"/>
        <v>0.27249372045471404</v>
      </c>
    </row>
    <row r="769" spans="1:31" x14ac:dyDescent="0.2">
      <c r="A769" s="1" t="s">
        <v>2054</v>
      </c>
      <c r="B769" s="1" t="s">
        <v>2075</v>
      </c>
      <c r="C769" s="1">
        <v>2450</v>
      </c>
      <c r="D769" s="1">
        <v>1</v>
      </c>
      <c r="F769" s="1">
        <v>2023</v>
      </c>
      <c r="G769" s="5">
        <v>4926</v>
      </c>
      <c r="H769" s="5">
        <v>4641.28</v>
      </c>
      <c r="I769" s="5">
        <v>134570.23000000001</v>
      </c>
      <c r="K769" s="5">
        <v>0.48699999999999999</v>
      </c>
      <c r="L769" s="5">
        <v>1E-3</v>
      </c>
      <c r="M769" s="5">
        <v>96437.301999999996</v>
      </c>
      <c r="N769" s="6">
        <v>5.9200000000000003E-2</v>
      </c>
      <c r="O769" s="5">
        <v>203.59299999999999</v>
      </c>
      <c r="P769" s="6">
        <v>0.2203</v>
      </c>
      <c r="Q769" s="5">
        <v>1622772.4180000001</v>
      </c>
      <c r="R769" s="1" t="s">
        <v>44</v>
      </c>
      <c r="T769" s="1" t="s">
        <v>89</v>
      </c>
      <c r="Y769" s="1" t="s">
        <v>247</v>
      </c>
      <c r="Z769" s="1" t="str">
        <f t="shared" si="33"/>
        <v>2450 1</v>
      </c>
      <c r="AA769" s="3">
        <f>IF(INDEX('CAMD Facility Data 2023'!$AA$2:$AE$10000,MATCH(Z769,'CAMD Facility Data 2023'!$AE$2:$AE$10000,0),1)&gt;0,INDEX('CAMD Facility Data 2023'!$AA$2:$AE$10000,MATCH(Z769,'CAMD Facility Data 2023'!$AE$2:$AE$10000,0),1),"")</f>
        <v>22190</v>
      </c>
      <c r="AB769" s="5">
        <f>IF(INDEX('CAMD Facility Data 2023'!$AC$2:$AE$10000,MATCH(Z769,'CAMD Facility Data 2023'!$AE$2:$AE$10000,0),1)&gt;0,INDEX('CAMD Facility Data 2023'!$AC$2:$AE$10000,MATCH(Z769,'CAMD Facility Data 2023'!$AE$2:$AE$10000,0),1),"")</f>
        <v>623.4</v>
      </c>
      <c r="AC769" s="1" t="str">
        <f>IF(INDEX('CAMD Facility Data 2023'!$AE$2:$AG$10000,MATCH(Z769,'CAMD Facility Data 2023'!$AE$2:$AE$10000,0),3)&gt;0,INDEX('CAMD Facility Data 2023'!$AE$2:$AG$10000,MATCH(Z769,'CAMD Facility Data 2023'!$AE$2:$AE$10000,0),3),"")</f>
        <v/>
      </c>
      <c r="AD769" s="20">
        <f t="shared" si="34"/>
        <v>3.0258252512461334</v>
      </c>
      <c r="AE769" s="25">
        <f t="shared" si="35"/>
        <v>0.29715751190627915</v>
      </c>
    </row>
    <row r="770" spans="1:31" x14ac:dyDescent="0.2">
      <c r="A770" s="1" t="s">
        <v>2054</v>
      </c>
      <c r="B770" s="1" t="s">
        <v>2075</v>
      </c>
      <c r="C770" s="1">
        <v>2450</v>
      </c>
      <c r="D770" s="1">
        <v>2</v>
      </c>
      <c r="F770" s="1">
        <v>2023</v>
      </c>
      <c r="G770" s="5">
        <v>3354</v>
      </c>
      <c r="H770" s="5">
        <v>3168.62</v>
      </c>
      <c r="I770" s="5">
        <v>90483.99</v>
      </c>
      <c r="K770" s="5">
        <v>0.33600000000000002</v>
      </c>
      <c r="L770" s="5">
        <v>1E-3</v>
      </c>
      <c r="M770" s="5">
        <v>66568.376999999993</v>
      </c>
      <c r="N770" s="6">
        <v>5.9299999999999999E-2</v>
      </c>
      <c r="O770" s="5">
        <v>135.15100000000001</v>
      </c>
      <c r="P770" s="6">
        <v>0.21590000000000001</v>
      </c>
      <c r="Q770" s="5">
        <v>1120087.1359999999</v>
      </c>
      <c r="R770" s="1" t="s">
        <v>44</v>
      </c>
      <c r="T770" s="1" t="s">
        <v>89</v>
      </c>
      <c r="Y770" s="1" t="s">
        <v>247</v>
      </c>
      <c r="Z770" s="1" t="str">
        <f t="shared" si="33"/>
        <v>2450 2</v>
      </c>
      <c r="AA770" s="3">
        <f>IF(INDEX('CAMD Facility Data 2023'!$AA$2:$AE$10000,MATCH(Z770,'CAMD Facility Data 2023'!$AE$2:$AE$10000,0),1)&gt;0,INDEX('CAMD Facility Data 2023'!$AA$2:$AE$10000,MATCH(Z770,'CAMD Facility Data 2023'!$AE$2:$AE$10000,0),1),"")</f>
        <v>21459</v>
      </c>
      <c r="AB770" s="5">
        <f>IF(INDEX('CAMD Facility Data 2023'!$AC$2:$AE$10000,MATCH(Z770,'CAMD Facility Data 2023'!$AE$2:$AE$10000,0),1)&gt;0,INDEX('CAMD Facility Data 2023'!$AC$2:$AE$10000,MATCH(Z770,'CAMD Facility Data 2023'!$AE$2:$AE$10000,0),1),"")</f>
        <v>623.4</v>
      </c>
      <c r="AC770" s="1" t="str">
        <f>IF(INDEX('CAMD Facility Data 2023'!$AE$2:$AG$10000,MATCH(Z770,'CAMD Facility Data 2023'!$AE$2:$AE$10000,0),3)&gt;0,INDEX('CAMD Facility Data 2023'!$AE$2:$AG$10000,MATCH(Z770,'CAMD Facility Data 2023'!$AE$2:$AE$10000,0),3),"")</f>
        <v/>
      </c>
      <c r="AD770" s="20">
        <f t="shared" si="34"/>
        <v>2.987290900854394</v>
      </c>
      <c r="AE770" s="25">
        <f t="shared" si="35"/>
        <v>0.20510719972810759</v>
      </c>
    </row>
    <row r="771" spans="1:31" x14ac:dyDescent="0.2">
      <c r="A771" s="1" t="s">
        <v>2054</v>
      </c>
      <c r="B771" s="1" t="s">
        <v>2075</v>
      </c>
      <c r="C771" s="1">
        <v>2450</v>
      </c>
      <c r="D771" s="1">
        <v>3</v>
      </c>
      <c r="F771" s="1">
        <v>2023</v>
      </c>
      <c r="G771" s="5">
        <v>5310</v>
      </c>
      <c r="H771" s="5">
        <v>5046.38</v>
      </c>
      <c r="I771" s="5">
        <v>225156.05</v>
      </c>
      <c r="K771" s="5">
        <v>0.78600000000000003</v>
      </c>
      <c r="L771" s="5">
        <v>1E-3</v>
      </c>
      <c r="M771" s="5">
        <v>155701.954</v>
      </c>
      <c r="N771" s="6">
        <v>5.91E-2</v>
      </c>
      <c r="O771" s="5">
        <v>310.56900000000002</v>
      </c>
      <c r="P771" s="6">
        <v>0.22270000000000001</v>
      </c>
      <c r="Q771" s="5">
        <v>2620053.6490000002</v>
      </c>
      <c r="R771" s="1" t="s">
        <v>44</v>
      </c>
      <c r="T771" s="1" t="s">
        <v>89</v>
      </c>
      <c r="Y771" s="1" t="s">
        <v>247</v>
      </c>
      <c r="Z771" s="1" t="str">
        <f t="shared" ref="Z771:Z834" si="36">C771&amp;" "&amp;D771</f>
        <v>2450 3</v>
      </c>
      <c r="AA771" s="3">
        <f>IF(INDEX('CAMD Facility Data 2023'!$AA$2:$AE$10000,MATCH(Z771,'CAMD Facility Data 2023'!$AE$2:$AE$10000,0),1)&gt;0,INDEX('CAMD Facility Data 2023'!$AA$2:$AE$10000,MATCH(Z771,'CAMD Facility Data 2023'!$AE$2:$AE$10000,0),1),"")</f>
        <v>22920</v>
      </c>
      <c r="AB771" s="5">
        <f>IF(INDEX('CAMD Facility Data 2023'!$AC$2:$AE$10000,MATCH(Z771,'CAMD Facility Data 2023'!$AE$2:$AE$10000,0),1)&gt;0,INDEX('CAMD Facility Data 2023'!$AC$2:$AE$10000,MATCH(Z771,'CAMD Facility Data 2023'!$AE$2:$AE$10000,0),1),"")</f>
        <v>872</v>
      </c>
      <c r="AC771" s="1" t="str">
        <f>IF(INDEX('CAMD Facility Data 2023'!$AE$2:$AG$10000,MATCH(Z771,'CAMD Facility Data 2023'!$AE$2:$AE$10000,0),3)&gt;0,INDEX('CAMD Facility Data 2023'!$AE$2:$AG$10000,MATCH(Z771,'CAMD Facility Data 2023'!$AE$2:$AE$10000,0),3),"")</f>
        <v/>
      </c>
      <c r="AD771" s="20">
        <f t="shared" ref="AD771:AD834" si="37">IF(ISNUMBER(O771*2000/I771),O771*2000/I771,"")</f>
        <v>2.7587000216072366</v>
      </c>
      <c r="AE771" s="25">
        <f t="shared" ref="AE771:AE834" si="38">Q771/(AB771*8760)</f>
        <v>0.34299642466277075</v>
      </c>
    </row>
    <row r="772" spans="1:31" x14ac:dyDescent="0.2">
      <c r="A772" s="1" t="s">
        <v>2054</v>
      </c>
      <c r="B772" s="1" t="s">
        <v>2081</v>
      </c>
      <c r="C772" s="1">
        <v>2454</v>
      </c>
      <c r="D772" s="1" t="s">
        <v>2082</v>
      </c>
      <c r="F772" s="1">
        <v>2023</v>
      </c>
      <c r="G772" s="5">
        <v>0</v>
      </c>
      <c r="H772" s="5">
        <v>0</v>
      </c>
      <c r="R772" s="1" t="s">
        <v>44</v>
      </c>
      <c r="T772" s="1" t="s">
        <v>43</v>
      </c>
      <c r="V772" s="1" t="s">
        <v>220</v>
      </c>
      <c r="Y772" s="1" t="s">
        <v>247</v>
      </c>
      <c r="Z772" s="1" t="str">
        <f t="shared" si="36"/>
        <v>2454 121B</v>
      </c>
      <c r="AA772" s="3">
        <f>IF(INDEX('CAMD Facility Data 2023'!$AA$2:$AE$10000,MATCH(Z772,'CAMD Facility Data 2023'!$AE$2:$AE$10000,0),1)&gt;0,INDEX('CAMD Facility Data 2023'!$AA$2:$AE$10000,MATCH(Z772,'CAMD Facility Data 2023'!$AE$2:$AE$10000,0),1),"")</f>
        <v>21002</v>
      </c>
      <c r="AB772" s="5">
        <f>IF(INDEX('CAMD Facility Data 2023'!$AC$2:$AE$10000,MATCH(Z772,'CAMD Facility Data 2023'!$AE$2:$AE$10000,0),1)&gt;0,INDEX('CAMD Facility Data 2023'!$AC$2:$AE$10000,MATCH(Z772,'CAMD Facility Data 2023'!$AE$2:$AE$10000,0),1),"")</f>
        <v>1000</v>
      </c>
      <c r="AC772" s="1" t="str">
        <f>IF(INDEX('CAMD Facility Data 2023'!$AE$2:$AG$10000,MATCH(Z772,'CAMD Facility Data 2023'!$AE$2:$AE$10000,0),3)&gt;0,INDEX('CAMD Facility Data 2023'!$AE$2:$AG$10000,MATCH(Z772,'CAMD Facility Data 2023'!$AE$2:$AE$10000,0),3),"")</f>
        <v/>
      </c>
      <c r="AD772" s="20" t="str">
        <f t="shared" si="37"/>
        <v/>
      </c>
      <c r="AE772" s="25">
        <f t="shared" si="38"/>
        <v>0</v>
      </c>
    </row>
    <row r="773" spans="1:31" x14ac:dyDescent="0.2">
      <c r="A773" s="1" t="s">
        <v>2054</v>
      </c>
      <c r="B773" s="1" t="s">
        <v>2081</v>
      </c>
      <c r="C773" s="1">
        <v>2454</v>
      </c>
      <c r="D773" s="1" t="s">
        <v>2083</v>
      </c>
      <c r="F773" s="1">
        <v>2023</v>
      </c>
      <c r="G773" s="5">
        <v>5581</v>
      </c>
      <c r="H773" s="5">
        <v>5566.14</v>
      </c>
      <c r="I773" s="5">
        <v>660594.36</v>
      </c>
      <c r="K773" s="5">
        <v>1.94</v>
      </c>
      <c r="L773" s="5">
        <v>1E-3</v>
      </c>
      <c r="M773" s="5">
        <v>384219.35399999999</v>
      </c>
      <c r="N773" s="6">
        <v>5.8999999999999997E-2</v>
      </c>
      <c r="O773" s="5">
        <v>532.10599999999999</v>
      </c>
      <c r="P773" s="6">
        <v>0.15179999999999999</v>
      </c>
      <c r="Q773" s="5">
        <v>6465244.3099999996</v>
      </c>
      <c r="R773" s="1" t="s">
        <v>44</v>
      </c>
      <c r="S773" s="1" t="s">
        <v>1292</v>
      </c>
      <c r="T773" s="1" t="s">
        <v>43</v>
      </c>
      <c r="V773" s="1" t="s">
        <v>220</v>
      </c>
      <c r="Y773" s="1" t="s">
        <v>247</v>
      </c>
      <c r="Z773" s="1" t="str">
        <f t="shared" si="36"/>
        <v>2454 122B</v>
      </c>
      <c r="AA773" s="3">
        <f>IF(INDEX('CAMD Facility Data 2023'!$AA$2:$AE$10000,MATCH(Z773,'CAMD Facility Data 2023'!$AE$2:$AE$10000,0),1)&gt;0,INDEX('CAMD Facility Data 2023'!$AA$2:$AE$10000,MATCH(Z773,'CAMD Facility Data 2023'!$AE$2:$AE$10000,0),1),"")</f>
        <v>23924</v>
      </c>
      <c r="AB773" s="5">
        <f>IF(INDEX('CAMD Facility Data 2023'!$AC$2:$AE$10000,MATCH(Z773,'CAMD Facility Data 2023'!$AE$2:$AE$10000,0),1)&gt;0,INDEX('CAMD Facility Data 2023'!$AC$2:$AE$10000,MATCH(Z773,'CAMD Facility Data 2023'!$AE$2:$AE$10000,0),1),"")</f>
        <v>1902</v>
      </c>
      <c r="AC773" s="1" t="str">
        <f>IF(INDEX('CAMD Facility Data 2023'!$AE$2:$AG$10000,MATCH(Z773,'CAMD Facility Data 2023'!$AE$2:$AE$10000,0),3)&gt;0,INDEX('CAMD Facility Data 2023'!$AE$2:$AG$10000,MATCH(Z773,'CAMD Facility Data 2023'!$AE$2:$AE$10000,0),3),"")</f>
        <v/>
      </c>
      <c r="AD773" s="20">
        <f t="shared" si="37"/>
        <v>1.6109916530319757</v>
      </c>
      <c r="AE773" s="25">
        <f t="shared" si="38"/>
        <v>0.38803448364855064</v>
      </c>
    </row>
    <row r="774" spans="1:31" x14ac:dyDescent="0.2">
      <c r="A774" s="1" t="s">
        <v>2054</v>
      </c>
      <c r="B774" s="1" t="s">
        <v>2081</v>
      </c>
      <c r="C774" s="1">
        <v>2454</v>
      </c>
      <c r="D774" s="1" t="s">
        <v>2085</v>
      </c>
      <c r="F774" s="1">
        <v>2023</v>
      </c>
      <c r="G774" s="5">
        <v>4949</v>
      </c>
      <c r="H774" s="5">
        <v>4876.12</v>
      </c>
      <c r="I774" s="5">
        <v>455090.22</v>
      </c>
      <c r="K774" s="5">
        <v>1.593</v>
      </c>
      <c r="L774" s="5">
        <v>1E-3</v>
      </c>
      <c r="M774" s="5">
        <v>315465.38099999999</v>
      </c>
      <c r="N774" s="6">
        <v>5.8999999999999997E-2</v>
      </c>
      <c r="O774" s="5">
        <v>155.07900000000001</v>
      </c>
      <c r="P774" s="6">
        <v>5.8900000000000001E-2</v>
      </c>
      <c r="Q774" s="5">
        <v>5308325.273</v>
      </c>
      <c r="R774" s="1" t="s">
        <v>44</v>
      </c>
      <c r="T774" s="1" t="s">
        <v>93</v>
      </c>
      <c r="V774" s="1" t="s">
        <v>140</v>
      </c>
      <c r="Y774" s="1" t="s">
        <v>247</v>
      </c>
      <c r="Z774" s="1" t="str">
        <f t="shared" si="36"/>
        <v>2454 123T</v>
      </c>
      <c r="AA774" s="3">
        <f>IF(INDEX('CAMD Facility Data 2023'!$AA$2:$AE$10000,MATCH(Z774,'CAMD Facility Data 2023'!$AE$2:$AE$10000,0),1)&gt;0,INDEX('CAMD Facility Data 2023'!$AA$2:$AE$10000,MATCH(Z774,'CAMD Facility Data 2023'!$AE$2:$AE$10000,0),1),"")</f>
        <v>35968</v>
      </c>
      <c r="AB774" s="5">
        <f>IF(INDEX('CAMD Facility Data 2023'!$AC$2:$AE$10000,MATCH(Z774,'CAMD Facility Data 2023'!$AE$2:$AE$10000,0),1)&gt;0,INDEX('CAMD Facility Data 2023'!$AC$2:$AE$10000,MATCH(Z774,'CAMD Facility Data 2023'!$AE$2:$AE$10000,0),1),"")</f>
        <v>1246</v>
      </c>
      <c r="AC774" s="1" t="str">
        <f>IF(INDEX('CAMD Facility Data 2023'!$AE$2:$AG$10000,MATCH(Z774,'CAMD Facility Data 2023'!$AE$2:$AE$10000,0),3)&gt;0,INDEX('CAMD Facility Data 2023'!$AE$2:$AG$10000,MATCH(Z774,'CAMD Facility Data 2023'!$AE$2:$AE$10000,0),3),"")</f>
        <v/>
      </c>
      <c r="AD774" s="20">
        <f t="shared" si="37"/>
        <v>0.68153079624519297</v>
      </c>
      <c r="AE774" s="25">
        <f t="shared" si="38"/>
        <v>0.48633483521698662</v>
      </c>
    </row>
    <row r="775" spans="1:31" x14ac:dyDescent="0.2">
      <c r="A775" s="1" t="s">
        <v>2054</v>
      </c>
      <c r="B775" s="1" t="s">
        <v>2081</v>
      </c>
      <c r="C775" s="1">
        <v>2454</v>
      </c>
      <c r="D775" s="1" t="s">
        <v>2087</v>
      </c>
      <c r="F775" s="1">
        <v>2023</v>
      </c>
      <c r="G775" s="5">
        <v>4064</v>
      </c>
      <c r="H775" s="5">
        <v>4008.77</v>
      </c>
      <c r="I775" s="5">
        <v>358025.96</v>
      </c>
      <c r="K775" s="5">
        <v>1.284</v>
      </c>
      <c r="L775" s="5">
        <v>1E-3</v>
      </c>
      <c r="M775" s="5">
        <v>254283.25700000001</v>
      </c>
      <c r="N775" s="6">
        <v>5.8999999999999997E-2</v>
      </c>
      <c r="O775" s="5">
        <v>122.93899999999999</v>
      </c>
      <c r="P775" s="6">
        <v>5.8099999999999999E-2</v>
      </c>
      <c r="Q775" s="5">
        <v>4278746.68</v>
      </c>
      <c r="R775" s="1" t="s">
        <v>44</v>
      </c>
      <c r="T775" s="1" t="s">
        <v>93</v>
      </c>
      <c r="V775" s="1" t="s">
        <v>140</v>
      </c>
      <c r="Y775" s="1" t="s">
        <v>247</v>
      </c>
      <c r="Z775" s="1" t="str">
        <f t="shared" si="36"/>
        <v>2454 124T</v>
      </c>
      <c r="AA775" s="3">
        <f>IF(INDEX('CAMD Facility Data 2023'!$AA$2:$AE$10000,MATCH(Z775,'CAMD Facility Data 2023'!$AE$2:$AE$10000,0),1)&gt;0,INDEX('CAMD Facility Data 2023'!$AA$2:$AE$10000,MATCH(Z775,'CAMD Facility Data 2023'!$AE$2:$AE$10000,0),1),"")</f>
        <v>35961</v>
      </c>
      <c r="AB775" s="5">
        <f>IF(INDEX('CAMD Facility Data 2023'!$AC$2:$AE$10000,MATCH(Z775,'CAMD Facility Data 2023'!$AE$2:$AE$10000,0),1)&gt;0,INDEX('CAMD Facility Data 2023'!$AC$2:$AE$10000,MATCH(Z775,'CAMD Facility Data 2023'!$AE$2:$AE$10000,0),1),"")</f>
        <v>1282</v>
      </c>
      <c r="AC775" s="1" t="str">
        <f>IF(INDEX('CAMD Facility Data 2023'!$AE$2:$AG$10000,MATCH(Z775,'CAMD Facility Data 2023'!$AE$2:$AE$10000,0),3)&gt;0,INDEX('CAMD Facility Data 2023'!$AE$2:$AG$10000,MATCH(Z775,'CAMD Facility Data 2023'!$AE$2:$AE$10000,0),3),"")</f>
        <v/>
      </c>
      <c r="AD775" s="20">
        <f t="shared" si="37"/>
        <v>0.68676025615572678</v>
      </c>
      <c r="AE775" s="25">
        <f t="shared" si="38"/>
        <v>0.38099953340599374</v>
      </c>
    </row>
    <row r="776" spans="1:31" x14ac:dyDescent="0.2">
      <c r="A776" s="1" t="s">
        <v>2089</v>
      </c>
      <c r="B776" s="1" t="s">
        <v>2090</v>
      </c>
      <c r="C776" s="1">
        <v>2480</v>
      </c>
      <c r="D776" s="1">
        <v>1</v>
      </c>
      <c r="F776" s="1">
        <v>2023</v>
      </c>
      <c r="G776" s="5">
        <v>72</v>
      </c>
      <c r="H776" s="5">
        <v>67.14</v>
      </c>
      <c r="I776" s="5">
        <v>1582.16</v>
      </c>
      <c r="K776" s="5">
        <v>7.0000000000000001E-3</v>
      </c>
      <c r="L776" s="5">
        <v>8.0000000000000004E-4</v>
      </c>
      <c r="M776" s="5">
        <v>1375.56</v>
      </c>
      <c r="N776" s="6">
        <v>5.91E-2</v>
      </c>
      <c r="O776" s="5">
        <v>0.94299999999999995</v>
      </c>
      <c r="P776" s="6">
        <v>5.6300000000000003E-2</v>
      </c>
      <c r="Q776" s="5">
        <v>23203.441999999999</v>
      </c>
      <c r="R776" s="1" t="s">
        <v>44</v>
      </c>
      <c r="S776" s="1" t="s">
        <v>173</v>
      </c>
      <c r="T776" s="1" t="s">
        <v>43</v>
      </c>
      <c r="Y776" s="1" t="s">
        <v>1515</v>
      </c>
      <c r="Z776" s="1" t="str">
        <f t="shared" si="36"/>
        <v>2480 1</v>
      </c>
      <c r="AA776" s="3">
        <f>IF(INDEX('CAMD Facility Data 2023'!$AA$2:$AE$10000,MATCH(Z776,'CAMD Facility Data 2023'!$AE$2:$AE$10000,0),1)&gt;0,INDEX('CAMD Facility Data 2023'!$AA$2:$AE$10000,MATCH(Z776,'CAMD Facility Data 2023'!$AE$2:$AE$10000,0),1),"")</f>
        <v>18629</v>
      </c>
      <c r="AB776" s="5">
        <f>IF(INDEX('CAMD Facility Data 2023'!$AC$2:$AE$10000,MATCH(Z776,'CAMD Facility Data 2023'!$AE$2:$AE$10000,0),1)&gt;0,INDEX('CAMD Facility Data 2023'!$AC$2:$AE$10000,MATCH(Z776,'CAMD Facility Data 2023'!$AE$2:$AE$10000,0),1),"")</f>
        <v>1654</v>
      </c>
      <c r="AC776" s="1" t="str">
        <f>IF(INDEX('CAMD Facility Data 2023'!$AE$2:$AG$10000,MATCH(Z776,'CAMD Facility Data 2023'!$AE$2:$AE$10000,0),3)&gt;0,INDEX('CAMD Facility Data 2023'!$AE$2:$AG$10000,MATCH(Z776,'CAMD Facility Data 2023'!$AE$2:$AE$10000,0),3),"")</f>
        <v/>
      </c>
      <c r="AD776" s="20">
        <f t="shared" si="37"/>
        <v>1.1920412600495525</v>
      </c>
      <c r="AE776" s="25">
        <f t="shared" si="38"/>
        <v>1.601447852997852E-3</v>
      </c>
    </row>
    <row r="777" spans="1:31" x14ac:dyDescent="0.2">
      <c r="A777" s="1" t="s">
        <v>2089</v>
      </c>
      <c r="B777" s="1" t="s">
        <v>2090</v>
      </c>
      <c r="C777" s="1">
        <v>2480</v>
      </c>
      <c r="D777" s="1">
        <v>2</v>
      </c>
      <c r="F777" s="1">
        <v>2023</v>
      </c>
      <c r="G777" s="5">
        <v>53</v>
      </c>
      <c r="H777" s="5">
        <v>47.05</v>
      </c>
      <c r="I777" s="5">
        <v>1404.42</v>
      </c>
      <c r="K777" s="5">
        <v>6.0000000000000001E-3</v>
      </c>
      <c r="L777" s="5">
        <v>8.0000000000000004E-4</v>
      </c>
      <c r="M777" s="5">
        <v>1089.1780000000001</v>
      </c>
      <c r="N777" s="6">
        <v>5.91E-2</v>
      </c>
      <c r="O777" s="5">
        <v>0.81699999999999995</v>
      </c>
      <c r="P777" s="6">
        <v>6.9800000000000001E-2</v>
      </c>
      <c r="Q777" s="5">
        <v>18378.244999999999</v>
      </c>
      <c r="R777" s="1" t="s">
        <v>44</v>
      </c>
      <c r="S777" s="1" t="s">
        <v>173</v>
      </c>
      <c r="T777" s="1" t="s">
        <v>43</v>
      </c>
      <c r="Y777" s="1" t="s">
        <v>1515</v>
      </c>
      <c r="Z777" s="1" t="str">
        <f t="shared" si="36"/>
        <v>2480 2</v>
      </c>
      <c r="AA777" s="3">
        <f>IF(INDEX('CAMD Facility Data 2023'!$AA$2:$AE$10000,MATCH(Z777,'CAMD Facility Data 2023'!$AE$2:$AE$10000,0),1)&gt;0,INDEX('CAMD Facility Data 2023'!$AA$2:$AE$10000,MATCH(Z777,'CAMD Facility Data 2023'!$AE$2:$AE$10000,0),1),"")</f>
        <v>19725</v>
      </c>
      <c r="AB777" s="5">
        <f>IF(INDEX('CAMD Facility Data 2023'!$AC$2:$AE$10000,MATCH(Z777,'CAMD Facility Data 2023'!$AE$2:$AE$10000,0),1)&gt;0,INDEX('CAMD Facility Data 2023'!$AC$2:$AE$10000,MATCH(Z777,'CAMD Facility Data 2023'!$AE$2:$AE$10000,0),1),"")</f>
        <v>1100</v>
      </c>
      <c r="AC777" s="1" t="str">
        <f>IF(INDEX('CAMD Facility Data 2023'!$AE$2:$AG$10000,MATCH(Z777,'CAMD Facility Data 2023'!$AE$2:$AE$10000,0),3)&gt;0,INDEX('CAMD Facility Data 2023'!$AE$2:$AG$10000,MATCH(Z777,'CAMD Facility Data 2023'!$AE$2:$AE$10000,0),3),"")</f>
        <v/>
      </c>
      <c r="AD777" s="20">
        <f t="shared" si="37"/>
        <v>1.1634696173509349</v>
      </c>
      <c r="AE777" s="25">
        <f t="shared" si="38"/>
        <v>1.9072483395599833E-3</v>
      </c>
    </row>
    <row r="778" spans="1:31" x14ac:dyDescent="0.2">
      <c r="A778" s="1" t="s">
        <v>2089</v>
      </c>
      <c r="B778" s="1" t="s">
        <v>2090</v>
      </c>
      <c r="C778" s="1">
        <v>2480</v>
      </c>
      <c r="D778" s="1">
        <v>3</v>
      </c>
      <c r="F778" s="1">
        <v>2023</v>
      </c>
      <c r="G778" s="5">
        <v>99</v>
      </c>
      <c r="H778" s="5">
        <v>95.68</v>
      </c>
      <c r="I778" s="5">
        <v>4826.24</v>
      </c>
      <c r="K778" s="5">
        <v>1.4999999999999999E-2</v>
      </c>
      <c r="L778" s="5">
        <v>8.0000000000000004E-4</v>
      </c>
      <c r="M778" s="5">
        <v>2872.6039999999998</v>
      </c>
      <c r="N778" s="6">
        <v>5.91E-2</v>
      </c>
      <c r="O778" s="5">
        <v>1.9770000000000001</v>
      </c>
      <c r="P778" s="6">
        <v>6.2100000000000002E-2</v>
      </c>
      <c r="Q778" s="5">
        <v>48459.489000000001</v>
      </c>
      <c r="R778" s="1" t="s">
        <v>44</v>
      </c>
      <c r="T778" s="1" t="s">
        <v>43</v>
      </c>
      <c r="V778" s="1" t="s">
        <v>242</v>
      </c>
      <c r="W778" s="1" t="s">
        <v>58</v>
      </c>
      <c r="Y778" s="1" t="s">
        <v>1515</v>
      </c>
      <c r="Z778" s="1" t="str">
        <f t="shared" si="36"/>
        <v>2480 3</v>
      </c>
      <c r="AA778" s="3">
        <f>IF(INDEX('CAMD Facility Data 2023'!$AA$2:$AE$10000,MATCH(Z778,'CAMD Facility Data 2023'!$AE$2:$AE$10000,0),1)&gt;0,INDEX('CAMD Facility Data 2023'!$AA$2:$AE$10000,MATCH(Z778,'CAMD Facility Data 2023'!$AE$2:$AE$10000,0),1),"")</f>
        <v>21824</v>
      </c>
      <c r="AB778" s="5">
        <f>IF(INDEX('CAMD Facility Data 2023'!$AC$2:$AE$10000,MATCH(Z778,'CAMD Facility Data 2023'!$AE$2:$AE$10000,0),1)&gt;0,INDEX('CAMD Facility Data 2023'!$AC$2:$AE$10000,MATCH(Z778,'CAMD Facility Data 2023'!$AE$2:$AE$10000,0),1),"")</f>
        <v>3260</v>
      </c>
      <c r="AC778" s="1" t="str">
        <f>IF(INDEX('CAMD Facility Data 2023'!$AE$2:$AG$10000,MATCH(Z778,'CAMD Facility Data 2023'!$AE$2:$AE$10000,0),3)&gt;0,INDEX('CAMD Facility Data 2023'!$AE$2:$AG$10000,MATCH(Z778,'CAMD Facility Data 2023'!$AE$2:$AE$10000,0),3),"")</f>
        <v/>
      </c>
      <c r="AD778" s="20">
        <f t="shared" si="37"/>
        <v>0.81927131680148524</v>
      </c>
      <c r="AE778" s="25">
        <f t="shared" si="38"/>
        <v>1.6969034162534666E-3</v>
      </c>
    </row>
    <row r="779" spans="1:31" x14ac:dyDescent="0.2">
      <c r="A779" s="1" t="s">
        <v>2089</v>
      </c>
      <c r="B779" s="1" t="s">
        <v>2090</v>
      </c>
      <c r="C779" s="1">
        <v>2480</v>
      </c>
      <c r="D779" s="1">
        <v>4</v>
      </c>
      <c r="F779" s="1">
        <v>2023</v>
      </c>
      <c r="G779" s="5">
        <v>201</v>
      </c>
      <c r="H779" s="5">
        <v>195.17</v>
      </c>
      <c r="I779" s="5">
        <v>12189.06</v>
      </c>
      <c r="K779" s="5">
        <v>3.9E-2</v>
      </c>
      <c r="L779" s="5">
        <v>8.9999999999999998E-4</v>
      </c>
      <c r="M779" s="5">
        <v>7522.67</v>
      </c>
      <c r="N779" s="6">
        <v>5.8799999999999998E-2</v>
      </c>
      <c r="O779" s="5">
        <v>4.1609999999999996</v>
      </c>
      <c r="P779" s="6">
        <v>5.4399999999999997E-2</v>
      </c>
      <c r="Q779" s="5">
        <v>126906.986</v>
      </c>
      <c r="R779" s="1" t="s">
        <v>44</v>
      </c>
      <c r="T779" s="1" t="s">
        <v>43</v>
      </c>
      <c r="V779" s="1" t="s">
        <v>242</v>
      </c>
      <c r="W779" s="1" t="s">
        <v>58</v>
      </c>
      <c r="Y779" s="1" t="s">
        <v>1515</v>
      </c>
      <c r="Z779" s="1" t="str">
        <f t="shared" si="36"/>
        <v>2480 4</v>
      </c>
      <c r="AA779" s="3">
        <f>IF(INDEX('CAMD Facility Data 2023'!$AA$2:$AE$10000,MATCH(Z779,'CAMD Facility Data 2023'!$AE$2:$AE$10000,0),1)&gt;0,INDEX('CAMD Facility Data 2023'!$AA$2:$AE$10000,MATCH(Z779,'CAMD Facility Data 2023'!$AE$2:$AE$10000,0),1),"")</f>
        <v>24716</v>
      </c>
      <c r="AB779" s="5">
        <f>IF(INDEX('CAMD Facility Data 2023'!$AC$2:$AE$10000,MATCH(Z779,'CAMD Facility Data 2023'!$AE$2:$AE$10000,0),1)&gt;0,INDEX('CAMD Facility Data 2023'!$AC$2:$AE$10000,MATCH(Z779,'CAMD Facility Data 2023'!$AE$2:$AE$10000,0),1),"")</f>
        <v>2419</v>
      </c>
      <c r="AC779" s="1" t="str">
        <f>IF(INDEX('CAMD Facility Data 2023'!$AE$2:$AG$10000,MATCH(Z779,'CAMD Facility Data 2023'!$AE$2:$AE$10000,0),3)&gt;0,INDEX('CAMD Facility Data 2023'!$AE$2:$AG$10000,MATCH(Z779,'CAMD Facility Data 2023'!$AE$2:$AE$10000,0),3),"")</f>
        <v/>
      </c>
      <c r="AD779" s="20">
        <f t="shared" si="37"/>
        <v>0.68274337807837526</v>
      </c>
      <c r="AE779" s="25">
        <f t="shared" si="38"/>
        <v>5.9888792304454274E-3</v>
      </c>
    </row>
    <row r="780" spans="1:31" x14ac:dyDescent="0.2">
      <c r="A780" s="1" t="s">
        <v>2089</v>
      </c>
      <c r="B780" s="1" t="s">
        <v>2097</v>
      </c>
      <c r="C780" s="1">
        <v>2490</v>
      </c>
      <c r="D780" s="1">
        <v>20</v>
      </c>
      <c r="E780" s="1" t="s">
        <v>2098</v>
      </c>
      <c r="F780" s="1">
        <v>2023</v>
      </c>
      <c r="G780" s="5">
        <v>6438</v>
      </c>
      <c r="H780" s="5">
        <v>6415.99</v>
      </c>
      <c r="I780" s="5">
        <v>869132.14</v>
      </c>
      <c r="K780" s="5">
        <v>2.7189999999999999</v>
      </c>
      <c r="L780" s="5">
        <v>1E-3</v>
      </c>
      <c r="M780" s="5">
        <v>538586.83600000001</v>
      </c>
      <c r="N780" s="6">
        <v>5.8999999999999997E-2</v>
      </c>
      <c r="O780" s="5">
        <v>300.99400000000003</v>
      </c>
      <c r="P780" s="6">
        <v>6.0999999999999999E-2</v>
      </c>
      <c r="Q780" s="5">
        <v>9062772.443</v>
      </c>
      <c r="R780" s="1" t="s">
        <v>44</v>
      </c>
      <c r="T780" s="1" t="s">
        <v>89</v>
      </c>
      <c r="Y780" s="1" t="s">
        <v>1515</v>
      </c>
      <c r="Z780" s="1" t="str">
        <f t="shared" si="36"/>
        <v>2490 20</v>
      </c>
      <c r="AA780" s="3">
        <f>IF(INDEX('CAMD Facility Data 2023'!$AA$2:$AE$10000,MATCH(Z780,'CAMD Facility Data 2023'!$AE$2:$AE$10000,0),1)&gt;0,INDEX('CAMD Facility Data 2023'!$AA$2:$AE$10000,MATCH(Z780,'CAMD Facility Data 2023'!$AE$2:$AE$10000,0),1),"")</f>
        <v>21763</v>
      </c>
      <c r="AB780" s="5">
        <f>IF(INDEX('CAMD Facility Data 2023'!$AC$2:$AE$10000,MATCH(Z780,'CAMD Facility Data 2023'!$AE$2:$AE$10000,0),1)&gt;0,INDEX('CAMD Facility Data 2023'!$AC$2:$AE$10000,MATCH(Z780,'CAMD Facility Data 2023'!$AE$2:$AE$10000,0),1),"")</f>
        <v>3717</v>
      </c>
      <c r="AC780" s="1" t="str">
        <f>IF(INDEX('CAMD Facility Data 2023'!$AE$2:$AG$10000,MATCH(Z780,'CAMD Facility Data 2023'!$AE$2:$AE$10000,0),3)&gt;0,INDEX('CAMD Facility Data 2023'!$AE$2:$AG$10000,MATCH(Z780,'CAMD Facility Data 2023'!$AE$2:$AE$10000,0),3),"")</f>
        <v/>
      </c>
      <c r="AD780" s="20">
        <f t="shared" si="37"/>
        <v>0.69263115732896496</v>
      </c>
      <c r="AE780" s="25">
        <f t="shared" si="38"/>
        <v>0.27833281255566489</v>
      </c>
    </row>
    <row r="781" spans="1:31" x14ac:dyDescent="0.2">
      <c r="A781" s="1" t="s">
        <v>2089</v>
      </c>
      <c r="B781" s="1" t="s">
        <v>2097</v>
      </c>
      <c r="C781" s="1">
        <v>2490</v>
      </c>
      <c r="D781" s="1">
        <v>30</v>
      </c>
      <c r="E781" s="1" t="s">
        <v>2098</v>
      </c>
      <c r="F781" s="1">
        <v>2023</v>
      </c>
      <c r="G781" s="5">
        <v>1385</v>
      </c>
      <c r="H781" s="5">
        <v>1368.2</v>
      </c>
      <c r="I781" s="5">
        <v>248256.59</v>
      </c>
      <c r="K781" s="5">
        <v>0.80700000000000005</v>
      </c>
      <c r="L781" s="5">
        <v>1E-3</v>
      </c>
      <c r="M781" s="5">
        <v>159931.1</v>
      </c>
      <c r="N781" s="6">
        <v>5.91E-2</v>
      </c>
      <c r="O781" s="5">
        <v>107.328</v>
      </c>
      <c r="P781" s="6">
        <v>7.0999999999999994E-2</v>
      </c>
      <c r="Q781" s="5">
        <v>2691165.023</v>
      </c>
      <c r="R781" s="1" t="s">
        <v>44</v>
      </c>
      <c r="T781" s="1" t="s">
        <v>43</v>
      </c>
      <c r="Y781" s="1" t="s">
        <v>1515</v>
      </c>
      <c r="Z781" s="1" t="str">
        <f t="shared" si="36"/>
        <v>2490 30</v>
      </c>
      <c r="AA781" s="3">
        <f>IF(INDEX('CAMD Facility Data 2023'!$AA$2:$AE$10000,MATCH(Z781,'CAMD Facility Data 2023'!$AE$2:$AE$10000,0),1)&gt;0,INDEX('CAMD Facility Data 2023'!$AA$2:$AE$10000,MATCH(Z781,'CAMD Facility Data 2023'!$AE$2:$AE$10000,0),1),"")</f>
        <v>25355</v>
      </c>
      <c r="AB781" s="5">
        <f>IF(INDEX('CAMD Facility Data 2023'!$AC$2:$AE$10000,MATCH(Z781,'CAMD Facility Data 2023'!$AE$2:$AE$10000,0),1)&gt;0,INDEX('CAMD Facility Data 2023'!$AC$2:$AE$10000,MATCH(Z781,'CAMD Facility Data 2023'!$AE$2:$AE$10000,0),1),"")</f>
        <v>5502</v>
      </c>
      <c r="AC781" s="1" t="str">
        <f>IF(INDEX('CAMD Facility Data 2023'!$AE$2:$AG$10000,MATCH(Z781,'CAMD Facility Data 2023'!$AE$2:$AE$10000,0),3)&gt;0,INDEX('CAMD Facility Data 2023'!$AE$2:$AG$10000,MATCH(Z781,'CAMD Facility Data 2023'!$AE$2:$AE$10000,0),3),"")</f>
        <v/>
      </c>
      <c r="AD781" s="20">
        <f t="shared" si="37"/>
        <v>0.86465378421575845</v>
      </c>
      <c r="AE781" s="25">
        <f t="shared" si="38"/>
        <v>5.5836172130848225E-2</v>
      </c>
    </row>
    <row r="782" spans="1:31" x14ac:dyDescent="0.2">
      <c r="A782" s="1" t="s">
        <v>2089</v>
      </c>
      <c r="B782" s="1" t="s">
        <v>2097</v>
      </c>
      <c r="C782" s="1">
        <v>2490</v>
      </c>
      <c r="D782" s="1" t="s">
        <v>2104</v>
      </c>
      <c r="F782" s="1">
        <v>2023</v>
      </c>
      <c r="G782" s="5">
        <v>83</v>
      </c>
      <c r="H782" s="5">
        <v>59.39</v>
      </c>
      <c r="I782" s="5">
        <v>619.34</v>
      </c>
      <c r="M782" s="5">
        <v>825.4</v>
      </c>
      <c r="N782" s="6">
        <v>5.9200000000000003E-2</v>
      </c>
      <c r="O782" s="5">
        <v>2.2690000000000001</v>
      </c>
      <c r="P782" s="6">
        <v>0.32500000000000001</v>
      </c>
      <c r="Q782" s="5">
        <v>13957.7</v>
      </c>
      <c r="R782" s="1" t="s">
        <v>44</v>
      </c>
      <c r="T782" s="1" t="s">
        <v>93</v>
      </c>
      <c r="Y782" s="1" t="s">
        <v>617</v>
      </c>
      <c r="Z782" s="1" t="str">
        <f t="shared" si="36"/>
        <v>2490 CT0001</v>
      </c>
      <c r="AA782" s="3">
        <f>IF(INDEX('CAMD Facility Data 2023'!$AA$2:$AE$10000,MATCH(Z782,'CAMD Facility Data 2023'!$AE$2:$AE$10000,0),1)&gt;0,INDEX('CAMD Facility Data 2023'!$AA$2:$AE$10000,MATCH(Z782,'CAMD Facility Data 2023'!$AE$2:$AE$10000,0),1),"")</f>
        <v>25720</v>
      </c>
      <c r="AB782" s="5">
        <f>IF(INDEX('CAMD Facility Data 2023'!$AC$2:$AE$10000,MATCH(Z782,'CAMD Facility Data 2023'!$AE$2:$AE$10000,0),1)&gt;0,INDEX('CAMD Facility Data 2023'!$AC$2:$AE$10000,MATCH(Z782,'CAMD Facility Data 2023'!$AE$2:$AE$10000,0),1),"")</f>
        <v>235</v>
      </c>
      <c r="AC782" s="1" t="str">
        <f>IF(INDEX('CAMD Facility Data 2023'!$AE$2:$AG$10000,MATCH(Z782,'CAMD Facility Data 2023'!$AE$2:$AE$10000,0),3)&gt;0,INDEX('CAMD Facility Data 2023'!$AE$2:$AG$10000,MATCH(Z782,'CAMD Facility Data 2023'!$AE$2:$AE$10000,0),3),"")</f>
        <v/>
      </c>
      <c r="AD782" s="20">
        <f t="shared" si="37"/>
        <v>7.3271547130816668</v>
      </c>
      <c r="AE782" s="25">
        <f t="shared" si="38"/>
        <v>6.7801904206742447E-3</v>
      </c>
    </row>
    <row r="783" spans="1:31" x14ac:dyDescent="0.2">
      <c r="A783" s="1" t="s">
        <v>2089</v>
      </c>
      <c r="B783" s="1" t="s">
        <v>2107</v>
      </c>
      <c r="C783" s="1">
        <v>2493</v>
      </c>
      <c r="D783" s="1">
        <v>1</v>
      </c>
      <c r="F783" s="1">
        <v>2023</v>
      </c>
      <c r="G783" s="5">
        <v>7373</v>
      </c>
      <c r="H783" s="5">
        <v>7356.25</v>
      </c>
      <c r="I783" s="5">
        <v>1087150</v>
      </c>
      <c r="K783" s="5">
        <v>3.556</v>
      </c>
      <c r="L783" s="5">
        <v>1E-3</v>
      </c>
      <c r="M783" s="5">
        <v>694026.85</v>
      </c>
      <c r="N783" s="6">
        <v>5.8999999999999997E-2</v>
      </c>
      <c r="O783" s="5">
        <v>40.265000000000001</v>
      </c>
      <c r="P783" s="6">
        <v>7.1000000000000004E-3</v>
      </c>
      <c r="Q783" s="5">
        <v>11676993</v>
      </c>
      <c r="R783" s="1" t="s">
        <v>44</v>
      </c>
      <c r="T783" s="1" t="s">
        <v>71</v>
      </c>
      <c r="V783" s="1" t="s">
        <v>2111</v>
      </c>
      <c r="Y783" s="1" t="s">
        <v>1515</v>
      </c>
      <c r="Z783" s="1" t="str">
        <f t="shared" si="36"/>
        <v>2493 1</v>
      </c>
      <c r="AA783" s="3">
        <f>IF(INDEX('CAMD Facility Data 2023'!$AA$2:$AE$10000,MATCH(Z783,'CAMD Facility Data 2023'!$AE$2:$AE$10000,0),1)&gt;0,INDEX('CAMD Facility Data 2023'!$AA$2:$AE$10000,MATCH(Z783,'CAMD Facility Data 2023'!$AE$2:$AE$10000,0),1),"")</f>
        <v>38419</v>
      </c>
      <c r="AB783" s="5">
        <f>IF(INDEX('CAMD Facility Data 2023'!$AC$2:$AE$10000,MATCH(Z783,'CAMD Facility Data 2023'!$AE$2:$AE$10000,0),1)&gt;0,INDEX('CAMD Facility Data 2023'!$AC$2:$AE$10000,MATCH(Z783,'CAMD Facility Data 2023'!$AE$2:$AE$10000,0),1),"")</f>
        <v>3165</v>
      </c>
      <c r="AC783" s="1" t="str">
        <f>IF(INDEX('CAMD Facility Data 2023'!$AE$2:$AG$10000,MATCH(Z783,'CAMD Facility Data 2023'!$AE$2:$AE$10000,0),3)&gt;0,INDEX('CAMD Facility Data 2023'!$AE$2:$AG$10000,MATCH(Z783,'CAMD Facility Data 2023'!$AE$2:$AE$10000,0),3),"")</f>
        <v>Y</v>
      </c>
      <c r="AD783" s="20">
        <f t="shared" si="37"/>
        <v>7.4074414754173756E-2</v>
      </c>
      <c r="AE783" s="25">
        <f t="shared" si="38"/>
        <v>0.42116589841805707</v>
      </c>
    </row>
    <row r="784" spans="1:31" x14ac:dyDescent="0.2">
      <c r="A784" s="1" t="s">
        <v>2089</v>
      </c>
      <c r="B784" s="1" t="s">
        <v>2107</v>
      </c>
      <c r="C784" s="1">
        <v>2493</v>
      </c>
      <c r="D784" s="1">
        <v>2</v>
      </c>
      <c r="F784" s="1">
        <v>2023</v>
      </c>
      <c r="G784" s="5">
        <v>7033</v>
      </c>
      <c r="H784" s="5">
        <v>7023.25</v>
      </c>
      <c r="I784" s="5">
        <v>1045461</v>
      </c>
      <c r="K784" s="5">
        <v>3.3490000000000002</v>
      </c>
      <c r="L784" s="5">
        <v>1E-3</v>
      </c>
      <c r="M784" s="5">
        <v>655700.44999999995</v>
      </c>
      <c r="N784" s="6">
        <v>5.8999999999999997E-2</v>
      </c>
      <c r="O784" s="5">
        <v>40.040999999999997</v>
      </c>
      <c r="P784" s="6">
        <v>7.9000000000000008E-3</v>
      </c>
      <c r="Q784" s="5">
        <v>11032476.324999999</v>
      </c>
      <c r="R784" s="1" t="s">
        <v>44</v>
      </c>
      <c r="T784" s="1" t="s">
        <v>71</v>
      </c>
      <c r="V784" s="1" t="s">
        <v>2111</v>
      </c>
      <c r="Y784" s="1" t="s">
        <v>1515</v>
      </c>
      <c r="Z784" s="1" t="str">
        <f t="shared" si="36"/>
        <v>2493 2</v>
      </c>
      <c r="AA784" s="3">
        <f>IF(INDEX('CAMD Facility Data 2023'!$AA$2:$AE$10000,MATCH(Z784,'CAMD Facility Data 2023'!$AE$2:$AE$10000,0),1)&gt;0,INDEX('CAMD Facility Data 2023'!$AA$2:$AE$10000,MATCH(Z784,'CAMD Facility Data 2023'!$AE$2:$AE$10000,0),1),"")</f>
        <v>38424</v>
      </c>
      <c r="AB784" s="5">
        <f>IF(INDEX('CAMD Facility Data 2023'!$AC$2:$AE$10000,MATCH(Z784,'CAMD Facility Data 2023'!$AE$2:$AE$10000,0),1)&gt;0,INDEX('CAMD Facility Data 2023'!$AC$2:$AE$10000,MATCH(Z784,'CAMD Facility Data 2023'!$AE$2:$AE$10000,0),1),"")</f>
        <v>3165</v>
      </c>
      <c r="AC784" s="1" t="str">
        <f>IF(INDEX('CAMD Facility Data 2023'!$AE$2:$AG$10000,MATCH(Z784,'CAMD Facility Data 2023'!$AE$2:$AE$10000,0),3)&gt;0,INDEX('CAMD Facility Data 2023'!$AE$2:$AG$10000,MATCH(Z784,'CAMD Facility Data 2023'!$AE$2:$AE$10000,0),3),"")</f>
        <v>Y</v>
      </c>
      <c r="AD784" s="20">
        <f t="shared" si="37"/>
        <v>7.6599700993150388E-2</v>
      </c>
      <c r="AE784" s="25">
        <f t="shared" si="38"/>
        <v>0.39791946464252992</v>
      </c>
    </row>
    <row r="785" spans="1:31" x14ac:dyDescent="0.2">
      <c r="A785" s="1" t="s">
        <v>2089</v>
      </c>
      <c r="B785" s="1" t="s">
        <v>2107</v>
      </c>
      <c r="C785" s="1">
        <v>2493</v>
      </c>
      <c r="D785" s="1">
        <v>60</v>
      </c>
      <c r="F785" s="1">
        <v>2023</v>
      </c>
      <c r="G785" s="5">
        <v>5587</v>
      </c>
      <c r="H785" s="5">
        <v>5577.5</v>
      </c>
      <c r="J785" s="5">
        <v>4675727.75</v>
      </c>
      <c r="K785" s="5">
        <v>10.291</v>
      </c>
      <c r="L785" s="5">
        <v>3.3999999999999998E-3</v>
      </c>
      <c r="M785" s="5">
        <v>399722.72499999998</v>
      </c>
      <c r="N785" s="6">
        <v>5.9200000000000003E-2</v>
      </c>
      <c r="O785" s="5">
        <v>446.54300000000001</v>
      </c>
      <c r="P785" s="6">
        <v>0.12659999999999999</v>
      </c>
      <c r="Q785" s="5">
        <v>6706140.25</v>
      </c>
      <c r="R785" s="1" t="s">
        <v>44</v>
      </c>
      <c r="S785" s="1" t="s">
        <v>173</v>
      </c>
      <c r="T785" s="1" t="s">
        <v>89</v>
      </c>
      <c r="Y785" s="1" t="s">
        <v>682</v>
      </c>
      <c r="Z785" s="1" t="str">
        <f t="shared" si="36"/>
        <v>2493 60</v>
      </c>
      <c r="AA785" s="3">
        <f>IF(INDEX('CAMD Facility Data 2023'!$AA$2:$AE$10000,MATCH(Z785,'CAMD Facility Data 2023'!$AE$2:$AE$10000,0),1)&gt;0,INDEX('CAMD Facility Data 2023'!$AA$2:$AE$10000,MATCH(Z785,'CAMD Facility Data 2023'!$AE$2:$AE$10000,0),1),"")</f>
        <v>18872</v>
      </c>
      <c r="AB785" s="5">
        <f>IF(INDEX('CAMD Facility Data 2023'!$AC$2:$AE$10000,MATCH(Z785,'CAMD Facility Data 2023'!$AE$2:$AE$10000,0),1)&gt;0,INDEX('CAMD Facility Data 2023'!$AC$2:$AE$10000,MATCH(Z785,'CAMD Facility Data 2023'!$AE$2:$AE$10000,0),1),"")</f>
        <v>1930</v>
      </c>
      <c r="AC785" s="1" t="str">
        <f>IF(INDEX('CAMD Facility Data 2023'!$AE$2:$AG$10000,MATCH(Z785,'CAMD Facility Data 2023'!$AE$2:$AE$10000,0),3)&gt;0,INDEX('CAMD Facility Data 2023'!$AE$2:$AG$10000,MATCH(Z785,'CAMD Facility Data 2023'!$AE$2:$AE$10000,0),3),"")</f>
        <v/>
      </c>
      <c r="AD785" s="20" t="str">
        <f t="shared" si="37"/>
        <v/>
      </c>
      <c r="AE785" s="25">
        <f t="shared" si="38"/>
        <v>0.39665343234674805</v>
      </c>
    </row>
    <row r="786" spans="1:31" x14ac:dyDescent="0.2">
      <c r="A786" s="1" t="s">
        <v>2089</v>
      </c>
      <c r="B786" s="1" t="s">
        <v>2107</v>
      </c>
      <c r="C786" s="1">
        <v>2493</v>
      </c>
      <c r="D786" s="1">
        <v>70</v>
      </c>
      <c r="F786" s="1">
        <v>2023</v>
      </c>
      <c r="G786" s="5">
        <v>5609</v>
      </c>
      <c r="H786" s="5">
        <v>5604.25</v>
      </c>
      <c r="J786" s="5">
        <v>4745934</v>
      </c>
      <c r="K786" s="5">
        <v>11.538</v>
      </c>
      <c r="L786" s="5">
        <v>3.8999999999999998E-3</v>
      </c>
      <c r="M786" s="5">
        <v>412754.27500000002</v>
      </c>
      <c r="N786" s="6">
        <v>5.9200000000000003E-2</v>
      </c>
      <c r="O786" s="5">
        <v>399.17700000000002</v>
      </c>
      <c r="P786" s="6">
        <v>0.1129</v>
      </c>
      <c r="Q786" s="5">
        <v>6922906.3250000002</v>
      </c>
      <c r="R786" s="1" t="s">
        <v>44</v>
      </c>
      <c r="S786" s="1" t="s">
        <v>173</v>
      </c>
      <c r="T786" s="1" t="s">
        <v>89</v>
      </c>
      <c r="Y786" s="1" t="s">
        <v>682</v>
      </c>
      <c r="Z786" s="1" t="str">
        <f t="shared" si="36"/>
        <v>2493 70</v>
      </c>
      <c r="AA786" s="3">
        <f>IF(INDEX('CAMD Facility Data 2023'!$AA$2:$AE$10000,MATCH(Z786,'CAMD Facility Data 2023'!$AE$2:$AE$10000,0),1)&gt;0,INDEX('CAMD Facility Data 2023'!$AA$2:$AE$10000,MATCH(Z786,'CAMD Facility Data 2023'!$AE$2:$AE$10000,0),1),"")</f>
        <v>20090</v>
      </c>
      <c r="AB786" s="5">
        <f>IF(INDEX('CAMD Facility Data 2023'!$AC$2:$AE$10000,MATCH(Z786,'CAMD Facility Data 2023'!$AE$2:$AE$10000,0),1)&gt;0,INDEX('CAMD Facility Data 2023'!$AC$2:$AE$10000,MATCH(Z786,'CAMD Facility Data 2023'!$AE$2:$AE$10000,0),1),"")</f>
        <v>1982</v>
      </c>
      <c r="AC786" s="1" t="str">
        <f>IF(INDEX('CAMD Facility Data 2023'!$AE$2:$AG$10000,MATCH(Z786,'CAMD Facility Data 2023'!$AE$2:$AE$10000,0),3)&gt;0,INDEX('CAMD Facility Data 2023'!$AE$2:$AG$10000,MATCH(Z786,'CAMD Facility Data 2023'!$AE$2:$AE$10000,0),3),"")</f>
        <v/>
      </c>
      <c r="AD786" s="20" t="str">
        <f t="shared" si="37"/>
        <v/>
      </c>
      <c r="AE786" s="25">
        <f t="shared" si="38"/>
        <v>0.39873163983845478</v>
      </c>
    </row>
    <row r="787" spans="1:31" x14ac:dyDescent="0.2">
      <c r="A787" s="1" t="s">
        <v>2089</v>
      </c>
      <c r="B787" s="1" t="s">
        <v>2115</v>
      </c>
      <c r="C787" s="1">
        <v>2494</v>
      </c>
      <c r="D787" s="1" t="s">
        <v>2116</v>
      </c>
      <c r="E787" s="1" t="s">
        <v>2117</v>
      </c>
      <c r="F787" s="1">
        <v>2023</v>
      </c>
      <c r="G787" s="5">
        <v>0</v>
      </c>
      <c r="H787" s="5">
        <v>0</v>
      </c>
      <c r="R787" s="1" t="s">
        <v>94</v>
      </c>
      <c r="T787" s="1" t="s">
        <v>93</v>
      </c>
      <c r="Y787" s="1" t="s">
        <v>617</v>
      </c>
      <c r="Z787" s="1" t="str">
        <f t="shared" si="36"/>
        <v>2494 CT01-1</v>
      </c>
      <c r="AA787" s="3">
        <f>IF(INDEX('CAMD Facility Data 2023'!$AA$2:$AE$10000,MATCH(Z787,'CAMD Facility Data 2023'!$AE$2:$AE$10000,0),1)&gt;0,INDEX('CAMD Facility Data 2023'!$AA$2:$AE$10000,MATCH(Z787,'CAMD Facility Data 2023'!$AE$2:$AE$10000,0),1),"")</f>
        <v>26085</v>
      </c>
      <c r="AB787" s="5">
        <f>IF(INDEX('CAMD Facility Data 2023'!$AC$2:$AE$10000,MATCH(Z787,'CAMD Facility Data 2023'!$AE$2:$AE$10000,0),1)&gt;0,INDEX('CAMD Facility Data 2023'!$AC$2:$AE$10000,MATCH(Z787,'CAMD Facility Data 2023'!$AE$2:$AE$10000,0),1),"")</f>
        <v>299</v>
      </c>
      <c r="AC787" s="1" t="str">
        <f>IF(INDEX('CAMD Facility Data 2023'!$AE$2:$AG$10000,MATCH(Z787,'CAMD Facility Data 2023'!$AE$2:$AE$10000,0),3)&gt;0,INDEX('CAMD Facility Data 2023'!$AE$2:$AG$10000,MATCH(Z787,'CAMD Facility Data 2023'!$AE$2:$AE$10000,0),3),"")</f>
        <v/>
      </c>
      <c r="AD787" s="20" t="str">
        <f t="shared" si="37"/>
        <v/>
      </c>
      <c r="AE787" s="25">
        <f t="shared" si="38"/>
        <v>0</v>
      </c>
    </row>
    <row r="788" spans="1:31" x14ac:dyDescent="0.2">
      <c r="A788" s="1" t="s">
        <v>2089</v>
      </c>
      <c r="B788" s="1" t="s">
        <v>2115</v>
      </c>
      <c r="C788" s="1">
        <v>2494</v>
      </c>
      <c r="D788" s="1" t="s">
        <v>2122</v>
      </c>
      <c r="E788" s="1" t="s">
        <v>2117</v>
      </c>
      <c r="F788" s="1">
        <v>2023</v>
      </c>
      <c r="G788" s="5">
        <v>0</v>
      </c>
      <c r="H788" s="5">
        <v>0</v>
      </c>
      <c r="R788" s="1" t="s">
        <v>94</v>
      </c>
      <c r="T788" s="1" t="s">
        <v>93</v>
      </c>
      <c r="Y788" s="1" t="s">
        <v>617</v>
      </c>
      <c r="Z788" s="1" t="str">
        <f t="shared" si="36"/>
        <v>2494 CT01-2</v>
      </c>
      <c r="AA788" s="3">
        <f>IF(INDEX('CAMD Facility Data 2023'!$AA$2:$AE$10000,MATCH(Z788,'CAMD Facility Data 2023'!$AE$2:$AE$10000,0),1)&gt;0,INDEX('CAMD Facility Data 2023'!$AA$2:$AE$10000,MATCH(Z788,'CAMD Facility Data 2023'!$AE$2:$AE$10000,0),1),"")</f>
        <v>26085</v>
      </c>
      <c r="AB788" s="5">
        <f>IF(INDEX('CAMD Facility Data 2023'!$AC$2:$AE$10000,MATCH(Z788,'CAMD Facility Data 2023'!$AE$2:$AE$10000,0),1)&gt;0,INDEX('CAMD Facility Data 2023'!$AC$2:$AE$10000,MATCH(Z788,'CAMD Facility Data 2023'!$AE$2:$AE$10000,0),1),"")</f>
        <v>299</v>
      </c>
      <c r="AC788" s="1" t="str">
        <f>IF(INDEX('CAMD Facility Data 2023'!$AE$2:$AG$10000,MATCH(Z788,'CAMD Facility Data 2023'!$AE$2:$AE$10000,0),3)&gt;0,INDEX('CAMD Facility Data 2023'!$AE$2:$AG$10000,MATCH(Z788,'CAMD Facility Data 2023'!$AE$2:$AE$10000,0),3),"")</f>
        <v/>
      </c>
      <c r="AD788" s="20" t="str">
        <f t="shared" si="37"/>
        <v/>
      </c>
      <c r="AE788" s="25">
        <f t="shared" si="38"/>
        <v>0</v>
      </c>
    </row>
    <row r="789" spans="1:31" x14ac:dyDescent="0.2">
      <c r="A789" s="1" t="s">
        <v>2089</v>
      </c>
      <c r="B789" s="1" t="s">
        <v>2115</v>
      </c>
      <c r="C789" s="1">
        <v>2494</v>
      </c>
      <c r="D789" s="1" t="s">
        <v>2124</v>
      </c>
      <c r="E789" s="1" t="s">
        <v>2117</v>
      </c>
      <c r="F789" s="1">
        <v>2023</v>
      </c>
      <c r="G789" s="5">
        <v>0</v>
      </c>
      <c r="H789" s="5">
        <v>0</v>
      </c>
      <c r="R789" s="1" t="s">
        <v>94</v>
      </c>
      <c r="T789" s="1" t="s">
        <v>93</v>
      </c>
      <c r="Y789" s="1" t="s">
        <v>617</v>
      </c>
      <c r="Z789" s="1" t="str">
        <f t="shared" si="36"/>
        <v>2494 CT01-3</v>
      </c>
      <c r="AA789" s="3">
        <f>IF(INDEX('CAMD Facility Data 2023'!$AA$2:$AE$10000,MATCH(Z789,'CAMD Facility Data 2023'!$AE$2:$AE$10000,0),1)&gt;0,INDEX('CAMD Facility Data 2023'!$AA$2:$AE$10000,MATCH(Z789,'CAMD Facility Data 2023'!$AE$2:$AE$10000,0),1),"")</f>
        <v>26085</v>
      </c>
      <c r="AB789" s="5">
        <f>IF(INDEX('CAMD Facility Data 2023'!$AC$2:$AE$10000,MATCH(Z789,'CAMD Facility Data 2023'!$AE$2:$AE$10000,0),1)&gt;0,INDEX('CAMD Facility Data 2023'!$AC$2:$AE$10000,MATCH(Z789,'CAMD Facility Data 2023'!$AE$2:$AE$10000,0),1),"")</f>
        <v>299</v>
      </c>
      <c r="AC789" s="1" t="str">
        <f>IF(INDEX('CAMD Facility Data 2023'!$AE$2:$AG$10000,MATCH(Z789,'CAMD Facility Data 2023'!$AE$2:$AE$10000,0),3)&gt;0,INDEX('CAMD Facility Data 2023'!$AE$2:$AG$10000,MATCH(Z789,'CAMD Facility Data 2023'!$AE$2:$AE$10000,0),3),"")</f>
        <v/>
      </c>
      <c r="AD789" s="20" t="str">
        <f t="shared" si="37"/>
        <v/>
      </c>
      <c r="AE789" s="25">
        <f t="shared" si="38"/>
        <v>0</v>
      </c>
    </row>
    <row r="790" spans="1:31" x14ac:dyDescent="0.2">
      <c r="A790" s="1" t="s">
        <v>2089</v>
      </c>
      <c r="B790" s="1" t="s">
        <v>2115</v>
      </c>
      <c r="C790" s="1">
        <v>2494</v>
      </c>
      <c r="D790" s="1" t="s">
        <v>2126</v>
      </c>
      <c r="E790" s="1" t="s">
        <v>2117</v>
      </c>
      <c r="F790" s="1">
        <v>2023</v>
      </c>
      <c r="G790" s="5">
        <v>0</v>
      </c>
      <c r="H790" s="5">
        <v>0</v>
      </c>
      <c r="R790" s="1" t="s">
        <v>94</v>
      </c>
      <c r="T790" s="1" t="s">
        <v>93</v>
      </c>
      <c r="Y790" s="1" t="s">
        <v>617</v>
      </c>
      <c r="Z790" s="1" t="str">
        <f t="shared" si="36"/>
        <v>2494 CT01-4</v>
      </c>
      <c r="AA790" s="3">
        <f>IF(INDEX('CAMD Facility Data 2023'!$AA$2:$AE$10000,MATCH(Z790,'CAMD Facility Data 2023'!$AE$2:$AE$10000,0),1)&gt;0,INDEX('CAMD Facility Data 2023'!$AA$2:$AE$10000,MATCH(Z790,'CAMD Facility Data 2023'!$AE$2:$AE$10000,0),1),"")</f>
        <v>26085</v>
      </c>
      <c r="AB790" s="5">
        <f>IF(INDEX('CAMD Facility Data 2023'!$AC$2:$AE$10000,MATCH(Z790,'CAMD Facility Data 2023'!$AE$2:$AE$10000,0),1)&gt;0,INDEX('CAMD Facility Data 2023'!$AC$2:$AE$10000,MATCH(Z790,'CAMD Facility Data 2023'!$AE$2:$AE$10000,0),1),"")</f>
        <v>299</v>
      </c>
      <c r="AC790" s="1" t="str">
        <f>IF(INDEX('CAMD Facility Data 2023'!$AE$2:$AG$10000,MATCH(Z790,'CAMD Facility Data 2023'!$AE$2:$AE$10000,0),3)&gt;0,INDEX('CAMD Facility Data 2023'!$AE$2:$AG$10000,MATCH(Z790,'CAMD Facility Data 2023'!$AE$2:$AE$10000,0),3),"")</f>
        <v/>
      </c>
      <c r="AD790" s="20" t="str">
        <f t="shared" si="37"/>
        <v/>
      </c>
      <c r="AE790" s="25">
        <f t="shared" si="38"/>
        <v>0</v>
      </c>
    </row>
    <row r="791" spans="1:31" x14ac:dyDescent="0.2">
      <c r="A791" s="1" t="s">
        <v>2089</v>
      </c>
      <c r="B791" s="1" t="s">
        <v>2115</v>
      </c>
      <c r="C791" s="1">
        <v>2494</v>
      </c>
      <c r="D791" s="1" t="s">
        <v>2128</v>
      </c>
      <c r="E791" s="1" t="s">
        <v>2117</v>
      </c>
      <c r="F791" s="1">
        <v>2023</v>
      </c>
      <c r="G791" s="5">
        <v>0</v>
      </c>
      <c r="H791" s="5">
        <v>0</v>
      </c>
      <c r="R791" s="1" t="s">
        <v>94</v>
      </c>
      <c r="T791" s="1" t="s">
        <v>93</v>
      </c>
      <c r="Y791" s="1" t="s">
        <v>617</v>
      </c>
      <c r="Z791" s="1" t="str">
        <f t="shared" si="36"/>
        <v>2494 CT01-5</v>
      </c>
      <c r="AA791" s="3">
        <f>IF(INDEX('CAMD Facility Data 2023'!$AA$2:$AE$10000,MATCH(Z791,'CAMD Facility Data 2023'!$AE$2:$AE$10000,0),1)&gt;0,INDEX('CAMD Facility Data 2023'!$AA$2:$AE$10000,MATCH(Z791,'CAMD Facility Data 2023'!$AE$2:$AE$10000,0),1),"")</f>
        <v>26085</v>
      </c>
      <c r="AB791" s="5">
        <f>IF(INDEX('CAMD Facility Data 2023'!$AC$2:$AE$10000,MATCH(Z791,'CAMD Facility Data 2023'!$AE$2:$AE$10000,0),1)&gt;0,INDEX('CAMD Facility Data 2023'!$AC$2:$AE$10000,MATCH(Z791,'CAMD Facility Data 2023'!$AE$2:$AE$10000,0),1),"")</f>
        <v>299</v>
      </c>
      <c r="AC791" s="1" t="str">
        <f>IF(INDEX('CAMD Facility Data 2023'!$AE$2:$AG$10000,MATCH(Z791,'CAMD Facility Data 2023'!$AE$2:$AE$10000,0),3)&gt;0,INDEX('CAMD Facility Data 2023'!$AE$2:$AG$10000,MATCH(Z791,'CAMD Facility Data 2023'!$AE$2:$AE$10000,0),3),"")</f>
        <v/>
      </c>
      <c r="AD791" s="20" t="str">
        <f t="shared" si="37"/>
        <v/>
      </c>
      <c r="AE791" s="25">
        <f t="shared" si="38"/>
        <v>0</v>
      </c>
    </row>
    <row r="792" spans="1:31" x14ac:dyDescent="0.2">
      <c r="A792" s="1" t="s">
        <v>2089</v>
      </c>
      <c r="B792" s="1" t="s">
        <v>2115</v>
      </c>
      <c r="C792" s="1">
        <v>2494</v>
      </c>
      <c r="D792" s="1" t="s">
        <v>2130</v>
      </c>
      <c r="E792" s="1" t="s">
        <v>2117</v>
      </c>
      <c r="F792" s="1">
        <v>2023</v>
      </c>
      <c r="G792" s="5">
        <v>0</v>
      </c>
      <c r="H792" s="5">
        <v>0</v>
      </c>
      <c r="R792" s="1" t="s">
        <v>94</v>
      </c>
      <c r="T792" s="1" t="s">
        <v>93</v>
      </c>
      <c r="Y792" s="1" t="s">
        <v>617</v>
      </c>
      <c r="Z792" s="1" t="str">
        <f t="shared" si="36"/>
        <v>2494 CT01-6</v>
      </c>
      <c r="AA792" s="3">
        <f>IF(INDEX('CAMD Facility Data 2023'!$AA$2:$AE$10000,MATCH(Z792,'CAMD Facility Data 2023'!$AE$2:$AE$10000,0),1)&gt;0,INDEX('CAMD Facility Data 2023'!$AA$2:$AE$10000,MATCH(Z792,'CAMD Facility Data 2023'!$AE$2:$AE$10000,0),1),"")</f>
        <v>26085</v>
      </c>
      <c r="AB792" s="5">
        <f>IF(INDEX('CAMD Facility Data 2023'!$AC$2:$AE$10000,MATCH(Z792,'CAMD Facility Data 2023'!$AE$2:$AE$10000,0),1)&gt;0,INDEX('CAMD Facility Data 2023'!$AC$2:$AE$10000,MATCH(Z792,'CAMD Facility Data 2023'!$AE$2:$AE$10000,0),1),"")</f>
        <v>299</v>
      </c>
      <c r="AC792" s="1" t="str">
        <f>IF(INDEX('CAMD Facility Data 2023'!$AE$2:$AG$10000,MATCH(Z792,'CAMD Facility Data 2023'!$AE$2:$AE$10000,0),3)&gt;0,INDEX('CAMD Facility Data 2023'!$AE$2:$AG$10000,MATCH(Z792,'CAMD Facility Data 2023'!$AE$2:$AE$10000,0),3),"")</f>
        <v/>
      </c>
      <c r="AD792" s="20" t="str">
        <f t="shared" si="37"/>
        <v/>
      </c>
      <c r="AE792" s="25">
        <f t="shared" si="38"/>
        <v>0</v>
      </c>
    </row>
    <row r="793" spans="1:31" x14ac:dyDescent="0.2">
      <c r="A793" s="1" t="s">
        <v>2089</v>
      </c>
      <c r="B793" s="1" t="s">
        <v>2115</v>
      </c>
      <c r="C793" s="1">
        <v>2494</v>
      </c>
      <c r="D793" s="1" t="s">
        <v>2132</v>
      </c>
      <c r="E793" s="1" t="s">
        <v>2117</v>
      </c>
      <c r="F793" s="1">
        <v>2023</v>
      </c>
      <c r="G793" s="5">
        <v>0</v>
      </c>
      <c r="H793" s="5">
        <v>0</v>
      </c>
      <c r="R793" s="1" t="s">
        <v>94</v>
      </c>
      <c r="T793" s="1" t="s">
        <v>93</v>
      </c>
      <c r="Y793" s="1" t="s">
        <v>617</v>
      </c>
      <c r="Z793" s="1" t="str">
        <f t="shared" si="36"/>
        <v>2494 CT01-7</v>
      </c>
      <c r="AA793" s="3">
        <f>IF(INDEX('CAMD Facility Data 2023'!$AA$2:$AE$10000,MATCH(Z793,'CAMD Facility Data 2023'!$AE$2:$AE$10000,0),1)&gt;0,INDEX('CAMD Facility Data 2023'!$AA$2:$AE$10000,MATCH(Z793,'CAMD Facility Data 2023'!$AE$2:$AE$10000,0),1),"")</f>
        <v>26085</v>
      </c>
      <c r="AB793" s="5">
        <f>IF(INDEX('CAMD Facility Data 2023'!$AC$2:$AE$10000,MATCH(Z793,'CAMD Facility Data 2023'!$AE$2:$AE$10000,0),1)&gt;0,INDEX('CAMD Facility Data 2023'!$AC$2:$AE$10000,MATCH(Z793,'CAMD Facility Data 2023'!$AE$2:$AE$10000,0),1),"")</f>
        <v>299</v>
      </c>
      <c r="AC793" s="1" t="str">
        <f>IF(INDEX('CAMD Facility Data 2023'!$AE$2:$AG$10000,MATCH(Z793,'CAMD Facility Data 2023'!$AE$2:$AE$10000,0),3)&gt;0,INDEX('CAMD Facility Data 2023'!$AE$2:$AG$10000,MATCH(Z793,'CAMD Facility Data 2023'!$AE$2:$AE$10000,0),3),"")</f>
        <v/>
      </c>
      <c r="AD793" s="20" t="str">
        <f t="shared" si="37"/>
        <v/>
      </c>
      <c r="AE793" s="25">
        <f t="shared" si="38"/>
        <v>0</v>
      </c>
    </row>
    <row r="794" spans="1:31" x14ac:dyDescent="0.2">
      <c r="A794" s="1" t="s">
        <v>2089</v>
      </c>
      <c r="B794" s="1" t="s">
        <v>2115</v>
      </c>
      <c r="C794" s="1">
        <v>2494</v>
      </c>
      <c r="D794" s="1" t="s">
        <v>2134</v>
      </c>
      <c r="E794" s="1" t="s">
        <v>2117</v>
      </c>
      <c r="F794" s="1">
        <v>2023</v>
      </c>
      <c r="G794" s="5">
        <v>0</v>
      </c>
      <c r="H794" s="5">
        <v>0</v>
      </c>
      <c r="R794" s="1" t="s">
        <v>94</v>
      </c>
      <c r="T794" s="1" t="s">
        <v>93</v>
      </c>
      <c r="Y794" s="1" t="s">
        <v>617</v>
      </c>
      <c r="Z794" s="1" t="str">
        <f t="shared" si="36"/>
        <v>2494 CT01-8</v>
      </c>
      <c r="AA794" s="3">
        <f>IF(INDEX('CAMD Facility Data 2023'!$AA$2:$AE$10000,MATCH(Z794,'CAMD Facility Data 2023'!$AE$2:$AE$10000,0),1)&gt;0,INDEX('CAMD Facility Data 2023'!$AA$2:$AE$10000,MATCH(Z794,'CAMD Facility Data 2023'!$AE$2:$AE$10000,0),1),"")</f>
        <v>26085</v>
      </c>
      <c r="AB794" s="5">
        <f>IF(INDEX('CAMD Facility Data 2023'!$AC$2:$AE$10000,MATCH(Z794,'CAMD Facility Data 2023'!$AE$2:$AE$10000,0),1)&gt;0,INDEX('CAMD Facility Data 2023'!$AC$2:$AE$10000,MATCH(Z794,'CAMD Facility Data 2023'!$AE$2:$AE$10000,0),1),"")</f>
        <v>299</v>
      </c>
      <c r="AC794" s="1" t="str">
        <f>IF(INDEX('CAMD Facility Data 2023'!$AE$2:$AG$10000,MATCH(Z794,'CAMD Facility Data 2023'!$AE$2:$AE$10000,0),3)&gt;0,INDEX('CAMD Facility Data 2023'!$AE$2:$AG$10000,MATCH(Z794,'CAMD Facility Data 2023'!$AE$2:$AE$10000,0),3),"")</f>
        <v/>
      </c>
      <c r="AD794" s="20" t="str">
        <f t="shared" si="37"/>
        <v/>
      </c>
      <c r="AE794" s="25">
        <f t="shared" si="38"/>
        <v>0</v>
      </c>
    </row>
    <row r="795" spans="1:31" x14ac:dyDescent="0.2">
      <c r="A795" s="1" t="s">
        <v>2089</v>
      </c>
      <c r="B795" s="1" t="s">
        <v>2115</v>
      </c>
      <c r="C795" s="1">
        <v>2494</v>
      </c>
      <c r="D795" s="1" t="s">
        <v>2136</v>
      </c>
      <c r="E795" s="1" t="s">
        <v>2117</v>
      </c>
      <c r="F795" s="1">
        <v>2023</v>
      </c>
      <c r="G795" s="5">
        <v>35</v>
      </c>
      <c r="H795" s="5">
        <v>26.1</v>
      </c>
      <c r="I795" s="5">
        <v>392.1</v>
      </c>
      <c r="M795" s="5">
        <v>398.6</v>
      </c>
      <c r="N795" s="6">
        <v>5.8999999999999997E-2</v>
      </c>
      <c r="O795" s="5">
        <v>1.0389999999999999</v>
      </c>
      <c r="P795" s="6">
        <v>0.30769999999999997</v>
      </c>
      <c r="Q795" s="5">
        <v>6765.7</v>
      </c>
      <c r="R795" s="1" t="s">
        <v>94</v>
      </c>
      <c r="S795" s="1" t="s">
        <v>44</v>
      </c>
      <c r="T795" s="1" t="s">
        <v>93</v>
      </c>
      <c r="Y795" s="1" t="s">
        <v>617</v>
      </c>
      <c r="Z795" s="1" t="str">
        <f t="shared" si="36"/>
        <v>2494 CT02-1</v>
      </c>
      <c r="AA795" s="3">
        <f>IF(INDEX('CAMD Facility Data 2023'!$AA$2:$AE$10000,MATCH(Z795,'CAMD Facility Data 2023'!$AE$2:$AE$10000,0),1)&gt;0,INDEX('CAMD Facility Data 2023'!$AA$2:$AE$10000,MATCH(Z795,'CAMD Facility Data 2023'!$AE$2:$AE$10000,0),1),"")</f>
        <v>26085</v>
      </c>
      <c r="AB795" s="5">
        <f>IF(INDEX('CAMD Facility Data 2023'!$AC$2:$AE$10000,MATCH(Z795,'CAMD Facility Data 2023'!$AE$2:$AE$10000,0),1)&gt;0,INDEX('CAMD Facility Data 2023'!$AC$2:$AE$10000,MATCH(Z795,'CAMD Facility Data 2023'!$AE$2:$AE$10000,0),1),"")</f>
        <v>299</v>
      </c>
      <c r="AC795" s="1" t="str">
        <f>IF(INDEX('CAMD Facility Data 2023'!$AE$2:$AG$10000,MATCH(Z795,'CAMD Facility Data 2023'!$AE$2:$AE$10000,0),3)&gt;0,INDEX('CAMD Facility Data 2023'!$AE$2:$AG$10000,MATCH(Z795,'CAMD Facility Data 2023'!$AE$2:$AE$10000,0),3),"")</f>
        <v/>
      </c>
      <c r="AD795" s="20">
        <f t="shared" si="37"/>
        <v>5.2996684519255286</v>
      </c>
      <c r="AE795" s="25">
        <f t="shared" si="38"/>
        <v>2.5830775339411431E-3</v>
      </c>
    </row>
    <row r="796" spans="1:31" x14ac:dyDescent="0.2">
      <c r="A796" s="1" t="s">
        <v>2089</v>
      </c>
      <c r="B796" s="1" t="s">
        <v>2115</v>
      </c>
      <c r="C796" s="1">
        <v>2494</v>
      </c>
      <c r="D796" s="1" t="s">
        <v>2138</v>
      </c>
      <c r="E796" s="1" t="s">
        <v>2117</v>
      </c>
      <c r="F796" s="1">
        <v>2023</v>
      </c>
      <c r="G796" s="5">
        <v>61</v>
      </c>
      <c r="H796" s="5">
        <v>48.5</v>
      </c>
      <c r="I796" s="5">
        <v>719.9</v>
      </c>
      <c r="M796" s="5">
        <v>729.3</v>
      </c>
      <c r="N796" s="6">
        <v>5.8999999999999997E-2</v>
      </c>
      <c r="O796" s="5">
        <v>1.911</v>
      </c>
      <c r="P796" s="6">
        <v>0.309</v>
      </c>
      <c r="Q796" s="5">
        <v>12380.1</v>
      </c>
      <c r="R796" s="1" t="s">
        <v>94</v>
      </c>
      <c r="S796" s="1" t="s">
        <v>44</v>
      </c>
      <c r="T796" s="1" t="s">
        <v>93</v>
      </c>
      <c r="Y796" s="1" t="s">
        <v>617</v>
      </c>
      <c r="Z796" s="1" t="str">
        <f t="shared" si="36"/>
        <v>2494 CT02-2</v>
      </c>
      <c r="AA796" s="3">
        <f>IF(INDEX('CAMD Facility Data 2023'!$AA$2:$AE$10000,MATCH(Z796,'CAMD Facility Data 2023'!$AE$2:$AE$10000,0),1)&gt;0,INDEX('CAMD Facility Data 2023'!$AA$2:$AE$10000,MATCH(Z796,'CAMD Facility Data 2023'!$AE$2:$AE$10000,0),1),"")</f>
        <v>26085</v>
      </c>
      <c r="AB796" s="5">
        <f>IF(INDEX('CAMD Facility Data 2023'!$AC$2:$AE$10000,MATCH(Z796,'CAMD Facility Data 2023'!$AE$2:$AE$10000,0),1)&gt;0,INDEX('CAMD Facility Data 2023'!$AC$2:$AE$10000,MATCH(Z796,'CAMD Facility Data 2023'!$AE$2:$AE$10000,0),1),"")</f>
        <v>299</v>
      </c>
      <c r="AC796" s="1" t="str">
        <f>IF(INDEX('CAMD Facility Data 2023'!$AE$2:$AG$10000,MATCH(Z796,'CAMD Facility Data 2023'!$AE$2:$AE$10000,0),3)&gt;0,INDEX('CAMD Facility Data 2023'!$AE$2:$AG$10000,MATCH(Z796,'CAMD Facility Data 2023'!$AE$2:$AE$10000,0),3),"")</f>
        <v/>
      </c>
      <c r="AD796" s="20">
        <f t="shared" si="37"/>
        <v>5.3090707042644816</v>
      </c>
      <c r="AE796" s="25">
        <f t="shared" si="38"/>
        <v>4.7266000824666698E-3</v>
      </c>
    </row>
    <row r="797" spans="1:31" x14ac:dyDescent="0.2">
      <c r="A797" s="1" t="s">
        <v>2089</v>
      </c>
      <c r="B797" s="1" t="s">
        <v>2115</v>
      </c>
      <c r="C797" s="1">
        <v>2494</v>
      </c>
      <c r="D797" s="1" t="s">
        <v>2140</v>
      </c>
      <c r="E797" s="1" t="s">
        <v>2117</v>
      </c>
      <c r="F797" s="1">
        <v>2023</v>
      </c>
      <c r="G797" s="5">
        <v>60</v>
      </c>
      <c r="H797" s="5">
        <v>48.2</v>
      </c>
      <c r="I797" s="5">
        <v>808</v>
      </c>
      <c r="M797" s="5">
        <v>822.5</v>
      </c>
      <c r="N797" s="6">
        <v>5.8999999999999997E-2</v>
      </c>
      <c r="O797" s="5">
        <v>2.1339999999999999</v>
      </c>
      <c r="P797" s="6">
        <v>0.30630000000000002</v>
      </c>
      <c r="Q797" s="5">
        <v>13939.2</v>
      </c>
      <c r="R797" s="1" t="s">
        <v>94</v>
      </c>
      <c r="S797" s="1" t="s">
        <v>44</v>
      </c>
      <c r="T797" s="1" t="s">
        <v>93</v>
      </c>
      <c r="Y797" s="1" t="s">
        <v>617</v>
      </c>
      <c r="Z797" s="1" t="str">
        <f t="shared" si="36"/>
        <v>2494 CT02-3</v>
      </c>
      <c r="AA797" s="3">
        <f>IF(INDEX('CAMD Facility Data 2023'!$AA$2:$AE$10000,MATCH(Z797,'CAMD Facility Data 2023'!$AE$2:$AE$10000,0),1)&gt;0,INDEX('CAMD Facility Data 2023'!$AA$2:$AE$10000,MATCH(Z797,'CAMD Facility Data 2023'!$AE$2:$AE$10000,0),1),"")</f>
        <v>26085</v>
      </c>
      <c r="AB797" s="5">
        <f>IF(INDEX('CAMD Facility Data 2023'!$AC$2:$AE$10000,MATCH(Z797,'CAMD Facility Data 2023'!$AE$2:$AE$10000,0),1)&gt;0,INDEX('CAMD Facility Data 2023'!$AC$2:$AE$10000,MATCH(Z797,'CAMD Facility Data 2023'!$AE$2:$AE$10000,0),1),"")</f>
        <v>299</v>
      </c>
      <c r="AC797" s="1" t="str">
        <f>IF(INDEX('CAMD Facility Data 2023'!$AE$2:$AG$10000,MATCH(Z797,'CAMD Facility Data 2023'!$AE$2:$AE$10000,0),3)&gt;0,INDEX('CAMD Facility Data 2023'!$AE$2:$AG$10000,MATCH(Z797,'CAMD Facility Data 2023'!$AE$2:$AE$10000,0),3),"")</f>
        <v/>
      </c>
      <c r="AD797" s="20">
        <f t="shared" si="37"/>
        <v>5.282178217821782</v>
      </c>
      <c r="AE797" s="25">
        <f t="shared" si="38"/>
        <v>5.3218490859944113E-3</v>
      </c>
    </row>
    <row r="798" spans="1:31" x14ac:dyDescent="0.2">
      <c r="A798" s="1" t="s">
        <v>2089</v>
      </c>
      <c r="B798" s="1" t="s">
        <v>2115</v>
      </c>
      <c r="C798" s="1">
        <v>2494</v>
      </c>
      <c r="D798" s="1" t="s">
        <v>2142</v>
      </c>
      <c r="E798" s="1" t="s">
        <v>2117</v>
      </c>
      <c r="F798" s="1">
        <v>2023</v>
      </c>
      <c r="G798" s="5">
        <v>58</v>
      </c>
      <c r="H798" s="5">
        <v>44.3</v>
      </c>
      <c r="I798" s="5">
        <v>622</v>
      </c>
      <c r="M798" s="5">
        <v>633.20000000000005</v>
      </c>
      <c r="N798" s="6">
        <v>5.8999999999999997E-2</v>
      </c>
      <c r="O798" s="5">
        <v>1.645</v>
      </c>
      <c r="P798" s="6">
        <v>0.30620000000000003</v>
      </c>
      <c r="Q798" s="5">
        <v>10729.3</v>
      </c>
      <c r="R798" s="1" t="s">
        <v>94</v>
      </c>
      <c r="S798" s="1" t="s">
        <v>44</v>
      </c>
      <c r="T798" s="1" t="s">
        <v>93</v>
      </c>
      <c r="Y798" s="1" t="s">
        <v>617</v>
      </c>
      <c r="Z798" s="1" t="str">
        <f t="shared" si="36"/>
        <v>2494 CT02-4</v>
      </c>
      <c r="AA798" s="3">
        <f>IF(INDEX('CAMD Facility Data 2023'!$AA$2:$AE$10000,MATCH(Z798,'CAMD Facility Data 2023'!$AE$2:$AE$10000,0),1)&gt;0,INDEX('CAMD Facility Data 2023'!$AA$2:$AE$10000,MATCH(Z798,'CAMD Facility Data 2023'!$AE$2:$AE$10000,0),1),"")</f>
        <v>26085</v>
      </c>
      <c r="AB798" s="5">
        <f>IF(INDEX('CAMD Facility Data 2023'!$AC$2:$AE$10000,MATCH(Z798,'CAMD Facility Data 2023'!$AE$2:$AE$10000,0),1)&gt;0,INDEX('CAMD Facility Data 2023'!$AC$2:$AE$10000,MATCH(Z798,'CAMD Facility Data 2023'!$AE$2:$AE$10000,0),1),"")</f>
        <v>299</v>
      </c>
      <c r="AC798" s="1" t="str">
        <f>IF(INDEX('CAMD Facility Data 2023'!$AE$2:$AG$10000,MATCH(Z798,'CAMD Facility Data 2023'!$AE$2:$AE$10000,0),3)&gt;0,INDEX('CAMD Facility Data 2023'!$AE$2:$AG$10000,MATCH(Z798,'CAMD Facility Data 2023'!$AE$2:$AE$10000,0),3),"")</f>
        <v/>
      </c>
      <c r="AD798" s="20">
        <f t="shared" si="37"/>
        <v>5.289389067524116</v>
      </c>
      <c r="AE798" s="25">
        <f t="shared" si="38"/>
        <v>4.0963409233212688E-3</v>
      </c>
    </row>
    <row r="799" spans="1:31" x14ac:dyDescent="0.2">
      <c r="A799" s="1" t="s">
        <v>2089</v>
      </c>
      <c r="B799" s="1" t="s">
        <v>2115</v>
      </c>
      <c r="C799" s="1">
        <v>2494</v>
      </c>
      <c r="D799" s="1" t="s">
        <v>2144</v>
      </c>
      <c r="E799" s="1" t="s">
        <v>2117</v>
      </c>
      <c r="F799" s="1">
        <v>2023</v>
      </c>
      <c r="G799" s="5">
        <v>78</v>
      </c>
      <c r="H799" s="5">
        <v>60.8</v>
      </c>
      <c r="I799" s="5">
        <v>952.2</v>
      </c>
      <c r="M799" s="5">
        <v>969.9</v>
      </c>
      <c r="N799" s="6">
        <v>5.8999999999999997E-2</v>
      </c>
      <c r="O799" s="5">
        <v>2.536</v>
      </c>
      <c r="P799" s="6">
        <v>0.30859999999999999</v>
      </c>
      <c r="Q799" s="5">
        <v>16424.400000000001</v>
      </c>
      <c r="R799" s="1" t="s">
        <v>94</v>
      </c>
      <c r="S799" s="1" t="s">
        <v>44</v>
      </c>
      <c r="T799" s="1" t="s">
        <v>93</v>
      </c>
      <c r="Y799" s="1" t="s">
        <v>617</v>
      </c>
      <c r="Z799" s="1" t="str">
        <f t="shared" si="36"/>
        <v>2494 CT02-5</v>
      </c>
      <c r="AA799" s="3">
        <f>IF(INDEX('CAMD Facility Data 2023'!$AA$2:$AE$10000,MATCH(Z799,'CAMD Facility Data 2023'!$AE$2:$AE$10000,0),1)&gt;0,INDEX('CAMD Facility Data 2023'!$AA$2:$AE$10000,MATCH(Z799,'CAMD Facility Data 2023'!$AE$2:$AE$10000,0),1),"")</f>
        <v>26085</v>
      </c>
      <c r="AB799" s="5">
        <f>IF(INDEX('CAMD Facility Data 2023'!$AC$2:$AE$10000,MATCH(Z799,'CAMD Facility Data 2023'!$AE$2:$AE$10000,0),1)&gt;0,INDEX('CAMD Facility Data 2023'!$AC$2:$AE$10000,MATCH(Z799,'CAMD Facility Data 2023'!$AE$2:$AE$10000,0),1),"")</f>
        <v>299</v>
      </c>
      <c r="AC799" s="1" t="str">
        <f>IF(INDEX('CAMD Facility Data 2023'!$AE$2:$AG$10000,MATCH(Z799,'CAMD Facility Data 2023'!$AE$2:$AE$10000,0),3)&gt;0,INDEX('CAMD Facility Data 2023'!$AE$2:$AG$10000,MATCH(Z799,'CAMD Facility Data 2023'!$AE$2:$AE$10000,0),3),"")</f>
        <v/>
      </c>
      <c r="AD799" s="20">
        <f t="shared" si="37"/>
        <v>5.3266120562906947</v>
      </c>
      <c r="AE799" s="25">
        <f t="shared" si="38"/>
        <v>6.2706739359508872E-3</v>
      </c>
    </row>
    <row r="800" spans="1:31" x14ac:dyDescent="0.2">
      <c r="A800" s="1" t="s">
        <v>2089</v>
      </c>
      <c r="B800" s="1" t="s">
        <v>2115</v>
      </c>
      <c r="C800" s="1">
        <v>2494</v>
      </c>
      <c r="D800" s="1" t="s">
        <v>2146</v>
      </c>
      <c r="E800" s="1" t="s">
        <v>2117</v>
      </c>
      <c r="F800" s="1">
        <v>2023</v>
      </c>
      <c r="G800" s="5">
        <v>58</v>
      </c>
      <c r="H800" s="5">
        <v>46.4</v>
      </c>
      <c r="I800" s="5">
        <v>761.5</v>
      </c>
      <c r="M800" s="5">
        <v>775.7</v>
      </c>
      <c r="N800" s="6">
        <v>5.8999999999999997E-2</v>
      </c>
      <c r="O800" s="5">
        <v>2.0129999999999999</v>
      </c>
      <c r="P800" s="6">
        <v>0.30640000000000001</v>
      </c>
      <c r="Q800" s="5">
        <v>13142.4</v>
      </c>
      <c r="R800" s="1" t="s">
        <v>94</v>
      </c>
      <c r="S800" s="1" t="s">
        <v>44</v>
      </c>
      <c r="T800" s="1" t="s">
        <v>93</v>
      </c>
      <c r="Y800" s="1" t="s">
        <v>617</v>
      </c>
      <c r="Z800" s="1" t="str">
        <f t="shared" si="36"/>
        <v>2494 CT02-6</v>
      </c>
      <c r="AA800" s="3">
        <f>IF(INDEX('CAMD Facility Data 2023'!$AA$2:$AE$10000,MATCH(Z800,'CAMD Facility Data 2023'!$AE$2:$AE$10000,0),1)&gt;0,INDEX('CAMD Facility Data 2023'!$AA$2:$AE$10000,MATCH(Z800,'CAMD Facility Data 2023'!$AE$2:$AE$10000,0),1),"")</f>
        <v>26085</v>
      </c>
      <c r="AB800" s="5">
        <f>IF(INDEX('CAMD Facility Data 2023'!$AC$2:$AE$10000,MATCH(Z800,'CAMD Facility Data 2023'!$AE$2:$AE$10000,0),1)&gt;0,INDEX('CAMD Facility Data 2023'!$AC$2:$AE$10000,MATCH(Z800,'CAMD Facility Data 2023'!$AE$2:$AE$10000,0),1),"")</f>
        <v>299</v>
      </c>
      <c r="AC800" s="1" t="str">
        <f>IF(INDEX('CAMD Facility Data 2023'!$AE$2:$AG$10000,MATCH(Z800,'CAMD Facility Data 2023'!$AE$2:$AE$10000,0),3)&gt;0,INDEX('CAMD Facility Data 2023'!$AE$2:$AG$10000,MATCH(Z800,'CAMD Facility Data 2023'!$AE$2:$AE$10000,0),3),"")</f>
        <v/>
      </c>
      <c r="AD800" s="20">
        <f t="shared" si="37"/>
        <v>5.2869336835193694</v>
      </c>
      <c r="AE800" s="25">
        <f t="shared" si="38"/>
        <v>5.017638704356989E-3</v>
      </c>
    </row>
    <row r="801" spans="1:31" x14ac:dyDescent="0.2">
      <c r="A801" s="1" t="s">
        <v>2089</v>
      </c>
      <c r="B801" s="1" t="s">
        <v>2115</v>
      </c>
      <c r="C801" s="1">
        <v>2494</v>
      </c>
      <c r="D801" s="1" t="s">
        <v>2148</v>
      </c>
      <c r="E801" s="1" t="s">
        <v>2117</v>
      </c>
      <c r="F801" s="1">
        <v>2023</v>
      </c>
      <c r="G801" s="5">
        <v>83</v>
      </c>
      <c r="H801" s="5">
        <v>66.8</v>
      </c>
      <c r="I801" s="5">
        <v>1107.5</v>
      </c>
      <c r="M801" s="5">
        <v>1123.3</v>
      </c>
      <c r="N801" s="6">
        <v>5.8999999999999997E-2</v>
      </c>
      <c r="O801" s="5">
        <v>2.948</v>
      </c>
      <c r="P801" s="6">
        <v>0.31019999999999998</v>
      </c>
      <c r="Q801" s="5">
        <v>19024.400000000001</v>
      </c>
      <c r="R801" s="1" t="s">
        <v>94</v>
      </c>
      <c r="S801" s="1" t="s">
        <v>44</v>
      </c>
      <c r="T801" s="1" t="s">
        <v>93</v>
      </c>
      <c r="Y801" s="1" t="s">
        <v>617</v>
      </c>
      <c r="Z801" s="1" t="str">
        <f t="shared" si="36"/>
        <v>2494 CT02-7</v>
      </c>
      <c r="AA801" s="3">
        <f>IF(INDEX('CAMD Facility Data 2023'!$AA$2:$AE$10000,MATCH(Z801,'CAMD Facility Data 2023'!$AE$2:$AE$10000,0),1)&gt;0,INDEX('CAMD Facility Data 2023'!$AA$2:$AE$10000,MATCH(Z801,'CAMD Facility Data 2023'!$AE$2:$AE$10000,0),1),"")</f>
        <v>26085</v>
      </c>
      <c r="AB801" s="5">
        <f>IF(INDEX('CAMD Facility Data 2023'!$AC$2:$AE$10000,MATCH(Z801,'CAMD Facility Data 2023'!$AE$2:$AE$10000,0),1)&gt;0,INDEX('CAMD Facility Data 2023'!$AC$2:$AE$10000,MATCH(Z801,'CAMD Facility Data 2023'!$AE$2:$AE$10000,0),1),"")</f>
        <v>299</v>
      </c>
      <c r="AC801" s="1" t="str">
        <f>IF(INDEX('CAMD Facility Data 2023'!$AE$2:$AG$10000,MATCH(Z801,'CAMD Facility Data 2023'!$AE$2:$AE$10000,0),3)&gt;0,INDEX('CAMD Facility Data 2023'!$AE$2:$AG$10000,MATCH(Z801,'CAMD Facility Data 2023'!$AE$2:$AE$10000,0),3),"")</f>
        <v/>
      </c>
      <c r="AD801" s="20">
        <f t="shared" si="37"/>
        <v>5.3237020316027088</v>
      </c>
      <c r="AE801" s="25">
        <f t="shared" si="38"/>
        <v>7.2633282937035176E-3</v>
      </c>
    </row>
    <row r="802" spans="1:31" x14ac:dyDescent="0.2">
      <c r="A802" s="1" t="s">
        <v>2089</v>
      </c>
      <c r="B802" s="1" t="s">
        <v>2115</v>
      </c>
      <c r="C802" s="1">
        <v>2494</v>
      </c>
      <c r="D802" s="1" t="s">
        <v>2150</v>
      </c>
      <c r="E802" s="1" t="s">
        <v>2117</v>
      </c>
      <c r="F802" s="1">
        <v>2023</v>
      </c>
      <c r="G802" s="5">
        <v>75</v>
      </c>
      <c r="H802" s="5">
        <v>57</v>
      </c>
      <c r="I802" s="5">
        <v>814.3</v>
      </c>
      <c r="M802" s="5">
        <v>829.1</v>
      </c>
      <c r="N802" s="6">
        <v>5.8999999999999997E-2</v>
      </c>
      <c r="O802" s="5">
        <v>2.1829999999999998</v>
      </c>
      <c r="P802" s="6">
        <v>0.30940000000000001</v>
      </c>
      <c r="Q802" s="5">
        <v>14056.6</v>
      </c>
      <c r="R802" s="1" t="s">
        <v>94</v>
      </c>
      <c r="S802" s="1" t="s">
        <v>44</v>
      </c>
      <c r="T802" s="1" t="s">
        <v>93</v>
      </c>
      <c r="Y802" s="1" t="s">
        <v>617</v>
      </c>
      <c r="Z802" s="1" t="str">
        <f t="shared" si="36"/>
        <v>2494 CT02-8</v>
      </c>
      <c r="AA802" s="3">
        <f>IF(INDEX('CAMD Facility Data 2023'!$AA$2:$AE$10000,MATCH(Z802,'CAMD Facility Data 2023'!$AE$2:$AE$10000,0),1)&gt;0,INDEX('CAMD Facility Data 2023'!$AA$2:$AE$10000,MATCH(Z802,'CAMD Facility Data 2023'!$AE$2:$AE$10000,0),1),"")</f>
        <v>26085</v>
      </c>
      <c r="AB802" s="5">
        <f>IF(INDEX('CAMD Facility Data 2023'!$AC$2:$AE$10000,MATCH(Z802,'CAMD Facility Data 2023'!$AE$2:$AE$10000,0),1)&gt;0,INDEX('CAMD Facility Data 2023'!$AC$2:$AE$10000,MATCH(Z802,'CAMD Facility Data 2023'!$AE$2:$AE$10000,0),1),"")</f>
        <v>299</v>
      </c>
      <c r="AC802" s="1" t="str">
        <f>IF(INDEX('CAMD Facility Data 2023'!$AE$2:$AG$10000,MATCH(Z802,'CAMD Facility Data 2023'!$AE$2:$AE$10000,0),3)&gt;0,INDEX('CAMD Facility Data 2023'!$AE$2:$AG$10000,MATCH(Z802,'CAMD Facility Data 2023'!$AE$2:$AE$10000,0),3),"")</f>
        <v/>
      </c>
      <c r="AD802" s="20">
        <f t="shared" si="37"/>
        <v>5.361660321748742</v>
      </c>
      <c r="AE802" s="25">
        <f t="shared" si="38"/>
        <v>5.3666712481483178E-3</v>
      </c>
    </row>
    <row r="803" spans="1:31" x14ac:dyDescent="0.2">
      <c r="A803" s="1" t="s">
        <v>2089</v>
      </c>
      <c r="B803" s="1" t="s">
        <v>2115</v>
      </c>
      <c r="C803" s="1">
        <v>2494</v>
      </c>
      <c r="D803" s="1" t="s">
        <v>2152</v>
      </c>
      <c r="E803" s="1" t="s">
        <v>2117</v>
      </c>
      <c r="F803" s="1">
        <v>2023</v>
      </c>
      <c r="G803" s="5">
        <v>41</v>
      </c>
      <c r="H803" s="5">
        <v>28.7</v>
      </c>
      <c r="I803" s="5">
        <v>420.8</v>
      </c>
      <c r="M803" s="5">
        <v>421.7</v>
      </c>
      <c r="N803" s="6">
        <v>5.8799999999999998E-2</v>
      </c>
      <c r="O803" s="5">
        <v>1.109</v>
      </c>
      <c r="P803" s="6">
        <v>0.31030000000000002</v>
      </c>
      <c r="Q803" s="5">
        <v>7147.7</v>
      </c>
      <c r="R803" s="1" t="s">
        <v>94</v>
      </c>
      <c r="S803" s="1" t="s">
        <v>44</v>
      </c>
      <c r="T803" s="1" t="s">
        <v>93</v>
      </c>
      <c r="Y803" s="1" t="s">
        <v>617</v>
      </c>
      <c r="Z803" s="1" t="str">
        <f t="shared" si="36"/>
        <v>2494 CT03-1</v>
      </c>
      <c r="AA803" s="3">
        <f>IF(INDEX('CAMD Facility Data 2023'!$AA$2:$AE$10000,MATCH(Z803,'CAMD Facility Data 2023'!$AE$2:$AE$10000,0),1)&gt;0,INDEX('CAMD Facility Data 2023'!$AA$2:$AE$10000,MATCH(Z803,'CAMD Facility Data 2023'!$AE$2:$AE$10000,0),1),"")</f>
        <v>26085</v>
      </c>
      <c r="AB803" s="5">
        <f>IF(INDEX('CAMD Facility Data 2023'!$AC$2:$AE$10000,MATCH(Z803,'CAMD Facility Data 2023'!$AE$2:$AE$10000,0),1)&gt;0,INDEX('CAMD Facility Data 2023'!$AC$2:$AE$10000,MATCH(Z803,'CAMD Facility Data 2023'!$AE$2:$AE$10000,0),1),"")</f>
        <v>299</v>
      </c>
      <c r="AC803" s="1" t="str">
        <f>IF(INDEX('CAMD Facility Data 2023'!$AE$2:$AG$10000,MATCH(Z803,'CAMD Facility Data 2023'!$AE$2:$AE$10000,0),3)&gt;0,INDEX('CAMD Facility Data 2023'!$AE$2:$AG$10000,MATCH(Z803,'CAMD Facility Data 2023'!$AE$2:$AE$10000,0),3),"")</f>
        <v/>
      </c>
      <c r="AD803" s="20">
        <f t="shared" si="37"/>
        <v>5.2709125475285168</v>
      </c>
      <c r="AE803" s="25">
        <f t="shared" si="38"/>
        <v>2.7289213665032605E-3</v>
      </c>
    </row>
    <row r="804" spans="1:31" x14ac:dyDescent="0.2">
      <c r="A804" s="1" t="s">
        <v>2089</v>
      </c>
      <c r="B804" s="1" t="s">
        <v>2115</v>
      </c>
      <c r="C804" s="1">
        <v>2494</v>
      </c>
      <c r="D804" s="1" t="s">
        <v>2154</v>
      </c>
      <c r="E804" s="1" t="s">
        <v>2117</v>
      </c>
      <c r="F804" s="1">
        <v>2023</v>
      </c>
      <c r="G804" s="5">
        <v>52</v>
      </c>
      <c r="H804" s="5">
        <v>36.1</v>
      </c>
      <c r="I804" s="5">
        <v>550.4</v>
      </c>
      <c r="M804" s="5">
        <v>554.20000000000005</v>
      </c>
      <c r="N804" s="6">
        <v>5.8999999999999997E-2</v>
      </c>
      <c r="O804" s="5">
        <v>1.4570000000000001</v>
      </c>
      <c r="P804" s="6">
        <v>0.30959999999999999</v>
      </c>
      <c r="Q804" s="5">
        <v>9387.2999999999993</v>
      </c>
      <c r="R804" s="1" t="s">
        <v>94</v>
      </c>
      <c r="S804" s="1" t="s">
        <v>44</v>
      </c>
      <c r="T804" s="1" t="s">
        <v>93</v>
      </c>
      <c r="Y804" s="1" t="s">
        <v>617</v>
      </c>
      <c r="Z804" s="1" t="str">
        <f t="shared" si="36"/>
        <v>2494 CT03-2</v>
      </c>
      <c r="AA804" s="3">
        <f>IF(INDEX('CAMD Facility Data 2023'!$AA$2:$AE$10000,MATCH(Z804,'CAMD Facility Data 2023'!$AE$2:$AE$10000,0),1)&gt;0,INDEX('CAMD Facility Data 2023'!$AA$2:$AE$10000,MATCH(Z804,'CAMD Facility Data 2023'!$AE$2:$AE$10000,0),1),"")</f>
        <v>26085</v>
      </c>
      <c r="AB804" s="5">
        <f>IF(INDEX('CAMD Facility Data 2023'!$AC$2:$AE$10000,MATCH(Z804,'CAMD Facility Data 2023'!$AE$2:$AE$10000,0),1)&gt;0,INDEX('CAMD Facility Data 2023'!$AC$2:$AE$10000,MATCH(Z804,'CAMD Facility Data 2023'!$AE$2:$AE$10000,0),1),"")</f>
        <v>299</v>
      </c>
      <c r="AC804" s="1" t="str">
        <f>IF(INDEX('CAMD Facility Data 2023'!$AE$2:$AG$10000,MATCH(Z804,'CAMD Facility Data 2023'!$AE$2:$AE$10000,0),3)&gt;0,INDEX('CAMD Facility Data 2023'!$AE$2:$AG$10000,MATCH(Z804,'CAMD Facility Data 2023'!$AE$2:$AE$10000,0),3),"")</f>
        <v/>
      </c>
      <c r="AD804" s="20">
        <f t="shared" si="37"/>
        <v>5.2943313953488378</v>
      </c>
      <c r="AE804" s="25">
        <f t="shared" si="38"/>
        <v>3.5839785586658721E-3</v>
      </c>
    </row>
    <row r="805" spans="1:31" x14ac:dyDescent="0.2">
      <c r="A805" s="1" t="s">
        <v>2089</v>
      </c>
      <c r="B805" s="1" t="s">
        <v>2115</v>
      </c>
      <c r="C805" s="1">
        <v>2494</v>
      </c>
      <c r="D805" s="1" t="s">
        <v>2156</v>
      </c>
      <c r="E805" s="1" t="s">
        <v>2117</v>
      </c>
      <c r="F805" s="1">
        <v>2023</v>
      </c>
      <c r="G805" s="5">
        <v>36</v>
      </c>
      <c r="H805" s="5">
        <v>24.1</v>
      </c>
      <c r="I805" s="5">
        <v>403.2</v>
      </c>
      <c r="M805" s="5">
        <v>408.3</v>
      </c>
      <c r="N805" s="6">
        <v>5.8999999999999997E-2</v>
      </c>
      <c r="O805" s="5">
        <v>1.0840000000000001</v>
      </c>
      <c r="P805" s="6">
        <v>0.313</v>
      </c>
      <c r="Q805" s="5">
        <v>6912</v>
      </c>
      <c r="R805" s="1" t="s">
        <v>94</v>
      </c>
      <c r="S805" s="1" t="s">
        <v>44</v>
      </c>
      <c r="T805" s="1" t="s">
        <v>93</v>
      </c>
      <c r="Y805" s="1" t="s">
        <v>617</v>
      </c>
      <c r="Z805" s="1" t="str">
        <f t="shared" si="36"/>
        <v>2494 CT03-3</v>
      </c>
      <c r="AA805" s="3">
        <f>IF(INDEX('CAMD Facility Data 2023'!$AA$2:$AE$10000,MATCH(Z805,'CAMD Facility Data 2023'!$AE$2:$AE$10000,0),1)&gt;0,INDEX('CAMD Facility Data 2023'!$AA$2:$AE$10000,MATCH(Z805,'CAMD Facility Data 2023'!$AE$2:$AE$10000,0),1),"")</f>
        <v>26085</v>
      </c>
      <c r="AB805" s="5">
        <f>IF(INDEX('CAMD Facility Data 2023'!$AC$2:$AE$10000,MATCH(Z805,'CAMD Facility Data 2023'!$AE$2:$AE$10000,0),1)&gt;0,INDEX('CAMD Facility Data 2023'!$AC$2:$AE$10000,MATCH(Z805,'CAMD Facility Data 2023'!$AE$2:$AE$10000,0),1),"")</f>
        <v>299</v>
      </c>
      <c r="AC805" s="1" t="str">
        <f>IF(INDEX('CAMD Facility Data 2023'!$AE$2:$AG$10000,MATCH(Z805,'CAMD Facility Data 2023'!$AE$2:$AE$10000,0),3)&gt;0,INDEX('CAMD Facility Data 2023'!$AE$2:$AG$10000,MATCH(Z805,'CAMD Facility Data 2023'!$AE$2:$AE$10000,0),3),"")</f>
        <v/>
      </c>
      <c r="AD805" s="20">
        <f t="shared" si="37"/>
        <v>5.3769841269841274</v>
      </c>
      <c r="AE805" s="25">
        <f t="shared" si="38"/>
        <v>2.6389334310716085E-3</v>
      </c>
    </row>
    <row r="806" spans="1:31" x14ac:dyDescent="0.2">
      <c r="A806" s="1" t="s">
        <v>2089</v>
      </c>
      <c r="B806" s="1" t="s">
        <v>2115</v>
      </c>
      <c r="C806" s="1">
        <v>2494</v>
      </c>
      <c r="D806" s="1" t="s">
        <v>2158</v>
      </c>
      <c r="E806" s="1" t="s">
        <v>2117</v>
      </c>
      <c r="F806" s="1">
        <v>2023</v>
      </c>
      <c r="G806" s="5">
        <v>56</v>
      </c>
      <c r="H806" s="5">
        <v>37.700000000000003</v>
      </c>
      <c r="I806" s="5">
        <v>586</v>
      </c>
      <c r="M806" s="5">
        <v>595.1</v>
      </c>
      <c r="N806" s="6">
        <v>5.8900000000000001E-2</v>
      </c>
      <c r="O806" s="5">
        <v>1.5589999999999999</v>
      </c>
      <c r="P806" s="6">
        <v>0.309</v>
      </c>
      <c r="Q806" s="5">
        <v>10086.5</v>
      </c>
      <c r="R806" s="1" t="s">
        <v>94</v>
      </c>
      <c r="S806" s="1" t="s">
        <v>44</v>
      </c>
      <c r="T806" s="1" t="s">
        <v>93</v>
      </c>
      <c r="Y806" s="1" t="s">
        <v>617</v>
      </c>
      <c r="Z806" s="1" t="str">
        <f t="shared" si="36"/>
        <v>2494 CT03-4</v>
      </c>
      <c r="AA806" s="3">
        <f>IF(INDEX('CAMD Facility Data 2023'!$AA$2:$AE$10000,MATCH(Z806,'CAMD Facility Data 2023'!$AE$2:$AE$10000,0),1)&gt;0,INDEX('CAMD Facility Data 2023'!$AA$2:$AE$10000,MATCH(Z806,'CAMD Facility Data 2023'!$AE$2:$AE$10000,0),1),"")</f>
        <v>26085</v>
      </c>
      <c r="AB806" s="5">
        <f>IF(INDEX('CAMD Facility Data 2023'!$AC$2:$AE$10000,MATCH(Z806,'CAMD Facility Data 2023'!$AE$2:$AE$10000,0),1)&gt;0,INDEX('CAMD Facility Data 2023'!$AC$2:$AE$10000,MATCH(Z806,'CAMD Facility Data 2023'!$AE$2:$AE$10000,0),1),"")</f>
        <v>299</v>
      </c>
      <c r="AC806" s="1" t="str">
        <f>IF(INDEX('CAMD Facility Data 2023'!$AE$2:$AG$10000,MATCH(Z806,'CAMD Facility Data 2023'!$AE$2:$AE$10000,0),3)&gt;0,INDEX('CAMD Facility Data 2023'!$AE$2:$AG$10000,MATCH(Z806,'CAMD Facility Data 2023'!$AE$2:$AE$10000,0),3),"")</f>
        <v/>
      </c>
      <c r="AD806" s="20">
        <f t="shared" si="37"/>
        <v>5.3208191126279862</v>
      </c>
      <c r="AE806" s="25">
        <f t="shared" si="38"/>
        <v>3.8509262228738107E-3</v>
      </c>
    </row>
    <row r="807" spans="1:31" x14ac:dyDescent="0.2">
      <c r="A807" s="1" t="s">
        <v>2089</v>
      </c>
      <c r="B807" s="1" t="s">
        <v>2115</v>
      </c>
      <c r="C807" s="1">
        <v>2494</v>
      </c>
      <c r="D807" s="1" t="s">
        <v>2160</v>
      </c>
      <c r="E807" s="1" t="s">
        <v>2117</v>
      </c>
      <c r="F807" s="1">
        <v>2023</v>
      </c>
      <c r="G807" s="5">
        <v>41</v>
      </c>
      <c r="H807" s="5">
        <v>27</v>
      </c>
      <c r="I807" s="5">
        <v>447.6</v>
      </c>
      <c r="M807" s="5">
        <v>455.4</v>
      </c>
      <c r="N807" s="6">
        <v>5.8999999999999997E-2</v>
      </c>
      <c r="O807" s="5">
        <v>1.2030000000000001</v>
      </c>
      <c r="P807" s="6">
        <v>0.31130000000000002</v>
      </c>
      <c r="Q807" s="5">
        <v>7715.5</v>
      </c>
      <c r="R807" s="1" t="s">
        <v>94</v>
      </c>
      <c r="S807" s="1" t="s">
        <v>44</v>
      </c>
      <c r="T807" s="1" t="s">
        <v>93</v>
      </c>
      <c r="Y807" s="1" t="s">
        <v>617</v>
      </c>
      <c r="Z807" s="1" t="str">
        <f t="shared" si="36"/>
        <v>2494 CT03-5</v>
      </c>
      <c r="AA807" s="3">
        <f>IF(INDEX('CAMD Facility Data 2023'!$AA$2:$AE$10000,MATCH(Z807,'CAMD Facility Data 2023'!$AE$2:$AE$10000,0),1)&gt;0,INDEX('CAMD Facility Data 2023'!$AA$2:$AE$10000,MATCH(Z807,'CAMD Facility Data 2023'!$AE$2:$AE$10000,0),1),"")</f>
        <v>26085</v>
      </c>
      <c r="AB807" s="5">
        <f>IF(INDEX('CAMD Facility Data 2023'!$AC$2:$AE$10000,MATCH(Z807,'CAMD Facility Data 2023'!$AE$2:$AE$10000,0),1)&gt;0,INDEX('CAMD Facility Data 2023'!$AC$2:$AE$10000,MATCH(Z807,'CAMD Facility Data 2023'!$AE$2:$AE$10000,0),1),"")</f>
        <v>299</v>
      </c>
      <c r="AC807" s="1" t="str">
        <f>IF(INDEX('CAMD Facility Data 2023'!$AE$2:$AG$10000,MATCH(Z807,'CAMD Facility Data 2023'!$AE$2:$AE$10000,0),3)&gt;0,INDEX('CAMD Facility Data 2023'!$AE$2:$AG$10000,MATCH(Z807,'CAMD Facility Data 2023'!$AE$2:$AE$10000,0),3),"")</f>
        <v/>
      </c>
      <c r="AD807" s="20">
        <f t="shared" si="37"/>
        <v>5.375335120643431</v>
      </c>
      <c r="AE807" s="25">
        <f t="shared" si="38"/>
        <v>2.9457018066309311E-3</v>
      </c>
    </row>
    <row r="808" spans="1:31" x14ac:dyDescent="0.2">
      <c r="A808" s="1" t="s">
        <v>2089</v>
      </c>
      <c r="B808" s="1" t="s">
        <v>2115</v>
      </c>
      <c r="C808" s="1">
        <v>2494</v>
      </c>
      <c r="D808" s="1" t="s">
        <v>2162</v>
      </c>
      <c r="E808" s="1" t="s">
        <v>2117</v>
      </c>
      <c r="F808" s="1">
        <v>2023</v>
      </c>
      <c r="G808" s="5">
        <v>39</v>
      </c>
      <c r="H808" s="5">
        <v>23.8</v>
      </c>
      <c r="I808" s="5">
        <v>357.5</v>
      </c>
      <c r="M808" s="5">
        <v>364.1</v>
      </c>
      <c r="N808" s="6">
        <v>5.8999999999999997E-2</v>
      </c>
      <c r="O808" s="5">
        <v>0.96</v>
      </c>
      <c r="P808" s="6">
        <v>0.31</v>
      </c>
      <c r="Q808" s="5">
        <v>6173.9</v>
      </c>
      <c r="R808" s="1" t="s">
        <v>94</v>
      </c>
      <c r="S808" s="1" t="s">
        <v>44</v>
      </c>
      <c r="T808" s="1" t="s">
        <v>93</v>
      </c>
      <c r="Y808" s="1" t="s">
        <v>617</v>
      </c>
      <c r="Z808" s="1" t="str">
        <f t="shared" si="36"/>
        <v>2494 CT03-6</v>
      </c>
      <c r="AA808" s="3">
        <f>IF(INDEX('CAMD Facility Data 2023'!$AA$2:$AE$10000,MATCH(Z808,'CAMD Facility Data 2023'!$AE$2:$AE$10000,0),1)&gt;0,INDEX('CAMD Facility Data 2023'!$AA$2:$AE$10000,MATCH(Z808,'CAMD Facility Data 2023'!$AE$2:$AE$10000,0),1),"")</f>
        <v>26085</v>
      </c>
      <c r="AB808" s="5">
        <f>IF(INDEX('CAMD Facility Data 2023'!$AC$2:$AE$10000,MATCH(Z808,'CAMD Facility Data 2023'!$AE$2:$AE$10000,0),1)&gt;0,INDEX('CAMD Facility Data 2023'!$AC$2:$AE$10000,MATCH(Z808,'CAMD Facility Data 2023'!$AE$2:$AE$10000,0),1),"")</f>
        <v>299</v>
      </c>
      <c r="AC808" s="1" t="str">
        <f>IF(INDEX('CAMD Facility Data 2023'!$AE$2:$AG$10000,MATCH(Z808,'CAMD Facility Data 2023'!$AE$2:$AE$10000,0),3)&gt;0,INDEX('CAMD Facility Data 2023'!$AE$2:$AG$10000,MATCH(Z808,'CAMD Facility Data 2023'!$AE$2:$AE$10000,0),3),"")</f>
        <v/>
      </c>
      <c r="AD808" s="20">
        <f t="shared" si="37"/>
        <v>5.3706293706293708</v>
      </c>
      <c r="AE808" s="25">
        <f t="shared" si="38"/>
        <v>2.3571341305111404E-3</v>
      </c>
    </row>
    <row r="809" spans="1:31" x14ac:dyDescent="0.2">
      <c r="A809" s="1" t="s">
        <v>2089</v>
      </c>
      <c r="B809" s="1" t="s">
        <v>2115</v>
      </c>
      <c r="C809" s="1">
        <v>2494</v>
      </c>
      <c r="D809" s="1" t="s">
        <v>2164</v>
      </c>
      <c r="E809" s="1" t="s">
        <v>2117</v>
      </c>
      <c r="F809" s="1">
        <v>2023</v>
      </c>
      <c r="G809" s="5">
        <v>48</v>
      </c>
      <c r="H809" s="5">
        <v>35.5</v>
      </c>
      <c r="I809" s="5">
        <v>580.1</v>
      </c>
      <c r="M809" s="5">
        <v>589.1</v>
      </c>
      <c r="N809" s="6">
        <v>5.8999999999999997E-2</v>
      </c>
      <c r="O809" s="5">
        <v>1.548</v>
      </c>
      <c r="P809" s="6">
        <v>0.30990000000000001</v>
      </c>
      <c r="Q809" s="5">
        <v>9976.5</v>
      </c>
      <c r="R809" s="1" t="s">
        <v>94</v>
      </c>
      <c r="S809" s="1" t="s">
        <v>44</v>
      </c>
      <c r="T809" s="1" t="s">
        <v>93</v>
      </c>
      <c r="Y809" s="1" t="s">
        <v>617</v>
      </c>
      <c r="Z809" s="1" t="str">
        <f t="shared" si="36"/>
        <v>2494 CT03-7</v>
      </c>
      <c r="AA809" s="3">
        <f>IF(INDEX('CAMD Facility Data 2023'!$AA$2:$AE$10000,MATCH(Z809,'CAMD Facility Data 2023'!$AE$2:$AE$10000,0),1)&gt;0,INDEX('CAMD Facility Data 2023'!$AA$2:$AE$10000,MATCH(Z809,'CAMD Facility Data 2023'!$AE$2:$AE$10000,0),1),"")</f>
        <v>26085</v>
      </c>
      <c r="AB809" s="5">
        <f>IF(INDEX('CAMD Facility Data 2023'!$AC$2:$AE$10000,MATCH(Z809,'CAMD Facility Data 2023'!$AE$2:$AE$10000,0),1)&gt;0,INDEX('CAMD Facility Data 2023'!$AC$2:$AE$10000,MATCH(Z809,'CAMD Facility Data 2023'!$AE$2:$AE$10000,0),1),"")</f>
        <v>299</v>
      </c>
      <c r="AC809" s="1" t="str">
        <f>IF(INDEX('CAMD Facility Data 2023'!$AE$2:$AG$10000,MATCH(Z809,'CAMD Facility Data 2023'!$AE$2:$AE$10000,0),3)&gt;0,INDEX('CAMD Facility Data 2023'!$AE$2:$AG$10000,MATCH(Z809,'CAMD Facility Data 2023'!$AE$2:$AE$10000,0),3),"")</f>
        <v/>
      </c>
      <c r="AD809" s="20">
        <f t="shared" si="37"/>
        <v>5.3370108601965178</v>
      </c>
      <c r="AE809" s="25">
        <f t="shared" si="38"/>
        <v>3.8089293077381227E-3</v>
      </c>
    </row>
    <row r="810" spans="1:31" x14ac:dyDescent="0.2">
      <c r="A810" s="1" t="s">
        <v>2089</v>
      </c>
      <c r="B810" s="1" t="s">
        <v>2115</v>
      </c>
      <c r="C810" s="1">
        <v>2494</v>
      </c>
      <c r="D810" s="1" t="s">
        <v>2166</v>
      </c>
      <c r="E810" s="1" t="s">
        <v>2117</v>
      </c>
      <c r="F810" s="1">
        <v>2023</v>
      </c>
      <c r="G810" s="5">
        <v>35</v>
      </c>
      <c r="H810" s="5">
        <v>22.7</v>
      </c>
      <c r="I810" s="5">
        <v>367.3</v>
      </c>
      <c r="M810" s="5">
        <v>375.6</v>
      </c>
      <c r="N810" s="6">
        <v>5.91E-2</v>
      </c>
      <c r="O810" s="5">
        <v>0.98899999999999999</v>
      </c>
      <c r="P810" s="6">
        <v>0.31090000000000001</v>
      </c>
      <c r="Q810" s="5">
        <v>6359.5</v>
      </c>
      <c r="R810" s="1" t="s">
        <v>94</v>
      </c>
      <c r="S810" s="1" t="s">
        <v>44</v>
      </c>
      <c r="T810" s="1" t="s">
        <v>93</v>
      </c>
      <c r="Y810" s="1" t="s">
        <v>617</v>
      </c>
      <c r="Z810" s="1" t="str">
        <f t="shared" si="36"/>
        <v>2494 CT03-8</v>
      </c>
      <c r="AA810" s="3">
        <f>IF(INDEX('CAMD Facility Data 2023'!$AA$2:$AE$10000,MATCH(Z810,'CAMD Facility Data 2023'!$AE$2:$AE$10000,0),1)&gt;0,INDEX('CAMD Facility Data 2023'!$AA$2:$AE$10000,MATCH(Z810,'CAMD Facility Data 2023'!$AE$2:$AE$10000,0),1),"")</f>
        <v>26085</v>
      </c>
      <c r="AB810" s="5">
        <f>IF(INDEX('CAMD Facility Data 2023'!$AC$2:$AE$10000,MATCH(Z810,'CAMD Facility Data 2023'!$AE$2:$AE$10000,0),1)&gt;0,INDEX('CAMD Facility Data 2023'!$AC$2:$AE$10000,MATCH(Z810,'CAMD Facility Data 2023'!$AE$2:$AE$10000,0),1),"")</f>
        <v>299</v>
      </c>
      <c r="AC810" s="1" t="str">
        <f>IF(INDEX('CAMD Facility Data 2023'!$AE$2:$AG$10000,MATCH(Z810,'CAMD Facility Data 2023'!$AE$2:$AE$10000,0),3)&gt;0,INDEX('CAMD Facility Data 2023'!$AE$2:$AG$10000,MATCH(Z810,'CAMD Facility Data 2023'!$AE$2:$AE$10000,0),3),"")</f>
        <v/>
      </c>
      <c r="AD810" s="20">
        <f t="shared" si="37"/>
        <v>5.3852436700245025</v>
      </c>
      <c r="AE810" s="25">
        <f t="shared" si="38"/>
        <v>2.4279943800491746E-3</v>
      </c>
    </row>
    <row r="811" spans="1:31" x14ac:dyDescent="0.2">
      <c r="A811" s="1" t="s">
        <v>2089</v>
      </c>
      <c r="B811" s="1" t="s">
        <v>2115</v>
      </c>
      <c r="C811" s="1">
        <v>2494</v>
      </c>
      <c r="D811" s="1" t="s">
        <v>2168</v>
      </c>
      <c r="E811" s="1" t="s">
        <v>2117</v>
      </c>
      <c r="F811" s="1">
        <v>2023</v>
      </c>
      <c r="G811" s="5">
        <v>0</v>
      </c>
      <c r="H811" s="5">
        <v>0</v>
      </c>
      <c r="R811" s="1" t="s">
        <v>94</v>
      </c>
      <c r="T811" s="1" t="s">
        <v>93</v>
      </c>
      <c r="Y811" s="1" t="s">
        <v>617</v>
      </c>
      <c r="Z811" s="1" t="str">
        <f t="shared" si="36"/>
        <v>2494 CT04-1</v>
      </c>
      <c r="AA811" s="3">
        <f>IF(INDEX('CAMD Facility Data 2023'!$AA$2:$AE$10000,MATCH(Z811,'CAMD Facility Data 2023'!$AE$2:$AE$10000,0),1)&gt;0,INDEX('CAMD Facility Data 2023'!$AA$2:$AE$10000,MATCH(Z811,'CAMD Facility Data 2023'!$AE$2:$AE$10000,0),1),"")</f>
        <v>26085</v>
      </c>
      <c r="AB811" s="5">
        <f>IF(INDEX('CAMD Facility Data 2023'!$AC$2:$AE$10000,MATCH(Z811,'CAMD Facility Data 2023'!$AE$2:$AE$10000,0),1)&gt;0,INDEX('CAMD Facility Data 2023'!$AC$2:$AE$10000,MATCH(Z811,'CAMD Facility Data 2023'!$AE$2:$AE$10000,0),1),"")</f>
        <v>299</v>
      </c>
      <c r="AC811" s="1" t="str">
        <f>IF(INDEX('CAMD Facility Data 2023'!$AE$2:$AG$10000,MATCH(Z811,'CAMD Facility Data 2023'!$AE$2:$AE$10000,0),3)&gt;0,INDEX('CAMD Facility Data 2023'!$AE$2:$AG$10000,MATCH(Z811,'CAMD Facility Data 2023'!$AE$2:$AE$10000,0),3),"")</f>
        <v/>
      </c>
      <c r="AD811" s="20" t="str">
        <f t="shared" si="37"/>
        <v/>
      </c>
      <c r="AE811" s="25">
        <f t="shared" si="38"/>
        <v>0</v>
      </c>
    </row>
    <row r="812" spans="1:31" x14ac:dyDescent="0.2">
      <c r="A812" s="1" t="s">
        <v>2089</v>
      </c>
      <c r="B812" s="1" t="s">
        <v>2115</v>
      </c>
      <c r="C812" s="1">
        <v>2494</v>
      </c>
      <c r="D812" s="1" t="s">
        <v>2170</v>
      </c>
      <c r="E812" s="1" t="s">
        <v>2117</v>
      </c>
      <c r="F812" s="1">
        <v>2023</v>
      </c>
      <c r="G812" s="5">
        <v>0</v>
      </c>
      <c r="H812" s="5">
        <v>0</v>
      </c>
      <c r="R812" s="1" t="s">
        <v>94</v>
      </c>
      <c r="T812" s="1" t="s">
        <v>93</v>
      </c>
      <c r="Y812" s="1" t="s">
        <v>617</v>
      </c>
      <c r="Z812" s="1" t="str">
        <f t="shared" si="36"/>
        <v>2494 CT04-2</v>
      </c>
      <c r="AA812" s="3">
        <f>IF(INDEX('CAMD Facility Data 2023'!$AA$2:$AE$10000,MATCH(Z812,'CAMD Facility Data 2023'!$AE$2:$AE$10000,0),1)&gt;0,INDEX('CAMD Facility Data 2023'!$AA$2:$AE$10000,MATCH(Z812,'CAMD Facility Data 2023'!$AE$2:$AE$10000,0),1),"")</f>
        <v>26085</v>
      </c>
      <c r="AB812" s="5">
        <f>IF(INDEX('CAMD Facility Data 2023'!$AC$2:$AE$10000,MATCH(Z812,'CAMD Facility Data 2023'!$AE$2:$AE$10000,0),1)&gt;0,INDEX('CAMD Facility Data 2023'!$AC$2:$AE$10000,MATCH(Z812,'CAMD Facility Data 2023'!$AE$2:$AE$10000,0),1),"")</f>
        <v>299</v>
      </c>
      <c r="AC812" s="1" t="str">
        <f>IF(INDEX('CAMD Facility Data 2023'!$AE$2:$AG$10000,MATCH(Z812,'CAMD Facility Data 2023'!$AE$2:$AE$10000,0),3)&gt;0,INDEX('CAMD Facility Data 2023'!$AE$2:$AG$10000,MATCH(Z812,'CAMD Facility Data 2023'!$AE$2:$AE$10000,0),3),"")</f>
        <v/>
      </c>
      <c r="AD812" s="20" t="str">
        <f t="shared" si="37"/>
        <v/>
      </c>
      <c r="AE812" s="25">
        <f t="shared" si="38"/>
        <v>0</v>
      </c>
    </row>
    <row r="813" spans="1:31" x14ac:dyDescent="0.2">
      <c r="A813" s="1" t="s">
        <v>2089</v>
      </c>
      <c r="B813" s="1" t="s">
        <v>2115</v>
      </c>
      <c r="C813" s="1">
        <v>2494</v>
      </c>
      <c r="D813" s="1" t="s">
        <v>2172</v>
      </c>
      <c r="E813" s="1" t="s">
        <v>2117</v>
      </c>
      <c r="F813" s="1">
        <v>2023</v>
      </c>
      <c r="G813" s="5">
        <v>0</v>
      </c>
      <c r="H813" s="5">
        <v>0</v>
      </c>
      <c r="R813" s="1" t="s">
        <v>94</v>
      </c>
      <c r="T813" s="1" t="s">
        <v>93</v>
      </c>
      <c r="Y813" s="1" t="s">
        <v>617</v>
      </c>
      <c r="Z813" s="1" t="str">
        <f t="shared" si="36"/>
        <v>2494 CT04-3</v>
      </c>
      <c r="AA813" s="3">
        <f>IF(INDEX('CAMD Facility Data 2023'!$AA$2:$AE$10000,MATCH(Z813,'CAMD Facility Data 2023'!$AE$2:$AE$10000,0),1)&gt;0,INDEX('CAMD Facility Data 2023'!$AA$2:$AE$10000,MATCH(Z813,'CAMD Facility Data 2023'!$AE$2:$AE$10000,0),1),"")</f>
        <v>26085</v>
      </c>
      <c r="AB813" s="5">
        <f>IF(INDEX('CAMD Facility Data 2023'!$AC$2:$AE$10000,MATCH(Z813,'CAMD Facility Data 2023'!$AE$2:$AE$10000,0),1)&gt;0,INDEX('CAMD Facility Data 2023'!$AC$2:$AE$10000,MATCH(Z813,'CAMD Facility Data 2023'!$AE$2:$AE$10000,0),1),"")</f>
        <v>299</v>
      </c>
      <c r="AC813" s="1" t="str">
        <f>IF(INDEX('CAMD Facility Data 2023'!$AE$2:$AG$10000,MATCH(Z813,'CAMD Facility Data 2023'!$AE$2:$AE$10000,0),3)&gt;0,INDEX('CAMD Facility Data 2023'!$AE$2:$AG$10000,MATCH(Z813,'CAMD Facility Data 2023'!$AE$2:$AE$10000,0),3),"")</f>
        <v/>
      </c>
      <c r="AD813" s="20" t="str">
        <f t="shared" si="37"/>
        <v/>
      </c>
      <c r="AE813" s="25">
        <f t="shared" si="38"/>
        <v>0</v>
      </c>
    </row>
    <row r="814" spans="1:31" x14ac:dyDescent="0.2">
      <c r="A814" s="1" t="s">
        <v>2089</v>
      </c>
      <c r="B814" s="1" t="s">
        <v>2115</v>
      </c>
      <c r="C814" s="1">
        <v>2494</v>
      </c>
      <c r="D814" s="1" t="s">
        <v>2174</v>
      </c>
      <c r="E814" s="1" t="s">
        <v>2117</v>
      </c>
      <c r="F814" s="1">
        <v>2023</v>
      </c>
      <c r="G814" s="5">
        <v>0</v>
      </c>
      <c r="H814" s="5">
        <v>0</v>
      </c>
      <c r="R814" s="1" t="s">
        <v>94</v>
      </c>
      <c r="T814" s="1" t="s">
        <v>93</v>
      </c>
      <c r="Y814" s="1" t="s">
        <v>617</v>
      </c>
      <c r="Z814" s="1" t="str">
        <f t="shared" si="36"/>
        <v>2494 CT04-4</v>
      </c>
      <c r="AA814" s="3">
        <f>IF(INDEX('CAMD Facility Data 2023'!$AA$2:$AE$10000,MATCH(Z814,'CAMD Facility Data 2023'!$AE$2:$AE$10000,0),1)&gt;0,INDEX('CAMD Facility Data 2023'!$AA$2:$AE$10000,MATCH(Z814,'CAMD Facility Data 2023'!$AE$2:$AE$10000,0),1),"")</f>
        <v>26085</v>
      </c>
      <c r="AB814" s="5">
        <f>IF(INDEX('CAMD Facility Data 2023'!$AC$2:$AE$10000,MATCH(Z814,'CAMD Facility Data 2023'!$AE$2:$AE$10000,0),1)&gt;0,INDEX('CAMD Facility Data 2023'!$AC$2:$AE$10000,MATCH(Z814,'CAMD Facility Data 2023'!$AE$2:$AE$10000,0),1),"")</f>
        <v>299</v>
      </c>
      <c r="AC814" s="1" t="str">
        <f>IF(INDEX('CAMD Facility Data 2023'!$AE$2:$AG$10000,MATCH(Z814,'CAMD Facility Data 2023'!$AE$2:$AE$10000,0),3)&gt;0,INDEX('CAMD Facility Data 2023'!$AE$2:$AG$10000,MATCH(Z814,'CAMD Facility Data 2023'!$AE$2:$AE$10000,0),3),"")</f>
        <v/>
      </c>
      <c r="AD814" s="20" t="str">
        <f t="shared" si="37"/>
        <v/>
      </c>
      <c r="AE814" s="25">
        <f t="shared" si="38"/>
        <v>0</v>
      </c>
    </row>
    <row r="815" spans="1:31" x14ac:dyDescent="0.2">
      <c r="A815" s="1" t="s">
        <v>2089</v>
      </c>
      <c r="B815" s="1" t="s">
        <v>2115</v>
      </c>
      <c r="C815" s="1">
        <v>2494</v>
      </c>
      <c r="D815" s="1" t="s">
        <v>2176</v>
      </c>
      <c r="E815" s="1" t="s">
        <v>2117</v>
      </c>
      <c r="F815" s="1">
        <v>2023</v>
      </c>
      <c r="G815" s="5">
        <v>0</v>
      </c>
      <c r="H815" s="5">
        <v>0</v>
      </c>
      <c r="R815" s="1" t="s">
        <v>94</v>
      </c>
      <c r="T815" s="1" t="s">
        <v>93</v>
      </c>
      <c r="Y815" s="1" t="s">
        <v>617</v>
      </c>
      <c r="Z815" s="1" t="str">
        <f t="shared" si="36"/>
        <v>2494 CT04-5</v>
      </c>
      <c r="AA815" s="3">
        <f>IF(INDEX('CAMD Facility Data 2023'!$AA$2:$AE$10000,MATCH(Z815,'CAMD Facility Data 2023'!$AE$2:$AE$10000,0),1)&gt;0,INDEX('CAMD Facility Data 2023'!$AA$2:$AE$10000,MATCH(Z815,'CAMD Facility Data 2023'!$AE$2:$AE$10000,0),1),"")</f>
        <v>26085</v>
      </c>
      <c r="AB815" s="5">
        <f>IF(INDEX('CAMD Facility Data 2023'!$AC$2:$AE$10000,MATCH(Z815,'CAMD Facility Data 2023'!$AE$2:$AE$10000,0),1)&gt;0,INDEX('CAMD Facility Data 2023'!$AC$2:$AE$10000,MATCH(Z815,'CAMD Facility Data 2023'!$AE$2:$AE$10000,0),1),"")</f>
        <v>299</v>
      </c>
      <c r="AC815" s="1" t="str">
        <f>IF(INDEX('CAMD Facility Data 2023'!$AE$2:$AG$10000,MATCH(Z815,'CAMD Facility Data 2023'!$AE$2:$AE$10000,0),3)&gt;0,INDEX('CAMD Facility Data 2023'!$AE$2:$AG$10000,MATCH(Z815,'CAMD Facility Data 2023'!$AE$2:$AE$10000,0),3),"")</f>
        <v/>
      </c>
      <c r="AD815" s="20" t="str">
        <f t="shared" si="37"/>
        <v/>
      </c>
      <c r="AE815" s="25">
        <f t="shared" si="38"/>
        <v>0</v>
      </c>
    </row>
    <row r="816" spans="1:31" x14ac:dyDescent="0.2">
      <c r="A816" s="1" t="s">
        <v>2089</v>
      </c>
      <c r="B816" s="1" t="s">
        <v>2115</v>
      </c>
      <c r="C816" s="1">
        <v>2494</v>
      </c>
      <c r="D816" s="1" t="s">
        <v>2178</v>
      </c>
      <c r="E816" s="1" t="s">
        <v>2117</v>
      </c>
      <c r="F816" s="1">
        <v>2023</v>
      </c>
      <c r="G816" s="5">
        <v>0</v>
      </c>
      <c r="H816" s="5">
        <v>0</v>
      </c>
      <c r="R816" s="1" t="s">
        <v>94</v>
      </c>
      <c r="T816" s="1" t="s">
        <v>93</v>
      </c>
      <c r="Y816" s="1" t="s">
        <v>617</v>
      </c>
      <c r="Z816" s="1" t="str">
        <f t="shared" si="36"/>
        <v>2494 CT04-6</v>
      </c>
      <c r="AA816" s="3">
        <f>IF(INDEX('CAMD Facility Data 2023'!$AA$2:$AE$10000,MATCH(Z816,'CAMD Facility Data 2023'!$AE$2:$AE$10000,0),1)&gt;0,INDEX('CAMD Facility Data 2023'!$AA$2:$AE$10000,MATCH(Z816,'CAMD Facility Data 2023'!$AE$2:$AE$10000,0),1),"")</f>
        <v>26085</v>
      </c>
      <c r="AB816" s="5">
        <f>IF(INDEX('CAMD Facility Data 2023'!$AC$2:$AE$10000,MATCH(Z816,'CAMD Facility Data 2023'!$AE$2:$AE$10000,0),1)&gt;0,INDEX('CAMD Facility Data 2023'!$AC$2:$AE$10000,MATCH(Z816,'CAMD Facility Data 2023'!$AE$2:$AE$10000,0),1),"")</f>
        <v>299</v>
      </c>
      <c r="AC816" s="1" t="str">
        <f>IF(INDEX('CAMD Facility Data 2023'!$AE$2:$AG$10000,MATCH(Z816,'CAMD Facility Data 2023'!$AE$2:$AE$10000,0),3)&gt;0,INDEX('CAMD Facility Data 2023'!$AE$2:$AG$10000,MATCH(Z816,'CAMD Facility Data 2023'!$AE$2:$AE$10000,0),3),"")</f>
        <v/>
      </c>
      <c r="AD816" s="20" t="str">
        <f t="shared" si="37"/>
        <v/>
      </c>
      <c r="AE816" s="25">
        <f t="shared" si="38"/>
        <v>0</v>
      </c>
    </row>
    <row r="817" spans="1:31" x14ac:dyDescent="0.2">
      <c r="A817" s="1" t="s">
        <v>2089</v>
      </c>
      <c r="B817" s="1" t="s">
        <v>2115</v>
      </c>
      <c r="C817" s="1">
        <v>2494</v>
      </c>
      <c r="D817" s="1" t="s">
        <v>2180</v>
      </c>
      <c r="E817" s="1" t="s">
        <v>2117</v>
      </c>
      <c r="F817" s="1">
        <v>2023</v>
      </c>
      <c r="G817" s="5">
        <v>0</v>
      </c>
      <c r="H817" s="5">
        <v>0</v>
      </c>
      <c r="R817" s="1" t="s">
        <v>94</v>
      </c>
      <c r="T817" s="1" t="s">
        <v>93</v>
      </c>
      <c r="Y817" s="1" t="s">
        <v>617</v>
      </c>
      <c r="Z817" s="1" t="str">
        <f t="shared" si="36"/>
        <v>2494 CT04-7</v>
      </c>
      <c r="AA817" s="3">
        <f>IF(INDEX('CAMD Facility Data 2023'!$AA$2:$AE$10000,MATCH(Z817,'CAMD Facility Data 2023'!$AE$2:$AE$10000,0),1)&gt;0,INDEX('CAMD Facility Data 2023'!$AA$2:$AE$10000,MATCH(Z817,'CAMD Facility Data 2023'!$AE$2:$AE$10000,0),1),"")</f>
        <v>26085</v>
      </c>
      <c r="AB817" s="5">
        <f>IF(INDEX('CAMD Facility Data 2023'!$AC$2:$AE$10000,MATCH(Z817,'CAMD Facility Data 2023'!$AE$2:$AE$10000,0),1)&gt;0,INDEX('CAMD Facility Data 2023'!$AC$2:$AE$10000,MATCH(Z817,'CAMD Facility Data 2023'!$AE$2:$AE$10000,0),1),"")</f>
        <v>299</v>
      </c>
      <c r="AC817" s="1" t="str">
        <f>IF(INDEX('CAMD Facility Data 2023'!$AE$2:$AG$10000,MATCH(Z817,'CAMD Facility Data 2023'!$AE$2:$AE$10000,0),3)&gt;0,INDEX('CAMD Facility Data 2023'!$AE$2:$AG$10000,MATCH(Z817,'CAMD Facility Data 2023'!$AE$2:$AE$10000,0),3),"")</f>
        <v/>
      </c>
      <c r="AD817" s="20" t="str">
        <f t="shared" si="37"/>
        <v/>
      </c>
      <c r="AE817" s="25">
        <f t="shared" si="38"/>
        <v>0</v>
      </c>
    </row>
    <row r="818" spans="1:31" x14ac:dyDescent="0.2">
      <c r="A818" s="1" t="s">
        <v>2089</v>
      </c>
      <c r="B818" s="1" t="s">
        <v>2115</v>
      </c>
      <c r="C818" s="1">
        <v>2494</v>
      </c>
      <c r="D818" s="1" t="s">
        <v>2182</v>
      </c>
      <c r="E818" s="1" t="s">
        <v>2117</v>
      </c>
      <c r="F818" s="1">
        <v>2023</v>
      </c>
      <c r="G818" s="5">
        <v>0</v>
      </c>
      <c r="H818" s="5">
        <v>0</v>
      </c>
      <c r="R818" s="1" t="s">
        <v>94</v>
      </c>
      <c r="T818" s="1" t="s">
        <v>93</v>
      </c>
      <c r="Y818" s="1" t="s">
        <v>617</v>
      </c>
      <c r="Z818" s="1" t="str">
        <f t="shared" si="36"/>
        <v>2494 CT04-8</v>
      </c>
      <c r="AA818" s="3">
        <f>IF(INDEX('CAMD Facility Data 2023'!$AA$2:$AE$10000,MATCH(Z818,'CAMD Facility Data 2023'!$AE$2:$AE$10000,0),1)&gt;0,INDEX('CAMD Facility Data 2023'!$AA$2:$AE$10000,MATCH(Z818,'CAMD Facility Data 2023'!$AE$2:$AE$10000,0),1),"")</f>
        <v>26085</v>
      </c>
      <c r="AB818" s="5">
        <f>IF(INDEX('CAMD Facility Data 2023'!$AC$2:$AE$10000,MATCH(Z818,'CAMD Facility Data 2023'!$AE$2:$AE$10000,0),1)&gt;0,INDEX('CAMD Facility Data 2023'!$AC$2:$AE$10000,MATCH(Z818,'CAMD Facility Data 2023'!$AE$2:$AE$10000,0),1),"")</f>
        <v>299</v>
      </c>
      <c r="AC818" s="1" t="str">
        <f>IF(INDEX('CAMD Facility Data 2023'!$AE$2:$AG$10000,MATCH(Z818,'CAMD Facility Data 2023'!$AE$2:$AE$10000,0),3)&gt;0,INDEX('CAMD Facility Data 2023'!$AE$2:$AG$10000,MATCH(Z818,'CAMD Facility Data 2023'!$AE$2:$AE$10000,0),3),"")</f>
        <v/>
      </c>
      <c r="AD818" s="20" t="str">
        <f t="shared" si="37"/>
        <v/>
      </c>
      <c r="AE818" s="25">
        <f t="shared" si="38"/>
        <v>0</v>
      </c>
    </row>
    <row r="819" spans="1:31" x14ac:dyDescent="0.2">
      <c r="A819" s="1" t="s">
        <v>2089</v>
      </c>
      <c r="B819" s="1" t="s">
        <v>2184</v>
      </c>
      <c r="C819" s="1">
        <v>2499</v>
      </c>
      <c r="D819" s="1" t="s">
        <v>2116</v>
      </c>
      <c r="E819" s="1" t="s">
        <v>2117</v>
      </c>
      <c r="F819" s="1">
        <v>2023</v>
      </c>
      <c r="G819" s="5">
        <v>145</v>
      </c>
      <c r="H819" s="5">
        <v>124.4</v>
      </c>
      <c r="I819" s="5">
        <v>2051.9</v>
      </c>
      <c r="M819" s="5">
        <v>2078.8000000000002</v>
      </c>
      <c r="N819" s="6">
        <v>5.9200000000000003E-2</v>
      </c>
      <c r="O819" s="5">
        <v>6.3380000000000001</v>
      </c>
      <c r="P819" s="6">
        <v>0.36109999999999998</v>
      </c>
      <c r="Q819" s="5">
        <v>35207.800000000003</v>
      </c>
      <c r="R819" s="1" t="s">
        <v>44</v>
      </c>
      <c r="S819" s="1" t="s">
        <v>94</v>
      </c>
      <c r="T819" s="1" t="s">
        <v>93</v>
      </c>
      <c r="Y819" s="1" t="s">
        <v>617</v>
      </c>
      <c r="Z819" s="1" t="str">
        <f t="shared" si="36"/>
        <v>2499 CT01-1</v>
      </c>
      <c r="AA819" s="3">
        <f>IF(INDEX('CAMD Facility Data 2023'!$AA$2:$AE$10000,MATCH(Z819,'CAMD Facility Data 2023'!$AE$2:$AE$10000,0),1)&gt;0,INDEX('CAMD Facility Data 2023'!$AA$2:$AE$10000,MATCH(Z819,'CAMD Facility Data 2023'!$AE$2:$AE$10000,0),1),"")</f>
        <v>26420</v>
      </c>
      <c r="AB819" s="5">
        <f>IF(INDEX('CAMD Facility Data 2023'!$AC$2:$AE$10000,MATCH(Z819,'CAMD Facility Data 2023'!$AE$2:$AE$10000,0),1)&gt;0,INDEX('CAMD Facility Data 2023'!$AC$2:$AE$10000,MATCH(Z819,'CAMD Facility Data 2023'!$AE$2:$AE$10000,0),1),"")</f>
        <v>297</v>
      </c>
      <c r="AC819" s="1" t="str">
        <f>IF(INDEX('CAMD Facility Data 2023'!$AE$2:$AG$10000,MATCH(Z819,'CAMD Facility Data 2023'!$AE$2:$AE$10000,0),3)&gt;0,INDEX('CAMD Facility Data 2023'!$AE$2:$AG$10000,MATCH(Z819,'CAMD Facility Data 2023'!$AE$2:$AE$10000,0),3),"")</f>
        <v/>
      </c>
      <c r="AD819" s="20">
        <f t="shared" si="37"/>
        <v>6.1776889711974263</v>
      </c>
      <c r="AE819" s="25">
        <f t="shared" si="38"/>
        <v>1.3532509263102871E-2</v>
      </c>
    </row>
    <row r="820" spans="1:31" x14ac:dyDescent="0.2">
      <c r="A820" s="1" t="s">
        <v>2089</v>
      </c>
      <c r="B820" s="1" t="s">
        <v>2184</v>
      </c>
      <c r="C820" s="1">
        <v>2499</v>
      </c>
      <c r="D820" s="1" t="s">
        <v>2122</v>
      </c>
      <c r="E820" s="1" t="s">
        <v>2117</v>
      </c>
      <c r="F820" s="1">
        <v>2023</v>
      </c>
      <c r="G820" s="5">
        <v>63</v>
      </c>
      <c r="H820" s="5">
        <v>49.7</v>
      </c>
      <c r="I820" s="5">
        <v>754.7</v>
      </c>
      <c r="M820" s="5">
        <v>766.6</v>
      </c>
      <c r="N820" s="6">
        <v>5.9400000000000001E-2</v>
      </c>
      <c r="O820" s="5">
        <v>2.3370000000000002</v>
      </c>
      <c r="P820" s="6">
        <v>0.36270000000000002</v>
      </c>
      <c r="Q820" s="5">
        <v>12979.2</v>
      </c>
      <c r="R820" s="1" t="s">
        <v>44</v>
      </c>
      <c r="S820" s="1" t="s">
        <v>94</v>
      </c>
      <c r="T820" s="1" t="s">
        <v>93</v>
      </c>
      <c r="Y820" s="1" t="s">
        <v>617</v>
      </c>
      <c r="Z820" s="1" t="str">
        <f t="shared" si="36"/>
        <v>2499 CT01-2</v>
      </c>
      <c r="AA820" s="3">
        <f>IF(INDEX('CAMD Facility Data 2023'!$AA$2:$AE$10000,MATCH(Z820,'CAMD Facility Data 2023'!$AE$2:$AE$10000,0),1)&gt;0,INDEX('CAMD Facility Data 2023'!$AA$2:$AE$10000,MATCH(Z820,'CAMD Facility Data 2023'!$AE$2:$AE$10000,0),1),"")</f>
        <v>26420</v>
      </c>
      <c r="AB820" s="5">
        <f>IF(INDEX('CAMD Facility Data 2023'!$AC$2:$AE$10000,MATCH(Z820,'CAMD Facility Data 2023'!$AE$2:$AE$10000,0),1)&gt;0,INDEX('CAMD Facility Data 2023'!$AC$2:$AE$10000,MATCH(Z820,'CAMD Facility Data 2023'!$AE$2:$AE$10000,0),1),"")</f>
        <v>297</v>
      </c>
      <c r="AC820" s="1" t="str">
        <f>IF(INDEX('CAMD Facility Data 2023'!$AE$2:$AG$10000,MATCH(Z820,'CAMD Facility Data 2023'!$AE$2:$AE$10000,0),3)&gt;0,INDEX('CAMD Facility Data 2023'!$AE$2:$AG$10000,MATCH(Z820,'CAMD Facility Data 2023'!$AE$2:$AE$10000,0),3),"")</f>
        <v/>
      </c>
      <c r="AD820" s="20">
        <f t="shared" si="37"/>
        <v>6.1931893467603016</v>
      </c>
      <c r="AE820" s="25">
        <f t="shared" si="38"/>
        <v>4.9886997832203316E-3</v>
      </c>
    </row>
    <row r="821" spans="1:31" x14ac:dyDescent="0.2">
      <c r="A821" s="1" t="s">
        <v>2089</v>
      </c>
      <c r="B821" s="1" t="s">
        <v>2184</v>
      </c>
      <c r="C821" s="1">
        <v>2499</v>
      </c>
      <c r="D821" s="1" t="s">
        <v>2124</v>
      </c>
      <c r="E821" s="1" t="s">
        <v>2117</v>
      </c>
      <c r="F821" s="1">
        <v>2023</v>
      </c>
      <c r="G821" s="5">
        <v>89</v>
      </c>
      <c r="H821" s="5">
        <v>77</v>
      </c>
      <c r="I821" s="5">
        <v>1181.0999999999999</v>
      </c>
      <c r="M821" s="5">
        <v>1196</v>
      </c>
      <c r="N821" s="6">
        <v>5.9299999999999999E-2</v>
      </c>
      <c r="O821" s="5">
        <v>3.6459999999999999</v>
      </c>
      <c r="P821" s="6">
        <v>0.3619</v>
      </c>
      <c r="Q821" s="5">
        <v>20248.2</v>
      </c>
      <c r="R821" s="1" t="s">
        <v>44</v>
      </c>
      <c r="S821" s="1" t="s">
        <v>94</v>
      </c>
      <c r="T821" s="1" t="s">
        <v>93</v>
      </c>
      <c r="Y821" s="1" t="s">
        <v>617</v>
      </c>
      <c r="Z821" s="1" t="str">
        <f t="shared" si="36"/>
        <v>2499 CT01-3</v>
      </c>
      <c r="AA821" s="3">
        <f>IF(INDEX('CAMD Facility Data 2023'!$AA$2:$AE$10000,MATCH(Z821,'CAMD Facility Data 2023'!$AE$2:$AE$10000,0),1)&gt;0,INDEX('CAMD Facility Data 2023'!$AA$2:$AE$10000,MATCH(Z821,'CAMD Facility Data 2023'!$AE$2:$AE$10000,0),1),"")</f>
        <v>26420</v>
      </c>
      <c r="AB821" s="5">
        <f>IF(INDEX('CAMD Facility Data 2023'!$AC$2:$AE$10000,MATCH(Z821,'CAMD Facility Data 2023'!$AE$2:$AE$10000,0),1)&gt;0,INDEX('CAMD Facility Data 2023'!$AC$2:$AE$10000,MATCH(Z821,'CAMD Facility Data 2023'!$AE$2:$AE$10000,0),1),"")</f>
        <v>297</v>
      </c>
      <c r="AC821" s="1" t="str">
        <f>IF(INDEX('CAMD Facility Data 2023'!$AE$2:$AG$10000,MATCH(Z821,'CAMD Facility Data 2023'!$AE$2:$AE$10000,0),3)&gt;0,INDEX('CAMD Facility Data 2023'!$AE$2:$AG$10000,MATCH(Z821,'CAMD Facility Data 2023'!$AE$2:$AE$10000,0),3),"")</f>
        <v/>
      </c>
      <c r="AD821" s="20">
        <f t="shared" si="37"/>
        <v>6.1739056811446957</v>
      </c>
      <c r="AE821" s="25">
        <f t="shared" si="38"/>
        <v>7.7826207278262078E-3</v>
      </c>
    </row>
    <row r="822" spans="1:31" x14ac:dyDescent="0.2">
      <c r="A822" s="1" t="s">
        <v>2089</v>
      </c>
      <c r="B822" s="1" t="s">
        <v>2184</v>
      </c>
      <c r="C822" s="1">
        <v>2499</v>
      </c>
      <c r="D822" s="1" t="s">
        <v>2126</v>
      </c>
      <c r="E822" s="1" t="s">
        <v>2117</v>
      </c>
      <c r="F822" s="1">
        <v>2023</v>
      </c>
      <c r="G822" s="5">
        <v>130</v>
      </c>
      <c r="H822" s="5">
        <v>109.3</v>
      </c>
      <c r="I822" s="5">
        <v>1781.6</v>
      </c>
      <c r="M822" s="5">
        <v>1803.9</v>
      </c>
      <c r="N822" s="6">
        <v>5.9200000000000003E-2</v>
      </c>
      <c r="O822" s="5">
        <v>5.5</v>
      </c>
      <c r="P822" s="6">
        <v>0.36120000000000002</v>
      </c>
      <c r="Q822" s="5">
        <v>30552.5</v>
      </c>
      <c r="R822" s="1" t="s">
        <v>44</v>
      </c>
      <c r="S822" s="1" t="s">
        <v>94</v>
      </c>
      <c r="T822" s="1" t="s">
        <v>93</v>
      </c>
      <c r="Y822" s="1" t="s">
        <v>617</v>
      </c>
      <c r="Z822" s="1" t="str">
        <f t="shared" si="36"/>
        <v>2499 CT01-4</v>
      </c>
      <c r="AA822" s="3">
        <f>IF(INDEX('CAMD Facility Data 2023'!$AA$2:$AE$10000,MATCH(Z822,'CAMD Facility Data 2023'!$AE$2:$AE$10000,0),1)&gt;0,INDEX('CAMD Facility Data 2023'!$AA$2:$AE$10000,MATCH(Z822,'CAMD Facility Data 2023'!$AE$2:$AE$10000,0),1),"")</f>
        <v>26420</v>
      </c>
      <c r="AB822" s="5">
        <f>IF(INDEX('CAMD Facility Data 2023'!$AC$2:$AE$10000,MATCH(Z822,'CAMD Facility Data 2023'!$AE$2:$AE$10000,0),1)&gt;0,INDEX('CAMD Facility Data 2023'!$AC$2:$AE$10000,MATCH(Z822,'CAMD Facility Data 2023'!$AE$2:$AE$10000,0),1),"")</f>
        <v>297</v>
      </c>
      <c r="AC822" s="1" t="str">
        <f>IF(INDEX('CAMD Facility Data 2023'!$AE$2:$AG$10000,MATCH(Z822,'CAMD Facility Data 2023'!$AE$2:$AE$10000,0),3)&gt;0,INDEX('CAMD Facility Data 2023'!$AE$2:$AG$10000,MATCH(Z822,'CAMD Facility Data 2023'!$AE$2:$AE$10000,0),3),"")</f>
        <v/>
      </c>
      <c r="AD822" s="20">
        <f t="shared" si="37"/>
        <v>6.1742254153569824</v>
      </c>
      <c r="AE822" s="25">
        <f t="shared" si="38"/>
        <v>1.1743192964654151E-2</v>
      </c>
    </row>
    <row r="823" spans="1:31" x14ac:dyDescent="0.2">
      <c r="A823" s="1" t="s">
        <v>2089</v>
      </c>
      <c r="B823" s="1" t="s">
        <v>2184</v>
      </c>
      <c r="C823" s="1">
        <v>2499</v>
      </c>
      <c r="D823" s="1" t="s">
        <v>2128</v>
      </c>
      <c r="E823" s="1" t="s">
        <v>2117</v>
      </c>
      <c r="F823" s="1">
        <v>2023</v>
      </c>
      <c r="G823" s="5">
        <v>194</v>
      </c>
      <c r="H823" s="5">
        <v>163.80000000000001</v>
      </c>
      <c r="I823" s="5">
        <v>2763.4</v>
      </c>
      <c r="M823" s="5">
        <v>2804.4</v>
      </c>
      <c r="N823" s="6">
        <v>5.91E-2</v>
      </c>
      <c r="O823" s="5">
        <v>8.5559999999999992</v>
      </c>
      <c r="P823" s="6">
        <v>0.3609</v>
      </c>
      <c r="Q823" s="5">
        <v>47515.4</v>
      </c>
      <c r="R823" s="1" t="s">
        <v>44</v>
      </c>
      <c r="S823" s="1" t="s">
        <v>94</v>
      </c>
      <c r="T823" s="1" t="s">
        <v>93</v>
      </c>
      <c r="Y823" s="1" t="s">
        <v>617</v>
      </c>
      <c r="Z823" s="1" t="str">
        <f t="shared" si="36"/>
        <v>2499 CT01-5</v>
      </c>
      <c r="AA823" s="3">
        <f>IF(INDEX('CAMD Facility Data 2023'!$AA$2:$AE$10000,MATCH(Z823,'CAMD Facility Data 2023'!$AE$2:$AE$10000,0),1)&gt;0,INDEX('CAMD Facility Data 2023'!$AA$2:$AE$10000,MATCH(Z823,'CAMD Facility Data 2023'!$AE$2:$AE$10000,0),1),"")</f>
        <v>26420</v>
      </c>
      <c r="AB823" s="5">
        <f>IF(INDEX('CAMD Facility Data 2023'!$AC$2:$AE$10000,MATCH(Z823,'CAMD Facility Data 2023'!$AE$2:$AE$10000,0),1)&gt;0,INDEX('CAMD Facility Data 2023'!$AC$2:$AE$10000,MATCH(Z823,'CAMD Facility Data 2023'!$AE$2:$AE$10000,0),1),"")</f>
        <v>297</v>
      </c>
      <c r="AC823" s="1" t="str">
        <f>IF(INDEX('CAMD Facility Data 2023'!$AE$2:$AG$10000,MATCH(Z823,'CAMD Facility Data 2023'!$AE$2:$AE$10000,0),3)&gt;0,INDEX('CAMD Facility Data 2023'!$AE$2:$AG$10000,MATCH(Z823,'CAMD Facility Data 2023'!$AE$2:$AE$10000,0),3),"")</f>
        <v/>
      </c>
      <c r="AD823" s="20">
        <f t="shared" si="37"/>
        <v>6.1923717160020262</v>
      </c>
      <c r="AE823" s="25">
        <f t="shared" si="38"/>
        <v>1.8263072121519612E-2</v>
      </c>
    </row>
    <row r="824" spans="1:31" x14ac:dyDescent="0.2">
      <c r="A824" s="1" t="s">
        <v>2089</v>
      </c>
      <c r="B824" s="1" t="s">
        <v>2184</v>
      </c>
      <c r="C824" s="1">
        <v>2499</v>
      </c>
      <c r="D824" s="1" t="s">
        <v>2130</v>
      </c>
      <c r="E824" s="1" t="s">
        <v>2117</v>
      </c>
      <c r="F824" s="1">
        <v>2023</v>
      </c>
      <c r="G824" s="5">
        <v>60</v>
      </c>
      <c r="H824" s="5">
        <v>49.6</v>
      </c>
      <c r="I824" s="5">
        <v>690.5</v>
      </c>
      <c r="M824" s="5">
        <v>700.8</v>
      </c>
      <c r="N824" s="6">
        <v>5.9400000000000001E-2</v>
      </c>
      <c r="O824" s="5">
        <v>2.1360000000000001</v>
      </c>
      <c r="P824" s="6">
        <v>0.36280000000000001</v>
      </c>
      <c r="Q824" s="5">
        <v>11860.7</v>
      </c>
      <c r="R824" s="1" t="s">
        <v>44</v>
      </c>
      <c r="S824" s="1" t="s">
        <v>94</v>
      </c>
      <c r="T824" s="1" t="s">
        <v>93</v>
      </c>
      <c r="Y824" s="1" t="s">
        <v>617</v>
      </c>
      <c r="Z824" s="1" t="str">
        <f t="shared" si="36"/>
        <v>2499 CT01-6</v>
      </c>
      <c r="AA824" s="3">
        <f>IF(INDEX('CAMD Facility Data 2023'!$AA$2:$AE$10000,MATCH(Z824,'CAMD Facility Data 2023'!$AE$2:$AE$10000,0),1)&gt;0,INDEX('CAMD Facility Data 2023'!$AA$2:$AE$10000,MATCH(Z824,'CAMD Facility Data 2023'!$AE$2:$AE$10000,0),1),"")</f>
        <v>26420</v>
      </c>
      <c r="AB824" s="5">
        <f>IF(INDEX('CAMD Facility Data 2023'!$AC$2:$AE$10000,MATCH(Z824,'CAMD Facility Data 2023'!$AE$2:$AE$10000,0),1)&gt;0,INDEX('CAMD Facility Data 2023'!$AC$2:$AE$10000,MATCH(Z824,'CAMD Facility Data 2023'!$AE$2:$AE$10000,0),1),"")</f>
        <v>297</v>
      </c>
      <c r="AC824" s="1" t="str">
        <f>IF(INDEX('CAMD Facility Data 2023'!$AE$2:$AG$10000,MATCH(Z824,'CAMD Facility Data 2023'!$AE$2:$AE$10000,0),3)&gt;0,INDEX('CAMD Facility Data 2023'!$AE$2:$AG$10000,MATCH(Z824,'CAMD Facility Data 2023'!$AE$2:$AE$10000,0),3),"")</f>
        <v/>
      </c>
      <c r="AD824" s="20">
        <f t="shared" si="37"/>
        <v>6.1868211440984791</v>
      </c>
      <c r="AE824" s="25">
        <f t="shared" si="38"/>
        <v>4.558791876143475E-3</v>
      </c>
    </row>
    <row r="825" spans="1:31" x14ac:dyDescent="0.2">
      <c r="A825" s="1" t="s">
        <v>2089</v>
      </c>
      <c r="B825" s="1" t="s">
        <v>2184</v>
      </c>
      <c r="C825" s="1">
        <v>2499</v>
      </c>
      <c r="D825" s="1" t="s">
        <v>2132</v>
      </c>
      <c r="E825" s="1" t="s">
        <v>2117</v>
      </c>
      <c r="F825" s="1">
        <v>2023</v>
      </c>
      <c r="G825" s="5">
        <v>125</v>
      </c>
      <c r="H825" s="5">
        <v>105.2</v>
      </c>
      <c r="I825" s="5">
        <v>1744.7</v>
      </c>
      <c r="M825" s="5">
        <v>1770.5</v>
      </c>
      <c r="N825" s="6">
        <v>5.9200000000000003E-2</v>
      </c>
      <c r="O825" s="5">
        <v>5.399</v>
      </c>
      <c r="P825" s="6">
        <v>0.36120000000000002</v>
      </c>
      <c r="Q825" s="5">
        <v>29988.799999999999</v>
      </c>
      <c r="R825" s="1" t="s">
        <v>44</v>
      </c>
      <c r="S825" s="1" t="s">
        <v>94</v>
      </c>
      <c r="T825" s="1" t="s">
        <v>93</v>
      </c>
      <c r="Y825" s="1" t="s">
        <v>617</v>
      </c>
      <c r="Z825" s="1" t="str">
        <f t="shared" si="36"/>
        <v>2499 CT01-7</v>
      </c>
      <c r="AA825" s="3">
        <f>IF(INDEX('CAMD Facility Data 2023'!$AA$2:$AE$10000,MATCH(Z825,'CAMD Facility Data 2023'!$AE$2:$AE$10000,0),1)&gt;0,INDEX('CAMD Facility Data 2023'!$AA$2:$AE$10000,MATCH(Z825,'CAMD Facility Data 2023'!$AE$2:$AE$10000,0),1),"")</f>
        <v>26420</v>
      </c>
      <c r="AB825" s="5">
        <f>IF(INDEX('CAMD Facility Data 2023'!$AC$2:$AE$10000,MATCH(Z825,'CAMD Facility Data 2023'!$AE$2:$AE$10000,0),1)&gt;0,INDEX('CAMD Facility Data 2023'!$AC$2:$AE$10000,MATCH(Z825,'CAMD Facility Data 2023'!$AE$2:$AE$10000,0),1),"")</f>
        <v>297</v>
      </c>
      <c r="AC825" s="1" t="str">
        <f>IF(INDEX('CAMD Facility Data 2023'!$AE$2:$AG$10000,MATCH(Z825,'CAMD Facility Data 2023'!$AE$2:$AE$10000,0),3)&gt;0,INDEX('CAMD Facility Data 2023'!$AE$2:$AG$10000,MATCH(Z825,'CAMD Facility Data 2023'!$AE$2:$AE$10000,0),3),"")</f>
        <v/>
      </c>
      <c r="AD825" s="20">
        <f t="shared" si="37"/>
        <v>6.189029632601593</v>
      </c>
      <c r="AE825" s="25">
        <f t="shared" si="38"/>
        <v>1.1526528604154174E-2</v>
      </c>
    </row>
    <row r="826" spans="1:31" x14ac:dyDescent="0.2">
      <c r="A826" s="1" t="s">
        <v>2089</v>
      </c>
      <c r="B826" s="1" t="s">
        <v>2184</v>
      </c>
      <c r="C826" s="1">
        <v>2499</v>
      </c>
      <c r="D826" s="1" t="s">
        <v>2134</v>
      </c>
      <c r="E826" s="1" t="s">
        <v>2117</v>
      </c>
      <c r="F826" s="1">
        <v>2023</v>
      </c>
      <c r="G826" s="5">
        <v>80</v>
      </c>
      <c r="H826" s="5">
        <v>67.7</v>
      </c>
      <c r="I826" s="5">
        <v>988.7</v>
      </c>
      <c r="M826" s="5">
        <v>1001.5</v>
      </c>
      <c r="N826" s="6">
        <v>5.9299999999999999E-2</v>
      </c>
      <c r="O826" s="5">
        <v>3.0539999999999998</v>
      </c>
      <c r="P826" s="6">
        <v>0.36209999999999998</v>
      </c>
      <c r="Q826" s="5">
        <v>16957.5</v>
      </c>
      <c r="R826" s="1" t="s">
        <v>44</v>
      </c>
      <c r="S826" s="1" t="s">
        <v>94</v>
      </c>
      <c r="T826" s="1" t="s">
        <v>93</v>
      </c>
      <c r="Y826" s="1" t="s">
        <v>617</v>
      </c>
      <c r="Z826" s="1" t="str">
        <f t="shared" si="36"/>
        <v>2499 CT01-8</v>
      </c>
      <c r="AA826" s="3">
        <f>IF(INDEX('CAMD Facility Data 2023'!$AA$2:$AE$10000,MATCH(Z826,'CAMD Facility Data 2023'!$AE$2:$AE$10000,0),1)&gt;0,INDEX('CAMD Facility Data 2023'!$AA$2:$AE$10000,MATCH(Z826,'CAMD Facility Data 2023'!$AE$2:$AE$10000,0),1),"")</f>
        <v>26420</v>
      </c>
      <c r="AB826" s="5">
        <f>IF(INDEX('CAMD Facility Data 2023'!$AC$2:$AE$10000,MATCH(Z826,'CAMD Facility Data 2023'!$AE$2:$AE$10000,0),1)&gt;0,INDEX('CAMD Facility Data 2023'!$AC$2:$AE$10000,MATCH(Z826,'CAMD Facility Data 2023'!$AE$2:$AE$10000,0),1),"")</f>
        <v>297</v>
      </c>
      <c r="AC826" s="1" t="str">
        <f>IF(INDEX('CAMD Facility Data 2023'!$AE$2:$AG$10000,MATCH(Z826,'CAMD Facility Data 2023'!$AE$2:$AE$10000,0),3)&gt;0,INDEX('CAMD Facility Data 2023'!$AE$2:$AG$10000,MATCH(Z826,'CAMD Facility Data 2023'!$AE$2:$AE$10000,0),3),"")</f>
        <v/>
      </c>
      <c r="AD826" s="20">
        <f t="shared" si="37"/>
        <v>6.1778092444624253</v>
      </c>
      <c r="AE826" s="25">
        <f t="shared" si="38"/>
        <v>6.5178036068447029E-3</v>
      </c>
    </row>
    <row r="827" spans="1:31" x14ac:dyDescent="0.2">
      <c r="A827" s="1" t="s">
        <v>2089</v>
      </c>
      <c r="B827" s="1" t="s">
        <v>2184</v>
      </c>
      <c r="C827" s="1">
        <v>2499</v>
      </c>
      <c r="D827" s="1" t="s">
        <v>2136</v>
      </c>
      <c r="E827" s="1" t="s">
        <v>2117</v>
      </c>
      <c r="F827" s="1">
        <v>2023</v>
      </c>
      <c r="G827" s="5">
        <v>182</v>
      </c>
      <c r="H827" s="5">
        <v>149</v>
      </c>
      <c r="I827" s="5">
        <v>2444.6999999999998</v>
      </c>
      <c r="M827" s="5">
        <v>2496.9</v>
      </c>
      <c r="N827" s="6">
        <v>5.8999999999999997E-2</v>
      </c>
      <c r="O827" s="5">
        <v>7.6139999999999999</v>
      </c>
      <c r="P827" s="6">
        <v>0.3599</v>
      </c>
      <c r="Q827" s="5">
        <v>42296.6</v>
      </c>
      <c r="R827" s="1" t="s">
        <v>44</v>
      </c>
      <c r="S827" s="1" t="s">
        <v>94</v>
      </c>
      <c r="T827" s="1" t="s">
        <v>93</v>
      </c>
      <c r="Y827" s="1" t="s">
        <v>617</v>
      </c>
      <c r="Z827" s="1" t="str">
        <f t="shared" si="36"/>
        <v>2499 CT02-1</v>
      </c>
      <c r="AA827" s="3">
        <f>IF(INDEX('CAMD Facility Data 2023'!$AA$2:$AE$10000,MATCH(Z827,'CAMD Facility Data 2023'!$AE$2:$AE$10000,0),1)&gt;0,INDEX('CAMD Facility Data 2023'!$AA$2:$AE$10000,MATCH(Z827,'CAMD Facility Data 2023'!$AE$2:$AE$10000,0),1),"")</f>
        <v>26420</v>
      </c>
      <c r="AB827" s="5">
        <f>IF(INDEX('CAMD Facility Data 2023'!$AC$2:$AE$10000,MATCH(Z827,'CAMD Facility Data 2023'!$AE$2:$AE$10000,0),1)&gt;0,INDEX('CAMD Facility Data 2023'!$AC$2:$AE$10000,MATCH(Z827,'CAMD Facility Data 2023'!$AE$2:$AE$10000,0),1),"")</f>
        <v>297</v>
      </c>
      <c r="AC827" s="1" t="str">
        <f>IF(INDEX('CAMD Facility Data 2023'!$AE$2:$AG$10000,MATCH(Z827,'CAMD Facility Data 2023'!$AE$2:$AE$10000,0),3)&gt;0,INDEX('CAMD Facility Data 2023'!$AE$2:$AG$10000,MATCH(Z827,'CAMD Facility Data 2023'!$AE$2:$AE$10000,0),3),"")</f>
        <v/>
      </c>
      <c r="AD827" s="20">
        <f t="shared" si="37"/>
        <v>6.2289851515523385</v>
      </c>
      <c r="AE827" s="25">
        <f t="shared" si="38"/>
        <v>1.6257168334793903E-2</v>
      </c>
    </row>
    <row r="828" spans="1:31" x14ac:dyDescent="0.2">
      <c r="A828" s="1" t="s">
        <v>2089</v>
      </c>
      <c r="B828" s="1" t="s">
        <v>2184</v>
      </c>
      <c r="C828" s="1">
        <v>2499</v>
      </c>
      <c r="D828" s="1" t="s">
        <v>2138</v>
      </c>
      <c r="E828" s="1" t="s">
        <v>2117</v>
      </c>
      <c r="F828" s="1">
        <v>2023</v>
      </c>
      <c r="G828" s="5">
        <v>111</v>
      </c>
      <c r="H828" s="5">
        <v>90.5</v>
      </c>
      <c r="I828" s="5">
        <v>1337.8</v>
      </c>
      <c r="M828" s="5">
        <v>1370.5</v>
      </c>
      <c r="N828" s="6">
        <v>5.91E-2</v>
      </c>
      <c r="O828" s="5">
        <v>4.1790000000000003</v>
      </c>
      <c r="P828" s="6">
        <v>0.36149999999999999</v>
      </c>
      <c r="Q828" s="5">
        <v>23211.5</v>
      </c>
      <c r="R828" s="1" t="s">
        <v>44</v>
      </c>
      <c r="S828" s="1" t="s">
        <v>94</v>
      </c>
      <c r="T828" s="1" t="s">
        <v>93</v>
      </c>
      <c r="Y828" s="1" t="s">
        <v>617</v>
      </c>
      <c r="Z828" s="1" t="str">
        <f t="shared" si="36"/>
        <v>2499 CT02-2</v>
      </c>
      <c r="AA828" s="3">
        <f>IF(INDEX('CAMD Facility Data 2023'!$AA$2:$AE$10000,MATCH(Z828,'CAMD Facility Data 2023'!$AE$2:$AE$10000,0),1)&gt;0,INDEX('CAMD Facility Data 2023'!$AA$2:$AE$10000,MATCH(Z828,'CAMD Facility Data 2023'!$AE$2:$AE$10000,0),1),"")</f>
        <v>26420</v>
      </c>
      <c r="AB828" s="5">
        <f>IF(INDEX('CAMD Facility Data 2023'!$AC$2:$AE$10000,MATCH(Z828,'CAMD Facility Data 2023'!$AE$2:$AE$10000,0),1)&gt;0,INDEX('CAMD Facility Data 2023'!$AC$2:$AE$10000,MATCH(Z828,'CAMD Facility Data 2023'!$AE$2:$AE$10000,0),1),"")</f>
        <v>297</v>
      </c>
      <c r="AC828" s="1" t="str">
        <f>IF(INDEX('CAMD Facility Data 2023'!$AE$2:$AG$10000,MATCH(Z828,'CAMD Facility Data 2023'!$AE$2:$AE$10000,0),3)&gt;0,INDEX('CAMD Facility Data 2023'!$AE$2:$AG$10000,MATCH(Z828,'CAMD Facility Data 2023'!$AE$2:$AE$10000,0),3),"")</f>
        <v/>
      </c>
      <c r="AD828" s="20">
        <f t="shared" si="37"/>
        <v>6.2475706383614895</v>
      </c>
      <c r="AE828" s="25">
        <f t="shared" si="38"/>
        <v>8.9215980197715362E-3</v>
      </c>
    </row>
    <row r="829" spans="1:31" x14ac:dyDescent="0.2">
      <c r="A829" s="1" t="s">
        <v>2089</v>
      </c>
      <c r="B829" s="1" t="s">
        <v>2184</v>
      </c>
      <c r="C829" s="1">
        <v>2499</v>
      </c>
      <c r="D829" s="1" t="s">
        <v>2140</v>
      </c>
      <c r="E829" s="1" t="s">
        <v>2117</v>
      </c>
      <c r="F829" s="1">
        <v>2023</v>
      </c>
      <c r="G829" s="5">
        <v>112</v>
      </c>
      <c r="H829" s="5">
        <v>90.8</v>
      </c>
      <c r="I829" s="5">
        <v>1405.2</v>
      </c>
      <c r="M829" s="5">
        <v>1442</v>
      </c>
      <c r="N829" s="6">
        <v>5.8900000000000001E-2</v>
      </c>
      <c r="O829" s="5">
        <v>4.3970000000000002</v>
      </c>
      <c r="P829" s="6">
        <v>0.36</v>
      </c>
      <c r="Q829" s="5">
        <v>24423.8</v>
      </c>
      <c r="R829" s="1" t="s">
        <v>44</v>
      </c>
      <c r="S829" s="1" t="s">
        <v>94</v>
      </c>
      <c r="T829" s="1" t="s">
        <v>93</v>
      </c>
      <c r="Y829" s="1" t="s">
        <v>617</v>
      </c>
      <c r="Z829" s="1" t="str">
        <f t="shared" si="36"/>
        <v>2499 CT02-3</v>
      </c>
      <c r="AA829" s="3">
        <f>IF(INDEX('CAMD Facility Data 2023'!$AA$2:$AE$10000,MATCH(Z829,'CAMD Facility Data 2023'!$AE$2:$AE$10000,0),1)&gt;0,INDEX('CAMD Facility Data 2023'!$AA$2:$AE$10000,MATCH(Z829,'CAMD Facility Data 2023'!$AE$2:$AE$10000,0),1),"")</f>
        <v>26420</v>
      </c>
      <c r="AB829" s="5">
        <f>IF(INDEX('CAMD Facility Data 2023'!$AC$2:$AE$10000,MATCH(Z829,'CAMD Facility Data 2023'!$AE$2:$AE$10000,0),1)&gt;0,INDEX('CAMD Facility Data 2023'!$AC$2:$AE$10000,MATCH(Z829,'CAMD Facility Data 2023'!$AE$2:$AE$10000,0),1),"")</f>
        <v>297</v>
      </c>
      <c r="AC829" s="1" t="str">
        <f>IF(INDEX('CAMD Facility Data 2023'!$AE$2:$AG$10000,MATCH(Z829,'CAMD Facility Data 2023'!$AE$2:$AE$10000,0),3)&gt;0,INDEX('CAMD Facility Data 2023'!$AE$2:$AG$10000,MATCH(Z829,'CAMD Facility Data 2023'!$AE$2:$AE$10000,0),3),"")</f>
        <v/>
      </c>
      <c r="AD829" s="20">
        <f t="shared" si="37"/>
        <v>6.25818388841446</v>
      </c>
      <c r="AE829" s="25">
        <f t="shared" si="38"/>
        <v>9.3875589994311445E-3</v>
      </c>
    </row>
    <row r="830" spans="1:31" x14ac:dyDescent="0.2">
      <c r="A830" s="1" t="s">
        <v>2089</v>
      </c>
      <c r="B830" s="1" t="s">
        <v>2184</v>
      </c>
      <c r="C830" s="1">
        <v>2499</v>
      </c>
      <c r="D830" s="1" t="s">
        <v>2142</v>
      </c>
      <c r="E830" s="1" t="s">
        <v>2117</v>
      </c>
      <c r="F830" s="1">
        <v>2023</v>
      </c>
      <c r="G830" s="5">
        <v>218</v>
      </c>
      <c r="H830" s="5">
        <v>177.8</v>
      </c>
      <c r="I830" s="5">
        <v>2986.8</v>
      </c>
      <c r="M830" s="5">
        <v>3048.5</v>
      </c>
      <c r="N830" s="6">
        <v>5.91E-2</v>
      </c>
      <c r="O830" s="5">
        <v>9.2989999999999995</v>
      </c>
      <c r="P830" s="6">
        <v>0.36070000000000002</v>
      </c>
      <c r="Q830" s="5">
        <v>51649</v>
      </c>
      <c r="R830" s="1" t="s">
        <v>44</v>
      </c>
      <c r="S830" s="1" t="s">
        <v>94</v>
      </c>
      <c r="T830" s="1" t="s">
        <v>93</v>
      </c>
      <c r="Y830" s="1" t="s">
        <v>617</v>
      </c>
      <c r="Z830" s="1" t="str">
        <f t="shared" si="36"/>
        <v>2499 CT02-4</v>
      </c>
      <c r="AA830" s="3">
        <f>IF(INDEX('CAMD Facility Data 2023'!$AA$2:$AE$10000,MATCH(Z830,'CAMD Facility Data 2023'!$AE$2:$AE$10000,0),1)&gt;0,INDEX('CAMD Facility Data 2023'!$AA$2:$AE$10000,MATCH(Z830,'CAMD Facility Data 2023'!$AE$2:$AE$10000,0),1),"")</f>
        <v>26420</v>
      </c>
      <c r="AB830" s="5">
        <f>IF(INDEX('CAMD Facility Data 2023'!$AC$2:$AE$10000,MATCH(Z830,'CAMD Facility Data 2023'!$AE$2:$AE$10000,0),1)&gt;0,INDEX('CAMD Facility Data 2023'!$AC$2:$AE$10000,MATCH(Z830,'CAMD Facility Data 2023'!$AE$2:$AE$10000,0),1),"")</f>
        <v>297</v>
      </c>
      <c r="AC830" s="1" t="str">
        <f>IF(INDEX('CAMD Facility Data 2023'!$AE$2:$AG$10000,MATCH(Z830,'CAMD Facility Data 2023'!$AE$2:$AE$10000,0),3)&gt;0,INDEX('CAMD Facility Data 2023'!$AE$2:$AG$10000,MATCH(Z830,'CAMD Facility Data 2023'!$AE$2:$AE$10000,0),3),"")</f>
        <v/>
      </c>
      <c r="AD830" s="20">
        <f t="shared" si="37"/>
        <v>6.2267309495111824</v>
      </c>
      <c r="AE830" s="25">
        <f t="shared" si="38"/>
        <v>1.9851867226296449E-2</v>
      </c>
    </row>
    <row r="831" spans="1:31" x14ac:dyDescent="0.2">
      <c r="A831" s="1" t="s">
        <v>2089</v>
      </c>
      <c r="B831" s="1" t="s">
        <v>2184</v>
      </c>
      <c r="C831" s="1">
        <v>2499</v>
      </c>
      <c r="D831" s="1" t="s">
        <v>2144</v>
      </c>
      <c r="E831" s="1" t="s">
        <v>2117</v>
      </c>
      <c r="F831" s="1">
        <v>2023</v>
      </c>
      <c r="G831" s="5">
        <v>236</v>
      </c>
      <c r="H831" s="5">
        <v>188.8</v>
      </c>
      <c r="I831" s="5">
        <v>3213.1</v>
      </c>
      <c r="M831" s="5">
        <v>3284.4</v>
      </c>
      <c r="N831" s="6">
        <v>5.8999999999999997E-2</v>
      </c>
      <c r="O831" s="5">
        <v>10.02</v>
      </c>
      <c r="P831" s="6">
        <v>0.3599</v>
      </c>
      <c r="Q831" s="5">
        <v>55655.4</v>
      </c>
      <c r="R831" s="1" t="s">
        <v>44</v>
      </c>
      <c r="S831" s="1" t="s">
        <v>94</v>
      </c>
      <c r="T831" s="1" t="s">
        <v>93</v>
      </c>
      <c r="Y831" s="1" t="s">
        <v>617</v>
      </c>
      <c r="Z831" s="1" t="str">
        <f t="shared" si="36"/>
        <v>2499 CT02-5</v>
      </c>
      <c r="AA831" s="3">
        <f>IF(INDEX('CAMD Facility Data 2023'!$AA$2:$AE$10000,MATCH(Z831,'CAMD Facility Data 2023'!$AE$2:$AE$10000,0),1)&gt;0,INDEX('CAMD Facility Data 2023'!$AA$2:$AE$10000,MATCH(Z831,'CAMD Facility Data 2023'!$AE$2:$AE$10000,0),1),"")</f>
        <v>26420</v>
      </c>
      <c r="AB831" s="5">
        <f>IF(INDEX('CAMD Facility Data 2023'!$AC$2:$AE$10000,MATCH(Z831,'CAMD Facility Data 2023'!$AE$2:$AE$10000,0),1)&gt;0,INDEX('CAMD Facility Data 2023'!$AC$2:$AE$10000,MATCH(Z831,'CAMD Facility Data 2023'!$AE$2:$AE$10000,0),1),"")</f>
        <v>297</v>
      </c>
      <c r="AC831" s="1" t="str">
        <f>IF(INDEX('CAMD Facility Data 2023'!$AE$2:$AG$10000,MATCH(Z831,'CAMD Facility Data 2023'!$AE$2:$AE$10000,0),3)&gt;0,INDEX('CAMD Facility Data 2023'!$AE$2:$AG$10000,MATCH(Z831,'CAMD Facility Data 2023'!$AE$2:$AE$10000,0),3),"")</f>
        <v/>
      </c>
      <c r="AD831" s="20">
        <f t="shared" si="37"/>
        <v>6.2369674146462923</v>
      </c>
      <c r="AE831" s="25">
        <f t="shared" si="38"/>
        <v>2.1391771597251051E-2</v>
      </c>
    </row>
    <row r="832" spans="1:31" x14ac:dyDescent="0.2">
      <c r="A832" s="1" t="s">
        <v>2089</v>
      </c>
      <c r="B832" s="1" t="s">
        <v>2184</v>
      </c>
      <c r="C832" s="1">
        <v>2499</v>
      </c>
      <c r="D832" s="1" t="s">
        <v>2146</v>
      </c>
      <c r="E832" s="1" t="s">
        <v>2117</v>
      </c>
      <c r="F832" s="1">
        <v>2023</v>
      </c>
      <c r="G832" s="5">
        <v>100</v>
      </c>
      <c r="H832" s="5">
        <v>78.099999999999994</v>
      </c>
      <c r="I832" s="5">
        <v>1136.5999999999999</v>
      </c>
      <c r="M832" s="5">
        <v>1167</v>
      </c>
      <c r="N832" s="6">
        <v>5.8999999999999997E-2</v>
      </c>
      <c r="O832" s="5">
        <v>3.5579999999999998</v>
      </c>
      <c r="P832" s="6">
        <v>0.36</v>
      </c>
      <c r="Q832" s="5">
        <v>19763.8</v>
      </c>
      <c r="R832" s="1" t="s">
        <v>44</v>
      </c>
      <c r="S832" s="1" t="s">
        <v>94</v>
      </c>
      <c r="T832" s="1" t="s">
        <v>93</v>
      </c>
      <c r="Y832" s="1" t="s">
        <v>617</v>
      </c>
      <c r="Z832" s="1" t="str">
        <f t="shared" si="36"/>
        <v>2499 CT02-6</v>
      </c>
      <c r="AA832" s="3">
        <f>IF(INDEX('CAMD Facility Data 2023'!$AA$2:$AE$10000,MATCH(Z832,'CAMD Facility Data 2023'!$AE$2:$AE$10000,0),1)&gt;0,INDEX('CAMD Facility Data 2023'!$AA$2:$AE$10000,MATCH(Z832,'CAMD Facility Data 2023'!$AE$2:$AE$10000,0),1),"")</f>
        <v>26420</v>
      </c>
      <c r="AB832" s="5">
        <f>IF(INDEX('CAMD Facility Data 2023'!$AC$2:$AE$10000,MATCH(Z832,'CAMD Facility Data 2023'!$AE$2:$AE$10000,0),1)&gt;0,INDEX('CAMD Facility Data 2023'!$AC$2:$AE$10000,MATCH(Z832,'CAMD Facility Data 2023'!$AE$2:$AE$10000,0),1),"")</f>
        <v>297</v>
      </c>
      <c r="AC832" s="1" t="str">
        <f>IF(INDEX('CAMD Facility Data 2023'!$AE$2:$AG$10000,MATCH(Z832,'CAMD Facility Data 2023'!$AE$2:$AE$10000,0),3)&gt;0,INDEX('CAMD Facility Data 2023'!$AE$2:$AG$10000,MATCH(Z832,'CAMD Facility Data 2023'!$AE$2:$AE$10000,0),3),"")</f>
        <v/>
      </c>
      <c r="AD832" s="20">
        <f t="shared" si="37"/>
        <v>6.2607777582262898</v>
      </c>
      <c r="AE832" s="25">
        <f t="shared" si="38"/>
        <v>7.5964362037421393E-3</v>
      </c>
    </row>
    <row r="833" spans="1:31" x14ac:dyDescent="0.2">
      <c r="A833" s="1" t="s">
        <v>2089</v>
      </c>
      <c r="B833" s="1" t="s">
        <v>2184</v>
      </c>
      <c r="C833" s="1">
        <v>2499</v>
      </c>
      <c r="D833" s="1" t="s">
        <v>2148</v>
      </c>
      <c r="E833" s="1" t="s">
        <v>2117</v>
      </c>
      <c r="F833" s="1">
        <v>2023</v>
      </c>
      <c r="G833" s="5">
        <v>157</v>
      </c>
      <c r="H833" s="5">
        <v>125.4</v>
      </c>
      <c r="I833" s="5">
        <v>2023.9</v>
      </c>
      <c r="M833" s="5">
        <v>2067.4</v>
      </c>
      <c r="N833" s="6">
        <v>5.8999999999999997E-2</v>
      </c>
      <c r="O833" s="5">
        <v>6.3040000000000003</v>
      </c>
      <c r="P833" s="6">
        <v>0.3599</v>
      </c>
      <c r="Q833" s="5">
        <v>35021.1</v>
      </c>
      <c r="R833" s="1" t="s">
        <v>44</v>
      </c>
      <c r="S833" s="1" t="s">
        <v>94</v>
      </c>
      <c r="T833" s="1" t="s">
        <v>93</v>
      </c>
      <c r="Y833" s="1" t="s">
        <v>617</v>
      </c>
      <c r="Z833" s="1" t="str">
        <f t="shared" si="36"/>
        <v>2499 CT02-7</v>
      </c>
      <c r="AA833" s="3">
        <f>IF(INDEX('CAMD Facility Data 2023'!$AA$2:$AE$10000,MATCH(Z833,'CAMD Facility Data 2023'!$AE$2:$AE$10000,0),1)&gt;0,INDEX('CAMD Facility Data 2023'!$AA$2:$AE$10000,MATCH(Z833,'CAMD Facility Data 2023'!$AE$2:$AE$10000,0),1),"")</f>
        <v>26420</v>
      </c>
      <c r="AB833" s="5">
        <f>IF(INDEX('CAMD Facility Data 2023'!$AC$2:$AE$10000,MATCH(Z833,'CAMD Facility Data 2023'!$AE$2:$AE$10000,0),1)&gt;0,INDEX('CAMD Facility Data 2023'!$AC$2:$AE$10000,MATCH(Z833,'CAMD Facility Data 2023'!$AE$2:$AE$10000,0),1),"")</f>
        <v>297</v>
      </c>
      <c r="AC833" s="1" t="str">
        <f>IF(INDEX('CAMD Facility Data 2023'!$AE$2:$AG$10000,MATCH(Z833,'CAMD Facility Data 2023'!$AE$2:$AE$10000,0),3)&gt;0,INDEX('CAMD Facility Data 2023'!$AE$2:$AG$10000,MATCH(Z833,'CAMD Facility Data 2023'!$AE$2:$AE$10000,0),3),"")</f>
        <v/>
      </c>
      <c r="AD833" s="20">
        <f t="shared" si="37"/>
        <v>6.2295567962844007</v>
      </c>
      <c r="AE833" s="25">
        <f t="shared" si="38"/>
        <v>1.3460749042940824E-2</v>
      </c>
    </row>
    <row r="834" spans="1:31" x14ac:dyDescent="0.2">
      <c r="A834" s="1" t="s">
        <v>2089</v>
      </c>
      <c r="B834" s="1" t="s">
        <v>2184</v>
      </c>
      <c r="C834" s="1">
        <v>2499</v>
      </c>
      <c r="D834" s="1" t="s">
        <v>2150</v>
      </c>
      <c r="E834" s="1" t="s">
        <v>2117</v>
      </c>
      <c r="F834" s="1">
        <v>2023</v>
      </c>
      <c r="G834" s="5">
        <v>94</v>
      </c>
      <c r="H834" s="5">
        <v>71.900000000000006</v>
      </c>
      <c r="I834" s="5">
        <v>1029.2</v>
      </c>
      <c r="M834" s="5">
        <v>1050.5999999999999</v>
      </c>
      <c r="N834" s="6">
        <v>5.8900000000000001E-2</v>
      </c>
      <c r="O834" s="5">
        <v>3.2029999999999998</v>
      </c>
      <c r="P834" s="6">
        <v>0.36120000000000002</v>
      </c>
      <c r="Q834" s="5">
        <v>17791.900000000001</v>
      </c>
      <c r="R834" s="1" t="s">
        <v>44</v>
      </c>
      <c r="S834" s="1" t="s">
        <v>94</v>
      </c>
      <c r="T834" s="1" t="s">
        <v>93</v>
      </c>
      <c r="Y834" s="1" t="s">
        <v>617</v>
      </c>
      <c r="Z834" s="1" t="str">
        <f t="shared" si="36"/>
        <v>2499 CT02-8</v>
      </c>
      <c r="AA834" s="3">
        <f>IF(INDEX('CAMD Facility Data 2023'!$AA$2:$AE$10000,MATCH(Z834,'CAMD Facility Data 2023'!$AE$2:$AE$10000,0),1)&gt;0,INDEX('CAMD Facility Data 2023'!$AA$2:$AE$10000,MATCH(Z834,'CAMD Facility Data 2023'!$AE$2:$AE$10000,0),1),"")</f>
        <v>26420</v>
      </c>
      <c r="AB834" s="5">
        <f>IF(INDEX('CAMD Facility Data 2023'!$AC$2:$AE$10000,MATCH(Z834,'CAMD Facility Data 2023'!$AE$2:$AE$10000,0),1)&gt;0,INDEX('CAMD Facility Data 2023'!$AC$2:$AE$10000,MATCH(Z834,'CAMD Facility Data 2023'!$AE$2:$AE$10000,0),1),"")</f>
        <v>297</v>
      </c>
      <c r="AC834" s="1" t="str">
        <f>IF(INDEX('CAMD Facility Data 2023'!$AE$2:$AG$10000,MATCH(Z834,'CAMD Facility Data 2023'!$AE$2:$AE$10000,0),3)&gt;0,INDEX('CAMD Facility Data 2023'!$AE$2:$AG$10000,MATCH(Z834,'CAMD Facility Data 2023'!$AE$2:$AE$10000,0),3),"")</f>
        <v/>
      </c>
      <c r="AD834" s="20">
        <f t="shared" si="37"/>
        <v>6.2242518460940532</v>
      </c>
      <c r="AE834" s="25">
        <f t="shared" si="38"/>
        <v>6.838514521162924E-3</v>
      </c>
    </row>
    <row r="835" spans="1:31" x14ac:dyDescent="0.2">
      <c r="A835" s="1" t="s">
        <v>2089</v>
      </c>
      <c r="B835" s="1" t="s">
        <v>2201</v>
      </c>
      <c r="C835" s="1">
        <v>2500</v>
      </c>
      <c r="D835" s="1">
        <v>10</v>
      </c>
      <c r="F835" s="1">
        <v>2023</v>
      </c>
      <c r="G835" s="5">
        <v>1862</v>
      </c>
      <c r="H835" s="5">
        <v>1822.64</v>
      </c>
      <c r="I835" s="5">
        <v>280870.55</v>
      </c>
      <c r="K835" s="5">
        <v>12.696</v>
      </c>
      <c r="L835" s="5">
        <v>7.9000000000000008E-3</v>
      </c>
      <c r="M835" s="5">
        <v>182796.11499999999</v>
      </c>
      <c r="N835" s="6">
        <v>5.96E-2</v>
      </c>
      <c r="O835" s="5">
        <v>123.634</v>
      </c>
      <c r="P835" s="6">
        <v>7.9299999999999995E-2</v>
      </c>
      <c r="Q835" s="5">
        <v>3046114.7050000001</v>
      </c>
      <c r="R835" s="1" t="s">
        <v>44</v>
      </c>
      <c r="S835" s="1" t="s">
        <v>173</v>
      </c>
      <c r="T835" s="1" t="s">
        <v>43</v>
      </c>
      <c r="V835" s="1" t="s">
        <v>220</v>
      </c>
      <c r="Y835" s="1" t="s">
        <v>1515</v>
      </c>
      <c r="Z835" s="1" t="str">
        <f t="shared" ref="Z835:Z898" si="39">C835&amp;" "&amp;D835</f>
        <v>2500 10</v>
      </c>
      <c r="AA835" s="3">
        <f>IF(INDEX('CAMD Facility Data 2023'!$AA$2:$AE$10000,MATCH(Z835,'CAMD Facility Data 2023'!$AE$2:$AE$10000,0),1)&gt;0,INDEX('CAMD Facility Data 2023'!$AA$2:$AE$10000,MATCH(Z835,'CAMD Facility Data 2023'!$AE$2:$AE$10000,0),1),"")</f>
        <v>23043</v>
      </c>
      <c r="AB835" s="5">
        <f>IF(INDEX('CAMD Facility Data 2023'!$AC$2:$AE$10000,MATCH(Z835,'CAMD Facility Data 2023'!$AE$2:$AE$10000,0),1)&gt;0,INDEX('CAMD Facility Data 2023'!$AC$2:$AE$10000,MATCH(Z835,'CAMD Facility Data 2023'!$AE$2:$AE$10000,0),1),"")</f>
        <v>4204</v>
      </c>
      <c r="AC835" s="1" t="str">
        <f>IF(INDEX('CAMD Facility Data 2023'!$AE$2:$AG$10000,MATCH(Z835,'CAMD Facility Data 2023'!$AE$2:$AE$10000,0),3)&gt;0,INDEX('CAMD Facility Data 2023'!$AE$2:$AG$10000,MATCH(Z835,'CAMD Facility Data 2023'!$AE$2:$AE$10000,0),3),"")</f>
        <v/>
      </c>
      <c r="AD835" s="20">
        <f t="shared" ref="AD835:AD898" si="40">IF(ISNUMBER(O835*2000/I835),O835*2000/I835,"")</f>
        <v>0.88036285755128119</v>
      </c>
      <c r="AE835" s="25">
        <f t="shared" ref="AE835:AE898" si="41">Q835/(AB835*8760)</f>
        <v>8.2714079247205322E-2</v>
      </c>
    </row>
    <row r="836" spans="1:31" x14ac:dyDescent="0.2">
      <c r="A836" s="1" t="s">
        <v>2089</v>
      </c>
      <c r="B836" s="1" t="s">
        <v>2201</v>
      </c>
      <c r="C836" s="1">
        <v>2500</v>
      </c>
      <c r="D836" s="1">
        <v>20</v>
      </c>
      <c r="F836" s="1">
        <v>2023</v>
      </c>
      <c r="G836" s="5">
        <v>1339</v>
      </c>
      <c r="H836" s="5">
        <v>1320.52</v>
      </c>
      <c r="I836" s="5">
        <v>225005.59</v>
      </c>
      <c r="K836" s="5">
        <v>0.71399999999999997</v>
      </c>
      <c r="L836" s="5">
        <v>1E-3</v>
      </c>
      <c r="M836" s="5">
        <v>141517.35399999999</v>
      </c>
      <c r="N836" s="6">
        <v>5.8999999999999997E-2</v>
      </c>
      <c r="O836" s="5">
        <v>85.227999999999994</v>
      </c>
      <c r="P836" s="6">
        <v>7.4700000000000003E-2</v>
      </c>
      <c r="Q836" s="5">
        <v>2381287.804</v>
      </c>
      <c r="R836" s="1" t="s">
        <v>44</v>
      </c>
      <c r="S836" s="1" t="s">
        <v>173</v>
      </c>
      <c r="T836" s="1" t="s">
        <v>43</v>
      </c>
      <c r="V836" s="1" t="s">
        <v>220</v>
      </c>
      <c r="Y836" s="1" t="s">
        <v>682</v>
      </c>
      <c r="Z836" s="1" t="str">
        <f t="shared" si="39"/>
        <v>2500 20</v>
      </c>
      <c r="AA836" s="3">
        <f>IF(INDEX('CAMD Facility Data 2023'!$AA$2:$AE$10000,MATCH(Z836,'CAMD Facility Data 2023'!$AE$2:$AE$10000,0),1)&gt;0,INDEX('CAMD Facility Data 2023'!$AA$2:$AE$10000,MATCH(Z836,'CAMD Facility Data 2023'!$AE$2:$AE$10000,0),1),"")</f>
        <v>23132</v>
      </c>
      <c r="AB836" s="5">
        <f>IF(INDEX('CAMD Facility Data 2023'!$AC$2:$AE$10000,MATCH(Z836,'CAMD Facility Data 2023'!$AE$2:$AE$10000,0),1)&gt;0,INDEX('CAMD Facility Data 2023'!$AC$2:$AE$10000,MATCH(Z836,'CAMD Facility Data 2023'!$AE$2:$AE$10000,0),1),"")</f>
        <v>4171</v>
      </c>
      <c r="AC836" s="1" t="str">
        <f>IF(INDEX('CAMD Facility Data 2023'!$AE$2:$AG$10000,MATCH(Z836,'CAMD Facility Data 2023'!$AE$2:$AE$10000,0),3)&gt;0,INDEX('CAMD Facility Data 2023'!$AE$2:$AG$10000,MATCH(Z836,'CAMD Facility Data 2023'!$AE$2:$AE$10000,0),3),"")</f>
        <v/>
      </c>
      <c r="AD836" s="20">
        <f t="shared" si="40"/>
        <v>0.75756340098039343</v>
      </c>
      <c r="AE836" s="25">
        <f t="shared" si="41"/>
        <v>6.5172981852298265E-2</v>
      </c>
    </row>
    <row r="837" spans="1:31" x14ac:dyDescent="0.2">
      <c r="A837" s="1" t="s">
        <v>2089</v>
      </c>
      <c r="B837" s="1" t="s">
        <v>2201</v>
      </c>
      <c r="C837" s="1">
        <v>2500</v>
      </c>
      <c r="D837" s="1">
        <v>30</v>
      </c>
      <c r="F837" s="1">
        <v>2023</v>
      </c>
      <c r="G837" s="5">
        <v>1604</v>
      </c>
      <c r="H837" s="5">
        <v>1581.6</v>
      </c>
      <c r="I837" s="5">
        <v>374790.40000000002</v>
      </c>
      <c r="K837" s="5">
        <v>1.2929999999999999</v>
      </c>
      <c r="L837" s="5">
        <v>1E-3</v>
      </c>
      <c r="M837" s="5">
        <v>256074.05900000001</v>
      </c>
      <c r="N837" s="6">
        <v>5.91E-2</v>
      </c>
      <c r="O837" s="5">
        <v>169.78800000000001</v>
      </c>
      <c r="P837" s="6">
        <v>6.4299999999999996E-2</v>
      </c>
      <c r="Q837" s="5">
        <v>4308931.8150000004</v>
      </c>
      <c r="R837" s="1" t="s">
        <v>44</v>
      </c>
      <c r="S837" s="1" t="s">
        <v>173</v>
      </c>
      <c r="T837" s="1" t="s">
        <v>43</v>
      </c>
      <c r="Y837" s="1" t="s">
        <v>682</v>
      </c>
      <c r="Z837" s="1" t="str">
        <f t="shared" si="39"/>
        <v>2500 30</v>
      </c>
      <c r="AA837" s="3">
        <f>IF(INDEX('CAMD Facility Data 2023'!$AA$2:$AE$10000,MATCH(Z837,'CAMD Facility Data 2023'!$AE$2:$AE$10000,0),1)&gt;0,INDEX('CAMD Facility Data 2023'!$AA$2:$AE$10000,MATCH(Z837,'CAMD Facility Data 2023'!$AE$2:$AE$10000,0),1),"")</f>
        <v>23894</v>
      </c>
      <c r="AB837" s="5">
        <f>IF(INDEX('CAMD Facility Data 2023'!$AC$2:$AE$10000,MATCH(Z837,'CAMD Facility Data 2023'!$AE$2:$AE$10000,0),1)&gt;0,INDEX('CAMD Facility Data 2023'!$AC$2:$AE$10000,MATCH(Z837,'CAMD Facility Data 2023'!$AE$2:$AE$10000,0),1),"")</f>
        <v>9379</v>
      </c>
      <c r="AC837" s="1" t="str">
        <f>IF(INDEX('CAMD Facility Data 2023'!$AE$2:$AG$10000,MATCH(Z837,'CAMD Facility Data 2023'!$AE$2:$AE$10000,0),3)&gt;0,INDEX('CAMD Facility Data 2023'!$AE$2:$AG$10000,MATCH(Z837,'CAMD Facility Data 2023'!$AE$2:$AE$10000,0),3),"")</f>
        <v/>
      </c>
      <c r="AD837" s="20">
        <f t="shared" si="40"/>
        <v>0.90604241730844759</v>
      </c>
      <c r="AE837" s="25">
        <f t="shared" si="41"/>
        <v>5.2445590520647269E-2</v>
      </c>
    </row>
    <row r="838" spans="1:31" x14ac:dyDescent="0.2">
      <c r="A838" s="1" t="s">
        <v>2089</v>
      </c>
      <c r="B838" s="1" t="s">
        <v>2201</v>
      </c>
      <c r="C838" s="1">
        <v>2500</v>
      </c>
      <c r="D838" s="1" t="s">
        <v>2104</v>
      </c>
      <c r="F838" s="1">
        <v>2023</v>
      </c>
      <c r="G838" s="5">
        <v>0</v>
      </c>
      <c r="H838" s="5">
        <v>0</v>
      </c>
      <c r="R838" s="1" t="s">
        <v>44</v>
      </c>
      <c r="T838" s="1" t="s">
        <v>93</v>
      </c>
      <c r="Y838" s="1" t="s">
        <v>617</v>
      </c>
      <c r="Z838" s="1" t="str">
        <f t="shared" si="39"/>
        <v>2500 CT0001</v>
      </c>
      <c r="AA838" s="3">
        <f>IF(INDEX('CAMD Facility Data 2023'!$AA$2:$AE$10000,MATCH(Z838,'CAMD Facility Data 2023'!$AE$2:$AE$10000,0),1)&gt;0,INDEX('CAMD Facility Data 2023'!$AA$2:$AE$10000,MATCH(Z838,'CAMD Facility Data 2023'!$AE$2:$AE$10000,0),1),"")</f>
        <v>24654</v>
      </c>
      <c r="AB838" s="5">
        <f>IF(INDEX('CAMD Facility Data 2023'!$AC$2:$AE$10000,MATCH(Z838,'CAMD Facility Data 2023'!$AE$2:$AE$10000,0),1)&gt;0,INDEX('CAMD Facility Data 2023'!$AC$2:$AE$10000,MATCH(Z838,'CAMD Facility Data 2023'!$AE$2:$AE$10000,0),1),"")</f>
        <v>243</v>
      </c>
      <c r="AC838" s="1" t="str">
        <f>IF(INDEX('CAMD Facility Data 2023'!$AE$2:$AG$10000,MATCH(Z838,'CAMD Facility Data 2023'!$AE$2:$AE$10000,0),3)&gt;0,INDEX('CAMD Facility Data 2023'!$AE$2:$AG$10000,MATCH(Z838,'CAMD Facility Data 2023'!$AE$2:$AE$10000,0),3),"")</f>
        <v/>
      </c>
      <c r="AD838" s="20" t="str">
        <f t="shared" si="40"/>
        <v/>
      </c>
      <c r="AE838" s="25">
        <f t="shared" si="41"/>
        <v>0</v>
      </c>
    </row>
    <row r="839" spans="1:31" x14ac:dyDescent="0.2">
      <c r="A839" s="1" t="s">
        <v>2089</v>
      </c>
      <c r="B839" s="1" t="s">
        <v>2201</v>
      </c>
      <c r="C839" s="1">
        <v>2500</v>
      </c>
      <c r="D839" s="1" t="s">
        <v>2209</v>
      </c>
      <c r="F839" s="1">
        <v>2023</v>
      </c>
      <c r="G839" s="5">
        <v>75</v>
      </c>
      <c r="H839" s="5">
        <v>75</v>
      </c>
      <c r="I839" s="5">
        <v>786</v>
      </c>
      <c r="M839" s="5">
        <v>675.9</v>
      </c>
      <c r="N839" s="6">
        <v>5.91E-2</v>
      </c>
      <c r="O839" s="5">
        <v>2.6520000000000001</v>
      </c>
      <c r="P839" s="6">
        <v>0.46260000000000001</v>
      </c>
      <c r="Q839" s="5">
        <v>11457.1</v>
      </c>
      <c r="R839" s="1" t="s">
        <v>44</v>
      </c>
      <c r="S839" s="1" t="s">
        <v>94</v>
      </c>
      <c r="T839" s="1" t="s">
        <v>93</v>
      </c>
      <c r="Y839" s="1" t="s">
        <v>617</v>
      </c>
      <c r="Z839" s="1" t="str">
        <f t="shared" si="39"/>
        <v>2500 CT0010</v>
      </c>
      <c r="AA839" s="3">
        <f>IF(INDEX('CAMD Facility Data 2023'!$AA$2:$AE$10000,MATCH(Z839,'CAMD Facility Data 2023'!$AE$2:$AE$10000,0),1)&gt;0,INDEX('CAMD Facility Data 2023'!$AA$2:$AE$10000,MATCH(Z839,'CAMD Facility Data 2023'!$AE$2:$AE$10000,0),1),"")</f>
        <v>25781</v>
      </c>
      <c r="AB839" s="5">
        <f>IF(INDEX('CAMD Facility Data 2023'!$AC$2:$AE$10000,MATCH(Z839,'CAMD Facility Data 2023'!$AE$2:$AE$10000,0),1)&gt;0,INDEX('CAMD Facility Data 2023'!$AC$2:$AE$10000,MATCH(Z839,'CAMD Facility Data 2023'!$AE$2:$AE$10000,0),1),"")</f>
        <v>255</v>
      </c>
      <c r="AC839" s="1" t="str">
        <f>IF(INDEX('CAMD Facility Data 2023'!$AE$2:$AG$10000,MATCH(Z839,'CAMD Facility Data 2023'!$AE$2:$AE$10000,0),3)&gt;0,INDEX('CAMD Facility Data 2023'!$AE$2:$AG$10000,MATCH(Z839,'CAMD Facility Data 2023'!$AE$2:$AE$10000,0),3),"")</f>
        <v/>
      </c>
      <c r="AD839" s="20">
        <f t="shared" si="40"/>
        <v>6.7480916030534353</v>
      </c>
      <c r="AE839" s="25">
        <f t="shared" si="41"/>
        <v>5.1289730504073781E-3</v>
      </c>
    </row>
    <row r="840" spans="1:31" x14ac:dyDescent="0.2">
      <c r="A840" s="1" t="s">
        <v>2089</v>
      </c>
      <c r="B840" s="1" t="s">
        <v>2201</v>
      </c>
      <c r="C840" s="1">
        <v>2500</v>
      </c>
      <c r="D840" s="1" t="s">
        <v>2211</v>
      </c>
      <c r="F840" s="1">
        <v>2023</v>
      </c>
      <c r="G840" s="5">
        <v>0</v>
      </c>
      <c r="H840" s="5">
        <v>0</v>
      </c>
      <c r="R840" s="1" t="s">
        <v>44</v>
      </c>
      <c r="S840" s="1" t="s">
        <v>94</v>
      </c>
      <c r="T840" s="1" t="s">
        <v>93</v>
      </c>
      <c r="Y840" s="1" t="s">
        <v>617</v>
      </c>
      <c r="Z840" s="1" t="str">
        <f t="shared" si="39"/>
        <v>2500 CT0011</v>
      </c>
      <c r="AA840" s="3">
        <f>IF(INDEX('CAMD Facility Data 2023'!$AA$2:$AE$10000,MATCH(Z840,'CAMD Facility Data 2023'!$AE$2:$AE$10000,0),1)&gt;0,INDEX('CAMD Facility Data 2023'!$AA$2:$AE$10000,MATCH(Z840,'CAMD Facility Data 2023'!$AE$2:$AE$10000,0),1),"")</f>
        <v>25781</v>
      </c>
      <c r="AB840" s="5">
        <f>IF(INDEX('CAMD Facility Data 2023'!$AC$2:$AE$10000,MATCH(Z840,'CAMD Facility Data 2023'!$AE$2:$AE$10000,0),1)&gt;0,INDEX('CAMD Facility Data 2023'!$AC$2:$AE$10000,MATCH(Z840,'CAMD Facility Data 2023'!$AE$2:$AE$10000,0),1),"")</f>
        <v>255</v>
      </c>
      <c r="AC840" s="1" t="str">
        <f>IF(INDEX('CAMD Facility Data 2023'!$AE$2:$AG$10000,MATCH(Z840,'CAMD Facility Data 2023'!$AE$2:$AE$10000,0),3)&gt;0,INDEX('CAMD Facility Data 2023'!$AE$2:$AG$10000,MATCH(Z840,'CAMD Facility Data 2023'!$AE$2:$AE$10000,0),3),"")</f>
        <v/>
      </c>
      <c r="AD840" s="20" t="str">
        <f t="shared" si="40"/>
        <v/>
      </c>
      <c r="AE840" s="25">
        <f t="shared" si="41"/>
        <v>0</v>
      </c>
    </row>
    <row r="841" spans="1:31" x14ac:dyDescent="0.2">
      <c r="A841" s="1" t="s">
        <v>2089</v>
      </c>
      <c r="B841" s="1" t="s">
        <v>2201</v>
      </c>
      <c r="C841" s="1">
        <v>2500</v>
      </c>
      <c r="D841" s="1" t="s">
        <v>2213</v>
      </c>
      <c r="F841" s="1">
        <v>2023</v>
      </c>
      <c r="G841" s="5">
        <v>7870</v>
      </c>
      <c r="H841" s="5">
        <v>7835.6</v>
      </c>
      <c r="I841" s="5">
        <v>1964171.26</v>
      </c>
      <c r="K841" s="5">
        <v>4.2190000000000003</v>
      </c>
      <c r="L841" s="5">
        <v>1E-3</v>
      </c>
      <c r="M841" s="5">
        <v>835256.31299999997</v>
      </c>
      <c r="N841" s="6">
        <v>5.91E-2</v>
      </c>
      <c r="O841" s="5">
        <v>47.877000000000002</v>
      </c>
      <c r="P841" s="6">
        <v>7.9000000000000008E-3</v>
      </c>
      <c r="Q841" s="5">
        <v>14035648.425000001</v>
      </c>
      <c r="R841" s="1" t="s">
        <v>44</v>
      </c>
      <c r="S841" s="1" t="s">
        <v>94</v>
      </c>
      <c r="T841" s="1" t="s">
        <v>71</v>
      </c>
      <c r="V841" s="1" t="s">
        <v>2214</v>
      </c>
      <c r="Y841" s="1" t="s">
        <v>1515</v>
      </c>
      <c r="Z841" s="1" t="str">
        <f t="shared" si="39"/>
        <v>2500 UCC001</v>
      </c>
      <c r="AA841" s="3">
        <f>IF(INDEX('CAMD Facility Data 2023'!$AA$2:$AE$10000,MATCH(Z841,'CAMD Facility Data 2023'!$AE$2:$AE$10000,0),1)&gt;0,INDEX('CAMD Facility Data 2023'!$AA$2:$AE$10000,MATCH(Z841,'CAMD Facility Data 2023'!$AE$2:$AE$10000,0),1),"")</f>
        <v>37991</v>
      </c>
      <c r="AB841" s="5">
        <f>IF(INDEX('CAMD Facility Data 2023'!$AC$2:$AE$10000,MATCH(Z841,'CAMD Facility Data 2023'!$AE$2:$AE$10000,0),1)&gt;0,INDEX('CAMD Facility Data 2023'!$AC$2:$AE$10000,MATCH(Z841,'CAMD Facility Data 2023'!$AE$2:$AE$10000,0),1),"")</f>
        <v>2156</v>
      </c>
      <c r="AC841" s="1" t="str">
        <f>IF(INDEX('CAMD Facility Data 2023'!$AE$2:$AG$10000,MATCH(Z841,'CAMD Facility Data 2023'!$AE$2:$AE$10000,0),3)&gt;0,INDEX('CAMD Facility Data 2023'!$AE$2:$AG$10000,MATCH(Z841,'CAMD Facility Data 2023'!$AE$2:$AE$10000,0),3),"")</f>
        <v/>
      </c>
      <c r="AD841" s="20">
        <f t="shared" si="40"/>
        <v>4.8750331475677942E-2</v>
      </c>
      <c r="AE841" s="25">
        <f t="shared" si="41"/>
        <v>0.74315536683228711</v>
      </c>
    </row>
    <row r="842" spans="1:31" x14ac:dyDescent="0.2">
      <c r="A842" s="1" t="s">
        <v>2089</v>
      </c>
      <c r="B842" s="1" t="s">
        <v>2216</v>
      </c>
      <c r="C842" s="1">
        <v>2504</v>
      </c>
      <c r="D842" s="1">
        <v>120</v>
      </c>
      <c r="E842" s="1" t="s">
        <v>2098</v>
      </c>
      <c r="F842" s="1">
        <v>2023</v>
      </c>
      <c r="G842" s="5">
        <v>3230</v>
      </c>
      <c r="H842" s="5">
        <v>3225.75</v>
      </c>
      <c r="J842" s="5">
        <v>804591.75</v>
      </c>
      <c r="K842" s="5">
        <v>3.1160000000000001</v>
      </c>
      <c r="L842" s="5">
        <v>4.7000000000000002E-3</v>
      </c>
      <c r="M842" s="5">
        <v>63993.7</v>
      </c>
      <c r="N842" s="6">
        <v>5.9499999999999997E-2</v>
      </c>
      <c r="O842" s="5">
        <v>46.42</v>
      </c>
      <c r="P842" s="6">
        <v>8.4199999999999997E-2</v>
      </c>
      <c r="Q842" s="5">
        <v>1070032.1000000001</v>
      </c>
      <c r="R842" s="1" t="s">
        <v>44</v>
      </c>
      <c r="S842" s="1" t="s">
        <v>173</v>
      </c>
      <c r="T842" s="1" t="s">
        <v>43</v>
      </c>
      <c r="Y842" s="1" t="s">
        <v>2217</v>
      </c>
      <c r="Z842" s="1" t="str">
        <f t="shared" si="39"/>
        <v>2504 120</v>
      </c>
      <c r="AA842" s="3">
        <f>IF(INDEX('CAMD Facility Data 2023'!$AA$2:$AE$10000,MATCH(Z842,'CAMD Facility Data 2023'!$AE$2:$AE$10000,0),1)&gt;0,INDEX('CAMD Facility Data 2023'!$AA$2:$AE$10000,MATCH(Z842,'CAMD Facility Data 2023'!$AE$2:$AE$10000,0),1),"")</f>
        <v>20546</v>
      </c>
      <c r="AB842" s="5">
        <f>IF(INDEX('CAMD Facility Data 2023'!$AC$2:$AE$10000,MATCH(Z842,'CAMD Facility Data 2023'!$AE$2:$AE$10000,0),1)&gt;0,INDEX('CAMD Facility Data 2023'!$AC$2:$AE$10000,MATCH(Z842,'CAMD Facility Data 2023'!$AE$2:$AE$10000,0),1),"")</f>
        <v>836</v>
      </c>
      <c r="AC842" s="1" t="str">
        <f>IF(INDEX('CAMD Facility Data 2023'!$AE$2:$AG$10000,MATCH(Z842,'CAMD Facility Data 2023'!$AE$2:$AE$10000,0),3)&gt;0,INDEX('CAMD Facility Data 2023'!$AE$2:$AG$10000,MATCH(Z842,'CAMD Facility Data 2023'!$AE$2:$AE$10000,0),3),"")</f>
        <v/>
      </c>
      <c r="AD842" s="20" t="str">
        <f t="shared" si="40"/>
        <v/>
      </c>
      <c r="AE842" s="25">
        <f t="shared" si="41"/>
        <v>0.14611218074763499</v>
      </c>
    </row>
    <row r="843" spans="1:31" x14ac:dyDescent="0.2">
      <c r="A843" s="1" t="s">
        <v>2089</v>
      </c>
      <c r="B843" s="1" t="s">
        <v>2216</v>
      </c>
      <c r="C843" s="1">
        <v>2504</v>
      </c>
      <c r="D843" s="1">
        <v>121</v>
      </c>
      <c r="E843" s="1" t="s">
        <v>2098</v>
      </c>
      <c r="F843" s="1">
        <v>2023</v>
      </c>
      <c r="G843" s="5">
        <v>4484</v>
      </c>
      <c r="H843" s="5">
        <v>4478.5</v>
      </c>
      <c r="J843" s="5">
        <v>1224513.5</v>
      </c>
      <c r="K843" s="5">
        <v>0.46300000000000002</v>
      </c>
      <c r="L843" s="5">
        <v>1E-3</v>
      </c>
      <c r="M843" s="5">
        <v>91611.8</v>
      </c>
      <c r="N843" s="6">
        <v>5.9299999999999999E-2</v>
      </c>
      <c r="O843" s="5">
        <v>69.816999999999993</v>
      </c>
      <c r="P843" s="6">
        <v>8.7900000000000006E-2</v>
      </c>
      <c r="Q843" s="5">
        <v>1541435.9750000001</v>
      </c>
      <c r="R843" s="1" t="s">
        <v>44</v>
      </c>
      <c r="S843" s="1" t="s">
        <v>173</v>
      </c>
      <c r="T843" s="1" t="s">
        <v>43</v>
      </c>
      <c r="Y843" s="1" t="s">
        <v>2217</v>
      </c>
      <c r="Z843" s="1" t="str">
        <f t="shared" si="39"/>
        <v>2504 121</v>
      </c>
      <c r="AA843" s="3">
        <f>IF(INDEX('CAMD Facility Data 2023'!$AA$2:$AE$10000,MATCH(Z843,'CAMD Facility Data 2023'!$AE$2:$AE$10000,0),1)&gt;0,INDEX('CAMD Facility Data 2023'!$AA$2:$AE$10000,MATCH(Z843,'CAMD Facility Data 2023'!$AE$2:$AE$10000,0),1),"")</f>
        <v>20546</v>
      </c>
      <c r="AB843" s="5">
        <f>IF(INDEX('CAMD Facility Data 2023'!$AC$2:$AE$10000,MATCH(Z843,'CAMD Facility Data 2023'!$AE$2:$AE$10000,0),1)&gt;0,INDEX('CAMD Facility Data 2023'!$AC$2:$AE$10000,MATCH(Z843,'CAMD Facility Data 2023'!$AE$2:$AE$10000,0),1),"")</f>
        <v>836</v>
      </c>
      <c r="AC843" s="1" t="str">
        <f>IF(INDEX('CAMD Facility Data 2023'!$AE$2:$AG$10000,MATCH(Z843,'CAMD Facility Data 2023'!$AE$2:$AE$10000,0),3)&gt;0,INDEX('CAMD Facility Data 2023'!$AE$2:$AG$10000,MATCH(Z843,'CAMD Facility Data 2023'!$AE$2:$AE$10000,0),3),"")</f>
        <v/>
      </c>
      <c r="AD843" s="20" t="str">
        <f t="shared" si="40"/>
        <v/>
      </c>
      <c r="AE843" s="25">
        <f t="shared" si="41"/>
        <v>0.21048207038845559</v>
      </c>
    </row>
    <row r="844" spans="1:31" x14ac:dyDescent="0.2">
      <c r="A844" s="1" t="s">
        <v>2089</v>
      </c>
      <c r="B844" s="1" t="s">
        <v>2216</v>
      </c>
      <c r="C844" s="1">
        <v>2504</v>
      </c>
      <c r="D844" s="1">
        <v>122</v>
      </c>
      <c r="E844" s="1" t="s">
        <v>2098</v>
      </c>
      <c r="F844" s="1">
        <v>2023</v>
      </c>
      <c r="G844" s="5">
        <v>3617</v>
      </c>
      <c r="H844" s="5">
        <v>3614.5</v>
      </c>
      <c r="J844" s="5">
        <v>949104.75</v>
      </c>
      <c r="K844" s="5">
        <v>0.34200000000000003</v>
      </c>
      <c r="L844" s="5">
        <v>1E-3</v>
      </c>
      <c r="M844" s="5">
        <v>67682.274999999994</v>
      </c>
      <c r="N844" s="6">
        <v>5.9299999999999999E-2</v>
      </c>
      <c r="O844" s="5">
        <v>47.232999999999997</v>
      </c>
      <c r="P844" s="6">
        <v>7.9500000000000001E-2</v>
      </c>
      <c r="Q844" s="5">
        <v>1138852.45</v>
      </c>
      <c r="R844" s="1" t="s">
        <v>44</v>
      </c>
      <c r="S844" s="1" t="s">
        <v>173</v>
      </c>
      <c r="T844" s="1" t="s">
        <v>43</v>
      </c>
      <c r="Y844" s="1" t="s">
        <v>2217</v>
      </c>
      <c r="Z844" s="1" t="str">
        <f t="shared" si="39"/>
        <v>2504 122</v>
      </c>
      <c r="AA844" s="3">
        <f>IF(INDEX('CAMD Facility Data 2023'!$AA$2:$AE$10000,MATCH(Z844,'CAMD Facility Data 2023'!$AE$2:$AE$10000,0),1)&gt;0,INDEX('CAMD Facility Data 2023'!$AA$2:$AE$10000,MATCH(Z844,'CAMD Facility Data 2023'!$AE$2:$AE$10000,0),1),"")</f>
        <v>20546</v>
      </c>
      <c r="AB844" s="5">
        <f>IF(INDEX('CAMD Facility Data 2023'!$AC$2:$AE$10000,MATCH(Z844,'CAMD Facility Data 2023'!$AE$2:$AE$10000,0),1)&gt;0,INDEX('CAMD Facility Data 2023'!$AC$2:$AE$10000,MATCH(Z844,'CAMD Facility Data 2023'!$AE$2:$AE$10000,0),1),"")</f>
        <v>836</v>
      </c>
      <c r="AC844" s="1" t="str">
        <f>IF(INDEX('CAMD Facility Data 2023'!$AE$2:$AG$10000,MATCH(Z844,'CAMD Facility Data 2023'!$AE$2:$AE$10000,0),3)&gt;0,INDEX('CAMD Facility Data 2023'!$AE$2:$AG$10000,MATCH(Z844,'CAMD Facility Data 2023'!$AE$2:$AE$10000,0),3),"")</f>
        <v/>
      </c>
      <c r="AD844" s="20" t="str">
        <f t="shared" si="40"/>
        <v/>
      </c>
      <c r="AE844" s="25">
        <f t="shared" si="41"/>
        <v>0.15550955435756264</v>
      </c>
    </row>
    <row r="845" spans="1:31" x14ac:dyDescent="0.2">
      <c r="A845" s="1" t="s">
        <v>2089</v>
      </c>
      <c r="B845" s="1" t="s">
        <v>2216</v>
      </c>
      <c r="C845" s="1">
        <v>2504</v>
      </c>
      <c r="D845" s="1" t="s">
        <v>2104</v>
      </c>
      <c r="F845" s="1">
        <v>2023</v>
      </c>
      <c r="G845" s="5">
        <v>5</v>
      </c>
      <c r="H845" s="5">
        <v>5</v>
      </c>
      <c r="I845" s="5">
        <v>70</v>
      </c>
      <c r="M845" s="5">
        <v>90.5</v>
      </c>
      <c r="N845" s="6">
        <v>8.1000000000000003E-2</v>
      </c>
      <c r="O845" s="5">
        <v>0.66900000000000004</v>
      </c>
      <c r="P845" s="6">
        <v>1.2</v>
      </c>
      <c r="Q845" s="5">
        <v>1115</v>
      </c>
      <c r="R845" s="1" t="s">
        <v>1292</v>
      </c>
      <c r="T845" s="1" t="s">
        <v>93</v>
      </c>
      <c r="Y845" s="1" t="s">
        <v>617</v>
      </c>
      <c r="Z845" s="1" t="str">
        <f t="shared" si="39"/>
        <v>2504 CT0001</v>
      </c>
      <c r="AA845" s="3">
        <f>IF(INDEX('CAMD Facility Data 2023'!$AA$2:$AE$10000,MATCH(Z845,'CAMD Facility Data 2023'!$AE$2:$AE$10000,0),1)&gt;0,INDEX('CAMD Facility Data 2023'!$AA$2:$AE$10000,MATCH(Z845,'CAMD Facility Data 2023'!$AE$2:$AE$10000,0),1),"")</f>
        <v>25112</v>
      </c>
      <c r="AB845" s="5">
        <f>IF(INDEX('CAMD Facility Data 2023'!$AC$2:$AE$10000,MATCH(Z845,'CAMD Facility Data 2023'!$AE$2:$AE$10000,0),1)&gt;0,INDEX('CAMD Facility Data 2023'!$AC$2:$AE$10000,MATCH(Z845,'CAMD Facility Data 2023'!$AE$2:$AE$10000,0),1),"")</f>
        <v>223</v>
      </c>
      <c r="AC845" s="1" t="str">
        <f>IF(INDEX('CAMD Facility Data 2023'!$AE$2:$AG$10000,MATCH(Z845,'CAMD Facility Data 2023'!$AE$2:$AE$10000,0),3)&gt;0,INDEX('CAMD Facility Data 2023'!$AE$2:$AG$10000,MATCH(Z845,'CAMD Facility Data 2023'!$AE$2:$AE$10000,0),3),"")</f>
        <v/>
      </c>
      <c r="AD845" s="20">
        <f t="shared" si="40"/>
        <v>19.114285714285714</v>
      </c>
      <c r="AE845" s="25">
        <f t="shared" si="41"/>
        <v>5.7077625570776253E-4</v>
      </c>
    </row>
    <row r="846" spans="1:31" x14ac:dyDescent="0.2">
      <c r="A846" s="1" t="s">
        <v>2089</v>
      </c>
      <c r="B846" s="1" t="s">
        <v>2216</v>
      </c>
      <c r="C846" s="1">
        <v>2504</v>
      </c>
      <c r="D846" s="1" t="s">
        <v>2219</v>
      </c>
      <c r="F846" s="1">
        <v>2023</v>
      </c>
      <c r="G846" s="5">
        <v>10</v>
      </c>
      <c r="H846" s="5">
        <v>10</v>
      </c>
      <c r="I846" s="5">
        <v>140</v>
      </c>
      <c r="M846" s="5">
        <v>181</v>
      </c>
      <c r="N846" s="6">
        <v>8.1000000000000003E-2</v>
      </c>
      <c r="O846" s="5">
        <v>1.3380000000000001</v>
      </c>
      <c r="P846" s="6">
        <v>1.2</v>
      </c>
      <c r="Q846" s="5">
        <v>2230</v>
      </c>
      <c r="R846" s="1" t="s">
        <v>1292</v>
      </c>
      <c r="T846" s="1" t="s">
        <v>93</v>
      </c>
      <c r="Y846" s="1" t="s">
        <v>617</v>
      </c>
      <c r="Z846" s="1" t="str">
        <f t="shared" si="39"/>
        <v>2504 CT0002</v>
      </c>
      <c r="AA846" s="3">
        <f>IF(INDEX('CAMD Facility Data 2023'!$AA$2:$AE$10000,MATCH(Z846,'CAMD Facility Data 2023'!$AE$2:$AE$10000,0),1)&gt;0,INDEX('CAMD Facility Data 2023'!$AA$2:$AE$10000,MATCH(Z846,'CAMD Facility Data 2023'!$AE$2:$AE$10000,0),1),"")</f>
        <v>25112</v>
      </c>
      <c r="AB846" s="5">
        <f>IF(INDEX('CAMD Facility Data 2023'!$AC$2:$AE$10000,MATCH(Z846,'CAMD Facility Data 2023'!$AE$2:$AE$10000,0),1)&gt;0,INDEX('CAMD Facility Data 2023'!$AC$2:$AE$10000,MATCH(Z846,'CAMD Facility Data 2023'!$AE$2:$AE$10000,0),1),"")</f>
        <v>223</v>
      </c>
      <c r="AC846" s="1" t="str">
        <f>IF(INDEX('CAMD Facility Data 2023'!$AE$2:$AG$10000,MATCH(Z846,'CAMD Facility Data 2023'!$AE$2:$AE$10000,0),3)&gt;0,INDEX('CAMD Facility Data 2023'!$AE$2:$AG$10000,MATCH(Z846,'CAMD Facility Data 2023'!$AE$2:$AE$10000,0),3),"")</f>
        <v/>
      </c>
      <c r="AD846" s="20">
        <f t="shared" si="40"/>
        <v>19.114285714285714</v>
      </c>
      <c r="AE846" s="25">
        <f t="shared" si="41"/>
        <v>1.1415525114155251E-3</v>
      </c>
    </row>
    <row r="847" spans="1:31" x14ac:dyDescent="0.2">
      <c r="A847" s="1" t="s">
        <v>2089</v>
      </c>
      <c r="B847" s="1" t="s">
        <v>2221</v>
      </c>
      <c r="C847" s="1">
        <v>2511</v>
      </c>
      <c r="D847" s="1">
        <v>10</v>
      </c>
      <c r="F847" s="1">
        <v>2023</v>
      </c>
      <c r="G847" s="5">
        <v>6838</v>
      </c>
      <c r="H847" s="5">
        <v>6823</v>
      </c>
      <c r="I847" s="5">
        <v>859761.15</v>
      </c>
      <c r="K847" s="5">
        <v>12.481999999999999</v>
      </c>
      <c r="L847" s="5">
        <v>3.5999999999999999E-3</v>
      </c>
      <c r="M847" s="5">
        <v>507383.80300000001</v>
      </c>
      <c r="N847" s="6">
        <v>5.9200000000000003E-2</v>
      </c>
      <c r="O847" s="5">
        <v>385.95</v>
      </c>
      <c r="P847" s="6">
        <v>8.9599999999999999E-2</v>
      </c>
      <c r="Q847" s="5">
        <v>8518755.9859999996</v>
      </c>
      <c r="R847" s="1" t="s">
        <v>44</v>
      </c>
      <c r="S847" s="1" t="s">
        <v>173</v>
      </c>
      <c r="T847" s="1" t="s">
        <v>43</v>
      </c>
      <c r="Y847" s="1" t="s">
        <v>1515</v>
      </c>
      <c r="Z847" s="1" t="str">
        <f t="shared" si="39"/>
        <v>2511 10</v>
      </c>
      <c r="AA847" s="3">
        <f>IF(INDEX('CAMD Facility Data 2023'!$AA$2:$AE$10000,MATCH(Z847,'CAMD Facility Data 2023'!$AE$2:$AE$10000,0),1)&gt;0,INDEX('CAMD Facility Data 2023'!$AA$2:$AE$10000,MATCH(Z847,'CAMD Facility Data 2023'!$AE$2:$AE$10000,0),1),"")</f>
        <v>20455</v>
      </c>
      <c r="AB847" s="5">
        <f>IF(INDEX('CAMD Facility Data 2023'!$AC$2:$AE$10000,MATCH(Z847,'CAMD Facility Data 2023'!$AE$2:$AE$10000,0),1)&gt;0,INDEX('CAMD Facility Data 2023'!$AC$2:$AE$10000,MATCH(Z847,'CAMD Facility Data 2023'!$AE$2:$AE$10000,0),1),"")</f>
        <v>2300</v>
      </c>
      <c r="AC847" s="1" t="str">
        <f>IF(INDEX('CAMD Facility Data 2023'!$AE$2:$AG$10000,MATCH(Z847,'CAMD Facility Data 2023'!$AE$2:$AE$10000,0),3)&gt;0,INDEX('CAMD Facility Data 2023'!$AE$2:$AG$10000,MATCH(Z847,'CAMD Facility Data 2023'!$AE$2:$AE$10000,0),3),"")</f>
        <v/>
      </c>
      <c r="AD847" s="20">
        <f t="shared" si="40"/>
        <v>0.89780748990577208</v>
      </c>
      <c r="AE847" s="25">
        <f t="shared" si="41"/>
        <v>0.42280901260671033</v>
      </c>
    </row>
    <row r="848" spans="1:31" x14ac:dyDescent="0.2">
      <c r="A848" s="1" t="s">
        <v>2089</v>
      </c>
      <c r="B848" s="1" t="s">
        <v>2221</v>
      </c>
      <c r="C848" s="1">
        <v>2511</v>
      </c>
      <c r="D848" s="1">
        <v>20</v>
      </c>
      <c r="F848" s="1">
        <v>2023</v>
      </c>
      <c r="G848" s="5">
        <v>4247</v>
      </c>
      <c r="H848" s="5">
        <v>4225.17</v>
      </c>
      <c r="I848" s="5">
        <v>526082.28</v>
      </c>
      <c r="K848" s="5">
        <v>10.385</v>
      </c>
      <c r="L848" s="5">
        <v>5.1999999999999998E-3</v>
      </c>
      <c r="M848" s="5">
        <v>310560.83299999998</v>
      </c>
      <c r="N848" s="6">
        <v>5.9299999999999999E-2</v>
      </c>
      <c r="O848" s="5">
        <v>136.12799999999999</v>
      </c>
      <c r="P848" s="6">
        <v>4.99E-2</v>
      </c>
      <c r="Q848" s="5">
        <v>5208932.6239999998</v>
      </c>
      <c r="R848" s="1" t="s">
        <v>44</v>
      </c>
      <c r="S848" s="1" t="s">
        <v>173</v>
      </c>
      <c r="T848" s="1" t="s">
        <v>43</v>
      </c>
      <c r="V848" s="1" t="s">
        <v>220</v>
      </c>
      <c r="Y848" s="1" t="s">
        <v>1515</v>
      </c>
      <c r="Z848" s="1" t="str">
        <f t="shared" si="39"/>
        <v>2511 20</v>
      </c>
      <c r="AA848" s="3">
        <f>IF(INDEX('CAMD Facility Data 2023'!$AA$2:$AE$10000,MATCH(Z848,'CAMD Facility Data 2023'!$AE$2:$AE$10000,0),1)&gt;0,INDEX('CAMD Facility Data 2023'!$AA$2:$AE$10000,MATCH(Z848,'CAMD Facility Data 2023'!$AE$2:$AE$10000,0),1),"")</f>
        <v>23012</v>
      </c>
      <c r="AB848" s="5">
        <f>IF(INDEX('CAMD Facility Data 2023'!$AC$2:$AE$10000,MATCH(Z848,'CAMD Facility Data 2023'!$AE$2:$AE$10000,0),1)&gt;0,INDEX('CAMD Facility Data 2023'!$AC$2:$AE$10000,MATCH(Z848,'CAMD Facility Data 2023'!$AE$2:$AE$10000,0),1),"")</f>
        <v>2100</v>
      </c>
      <c r="AC848" s="1" t="str">
        <f>IF(INDEX('CAMD Facility Data 2023'!$AE$2:$AG$10000,MATCH(Z848,'CAMD Facility Data 2023'!$AE$2:$AE$10000,0),3)&gt;0,INDEX('CAMD Facility Data 2023'!$AE$2:$AG$10000,MATCH(Z848,'CAMD Facility Data 2023'!$AE$2:$AE$10000,0),3),"")</f>
        <v/>
      </c>
      <c r="AD848" s="20">
        <f t="shared" si="40"/>
        <v>0.51751600529103547</v>
      </c>
      <c r="AE848" s="25">
        <f t="shared" si="41"/>
        <v>0.2831557199391172</v>
      </c>
    </row>
    <row r="849" spans="1:31" x14ac:dyDescent="0.2">
      <c r="A849" s="1" t="s">
        <v>2089</v>
      </c>
      <c r="B849" s="1" t="s">
        <v>2221</v>
      </c>
      <c r="C849" s="1">
        <v>2511</v>
      </c>
      <c r="D849" s="1" t="s">
        <v>2227</v>
      </c>
      <c r="E849" s="1" t="s">
        <v>1330</v>
      </c>
      <c r="F849" s="1">
        <v>2023</v>
      </c>
      <c r="G849" s="5">
        <v>395</v>
      </c>
      <c r="H849" s="5">
        <v>395</v>
      </c>
      <c r="I849" s="5">
        <v>3758</v>
      </c>
      <c r="M849" s="5">
        <v>3342.2</v>
      </c>
      <c r="N849" s="6">
        <v>5.9700000000000003E-2</v>
      </c>
      <c r="O849" s="5">
        <v>9.6059999999999999</v>
      </c>
      <c r="P849" s="6">
        <v>0.34300000000000003</v>
      </c>
      <c r="Q849" s="5">
        <v>55825.9</v>
      </c>
      <c r="R849" s="1" t="s">
        <v>44</v>
      </c>
      <c r="S849" s="1" t="s">
        <v>94</v>
      </c>
      <c r="T849" s="1" t="s">
        <v>93</v>
      </c>
      <c r="Y849" s="1" t="s">
        <v>617</v>
      </c>
      <c r="Z849" s="1" t="str">
        <f t="shared" si="39"/>
        <v>2511 U00004</v>
      </c>
      <c r="AA849" s="3">
        <f>IF(INDEX('CAMD Facility Data 2023'!$AA$2:$AE$10000,MATCH(Z849,'CAMD Facility Data 2023'!$AE$2:$AE$10000,0),1)&gt;0,INDEX('CAMD Facility Data 2023'!$AA$2:$AE$10000,MATCH(Z849,'CAMD Facility Data 2023'!$AE$2:$AE$10000,0),1),"")</f>
        <v>25750</v>
      </c>
      <c r="AB849" s="5">
        <f>IF(INDEX('CAMD Facility Data 2023'!$AC$2:$AE$10000,MATCH(Z849,'CAMD Facility Data 2023'!$AE$2:$AE$10000,0),1)&gt;0,INDEX('CAMD Facility Data 2023'!$AC$2:$AE$10000,MATCH(Z849,'CAMD Facility Data 2023'!$AE$2:$AE$10000,0),1),"")</f>
        <v>276</v>
      </c>
      <c r="AC849" s="1" t="str">
        <f>IF(INDEX('CAMD Facility Data 2023'!$AE$2:$AG$10000,MATCH(Z849,'CAMD Facility Data 2023'!$AE$2:$AE$10000,0),3)&gt;0,INDEX('CAMD Facility Data 2023'!$AE$2:$AG$10000,MATCH(Z849,'CAMD Facility Data 2023'!$AE$2:$AE$10000,0),3),"")</f>
        <v/>
      </c>
      <c r="AD849" s="20">
        <f t="shared" si="40"/>
        <v>5.1122937732836613</v>
      </c>
      <c r="AE849" s="25">
        <f t="shared" si="41"/>
        <v>2.3089926212692742E-2</v>
      </c>
    </row>
    <row r="850" spans="1:31" x14ac:dyDescent="0.2">
      <c r="A850" s="1" t="s">
        <v>2089</v>
      </c>
      <c r="B850" s="1" t="s">
        <v>2221</v>
      </c>
      <c r="C850" s="1">
        <v>2511</v>
      </c>
      <c r="D850" s="1" t="s">
        <v>2229</v>
      </c>
      <c r="E850" s="1" t="s">
        <v>1330</v>
      </c>
      <c r="F850" s="1">
        <v>2023</v>
      </c>
      <c r="G850" s="5">
        <v>461</v>
      </c>
      <c r="H850" s="5">
        <v>461</v>
      </c>
      <c r="I850" s="5">
        <v>4463</v>
      </c>
      <c r="M850" s="5">
        <v>3902.1</v>
      </c>
      <c r="N850" s="6">
        <v>5.9499999999999997E-2</v>
      </c>
      <c r="O850" s="5">
        <v>11.180999999999999</v>
      </c>
      <c r="P850" s="6">
        <v>0.34160000000000001</v>
      </c>
      <c r="Q850" s="5">
        <v>65542.2</v>
      </c>
      <c r="R850" s="1" t="s">
        <v>44</v>
      </c>
      <c r="S850" s="1" t="s">
        <v>94</v>
      </c>
      <c r="T850" s="1" t="s">
        <v>93</v>
      </c>
      <c r="Y850" s="1" t="s">
        <v>617</v>
      </c>
      <c r="Z850" s="1" t="str">
        <f t="shared" si="39"/>
        <v>2511 U00005</v>
      </c>
      <c r="AA850" s="3">
        <f>IF(INDEX('CAMD Facility Data 2023'!$AA$2:$AE$10000,MATCH(Z850,'CAMD Facility Data 2023'!$AE$2:$AE$10000,0),1)&gt;0,INDEX('CAMD Facility Data 2023'!$AA$2:$AE$10000,MATCH(Z850,'CAMD Facility Data 2023'!$AE$2:$AE$10000,0),1),"")</f>
        <v>25750</v>
      </c>
      <c r="AB850" s="5">
        <f>IF(INDEX('CAMD Facility Data 2023'!$AC$2:$AE$10000,MATCH(Z850,'CAMD Facility Data 2023'!$AE$2:$AE$10000,0),1)&gt;0,INDEX('CAMD Facility Data 2023'!$AC$2:$AE$10000,MATCH(Z850,'CAMD Facility Data 2023'!$AE$2:$AE$10000,0),1),"")</f>
        <v>276</v>
      </c>
      <c r="AC850" s="1" t="str">
        <f>IF(INDEX('CAMD Facility Data 2023'!$AE$2:$AG$10000,MATCH(Z850,'CAMD Facility Data 2023'!$AE$2:$AE$10000,0),3)&gt;0,INDEX('CAMD Facility Data 2023'!$AE$2:$AG$10000,MATCH(Z850,'CAMD Facility Data 2023'!$AE$2:$AE$10000,0),3),"")</f>
        <v/>
      </c>
      <c r="AD850" s="20">
        <f t="shared" si="40"/>
        <v>5.0105310329374859</v>
      </c>
      <c r="AE850" s="25">
        <f t="shared" si="41"/>
        <v>2.7108646019456024E-2</v>
      </c>
    </row>
    <row r="851" spans="1:31" x14ac:dyDescent="0.2">
      <c r="A851" s="1" t="s">
        <v>2089</v>
      </c>
      <c r="B851" s="1" t="s">
        <v>2221</v>
      </c>
      <c r="C851" s="1">
        <v>2511</v>
      </c>
      <c r="D851" s="1" t="s">
        <v>2231</v>
      </c>
      <c r="E851" s="1" t="s">
        <v>1330</v>
      </c>
      <c r="F851" s="1">
        <v>2023</v>
      </c>
      <c r="G851" s="5">
        <v>407</v>
      </c>
      <c r="H851" s="5">
        <v>407</v>
      </c>
      <c r="I851" s="5">
        <v>3729</v>
      </c>
      <c r="M851" s="5">
        <v>3334.4</v>
      </c>
      <c r="N851" s="6">
        <v>5.9499999999999997E-2</v>
      </c>
      <c r="O851" s="5">
        <v>9.5640000000000001</v>
      </c>
      <c r="P851" s="6">
        <v>0.34320000000000001</v>
      </c>
      <c r="Q851" s="5">
        <v>55870.6</v>
      </c>
      <c r="R851" s="1" t="s">
        <v>44</v>
      </c>
      <c r="S851" s="1" t="s">
        <v>94</v>
      </c>
      <c r="T851" s="1" t="s">
        <v>93</v>
      </c>
      <c r="Y851" s="1" t="s">
        <v>617</v>
      </c>
      <c r="Z851" s="1" t="str">
        <f t="shared" si="39"/>
        <v>2511 U00006</v>
      </c>
      <c r="AA851" s="3">
        <f>IF(INDEX('CAMD Facility Data 2023'!$AA$2:$AE$10000,MATCH(Z851,'CAMD Facility Data 2023'!$AE$2:$AE$10000,0),1)&gt;0,INDEX('CAMD Facility Data 2023'!$AA$2:$AE$10000,MATCH(Z851,'CAMD Facility Data 2023'!$AE$2:$AE$10000,0),1),"")</f>
        <v>25750</v>
      </c>
      <c r="AB851" s="5">
        <f>IF(INDEX('CAMD Facility Data 2023'!$AC$2:$AE$10000,MATCH(Z851,'CAMD Facility Data 2023'!$AE$2:$AE$10000,0),1)&gt;0,INDEX('CAMD Facility Data 2023'!$AC$2:$AE$10000,MATCH(Z851,'CAMD Facility Data 2023'!$AE$2:$AE$10000,0),1),"")</f>
        <v>276</v>
      </c>
      <c r="AC851" s="1" t="str">
        <f>IF(INDEX('CAMD Facility Data 2023'!$AE$2:$AG$10000,MATCH(Z851,'CAMD Facility Data 2023'!$AE$2:$AE$10000,0),3)&gt;0,INDEX('CAMD Facility Data 2023'!$AE$2:$AG$10000,MATCH(Z851,'CAMD Facility Data 2023'!$AE$2:$AE$10000,0),3),"")</f>
        <v/>
      </c>
      <c r="AD851" s="20">
        <f t="shared" si="40"/>
        <v>5.1295253419147224</v>
      </c>
      <c r="AE851" s="25">
        <f t="shared" si="41"/>
        <v>2.3108414400105883E-2</v>
      </c>
    </row>
    <row r="852" spans="1:31" x14ac:dyDescent="0.2">
      <c r="A852" s="1" t="s">
        <v>2089</v>
      </c>
      <c r="B852" s="1" t="s">
        <v>2221</v>
      </c>
      <c r="C852" s="1">
        <v>2511</v>
      </c>
      <c r="D852" s="1" t="s">
        <v>2233</v>
      </c>
      <c r="E852" s="1" t="s">
        <v>1330</v>
      </c>
      <c r="F852" s="1">
        <v>2023</v>
      </c>
      <c r="G852" s="5">
        <v>220</v>
      </c>
      <c r="H852" s="5">
        <v>220</v>
      </c>
      <c r="I852" s="5">
        <v>2285</v>
      </c>
      <c r="M852" s="5">
        <v>2154.8000000000002</v>
      </c>
      <c r="N852" s="6">
        <v>5.8799999999999998E-2</v>
      </c>
      <c r="O852" s="5">
        <v>6.1390000000000002</v>
      </c>
      <c r="P852" s="6">
        <v>0.33589999999999998</v>
      </c>
      <c r="Q852" s="5">
        <v>36545.199999999997</v>
      </c>
      <c r="R852" s="1" t="s">
        <v>44</v>
      </c>
      <c r="S852" s="1" t="s">
        <v>94</v>
      </c>
      <c r="T852" s="1" t="s">
        <v>93</v>
      </c>
      <c r="Y852" s="1" t="s">
        <v>617</v>
      </c>
      <c r="Z852" s="1" t="str">
        <f t="shared" si="39"/>
        <v>2511 U00007</v>
      </c>
      <c r="AA852" s="3">
        <f>IF(INDEX('CAMD Facility Data 2023'!$AA$2:$AE$10000,MATCH(Z852,'CAMD Facility Data 2023'!$AE$2:$AE$10000,0),1)&gt;0,INDEX('CAMD Facility Data 2023'!$AA$2:$AE$10000,MATCH(Z852,'CAMD Facility Data 2023'!$AE$2:$AE$10000,0),1),"")</f>
        <v>25750</v>
      </c>
      <c r="AB852" s="5">
        <f>IF(INDEX('CAMD Facility Data 2023'!$AC$2:$AE$10000,MATCH(Z852,'CAMD Facility Data 2023'!$AE$2:$AE$10000,0),1)&gt;0,INDEX('CAMD Facility Data 2023'!$AC$2:$AE$10000,MATCH(Z852,'CAMD Facility Data 2023'!$AE$2:$AE$10000,0),1),"")</f>
        <v>276</v>
      </c>
      <c r="AC852" s="1" t="str">
        <f>IF(INDEX('CAMD Facility Data 2023'!$AE$2:$AG$10000,MATCH(Z852,'CAMD Facility Data 2023'!$AE$2:$AE$10000,0),3)&gt;0,INDEX('CAMD Facility Data 2023'!$AE$2:$AG$10000,MATCH(Z852,'CAMD Facility Data 2023'!$AE$2:$AE$10000,0),3),"")</f>
        <v/>
      </c>
      <c r="AD852" s="20">
        <f t="shared" si="40"/>
        <v>5.3733041575492342</v>
      </c>
      <c r="AE852" s="25">
        <f t="shared" si="41"/>
        <v>1.5115313347892262E-2</v>
      </c>
    </row>
    <row r="853" spans="1:31" x14ac:dyDescent="0.2">
      <c r="A853" s="1" t="s">
        <v>2089</v>
      </c>
      <c r="B853" s="1" t="s">
        <v>2221</v>
      </c>
      <c r="C853" s="1">
        <v>2511</v>
      </c>
      <c r="D853" s="1" t="s">
        <v>2235</v>
      </c>
      <c r="E853" s="1" t="s">
        <v>1330</v>
      </c>
      <c r="F853" s="1">
        <v>2023</v>
      </c>
      <c r="G853" s="5">
        <v>373</v>
      </c>
      <c r="H853" s="5">
        <v>373</v>
      </c>
      <c r="I853" s="5">
        <v>3291</v>
      </c>
      <c r="M853" s="5">
        <v>2846.5</v>
      </c>
      <c r="N853" s="6">
        <v>5.8900000000000001E-2</v>
      </c>
      <c r="O853" s="5">
        <v>8.0950000000000006</v>
      </c>
      <c r="P853" s="6">
        <v>0.33600000000000002</v>
      </c>
      <c r="Q853" s="5">
        <v>48195.5</v>
      </c>
      <c r="R853" s="1" t="s">
        <v>44</v>
      </c>
      <c r="S853" s="1" t="s">
        <v>94</v>
      </c>
      <c r="T853" s="1" t="s">
        <v>93</v>
      </c>
      <c r="Y853" s="1" t="s">
        <v>617</v>
      </c>
      <c r="Z853" s="1" t="str">
        <f t="shared" si="39"/>
        <v>2511 U00008</v>
      </c>
      <c r="AA853" s="3">
        <f>IF(INDEX('CAMD Facility Data 2023'!$AA$2:$AE$10000,MATCH(Z853,'CAMD Facility Data 2023'!$AE$2:$AE$10000,0),1)&gt;0,INDEX('CAMD Facility Data 2023'!$AA$2:$AE$10000,MATCH(Z853,'CAMD Facility Data 2023'!$AE$2:$AE$10000,0),1),"")</f>
        <v>25750</v>
      </c>
      <c r="AB853" s="5">
        <f>IF(INDEX('CAMD Facility Data 2023'!$AC$2:$AE$10000,MATCH(Z853,'CAMD Facility Data 2023'!$AE$2:$AE$10000,0),1)&gt;0,INDEX('CAMD Facility Data 2023'!$AC$2:$AE$10000,MATCH(Z853,'CAMD Facility Data 2023'!$AE$2:$AE$10000,0),1),"")</f>
        <v>276</v>
      </c>
      <c r="AC853" s="1" t="str">
        <f>IF(INDEX('CAMD Facility Data 2023'!$AE$2:$AG$10000,MATCH(Z853,'CAMD Facility Data 2023'!$AE$2:$AE$10000,0),3)&gt;0,INDEX('CAMD Facility Data 2023'!$AE$2:$AG$10000,MATCH(Z853,'CAMD Facility Data 2023'!$AE$2:$AE$10000,0),3),"")</f>
        <v/>
      </c>
      <c r="AD853" s="20">
        <f t="shared" si="40"/>
        <v>4.9194773625037991</v>
      </c>
      <c r="AE853" s="25">
        <f t="shared" si="41"/>
        <v>1.9933947124611211E-2</v>
      </c>
    </row>
    <row r="854" spans="1:31" x14ac:dyDescent="0.2">
      <c r="A854" s="1" t="s">
        <v>2089</v>
      </c>
      <c r="B854" s="1" t="s">
        <v>2221</v>
      </c>
      <c r="C854" s="1">
        <v>2511</v>
      </c>
      <c r="D854" s="1" t="s">
        <v>2237</v>
      </c>
      <c r="E854" s="1" t="s">
        <v>1330</v>
      </c>
      <c r="F854" s="1">
        <v>2023</v>
      </c>
      <c r="G854" s="5">
        <v>413</v>
      </c>
      <c r="H854" s="5">
        <v>413</v>
      </c>
      <c r="I854" s="5">
        <v>3838</v>
      </c>
      <c r="M854" s="5">
        <v>3284.3</v>
      </c>
      <c r="N854" s="6">
        <v>5.8799999999999998E-2</v>
      </c>
      <c r="O854" s="5">
        <v>9.3520000000000003</v>
      </c>
      <c r="P854" s="6">
        <v>0.33600000000000002</v>
      </c>
      <c r="Q854" s="5">
        <v>55671.5</v>
      </c>
      <c r="R854" s="1" t="s">
        <v>44</v>
      </c>
      <c r="S854" s="1" t="s">
        <v>94</v>
      </c>
      <c r="T854" s="1" t="s">
        <v>93</v>
      </c>
      <c r="Y854" s="1" t="s">
        <v>617</v>
      </c>
      <c r="Z854" s="1" t="str">
        <f t="shared" si="39"/>
        <v>2511 U00009</v>
      </c>
      <c r="AA854" s="3">
        <f>IF(INDEX('CAMD Facility Data 2023'!$AA$2:$AE$10000,MATCH(Z854,'CAMD Facility Data 2023'!$AE$2:$AE$10000,0),1)&gt;0,INDEX('CAMD Facility Data 2023'!$AA$2:$AE$10000,MATCH(Z854,'CAMD Facility Data 2023'!$AE$2:$AE$10000,0),1),"")</f>
        <v>25750</v>
      </c>
      <c r="AB854" s="5">
        <f>IF(INDEX('CAMD Facility Data 2023'!$AC$2:$AE$10000,MATCH(Z854,'CAMD Facility Data 2023'!$AE$2:$AE$10000,0),1)&gt;0,INDEX('CAMD Facility Data 2023'!$AC$2:$AE$10000,MATCH(Z854,'CAMD Facility Data 2023'!$AE$2:$AE$10000,0),1),"")</f>
        <v>276</v>
      </c>
      <c r="AC854" s="1" t="str">
        <f>IF(INDEX('CAMD Facility Data 2023'!$AE$2:$AG$10000,MATCH(Z854,'CAMD Facility Data 2023'!$AE$2:$AE$10000,0),3)&gt;0,INDEX('CAMD Facility Data 2023'!$AE$2:$AG$10000,MATCH(Z854,'CAMD Facility Data 2023'!$AE$2:$AE$10000,0),3),"")</f>
        <v/>
      </c>
      <c r="AD854" s="20">
        <f t="shared" si="40"/>
        <v>4.8733715476810842</v>
      </c>
      <c r="AE854" s="25">
        <f t="shared" si="41"/>
        <v>2.3026065449010653E-2</v>
      </c>
    </row>
    <row r="855" spans="1:31" x14ac:dyDescent="0.2">
      <c r="A855" s="1" t="s">
        <v>2089</v>
      </c>
      <c r="B855" s="1" t="s">
        <v>2221</v>
      </c>
      <c r="C855" s="1">
        <v>2511</v>
      </c>
      <c r="D855" s="1" t="s">
        <v>2239</v>
      </c>
      <c r="E855" s="1" t="s">
        <v>1330</v>
      </c>
      <c r="F855" s="1">
        <v>2023</v>
      </c>
      <c r="G855" s="5">
        <v>412</v>
      </c>
      <c r="H855" s="5">
        <v>412</v>
      </c>
      <c r="I855" s="5">
        <v>3947</v>
      </c>
      <c r="M855" s="5">
        <v>3395.4</v>
      </c>
      <c r="N855" s="6">
        <v>5.91E-2</v>
      </c>
      <c r="O855" s="5">
        <v>9.6669999999999998</v>
      </c>
      <c r="P855" s="6">
        <v>0.33689999999999998</v>
      </c>
      <c r="Q855" s="5">
        <v>57437.5</v>
      </c>
      <c r="R855" s="1" t="s">
        <v>44</v>
      </c>
      <c r="S855" s="1" t="s">
        <v>94</v>
      </c>
      <c r="T855" s="1" t="s">
        <v>93</v>
      </c>
      <c r="Y855" s="1" t="s">
        <v>617</v>
      </c>
      <c r="Z855" s="1" t="str">
        <f t="shared" si="39"/>
        <v>2511 U00011</v>
      </c>
      <c r="AA855" s="3">
        <f>IF(INDEX('CAMD Facility Data 2023'!$AA$2:$AE$10000,MATCH(Z855,'CAMD Facility Data 2023'!$AE$2:$AE$10000,0),1)&gt;0,INDEX('CAMD Facility Data 2023'!$AA$2:$AE$10000,MATCH(Z855,'CAMD Facility Data 2023'!$AE$2:$AE$10000,0),1),"")</f>
        <v>25750</v>
      </c>
      <c r="AB855" s="5">
        <f>IF(INDEX('CAMD Facility Data 2023'!$AC$2:$AE$10000,MATCH(Z855,'CAMD Facility Data 2023'!$AE$2:$AE$10000,0),1)&gt;0,INDEX('CAMD Facility Data 2023'!$AC$2:$AE$10000,MATCH(Z855,'CAMD Facility Data 2023'!$AE$2:$AE$10000,0),1),"")</f>
        <v>276</v>
      </c>
      <c r="AC855" s="1" t="str">
        <f>IF(INDEX('CAMD Facility Data 2023'!$AE$2:$AG$10000,MATCH(Z855,'CAMD Facility Data 2023'!$AE$2:$AE$10000,0),3)&gt;0,INDEX('CAMD Facility Data 2023'!$AE$2:$AG$10000,MATCH(Z855,'CAMD Facility Data 2023'!$AE$2:$AE$10000,0),3),"")</f>
        <v/>
      </c>
      <c r="AD855" s="20">
        <f t="shared" si="40"/>
        <v>4.8984038510260959</v>
      </c>
      <c r="AE855" s="25">
        <f t="shared" si="41"/>
        <v>2.3756493613923631E-2</v>
      </c>
    </row>
    <row r="856" spans="1:31" x14ac:dyDescent="0.2">
      <c r="A856" s="1" t="s">
        <v>2089</v>
      </c>
      <c r="B856" s="1" t="s">
        <v>2221</v>
      </c>
      <c r="C856" s="1">
        <v>2511</v>
      </c>
      <c r="D856" s="1" t="s">
        <v>2241</v>
      </c>
      <c r="E856" s="1" t="s">
        <v>1330</v>
      </c>
      <c r="F856" s="1">
        <v>2023</v>
      </c>
      <c r="G856" s="5">
        <v>973</v>
      </c>
      <c r="H856" s="5">
        <v>973</v>
      </c>
      <c r="I856" s="5">
        <v>10562</v>
      </c>
      <c r="K856" s="5">
        <v>4.8000000000000001E-2</v>
      </c>
      <c r="L856" s="5">
        <v>5.9999999999999995E-4</v>
      </c>
      <c r="M856" s="5">
        <v>9429</v>
      </c>
      <c r="N856" s="6">
        <v>5.91E-2</v>
      </c>
      <c r="O856" s="5">
        <v>22.28</v>
      </c>
      <c r="P856" s="6">
        <v>0.3024</v>
      </c>
      <c r="Q856" s="5">
        <v>159283.1</v>
      </c>
      <c r="R856" s="1" t="s">
        <v>44</v>
      </c>
      <c r="S856" s="1" t="s">
        <v>94</v>
      </c>
      <c r="T856" s="1" t="s">
        <v>93</v>
      </c>
      <c r="V856" s="1" t="s">
        <v>95</v>
      </c>
      <c r="Y856" s="1" t="s">
        <v>1528</v>
      </c>
      <c r="Z856" s="1" t="str">
        <f t="shared" si="39"/>
        <v>2511 U00012</v>
      </c>
      <c r="AA856" s="3">
        <f>IF(INDEX('CAMD Facility Data 2023'!$AA$2:$AE$10000,MATCH(Z856,'CAMD Facility Data 2023'!$AE$2:$AE$10000,0),1)&gt;0,INDEX('CAMD Facility Data 2023'!$AA$2:$AE$10000,MATCH(Z856,'CAMD Facility Data 2023'!$AE$2:$AE$10000,0),1),"")</f>
        <v>25750</v>
      </c>
      <c r="AB856" s="5">
        <f>IF(INDEX('CAMD Facility Data 2023'!$AC$2:$AE$10000,MATCH(Z856,'CAMD Facility Data 2023'!$AE$2:$AE$10000,0),1)&gt;0,INDEX('CAMD Facility Data 2023'!$AC$2:$AE$10000,MATCH(Z856,'CAMD Facility Data 2023'!$AE$2:$AE$10000,0),1),"")</f>
        <v>270</v>
      </c>
      <c r="AC856" s="1" t="str">
        <f>IF(INDEX('CAMD Facility Data 2023'!$AE$2:$AG$10000,MATCH(Z856,'CAMD Facility Data 2023'!$AE$2:$AE$10000,0),3)&gt;0,INDEX('CAMD Facility Data 2023'!$AE$2:$AG$10000,MATCH(Z856,'CAMD Facility Data 2023'!$AE$2:$AE$10000,0),3),"")</f>
        <v/>
      </c>
      <c r="AD856" s="20">
        <f t="shared" si="40"/>
        <v>4.2188979359969698</v>
      </c>
      <c r="AE856" s="25">
        <f t="shared" si="41"/>
        <v>6.7344452900388971E-2</v>
      </c>
    </row>
    <row r="857" spans="1:31" x14ac:dyDescent="0.2">
      <c r="A857" s="1" t="s">
        <v>2089</v>
      </c>
      <c r="B857" s="1" t="s">
        <v>2221</v>
      </c>
      <c r="C857" s="1">
        <v>2511</v>
      </c>
      <c r="D857" s="1" t="s">
        <v>2243</v>
      </c>
      <c r="E857" s="1" t="s">
        <v>1330</v>
      </c>
      <c r="F857" s="1">
        <v>2023</v>
      </c>
      <c r="G857" s="5">
        <v>973</v>
      </c>
      <c r="H857" s="5">
        <v>973</v>
      </c>
      <c r="I857" s="5">
        <v>10562</v>
      </c>
      <c r="K857" s="5">
        <v>4.8000000000000001E-2</v>
      </c>
      <c r="L857" s="5">
        <v>5.9999999999999995E-4</v>
      </c>
      <c r="M857" s="5">
        <v>9457.7999999999993</v>
      </c>
      <c r="N857" s="6">
        <v>5.9299999999999999E-2</v>
      </c>
      <c r="O857" s="5">
        <v>22.585999999999999</v>
      </c>
      <c r="P857" s="6">
        <v>0.30640000000000001</v>
      </c>
      <c r="Q857" s="5">
        <v>159283.1</v>
      </c>
      <c r="R857" s="1" t="s">
        <v>44</v>
      </c>
      <c r="S857" s="1" t="s">
        <v>94</v>
      </c>
      <c r="T857" s="1" t="s">
        <v>93</v>
      </c>
      <c r="V857" s="1" t="s">
        <v>95</v>
      </c>
      <c r="Y857" s="1" t="s">
        <v>1528</v>
      </c>
      <c r="Z857" s="1" t="str">
        <f t="shared" si="39"/>
        <v>2511 U00013</v>
      </c>
      <c r="AA857" s="3">
        <f>IF(INDEX('CAMD Facility Data 2023'!$AA$2:$AE$10000,MATCH(Z857,'CAMD Facility Data 2023'!$AE$2:$AE$10000,0),1)&gt;0,INDEX('CAMD Facility Data 2023'!$AA$2:$AE$10000,MATCH(Z857,'CAMD Facility Data 2023'!$AE$2:$AE$10000,0),1),"")</f>
        <v>25750</v>
      </c>
      <c r="AB857" s="5">
        <f>IF(INDEX('CAMD Facility Data 2023'!$AC$2:$AE$10000,MATCH(Z857,'CAMD Facility Data 2023'!$AE$2:$AE$10000,0),1)&gt;0,INDEX('CAMD Facility Data 2023'!$AC$2:$AE$10000,MATCH(Z857,'CAMD Facility Data 2023'!$AE$2:$AE$10000,0),1),"")</f>
        <v>270</v>
      </c>
      <c r="AC857" s="1" t="str">
        <f>IF(INDEX('CAMD Facility Data 2023'!$AE$2:$AG$10000,MATCH(Z857,'CAMD Facility Data 2023'!$AE$2:$AE$10000,0),3)&gt;0,INDEX('CAMD Facility Data 2023'!$AE$2:$AG$10000,MATCH(Z857,'CAMD Facility Data 2023'!$AE$2:$AE$10000,0),3),"")</f>
        <v/>
      </c>
      <c r="AD857" s="20">
        <f t="shared" si="40"/>
        <v>4.2768415072902863</v>
      </c>
      <c r="AE857" s="25">
        <f t="shared" si="41"/>
        <v>6.7344452900388971E-2</v>
      </c>
    </row>
    <row r="858" spans="1:31" x14ac:dyDescent="0.2">
      <c r="A858" s="1" t="s">
        <v>2089</v>
      </c>
      <c r="B858" s="1" t="s">
        <v>2221</v>
      </c>
      <c r="C858" s="1">
        <v>2511</v>
      </c>
      <c r="D858" s="1" t="s">
        <v>2244</v>
      </c>
      <c r="E858" s="1" t="s">
        <v>1330</v>
      </c>
      <c r="F858" s="1">
        <v>2023</v>
      </c>
      <c r="G858" s="5">
        <v>1415</v>
      </c>
      <c r="H858" s="5">
        <v>1415</v>
      </c>
      <c r="I858" s="5">
        <v>20187</v>
      </c>
      <c r="K858" s="5">
        <v>9.0999999999999998E-2</v>
      </c>
      <c r="L858" s="5">
        <v>5.9999999999999995E-4</v>
      </c>
      <c r="M858" s="5">
        <v>18052.3</v>
      </c>
      <c r="N858" s="6">
        <v>5.8999999999999997E-2</v>
      </c>
      <c r="O858" s="5">
        <v>46.500999999999998</v>
      </c>
      <c r="P858" s="6">
        <v>0.30080000000000001</v>
      </c>
      <c r="Q858" s="5">
        <v>305366.7</v>
      </c>
      <c r="R858" s="1" t="s">
        <v>44</v>
      </c>
      <c r="S858" s="1" t="s">
        <v>94</v>
      </c>
      <c r="T858" s="1" t="s">
        <v>93</v>
      </c>
      <c r="V858" s="1" t="s">
        <v>95</v>
      </c>
      <c r="Y858" s="1" t="s">
        <v>1528</v>
      </c>
      <c r="Z858" s="1" t="str">
        <f t="shared" si="39"/>
        <v>2511 U00014</v>
      </c>
      <c r="AA858" s="3">
        <f>IF(INDEX('CAMD Facility Data 2023'!$AA$2:$AE$10000,MATCH(Z858,'CAMD Facility Data 2023'!$AE$2:$AE$10000,0),1)&gt;0,INDEX('CAMD Facility Data 2023'!$AA$2:$AE$10000,MATCH(Z858,'CAMD Facility Data 2023'!$AE$2:$AE$10000,0),1),"")</f>
        <v>25750</v>
      </c>
      <c r="AB858" s="5">
        <f>IF(INDEX('CAMD Facility Data 2023'!$AC$2:$AE$10000,MATCH(Z858,'CAMD Facility Data 2023'!$AE$2:$AE$10000,0),1)&gt;0,INDEX('CAMD Facility Data 2023'!$AC$2:$AE$10000,MATCH(Z858,'CAMD Facility Data 2023'!$AE$2:$AE$10000,0),1),"")</f>
        <v>270</v>
      </c>
      <c r="AC858" s="1" t="str">
        <f>IF(INDEX('CAMD Facility Data 2023'!$AE$2:$AG$10000,MATCH(Z858,'CAMD Facility Data 2023'!$AE$2:$AE$10000,0),3)&gt;0,INDEX('CAMD Facility Data 2023'!$AE$2:$AG$10000,MATCH(Z858,'CAMD Facility Data 2023'!$AE$2:$AE$10000,0),3),"")</f>
        <v/>
      </c>
      <c r="AD858" s="20">
        <f t="shared" si="40"/>
        <v>4.6070243225838414</v>
      </c>
      <c r="AE858" s="25">
        <f t="shared" si="41"/>
        <v>0.1291081938102486</v>
      </c>
    </row>
    <row r="859" spans="1:31" x14ac:dyDescent="0.2">
      <c r="A859" s="1" t="s">
        <v>2089</v>
      </c>
      <c r="B859" s="1" t="s">
        <v>2221</v>
      </c>
      <c r="C859" s="1">
        <v>2511</v>
      </c>
      <c r="D859" s="1" t="s">
        <v>2246</v>
      </c>
      <c r="E859" s="1" t="s">
        <v>1330</v>
      </c>
      <c r="F859" s="1">
        <v>2023</v>
      </c>
      <c r="G859" s="5">
        <v>1415</v>
      </c>
      <c r="H859" s="5">
        <v>1415</v>
      </c>
      <c r="I859" s="5">
        <v>20187</v>
      </c>
      <c r="K859" s="5">
        <v>9.0999999999999998E-2</v>
      </c>
      <c r="L859" s="5">
        <v>5.9999999999999995E-4</v>
      </c>
      <c r="M859" s="5">
        <v>18103.5</v>
      </c>
      <c r="N859" s="6">
        <v>5.91E-2</v>
      </c>
      <c r="O859" s="5">
        <v>47.03</v>
      </c>
      <c r="P859" s="6">
        <v>0.30359999999999998</v>
      </c>
      <c r="Q859" s="5">
        <v>305366.7</v>
      </c>
      <c r="R859" s="1" t="s">
        <v>44</v>
      </c>
      <c r="S859" s="1" t="s">
        <v>94</v>
      </c>
      <c r="T859" s="1" t="s">
        <v>93</v>
      </c>
      <c r="V859" s="1" t="s">
        <v>95</v>
      </c>
      <c r="Y859" s="1" t="s">
        <v>1528</v>
      </c>
      <c r="Z859" s="1" t="str">
        <f t="shared" si="39"/>
        <v>2511 U00015</v>
      </c>
      <c r="AA859" s="3">
        <f>IF(INDEX('CAMD Facility Data 2023'!$AA$2:$AE$10000,MATCH(Z859,'CAMD Facility Data 2023'!$AE$2:$AE$10000,0),1)&gt;0,INDEX('CAMD Facility Data 2023'!$AA$2:$AE$10000,MATCH(Z859,'CAMD Facility Data 2023'!$AE$2:$AE$10000,0),1),"")</f>
        <v>25750</v>
      </c>
      <c r="AB859" s="5">
        <f>IF(INDEX('CAMD Facility Data 2023'!$AC$2:$AE$10000,MATCH(Z859,'CAMD Facility Data 2023'!$AE$2:$AE$10000,0),1)&gt;0,INDEX('CAMD Facility Data 2023'!$AC$2:$AE$10000,MATCH(Z859,'CAMD Facility Data 2023'!$AE$2:$AE$10000,0),1),"")</f>
        <v>270</v>
      </c>
      <c r="AC859" s="1" t="str">
        <f>IF(INDEX('CAMD Facility Data 2023'!$AE$2:$AG$10000,MATCH(Z859,'CAMD Facility Data 2023'!$AE$2:$AE$10000,0),3)&gt;0,INDEX('CAMD Facility Data 2023'!$AE$2:$AG$10000,MATCH(Z859,'CAMD Facility Data 2023'!$AE$2:$AE$10000,0),3),"")</f>
        <v/>
      </c>
      <c r="AD859" s="20">
        <f t="shared" si="40"/>
        <v>4.6594342893941647</v>
      </c>
      <c r="AE859" s="25">
        <f t="shared" si="41"/>
        <v>0.1291081938102486</v>
      </c>
    </row>
    <row r="860" spans="1:31" x14ac:dyDescent="0.2">
      <c r="A860" s="1" t="s">
        <v>2089</v>
      </c>
      <c r="B860" s="1" t="s">
        <v>2221</v>
      </c>
      <c r="C860" s="1">
        <v>2511</v>
      </c>
      <c r="D860" s="1" t="s">
        <v>2247</v>
      </c>
      <c r="E860" s="1" t="s">
        <v>1330</v>
      </c>
      <c r="F860" s="1">
        <v>2023</v>
      </c>
      <c r="G860" s="5">
        <v>1107</v>
      </c>
      <c r="H860" s="5">
        <v>1107</v>
      </c>
      <c r="I860" s="5">
        <v>16861</v>
      </c>
      <c r="K860" s="5">
        <v>6.7000000000000004E-2</v>
      </c>
      <c r="L860" s="5">
        <v>2.9999999999999997E-4</v>
      </c>
      <c r="M860" s="5">
        <v>14638.6</v>
      </c>
      <c r="N860" s="6">
        <v>5.8999999999999997E-2</v>
      </c>
      <c r="O860" s="5">
        <v>36.691000000000003</v>
      </c>
      <c r="P860" s="6">
        <v>0.29799999999999999</v>
      </c>
      <c r="Q860" s="5">
        <v>247943.3</v>
      </c>
      <c r="R860" s="1" t="s">
        <v>44</v>
      </c>
      <c r="S860" s="1" t="s">
        <v>94</v>
      </c>
      <c r="T860" s="1" t="s">
        <v>93</v>
      </c>
      <c r="V860" s="1" t="s">
        <v>95</v>
      </c>
      <c r="Y860" s="1" t="s">
        <v>1528</v>
      </c>
      <c r="Z860" s="1" t="str">
        <f t="shared" si="39"/>
        <v>2511 U00016</v>
      </c>
      <c r="AA860" s="3">
        <f>IF(INDEX('CAMD Facility Data 2023'!$AA$2:$AE$10000,MATCH(Z860,'CAMD Facility Data 2023'!$AE$2:$AE$10000,0),1)&gt;0,INDEX('CAMD Facility Data 2023'!$AA$2:$AE$10000,MATCH(Z860,'CAMD Facility Data 2023'!$AE$2:$AE$10000,0),1),"")</f>
        <v>25750</v>
      </c>
      <c r="AB860" s="5">
        <f>IF(INDEX('CAMD Facility Data 2023'!$AC$2:$AE$10000,MATCH(Z860,'CAMD Facility Data 2023'!$AE$2:$AE$10000,0),1)&gt;0,INDEX('CAMD Facility Data 2023'!$AC$2:$AE$10000,MATCH(Z860,'CAMD Facility Data 2023'!$AE$2:$AE$10000,0),1),"")</f>
        <v>270</v>
      </c>
      <c r="AC860" s="1" t="str">
        <f>IF(INDEX('CAMD Facility Data 2023'!$AE$2:$AG$10000,MATCH(Z860,'CAMD Facility Data 2023'!$AE$2:$AE$10000,0),3)&gt;0,INDEX('CAMD Facility Data 2023'!$AE$2:$AG$10000,MATCH(Z860,'CAMD Facility Data 2023'!$AE$2:$AE$10000,0),3),"")</f>
        <v/>
      </c>
      <c r="AD860" s="20">
        <f t="shared" si="40"/>
        <v>4.3521736551805938</v>
      </c>
      <c r="AE860" s="25">
        <f t="shared" si="41"/>
        <v>0.1048297395569085</v>
      </c>
    </row>
    <row r="861" spans="1:31" x14ac:dyDescent="0.2">
      <c r="A861" s="1" t="s">
        <v>2089</v>
      </c>
      <c r="B861" s="1" t="s">
        <v>2221</v>
      </c>
      <c r="C861" s="1">
        <v>2511</v>
      </c>
      <c r="D861" s="1" t="s">
        <v>2248</v>
      </c>
      <c r="E861" s="1" t="s">
        <v>1330</v>
      </c>
      <c r="F861" s="1">
        <v>2023</v>
      </c>
      <c r="G861" s="5">
        <v>1107</v>
      </c>
      <c r="H861" s="5">
        <v>1107</v>
      </c>
      <c r="I861" s="5">
        <v>16861</v>
      </c>
      <c r="K861" s="5">
        <v>6.7000000000000004E-2</v>
      </c>
      <c r="L861" s="5">
        <v>2.9999999999999997E-4</v>
      </c>
      <c r="M861" s="5">
        <v>14687.8</v>
      </c>
      <c r="N861" s="6">
        <v>5.91E-2</v>
      </c>
      <c r="O861" s="5">
        <v>36.912999999999997</v>
      </c>
      <c r="P861" s="6">
        <v>0.29909999999999998</v>
      </c>
      <c r="Q861" s="5">
        <v>247943.3</v>
      </c>
      <c r="R861" s="1" t="s">
        <v>44</v>
      </c>
      <c r="S861" s="1" t="s">
        <v>94</v>
      </c>
      <c r="T861" s="1" t="s">
        <v>93</v>
      </c>
      <c r="V861" s="1" t="s">
        <v>95</v>
      </c>
      <c r="Y861" s="1" t="s">
        <v>1528</v>
      </c>
      <c r="Z861" s="1" t="str">
        <f t="shared" si="39"/>
        <v>2511 U00017</v>
      </c>
      <c r="AA861" s="3">
        <f>IF(INDEX('CAMD Facility Data 2023'!$AA$2:$AE$10000,MATCH(Z861,'CAMD Facility Data 2023'!$AE$2:$AE$10000,0),1)&gt;0,INDEX('CAMD Facility Data 2023'!$AA$2:$AE$10000,MATCH(Z861,'CAMD Facility Data 2023'!$AE$2:$AE$10000,0),1),"")</f>
        <v>25750</v>
      </c>
      <c r="AB861" s="5">
        <f>IF(INDEX('CAMD Facility Data 2023'!$AC$2:$AE$10000,MATCH(Z861,'CAMD Facility Data 2023'!$AE$2:$AE$10000,0),1)&gt;0,INDEX('CAMD Facility Data 2023'!$AC$2:$AE$10000,MATCH(Z861,'CAMD Facility Data 2023'!$AE$2:$AE$10000,0),1),"")</f>
        <v>270</v>
      </c>
      <c r="AC861" s="1" t="str">
        <f>IF(INDEX('CAMD Facility Data 2023'!$AE$2:$AG$10000,MATCH(Z861,'CAMD Facility Data 2023'!$AE$2:$AE$10000,0),3)&gt;0,INDEX('CAMD Facility Data 2023'!$AE$2:$AG$10000,MATCH(Z861,'CAMD Facility Data 2023'!$AE$2:$AE$10000,0),3),"")</f>
        <v/>
      </c>
      <c r="AD861" s="20">
        <f t="shared" si="40"/>
        <v>4.3785066128936601</v>
      </c>
      <c r="AE861" s="25">
        <f t="shared" si="41"/>
        <v>0.1048297395569085</v>
      </c>
    </row>
    <row r="862" spans="1:31" x14ac:dyDescent="0.2">
      <c r="A862" s="1" t="s">
        <v>2089</v>
      </c>
      <c r="B862" s="1" t="s">
        <v>2221</v>
      </c>
      <c r="C862" s="1">
        <v>2511</v>
      </c>
      <c r="D862" s="1" t="s">
        <v>2249</v>
      </c>
      <c r="E862" s="1" t="s">
        <v>1330</v>
      </c>
      <c r="F862" s="1">
        <v>2023</v>
      </c>
      <c r="G862" s="5">
        <v>711</v>
      </c>
      <c r="H862" s="5">
        <v>711</v>
      </c>
      <c r="I862" s="5">
        <v>9499</v>
      </c>
      <c r="K862" s="5">
        <v>4.1000000000000002E-2</v>
      </c>
      <c r="L862" s="5">
        <v>5.0000000000000001E-4</v>
      </c>
      <c r="M862" s="5">
        <v>8441.4</v>
      </c>
      <c r="N862" s="6">
        <v>5.8999999999999997E-2</v>
      </c>
      <c r="O862" s="5">
        <v>16.381</v>
      </c>
      <c r="P862" s="6">
        <v>0.22889999999999999</v>
      </c>
      <c r="Q862" s="5">
        <v>143042.20000000001</v>
      </c>
      <c r="R862" s="1" t="s">
        <v>44</v>
      </c>
      <c r="S862" s="1" t="s">
        <v>94</v>
      </c>
      <c r="T862" s="1" t="s">
        <v>93</v>
      </c>
      <c r="V862" s="1" t="s">
        <v>95</v>
      </c>
      <c r="Y862" s="1" t="s">
        <v>1528</v>
      </c>
      <c r="Z862" s="1" t="str">
        <f t="shared" si="39"/>
        <v>2511 U00018</v>
      </c>
      <c r="AA862" s="3">
        <f>IF(INDEX('CAMD Facility Data 2023'!$AA$2:$AE$10000,MATCH(Z862,'CAMD Facility Data 2023'!$AE$2:$AE$10000,0),1)&gt;0,INDEX('CAMD Facility Data 2023'!$AA$2:$AE$10000,MATCH(Z862,'CAMD Facility Data 2023'!$AE$2:$AE$10000,0),1),"")</f>
        <v>25750</v>
      </c>
      <c r="AB862" s="5">
        <f>IF(INDEX('CAMD Facility Data 2023'!$AC$2:$AE$10000,MATCH(Z862,'CAMD Facility Data 2023'!$AE$2:$AE$10000,0),1)&gt;0,INDEX('CAMD Facility Data 2023'!$AC$2:$AE$10000,MATCH(Z862,'CAMD Facility Data 2023'!$AE$2:$AE$10000,0),1),"")</f>
        <v>270</v>
      </c>
      <c r="AC862" s="1" t="str">
        <f>IF(INDEX('CAMD Facility Data 2023'!$AE$2:$AG$10000,MATCH(Z862,'CAMD Facility Data 2023'!$AE$2:$AE$10000,0),3)&gt;0,INDEX('CAMD Facility Data 2023'!$AE$2:$AG$10000,MATCH(Z862,'CAMD Facility Data 2023'!$AE$2:$AE$10000,0),3),"")</f>
        <v/>
      </c>
      <c r="AD862" s="20">
        <f t="shared" si="40"/>
        <v>3.4489946310137909</v>
      </c>
      <c r="AE862" s="25">
        <f t="shared" si="41"/>
        <v>6.0477845425334013E-2</v>
      </c>
    </row>
    <row r="863" spans="1:31" x14ac:dyDescent="0.2">
      <c r="A863" s="1" t="s">
        <v>2089</v>
      </c>
      <c r="B863" s="1" t="s">
        <v>2221</v>
      </c>
      <c r="C863" s="1">
        <v>2511</v>
      </c>
      <c r="D863" s="1" t="s">
        <v>2250</v>
      </c>
      <c r="E863" s="1" t="s">
        <v>1330</v>
      </c>
      <c r="F863" s="1">
        <v>2023</v>
      </c>
      <c r="G863" s="5">
        <v>711</v>
      </c>
      <c r="H863" s="5">
        <v>711</v>
      </c>
      <c r="I863" s="5">
        <v>9499</v>
      </c>
      <c r="K863" s="5">
        <v>4.1000000000000002E-2</v>
      </c>
      <c r="L863" s="5">
        <v>5.0000000000000001E-4</v>
      </c>
      <c r="M863" s="5">
        <v>8441.4</v>
      </c>
      <c r="N863" s="6">
        <v>5.8999999999999997E-2</v>
      </c>
      <c r="O863" s="5">
        <v>16.408000000000001</v>
      </c>
      <c r="P863" s="6">
        <v>0.2296</v>
      </c>
      <c r="Q863" s="5">
        <v>143042.20000000001</v>
      </c>
      <c r="R863" s="1" t="s">
        <v>44</v>
      </c>
      <c r="S863" s="1" t="s">
        <v>94</v>
      </c>
      <c r="T863" s="1" t="s">
        <v>93</v>
      </c>
      <c r="V863" s="1" t="s">
        <v>95</v>
      </c>
      <c r="Y863" s="1" t="s">
        <v>1528</v>
      </c>
      <c r="Z863" s="1" t="str">
        <f t="shared" si="39"/>
        <v>2511 U00019</v>
      </c>
      <c r="AA863" s="3">
        <f>IF(INDEX('CAMD Facility Data 2023'!$AA$2:$AE$10000,MATCH(Z863,'CAMD Facility Data 2023'!$AE$2:$AE$10000,0),1)&gt;0,INDEX('CAMD Facility Data 2023'!$AA$2:$AE$10000,MATCH(Z863,'CAMD Facility Data 2023'!$AE$2:$AE$10000,0),1),"")</f>
        <v>25750</v>
      </c>
      <c r="AB863" s="5">
        <f>IF(INDEX('CAMD Facility Data 2023'!$AC$2:$AE$10000,MATCH(Z863,'CAMD Facility Data 2023'!$AE$2:$AE$10000,0),1)&gt;0,INDEX('CAMD Facility Data 2023'!$AC$2:$AE$10000,MATCH(Z863,'CAMD Facility Data 2023'!$AE$2:$AE$10000,0),1),"")</f>
        <v>270</v>
      </c>
      <c r="AC863" s="1" t="str">
        <f>IF(INDEX('CAMD Facility Data 2023'!$AE$2:$AG$10000,MATCH(Z863,'CAMD Facility Data 2023'!$AE$2:$AE$10000,0),3)&gt;0,INDEX('CAMD Facility Data 2023'!$AE$2:$AG$10000,MATCH(Z863,'CAMD Facility Data 2023'!$AE$2:$AE$10000,0),3),"")</f>
        <v/>
      </c>
      <c r="AD863" s="20">
        <f t="shared" si="40"/>
        <v>3.4546794399410463</v>
      </c>
      <c r="AE863" s="25">
        <f t="shared" si="41"/>
        <v>6.0477845425334013E-2</v>
      </c>
    </row>
    <row r="864" spans="1:31" x14ac:dyDescent="0.2">
      <c r="A864" s="1" t="s">
        <v>2089</v>
      </c>
      <c r="B864" s="1" t="s">
        <v>2251</v>
      </c>
      <c r="C864" s="1">
        <v>2514</v>
      </c>
      <c r="D864" s="1" t="s">
        <v>2252</v>
      </c>
      <c r="E864" s="1" t="s">
        <v>1330</v>
      </c>
      <c r="F864" s="1">
        <v>2023</v>
      </c>
      <c r="G864" s="5">
        <v>23</v>
      </c>
      <c r="H864" s="5">
        <v>23</v>
      </c>
      <c r="I864" s="5">
        <v>495</v>
      </c>
      <c r="K864" s="5">
        <v>4.0000000000000001E-3</v>
      </c>
      <c r="L864" s="5">
        <v>1E-3</v>
      </c>
      <c r="M864" s="5">
        <v>832.7</v>
      </c>
      <c r="N864" s="6">
        <v>8.1199999999999994E-2</v>
      </c>
      <c r="O864" s="5">
        <v>2.8969999999999998</v>
      </c>
      <c r="P864" s="6">
        <v>0.53469999999999995</v>
      </c>
      <c r="Q864" s="5">
        <v>10280.6</v>
      </c>
      <c r="R864" s="1" t="s">
        <v>94</v>
      </c>
      <c r="T864" s="1" t="s">
        <v>93</v>
      </c>
      <c r="V864" s="1" t="s">
        <v>95</v>
      </c>
      <c r="Y864" s="1" t="s">
        <v>1528</v>
      </c>
      <c r="Z864" s="1" t="str">
        <f t="shared" si="39"/>
        <v>2514 U00020</v>
      </c>
      <c r="AA864" s="3">
        <f>IF(INDEX('CAMD Facility Data 2023'!$AA$2:$AE$10000,MATCH(Z864,'CAMD Facility Data 2023'!$AE$2:$AE$10000,0),1)&gt;0,INDEX('CAMD Facility Data 2023'!$AA$2:$AE$10000,MATCH(Z864,'CAMD Facility Data 2023'!$AE$2:$AE$10000,0),1),"")</f>
        <v>26481</v>
      </c>
      <c r="AB864" s="5">
        <f>IF(INDEX('CAMD Facility Data 2023'!$AC$2:$AE$10000,MATCH(Z864,'CAMD Facility Data 2023'!$AE$2:$AE$10000,0),1)&gt;0,INDEX('CAMD Facility Data 2023'!$AC$2:$AE$10000,MATCH(Z864,'CAMD Facility Data 2023'!$AE$2:$AE$10000,0),1),"")</f>
        <v>662</v>
      </c>
      <c r="AC864" s="1" t="str">
        <f>IF(INDEX('CAMD Facility Data 2023'!$AE$2:$AG$10000,MATCH(Z864,'CAMD Facility Data 2023'!$AE$2:$AE$10000,0),3)&gt;0,INDEX('CAMD Facility Data 2023'!$AE$2:$AG$10000,MATCH(Z864,'CAMD Facility Data 2023'!$AE$2:$AE$10000,0),3),"")</f>
        <v/>
      </c>
      <c r="AD864" s="20">
        <f t="shared" si="40"/>
        <v>11.705050505050504</v>
      </c>
      <c r="AE864" s="25">
        <f t="shared" si="41"/>
        <v>1.7727862158396447E-3</v>
      </c>
    </row>
    <row r="865" spans="1:31" x14ac:dyDescent="0.2">
      <c r="A865" s="1" t="s">
        <v>2089</v>
      </c>
      <c r="B865" s="1" t="s">
        <v>2251</v>
      </c>
      <c r="C865" s="1">
        <v>2514</v>
      </c>
      <c r="D865" s="1" t="s">
        <v>2254</v>
      </c>
      <c r="E865" s="1" t="s">
        <v>1330</v>
      </c>
      <c r="F865" s="1">
        <v>2023</v>
      </c>
      <c r="G865" s="5">
        <v>22</v>
      </c>
      <c r="H865" s="5">
        <v>22</v>
      </c>
      <c r="I865" s="5">
        <v>474</v>
      </c>
      <c r="K865" s="5">
        <v>5.0000000000000001E-3</v>
      </c>
      <c r="L865" s="5">
        <v>1.1000000000000001E-3</v>
      </c>
      <c r="M865" s="5">
        <v>981.9</v>
      </c>
      <c r="N865" s="6">
        <v>8.1100000000000005E-2</v>
      </c>
      <c r="O865" s="5">
        <v>3.5880000000000001</v>
      </c>
      <c r="P865" s="6">
        <v>0.59199999999999997</v>
      </c>
      <c r="Q865" s="5">
        <v>12121.6</v>
      </c>
      <c r="R865" s="1" t="s">
        <v>94</v>
      </c>
      <c r="T865" s="1" t="s">
        <v>93</v>
      </c>
      <c r="Y865" s="1" t="s">
        <v>1528</v>
      </c>
      <c r="Z865" s="1" t="str">
        <f t="shared" si="39"/>
        <v>2514 U00021</v>
      </c>
      <c r="AA865" s="3">
        <f>IF(INDEX('CAMD Facility Data 2023'!$AA$2:$AE$10000,MATCH(Z865,'CAMD Facility Data 2023'!$AE$2:$AE$10000,0),1)&gt;0,INDEX('CAMD Facility Data 2023'!$AA$2:$AE$10000,MATCH(Z865,'CAMD Facility Data 2023'!$AE$2:$AE$10000,0),1),"")</f>
        <v>26481</v>
      </c>
      <c r="AB865" s="5">
        <f>IF(INDEX('CAMD Facility Data 2023'!$AC$2:$AE$10000,MATCH(Z865,'CAMD Facility Data 2023'!$AE$2:$AE$10000,0),1)&gt;0,INDEX('CAMD Facility Data 2023'!$AC$2:$AE$10000,MATCH(Z865,'CAMD Facility Data 2023'!$AE$2:$AE$10000,0),1),"")</f>
        <v>662</v>
      </c>
      <c r="AC865" s="1" t="str">
        <f>IF(INDEX('CAMD Facility Data 2023'!$AE$2:$AG$10000,MATCH(Z865,'CAMD Facility Data 2023'!$AE$2:$AE$10000,0),3)&gt;0,INDEX('CAMD Facility Data 2023'!$AE$2:$AG$10000,MATCH(Z865,'CAMD Facility Data 2023'!$AE$2:$AE$10000,0),3),"")</f>
        <v/>
      </c>
      <c r="AD865" s="20">
        <f t="shared" si="40"/>
        <v>15.139240506329115</v>
      </c>
      <c r="AE865" s="25">
        <f t="shared" si="41"/>
        <v>2.0902481755852615E-3</v>
      </c>
    </row>
    <row r="866" spans="1:31" x14ac:dyDescent="0.2">
      <c r="A866" s="1" t="s">
        <v>2089</v>
      </c>
      <c r="B866" s="1" t="s">
        <v>2256</v>
      </c>
      <c r="C866" s="1">
        <v>2516</v>
      </c>
      <c r="D866" s="1">
        <v>1</v>
      </c>
      <c r="F866" s="1">
        <v>2023</v>
      </c>
      <c r="G866" s="5">
        <v>3644</v>
      </c>
      <c r="H866" s="5">
        <v>3621.88</v>
      </c>
      <c r="I866" s="5">
        <v>775894.52</v>
      </c>
      <c r="K866" s="5">
        <v>10.928000000000001</v>
      </c>
      <c r="L866" s="5">
        <v>2.8E-3</v>
      </c>
      <c r="M866" s="5">
        <v>470849.54</v>
      </c>
      <c r="N866" s="6">
        <v>5.91E-2</v>
      </c>
      <c r="O866" s="5">
        <v>216.261</v>
      </c>
      <c r="P866" s="6">
        <v>4.82E-2</v>
      </c>
      <c r="Q866" s="5">
        <v>7910784.909</v>
      </c>
      <c r="R866" s="1" t="s">
        <v>44</v>
      </c>
      <c r="S866" s="1" t="s">
        <v>173</v>
      </c>
      <c r="T866" s="1" t="s">
        <v>43</v>
      </c>
      <c r="V866" s="1" t="s">
        <v>2259</v>
      </c>
      <c r="W866" s="1" t="s">
        <v>58</v>
      </c>
      <c r="Y866" s="1" t="s">
        <v>682</v>
      </c>
      <c r="Z866" s="1" t="str">
        <f t="shared" si="39"/>
        <v>2516 1</v>
      </c>
      <c r="AA866" s="3">
        <f>IF(INDEX('CAMD Facility Data 2023'!$AA$2:$AE$10000,MATCH(Z866,'CAMD Facility Data 2023'!$AE$2:$AE$10000,0),1)&gt;0,INDEX('CAMD Facility Data 2023'!$AA$2:$AE$10000,MATCH(Z866,'CAMD Facility Data 2023'!$AE$2:$AE$10000,0),1),"")</f>
        <v>24473</v>
      </c>
      <c r="AB866" s="5">
        <f>IF(INDEX('CAMD Facility Data 2023'!$AC$2:$AE$10000,MATCH(Z866,'CAMD Facility Data 2023'!$AE$2:$AE$10000,0),1)&gt;0,INDEX('CAMD Facility Data 2023'!$AC$2:$AE$10000,MATCH(Z866,'CAMD Facility Data 2023'!$AE$2:$AE$10000,0),1),"")</f>
        <v>3900</v>
      </c>
      <c r="AC866" s="1" t="str">
        <f>IF(INDEX('CAMD Facility Data 2023'!$AE$2:$AG$10000,MATCH(Z866,'CAMD Facility Data 2023'!$AE$2:$AE$10000,0),3)&gt;0,INDEX('CAMD Facility Data 2023'!$AE$2:$AG$10000,MATCH(Z866,'CAMD Facility Data 2023'!$AE$2:$AE$10000,0),3),"")</f>
        <v/>
      </c>
      <c r="AD866" s="20">
        <f t="shared" si="40"/>
        <v>0.55744948424174978</v>
      </c>
      <c r="AE866" s="25">
        <f t="shared" si="41"/>
        <v>0.23155324051633297</v>
      </c>
    </row>
    <row r="867" spans="1:31" x14ac:dyDescent="0.2">
      <c r="A867" s="1" t="s">
        <v>2089</v>
      </c>
      <c r="B867" s="1" t="s">
        <v>2256</v>
      </c>
      <c r="C867" s="1">
        <v>2516</v>
      </c>
      <c r="D867" s="1">
        <v>2</v>
      </c>
      <c r="F867" s="1">
        <v>2023</v>
      </c>
      <c r="G867" s="5">
        <v>3213</v>
      </c>
      <c r="H867" s="5">
        <v>3195.63</v>
      </c>
      <c r="I867" s="5">
        <v>695815.86</v>
      </c>
      <c r="K867" s="5">
        <v>48.566000000000003</v>
      </c>
      <c r="L867" s="5">
        <v>1.11E-2</v>
      </c>
      <c r="M867" s="5">
        <v>415988.864</v>
      </c>
      <c r="N867" s="6">
        <v>5.9499999999999997E-2</v>
      </c>
      <c r="O867" s="5">
        <v>200.233</v>
      </c>
      <c r="P867" s="6">
        <v>4.9500000000000002E-2</v>
      </c>
      <c r="Q867" s="5">
        <v>6933822.2929999996</v>
      </c>
      <c r="R867" s="1" t="s">
        <v>44</v>
      </c>
      <c r="S867" s="1" t="s">
        <v>173</v>
      </c>
      <c r="T867" s="1" t="s">
        <v>43</v>
      </c>
      <c r="V867" s="1" t="s">
        <v>2259</v>
      </c>
      <c r="W867" s="1" t="s">
        <v>58</v>
      </c>
      <c r="Y867" s="1" t="s">
        <v>682</v>
      </c>
      <c r="Z867" s="1" t="str">
        <f t="shared" si="39"/>
        <v>2516 2</v>
      </c>
      <c r="AA867" s="3">
        <f>IF(INDEX('CAMD Facility Data 2023'!$AA$2:$AE$10000,MATCH(Z867,'CAMD Facility Data 2023'!$AE$2:$AE$10000,0),1)&gt;0,INDEX('CAMD Facility Data 2023'!$AA$2:$AE$10000,MATCH(Z867,'CAMD Facility Data 2023'!$AE$2:$AE$10000,0),1),"")</f>
        <v>24838</v>
      </c>
      <c r="AB867" s="5">
        <f>IF(INDEX('CAMD Facility Data 2023'!$AC$2:$AE$10000,MATCH(Z867,'CAMD Facility Data 2023'!$AE$2:$AE$10000,0),1)&gt;0,INDEX('CAMD Facility Data 2023'!$AC$2:$AE$10000,MATCH(Z867,'CAMD Facility Data 2023'!$AE$2:$AE$10000,0),1),"")</f>
        <v>4000</v>
      </c>
      <c r="AC867" s="1" t="str">
        <f>IF(INDEX('CAMD Facility Data 2023'!$AE$2:$AG$10000,MATCH(Z867,'CAMD Facility Data 2023'!$AE$2:$AE$10000,0),3)&gt;0,INDEX('CAMD Facility Data 2023'!$AE$2:$AG$10000,MATCH(Z867,'CAMD Facility Data 2023'!$AE$2:$AE$10000,0),3),"")</f>
        <v/>
      </c>
      <c r="AD867" s="20">
        <f t="shared" si="40"/>
        <v>0.57553445246275359</v>
      </c>
      <c r="AE867" s="25">
        <f t="shared" si="41"/>
        <v>0.19788305630707761</v>
      </c>
    </row>
    <row r="868" spans="1:31" x14ac:dyDescent="0.2">
      <c r="A868" s="1" t="s">
        <v>2089</v>
      </c>
      <c r="B868" s="1" t="s">
        <v>2256</v>
      </c>
      <c r="C868" s="1">
        <v>2516</v>
      </c>
      <c r="D868" s="1">
        <v>3</v>
      </c>
      <c r="F868" s="1">
        <v>2023</v>
      </c>
      <c r="G868" s="5">
        <v>3720</v>
      </c>
      <c r="H868" s="5">
        <v>3701.78</v>
      </c>
      <c r="I868" s="5">
        <v>772868.84</v>
      </c>
      <c r="K868" s="5">
        <v>32.107999999999997</v>
      </c>
      <c r="L868" s="5">
        <v>7.1000000000000004E-3</v>
      </c>
      <c r="M868" s="5">
        <v>471049.12199999997</v>
      </c>
      <c r="N868" s="6">
        <v>5.9299999999999999E-2</v>
      </c>
      <c r="O868" s="5">
        <v>209.31700000000001</v>
      </c>
      <c r="P868" s="6">
        <v>4.7600000000000003E-2</v>
      </c>
      <c r="Q868" s="5">
        <v>7884158.2640000004</v>
      </c>
      <c r="R868" s="1" t="s">
        <v>44</v>
      </c>
      <c r="S868" s="1" t="s">
        <v>173</v>
      </c>
      <c r="T868" s="1" t="s">
        <v>43</v>
      </c>
      <c r="V868" s="1" t="s">
        <v>2259</v>
      </c>
      <c r="W868" s="1" t="s">
        <v>58</v>
      </c>
      <c r="Y868" s="1" t="s">
        <v>682</v>
      </c>
      <c r="Z868" s="1" t="str">
        <f t="shared" si="39"/>
        <v>2516 3</v>
      </c>
      <c r="AA868" s="3">
        <f>IF(INDEX('CAMD Facility Data 2023'!$AA$2:$AE$10000,MATCH(Z868,'CAMD Facility Data 2023'!$AE$2:$AE$10000,0),1)&gt;0,INDEX('CAMD Facility Data 2023'!$AA$2:$AE$10000,MATCH(Z868,'CAMD Facility Data 2023'!$AE$2:$AE$10000,0),1),"")</f>
        <v>26299</v>
      </c>
      <c r="AB868" s="5">
        <f>IF(INDEX('CAMD Facility Data 2023'!$AC$2:$AE$10000,MATCH(Z868,'CAMD Facility Data 2023'!$AE$2:$AE$10000,0),1)&gt;0,INDEX('CAMD Facility Data 2023'!$AC$2:$AE$10000,MATCH(Z868,'CAMD Facility Data 2023'!$AE$2:$AE$10000,0),1),"")</f>
        <v>3900</v>
      </c>
      <c r="AC868" s="1" t="str">
        <f>IF(INDEX('CAMD Facility Data 2023'!$AE$2:$AG$10000,MATCH(Z868,'CAMD Facility Data 2023'!$AE$2:$AE$10000,0),3)&gt;0,INDEX('CAMD Facility Data 2023'!$AE$2:$AG$10000,MATCH(Z868,'CAMD Facility Data 2023'!$AE$2:$AE$10000,0),3),"")</f>
        <v/>
      </c>
      <c r="AD868" s="20">
        <f t="shared" si="40"/>
        <v>0.54166241195595366</v>
      </c>
      <c r="AE868" s="25">
        <f t="shared" si="41"/>
        <v>0.23077386324786325</v>
      </c>
    </row>
    <row r="869" spans="1:31" x14ac:dyDescent="0.2">
      <c r="A869" s="1" t="s">
        <v>2089</v>
      </c>
      <c r="B869" s="1" t="s">
        <v>2256</v>
      </c>
      <c r="C869" s="1">
        <v>2516</v>
      </c>
      <c r="D869" s="1">
        <v>4</v>
      </c>
      <c r="F869" s="1">
        <v>2023</v>
      </c>
      <c r="G869" s="5">
        <v>1680</v>
      </c>
      <c r="H869" s="5">
        <v>1662.32</v>
      </c>
      <c r="I869" s="5">
        <v>311117.07</v>
      </c>
      <c r="K869" s="5">
        <v>22.827999999999999</v>
      </c>
      <c r="L869" s="5">
        <v>1.41E-2</v>
      </c>
      <c r="M869" s="5">
        <v>197379.076</v>
      </c>
      <c r="N869" s="6">
        <v>5.96E-2</v>
      </c>
      <c r="O869" s="5">
        <v>73.421999999999997</v>
      </c>
      <c r="P869" s="6">
        <v>3.5700000000000003E-2</v>
      </c>
      <c r="Q869" s="5">
        <v>3290257.7250000001</v>
      </c>
      <c r="R869" s="1" t="s">
        <v>44</v>
      </c>
      <c r="S869" s="1" t="s">
        <v>173</v>
      </c>
      <c r="T869" s="1" t="s">
        <v>43</v>
      </c>
      <c r="V869" s="1" t="s">
        <v>2259</v>
      </c>
      <c r="W869" s="1" t="s">
        <v>58</v>
      </c>
      <c r="Y869" s="1" t="s">
        <v>682</v>
      </c>
      <c r="Z869" s="1" t="str">
        <f t="shared" si="39"/>
        <v>2516 4</v>
      </c>
      <c r="AA869" s="3">
        <f>IF(INDEX('CAMD Facility Data 2023'!$AA$2:$AE$10000,MATCH(Z869,'CAMD Facility Data 2023'!$AE$2:$AE$10000,0),1)&gt;0,INDEX('CAMD Facility Data 2023'!$AA$2:$AE$10000,MATCH(Z869,'CAMD Facility Data 2023'!$AE$2:$AE$10000,0),1),"")</f>
        <v>28126</v>
      </c>
      <c r="AB869" s="5">
        <f>IF(INDEX('CAMD Facility Data 2023'!$AC$2:$AE$10000,MATCH(Z869,'CAMD Facility Data 2023'!$AE$2:$AE$10000,0),1)&gt;0,INDEX('CAMD Facility Data 2023'!$AC$2:$AE$10000,MATCH(Z869,'CAMD Facility Data 2023'!$AE$2:$AE$10000,0),1),"")</f>
        <v>4100</v>
      </c>
      <c r="AC869" s="1" t="str">
        <f>IF(INDEX('CAMD Facility Data 2023'!$AE$2:$AG$10000,MATCH(Z869,'CAMD Facility Data 2023'!$AE$2:$AE$10000,0),3)&gt;0,INDEX('CAMD Facility Data 2023'!$AE$2:$AG$10000,MATCH(Z869,'CAMD Facility Data 2023'!$AE$2:$AE$10000,0),3),"")</f>
        <v/>
      </c>
      <c r="AD869" s="20">
        <f t="shared" si="40"/>
        <v>0.47198953114337311</v>
      </c>
      <c r="AE869" s="25">
        <f t="shared" si="41"/>
        <v>9.1609804126294686E-2</v>
      </c>
    </row>
    <row r="870" spans="1:31" x14ac:dyDescent="0.2">
      <c r="A870" s="1" t="s">
        <v>2089</v>
      </c>
      <c r="B870" s="1" t="s">
        <v>2256</v>
      </c>
      <c r="C870" s="1">
        <v>2516</v>
      </c>
      <c r="D870" s="1" t="s">
        <v>2264</v>
      </c>
      <c r="F870" s="1">
        <v>2023</v>
      </c>
      <c r="G870" s="5">
        <v>18</v>
      </c>
      <c r="H870" s="5">
        <v>18</v>
      </c>
      <c r="I870" s="5">
        <v>137</v>
      </c>
      <c r="M870" s="5">
        <v>278.10000000000002</v>
      </c>
      <c r="N870" s="6">
        <v>8.09E-2</v>
      </c>
      <c r="O870" s="5">
        <v>2.0590000000000002</v>
      </c>
      <c r="P870" s="6">
        <v>1.2000999999999999</v>
      </c>
      <c r="Q870" s="5">
        <v>3431.3</v>
      </c>
      <c r="R870" s="1" t="s">
        <v>94</v>
      </c>
      <c r="T870" s="1" t="s">
        <v>93</v>
      </c>
      <c r="Y870" s="1" t="s">
        <v>617</v>
      </c>
      <c r="Z870" s="1" t="str">
        <f t="shared" si="39"/>
        <v>2516 UGT001</v>
      </c>
      <c r="AA870" s="3">
        <f>IF(INDEX('CAMD Facility Data 2023'!$AA$2:$AE$10000,MATCH(Z870,'CAMD Facility Data 2023'!$AE$2:$AE$10000,0),1)&gt;0,INDEX('CAMD Facility Data 2023'!$AA$2:$AE$10000,MATCH(Z870,'CAMD Facility Data 2023'!$AE$2:$AE$10000,0),1),"")</f>
        <v>24654</v>
      </c>
      <c r="AB870" s="5">
        <f>IF(INDEX('CAMD Facility Data 2023'!$AC$2:$AE$10000,MATCH(Z870,'CAMD Facility Data 2023'!$AE$2:$AE$10000,0),1)&gt;0,INDEX('CAMD Facility Data 2023'!$AC$2:$AE$10000,MATCH(Z870,'CAMD Facility Data 2023'!$AE$2:$AE$10000,0),1),"")</f>
        <v>266</v>
      </c>
      <c r="AC870" s="1" t="str">
        <f>IF(INDEX('CAMD Facility Data 2023'!$AE$2:$AG$10000,MATCH(Z870,'CAMD Facility Data 2023'!$AE$2:$AE$10000,0),3)&gt;0,INDEX('CAMD Facility Data 2023'!$AE$2:$AG$10000,MATCH(Z870,'CAMD Facility Data 2023'!$AE$2:$AE$10000,0),3),"")</f>
        <v/>
      </c>
      <c r="AD870" s="20">
        <f t="shared" si="40"/>
        <v>30.058394160583941</v>
      </c>
      <c r="AE870" s="25">
        <f t="shared" si="41"/>
        <v>1.4725598242180794E-3</v>
      </c>
    </row>
    <row r="871" spans="1:31" x14ac:dyDescent="0.2">
      <c r="A871" s="1" t="s">
        <v>2089</v>
      </c>
      <c r="B871" s="1" t="s">
        <v>2266</v>
      </c>
      <c r="C871" s="1">
        <v>2517</v>
      </c>
      <c r="D871" s="1">
        <v>3</v>
      </c>
      <c r="F871" s="1">
        <v>2023</v>
      </c>
      <c r="G871" s="5">
        <v>2164</v>
      </c>
      <c r="H871" s="5">
        <v>2144.94</v>
      </c>
      <c r="I871" s="5">
        <v>187803.63</v>
      </c>
      <c r="K871" s="5">
        <v>19.395</v>
      </c>
      <c r="L871" s="5">
        <v>1.47E-2</v>
      </c>
      <c r="M871" s="5">
        <v>126878.459</v>
      </c>
      <c r="N871" s="6">
        <v>5.9700000000000003E-2</v>
      </c>
      <c r="O871" s="5">
        <v>56.119</v>
      </c>
      <c r="P871" s="6">
        <v>4.4600000000000001E-2</v>
      </c>
      <c r="Q871" s="5">
        <v>2108530.2110000001</v>
      </c>
      <c r="R871" s="1" t="s">
        <v>44</v>
      </c>
      <c r="S871" s="1" t="s">
        <v>173</v>
      </c>
      <c r="T871" s="1" t="s">
        <v>43</v>
      </c>
      <c r="V871" s="1" t="s">
        <v>2259</v>
      </c>
      <c r="W871" s="1" t="s">
        <v>58</v>
      </c>
      <c r="Y871" s="1" t="s">
        <v>682</v>
      </c>
      <c r="Z871" s="1" t="str">
        <f t="shared" si="39"/>
        <v>2517 3</v>
      </c>
      <c r="AA871" s="3">
        <f>IF(INDEX('CAMD Facility Data 2023'!$AA$2:$AE$10000,MATCH(Z871,'CAMD Facility Data 2023'!$AE$2:$AE$10000,0),1)&gt;0,INDEX('CAMD Facility Data 2023'!$AA$2:$AE$10000,MATCH(Z871,'CAMD Facility Data 2023'!$AE$2:$AE$10000,0),1),"")</f>
        <v>21186</v>
      </c>
      <c r="AB871" s="5">
        <f>IF(INDEX('CAMD Facility Data 2023'!$AC$2:$AE$10000,MATCH(Z871,'CAMD Facility Data 2023'!$AE$2:$AE$10000,0),1)&gt;0,INDEX('CAMD Facility Data 2023'!$AC$2:$AE$10000,MATCH(Z871,'CAMD Facility Data 2023'!$AE$2:$AE$10000,0),1),"")</f>
        <v>2075</v>
      </c>
      <c r="AC871" s="1" t="str">
        <f>IF(INDEX('CAMD Facility Data 2023'!$AE$2:$AG$10000,MATCH(Z871,'CAMD Facility Data 2023'!$AE$2:$AE$10000,0),3)&gt;0,INDEX('CAMD Facility Data 2023'!$AE$2:$AG$10000,MATCH(Z871,'CAMD Facility Data 2023'!$AE$2:$AE$10000,0),3),"")</f>
        <v/>
      </c>
      <c r="AD871" s="20">
        <f t="shared" si="40"/>
        <v>0.59763488064634318</v>
      </c>
      <c r="AE871" s="25">
        <f t="shared" si="41"/>
        <v>0.11599990157891842</v>
      </c>
    </row>
    <row r="872" spans="1:31" x14ac:dyDescent="0.2">
      <c r="A872" s="1" t="s">
        <v>2089</v>
      </c>
      <c r="B872" s="1" t="s">
        <v>2266</v>
      </c>
      <c r="C872" s="1">
        <v>2517</v>
      </c>
      <c r="D872" s="1">
        <v>4</v>
      </c>
      <c r="F872" s="1">
        <v>2023</v>
      </c>
      <c r="G872" s="5">
        <v>1943</v>
      </c>
      <c r="H872" s="5">
        <v>1911.05</v>
      </c>
      <c r="I872" s="5">
        <v>135912.87</v>
      </c>
      <c r="K872" s="5">
        <v>17.917000000000002</v>
      </c>
      <c r="L872" s="5">
        <v>1.84E-2</v>
      </c>
      <c r="M872" s="5">
        <v>90722.07</v>
      </c>
      <c r="N872" s="6">
        <v>5.9900000000000002E-2</v>
      </c>
      <c r="O872" s="5">
        <v>39.777000000000001</v>
      </c>
      <c r="P872" s="6">
        <v>4.3099999999999999E-2</v>
      </c>
      <c r="Q872" s="5">
        <v>1501989.8529999999</v>
      </c>
      <c r="R872" s="1" t="s">
        <v>44</v>
      </c>
      <c r="S872" s="1" t="s">
        <v>173</v>
      </c>
      <c r="T872" s="1" t="s">
        <v>43</v>
      </c>
      <c r="V872" s="1" t="s">
        <v>2259</v>
      </c>
      <c r="W872" s="1" t="s">
        <v>58</v>
      </c>
      <c r="Y872" s="1" t="s">
        <v>682</v>
      </c>
      <c r="Z872" s="1" t="str">
        <f t="shared" si="39"/>
        <v>2517 4</v>
      </c>
      <c r="AA872" s="3">
        <f>IF(INDEX('CAMD Facility Data 2023'!$AA$2:$AE$10000,MATCH(Z872,'CAMD Facility Data 2023'!$AE$2:$AE$10000,0),1)&gt;0,INDEX('CAMD Facility Data 2023'!$AA$2:$AE$10000,MATCH(Z872,'CAMD Facility Data 2023'!$AE$2:$AE$10000,0),1),"")</f>
        <v>21916</v>
      </c>
      <c r="AB872" s="5">
        <f>IF(INDEX('CAMD Facility Data 2023'!$AC$2:$AE$10000,MATCH(Z872,'CAMD Facility Data 2023'!$AE$2:$AE$10000,0),1)&gt;0,INDEX('CAMD Facility Data 2023'!$AC$2:$AE$10000,MATCH(Z872,'CAMD Facility Data 2023'!$AE$2:$AE$10000,0),1),"")</f>
        <v>2100</v>
      </c>
      <c r="AC872" s="1" t="str">
        <f>IF(INDEX('CAMD Facility Data 2023'!$AE$2:$AG$10000,MATCH(Z872,'CAMD Facility Data 2023'!$AE$2:$AE$10000,0),3)&gt;0,INDEX('CAMD Facility Data 2023'!$AE$2:$AG$10000,MATCH(Z872,'CAMD Facility Data 2023'!$AE$2:$AE$10000,0),3),"")</f>
        <v/>
      </c>
      <c r="AD872" s="20">
        <f t="shared" si="40"/>
        <v>0.58533088146839962</v>
      </c>
      <c r="AE872" s="25">
        <f t="shared" si="41"/>
        <v>8.1647632800608827E-2</v>
      </c>
    </row>
    <row r="873" spans="1:31" x14ac:dyDescent="0.2">
      <c r="A873" s="1" t="s">
        <v>2089</v>
      </c>
      <c r="B873" s="1" t="s">
        <v>2266</v>
      </c>
      <c r="C873" s="1">
        <v>2517</v>
      </c>
      <c r="D873" s="1" t="s">
        <v>2264</v>
      </c>
      <c r="F873" s="1">
        <v>2023</v>
      </c>
      <c r="G873" s="5">
        <v>9</v>
      </c>
      <c r="H873" s="5">
        <v>9</v>
      </c>
      <c r="I873" s="5">
        <v>67</v>
      </c>
      <c r="M873" s="5">
        <v>168.7</v>
      </c>
      <c r="N873" s="6">
        <v>8.1000000000000003E-2</v>
      </c>
      <c r="O873" s="5">
        <v>1.25</v>
      </c>
      <c r="P873" s="6">
        <v>1.2</v>
      </c>
      <c r="Q873" s="5">
        <v>2084</v>
      </c>
      <c r="R873" s="1" t="s">
        <v>94</v>
      </c>
      <c r="T873" s="1" t="s">
        <v>93</v>
      </c>
      <c r="Y873" s="1" t="s">
        <v>617</v>
      </c>
      <c r="Z873" s="1" t="str">
        <f t="shared" si="39"/>
        <v>2517 UGT001</v>
      </c>
      <c r="AA873" s="3">
        <f>IF(INDEX('CAMD Facility Data 2023'!$AA$2:$AE$10000,MATCH(Z873,'CAMD Facility Data 2023'!$AE$2:$AE$10000,0),1)&gt;0,INDEX('CAMD Facility Data 2023'!$AA$2:$AE$10000,MATCH(Z873,'CAMD Facility Data 2023'!$AE$2:$AE$10000,0),1),"")</f>
        <v>24289</v>
      </c>
      <c r="AB873" s="5">
        <f>IF(INDEX('CAMD Facility Data 2023'!$AC$2:$AE$10000,MATCH(Z873,'CAMD Facility Data 2023'!$AE$2:$AE$10000,0),1)&gt;0,INDEX('CAMD Facility Data 2023'!$AC$2:$AE$10000,MATCH(Z873,'CAMD Facility Data 2023'!$AE$2:$AE$10000,0),1),"")</f>
        <v>266</v>
      </c>
      <c r="AC873" s="1" t="str">
        <f>IF(INDEX('CAMD Facility Data 2023'!$AE$2:$AG$10000,MATCH(Z873,'CAMD Facility Data 2023'!$AE$2:$AE$10000,0),3)&gt;0,INDEX('CAMD Facility Data 2023'!$AE$2:$AG$10000,MATCH(Z873,'CAMD Facility Data 2023'!$AE$2:$AE$10000,0),3),"")</f>
        <v/>
      </c>
      <c r="AD873" s="20">
        <f t="shared" si="40"/>
        <v>37.313432835820898</v>
      </c>
      <c r="AE873" s="25">
        <f t="shared" si="41"/>
        <v>8.943591856353212E-4</v>
      </c>
    </row>
    <row r="874" spans="1:31" x14ac:dyDescent="0.2">
      <c r="A874" s="1" t="s">
        <v>2089</v>
      </c>
      <c r="B874" s="1" t="s">
        <v>2266</v>
      </c>
      <c r="C874" s="1">
        <v>2517</v>
      </c>
      <c r="D874" s="1" t="s">
        <v>2269</v>
      </c>
      <c r="F874" s="1">
        <v>2023</v>
      </c>
      <c r="G874" s="5">
        <v>783</v>
      </c>
      <c r="H874" s="5">
        <v>655.16999999999996</v>
      </c>
      <c r="I874" s="5">
        <v>27108.41</v>
      </c>
      <c r="K874" s="5">
        <v>7.6999999999999999E-2</v>
      </c>
      <c r="L874" s="5">
        <v>1E-3</v>
      </c>
      <c r="M874" s="5">
        <v>15162.512000000001</v>
      </c>
      <c r="N874" s="6">
        <v>6.0199999999999997E-2</v>
      </c>
      <c r="O874" s="5">
        <v>1.5009999999999999</v>
      </c>
      <c r="P874" s="6">
        <v>3.8399999999999997E-2</v>
      </c>
      <c r="Q874" s="5">
        <v>252584.75099999999</v>
      </c>
      <c r="R874" s="1" t="s">
        <v>44</v>
      </c>
      <c r="S874" s="1" t="s">
        <v>94</v>
      </c>
      <c r="T874" s="1" t="s">
        <v>93</v>
      </c>
      <c r="V874" s="1" t="s">
        <v>176</v>
      </c>
      <c r="Y874" s="1" t="s">
        <v>1515</v>
      </c>
      <c r="Z874" s="1" t="str">
        <f t="shared" si="39"/>
        <v>2517 UGT002</v>
      </c>
      <c r="AA874" s="3">
        <f>IF(INDEX('CAMD Facility Data 2023'!$AA$2:$AE$10000,MATCH(Z874,'CAMD Facility Data 2023'!$AE$2:$AE$10000,0),1)&gt;0,INDEX('CAMD Facility Data 2023'!$AA$2:$AE$10000,MATCH(Z874,'CAMD Facility Data 2023'!$AE$2:$AE$10000,0),1),"")</f>
        <v>37438</v>
      </c>
      <c r="AB874" s="5">
        <f>IF(INDEX('CAMD Facility Data 2023'!$AC$2:$AE$10000,MATCH(Z874,'CAMD Facility Data 2023'!$AE$2:$AE$10000,0),1)&gt;0,INDEX('CAMD Facility Data 2023'!$AC$2:$AE$10000,MATCH(Z874,'CAMD Facility Data 2023'!$AE$2:$AE$10000,0),1),"")</f>
        <v>492</v>
      </c>
      <c r="AC874" s="1" t="str">
        <f>IF(INDEX('CAMD Facility Data 2023'!$AE$2:$AG$10000,MATCH(Z874,'CAMD Facility Data 2023'!$AE$2:$AE$10000,0),3)&gt;0,INDEX('CAMD Facility Data 2023'!$AE$2:$AG$10000,MATCH(Z874,'CAMD Facility Data 2023'!$AE$2:$AE$10000,0),3),"")</f>
        <v>Y</v>
      </c>
      <c r="AD874" s="20">
        <f t="shared" si="40"/>
        <v>0.1107405414039407</v>
      </c>
      <c r="AE874" s="25">
        <f t="shared" si="41"/>
        <v>5.8605438384007127E-2</v>
      </c>
    </row>
    <row r="875" spans="1:31" x14ac:dyDescent="0.2">
      <c r="A875" s="1" t="s">
        <v>2089</v>
      </c>
      <c r="B875" s="1" t="s">
        <v>2266</v>
      </c>
      <c r="C875" s="1">
        <v>2517</v>
      </c>
      <c r="D875" s="1" t="s">
        <v>2271</v>
      </c>
      <c r="F875" s="1">
        <v>2023</v>
      </c>
      <c r="G875" s="5">
        <v>1213</v>
      </c>
      <c r="H875" s="5">
        <v>971.36</v>
      </c>
      <c r="I875" s="5">
        <v>41177.4</v>
      </c>
      <c r="K875" s="5">
        <v>0.122</v>
      </c>
      <c r="L875" s="5">
        <v>1E-3</v>
      </c>
      <c r="M875" s="5">
        <v>24191.416000000001</v>
      </c>
      <c r="N875" s="6">
        <v>5.9499999999999997E-2</v>
      </c>
      <c r="O875" s="5">
        <v>2.62</v>
      </c>
      <c r="P875" s="6">
        <v>4.6699999999999998E-2</v>
      </c>
      <c r="Q875" s="5">
        <v>405678.61099999998</v>
      </c>
      <c r="R875" s="1" t="s">
        <v>44</v>
      </c>
      <c r="S875" s="1" t="s">
        <v>94</v>
      </c>
      <c r="T875" s="1" t="s">
        <v>93</v>
      </c>
      <c r="V875" s="1" t="s">
        <v>176</v>
      </c>
      <c r="Y875" s="1" t="s">
        <v>1515</v>
      </c>
      <c r="Z875" s="1" t="str">
        <f t="shared" si="39"/>
        <v>2517 UGT003</v>
      </c>
      <c r="AA875" s="3">
        <f>IF(INDEX('CAMD Facility Data 2023'!$AA$2:$AE$10000,MATCH(Z875,'CAMD Facility Data 2023'!$AE$2:$AE$10000,0),1)&gt;0,INDEX('CAMD Facility Data 2023'!$AA$2:$AE$10000,MATCH(Z875,'CAMD Facility Data 2023'!$AE$2:$AE$10000,0),1),"")</f>
        <v>37438</v>
      </c>
      <c r="AB875" s="5">
        <f>IF(INDEX('CAMD Facility Data 2023'!$AC$2:$AE$10000,MATCH(Z875,'CAMD Facility Data 2023'!$AE$2:$AE$10000,0),1)&gt;0,INDEX('CAMD Facility Data 2023'!$AC$2:$AE$10000,MATCH(Z875,'CAMD Facility Data 2023'!$AE$2:$AE$10000,0),1),"")</f>
        <v>478</v>
      </c>
      <c r="AC875" s="1" t="str">
        <f>IF(INDEX('CAMD Facility Data 2023'!$AE$2:$AG$10000,MATCH(Z875,'CAMD Facility Data 2023'!$AE$2:$AE$10000,0),3)&gt;0,INDEX('CAMD Facility Data 2023'!$AE$2:$AG$10000,MATCH(Z875,'CAMD Facility Data 2023'!$AE$2:$AE$10000,0),3),"")</f>
        <v>Y</v>
      </c>
      <c r="AD875" s="20">
        <f t="shared" si="40"/>
        <v>0.12725427054646479</v>
      </c>
      <c r="AE875" s="25">
        <f t="shared" si="41"/>
        <v>9.6883564270839301E-2</v>
      </c>
    </row>
    <row r="876" spans="1:31" x14ac:dyDescent="0.2">
      <c r="A876" s="1" t="s">
        <v>2089</v>
      </c>
      <c r="B876" s="1" t="s">
        <v>2272</v>
      </c>
      <c r="C876" s="1">
        <v>2521</v>
      </c>
      <c r="D876" s="1" t="s">
        <v>2264</v>
      </c>
      <c r="F876" s="1">
        <v>2023</v>
      </c>
      <c r="G876" s="5">
        <v>6</v>
      </c>
      <c r="H876" s="5">
        <v>6</v>
      </c>
      <c r="I876" s="5">
        <v>40</v>
      </c>
      <c r="K876" s="5">
        <v>0</v>
      </c>
      <c r="L876" s="5">
        <v>1.1999999999999999E-3</v>
      </c>
      <c r="M876" s="5">
        <v>59.6</v>
      </c>
      <c r="N876" s="6">
        <v>8.1000000000000003E-2</v>
      </c>
      <c r="O876" s="5">
        <v>0.215</v>
      </c>
      <c r="P876" s="6">
        <v>0.58520000000000005</v>
      </c>
      <c r="Q876" s="5">
        <v>734</v>
      </c>
      <c r="R876" s="1" t="s">
        <v>94</v>
      </c>
      <c r="T876" s="1" t="s">
        <v>93</v>
      </c>
      <c r="Y876" s="1" t="s">
        <v>1528</v>
      </c>
      <c r="Z876" s="1" t="str">
        <f t="shared" si="39"/>
        <v>2521 UGT001</v>
      </c>
      <c r="AA876" s="3">
        <f>IF(INDEX('CAMD Facility Data 2023'!$AA$2:$AE$10000,MATCH(Z876,'CAMD Facility Data 2023'!$AE$2:$AE$10000,0),1)&gt;0,INDEX('CAMD Facility Data 2023'!$AA$2:$AE$10000,MATCH(Z876,'CAMD Facility Data 2023'!$AE$2:$AE$10000,0),1),"")</f>
        <v>26085</v>
      </c>
      <c r="AB876" s="5">
        <f>IF(INDEX('CAMD Facility Data 2023'!$AC$2:$AE$10000,MATCH(Z876,'CAMD Facility Data 2023'!$AE$2:$AE$10000,0),1)&gt;0,INDEX('CAMD Facility Data 2023'!$AC$2:$AE$10000,MATCH(Z876,'CAMD Facility Data 2023'!$AE$2:$AE$10000,0),1),"")</f>
        <v>686</v>
      </c>
      <c r="AC876" s="1" t="str">
        <f>IF(INDEX('CAMD Facility Data 2023'!$AE$2:$AG$10000,MATCH(Z876,'CAMD Facility Data 2023'!$AE$2:$AE$10000,0),3)&gt;0,INDEX('CAMD Facility Data 2023'!$AE$2:$AG$10000,MATCH(Z876,'CAMD Facility Data 2023'!$AE$2:$AE$10000,0),3),"")</f>
        <v/>
      </c>
      <c r="AD876" s="20">
        <f t="shared" si="40"/>
        <v>10.75</v>
      </c>
      <c r="AE876" s="25">
        <f t="shared" si="41"/>
        <v>1.221427905800285E-4</v>
      </c>
    </row>
    <row r="877" spans="1:31" x14ac:dyDescent="0.2">
      <c r="A877" s="1" t="s">
        <v>2089</v>
      </c>
      <c r="B877" s="1" t="s">
        <v>2274</v>
      </c>
      <c r="C877" s="1">
        <v>2527</v>
      </c>
      <c r="D877" s="1">
        <v>6</v>
      </c>
      <c r="F877" s="1">
        <v>2023</v>
      </c>
      <c r="G877" s="5">
        <v>8446</v>
      </c>
      <c r="H877" s="5">
        <v>8439.08</v>
      </c>
      <c r="I877" s="5">
        <v>665425.54</v>
      </c>
      <c r="K877" s="5">
        <v>1.9359999999999999</v>
      </c>
      <c r="L877" s="5">
        <v>1E-3</v>
      </c>
      <c r="M877" s="5">
        <v>388036.30499999999</v>
      </c>
      <c r="N877" s="6">
        <v>5.8999999999999997E-2</v>
      </c>
      <c r="O877" s="5">
        <v>66.150999999999996</v>
      </c>
      <c r="P877" s="6">
        <v>1.89E-2</v>
      </c>
      <c r="Q877" s="5">
        <v>6544486.6679999996</v>
      </c>
      <c r="R877" s="1" t="s">
        <v>44</v>
      </c>
      <c r="S877" s="1" t="s">
        <v>657</v>
      </c>
      <c r="T877" s="1" t="s">
        <v>43</v>
      </c>
      <c r="U877" s="1" t="s">
        <v>212</v>
      </c>
      <c r="V877" s="1" t="s">
        <v>2278</v>
      </c>
      <c r="W877" s="1" t="s">
        <v>1182</v>
      </c>
      <c r="Y877" s="1" t="s">
        <v>1515</v>
      </c>
      <c r="Z877" s="1" t="str">
        <f t="shared" si="39"/>
        <v>2527 6</v>
      </c>
      <c r="AA877" s="3">
        <f>IF(INDEX('CAMD Facility Data 2023'!$AA$2:$AE$10000,MATCH(Z877,'CAMD Facility Data 2023'!$AE$2:$AE$10000,0),1)&gt;0,INDEX('CAMD Facility Data 2023'!$AA$2:$AE$10000,MATCH(Z877,'CAMD Facility Data 2023'!$AE$2:$AE$10000,0),1),"")</f>
        <v>19664</v>
      </c>
      <c r="AB877" s="5">
        <f>IF(INDEX('CAMD Facility Data 2023'!$AC$2:$AE$10000,MATCH(Z877,'CAMD Facility Data 2023'!$AE$2:$AE$10000,0),1)&gt;0,INDEX('CAMD Facility Data 2023'!$AC$2:$AE$10000,MATCH(Z877,'CAMD Facility Data 2023'!$AE$2:$AE$10000,0),1),"")</f>
        <v>1280</v>
      </c>
      <c r="AC877" s="1" t="str">
        <f>IF(INDEX('CAMD Facility Data 2023'!$AE$2:$AG$10000,MATCH(Z877,'CAMD Facility Data 2023'!$AE$2:$AE$10000,0),3)&gt;0,INDEX('CAMD Facility Data 2023'!$AE$2:$AG$10000,MATCH(Z877,'CAMD Facility Data 2023'!$AE$2:$AE$10000,0),3),"")</f>
        <v>Y</v>
      </c>
      <c r="AD877" s="20">
        <f t="shared" si="40"/>
        <v>0.19882314706465878</v>
      </c>
      <c r="AE877" s="25">
        <f t="shared" si="41"/>
        <v>0.58366212435787668</v>
      </c>
    </row>
    <row r="878" spans="1:31" x14ac:dyDescent="0.2">
      <c r="A878" s="1" t="s">
        <v>2089</v>
      </c>
      <c r="B878" s="1" t="s">
        <v>2280</v>
      </c>
      <c r="C878" s="1">
        <v>2539</v>
      </c>
      <c r="D878" s="1">
        <v>10001</v>
      </c>
      <c r="F878" s="1">
        <v>2023</v>
      </c>
      <c r="G878" s="5">
        <v>8023</v>
      </c>
      <c r="H878" s="5">
        <v>7995.02</v>
      </c>
      <c r="I878" s="5">
        <v>1395493.27</v>
      </c>
      <c r="K878" s="5">
        <v>4.1909999999999998</v>
      </c>
      <c r="L878" s="5">
        <v>1E-3</v>
      </c>
      <c r="M878" s="5">
        <v>830186.39599999995</v>
      </c>
      <c r="N878" s="6">
        <v>5.8999999999999997E-2</v>
      </c>
      <c r="O878" s="5">
        <v>38.024999999999999</v>
      </c>
      <c r="P878" s="6">
        <v>6.4999999999999997E-3</v>
      </c>
      <c r="Q878" s="5">
        <v>13969401.381999999</v>
      </c>
      <c r="R878" s="1" t="s">
        <v>44</v>
      </c>
      <c r="S878" s="1" t="s">
        <v>94</v>
      </c>
      <c r="T878" s="1" t="s">
        <v>71</v>
      </c>
      <c r="V878" s="1" t="s">
        <v>643</v>
      </c>
      <c r="Y878" s="1" t="s">
        <v>1515</v>
      </c>
      <c r="Z878" s="1" t="str">
        <f t="shared" si="39"/>
        <v>2539 10001</v>
      </c>
      <c r="AA878" s="3">
        <f>IF(INDEX('CAMD Facility Data 2023'!$AA$2:$AE$10000,MATCH(Z878,'CAMD Facility Data 2023'!$AE$2:$AE$10000,0),1)&gt;0,INDEX('CAMD Facility Data 2023'!$AA$2:$AE$10000,MATCH(Z878,'CAMD Facility Data 2023'!$AE$2:$AE$10000,0),1),"")</f>
        <v>38421</v>
      </c>
      <c r="AB878" s="5">
        <f>IF(INDEX('CAMD Facility Data 2023'!$AC$2:$AE$10000,MATCH(Z878,'CAMD Facility Data 2023'!$AE$2:$AE$10000,0),1)&gt;0,INDEX('CAMD Facility Data 2023'!$AC$2:$AE$10000,MATCH(Z878,'CAMD Facility Data 2023'!$AE$2:$AE$10000,0),1),"")</f>
        <v>2450</v>
      </c>
      <c r="AC878" s="1" t="str">
        <f>IF(INDEX('CAMD Facility Data 2023'!$AE$2:$AG$10000,MATCH(Z878,'CAMD Facility Data 2023'!$AE$2:$AE$10000,0),3)&gt;0,INDEX('CAMD Facility Data 2023'!$AE$2:$AG$10000,MATCH(Z878,'CAMD Facility Data 2023'!$AE$2:$AE$10000,0),3),"")</f>
        <v>Y</v>
      </c>
      <c r="AD878" s="20">
        <f t="shared" si="40"/>
        <v>5.4496859021039921E-2</v>
      </c>
      <c r="AE878" s="25">
        <f t="shared" si="41"/>
        <v>0.65089000941198394</v>
      </c>
    </row>
    <row r="879" spans="1:31" x14ac:dyDescent="0.2">
      <c r="A879" s="1" t="s">
        <v>2089</v>
      </c>
      <c r="B879" s="1" t="s">
        <v>2280</v>
      </c>
      <c r="C879" s="1">
        <v>2539</v>
      </c>
      <c r="D879" s="1">
        <v>10002</v>
      </c>
      <c r="F879" s="1">
        <v>2023</v>
      </c>
      <c r="G879" s="5">
        <v>8004</v>
      </c>
      <c r="H879" s="5">
        <v>7981.59</v>
      </c>
      <c r="I879" s="5">
        <v>1393935.28</v>
      </c>
      <c r="K879" s="5">
        <v>4.2560000000000002</v>
      </c>
      <c r="L879" s="5">
        <v>1E-3</v>
      </c>
      <c r="M879" s="5">
        <v>843092.89899999998</v>
      </c>
      <c r="N879" s="6">
        <v>5.8999999999999997E-2</v>
      </c>
      <c r="O879" s="5">
        <v>38.317</v>
      </c>
      <c r="P879" s="6">
        <v>6.3E-3</v>
      </c>
      <c r="Q879" s="5">
        <v>14186678.175000001</v>
      </c>
      <c r="R879" s="1" t="s">
        <v>44</v>
      </c>
      <c r="S879" s="1" t="s">
        <v>94</v>
      </c>
      <c r="T879" s="1" t="s">
        <v>71</v>
      </c>
      <c r="V879" s="1" t="s">
        <v>643</v>
      </c>
      <c r="Y879" s="1" t="s">
        <v>1515</v>
      </c>
      <c r="Z879" s="1" t="str">
        <f t="shared" si="39"/>
        <v>2539 10002</v>
      </c>
      <c r="AA879" s="3">
        <f>IF(INDEX('CAMD Facility Data 2023'!$AA$2:$AE$10000,MATCH(Z879,'CAMD Facility Data 2023'!$AE$2:$AE$10000,0),1)&gt;0,INDEX('CAMD Facility Data 2023'!$AA$2:$AE$10000,MATCH(Z879,'CAMD Facility Data 2023'!$AE$2:$AE$10000,0),1),"")</f>
        <v>38429</v>
      </c>
      <c r="AB879" s="5">
        <f>IF(INDEX('CAMD Facility Data 2023'!$AC$2:$AE$10000,MATCH(Z879,'CAMD Facility Data 2023'!$AE$2:$AE$10000,0),1)&gt;0,INDEX('CAMD Facility Data 2023'!$AC$2:$AE$10000,MATCH(Z879,'CAMD Facility Data 2023'!$AE$2:$AE$10000,0),1),"")</f>
        <v>2450</v>
      </c>
      <c r="AC879" s="1" t="str">
        <f>IF(INDEX('CAMD Facility Data 2023'!$AE$2:$AG$10000,MATCH(Z879,'CAMD Facility Data 2023'!$AE$2:$AE$10000,0),3)&gt;0,INDEX('CAMD Facility Data 2023'!$AE$2:$AG$10000,MATCH(Z879,'CAMD Facility Data 2023'!$AE$2:$AE$10000,0),3),"")</f>
        <v>Y</v>
      </c>
      <c r="AD879" s="20">
        <f t="shared" si="40"/>
        <v>5.4976727470446116E-2</v>
      </c>
      <c r="AE879" s="25">
        <f t="shared" si="41"/>
        <v>0.66101379997204368</v>
      </c>
    </row>
    <row r="880" spans="1:31" x14ac:dyDescent="0.2">
      <c r="A880" s="1" t="s">
        <v>2089</v>
      </c>
      <c r="B880" s="1" t="s">
        <v>2280</v>
      </c>
      <c r="C880" s="1">
        <v>2539</v>
      </c>
      <c r="D880" s="1">
        <v>10003</v>
      </c>
      <c r="F880" s="1">
        <v>2023</v>
      </c>
      <c r="G880" s="5">
        <v>7932</v>
      </c>
      <c r="H880" s="5">
        <v>7912.22</v>
      </c>
      <c r="I880" s="5">
        <v>1388398.69</v>
      </c>
      <c r="K880" s="5">
        <v>4.1890000000000001</v>
      </c>
      <c r="L880" s="5">
        <v>1E-3</v>
      </c>
      <c r="M880" s="5">
        <v>829798.35600000003</v>
      </c>
      <c r="N880" s="6">
        <v>5.8999999999999997E-2</v>
      </c>
      <c r="O880" s="5">
        <v>39.716999999999999</v>
      </c>
      <c r="P880" s="6">
        <v>6.4000000000000003E-3</v>
      </c>
      <c r="Q880" s="5">
        <v>13963005.665999999</v>
      </c>
      <c r="R880" s="1" t="s">
        <v>44</v>
      </c>
      <c r="S880" s="1" t="s">
        <v>94</v>
      </c>
      <c r="T880" s="1" t="s">
        <v>71</v>
      </c>
      <c r="V880" s="1" t="s">
        <v>643</v>
      </c>
      <c r="Y880" s="1" t="s">
        <v>1515</v>
      </c>
      <c r="Z880" s="1" t="str">
        <f t="shared" si="39"/>
        <v>2539 10003</v>
      </c>
      <c r="AA880" s="3">
        <f>IF(INDEX('CAMD Facility Data 2023'!$AA$2:$AE$10000,MATCH(Z880,'CAMD Facility Data 2023'!$AE$2:$AE$10000,0),1)&gt;0,INDEX('CAMD Facility Data 2023'!$AA$2:$AE$10000,MATCH(Z880,'CAMD Facility Data 2023'!$AE$2:$AE$10000,0),1),"")</f>
        <v>38423</v>
      </c>
      <c r="AB880" s="5">
        <f>IF(INDEX('CAMD Facility Data 2023'!$AC$2:$AE$10000,MATCH(Z880,'CAMD Facility Data 2023'!$AE$2:$AE$10000,0),1)&gt;0,INDEX('CAMD Facility Data 2023'!$AC$2:$AE$10000,MATCH(Z880,'CAMD Facility Data 2023'!$AE$2:$AE$10000,0),1),"")</f>
        <v>2450</v>
      </c>
      <c r="AC880" s="1" t="str">
        <f>IF(INDEX('CAMD Facility Data 2023'!$AE$2:$AG$10000,MATCH(Z880,'CAMD Facility Data 2023'!$AE$2:$AE$10000,0),3)&gt;0,INDEX('CAMD Facility Data 2023'!$AE$2:$AG$10000,MATCH(Z880,'CAMD Facility Data 2023'!$AE$2:$AE$10000,0),3),"")</f>
        <v>Y</v>
      </c>
      <c r="AD880" s="20">
        <f t="shared" si="40"/>
        <v>5.7212672823826999E-2</v>
      </c>
      <c r="AE880" s="25">
        <f t="shared" si="41"/>
        <v>0.65059200754822477</v>
      </c>
    </row>
    <row r="881" spans="1:31" x14ac:dyDescent="0.2">
      <c r="A881" s="1" t="s">
        <v>2089</v>
      </c>
      <c r="B881" s="1" t="s">
        <v>2287</v>
      </c>
      <c r="C881" s="1">
        <v>2594</v>
      </c>
      <c r="D881" s="1">
        <v>5</v>
      </c>
      <c r="F881" s="1">
        <v>2023</v>
      </c>
      <c r="G881" s="5">
        <v>137</v>
      </c>
      <c r="H881" s="5">
        <v>131.62</v>
      </c>
      <c r="I881" s="5">
        <v>23800.41</v>
      </c>
      <c r="K881" s="5">
        <v>59.856000000000002</v>
      </c>
      <c r="L881" s="5">
        <v>0.2447</v>
      </c>
      <c r="M881" s="5">
        <v>21260.014999999999</v>
      </c>
      <c r="N881" s="6">
        <v>8.1000000000000003E-2</v>
      </c>
      <c r="O881" s="5">
        <v>28.024999999999999</v>
      </c>
      <c r="P881" s="6">
        <v>0.1154</v>
      </c>
      <c r="Q881" s="5">
        <v>262664.56699999998</v>
      </c>
      <c r="R881" s="1" t="s">
        <v>173</v>
      </c>
      <c r="S881" s="1" t="s">
        <v>44</v>
      </c>
      <c r="T881" s="1" t="s">
        <v>89</v>
      </c>
      <c r="V881" s="1" t="s">
        <v>220</v>
      </c>
      <c r="Y881" s="1" t="s">
        <v>682</v>
      </c>
      <c r="Z881" s="1" t="str">
        <f t="shared" si="39"/>
        <v>2594 5</v>
      </c>
      <c r="AA881" s="3">
        <f>IF(INDEX('CAMD Facility Data 2023'!$AA$2:$AE$10000,MATCH(Z881,'CAMD Facility Data 2023'!$AE$2:$AE$10000,0),1)&gt;0,INDEX('CAMD Facility Data 2023'!$AA$2:$AE$10000,MATCH(Z881,'CAMD Facility Data 2023'!$AE$2:$AE$10000,0),1),"")</f>
        <v>28126</v>
      </c>
      <c r="AB881" s="5">
        <f>IF(INDEX('CAMD Facility Data 2023'!$AC$2:$AE$10000,MATCH(Z881,'CAMD Facility Data 2023'!$AE$2:$AE$10000,0),1)&gt;0,INDEX('CAMD Facility Data 2023'!$AC$2:$AE$10000,MATCH(Z881,'CAMD Facility Data 2023'!$AE$2:$AE$10000,0),1),"")</f>
        <v>9422</v>
      </c>
      <c r="AC881" s="1" t="str">
        <f>IF(INDEX('CAMD Facility Data 2023'!$AE$2:$AG$10000,MATCH(Z881,'CAMD Facility Data 2023'!$AE$2:$AE$10000,0),3)&gt;0,INDEX('CAMD Facility Data 2023'!$AE$2:$AG$10000,MATCH(Z881,'CAMD Facility Data 2023'!$AE$2:$AE$10000,0),3),"")</f>
        <v/>
      </c>
      <c r="AD881" s="20">
        <f t="shared" si="40"/>
        <v>2.3550014474540566</v>
      </c>
      <c r="AE881" s="25">
        <f t="shared" si="41"/>
        <v>3.1823964775920342E-3</v>
      </c>
    </row>
    <row r="882" spans="1:31" x14ac:dyDescent="0.2">
      <c r="A882" s="1" t="s">
        <v>2089</v>
      </c>
      <c r="B882" s="1" t="s">
        <v>2287</v>
      </c>
      <c r="C882" s="1">
        <v>2594</v>
      </c>
      <c r="D882" s="1">
        <v>6</v>
      </c>
      <c r="F882" s="1">
        <v>2023</v>
      </c>
      <c r="G882" s="5">
        <v>210</v>
      </c>
      <c r="H882" s="5">
        <v>205.76</v>
      </c>
      <c r="I882" s="5">
        <v>37470.9</v>
      </c>
      <c r="K882" s="5">
        <v>103.376</v>
      </c>
      <c r="L882" s="5">
        <v>0.30969999999999998</v>
      </c>
      <c r="M882" s="5">
        <v>35564.093999999997</v>
      </c>
      <c r="N882" s="6">
        <v>7.2300000000000003E-2</v>
      </c>
      <c r="O882" s="5">
        <v>36.021000000000001</v>
      </c>
      <c r="P882" s="6">
        <v>0.1002</v>
      </c>
      <c r="Q882" s="5">
        <v>443492.23200000002</v>
      </c>
      <c r="R882" s="1" t="s">
        <v>173</v>
      </c>
      <c r="S882" s="1" t="s">
        <v>44</v>
      </c>
      <c r="T882" s="1" t="s">
        <v>89</v>
      </c>
      <c r="Y882" s="1" t="s">
        <v>682</v>
      </c>
      <c r="Z882" s="1" t="str">
        <f t="shared" si="39"/>
        <v>2594 6</v>
      </c>
      <c r="AA882" s="3">
        <f>IF(INDEX('CAMD Facility Data 2023'!$AA$2:$AE$10000,MATCH(Z882,'CAMD Facility Data 2023'!$AE$2:$AE$10000,0),1)&gt;0,INDEX('CAMD Facility Data 2023'!$AA$2:$AE$10000,MATCH(Z882,'CAMD Facility Data 2023'!$AE$2:$AE$10000,0),1),"")</f>
        <v>29221</v>
      </c>
      <c r="AB882" s="5">
        <f>IF(INDEX('CAMD Facility Data 2023'!$AC$2:$AE$10000,MATCH(Z882,'CAMD Facility Data 2023'!$AE$2:$AE$10000,0),1)&gt;0,INDEX('CAMD Facility Data 2023'!$AC$2:$AE$10000,MATCH(Z882,'CAMD Facility Data 2023'!$AE$2:$AE$10000,0),1),"")</f>
        <v>9491</v>
      </c>
      <c r="AC882" s="1" t="str">
        <f>IF(INDEX('CAMD Facility Data 2023'!$AE$2:$AG$10000,MATCH(Z882,'CAMD Facility Data 2023'!$AE$2:$AE$10000,0),3)&gt;0,INDEX('CAMD Facility Data 2023'!$AE$2:$AG$10000,MATCH(Z882,'CAMD Facility Data 2023'!$AE$2:$AE$10000,0),3),"")</f>
        <v/>
      </c>
      <c r="AD882" s="20">
        <f t="shared" si="40"/>
        <v>1.9226119468707716</v>
      </c>
      <c r="AE882" s="25">
        <f t="shared" si="41"/>
        <v>5.33420789414052E-3</v>
      </c>
    </row>
    <row r="883" spans="1:31" x14ac:dyDescent="0.2">
      <c r="A883" s="1" t="s">
        <v>2089</v>
      </c>
      <c r="B883" s="1" t="s">
        <v>2293</v>
      </c>
      <c r="C883" s="1">
        <v>2625</v>
      </c>
      <c r="D883" s="1">
        <v>1</v>
      </c>
      <c r="F883" s="1">
        <v>2023</v>
      </c>
      <c r="G883" s="5">
        <v>1965</v>
      </c>
      <c r="H883" s="5">
        <v>1948.72</v>
      </c>
      <c r="I883" s="5">
        <v>731957.71</v>
      </c>
      <c r="K883" s="5">
        <v>25.256</v>
      </c>
      <c r="L883" s="5">
        <v>1.4800000000000001E-2</v>
      </c>
      <c r="M883" s="5">
        <v>415637.54599999997</v>
      </c>
      <c r="N883" s="6">
        <v>5.9200000000000003E-2</v>
      </c>
      <c r="O883" s="5">
        <v>413.80599999999998</v>
      </c>
      <c r="P883" s="6">
        <v>0.1016</v>
      </c>
      <c r="Q883" s="5">
        <v>6994960.5319999997</v>
      </c>
      <c r="R883" s="1" t="s">
        <v>44</v>
      </c>
      <c r="S883" s="1" t="s">
        <v>173</v>
      </c>
      <c r="T883" s="1" t="s">
        <v>43</v>
      </c>
      <c r="V883" s="1" t="s">
        <v>1233</v>
      </c>
      <c r="Y883" s="1" t="s">
        <v>682</v>
      </c>
      <c r="Z883" s="1" t="str">
        <f t="shared" si="39"/>
        <v>2625 1</v>
      </c>
      <c r="AA883" s="3">
        <f>IF(INDEX('CAMD Facility Data 2023'!$AA$2:$AE$10000,MATCH(Z883,'CAMD Facility Data 2023'!$AE$2:$AE$10000,0),1)&gt;0,INDEX('CAMD Facility Data 2023'!$AA$2:$AE$10000,MATCH(Z883,'CAMD Facility Data 2023'!$AE$2:$AE$10000,0),1),"")</f>
        <v>26543</v>
      </c>
      <c r="AB883" s="5">
        <f>IF(INDEX('CAMD Facility Data 2023'!$AC$2:$AE$10000,MATCH(Z883,'CAMD Facility Data 2023'!$AE$2:$AE$10000,0),1)&gt;0,INDEX('CAMD Facility Data 2023'!$AC$2:$AE$10000,MATCH(Z883,'CAMD Facility Data 2023'!$AE$2:$AE$10000,0),1),"")</f>
        <v>7000</v>
      </c>
      <c r="AC883" s="1" t="str">
        <f>IF(INDEX('CAMD Facility Data 2023'!$AE$2:$AG$10000,MATCH(Z883,'CAMD Facility Data 2023'!$AE$2:$AE$10000,0),3)&gt;0,INDEX('CAMD Facility Data 2023'!$AE$2:$AG$10000,MATCH(Z883,'CAMD Facility Data 2023'!$AE$2:$AE$10000,0),3),"")</f>
        <v/>
      </c>
      <c r="AD883" s="20">
        <f t="shared" si="40"/>
        <v>1.1306828095300752</v>
      </c>
      <c r="AE883" s="25">
        <f t="shared" si="41"/>
        <v>0.11407306803652967</v>
      </c>
    </row>
    <row r="884" spans="1:31" x14ac:dyDescent="0.2">
      <c r="A884" s="1" t="s">
        <v>2089</v>
      </c>
      <c r="B884" s="1" t="s">
        <v>2293</v>
      </c>
      <c r="C884" s="1">
        <v>2625</v>
      </c>
      <c r="D884" s="1">
        <v>2</v>
      </c>
      <c r="F884" s="1">
        <v>2023</v>
      </c>
      <c r="G884" s="5">
        <v>776</v>
      </c>
      <c r="H884" s="5">
        <v>764.67</v>
      </c>
      <c r="I884" s="5">
        <v>243542.58</v>
      </c>
      <c r="K884" s="5">
        <v>7.819</v>
      </c>
      <c r="L884" s="5">
        <v>1.3299999999999999E-2</v>
      </c>
      <c r="M884" s="5">
        <v>150673.429</v>
      </c>
      <c r="N884" s="6">
        <v>5.91E-2</v>
      </c>
      <c r="O884" s="5">
        <v>134.50899999999999</v>
      </c>
      <c r="P884" s="6">
        <v>8.6099999999999996E-2</v>
      </c>
      <c r="Q884" s="5">
        <v>2537440.1329999999</v>
      </c>
      <c r="R884" s="1" t="s">
        <v>44</v>
      </c>
      <c r="S884" s="1" t="s">
        <v>173</v>
      </c>
      <c r="T884" s="1" t="s">
        <v>89</v>
      </c>
      <c r="V884" s="1" t="s">
        <v>220</v>
      </c>
      <c r="Y884" s="1" t="s">
        <v>682</v>
      </c>
      <c r="Z884" s="1" t="str">
        <f t="shared" si="39"/>
        <v>2625 2</v>
      </c>
      <c r="AA884" s="3">
        <f>IF(INDEX('CAMD Facility Data 2023'!$AA$2:$AE$10000,MATCH(Z884,'CAMD Facility Data 2023'!$AE$2:$AE$10000,0),1)&gt;0,INDEX('CAMD Facility Data 2023'!$AA$2:$AE$10000,MATCH(Z884,'CAMD Facility Data 2023'!$AE$2:$AE$10000,0),1),"")</f>
        <v>27150</v>
      </c>
      <c r="AB884" s="5">
        <f>IF(INDEX('CAMD Facility Data 2023'!$AC$2:$AE$10000,MATCH(Z884,'CAMD Facility Data 2023'!$AE$2:$AE$10000,0),1)&gt;0,INDEX('CAMD Facility Data 2023'!$AC$2:$AE$10000,MATCH(Z884,'CAMD Facility Data 2023'!$AE$2:$AE$10000,0),1),"")</f>
        <v>7600</v>
      </c>
      <c r="AC884" s="1" t="str">
        <f>IF(INDEX('CAMD Facility Data 2023'!$AE$2:$AG$10000,MATCH(Z884,'CAMD Facility Data 2023'!$AE$2:$AE$10000,0),3)&gt;0,INDEX('CAMD Facility Data 2023'!$AE$2:$AG$10000,MATCH(Z884,'CAMD Facility Data 2023'!$AE$2:$AE$10000,0),3),"")</f>
        <v/>
      </c>
      <c r="AD884" s="20">
        <f t="shared" si="40"/>
        <v>1.1046035563883736</v>
      </c>
      <c r="AE884" s="25">
        <f t="shared" si="41"/>
        <v>3.8113436268324918E-2</v>
      </c>
    </row>
    <row r="885" spans="1:31" x14ac:dyDescent="0.2">
      <c r="A885" s="1" t="s">
        <v>2089</v>
      </c>
      <c r="B885" s="1" t="s">
        <v>2300</v>
      </c>
      <c r="C885" s="1">
        <v>2628</v>
      </c>
      <c r="D885" s="1">
        <v>1</v>
      </c>
      <c r="F885" s="1">
        <v>2023</v>
      </c>
      <c r="G885" s="5">
        <v>73</v>
      </c>
      <c r="H885" s="5">
        <v>39.340000000000003</v>
      </c>
      <c r="I885" s="5">
        <v>912.4</v>
      </c>
      <c r="K885" s="5">
        <v>6.0000000000000001E-3</v>
      </c>
      <c r="L885" s="5">
        <v>1.1000000000000001E-3</v>
      </c>
      <c r="M885" s="5">
        <v>1067.5840000000001</v>
      </c>
      <c r="N885" s="6">
        <v>5.9499999999999997E-2</v>
      </c>
      <c r="O885" s="5">
        <v>7.2859999999999996</v>
      </c>
      <c r="P885" s="6">
        <v>0.75839999999999996</v>
      </c>
      <c r="Q885" s="5">
        <v>17914.977999999999</v>
      </c>
      <c r="R885" s="1" t="s">
        <v>44</v>
      </c>
      <c r="S885" s="1" t="s">
        <v>94</v>
      </c>
      <c r="T885" s="1" t="s">
        <v>93</v>
      </c>
      <c r="Y885" s="1" t="s">
        <v>1528</v>
      </c>
      <c r="Z885" s="1" t="str">
        <f t="shared" si="39"/>
        <v>2628 1</v>
      </c>
      <c r="AA885" s="3">
        <f>IF(INDEX('CAMD Facility Data 2023'!$AA$2:$AE$10000,MATCH(Z885,'CAMD Facility Data 2023'!$AE$2:$AE$10000,0),1)&gt;0,INDEX('CAMD Facility Data 2023'!$AA$2:$AE$10000,MATCH(Z885,'CAMD Facility Data 2023'!$AE$2:$AE$10000,0),1),"")</f>
        <v>26024</v>
      </c>
      <c r="AB885" s="5">
        <f>IF(INDEX('CAMD Facility Data 2023'!$AC$2:$AE$10000,MATCH(Z885,'CAMD Facility Data 2023'!$AE$2:$AE$10000,0),1)&gt;0,INDEX('CAMD Facility Data 2023'!$AC$2:$AE$10000,MATCH(Z885,'CAMD Facility Data 2023'!$AE$2:$AE$10000,0),1),"")</f>
        <v>650</v>
      </c>
      <c r="AC885" s="1" t="str">
        <f>IF(INDEX('CAMD Facility Data 2023'!$AE$2:$AG$10000,MATCH(Z885,'CAMD Facility Data 2023'!$AE$2:$AE$10000,0),3)&gt;0,INDEX('CAMD Facility Data 2023'!$AE$2:$AG$10000,MATCH(Z885,'CAMD Facility Data 2023'!$AE$2:$AE$10000,0),3),"")</f>
        <v/>
      </c>
      <c r="AD885" s="20">
        <f t="shared" si="40"/>
        <v>15.971065322227094</v>
      </c>
      <c r="AE885" s="25">
        <f t="shared" si="41"/>
        <v>3.1462904812082893E-3</v>
      </c>
    </row>
    <row r="886" spans="1:31" x14ac:dyDescent="0.2">
      <c r="A886" s="1" t="s">
        <v>2089</v>
      </c>
      <c r="B886" s="1" t="s">
        <v>2303</v>
      </c>
      <c r="C886" s="1">
        <v>2632</v>
      </c>
      <c r="D886" s="1">
        <v>1</v>
      </c>
      <c r="F886" s="1">
        <v>2023</v>
      </c>
      <c r="G886" s="5">
        <v>69</v>
      </c>
      <c r="H886" s="5">
        <v>36.85</v>
      </c>
      <c r="I886" s="5">
        <v>945.29</v>
      </c>
      <c r="K886" s="5">
        <v>5.0000000000000001E-3</v>
      </c>
      <c r="L886" s="5">
        <v>1E-3</v>
      </c>
      <c r="M886" s="5">
        <v>1007.2190000000001</v>
      </c>
      <c r="N886" s="6">
        <v>5.9299999999999999E-2</v>
      </c>
      <c r="O886" s="5">
        <v>7.766</v>
      </c>
      <c r="P886" s="6">
        <v>0.85729999999999995</v>
      </c>
      <c r="Q886" s="5">
        <v>16947.228999999999</v>
      </c>
      <c r="R886" s="1" t="s">
        <v>44</v>
      </c>
      <c r="S886" s="1" t="s">
        <v>94</v>
      </c>
      <c r="T886" s="1" t="s">
        <v>93</v>
      </c>
      <c r="Y886" s="1" t="s">
        <v>1528</v>
      </c>
      <c r="Z886" s="1" t="str">
        <f t="shared" si="39"/>
        <v>2632 1</v>
      </c>
      <c r="AA886" s="3">
        <f>IF(INDEX('CAMD Facility Data 2023'!$AA$2:$AE$10000,MATCH(Z886,'CAMD Facility Data 2023'!$AE$2:$AE$10000,0),1)&gt;0,INDEX('CAMD Facility Data 2023'!$AA$2:$AE$10000,MATCH(Z886,'CAMD Facility Data 2023'!$AE$2:$AE$10000,0),1),"")</f>
        <v>26054</v>
      </c>
      <c r="AB886" s="5">
        <f>IF(INDEX('CAMD Facility Data 2023'!$AC$2:$AE$10000,MATCH(Z886,'CAMD Facility Data 2023'!$AE$2:$AE$10000,0),1)&gt;0,INDEX('CAMD Facility Data 2023'!$AC$2:$AE$10000,MATCH(Z886,'CAMD Facility Data 2023'!$AE$2:$AE$10000,0),1),"")</f>
        <v>650</v>
      </c>
      <c r="AC886" s="1" t="str">
        <f>IF(INDEX('CAMD Facility Data 2023'!$AE$2:$AG$10000,MATCH(Z886,'CAMD Facility Data 2023'!$AE$2:$AE$10000,0),3)&gt;0,INDEX('CAMD Facility Data 2023'!$AE$2:$AG$10000,MATCH(Z886,'CAMD Facility Data 2023'!$AE$2:$AE$10000,0),3),"")</f>
        <v/>
      </c>
      <c r="AD886" s="20">
        <f t="shared" si="40"/>
        <v>16.430936537993631</v>
      </c>
      <c r="AE886" s="25">
        <f t="shared" si="41"/>
        <v>2.9763310502283103E-3</v>
      </c>
    </row>
    <row r="887" spans="1:31" x14ac:dyDescent="0.2">
      <c r="A887" s="1" t="s">
        <v>2089</v>
      </c>
      <c r="B887" s="1" t="s">
        <v>2305</v>
      </c>
      <c r="C887" s="1">
        <v>2679</v>
      </c>
      <c r="D887" s="1">
        <v>5</v>
      </c>
      <c r="F887" s="1">
        <v>2023</v>
      </c>
      <c r="G887" s="5">
        <v>812</v>
      </c>
      <c r="H887" s="5">
        <v>626.85</v>
      </c>
      <c r="I887" s="5">
        <v>24494.33</v>
      </c>
      <c r="K887" s="5">
        <v>8.3000000000000004E-2</v>
      </c>
      <c r="L887" s="5">
        <v>1.1999999999999999E-3</v>
      </c>
      <c r="M887" s="5">
        <v>14518.049000000001</v>
      </c>
      <c r="N887" s="6">
        <v>5.9400000000000001E-2</v>
      </c>
      <c r="O887" s="5">
        <v>1.512</v>
      </c>
      <c r="P887" s="6">
        <v>6.6100000000000006E-2</v>
      </c>
      <c r="Q887" s="5">
        <v>244081.546</v>
      </c>
      <c r="R887" s="1" t="s">
        <v>44</v>
      </c>
      <c r="S887" s="1" t="s">
        <v>94</v>
      </c>
      <c r="T887" s="1" t="s">
        <v>93</v>
      </c>
      <c r="V887" s="1" t="s">
        <v>176</v>
      </c>
      <c r="Y887" s="1" t="s">
        <v>1515</v>
      </c>
      <c r="Z887" s="1" t="str">
        <f t="shared" si="39"/>
        <v>2679 5</v>
      </c>
      <c r="AA887" s="3">
        <f>IF(INDEX('CAMD Facility Data 2023'!$AA$2:$AE$10000,MATCH(Z887,'CAMD Facility Data 2023'!$AE$2:$AE$10000,0),1)&gt;0,INDEX('CAMD Facility Data 2023'!$AA$2:$AE$10000,MATCH(Z887,'CAMD Facility Data 2023'!$AE$2:$AE$10000,0),1),"")</f>
        <v>38107</v>
      </c>
      <c r="AB887" s="5">
        <f>IF(INDEX('CAMD Facility Data 2023'!$AC$2:$AE$10000,MATCH(Z887,'CAMD Facility Data 2023'!$AE$2:$AE$10000,0),1)&gt;0,INDEX('CAMD Facility Data 2023'!$AC$2:$AE$10000,MATCH(Z887,'CAMD Facility Data 2023'!$AE$2:$AE$10000,0),1),"")</f>
        <v>487</v>
      </c>
      <c r="AC887" s="1" t="str">
        <f>IF(INDEX('CAMD Facility Data 2023'!$AE$2:$AG$10000,MATCH(Z887,'CAMD Facility Data 2023'!$AE$2:$AE$10000,0),3)&gt;0,INDEX('CAMD Facility Data 2023'!$AE$2:$AG$10000,MATCH(Z887,'CAMD Facility Data 2023'!$AE$2:$AE$10000,0),3),"")</f>
        <v>Y</v>
      </c>
      <c r="AD887" s="20">
        <f t="shared" si="40"/>
        <v>0.1234571429387944</v>
      </c>
      <c r="AE887" s="25">
        <f t="shared" si="41"/>
        <v>5.7213942880181522E-2</v>
      </c>
    </row>
    <row r="888" spans="1:31" x14ac:dyDescent="0.2">
      <c r="A888" s="1" t="s">
        <v>2089</v>
      </c>
      <c r="B888" s="1" t="s">
        <v>2305</v>
      </c>
      <c r="C888" s="1">
        <v>2679</v>
      </c>
      <c r="D888" s="1" t="s">
        <v>101</v>
      </c>
      <c r="F888" s="1">
        <v>2023</v>
      </c>
      <c r="G888" s="5">
        <v>10</v>
      </c>
      <c r="H888" s="5">
        <v>5.63</v>
      </c>
      <c r="I888" s="5">
        <v>54.77</v>
      </c>
      <c r="M888" s="5">
        <v>127.8</v>
      </c>
      <c r="N888" s="6">
        <v>8.0799999999999997E-2</v>
      </c>
      <c r="Q888" s="5">
        <v>1576.4</v>
      </c>
      <c r="R888" s="1" t="s">
        <v>94</v>
      </c>
      <c r="T888" s="1" t="s">
        <v>93</v>
      </c>
      <c r="Y888" s="1" t="s">
        <v>2309</v>
      </c>
      <c r="Z888" s="1" t="str">
        <f t="shared" si="39"/>
        <v>2679 CT3</v>
      </c>
      <c r="AA888" s="3">
        <f>IF(INDEX('CAMD Facility Data 2023'!$AA$2:$AE$10000,MATCH(Z888,'CAMD Facility Data 2023'!$AE$2:$AE$10000,0),1)&gt;0,INDEX('CAMD Facility Data 2023'!$AA$2:$AE$10000,MATCH(Z888,'CAMD Facility Data 2023'!$AE$2:$AE$10000,0),1),"")</f>
        <v>26299</v>
      </c>
      <c r="AB888" s="5">
        <f>IF(INDEX('CAMD Facility Data 2023'!$AC$2:$AE$10000,MATCH(Z888,'CAMD Facility Data 2023'!$AE$2:$AE$10000,0),1)&gt;0,INDEX('CAMD Facility Data 2023'!$AC$2:$AE$10000,MATCH(Z888,'CAMD Facility Data 2023'!$AE$2:$AE$10000,0),1),"")</f>
        <v>280</v>
      </c>
      <c r="AC888" s="1" t="str">
        <f>IF(INDEX('CAMD Facility Data 2023'!$AE$2:$AG$10000,MATCH(Z888,'CAMD Facility Data 2023'!$AE$2:$AE$10000,0),3)&gt;0,INDEX('CAMD Facility Data 2023'!$AE$2:$AG$10000,MATCH(Z888,'CAMD Facility Data 2023'!$AE$2:$AE$10000,0),3),"")</f>
        <v/>
      </c>
      <c r="AD888" s="20">
        <f t="shared" si="40"/>
        <v>0</v>
      </c>
      <c r="AE888" s="25">
        <f t="shared" si="41"/>
        <v>6.4269406392694064E-4</v>
      </c>
    </row>
    <row r="889" spans="1:31" x14ac:dyDescent="0.2">
      <c r="A889" s="1" t="s">
        <v>2089</v>
      </c>
      <c r="B889" s="1" t="s">
        <v>2311</v>
      </c>
      <c r="C889" s="1">
        <v>2682</v>
      </c>
      <c r="D889" s="1">
        <v>10</v>
      </c>
      <c r="F889" s="1">
        <v>2023</v>
      </c>
      <c r="G889" s="5">
        <v>54</v>
      </c>
      <c r="H889" s="5">
        <v>54</v>
      </c>
      <c r="K889" s="5">
        <v>1E-3</v>
      </c>
      <c r="L889" s="5">
        <v>5.0000000000000001E-4</v>
      </c>
      <c r="M889" s="5">
        <v>198.6</v>
      </c>
      <c r="N889" s="6">
        <v>5.9400000000000001E-2</v>
      </c>
      <c r="O889" s="5">
        <v>9.4E-2</v>
      </c>
      <c r="P889" s="6">
        <v>5.6000000000000001E-2</v>
      </c>
      <c r="Q889" s="5">
        <v>3350.6</v>
      </c>
      <c r="R889" s="1" t="s">
        <v>44</v>
      </c>
      <c r="T889" s="1" t="s">
        <v>89</v>
      </c>
      <c r="V889" s="1" t="s">
        <v>90</v>
      </c>
      <c r="Y889" s="1" t="s">
        <v>461</v>
      </c>
      <c r="Z889" s="1" t="str">
        <f t="shared" si="39"/>
        <v>2682 10</v>
      </c>
      <c r="AA889" s="3">
        <f>IF(INDEX('CAMD Facility Data 2023'!$AA$2:$AE$10000,MATCH(Z889,'CAMD Facility Data 2023'!$AE$2:$AE$10000,0),1)&gt;0,INDEX('CAMD Facility Data 2023'!$AA$2:$AE$10000,MATCH(Z889,'CAMD Facility Data 2023'!$AE$2:$AE$10000,0),1),"")</f>
        <v>18598</v>
      </c>
      <c r="AB889" s="5">
        <f>IF(INDEX('CAMD Facility Data 2023'!$AC$2:$AE$10000,MATCH(Z889,'CAMD Facility Data 2023'!$AE$2:$AE$10000,0),1)&gt;0,INDEX('CAMD Facility Data 2023'!$AC$2:$AE$10000,MATCH(Z889,'CAMD Facility Data 2023'!$AE$2:$AE$10000,0),1),"")</f>
        <v>198</v>
      </c>
      <c r="AC889" s="1" t="str">
        <f>IF(INDEX('CAMD Facility Data 2023'!$AE$2:$AG$10000,MATCH(Z889,'CAMD Facility Data 2023'!$AE$2:$AE$10000,0),3)&gt;0,INDEX('CAMD Facility Data 2023'!$AE$2:$AG$10000,MATCH(Z889,'CAMD Facility Data 2023'!$AE$2:$AE$10000,0),3),"")</f>
        <v/>
      </c>
      <c r="AD889" s="20" t="str">
        <f t="shared" si="40"/>
        <v/>
      </c>
      <c r="AE889" s="25">
        <f t="shared" si="41"/>
        <v>1.9317605276509386E-3</v>
      </c>
    </row>
    <row r="890" spans="1:31" x14ac:dyDescent="0.2">
      <c r="A890" s="1" t="s">
        <v>2089</v>
      </c>
      <c r="B890" s="1" t="s">
        <v>2311</v>
      </c>
      <c r="C890" s="1">
        <v>2682</v>
      </c>
      <c r="D890" s="1">
        <v>20</v>
      </c>
      <c r="F890" s="1">
        <v>2023</v>
      </c>
      <c r="G890" s="5">
        <v>1225</v>
      </c>
      <c r="H890" s="5">
        <v>1219</v>
      </c>
      <c r="I890" s="5">
        <v>42292.25</v>
      </c>
      <c r="K890" s="5">
        <v>0.14499999999999999</v>
      </c>
      <c r="L890" s="5">
        <v>1E-3</v>
      </c>
      <c r="M890" s="5">
        <v>28643.95</v>
      </c>
      <c r="N890" s="6">
        <v>5.9200000000000003E-2</v>
      </c>
      <c r="O890" s="5">
        <v>28.07</v>
      </c>
      <c r="P890" s="6">
        <v>0.11700000000000001</v>
      </c>
      <c r="Q890" s="5">
        <v>482010.625</v>
      </c>
      <c r="R890" s="1" t="s">
        <v>44</v>
      </c>
      <c r="T890" s="1" t="s">
        <v>71</v>
      </c>
      <c r="V890" s="1" t="s">
        <v>95</v>
      </c>
      <c r="Y890" s="1" t="s">
        <v>1515</v>
      </c>
      <c r="Z890" s="1" t="str">
        <f t="shared" si="39"/>
        <v>2682 20</v>
      </c>
      <c r="AA890" s="3">
        <f>IF(INDEX('CAMD Facility Data 2023'!$AA$2:$AE$10000,MATCH(Z890,'CAMD Facility Data 2023'!$AE$2:$AE$10000,0),1)&gt;0,INDEX('CAMD Facility Data 2023'!$AA$2:$AE$10000,MATCH(Z890,'CAMD Facility Data 2023'!$AE$2:$AE$10000,0),1),"")</f>
        <v>37198</v>
      </c>
      <c r="AB890" s="5">
        <f>IF(INDEX('CAMD Facility Data 2023'!$AC$2:$AE$10000,MATCH(Z890,'CAMD Facility Data 2023'!$AE$2:$AE$10000,0),1)&gt;0,INDEX('CAMD Facility Data 2023'!$AC$2:$AE$10000,MATCH(Z890,'CAMD Facility Data 2023'!$AE$2:$AE$10000,0),1),"")</f>
        <v>554</v>
      </c>
      <c r="AC890" s="1" t="str">
        <f>IF(INDEX('CAMD Facility Data 2023'!$AE$2:$AG$10000,MATCH(Z890,'CAMD Facility Data 2023'!$AE$2:$AE$10000,0),3)&gt;0,INDEX('CAMD Facility Data 2023'!$AE$2:$AG$10000,MATCH(Z890,'CAMD Facility Data 2023'!$AE$2:$AE$10000,0),3),"")</f>
        <v/>
      </c>
      <c r="AD890" s="20">
        <f t="shared" si="40"/>
        <v>1.327429966483221</v>
      </c>
      <c r="AE890" s="25">
        <f t="shared" si="41"/>
        <v>9.9321378970707017E-2</v>
      </c>
    </row>
    <row r="891" spans="1:31" x14ac:dyDescent="0.2">
      <c r="A891" s="1" t="s">
        <v>2089</v>
      </c>
      <c r="B891" s="1" t="s">
        <v>2311</v>
      </c>
      <c r="C891" s="1">
        <v>2682</v>
      </c>
      <c r="D891" s="1">
        <v>9</v>
      </c>
      <c r="F891" s="1">
        <v>2023</v>
      </c>
      <c r="G891" s="5">
        <v>74</v>
      </c>
      <c r="H891" s="5">
        <v>74</v>
      </c>
      <c r="K891" s="5">
        <v>2E-3</v>
      </c>
      <c r="L891" s="5">
        <v>5.9999999999999995E-4</v>
      </c>
      <c r="M891" s="5">
        <v>313</v>
      </c>
      <c r="N891" s="6">
        <v>6.0299999999999999E-2</v>
      </c>
      <c r="O891" s="5">
        <v>0.13900000000000001</v>
      </c>
      <c r="P891" s="6">
        <v>5.3499999999999999E-2</v>
      </c>
      <c r="Q891" s="5">
        <v>5278.2</v>
      </c>
      <c r="R891" s="1" t="s">
        <v>44</v>
      </c>
      <c r="S891" s="1" t="s">
        <v>94</v>
      </c>
      <c r="T891" s="1" t="s">
        <v>89</v>
      </c>
      <c r="V891" s="1" t="s">
        <v>90</v>
      </c>
      <c r="Y891" s="1" t="s">
        <v>461</v>
      </c>
      <c r="Z891" s="1" t="str">
        <f t="shared" si="39"/>
        <v>2682 9</v>
      </c>
      <c r="AA891" s="3">
        <f>IF(INDEX('CAMD Facility Data 2023'!$AA$2:$AE$10000,MATCH(Z891,'CAMD Facility Data 2023'!$AE$2:$AE$10000,0),1)&gt;0,INDEX('CAMD Facility Data 2023'!$AA$2:$AE$10000,MATCH(Z891,'CAMD Facility Data 2023'!$AE$2:$AE$10000,0),1),"")</f>
        <v>18598</v>
      </c>
      <c r="AB891" s="5">
        <f>IF(INDEX('CAMD Facility Data 2023'!$AC$2:$AE$10000,MATCH(Z891,'CAMD Facility Data 2023'!$AE$2:$AE$10000,0),1)&gt;0,INDEX('CAMD Facility Data 2023'!$AC$2:$AE$10000,MATCH(Z891,'CAMD Facility Data 2023'!$AE$2:$AE$10000,0),1),"")</f>
        <v>198</v>
      </c>
      <c r="AC891" s="1" t="str">
        <f>IF(INDEX('CAMD Facility Data 2023'!$AE$2:$AG$10000,MATCH(Z891,'CAMD Facility Data 2023'!$AE$2:$AE$10000,0),3)&gt;0,INDEX('CAMD Facility Data 2023'!$AE$2:$AG$10000,MATCH(Z891,'CAMD Facility Data 2023'!$AE$2:$AE$10000,0),3),"")</f>
        <v/>
      </c>
      <c r="AD891" s="20" t="str">
        <f t="shared" si="40"/>
        <v/>
      </c>
      <c r="AE891" s="25">
        <f t="shared" si="41"/>
        <v>3.0431022554310225E-3</v>
      </c>
    </row>
    <row r="892" spans="1:31" x14ac:dyDescent="0.2">
      <c r="A892" s="1" t="s">
        <v>1153</v>
      </c>
      <c r="B892" s="1" t="s">
        <v>2318</v>
      </c>
      <c r="C892" s="1">
        <v>2706</v>
      </c>
      <c r="D892" s="1">
        <v>3</v>
      </c>
      <c r="F892" s="1">
        <v>2023</v>
      </c>
      <c r="G892" s="5">
        <v>481</v>
      </c>
      <c r="H892" s="5">
        <v>422.71</v>
      </c>
      <c r="I892" s="5">
        <v>52259.49</v>
      </c>
      <c r="K892" s="5">
        <v>0.18</v>
      </c>
      <c r="L892" s="5">
        <v>1E-3</v>
      </c>
      <c r="M892" s="5">
        <v>35685.96</v>
      </c>
      <c r="N892" s="6">
        <v>5.9400000000000001E-2</v>
      </c>
      <c r="O892" s="5">
        <v>35.170999999999999</v>
      </c>
      <c r="P892" s="6">
        <v>0.1216</v>
      </c>
      <c r="Q892" s="5">
        <v>599448.86499999999</v>
      </c>
      <c r="R892" s="1" t="s">
        <v>44</v>
      </c>
      <c r="S892" s="1" t="s">
        <v>94</v>
      </c>
      <c r="T892" s="1" t="s">
        <v>93</v>
      </c>
      <c r="V892" s="1" t="s">
        <v>95</v>
      </c>
      <c r="Y892" s="1" t="s">
        <v>2319</v>
      </c>
      <c r="Z892" s="1" t="str">
        <f t="shared" si="39"/>
        <v>2706 3</v>
      </c>
      <c r="AA892" s="3">
        <f>IF(INDEX('CAMD Facility Data 2023'!$AA$2:$AE$10000,MATCH(Z892,'CAMD Facility Data 2023'!$AE$2:$AE$10000,0),1)&gt;0,INDEX('CAMD Facility Data 2023'!$AA$2:$AE$10000,MATCH(Z892,'CAMD Facility Data 2023'!$AE$2:$AE$10000,0),1),"")</f>
        <v>36298</v>
      </c>
      <c r="AB892" s="5">
        <f>IF(INDEX('CAMD Facility Data 2023'!$AC$2:$AE$10000,MATCH(Z892,'CAMD Facility Data 2023'!$AE$2:$AE$10000,0),1)&gt;0,INDEX('CAMD Facility Data 2023'!$AC$2:$AE$10000,MATCH(Z892,'CAMD Facility Data 2023'!$AE$2:$AE$10000,0),1),"")</f>
        <v>2026</v>
      </c>
      <c r="AC892" s="1" t="str">
        <f>IF(INDEX('CAMD Facility Data 2023'!$AE$2:$AG$10000,MATCH(Z892,'CAMD Facility Data 2023'!$AE$2:$AE$10000,0),3)&gt;0,INDEX('CAMD Facility Data 2023'!$AE$2:$AG$10000,MATCH(Z892,'CAMD Facility Data 2023'!$AE$2:$AE$10000,0),3),"")</f>
        <v/>
      </c>
      <c r="AD892" s="20">
        <f t="shared" si="40"/>
        <v>1.3460139010158729</v>
      </c>
      <c r="AE892" s="25">
        <f t="shared" si="41"/>
        <v>3.3776029482030408E-2</v>
      </c>
    </row>
    <row r="893" spans="1:31" x14ac:dyDescent="0.2">
      <c r="A893" s="1" t="s">
        <v>1153</v>
      </c>
      <c r="B893" s="1" t="s">
        <v>2318</v>
      </c>
      <c r="C893" s="1">
        <v>2706</v>
      </c>
      <c r="D893" s="1">
        <v>4</v>
      </c>
      <c r="F893" s="1">
        <v>2023</v>
      </c>
      <c r="G893" s="5">
        <v>824</v>
      </c>
      <c r="H893" s="5">
        <v>768.4</v>
      </c>
      <c r="I893" s="5">
        <v>85494.02</v>
      </c>
      <c r="K893" s="5">
        <v>0.309</v>
      </c>
      <c r="L893" s="5">
        <v>1E-3</v>
      </c>
      <c r="M893" s="5">
        <v>61237.745999999999</v>
      </c>
      <c r="N893" s="6">
        <v>5.91E-2</v>
      </c>
      <c r="O893" s="5">
        <v>46.168999999999997</v>
      </c>
      <c r="P893" s="6">
        <v>8.9800000000000005E-2</v>
      </c>
      <c r="Q893" s="5">
        <v>1029418.959</v>
      </c>
      <c r="R893" s="1" t="s">
        <v>44</v>
      </c>
      <c r="S893" s="1" t="s">
        <v>94</v>
      </c>
      <c r="T893" s="1" t="s">
        <v>93</v>
      </c>
      <c r="V893" s="1" t="s">
        <v>95</v>
      </c>
      <c r="Y893" s="1" t="s">
        <v>2319</v>
      </c>
      <c r="Z893" s="1" t="str">
        <f t="shared" si="39"/>
        <v>2706 4</v>
      </c>
      <c r="AA893" s="3">
        <f>IF(INDEX('CAMD Facility Data 2023'!$AA$2:$AE$10000,MATCH(Z893,'CAMD Facility Data 2023'!$AE$2:$AE$10000,0),1)&gt;0,INDEX('CAMD Facility Data 2023'!$AA$2:$AE$10000,MATCH(Z893,'CAMD Facility Data 2023'!$AE$2:$AE$10000,0),1),"")</f>
        <v>36559</v>
      </c>
      <c r="AB893" s="5">
        <f>IF(INDEX('CAMD Facility Data 2023'!$AC$2:$AE$10000,MATCH(Z893,'CAMD Facility Data 2023'!$AE$2:$AE$10000,0),1)&gt;0,INDEX('CAMD Facility Data 2023'!$AC$2:$AE$10000,MATCH(Z893,'CAMD Facility Data 2023'!$AE$2:$AE$10000,0),1),"")</f>
        <v>2065</v>
      </c>
      <c r="AC893" s="1" t="str">
        <f>IF(INDEX('CAMD Facility Data 2023'!$AE$2:$AG$10000,MATCH(Z893,'CAMD Facility Data 2023'!$AE$2:$AE$10000,0),3)&gt;0,INDEX('CAMD Facility Data 2023'!$AE$2:$AG$10000,MATCH(Z893,'CAMD Facility Data 2023'!$AE$2:$AE$10000,0),3),"")</f>
        <v/>
      </c>
      <c r="AD893" s="20">
        <f t="shared" si="40"/>
        <v>1.0800521486765975</v>
      </c>
      <c r="AE893" s="25">
        <f t="shared" si="41"/>
        <v>5.690730256393247E-2</v>
      </c>
    </row>
    <row r="894" spans="1:31" x14ac:dyDescent="0.2">
      <c r="A894" s="1" t="s">
        <v>1153</v>
      </c>
      <c r="B894" s="1" t="s">
        <v>2318</v>
      </c>
      <c r="C894" s="1">
        <v>2706</v>
      </c>
      <c r="D894" s="1" t="s">
        <v>105</v>
      </c>
      <c r="F894" s="1">
        <v>2023</v>
      </c>
      <c r="G894" s="5">
        <v>8161</v>
      </c>
      <c r="H894" s="5">
        <v>8153.72</v>
      </c>
      <c r="I894" s="5">
        <v>2110834.58</v>
      </c>
      <c r="K894" s="5">
        <v>4.18</v>
      </c>
      <c r="L894" s="5">
        <v>1E-3</v>
      </c>
      <c r="M894" s="5">
        <v>828000.00100000005</v>
      </c>
      <c r="N894" s="6">
        <v>5.8999999999999997E-2</v>
      </c>
      <c r="O894" s="5">
        <v>168.953</v>
      </c>
      <c r="P894" s="6">
        <v>2.4899999999999999E-2</v>
      </c>
      <c r="Q894" s="5">
        <v>13931039.925000001</v>
      </c>
      <c r="R894" s="1" t="s">
        <v>44</v>
      </c>
      <c r="S894" s="1" t="s">
        <v>94</v>
      </c>
      <c r="T894" s="1" t="s">
        <v>71</v>
      </c>
      <c r="V894" s="1" t="s">
        <v>643</v>
      </c>
      <c r="Y894" s="1" t="s">
        <v>2326</v>
      </c>
      <c r="Z894" s="1" t="str">
        <f t="shared" si="39"/>
        <v>2706 CT5</v>
      </c>
      <c r="AA894" s="3">
        <f>IF(INDEX('CAMD Facility Data 2023'!$AA$2:$AE$10000,MATCH(Z894,'CAMD Facility Data 2023'!$AE$2:$AE$10000,0),1)&gt;0,INDEX('CAMD Facility Data 2023'!$AA$2:$AE$10000,MATCH(Z894,'CAMD Facility Data 2023'!$AE$2:$AE$10000,0),1),"")</f>
        <v>43685</v>
      </c>
      <c r="AB894" s="5">
        <f>IF(INDEX('CAMD Facility Data 2023'!$AC$2:$AE$10000,MATCH(Z894,'CAMD Facility Data 2023'!$AE$2:$AE$10000,0),1)&gt;0,INDEX('CAMD Facility Data 2023'!$AC$2:$AE$10000,MATCH(Z894,'CAMD Facility Data 2023'!$AE$2:$AE$10000,0),1),"")</f>
        <v>2207</v>
      </c>
      <c r="AC894" s="1" t="str">
        <f>IF(INDEX('CAMD Facility Data 2023'!$AE$2:$AG$10000,MATCH(Z894,'CAMD Facility Data 2023'!$AE$2:$AE$10000,0),3)&gt;0,INDEX('CAMD Facility Data 2023'!$AE$2:$AG$10000,MATCH(Z894,'CAMD Facility Data 2023'!$AE$2:$AE$10000,0),3),"")</f>
        <v>Y</v>
      </c>
      <c r="AD894" s="20">
        <f t="shared" si="40"/>
        <v>0.16008170569197325</v>
      </c>
      <c r="AE894" s="25">
        <f t="shared" si="41"/>
        <v>0.7205715275493294</v>
      </c>
    </row>
    <row r="895" spans="1:31" x14ac:dyDescent="0.2">
      <c r="A895" s="1" t="s">
        <v>1153</v>
      </c>
      <c r="B895" s="1" t="s">
        <v>2318</v>
      </c>
      <c r="C895" s="1">
        <v>2706</v>
      </c>
      <c r="D895" s="1" t="s">
        <v>109</v>
      </c>
      <c r="F895" s="1">
        <v>2023</v>
      </c>
      <c r="G895" s="5">
        <v>6560</v>
      </c>
      <c r="H895" s="5">
        <v>6549.04</v>
      </c>
      <c r="I895" s="5">
        <v>1705565.4</v>
      </c>
      <c r="K895" s="5">
        <v>3.4009999999999998</v>
      </c>
      <c r="L895" s="5">
        <v>1E-3</v>
      </c>
      <c r="M895" s="5">
        <v>673738.08600000001</v>
      </c>
      <c r="N895" s="6">
        <v>5.8999999999999997E-2</v>
      </c>
      <c r="O895" s="5">
        <v>147.899</v>
      </c>
      <c r="P895" s="6">
        <v>2.7199999999999998E-2</v>
      </c>
      <c r="Q895" s="5">
        <v>11335324.557</v>
      </c>
      <c r="R895" s="1" t="s">
        <v>44</v>
      </c>
      <c r="S895" s="1" t="s">
        <v>94</v>
      </c>
      <c r="T895" s="1" t="s">
        <v>71</v>
      </c>
      <c r="V895" s="1" t="s">
        <v>643</v>
      </c>
      <c r="Y895" s="1" t="s">
        <v>2326</v>
      </c>
      <c r="Z895" s="1" t="str">
        <f t="shared" si="39"/>
        <v>2706 CT7</v>
      </c>
      <c r="AA895" s="3">
        <f>IF(INDEX('CAMD Facility Data 2023'!$AA$2:$AE$10000,MATCH(Z895,'CAMD Facility Data 2023'!$AE$2:$AE$10000,0),1)&gt;0,INDEX('CAMD Facility Data 2023'!$AA$2:$AE$10000,MATCH(Z895,'CAMD Facility Data 2023'!$AE$2:$AE$10000,0),1),"")</f>
        <v>43714</v>
      </c>
      <c r="AB895" s="5">
        <f>IF(INDEX('CAMD Facility Data 2023'!$AC$2:$AE$10000,MATCH(Z895,'CAMD Facility Data 2023'!$AE$2:$AE$10000,0),1)&gt;0,INDEX('CAMD Facility Data 2023'!$AC$2:$AE$10000,MATCH(Z895,'CAMD Facility Data 2023'!$AE$2:$AE$10000,0),1),"")</f>
        <v>2207</v>
      </c>
      <c r="AC895" s="1" t="str">
        <f>IF(INDEX('CAMD Facility Data 2023'!$AE$2:$AG$10000,MATCH(Z895,'CAMD Facility Data 2023'!$AE$2:$AE$10000,0),3)&gt;0,INDEX('CAMD Facility Data 2023'!$AE$2:$AG$10000,MATCH(Z895,'CAMD Facility Data 2023'!$AE$2:$AE$10000,0),3),"")</f>
        <v>Y</v>
      </c>
      <c r="AD895" s="20">
        <f t="shared" si="40"/>
        <v>0.17343105107549672</v>
      </c>
      <c r="AE895" s="25">
        <f t="shared" si="41"/>
        <v>0.58631029523123812</v>
      </c>
    </row>
    <row r="896" spans="1:31" x14ac:dyDescent="0.2">
      <c r="A896" s="1" t="s">
        <v>1153</v>
      </c>
      <c r="B896" s="1" t="s">
        <v>2329</v>
      </c>
      <c r="C896" s="1">
        <v>2707</v>
      </c>
      <c r="D896" s="1">
        <v>1</v>
      </c>
      <c r="F896" s="1">
        <v>2023</v>
      </c>
      <c r="G896" s="5">
        <v>26</v>
      </c>
      <c r="H896" s="5">
        <v>13.81</v>
      </c>
      <c r="I896" s="5">
        <v>0</v>
      </c>
      <c r="K896" s="5">
        <v>0.95699999999999996</v>
      </c>
      <c r="L896" s="5">
        <v>0.50049999999999994</v>
      </c>
      <c r="M896" s="5">
        <v>309.8</v>
      </c>
      <c r="N896" s="6">
        <v>8.1000000000000003E-2</v>
      </c>
      <c r="O896" s="5">
        <v>2.2949999999999999</v>
      </c>
      <c r="P896" s="6">
        <v>1.2001999999999999</v>
      </c>
      <c r="Q896" s="5">
        <v>3825.6</v>
      </c>
      <c r="R896" s="1" t="s">
        <v>94</v>
      </c>
      <c r="T896" s="1" t="s">
        <v>93</v>
      </c>
      <c r="Y896" s="1" t="s">
        <v>1157</v>
      </c>
      <c r="Z896" s="1" t="str">
        <f t="shared" si="39"/>
        <v>2707 1</v>
      </c>
      <c r="AA896" s="3">
        <f>IF(INDEX('CAMD Facility Data 2023'!$AA$2:$AE$10000,MATCH(Z896,'CAMD Facility Data 2023'!$AE$2:$AE$10000,0),1)&gt;0,INDEX('CAMD Facility Data 2023'!$AA$2:$AE$10000,MATCH(Z896,'CAMD Facility Data 2023'!$AE$2:$AE$10000,0),1),"")</f>
        <v>25934</v>
      </c>
      <c r="AB896" s="5">
        <f>IF(INDEX('CAMD Facility Data 2023'!$AC$2:$AE$10000,MATCH(Z896,'CAMD Facility Data 2023'!$AE$2:$AE$10000,0),1)&gt;0,INDEX('CAMD Facility Data 2023'!$AC$2:$AE$10000,MATCH(Z896,'CAMD Facility Data 2023'!$AE$2:$AE$10000,0),1),"")</f>
        <v>277</v>
      </c>
      <c r="AC896" s="1" t="str">
        <f>IF(INDEX('CAMD Facility Data 2023'!$AE$2:$AG$10000,MATCH(Z896,'CAMD Facility Data 2023'!$AE$2:$AE$10000,0),3)&gt;0,INDEX('CAMD Facility Data 2023'!$AE$2:$AG$10000,MATCH(Z896,'CAMD Facility Data 2023'!$AE$2:$AE$10000,0),3),"")</f>
        <v/>
      </c>
      <c r="AD896" s="20" t="str">
        <f t="shared" si="40"/>
        <v/>
      </c>
      <c r="AE896" s="25">
        <f t="shared" si="41"/>
        <v>1.5765788042134414E-3</v>
      </c>
    </row>
    <row r="897" spans="1:31" x14ac:dyDescent="0.2">
      <c r="A897" s="1" t="s">
        <v>1153</v>
      </c>
      <c r="B897" s="1" t="s">
        <v>2329</v>
      </c>
      <c r="C897" s="1">
        <v>2707</v>
      </c>
      <c r="D897" s="1">
        <v>2</v>
      </c>
      <c r="F897" s="1">
        <v>2023</v>
      </c>
      <c r="G897" s="5">
        <v>26</v>
      </c>
      <c r="H897" s="5">
        <v>13.51</v>
      </c>
      <c r="I897" s="5">
        <v>0</v>
      </c>
      <c r="K897" s="5">
        <v>0.93600000000000005</v>
      </c>
      <c r="L897" s="5">
        <v>0.50029999999999997</v>
      </c>
      <c r="M897" s="5">
        <v>303.39999999999998</v>
      </c>
      <c r="N897" s="6">
        <v>8.1299999999999997E-2</v>
      </c>
      <c r="O897" s="5">
        <v>2.246</v>
      </c>
      <c r="P897" s="6">
        <v>1.2002999999999999</v>
      </c>
      <c r="Q897" s="5">
        <v>3742.5</v>
      </c>
      <c r="R897" s="1" t="s">
        <v>94</v>
      </c>
      <c r="T897" s="1" t="s">
        <v>93</v>
      </c>
      <c r="Y897" s="1" t="s">
        <v>1157</v>
      </c>
      <c r="Z897" s="1" t="str">
        <f t="shared" si="39"/>
        <v>2707 2</v>
      </c>
      <c r="AA897" s="3">
        <f>IF(INDEX('CAMD Facility Data 2023'!$AA$2:$AE$10000,MATCH(Z897,'CAMD Facility Data 2023'!$AE$2:$AE$10000,0),1)&gt;0,INDEX('CAMD Facility Data 2023'!$AA$2:$AE$10000,MATCH(Z897,'CAMD Facility Data 2023'!$AE$2:$AE$10000,0),1),"")</f>
        <v>25934</v>
      </c>
      <c r="AB897" s="5">
        <f>IF(INDEX('CAMD Facility Data 2023'!$AC$2:$AE$10000,MATCH(Z897,'CAMD Facility Data 2023'!$AE$2:$AE$10000,0),1)&gt;0,INDEX('CAMD Facility Data 2023'!$AC$2:$AE$10000,MATCH(Z897,'CAMD Facility Data 2023'!$AE$2:$AE$10000,0),1),"")</f>
        <v>277</v>
      </c>
      <c r="AC897" s="1" t="str">
        <f>IF(INDEX('CAMD Facility Data 2023'!$AE$2:$AG$10000,MATCH(Z897,'CAMD Facility Data 2023'!$AE$2:$AE$10000,0),3)&gt;0,INDEX('CAMD Facility Data 2023'!$AE$2:$AG$10000,MATCH(Z897,'CAMD Facility Data 2023'!$AE$2:$AE$10000,0),3),"")</f>
        <v/>
      </c>
      <c r="AD897" s="20" t="str">
        <f t="shared" si="40"/>
        <v/>
      </c>
      <c r="AE897" s="25">
        <f t="shared" si="41"/>
        <v>1.5423322288709758E-3</v>
      </c>
    </row>
    <row r="898" spans="1:31" x14ac:dyDescent="0.2">
      <c r="A898" s="1" t="s">
        <v>1153</v>
      </c>
      <c r="B898" s="1" t="s">
        <v>2329</v>
      </c>
      <c r="C898" s="1">
        <v>2707</v>
      </c>
      <c r="D898" s="1">
        <v>3</v>
      </c>
      <c r="F898" s="1">
        <v>2023</v>
      </c>
      <c r="G898" s="5">
        <v>23</v>
      </c>
      <c r="H898" s="5">
        <v>12.56</v>
      </c>
      <c r="I898" s="5">
        <v>0</v>
      </c>
      <c r="K898" s="5">
        <v>0.87</v>
      </c>
      <c r="L898" s="5">
        <v>0.50070000000000003</v>
      </c>
      <c r="M898" s="5">
        <v>281.7</v>
      </c>
      <c r="N898" s="6">
        <v>8.0600000000000005E-2</v>
      </c>
      <c r="O898" s="5">
        <v>2.0880000000000001</v>
      </c>
      <c r="P898" s="6">
        <v>1.2000999999999999</v>
      </c>
      <c r="Q898" s="5">
        <v>3479.2</v>
      </c>
      <c r="R898" s="1" t="s">
        <v>94</v>
      </c>
      <c r="T898" s="1" t="s">
        <v>93</v>
      </c>
      <c r="Y898" s="1" t="s">
        <v>1157</v>
      </c>
      <c r="Z898" s="1" t="str">
        <f t="shared" si="39"/>
        <v>2707 3</v>
      </c>
      <c r="AA898" s="3">
        <f>IF(INDEX('CAMD Facility Data 2023'!$AA$2:$AE$10000,MATCH(Z898,'CAMD Facility Data 2023'!$AE$2:$AE$10000,0),1)&gt;0,INDEX('CAMD Facility Data 2023'!$AA$2:$AE$10000,MATCH(Z898,'CAMD Facility Data 2023'!$AE$2:$AE$10000,0),1),"")</f>
        <v>25934</v>
      </c>
      <c r="AB898" s="5">
        <f>IF(INDEX('CAMD Facility Data 2023'!$AC$2:$AE$10000,MATCH(Z898,'CAMD Facility Data 2023'!$AE$2:$AE$10000,0),1)&gt;0,INDEX('CAMD Facility Data 2023'!$AC$2:$AE$10000,MATCH(Z898,'CAMD Facility Data 2023'!$AE$2:$AE$10000,0),1),"")</f>
        <v>277</v>
      </c>
      <c r="AC898" s="1" t="str">
        <f>IF(INDEX('CAMD Facility Data 2023'!$AE$2:$AG$10000,MATCH(Z898,'CAMD Facility Data 2023'!$AE$2:$AE$10000,0),3)&gt;0,INDEX('CAMD Facility Data 2023'!$AE$2:$AG$10000,MATCH(Z898,'CAMD Facility Data 2023'!$AE$2:$AE$10000,0),3),"")</f>
        <v/>
      </c>
      <c r="AD898" s="20" t="str">
        <f t="shared" si="40"/>
        <v/>
      </c>
      <c r="AE898" s="25">
        <f t="shared" si="41"/>
        <v>1.4338229233635E-3</v>
      </c>
    </row>
    <row r="899" spans="1:31" x14ac:dyDescent="0.2">
      <c r="A899" s="1" t="s">
        <v>1153</v>
      </c>
      <c r="B899" s="1" t="s">
        <v>2329</v>
      </c>
      <c r="C899" s="1">
        <v>2707</v>
      </c>
      <c r="D899" s="1">
        <v>4</v>
      </c>
      <c r="F899" s="1">
        <v>2023</v>
      </c>
      <c r="G899" s="5">
        <v>23</v>
      </c>
      <c r="H899" s="5">
        <v>12.56</v>
      </c>
      <c r="I899" s="5">
        <v>0</v>
      </c>
      <c r="K899" s="5">
        <v>0.87</v>
      </c>
      <c r="L899" s="5">
        <v>0.50060000000000004</v>
      </c>
      <c r="M899" s="5">
        <v>281.89999999999998</v>
      </c>
      <c r="N899" s="6">
        <v>8.1199999999999994E-2</v>
      </c>
      <c r="O899" s="5">
        <v>2.0880000000000001</v>
      </c>
      <c r="P899" s="6">
        <v>1.2002999999999999</v>
      </c>
      <c r="Q899" s="5">
        <v>3479.3</v>
      </c>
      <c r="R899" s="1" t="s">
        <v>94</v>
      </c>
      <c r="T899" s="1" t="s">
        <v>93</v>
      </c>
      <c r="Y899" s="1" t="s">
        <v>1157</v>
      </c>
      <c r="Z899" s="1" t="str">
        <f t="shared" ref="Z899:Z962" si="42">C899&amp;" "&amp;D899</f>
        <v>2707 4</v>
      </c>
      <c r="AA899" s="3">
        <f>IF(INDEX('CAMD Facility Data 2023'!$AA$2:$AE$10000,MATCH(Z899,'CAMD Facility Data 2023'!$AE$2:$AE$10000,0),1)&gt;0,INDEX('CAMD Facility Data 2023'!$AA$2:$AE$10000,MATCH(Z899,'CAMD Facility Data 2023'!$AE$2:$AE$10000,0),1),"")</f>
        <v>25934</v>
      </c>
      <c r="AB899" s="5">
        <f>IF(INDEX('CAMD Facility Data 2023'!$AC$2:$AE$10000,MATCH(Z899,'CAMD Facility Data 2023'!$AE$2:$AE$10000,0),1)&gt;0,INDEX('CAMD Facility Data 2023'!$AC$2:$AE$10000,MATCH(Z899,'CAMD Facility Data 2023'!$AE$2:$AE$10000,0),1),"")</f>
        <v>277</v>
      </c>
      <c r="AC899" s="1" t="str">
        <f>IF(INDEX('CAMD Facility Data 2023'!$AE$2:$AG$10000,MATCH(Z899,'CAMD Facility Data 2023'!$AE$2:$AE$10000,0),3)&gt;0,INDEX('CAMD Facility Data 2023'!$AE$2:$AG$10000,MATCH(Z899,'CAMD Facility Data 2023'!$AE$2:$AE$10000,0),3),"")</f>
        <v/>
      </c>
      <c r="AD899" s="20" t="str">
        <f t="shared" ref="AD899:AD962" si="43">IF(ISNUMBER(O899*2000/I899),O899*2000/I899,"")</f>
        <v/>
      </c>
      <c r="AE899" s="25">
        <f t="shared" ref="AE899:AE962" si="44">Q899/(AB899*8760)</f>
        <v>1.4338641346455007E-3</v>
      </c>
    </row>
    <row r="900" spans="1:31" x14ac:dyDescent="0.2">
      <c r="A900" s="1" t="s">
        <v>1153</v>
      </c>
      <c r="B900" s="1" t="s">
        <v>2337</v>
      </c>
      <c r="C900" s="1">
        <v>2709</v>
      </c>
      <c r="D900" s="1" t="s">
        <v>2344</v>
      </c>
      <c r="F900" s="1">
        <v>2023</v>
      </c>
      <c r="G900" s="5">
        <v>8339</v>
      </c>
      <c r="H900" s="5">
        <v>8334.32</v>
      </c>
      <c r="I900" s="5">
        <v>2222504.44</v>
      </c>
      <c r="K900" s="5">
        <v>3.7709999999999999</v>
      </c>
      <c r="L900" s="5">
        <v>2.9999999999999997E-4</v>
      </c>
      <c r="M900" s="5">
        <v>928142.33499999996</v>
      </c>
      <c r="N900" s="6">
        <v>5.8999999999999997E-2</v>
      </c>
      <c r="O900" s="5">
        <v>274.68099999999998</v>
      </c>
      <c r="P900" s="6">
        <v>4.1700000000000001E-2</v>
      </c>
      <c r="Q900" s="5">
        <v>15617672.623</v>
      </c>
      <c r="R900" s="1" t="s">
        <v>284</v>
      </c>
      <c r="S900" s="1" t="s">
        <v>94</v>
      </c>
      <c r="T900" s="1" t="s">
        <v>71</v>
      </c>
      <c r="V900" s="1" t="s">
        <v>643</v>
      </c>
      <c r="Y900" s="1" t="s">
        <v>2319</v>
      </c>
      <c r="Z900" s="1" t="str">
        <f t="shared" si="42"/>
        <v>2709 01A</v>
      </c>
      <c r="AA900" s="3">
        <f>IF(INDEX('CAMD Facility Data 2023'!$AA$2:$AE$10000,MATCH(Z900,'CAMD Facility Data 2023'!$AE$2:$AE$10000,0),1)&gt;0,INDEX('CAMD Facility Data 2023'!$AA$2:$AE$10000,MATCH(Z900,'CAMD Facility Data 2023'!$AE$2:$AE$10000,0),1),"")</f>
        <v>41143</v>
      </c>
      <c r="AB900" s="5">
        <f>IF(INDEX('CAMD Facility Data 2023'!$AC$2:$AE$10000,MATCH(Z900,'CAMD Facility Data 2023'!$AE$2:$AE$10000,0),1)&gt;0,INDEX('CAMD Facility Data 2023'!$AC$2:$AE$10000,MATCH(Z900,'CAMD Facility Data 2023'!$AE$2:$AE$10000,0),1),"")</f>
        <v>2740</v>
      </c>
      <c r="AC900" s="1" t="str">
        <f>IF(INDEX('CAMD Facility Data 2023'!$AE$2:$AG$10000,MATCH(Z900,'CAMD Facility Data 2023'!$AE$2:$AE$10000,0),3)&gt;0,INDEX('CAMD Facility Data 2023'!$AE$2:$AG$10000,MATCH(Z900,'CAMD Facility Data 2023'!$AE$2:$AE$10000,0),3),"")</f>
        <v>Y</v>
      </c>
      <c r="AD900" s="20">
        <f t="shared" si="43"/>
        <v>0.2471815084427908</v>
      </c>
      <c r="AE900" s="25">
        <f t="shared" si="44"/>
        <v>0.65067129216245045</v>
      </c>
    </row>
    <row r="901" spans="1:31" x14ac:dyDescent="0.2">
      <c r="A901" s="1" t="s">
        <v>1153</v>
      </c>
      <c r="B901" s="1" t="s">
        <v>2337</v>
      </c>
      <c r="C901" s="1">
        <v>2709</v>
      </c>
      <c r="D901" s="1" t="s">
        <v>2346</v>
      </c>
      <c r="F901" s="1">
        <v>2023</v>
      </c>
      <c r="G901" s="5">
        <v>7799</v>
      </c>
      <c r="H901" s="5">
        <v>7796.38</v>
      </c>
      <c r="I901" s="5">
        <v>2048815.64</v>
      </c>
      <c r="K901" s="5">
        <v>3.5430000000000001</v>
      </c>
      <c r="L901" s="5">
        <v>2.9999999999999997E-4</v>
      </c>
      <c r="M901" s="5">
        <v>855696.31299999997</v>
      </c>
      <c r="N901" s="6">
        <v>5.8999999999999997E-2</v>
      </c>
      <c r="O901" s="5">
        <v>340.38400000000001</v>
      </c>
      <c r="P901" s="6">
        <v>5.3999999999999999E-2</v>
      </c>
      <c r="Q901" s="5">
        <v>14398731.273</v>
      </c>
      <c r="R901" s="1" t="s">
        <v>284</v>
      </c>
      <c r="S901" s="1" t="s">
        <v>94</v>
      </c>
      <c r="T901" s="1" t="s">
        <v>71</v>
      </c>
      <c r="V901" s="1" t="s">
        <v>643</v>
      </c>
      <c r="Y901" s="1" t="s">
        <v>2319</v>
      </c>
      <c r="Z901" s="1" t="str">
        <f t="shared" si="42"/>
        <v>2709 01B</v>
      </c>
      <c r="AA901" s="3">
        <f>IF(INDEX('CAMD Facility Data 2023'!$AA$2:$AE$10000,MATCH(Z901,'CAMD Facility Data 2023'!$AE$2:$AE$10000,0),1)&gt;0,INDEX('CAMD Facility Data 2023'!$AA$2:$AE$10000,MATCH(Z901,'CAMD Facility Data 2023'!$AE$2:$AE$10000,0),1),"")</f>
        <v>41151</v>
      </c>
      <c r="AB901" s="5">
        <f>IF(INDEX('CAMD Facility Data 2023'!$AC$2:$AE$10000,MATCH(Z901,'CAMD Facility Data 2023'!$AE$2:$AE$10000,0),1)&gt;0,INDEX('CAMD Facility Data 2023'!$AC$2:$AE$10000,MATCH(Z901,'CAMD Facility Data 2023'!$AE$2:$AE$10000,0),1),"")</f>
        <v>2740</v>
      </c>
      <c r="AC901" s="1" t="str">
        <f>IF(INDEX('CAMD Facility Data 2023'!$AE$2:$AG$10000,MATCH(Z901,'CAMD Facility Data 2023'!$AE$2:$AE$10000,0),3)&gt;0,INDEX('CAMD Facility Data 2023'!$AE$2:$AG$10000,MATCH(Z901,'CAMD Facility Data 2023'!$AE$2:$AE$10000,0),3),"")</f>
        <v>Y</v>
      </c>
      <c r="AD901" s="20">
        <f t="shared" si="43"/>
        <v>0.33227391801831424</v>
      </c>
      <c r="AE901" s="25">
        <f t="shared" si="44"/>
        <v>0.59988714766023399</v>
      </c>
    </row>
    <row r="902" spans="1:31" x14ac:dyDescent="0.2">
      <c r="A902" s="1" t="s">
        <v>1153</v>
      </c>
      <c r="B902" s="1" t="s">
        <v>2337</v>
      </c>
      <c r="C902" s="1">
        <v>2709</v>
      </c>
      <c r="D902" s="1" t="s">
        <v>2348</v>
      </c>
      <c r="F902" s="1">
        <v>2023</v>
      </c>
      <c r="G902" s="5">
        <v>8391</v>
      </c>
      <c r="H902" s="5">
        <v>8385.39</v>
      </c>
      <c r="I902" s="5">
        <v>2226889.61</v>
      </c>
      <c r="K902" s="5">
        <v>3.7610000000000001</v>
      </c>
      <c r="L902" s="5">
        <v>2.9999999999999997E-4</v>
      </c>
      <c r="M902" s="5">
        <v>923590.40399999998</v>
      </c>
      <c r="N902" s="6">
        <v>5.8999999999999997E-2</v>
      </c>
      <c r="O902" s="5">
        <v>324.69</v>
      </c>
      <c r="P902" s="6">
        <v>4.8000000000000001E-2</v>
      </c>
      <c r="Q902" s="5">
        <v>15541129.171</v>
      </c>
      <c r="R902" s="1" t="s">
        <v>284</v>
      </c>
      <c r="S902" s="1" t="s">
        <v>94</v>
      </c>
      <c r="T902" s="1" t="s">
        <v>71</v>
      </c>
      <c r="V902" s="1" t="s">
        <v>643</v>
      </c>
      <c r="Y902" s="1" t="s">
        <v>2319</v>
      </c>
      <c r="Z902" s="1" t="str">
        <f t="shared" si="42"/>
        <v>2709 01C</v>
      </c>
      <c r="AA902" s="3">
        <f>IF(INDEX('CAMD Facility Data 2023'!$AA$2:$AE$10000,MATCH(Z902,'CAMD Facility Data 2023'!$AE$2:$AE$10000,0),1)&gt;0,INDEX('CAMD Facility Data 2023'!$AA$2:$AE$10000,MATCH(Z902,'CAMD Facility Data 2023'!$AE$2:$AE$10000,0),1),"")</f>
        <v>41150</v>
      </c>
      <c r="AB902" s="5">
        <f>IF(INDEX('CAMD Facility Data 2023'!$AC$2:$AE$10000,MATCH(Z902,'CAMD Facility Data 2023'!$AE$2:$AE$10000,0),1)&gt;0,INDEX('CAMD Facility Data 2023'!$AC$2:$AE$10000,MATCH(Z902,'CAMD Facility Data 2023'!$AE$2:$AE$10000,0),1),"")</f>
        <v>2740</v>
      </c>
      <c r="AC902" s="1" t="str">
        <f>IF(INDEX('CAMD Facility Data 2023'!$AE$2:$AG$10000,MATCH(Z902,'CAMD Facility Data 2023'!$AE$2:$AE$10000,0),3)&gt;0,INDEX('CAMD Facility Data 2023'!$AE$2:$AG$10000,MATCH(Z902,'CAMD Facility Data 2023'!$AE$2:$AE$10000,0),3),"")</f>
        <v>Y</v>
      </c>
      <c r="AD902" s="20">
        <f t="shared" si="43"/>
        <v>0.29160852746535559</v>
      </c>
      <c r="AE902" s="25">
        <f t="shared" si="44"/>
        <v>0.64748230056161049</v>
      </c>
    </row>
    <row r="903" spans="1:31" x14ac:dyDescent="0.2">
      <c r="A903" s="1" t="s">
        <v>1153</v>
      </c>
      <c r="B903" s="1" t="s">
        <v>2337</v>
      </c>
      <c r="C903" s="1">
        <v>2709</v>
      </c>
      <c r="D903" s="1">
        <v>10</v>
      </c>
      <c r="F903" s="1">
        <v>2023</v>
      </c>
      <c r="G903" s="5">
        <v>101</v>
      </c>
      <c r="H903" s="5">
        <v>81.13</v>
      </c>
      <c r="I903" s="5">
        <v>10499.85</v>
      </c>
      <c r="K903" s="5">
        <v>2.4E-2</v>
      </c>
      <c r="L903" s="5">
        <v>1E-4</v>
      </c>
      <c r="M903" s="5">
        <v>7256.6559999999999</v>
      </c>
      <c r="N903" s="6">
        <v>6.08E-2</v>
      </c>
      <c r="O903" s="5">
        <v>5.2009999999999996</v>
      </c>
      <c r="P903" s="6">
        <v>8.8700000000000001E-2</v>
      </c>
      <c r="Q903" s="5">
        <v>120840.201</v>
      </c>
      <c r="R903" s="1" t="s">
        <v>94</v>
      </c>
      <c r="S903" s="1" t="s">
        <v>284</v>
      </c>
      <c r="T903" s="1" t="s">
        <v>93</v>
      </c>
      <c r="V903" s="1" t="s">
        <v>95</v>
      </c>
      <c r="Y903" s="1" t="s">
        <v>2319</v>
      </c>
      <c r="Z903" s="1" t="str">
        <f t="shared" si="42"/>
        <v>2709 10</v>
      </c>
      <c r="AA903" s="3">
        <f>IF(INDEX('CAMD Facility Data 2023'!$AA$2:$AE$10000,MATCH(Z903,'CAMD Facility Data 2023'!$AE$2:$AE$10000,0),1)&gt;0,INDEX('CAMD Facility Data 2023'!$AA$2:$AE$10000,MATCH(Z903,'CAMD Facility Data 2023'!$AE$2:$AE$10000,0),1),"")</f>
        <v>36663</v>
      </c>
      <c r="AB903" s="5">
        <f>IF(INDEX('CAMD Facility Data 2023'!$AC$2:$AE$10000,MATCH(Z903,'CAMD Facility Data 2023'!$AE$2:$AE$10000,0),1)&gt;0,INDEX('CAMD Facility Data 2023'!$AC$2:$AE$10000,MATCH(Z903,'CAMD Facility Data 2023'!$AE$2:$AE$10000,0),1),"")</f>
        <v>2055</v>
      </c>
      <c r="AC903" s="1" t="str">
        <f>IF(INDEX('CAMD Facility Data 2023'!$AE$2:$AG$10000,MATCH(Z903,'CAMD Facility Data 2023'!$AE$2:$AE$10000,0),3)&gt;0,INDEX('CAMD Facility Data 2023'!$AE$2:$AG$10000,MATCH(Z903,'CAMD Facility Data 2023'!$AE$2:$AE$10000,0),3),"")</f>
        <v/>
      </c>
      <c r="AD903" s="20">
        <f t="shared" si="43"/>
        <v>0.99068081924979878</v>
      </c>
      <c r="AE903" s="25">
        <f t="shared" si="44"/>
        <v>6.7126732326767326E-3</v>
      </c>
    </row>
    <row r="904" spans="1:31" x14ac:dyDescent="0.2">
      <c r="A904" s="1" t="s">
        <v>1153</v>
      </c>
      <c r="B904" s="1" t="s">
        <v>2337</v>
      </c>
      <c r="C904" s="1">
        <v>2709</v>
      </c>
      <c r="D904" s="1">
        <v>11</v>
      </c>
      <c r="F904" s="1">
        <v>2023</v>
      </c>
      <c r="G904" s="5">
        <v>78</v>
      </c>
      <c r="H904" s="5">
        <v>61.43</v>
      </c>
      <c r="I904" s="5">
        <v>7782.93</v>
      </c>
      <c r="K904" s="5">
        <v>2.1000000000000001E-2</v>
      </c>
      <c r="L904" s="5">
        <v>2.9999999999999997E-4</v>
      </c>
      <c r="M904" s="5">
        <v>5647.3190000000004</v>
      </c>
      <c r="N904" s="6">
        <v>6.4199999999999993E-2</v>
      </c>
      <c r="O904" s="5">
        <v>3.9849999999999999</v>
      </c>
      <c r="P904" s="6">
        <v>9.0399999999999994E-2</v>
      </c>
      <c r="Q904" s="5">
        <v>88681.046000000002</v>
      </c>
      <c r="R904" s="1" t="s">
        <v>94</v>
      </c>
      <c r="S904" s="1" t="s">
        <v>284</v>
      </c>
      <c r="T904" s="1" t="s">
        <v>93</v>
      </c>
      <c r="V904" s="1" t="s">
        <v>95</v>
      </c>
      <c r="Y904" s="1" t="s">
        <v>2319</v>
      </c>
      <c r="Z904" s="1" t="str">
        <f t="shared" si="42"/>
        <v>2709 11</v>
      </c>
      <c r="AA904" s="3">
        <f>IF(INDEX('CAMD Facility Data 2023'!$AA$2:$AE$10000,MATCH(Z904,'CAMD Facility Data 2023'!$AE$2:$AE$10000,0),1)&gt;0,INDEX('CAMD Facility Data 2023'!$AA$2:$AE$10000,MATCH(Z904,'CAMD Facility Data 2023'!$AE$2:$AE$10000,0),1),"")</f>
        <v>36657</v>
      </c>
      <c r="AB904" s="5">
        <f>IF(INDEX('CAMD Facility Data 2023'!$AC$2:$AE$10000,MATCH(Z904,'CAMD Facility Data 2023'!$AE$2:$AE$10000,0),1)&gt;0,INDEX('CAMD Facility Data 2023'!$AC$2:$AE$10000,MATCH(Z904,'CAMD Facility Data 2023'!$AE$2:$AE$10000,0),1),"")</f>
        <v>2100</v>
      </c>
      <c r="AC904" s="1" t="str">
        <f>IF(INDEX('CAMD Facility Data 2023'!$AE$2:$AG$10000,MATCH(Z904,'CAMD Facility Data 2023'!$AE$2:$AE$10000,0),3)&gt;0,INDEX('CAMD Facility Data 2023'!$AE$2:$AG$10000,MATCH(Z904,'CAMD Facility Data 2023'!$AE$2:$AE$10000,0),3),"")</f>
        <v/>
      </c>
      <c r="AD904" s="20">
        <f t="shared" si="43"/>
        <v>1.0240359350527373</v>
      </c>
      <c r="AE904" s="25">
        <f t="shared" si="44"/>
        <v>4.8206700369645573E-3</v>
      </c>
    </row>
    <row r="905" spans="1:31" x14ac:dyDescent="0.2">
      <c r="A905" s="1" t="s">
        <v>1153</v>
      </c>
      <c r="B905" s="1" t="s">
        <v>2337</v>
      </c>
      <c r="C905" s="1">
        <v>2709</v>
      </c>
      <c r="D905" s="1">
        <v>12</v>
      </c>
      <c r="F905" s="1">
        <v>2023</v>
      </c>
      <c r="G905" s="5">
        <v>189</v>
      </c>
      <c r="H905" s="5">
        <v>149.30000000000001</v>
      </c>
      <c r="I905" s="5">
        <v>18614.38</v>
      </c>
      <c r="K905" s="5">
        <v>4.3999999999999997E-2</v>
      </c>
      <c r="L905" s="5">
        <v>2.0000000000000001E-4</v>
      </c>
      <c r="M905" s="5">
        <v>12425.808999999999</v>
      </c>
      <c r="N905" s="6">
        <v>6.0199999999999997E-2</v>
      </c>
      <c r="O905" s="5">
        <v>4.2119999999999997</v>
      </c>
      <c r="P905" s="6">
        <v>4.9399999999999999E-2</v>
      </c>
      <c r="Q905" s="5">
        <v>207443.769</v>
      </c>
      <c r="R905" s="1" t="s">
        <v>284</v>
      </c>
      <c r="S905" s="1" t="s">
        <v>94</v>
      </c>
      <c r="T905" s="1" t="s">
        <v>93</v>
      </c>
      <c r="V905" s="1" t="s">
        <v>183</v>
      </c>
      <c r="Y905" s="1" t="s">
        <v>2319</v>
      </c>
      <c r="Z905" s="1" t="str">
        <f t="shared" si="42"/>
        <v>2709 12</v>
      </c>
      <c r="AA905" s="3">
        <f>IF(INDEX('CAMD Facility Data 2023'!$AA$2:$AE$10000,MATCH(Z905,'CAMD Facility Data 2023'!$AE$2:$AE$10000,0),1)&gt;0,INDEX('CAMD Facility Data 2023'!$AA$2:$AE$10000,MATCH(Z905,'CAMD Facility Data 2023'!$AE$2:$AE$10000,0),1),"")</f>
        <v>36646</v>
      </c>
      <c r="AB905" s="5">
        <f>IF(INDEX('CAMD Facility Data 2023'!$AC$2:$AE$10000,MATCH(Z905,'CAMD Facility Data 2023'!$AE$2:$AE$10000,0),1)&gt;0,INDEX('CAMD Facility Data 2023'!$AC$2:$AE$10000,MATCH(Z905,'CAMD Facility Data 2023'!$AE$2:$AE$10000,0),1),"")</f>
        <v>2350</v>
      </c>
      <c r="AC905" s="1" t="str">
        <f>IF(INDEX('CAMD Facility Data 2023'!$AE$2:$AG$10000,MATCH(Z905,'CAMD Facility Data 2023'!$AE$2:$AE$10000,0),3)&gt;0,INDEX('CAMD Facility Data 2023'!$AE$2:$AG$10000,MATCH(Z905,'CAMD Facility Data 2023'!$AE$2:$AE$10000,0),3),"")</f>
        <v/>
      </c>
      <c r="AD905" s="20">
        <f t="shared" si="43"/>
        <v>0.45255334854021456</v>
      </c>
      <c r="AE905" s="25">
        <f t="shared" si="44"/>
        <v>1.0076934275721363E-2</v>
      </c>
    </row>
    <row r="906" spans="1:31" x14ac:dyDescent="0.2">
      <c r="A906" s="1" t="s">
        <v>1153</v>
      </c>
      <c r="B906" s="1" t="s">
        <v>2337</v>
      </c>
      <c r="C906" s="1">
        <v>2709</v>
      </c>
      <c r="D906" s="1">
        <v>13</v>
      </c>
      <c r="F906" s="1">
        <v>2023</v>
      </c>
      <c r="G906" s="5">
        <v>350</v>
      </c>
      <c r="H906" s="5">
        <v>302.27999999999997</v>
      </c>
      <c r="I906" s="5">
        <v>39012.43</v>
      </c>
      <c r="K906" s="5">
        <v>9.1999999999999998E-2</v>
      </c>
      <c r="L906" s="5">
        <v>1E-4</v>
      </c>
      <c r="M906" s="5">
        <v>25061.865000000002</v>
      </c>
      <c r="N906" s="6">
        <v>5.9299999999999999E-2</v>
      </c>
      <c r="O906" s="5">
        <v>7.6950000000000003</v>
      </c>
      <c r="P906" s="6">
        <v>4.1300000000000003E-2</v>
      </c>
      <c r="Q906" s="5">
        <v>419499.321</v>
      </c>
      <c r="R906" s="1" t="s">
        <v>284</v>
      </c>
      <c r="S906" s="1" t="s">
        <v>94</v>
      </c>
      <c r="T906" s="1" t="s">
        <v>93</v>
      </c>
      <c r="V906" s="1" t="s">
        <v>183</v>
      </c>
      <c r="Y906" s="1" t="s">
        <v>2319</v>
      </c>
      <c r="Z906" s="1" t="str">
        <f t="shared" si="42"/>
        <v>2709 13</v>
      </c>
      <c r="AA906" s="3">
        <f>IF(INDEX('CAMD Facility Data 2023'!$AA$2:$AE$10000,MATCH(Z906,'CAMD Facility Data 2023'!$AE$2:$AE$10000,0),1)&gt;0,INDEX('CAMD Facility Data 2023'!$AA$2:$AE$10000,MATCH(Z906,'CAMD Facility Data 2023'!$AE$2:$AE$10000,0),1),"")</f>
        <v>36650</v>
      </c>
      <c r="AB906" s="5">
        <f>IF(INDEX('CAMD Facility Data 2023'!$AC$2:$AE$10000,MATCH(Z906,'CAMD Facility Data 2023'!$AE$2:$AE$10000,0),1)&gt;0,INDEX('CAMD Facility Data 2023'!$AC$2:$AE$10000,MATCH(Z906,'CAMD Facility Data 2023'!$AE$2:$AE$10000,0),1),"")</f>
        <v>2000</v>
      </c>
      <c r="AC906" s="1" t="str">
        <f>IF(INDEX('CAMD Facility Data 2023'!$AE$2:$AG$10000,MATCH(Z906,'CAMD Facility Data 2023'!$AE$2:$AE$10000,0),3)&gt;0,INDEX('CAMD Facility Data 2023'!$AE$2:$AG$10000,MATCH(Z906,'CAMD Facility Data 2023'!$AE$2:$AE$10000,0),3),"")</f>
        <v/>
      </c>
      <c r="AD906" s="20">
        <f t="shared" si="43"/>
        <v>0.39448965368217259</v>
      </c>
      <c r="AE906" s="25">
        <f t="shared" si="44"/>
        <v>2.3944025171232876E-2</v>
      </c>
    </row>
    <row r="907" spans="1:31" x14ac:dyDescent="0.2">
      <c r="A907" s="1" t="s">
        <v>1153</v>
      </c>
      <c r="B907" s="1" t="s">
        <v>2337</v>
      </c>
      <c r="C907" s="1">
        <v>2709</v>
      </c>
      <c r="D907" s="1">
        <v>14</v>
      </c>
      <c r="F907" s="1">
        <v>2023</v>
      </c>
      <c r="G907" s="5">
        <v>224</v>
      </c>
      <c r="H907" s="5">
        <v>177.08</v>
      </c>
      <c r="I907" s="5">
        <v>22691.62</v>
      </c>
      <c r="K907" s="5">
        <v>5.7000000000000002E-2</v>
      </c>
      <c r="L907" s="5">
        <v>2.0000000000000001E-4</v>
      </c>
      <c r="M907" s="5">
        <v>15197.144</v>
      </c>
      <c r="N907" s="6">
        <v>0.06</v>
      </c>
      <c r="O907" s="5">
        <v>4.6130000000000004</v>
      </c>
      <c r="P907" s="6">
        <v>4.4900000000000002E-2</v>
      </c>
      <c r="Q907" s="5">
        <v>252844.79699999999</v>
      </c>
      <c r="R907" s="1" t="s">
        <v>284</v>
      </c>
      <c r="S907" s="1" t="s">
        <v>94</v>
      </c>
      <c r="T907" s="1" t="s">
        <v>93</v>
      </c>
      <c r="V907" s="1" t="s">
        <v>183</v>
      </c>
      <c r="Y907" s="1" t="s">
        <v>2319</v>
      </c>
      <c r="Z907" s="1" t="str">
        <f t="shared" si="42"/>
        <v>2709 14</v>
      </c>
      <c r="AA907" s="3">
        <f>IF(INDEX('CAMD Facility Data 2023'!$AA$2:$AE$10000,MATCH(Z907,'CAMD Facility Data 2023'!$AE$2:$AE$10000,0),1)&gt;0,INDEX('CAMD Facility Data 2023'!$AA$2:$AE$10000,MATCH(Z907,'CAMD Facility Data 2023'!$AE$2:$AE$10000,0),1),"")</f>
        <v>39914</v>
      </c>
      <c r="AB907" s="5">
        <f>IF(INDEX('CAMD Facility Data 2023'!$AC$2:$AE$10000,MATCH(Z907,'CAMD Facility Data 2023'!$AE$2:$AE$10000,0),1)&gt;0,INDEX('CAMD Facility Data 2023'!$AC$2:$AE$10000,MATCH(Z907,'CAMD Facility Data 2023'!$AE$2:$AE$10000,0),1),"")</f>
        <v>2020</v>
      </c>
      <c r="AC907" s="1" t="str">
        <f>IF(INDEX('CAMD Facility Data 2023'!$AE$2:$AG$10000,MATCH(Z907,'CAMD Facility Data 2023'!$AE$2:$AE$10000,0),3)&gt;0,INDEX('CAMD Facility Data 2023'!$AE$2:$AG$10000,MATCH(Z907,'CAMD Facility Data 2023'!$AE$2:$AE$10000,0),3),"")</f>
        <v/>
      </c>
      <c r="AD907" s="20">
        <f t="shared" si="43"/>
        <v>0.40658181302172347</v>
      </c>
      <c r="AE907" s="25">
        <f t="shared" si="44"/>
        <v>1.4288891733351418E-2</v>
      </c>
    </row>
    <row r="908" spans="1:31" x14ac:dyDescent="0.2">
      <c r="A908" s="1" t="s">
        <v>1153</v>
      </c>
      <c r="B908" s="1" t="s">
        <v>2350</v>
      </c>
      <c r="C908" s="1">
        <v>2712</v>
      </c>
      <c r="D908" s="1">
        <v>1</v>
      </c>
      <c r="F908" s="1">
        <v>2023</v>
      </c>
      <c r="G908" s="5">
        <v>4314</v>
      </c>
      <c r="H908" s="5">
        <v>4302.08</v>
      </c>
      <c r="I908" s="5">
        <v>994564.28</v>
      </c>
      <c r="K908" s="5">
        <v>374.904</v>
      </c>
      <c r="L908" s="5">
        <v>6.3700000000000007E-2</v>
      </c>
      <c r="M908" s="5">
        <v>1048712.463</v>
      </c>
      <c r="N908" s="6">
        <v>0.1019</v>
      </c>
      <c r="O908" s="5">
        <v>753.49099999999999</v>
      </c>
      <c r="P908" s="6">
        <v>0.1532</v>
      </c>
      <c r="Q908" s="5">
        <v>10230186.26</v>
      </c>
      <c r="R908" s="1" t="s">
        <v>55</v>
      </c>
      <c r="S908" s="1" t="s">
        <v>173</v>
      </c>
      <c r="T908" s="1" t="s">
        <v>89</v>
      </c>
      <c r="U908" s="1" t="s">
        <v>241</v>
      </c>
      <c r="V908" s="1" t="s">
        <v>1841</v>
      </c>
      <c r="W908" s="1" t="s">
        <v>331</v>
      </c>
      <c r="Y908" s="1" t="s">
        <v>2351</v>
      </c>
      <c r="Z908" s="1" t="str">
        <f t="shared" si="42"/>
        <v>2712 1</v>
      </c>
      <c r="AA908" s="3">
        <f>IF(INDEX('CAMD Facility Data 2023'!$AA$2:$AE$10000,MATCH(Z908,'CAMD Facility Data 2023'!$AE$2:$AE$10000,0),1)&gt;0,INDEX('CAMD Facility Data 2023'!$AA$2:$AE$10000,MATCH(Z908,'CAMD Facility Data 2023'!$AE$2:$AE$10000,0),1),"")</f>
        <v>24255</v>
      </c>
      <c r="AB908" s="5">
        <f>IF(INDEX('CAMD Facility Data 2023'!$AC$2:$AE$10000,MATCH(Z908,'CAMD Facility Data 2023'!$AE$2:$AE$10000,0),1)&gt;0,INDEX('CAMD Facility Data 2023'!$AC$2:$AE$10000,MATCH(Z908,'CAMD Facility Data 2023'!$AE$2:$AE$10000,0),1),"")</f>
        <v>4722</v>
      </c>
      <c r="AC908" s="1" t="str">
        <f>IF(INDEX('CAMD Facility Data 2023'!$AE$2:$AG$10000,MATCH(Z908,'CAMD Facility Data 2023'!$AE$2:$AE$10000,0),3)&gt;0,INDEX('CAMD Facility Data 2023'!$AE$2:$AG$10000,MATCH(Z908,'CAMD Facility Data 2023'!$AE$2:$AE$10000,0),3),"")</f>
        <v>Y</v>
      </c>
      <c r="AD908" s="20">
        <f t="shared" si="43"/>
        <v>1.5152183024308896</v>
      </c>
      <c r="AE908" s="25">
        <f t="shared" si="44"/>
        <v>0.24731670515357049</v>
      </c>
    </row>
    <row r="909" spans="1:31" x14ac:dyDescent="0.2">
      <c r="A909" s="1" t="s">
        <v>1153</v>
      </c>
      <c r="B909" s="1" t="s">
        <v>2350</v>
      </c>
      <c r="C909" s="1">
        <v>2712</v>
      </c>
      <c r="D909" s="1">
        <v>2</v>
      </c>
      <c r="F909" s="1">
        <v>2023</v>
      </c>
      <c r="G909" s="5">
        <v>3472</v>
      </c>
      <c r="H909" s="5">
        <v>3460.38</v>
      </c>
      <c r="I909" s="5">
        <v>1396185.99</v>
      </c>
      <c r="K909" s="5">
        <v>978.60500000000002</v>
      </c>
      <c r="L909" s="5">
        <v>0.1326</v>
      </c>
      <c r="M909" s="5">
        <v>1266967.2350000001</v>
      </c>
      <c r="N909" s="6">
        <v>0.1018</v>
      </c>
      <c r="O909" s="5">
        <v>1023.129</v>
      </c>
      <c r="P909" s="6">
        <v>0.20119999999999999</v>
      </c>
      <c r="Q909" s="5">
        <v>12358205.278000001</v>
      </c>
      <c r="R909" s="1" t="s">
        <v>55</v>
      </c>
      <c r="S909" s="1" t="s">
        <v>173</v>
      </c>
      <c r="T909" s="1" t="s">
        <v>43</v>
      </c>
      <c r="U909" s="1" t="s">
        <v>241</v>
      </c>
      <c r="V909" s="1" t="s">
        <v>2355</v>
      </c>
      <c r="W909" s="1" t="s">
        <v>331</v>
      </c>
      <c r="Y909" s="1" t="s">
        <v>2351</v>
      </c>
      <c r="Z909" s="1" t="str">
        <f t="shared" si="42"/>
        <v>2712 2</v>
      </c>
      <c r="AA909" s="3">
        <f>IF(INDEX('CAMD Facility Data 2023'!$AA$2:$AE$10000,MATCH(Z909,'CAMD Facility Data 2023'!$AE$2:$AE$10000,0),1)&gt;0,INDEX('CAMD Facility Data 2023'!$AA$2:$AE$10000,MATCH(Z909,'CAMD Facility Data 2023'!$AE$2:$AE$10000,0),1),"")</f>
        <v>24968</v>
      </c>
      <c r="AB909" s="5">
        <f>IF(INDEX('CAMD Facility Data 2023'!$AC$2:$AE$10000,MATCH(Z909,'CAMD Facility Data 2023'!$AE$2:$AE$10000,0),1)&gt;0,INDEX('CAMD Facility Data 2023'!$AC$2:$AE$10000,MATCH(Z909,'CAMD Facility Data 2023'!$AE$2:$AE$10000,0),1),"")</f>
        <v>7212</v>
      </c>
      <c r="AC909" s="1" t="str">
        <f>IF(INDEX('CAMD Facility Data 2023'!$AE$2:$AG$10000,MATCH(Z909,'CAMD Facility Data 2023'!$AE$2:$AE$10000,0),3)&gt;0,INDEX('CAMD Facility Data 2023'!$AE$2:$AG$10000,MATCH(Z909,'CAMD Facility Data 2023'!$AE$2:$AE$10000,0),3),"")</f>
        <v>Y</v>
      </c>
      <c r="AD909" s="20">
        <f t="shared" si="43"/>
        <v>1.465605595999427</v>
      </c>
      <c r="AE909" s="25">
        <f t="shared" si="44"/>
        <v>0.19561203926358151</v>
      </c>
    </row>
    <row r="910" spans="1:31" x14ac:dyDescent="0.2">
      <c r="A910" s="1" t="s">
        <v>1153</v>
      </c>
      <c r="B910" s="1" t="s">
        <v>2350</v>
      </c>
      <c r="C910" s="1">
        <v>2712</v>
      </c>
      <c r="D910" s="1" t="s">
        <v>379</v>
      </c>
      <c r="E910" s="1" t="s">
        <v>2357</v>
      </c>
      <c r="F910" s="1">
        <v>2023</v>
      </c>
      <c r="G910" s="5">
        <v>3511</v>
      </c>
      <c r="H910" s="5">
        <v>3501.28</v>
      </c>
      <c r="J910" s="5">
        <v>5296207.75</v>
      </c>
      <c r="K910" s="5">
        <v>400.05599999999998</v>
      </c>
      <c r="L910" s="5">
        <v>0.10009999999999999</v>
      </c>
      <c r="M910" s="5">
        <v>681986.35100000002</v>
      </c>
      <c r="N910" s="6">
        <v>0.1021</v>
      </c>
      <c r="O910" s="5">
        <v>398.36200000000002</v>
      </c>
      <c r="P910" s="6">
        <v>0.13150000000000001</v>
      </c>
      <c r="Q910" s="5">
        <v>6652355.227</v>
      </c>
      <c r="R910" s="1" t="s">
        <v>55</v>
      </c>
      <c r="S910" s="1" t="s">
        <v>94</v>
      </c>
      <c r="T910" s="1" t="s">
        <v>89</v>
      </c>
      <c r="U910" s="1" t="s">
        <v>56</v>
      </c>
      <c r="V910" s="1" t="s">
        <v>2358</v>
      </c>
      <c r="W910" s="1" t="s">
        <v>800</v>
      </c>
      <c r="Y910" s="1" t="s">
        <v>2351</v>
      </c>
      <c r="Z910" s="1" t="str">
        <f t="shared" si="42"/>
        <v>2712 3A</v>
      </c>
      <c r="AA910" s="3">
        <f>IF(INDEX('CAMD Facility Data 2023'!$AA$2:$AE$10000,MATCH(Z910,'CAMD Facility Data 2023'!$AE$2:$AE$10000,0),1)&gt;0,INDEX('CAMD Facility Data 2023'!$AA$2:$AE$10000,MATCH(Z910,'CAMD Facility Data 2023'!$AE$2:$AE$10000,0),1),"")</f>
        <v>26867</v>
      </c>
      <c r="AB910" s="5">
        <f>IF(INDEX('CAMD Facility Data 2023'!$AC$2:$AE$10000,MATCH(Z910,'CAMD Facility Data 2023'!$AE$2:$AE$10000,0),1)&gt;0,INDEX('CAMD Facility Data 2023'!$AC$2:$AE$10000,MATCH(Z910,'CAMD Facility Data 2023'!$AE$2:$AE$10000,0),1),"")</f>
        <v>4261</v>
      </c>
      <c r="AC910" s="1" t="str">
        <f>IF(INDEX('CAMD Facility Data 2023'!$AE$2:$AG$10000,MATCH(Z910,'CAMD Facility Data 2023'!$AE$2:$AE$10000,0),3)&gt;0,INDEX('CAMD Facility Data 2023'!$AE$2:$AG$10000,MATCH(Z910,'CAMD Facility Data 2023'!$AE$2:$AE$10000,0),3),"")</f>
        <v>Y</v>
      </c>
      <c r="AD910" s="20" t="str">
        <f t="shared" si="43"/>
        <v/>
      </c>
      <c r="AE910" s="25">
        <f t="shared" si="44"/>
        <v>0.17822137564445073</v>
      </c>
    </row>
    <row r="911" spans="1:31" x14ac:dyDescent="0.2">
      <c r="A911" s="1" t="s">
        <v>1153</v>
      </c>
      <c r="B911" s="1" t="s">
        <v>2350</v>
      </c>
      <c r="C911" s="1">
        <v>2712</v>
      </c>
      <c r="D911" s="1" t="s">
        <v>965</v>
      </c>
      <c r="E911" s="1" t="s">
        <v>2357</v>
      </c>
      <c r="F911" s="1">
        <v>2023</v>
      </c>
      <c r="G911" s="5">
        <v>3804</v>
      </c>
      <c r="H911" s="5">
        <v>3797.81</v>
      </c>
      <c r="J911" s="5">
        <v>5916658.21</v>
      </c>
      <c r="K911" s="5">
        <v>425.589</v>
      </c>
      <c r="L911" s="5">
        <v>9.6699999999999994E-2</v>
      </c>
      <c r="M911" s="5">
        <v>764096.53200000001</v>
      </c>
      <c r="N911" s="6">
        <v>0.1022</v>
      </c>
      <c r="O911" s="5">
        <v>464.49200000000002</v>
      </c>
      <c r="P911" s="6">
        <v>0.13420000000000001</v>
      </c>
      <c r="Q911" s="5">
        <v>7453823.2999999998</v>
      </c>
      <c r="R911" s="1" t="s">
        <v>55</v>
      </c>
      <c r="S911" s="1" t="s">
        <v>94</v>
      </c>
      <c r="T911" s="1" t="s">
        <v>89</v>
      </c>
      <c r="U911" s="1" t="s">
        <v>56</v>
      </c>
      <c r="V911" s="1" t="s">
        <v>2358</v>
      </c>
      <c r="W911" s="1" t="s">
        <v>800</v>
      </c>
      <c r="Y911" s="1" t="s">
        <v>2351</v>
      </c>
      <c r="Z911" s="1" t="str">
        <f t="shared" si="42"/>
        <v>2712 3B</v>
      </c>
      <c r="AA911" s="3">
        <f>IF(INDEX('CAMD Facility Data 2023'!$AA$2:$AE$10000,MATCH(Z911,'CAMD Facility Data 2023'!$AE$2:$AE$10000,0),1)&gt;0,INDEX('CAMD Facility Data 2023'!$AA$2:$AE$10000,MATCH(Z911,'CAMD Facility Data 2023'!$AE$2:$AE$10000,0),1),"")</f>
        <v>26867</v>
      </c>
      <c r="AB911" s="5">
        <f>IF(INDEX('CAMD Facility Data 2023'!$AC$2:$AE$10000,MATCH(Z911,'CAMD Facility Data 2023'!$AE$2:$AE$10000,0),1)&gt;0,INDEX('CAMD Facility Data 2023'!$AC$2:$AE$10000,MATCH(Z911,'CAMD Facility Data 2023'!$AE$2:$AE$10000,0),1),"")</f>
        <v>4261</v>
      </c>
      <c r="AC911" s="1" t="str">
        <f>IF(INDEX('CAMD Facility Data 2023'!$AE$2:$AG$10000,MATCH(Z911,'CAMD Facility Data 2023'!$AE$2:$AE$10000,0),3)&gt;0,INDEX('CAMD Facility Data 2023'!$AE$2:$AG$10000,MATCH(Z911,'CAMD Facility Data 2023'!$AE$2:$AE$10000,0),3),"")</f>
        <v>Y</v>
      </c>
      <c r="AD911" s="20" t="str">
        <f t="shared" si="43"/>
        <v/>
      </c>
      <c r="AE911" s="25">
        <f t="shared" si="44"/>
        <v>0.19969328110214871</v>
      </c>
    </row>
    <row r="912" spans="1:31" x14ac:dyDescent="0.2">
      <c r="A912" s="1" t="s">
        <v>1153</v>
      </c>
      <c r="B912" s="1" t="s">
        <v>2350</v>
      </c>
      <c r="C912" s="1">
        <v>2712</v>
      </c>
      <c r="D912" s="1" t="s">
        <v>381</v>
      </c>
      <c r="E912" s="1" t="s">
        <v>2360</v>
      </c>
      <c r="F912" s="1">
        <v>2023</v>
      </c>
      <c r="G912" s="5">
        <v>1741</v>
      </c>
      <c r="H912" s="5">
        <v>1728.1</v>
      </c>
      <c r="J912" s="5">
        <v>2424441.96</v>
      </c>
      <c r="K912" s="5">
        <v>243.029</v>
      </c>
      <c r="L912" s="5">
        <v>0.112</v>
      </c>
      <c r="M912" s="5">
        <v>450161.05300000001</v>
      </c>
      <c r="N912" s="6">
        <v>0.1004</v>
      </c>
      <c r="O912" s="5">
        <v>263.13299999999998</v>
      </c>
      <c r="P912" s="6">
        <v>0.1191</v>
      </c>
      <c r="Q912" s="5">
        <v>4396400.7539999997</v>
      </c>
      <c r="R912" s="1" t="s">
        <v>55</v>
      </c>
      <c r="S912" s="1" t="s">
        <v>94</v>
      </c>
      <c r="T912" s="1" t="s">
        <v>89</v>
      </c>
      <c r="U912" s="1" t="s">
        <v>56</v>
      </c>
      <c r="V912" s="1" t="s">
        <v>2358</v>
      </c>
      <c r="W912" s="1" t="s">
        <v>800</v>
      </c>
      <c r="Y912" s="1" t="s">
        <v>2351</v>
      </c>
      <c r="Z912" s="1" t="str">
        <f t="shared" si="42"/>
        <v>2712 4A</v>
      </c>
      <c r="AA912" s="3">
        <f>IF(INDEX('CAMD Facility Data 2023'!$AA$2:$AE$10000,MATCH(Z912,'CAMD Facility Data 2023'!$AE$2:$AE$10000,0),1)&gt;0,INDEX('CAMD Facility Data 2023'!$AA$2:$AE$10000,MATCH(Z912,'CAMD Facility Data 2023'!$AE$2:$AE$10000,0),1),"")</f>
        <v>29479</v>
      </c>
      <c r="AB912" s="5">
        <f>IF(INDEX('CAMD Facility Data 2023'!$AC$2:$AE$10000,MATCH(Z912,'CAMD Facility Data 2023'!$AE$2:$AE$10000,0),1)&gt;0,INDEX('CAMD Facility Data 2023'!$AC$2:$AE$10000,MATCH(Z912,'CAMD Facility Data 2023'!$AE$2:$AE$10000,0),1),"")</f>
        <v>4500</v>
      </c>
      <c r="AC912" s="1" t="str">
        <f>IF(INDEX('CAMD Facility Data 2023'!$AE$2:$AG$10000,MATCH(Z912,'CAMD Facility Data 2023'!$AE$2:$AE$10000,0),3)&gt;0,INDEX('CAMD Facility Data 2023'!$AE$2:$AG$10000,MATCH(Z912,'CAMD Facility Data 2023'!$AE$2:$AE$10000,0),3),"")</f>
        <v>Y</v>
      </c>
      <c r="AD912" s="20" t="str">
        <f t="shared" si="43"/>
        <v/>
      </c>
      <c r="AE912" s="25">
        <f t="shared" si="44"/>
        <v>0.11152716270928462</v>
      </c>
    </row>
    <row r="913" spans="1:31" x14ac:dyDescent="0.2">
      <c r="A913" s="1" t="s">
        <v>1153</v>
      </c>
      <c r="B913" s="1" t="s">
        <v>2350</v>
      </c>
      <c r="C913" s="1">
        <v>2712</v>
      </c>
      <c r="D913" s="1" t="s">
        <v>815</v>
      </c>
      <c r="E913" s="1" t="s">
        <v>2360</v>
      </c>
      <c r="F913" s="1">
        <v>2023</v>
      </c>
      <c r="G913" s="5">
        <v>1589</v>
      </c>
      <c r="H913" s="5">
        <v>1579.29</v>
      </c>
      <c r="J913" s="5">
        <v>1596513.05</v>
      </c>
      <c r="K913" s="5">
        <v>163.636</v>
      </c>
      <c r="L913" s="5">
        <v>0.10440000000000001</v>
      </c>
      <c r="M913" s="5">
        <v>292539.16100000002</v>
      </c>
      <c r="N913" s="6">
        <v>0.1003</v>
      </c>
      <c r="O913" s="5">
        <v>186.27</v>
      </c>
      <c r="P913" s="6">
        <v>0.12189999999999999</v>
      </c>
      <c r="Q913" s="5">
        <v>2864539.5019999999</v>
      </c>
      <c r="R913" s="1" t="s">
        <v>55</v>
      </c>
      <c r="S913" s="1" t="s">
        <v>94</v>
      </c>
      <c r="T913" s="1" t="s">
        <v>89</v>
      </c>
      <c r="U913" s="1" t="s">
        <v>56</v>
      </c>
      <c r="V913" s="1" t="s">
        <v>2358</v>
      </c>
      <c r="W913" s="1" t="s">
        <v>800</v>
      </c>
      <c r="Y913" s="1" t="s">
        <v>2351</v>
      </c>
      <c r="Z913" s="1" t="str">
        <f t="shared" si="42"/>
        <v>2712 4B</v>
      </c>
      <c r="AA913" s="3">
        <f>IF(INDEX('CAMD Facility Data 2023'!$AA$2:$AE$10000,MATCH(Z913,'CAMD Facility Data 2023'!$AE$2:$AE$10000,0),1)&gt;0,INDEX('CAMD Facility Data 2023'!$AA$2:$AE$10000,MATCH(Z913,'CAMD Facility Data 2023'!$AE$2:$AE$10000,0),1),"")</f>
        <v>29479</v>
      </c>
      <c r="AB913" s="5">
        <f>IF(INDEX('CAMD Facility Data 2023'!$AC$2:$AE$10000,MATCH(Z913,'CAMD Facility Data 2023'!$AE$2:$AE$10000,0),1)&gt;0,INDEX('CAMD Facility Data 2023'!$AC$2:$AE$10000,MATCH(Z913,'CAMD Facility Data 2023'!$AE$2:$AE$10000,0),1),"")</f>
        <v>4500</v>
      </c>
      <c r="AC913" s="1" t="str">
        <f>IF(INDEX('CAMD Facility Data 2023'!$AE$2:$AG$10000,MATCH(Z913,'CAMD Facility Data 2023'!$AE$2:$AE$10000,0),3)&gt;0,INDEX('CAMD Facility Data 2023'!$AE$2:$AG$10000,MATCH(Z913,'CAMD Facility Data 2023'!$AE$2:$AE$10000,0),3),"")</f>
        <v>Y</v>
      </c>
      <c r="AD913" s="20" t="str">
        <f t="shared" si="43"/>
        <v/>
      </c>
      <c r="AE913" s="25">
        <f t="shared" si="44"/>
        <v>7.2667161390157275E-2</v>
      </c>
    </row>
    <row r="914" spans="1:31" x14ac:dyDescent="0.2">
      <c r="A914" s="1" t="s">
        <v>1153</v>
      </c>
      <c r="B914" s="1" t="s">
        <v>2363</v>
      </c>
      <c r="C914" s="1">
        <v>2713</v>
      </c>
      <c r="D914" s="1" t="s">
        <v>2344</v>
      </c>
      <c r="F914" s="1">
        <v>2023</v>
      </c>
      <c r="G914" s="5">
        <v>7473</v>
      </c>
      <c r="H914" s="5">
        <v>7465.21</v>
      </c>
      <c r="I914" s="5">
        <v>1953831.45</v>
      </c>
      <c r="K914" s="5">
        <v>3.2719999999999998</v>
      </c>
      <c r="L914" s="5">
        <v>2.0000000000000001E-4</v>
      </c>
      <c r="M914" s="5">
        <v>811939.848</v>
      </c>
      <c r="N914" s="6">
        <v>5.8999999999999997E-2</v>
      </c>
      <c r="O914" s="5">
        <v>297.423</v>
      </c>
      <c r="P914" s="6">
        <v>4.8899999999999999E-2</v>
      </c>
      <c r="Q914" s="5">
        <v>13662263.937000001</v>
      </c>
      <c r="R914" s="1" t="s">
        <v>284</v>
      </c>
      <c r="S914" s="1" t="s">
        <v>94</v>
      </c>
      <c r="T914" s="1" t="s">
        <v>71</v>
      </c>
      <c r="V914" s="1" t="s">
        <v>643</v>
      </c>
      <c r="Y914" s="1" t="s">
        <v>2319</v>
      </c>
      <c r="Z914" s="1" t="str">
        <f t="shared" si="42"/>
        <v>2713 01A</v>
      </c>
      <c r="AA914" s="3">
        <f>IF(INDEX('CAMD Facility Data 2023'!$AA$2:$AE$10000,MATCH(Z914,'CAMD Facility Data 2023'!$AE$2:$AE$10000,0),1)&gt;0,INDEX('CAMD Facility Data 2023'!$AA$2:$AE$10000,MATCH(Z914,'CAMD Facility Data 2023'!$AE$2:$AE$10000,0),1),"")</f>
        <v>41483</v>
      </c>
      <c r="AB914" s="5">
        <f>IF(INDEX('CAMD Facility Data 2023'!$AC$2:$AE$10000,MATCH(Z914,'CAMD Facility Data 2023'!$AE$2:$AE$10000,0),1)&gt;0,INDEX('CAMD Facility Data 2023'!$AC$2:$AE$10000,MATCH(Z914,'CAMD Facility Data 2023'!$AE$2:$AE$10000,0),1),"")</f>
        <v>2717</v>
      </c>
      <c r="AC914" s="1" t="str">
        <f>IF(INDEX('CAMD Facility Data 2023'!$AE$2:$AG$10000,MATCH(Z914,'CAMD Facility Data 2023'!$AE$2:$AE$10000,0),3)&gt;0,INDEX('CAMD Facility Data 2023'!$AE$2:$AG$10000,MATCH(Z914,'CAMD Facility Data 2023'!$AE$2:$AE$10000,0),3),"")</f>
        <v>Y</v>
      </c>
      <c r="AD914" s="20">
        <f t="shared" si="43"/>
        <v>0.30445103133128498</v>
      </c>
      <c r="AE914" s="25">
        <f t="shared" si="44"/>
        <v>0.57402251412970595</v>
      </c>
    </row>
    <row r="915" spans="1:31" x14ac:dyDescent="0.2">
      <c r="A915" s="1" t="s">
        <v>1153</v>
      </c>
      <c r="B915" s="1" t="s">
        <v>2363</v>
      </c>
      <c r="C915" s="1">
        <v>2713</v>
      </c>
      <c r="D915" s="1" t="s">
        <v>2346</v>
      </c>
      <c r="F915" s="1">
        <v>2023</v>
      </c>
      <c r="G915" s="5">
        <v>7610</v>
      </c>
      <c r="H915" s="5">
        <v>7605.29</v>
      </c>
      <c r="I915" s="5">
        <v>2009597.36</v>
      </c>
      <c r="K915" s="5">
        <v>3.3290000000000002</v>
      </c>
      <c r="L915" s="5">
        <v>2.0000000000000001E-4</v>
      </c>
      <c r="M915" s="5">
        <v>825943.12800000003</v>
      </c>
      <c r="N915" s="6">
        <v>5.8999999999999997E-2</v>
      </c>
      <c r="O915" s="5">
        <v>273.41199999999998</v>
      </c>
      <c r="P915" s="6">
        <v>4.4699999999999997E-2</v>
      </c>
      <c r="Q915" s="5">
        <v>13897986.227</v>
      </c>
      <c r="R915" s="1" t="s">
        <v>284</v>
      </c>
      <c r="S915" s="1" t="s">
        <v>94</v>
      </c>
      <c r="T915" s="1" t="s">
        <v>71</v>
      </c>
      <c r="V915" s="1" t="s">
        <v>643</v>
      </c>
      <c r="Y915" s="1" t="s">
        <v>2319</v>
      </c>
      <c r="Z915" s="1" t="str">
        <f t="shared" si="42"/>
        <v>2713 01B</v>
      </c>
      <c r="AA915" s="3">
        <f>IF(INDEX('CAMD Facility Data 2023'!$AA$2:$AE$10000,MATCH(Z915,'CAMD Facility Data 2023'!$AE$2:$AE$10000,0),1)&gt;0,INDEX('CAMD Facility Data 2023'!$AA$2:$AE$10000,MATCH(Z915,'CAMD Facility Data 2023'!$AE$2:$AE$10000,0),1),"")</f>
        <v>41482</v>
      </c>
      <c r="AB915" s="5">
        <f>IF(INDEX('CAMD Facility Data 2023'!$AC$2:$AE$10000,MATCH(Z915,'CAMD Facility Data 2023'!$AE$2:$AE$10000,0),1)&gt;0,INDEX('CAMD Facility Data 2023'!$AC$2:$AE$10000,MATCH(Z915,'CAMD Facility Data 2023'!$AE$2:$AE$10000,0),1),"")</f>
        <v>2717</v>
      </c>
      <c r="AC915" s="1" t="str">
        <f>IF(INDEX('CAMD Facility Data 2023'!$AE$2:$AG$10000,MATCH(Z915,'CAMD Facility Data 2023'!$AE$2:$AE$10000,0),3)&gt;0,INDEX('CAMD Facility Data 2023'!$AE$2:$AG$10000,MATCH(Z915,'CAMD Facility Data 2023'!$AE$2:$AE$10000,0),3),"")</f>
        <v>Y</v>
      </c>
      <c r="AD915" s="20">
        <f t="shared" si="43"/>
        <v>0.27210624918416493</v>
      </c>
      <c r="AE915" s="25">
        <f t="shared" si="44"/>
        <v>0.5839264291884515</v>
      </c>
    </row>
    <row r="916" spans="1:31" x14ac:dyDescent="0.2">
      <c r="A916" s="1" t="s">
        <v>1153</v>
      </c>
      <c r="B916" s="1" t="s">
        <v>2363</v>
      </c>
      <c r="C916" s="1">
        <v>2713</v>
      </c>
      <c r="D916" s="1">
        <v>4</v>
      </c>
      <c r="F916" s="1">
        <v>2023</v>
      </c>
      <c r="G916" s="5">
        <v>57</v>
      </c>
      <c r="H916" s="5">
        <v>34.43</v>
      </c>
      <c r="I916" s="5">
        <v>1034.75</v>
      </c>
      <c r="K916" s="5">
        <v>5.0000000000000001E-3</v>
      </c>
      <c r="L916" s="5">
        <v>1.6000000000000001E-3</v>
      </c>
      <c r="M916" s="5">
        <v>599.22799999999995</v>
      </c>
      <c r="N916" s="6">
        <v>6.2799999999999995E-2</v>
      </c>
      <c r="O916" s="5">
        <v>0.625</v>
      </c>
      <c r="P916" s="6">
        <v>0.17660000000000001</v>
      </c>
      <c r="Q916" s="5">
        <v>9838.94</v>
      </c>
      <c r="R916" s="1" t="s">
        <v>284</v>
      </c>
      <c r="S916" s="1" t="s">
        <v>94</v>
      </c>
      <c r="T916" s="1" t="s">
        <v>93</v>
      </c>
      <c r="V916" s="1" t="s">
        <v>95</v>
      </c>
      <c r="Y916" s="1" t="s">
        <v>2319</v>
      </c>
      <c r="Z916" s="1" t="str">
        <f t="shared" si="42"/>
        <v>2713 4</v>
      </c>
      <c r="AA916" s="3">
        <f>IF(INDEX('CAMD Facility Data 2023'!$AA$2:$AE$10000,MATCH(Z916,'CAMD Facility Data 2023'!$AE$2:$AE$10000,0),1)&gt;0,INDEX('CAMD Facility Data 2023'!$AA$2:$AE$10000,MATCH(Z916,'CAMD Facility Data 2023'!$AE$2:$AE$10000,0),1),"")</f>
        <v>42907</v>
      </c>
      <c r="AB916" s="5">
        <f>IF(INDEX('CAMD Facility Data 2023'!$AC$2:$AE$10000,MATCH(Z916,'CAMD Facility Data 2023'!$AE$2:$AE$10000,0),1)&gt;0,INDEX('CAMD Facility Data 2023'!$AC$2:$AE$10000,MATCH(Z916,'CAMD Facility Data 2023'!$AE$2:$AE$10000,0),1),"")</f>
        <v>670</v>
      </c>
      <c r="AC916" s="1" t="str">
        <f>IF(INDEX('CAMD Facility Data 2023'!$AE$2:$AG$10000,MATCH(Z916,'CAMD Facility Data 2023'!$AE$2:$AE$10000,0),3)&gt;0,INDEX('CAMD Facility Data 2023'!$AE$2:$AG$10000,MATCH(Z916,'CAMD Facility Data 2023'!$AE$2:$AE$10000,0),3),"")</f>
        <v/>
      </c>
      <c r="AD916" s="20">
        <f t="shared" si="43"/>
        <v>1.2080212611741967</v>
      </c>
      <c r="AE916" s="25">
        <f t="shared" si="44"/>
        <v>1.6763681592039802E-3</v>
      </c>
    </row>
    <row r="917" spans="1:31" x14ac:dyDescent="0.2">
      <c r="A917" s="1" t="s">
        <v>1153</v>
      </c>
      <c r="B917" s="1" t="s">
        <v>2363</v>
      </c>
      <c r="C917" s="1">
        <v>2713</v>
      </c>
      <c r="D917" s="1">
        <v>5</v>
      </c>
      <c r="F917" s="1">
        <v>2023</v>
      </c>
      <c r="G917" s="5">
        <v>43</v>
      </c>
      <c r="H917" s="5">
        <v>28.6</v>
      </c>
      <c r="I917" s="5">
        <v>1052.26</v>
      </c>
      <c r="K917" s="5">
        <v>4.0000000000000001E-3</v>
      </c>
      <c r="L917" s="5">
        <v>1.9E-3</v>
      </c>
      <c r="M917" s="5">
        <v>605.52499999999998</v>
      </c>
      <c r="N917" s="6">
        <v>6.3299999999999995E-2</v>
      </c>
      <c r="O917" s="5">
        <v>0.54500000000000004</v>
      </c>
      <c r="P917" s="6">
        <v>0.16020000000000001</v>
      </c>
      <c r="Q917" s="5">
        <v>10039.745000000001</v>
      </c>
      <c r="R917" s="1" t="s">
        <v>284</v>
      </c>
      <c r="S917" s="1" t="s">
        <v>94</v>
      </c>
      <c r="T917" s="1" t="s">
        <v>93</v>
      </c>
      <c r="V917" s="1" t="s">
        <v>95</v>
      </c>
      <c r="Y917" s="1" t="s">
        <v>2319</v>
      </c>
      <c r="Z917" s="1" t="str">
        <f t="shared" si="42"/>
        <v>2713 5</v>
      </c>
      <c r="AA917" s="3">
        <f>IF(INDEX('CAMD Facility Data 2023'!$AA$2:$AE$10000,MATCH(Z917,'CAMD Facility Data 2023'!$AE$2:$AE$10000,0),1)&gt;0,INDEX('CAMD Facility Data 2023'!$AA$2:$AE$10000,MATCH(Z917,'CAMD Facility Data 2023'!$AE$2:$AE$10000,0),1),"")</f>
        <v>42903</v>
      </c>
      <c r="AB917" s="5">
        <f>IF(INDEX('CAMD Facility Data 2023'!$AC$2:$AE$10000,MATCH(Z917,'CAMD Facility Data 2023'!$AE$2:$AE$10000,0),1)&gt;0,INDEX('CAMD Facility Data 2023'!$AC$2:$AE$10000,MATCH(Z917,'CAMD Facility Data 2023'!$AE$2:$AE$10000,0),1),"")</f>
        <v>670</v>
      </c>
      <c r="AC917" s="1" t="str">
        <f>IF(INDEX('CAMD Facility Data 2023'!$AE$2:$AG$10000,MATCH(Z917,'CAMD Facility Data 2023'!$AE$2:$AE$10000,0),3)&gt;0,INDEX('CAMD Facility Data 2023'!$AE$2:$AG$10000,MATCH(Z917,'CAMD Facility Data 2023'!$AE$2:$AE$10000,0),3),"")</f>
        <v/>
      </c>
      <c r="AD917" s="20">
        <f t="shared" si="43"/>
        <v>1.0358656605781842</v>
      </c>
      <c r="AE917" s="25">
        <f t="shared" si="44"/>
        <v>1.7105815102569347E-3</v>
      </c>
    </row>
    <row r="918" spans="1:31" x14ac:dyDescent="0.2">
      <c r="A918" s="1" t="s">
        <v>1153</v>
      </c>
      <c r="B918" s="1" t="s">
        <v>2370</v>
      </c>
      <c r="C918" s="1">
        <v>2716</v>
      </c>
      <c r="D918" s="1">
        <v>4</v>
      </c>
      <c r="F918" s="1">
        <v>2023</v>
      </c>
      <c r="G918" s="5">
        <v>26</v>
      </c>
      <c r="H918" s="5">
        <v>13.23</v>
      </c>
      <c r="I918" s="5">
        <v>0</v>
      </c>
      <c r="K918" s="5">
        <v>1.8959999999999999</v>
      </c>
      <c r="L918" s="5">
        <v>0.50039999999999996</v>
      </c>
      <c r="M918" s="5">
        <v>614</v>
      </c>
      <c r="N918" s="6">
        <v>8.0699999999999994E-2</v>
      </c>
      <c r="O918" s="5">
        <v>4.548</v>
      </c>
      <c r="P918" s="6">
        <v>1.2</v>
      </c>
      <c r="Q918" s="5">
        <v>7580.7</v>
      </c>
      <c r="R918" s="1" t="s">
        <v>94</v>
      </c>
      <c r="T918" s="1" t="s">
        <v>93</v>
      </c>
      <c r="Y918" s="1" t="s">
        <v>1157</v>
      </c>
      <c r="Z918" s="1" t="str">
        <f t="shared" si="42"/>
        <v>2716 4</v>
      </c>
      <c r="AA918" s="3">
        <f>IF(INDEX('CAMD Facility Data 2023'!$AA$2:$AE$10000,MATCH(Z918,'CAMD Facility Data 2023'!$AE$2:$AE$10000,0),1)&gt;0,INDEX('CAMD Facility Data 2023'!$AA$2:$AE$10000,MATCH(Z918,'CAMD Facility Data 2023'!$AE$2:$AE$10000,0),1),"")</f>
        <v>25689</v>
      </c>
      <c r="AB918" s="5">
        <f>IF(INDEX('CAMD Facility Data 2023'!$AC$2:$AE$10000,MATCH(Z918,'CAMD Facility Data 2023'!$AE$2:$AE$10000,0),1)&gt;0,INDEX('CAMD Facility Data 2023'!$AC$2:$AE$10000,MATCH(Z918,'CAMD Facility Data 2023'!$AE$2:$AE$10000,0),1),"")</f>
        <v>573</v>
      </c>
      <c r="AC918" s="1" t="str">
        <f>IF(INDEX('CAMD Facility Data 2023'!$AE$2:$AG$10000,MATCH(Z918,'CAMD Facility Data 2023'!$AE$2:$AE$10000,0),3)&gt;0,INDEX('CAMD Facility Data 2023'!$AE$2:$AG$10000,MATCH(Z918,'CAMD Facility Data 2023'!$AE$2:$AE$10000,0),3),"")</f>
        <v/>
      </c>
      <c r="AD918" s="20" t="str">
        <f t="shared" si="43"/>
        <v/>
      </c>
      <c r="AE918" s="25">
        <f t="shared" si="44"/>
        <v>1.5102560424585813E-3</v>
      </c>
    </row>
    <row r="919" spans="1:31" x14ac:dyDescent="0.2">
      <c r="A919" s="1" t="s">
        <v>1153</v>
      </c>
      <c r="B919" s="1" t="s">
        <v>2370</v>
      </c>
      <c r="C919" s="1">
        <v>2716</v>
      </c>
      <c r="D919" s="1">
        <v>5</v>
      </c>
      <c r="F919" s="1">
        <v>2023</v>
      </c>
      <c r="G919" s="5">
        <v>22</v>
      </c>
      <c r="H919" s="5">
        <v>11.31</v>
      </c>
      <c r="I919" s="5">
        <v>0</v>
      </c>
      <c r="K919" s="5">
        <v>1.62</v>
      </c>
      <c r="L919" s="5">
        <v>0.50049999999999994</v>
      </c>
      <c r="M919" s="5">
        <v>524.79999999999995</v>
      </c>
      <c r="N919" s="6">
        <v>8.0600000000000005E-2</v>
      </c>
      <c r="O919" s="5">
        <v>3.8879999999999999</v>
      </c>
      <c r="P919" s="6">
        <v>1.2</v>
      </c>
      <c r="Q919" s="5">
        <v>6480.6</v>
      </c>
      <c r="R919" s="1" t="s">
        <v>94</v>
      </c>
      <c r="T919" s="1" t="s">
        <v>93</v>
      </c>
      <c r="Y919" s="1" t="s">
        <v>1157</v>
      </c>
      <c r="Z919" s="1" t="str">
        <f t="shared" si="42"/>
        <v>2716 5</v>
      </c>
      <c r="AA919" s="3">
        <f>IF(INDEX('CAMD Facility Data 2023'!$AA$2:$AE$10000,MATCH(Z919,'CAMD Facility Data 2023'!$AE$2:$AE$10000,0),1)&gt;0,INDEX('CAMD Facility Data 2023'!$AA$2:$AE$10000,MATCH(Z919,'CAMD Facility Data 2023'!$AE$2:$AE$10000,0),1),"")</f>
        <v>25689</v>
      </c>
      <c r="AB919" s="5">
        <f>IF(INDEX('CAMD Facility Data 2023'!$AC$2:$AE$10000,MATCH(Z919,'CAMD Facility Data 2023'!$AE$2:$AE$10000,0),1)&gt;0,INDEX('CAMD Facility Data 2023'!$AC$2:$AE$10000,MATCH(Z919,'CAMD Facility Data 2023'!$AE$2:$AE$10000,0),1),"")</f>
        <v>573</v>
      </c>
      <c r="AC919" s="1" t="str">
        <f>IF(INDEX('CAMD Facility Data 2023'!$AE$2:$AG$10000,MATCH(Z919,'CAMD Facility Data 2023'!$AE$2:$AE$10000,0),3)&gt;0,INDEX('CAMD Facility Data 2023'!$AE$2:$AG$10000,MATCH(Z919,'CAMD Facility Data 2023'!$AE$2:$AE$10000,0),3),"")</f>
        <v/>
      </c>
      <c r="AD919" s="20" t="str">
        <f t="shared" si="43"/>
        <v/>
      </c>
      <c r="AE919" s="25">
        <f t="shared" si="44"/>
        <v>1.2910899136962396E-3</v>
      </c>
    </row>
    <row r="920" spans="1:31" x14ac:dyDescent="0.2">
      <c r="A920" s="1" t="s">
        <v>1153</v>
      </c>
      <c r="B920" s="1" t="s">
        <v>2370</v>
      </c>
      <c r="C920" s="1">
        <v>2716</v>
      </c>
      <c r="D920" s="1">
        <v>6</v>
      </c>
      <c r="F920" s="1">
        <v>2023</v>
      </c>
      <c r="G920" s="5">
        <v>32</v>
      </c>
      <c r="H920" s="5">
        <v>14.08</v>
      </c>
      <c r="I920" s="5">
        <v>0</v>
      </c>
      <c r="K920" s="5">
        <v>2.0169999999999999</v>
      </c>
      <c r="L920" s="5">
        <v>0.50029999999999997</v>
      </c>
      <c r="M920" s="5">
        <v>653.4</v>
      </c>
      <c r="N920" s="6">
        <v>8.0699999999999994E-2</v>
      </c>
      <c r="O920" s="5">
        <v>4.8410000000000002</v>
      </c>
      <c r="P920" s="6">
        <v>1.2</v>
      </c>
      <c r="Q920" s="5">
        <v>8067.8</v>
      </c>
      <c r="R920" s="1" t="s">
        <v>94</v>
      </c>
      <c r="T920" s="1" t="s">
        <v>93</v>
      </c>
      <c r="Y920" s="1" t="s">
        <v>1157</v>
      </c>
      <c r="Z920" s="1" t="str">
        <f t="shared" si="42"/>
        <v>2716 6</v>
      </c>
      <c r="AA920" s="3">
        <f>IF(INDEX('CAMD Facility Data 2023'!$AA$2:$AE$10000,MATCH(Z920,'CAMD Facility Data 2023'!$AE$2:$AE$10000,0),1)&gt;0,INDEX('CAMD Facility Data 2023'!$AA$2:$AE$10000,MATCH(Z920,'CAMD Facility Data 2023'!$AE$2:$AE$10000,0),1),"")</f>
        <v>26024</v>
      </c>
      <c r="AB920" s="5">
        <f>IF(INDEX('CAMD Facility Data 2023'!$AC$2:$AE$10000,MATCH(Z920,'CAMD Facility Data 2023'!$AE$2:$AE$10000,0),1)&gt;0,INDEX('CAMD Facility Data 2023'!$AC$2:$AE$10000,MATCH(Z920,'CAMD Facility Data 2023'!$AE$2:$AE$10000,0),1),"")</f>
        <v>573</v>
      </c>
      <c r="AC920" s="1" t="str">
        <f>IF(INDEX('CAMD Facility Data 2023'!$AE$2:$AG$10000,MATCH(Z920,'CAMD Facility Data 2023'!$AE$2:$AE$10000,0),3)&gt;0,INDEX('CAMD Facility Data 2023'!$AE$2:$AG$10000,MATCH(Z920,'CAMD Facility Data 2023'!$AE$2:$AE$10000,0),3),"")</f>
        <v/>
      </c>
      <c r="AD920" s="20" t="str">
        <f t="shared" si="43"/>
        <v/>
      </c>
      <c r="AE920" s="25">
        <f t="shared" si="44"/>
        <v>1.6072979671201001E-3</v>
      </c>
    </row>
    <row r="921" spans="1:31" x14ac:dyDescent="0.2">
      <c r="A921" s="1" t="s">
        <v>1153</v>
      </c>
      <c r="B921" s="1" t="s">
        <v>2370</v>
      </c>
      <c r="C921" s="1">
        <v>2716</v>
      </c>
      <c r="D921" s="1">
        <v>7</v>
      </c>
      <c r="F921" s="1">
        <v>2023</v>
      </c>
      <c r="G921" s="5">
        <v>27</v>
      </c>
      <c r="H921" s="5">
        <v>13.22</v>
      </c>
      <c r="I921" s="5">
        <v>0</v>
      </c>
      <c r="K921" s="5">
        <v>1.8939999999999999</v>
      </c>
      <c r="L921" s="5">
        <v>0.50060000000000004</v>
      </c>
      <c r="M921" s="5">
        <v>613.4</v>
      </c>
      <c r="N921" s="6">
        <v>8.0600000000000005E-2</v>
      </c>
      <c r="O921" s="5">
        <v>4.5449999999999999</v>
      </c>
      <c r="P921" s="6">
        <v>1.2</v>
      </c>
      <c r="Q921" s="5">
        <v>7575.2</v>
      </c>
      <c r="R921" s="1" t="s">
        <v>94</v>
      </c>
      <c r="T921" s="1" t="s">
        <v>93</v>
      </c>
      <c r="Y921" s="1" t="s">
        <v>1157</v>
      </c>
      <c r="Z921" s="1" t="str">
        <f t="shared" si="42"/>
        <v>2716 7</v>
      </c>
      <c r="AA921" s="3">
        <f>IF(INDEX('CAMD Facility Data 2023'!$AA$2:$AE$10000,MATCH(Z921,'CAMD Facility Data 2023'!$AE$2:$AE$10000,0),1)&gt;0,INDEX('CAMD Facility Data 2023'!$AA$2:$AE$10000,MATCH(Z921,'CAMD Facility Data 2023'!$AE$2:$AE$10000,0),1),"")</f>
        <v>26024</v>
      </c>
      <c r="AB921" s="5">
        <f>IF(INDEX('CAMD Facility Data 2023'!$AC$2:$AE$10000,MATCH(Z921,'CAMD Facility Data 2023'!$AE$2:$AE$10000,0),1)&gt;0,INDEX('CAMD Facility Data 2023'!$AC$2:$AE$10000,MATCH(Z921,'CAMD Facility Data 2023'!$AE$2:$AE$10000,0),1),"")</f>
        <v>573</v>
      </c>
      <c r="AC921" s="1" t="str">
        <f>IF(INDEX('CAMD Facility Data 2023'!$AE$2:$AG$10000,MATCH(Z921,'CAMD Facility Data 2023'!$AE$2:$AE$10000,0),3)&gt;0,INDEX('CAMD Facility Data 2023'!$AE$2:$AG$10000,MATCH(Z921,'CAMD Facility Data 2023'!$AE$2:$AE$10000,0),3),"")</f>
        <v/>
      </c>
      <c r="AD921" s="20" t="str">
        <f t="shared" si="43"/>
        <v/>
      </c>
      <c r="AE921" s="25">
        <f t="shared" si="44"/>
        <v>1.5091603114266816E-3</v>
      </c>
    </row>
    <row r="922" spans="1:31" x14ac:dyDescent="0.2">
      <c r="A922" s="1" t="s">
        <v>1153</v>
      </c>
      <c r="B922" s="1" t="s">
        <v>2378</v>
      </c>
      <c r="C922" s="1">
        <v>2718</v>
      </c>
      <c r="D922" s="1">
        <v>1</v>
      </c>
      <c r="E922" s="1" t="s">
        <v>2379</v>
      </c>
      <c r="F922" s="1">
        <v>2023</v>
      </c>
      <c r="G922" s="5">
        <v>857</v>
      </c>
      <c r="H922" s="5">
        <v>846.55</v>
      </c>
      <c r="I922" s="5">
        <v>65931.62</v>
      </c>
      <c r="K922" s="5">
        <v>6.6669999999999998</v>
      </c>
      <c r="L922" s="5">
        <v>1.72E-2</v>
      </c>
      <c r="M922" s="5">
        <v>72972.282000000007</v>
      </c>
      <c r="N922" s="6">
        <v>0.10299999999999999</v>
      </c>
      <c r="O922" s="5">
        <v>105.134</v>
      </c>
      <c r="P922" s="6">
        <v>0.28039999999999998</v>
      </c>
      <c r="Q922" s="5">
        <v>711231.46699999995</v>
      </c>
      <c r="R922" s="1" t="s">
        <v>55</v>
      </c>
      <c r="S922" s="1" t="s">
        <v>94</v>
      </c>
      <c r="T922" s="1" t="s">
        <v>43</v>
      </c>
      <c r="U922" s="1" t="s">
        <v>56</v>
      </c>
      <c r="V922" s="1" t="s">
        <v>2383</v>
      </c>
      <c r="W922" s="1" t="s">
        <v>331</v>
      </c>
      <c r="Y922" s="1" t="s">
        <v>2351</v>
      </c>
      <c r="Z922" s="1" t="str">
        <f t="shared" si="42"/>
        <v>2718 1</v>
      </c>
      <c r="AA922" s="3">
        <f>IF(INDEX('CAMD Facility Data 2023'!$AA$2:$AE$10000,MATCH(Z922,'CAMD Facility Data 2023'!$AE$2:$AE$10000,0),1)&gt;0,INDEX('CAMD Facility Data 2023'!$AA$2:$AE$10000,MATCH(Z922,'CAMD Facility Data 2023'!$AE$2:$AE$10000,0),1),"")</f>
        <v>20982</v>
      </c>
      <c r="AB922" s="5">
        <f>IF(INDEX('CAMD Facility Data 2023'!$AC$2:$AE$10000,MATCH(Z922,'CAMD Facility Data 2023'!$AE$2:$AE$10000,0),1)&gt;0,INDEX('CAMD Facility Data 2023'!$AC$2:$AE$10000,MATCH(Z922,'CAMD Facility Data 2023'!$AE$2:$AE$10000,0),1),"")</f>
        <v>2141</v>
      </c>
      <c r="AC922" s="1" t="str">
        <f>IF(INDEX('CAMD Facility Data 2023'!$AE$2:$AG$10000,MATCH(Z922,'CAMD Facility Data 2023'!$AE$2:$AE$10000,0),3)&gt;0,INDEX('CAMD Facility Data 2023'!$AE$2:$AG$10000,MATCH(Z922,'CAMD Facility Data 2023'!$AE$2:$AE$10000,0),3),"")</f>
        <v>Y</v>
      </c>
      <c r="AD922" s="20">
        <f t="shared" si="43"/>
        <v>3.1891829747244191</v>
      </c>
      <c r="AE922" s="25">
        <f t="shared" si="44"/>
        <v>3.7921908797365629E-2</v>
      </c>
    </row>
    <row r="923" spans="1:31" x14ac:dyDescent="0.2">
      <c r="A923" s="1" t="s">
        <v>1153</v>
      </c>
      <c r="B923" s="1" t="s">
        <v>2378</v>
      </c>
      <c r="C923" s="1">
        <v>2718</v>
      </c>
      <c r="D923" s="1">
        <v>5</v>
      </c>
      <c r="E923" s="1" t="s">
        <v>2379</v>
      </c>
      <c r="F923" s="1">
        <v>2023</v>
      </c>
      <c r="G923" s="5">
        <v>683</v>
      </c>
      <c r="H923" s="5">
        <v>672.1</v>
      </c>
      <c r="I923" s="5">
        <v>73047.37</v>
      </c>
      <c r="K923" s="5">
        <v>8.8719999999999999</v>
      </c>
      <c r="L923" s="5">
        <v>1.9599999999999999E-2</v>
      </c>
      <c r="M923" s="5">
        <v>81163.796000000002</v>
      </c>
      <c r="N923" s="6">
        <v>0.10290000000000001</v>
      </c>
      <c r="O923" s="5">
        <v>124.203</v>
      </c>
      <c r="P923" s="6">
        <v>0.2878</v>
      </c>
      <c r="Q923" s="5">
        <v>791076.46600000001</v>
      </c>
      <c r="R923" s="1" t="s">
        <v>55</v>
      </c>
      <c r="S923" s="1" t="s">
        <v>94</v>
      </c>
      <c r="T923" s="1" t="s">
        <v>43</v>
      </c>
      <c r="U923" s="1" t="s">
        <v>56</v>
      </c>
      <c r="V923" s="1" t="s">
        <v>2383</v>
      </c>
      <c r="W923" s="1" t="s">
        <v>331</v>
      </c>
      <c r="Y923" s="1" t="s">
        <v>2351</v>
      </c>
      <c r="Z923" s="1" t="str">
        <f t="shared" si="42"/>
        <v>2718 5</v>
      </c>
      <c r="AA923" s="3">
        <f>IF(INDEX('CAMD Facility Data 2023'!$AA$2:$AE$10000,MATCH(Z923,'CAMD Facility Data 2023'!$AE$2:$AE$10000,0),1)&gt;0,INDEX('CAMD Facility Data 2023'!$AA$2:$AE$10000,MATCH(Z923,'CAMD Facility Data 2023'!$AE$2:$AE$10000,0),1),"")</f>
        <v>22465</v>
      </c>
      <c r="AB923" s="5">
        <f>IF(INDEX('CAMD Facility Data 2023'!$AC$2:$AE$10000,MATCH(Z923,'CAMD Facility Data 2023'!$AE$2:$AE$10000,0),1)&gt;0,INDEX('CAMD Facility Data 2023'!$AC$2:$AE$10000,MATCH(Z923,'CAMD Facility Data 2023'!$AE$2:$AE$10000,0),1),"")</f>
        <v>3997</v>
      </c>
      <c r="AC923" s="1" t="str">
        <f>IF(INDEX('CAMD Facility Data 2023'!$AE$2:$AG$10000,MATCH(Z923,'CAMD Facility Data 2023'!$AE$2:$AE$10000,0),3)&gt;0,INDEX('CAMD Facility Data 2023'!$AE$2:$AG$10000,MATCH(Z923,'CAMD Facility Data 2023'!$AE$2:$AE$10000,0),3),"")</f>
        <v>Y</v>
      </c>
      <c r="AD923" s="20">
        <f t="shared" si="43"/>
        <v>3.4006152446008668</v>
      </c>
      <c r="AE923" s="25">
        <f t="shared" si="44"/>
        <v>2.2593328158219121E-2</v>
      </c>
    </row>
    <row r="924" spans="1:31" x14ac:dyDescent="0.2">
      <c r="A924" s="1" t="s">
        <v>1153</v>
      </c>
      <c r="B924" s="1" t="s">
        <v>2386</v>
      </c>
      <c r="C924" s="1">
        <v>2720</v>
      </c>
      <c r="D924" s="1" t="s">
        <v>2387</v>
      </c>
      <c r="F924" s="1">
        <v>2023</v>
      </c>
      <c r="G924" s="5">
        <v>6629</v>
      </c>
      <c r="H924" s="5">
        <v>6614.4</v>
      </c>
      <c r="I924" s="5">
        <v>1965152.48</v>
      </c>
      <c r="K924" s="5">
        <v>4.0439999999999996</v>
      </c>
      <c r="L924" s="5">
        <v>1E-3</v>
      </c>
      <c r="M924" s="5">
        <v>801091.95400000003</v>
      </c>
      <c r="N924" s="6">
        <v>5.8999999999999997E-2</v>
      </c>
      <c r="O924" s="5">
        <v>60.313000000000002</v>
      </c>
      <c r="P924" s="6">
        <v>1.04E-2</v>
      </c>
      <c r="Q924" s="5">
        <v>13479812.979</v>
      </c>
      <c r="R924" s="1" t="s">
        <v>44</v>
      </c>
      <c r="T924" s="1" t="s">
        <v>71</v>
      </c>
      <c r="V924" s="1" t="s">
        <v>64</v>
      </c>
      <c r="Y924" s="1" t="s">
        <v>2319</v>
      </c>
      <c r="Z924" s="1" t="str">
        <f t="shared" si="42"/>
        <v>2720 11C</v>
      </c>
      <c r="AA924" s="3">
        <f>IF(INDEX('CAMD Facility Data 2023'!$AA$2:$AE$10000,MATCH(Z924,'CAMD Facility Data 2023'!$AE$2:$AE$10000,0),1)&gt;0,INDEX('CAMD Facility Data 2023'!$AA$2:$AE$10000,MATCH(Z924,'CAMD Facility Data 2023'!$AE$2:$AE$10000,0),1),"")</f>
        <v>40813</v>
      </c>
      <c r="AB924" s="5">
        <f>IF(INDEX('CAMD Facility Data 2023'!$AC$2:$AE$10000,MATCH(Z924,'CAMD Facility Data 2023'!$AE$2:$AE$10000,0),1)&gt;0,INDEX('CAMD Facility Data 2023'!$AC$2:$AE$10000,MATCH(Z924,'CAMD Facility Data 2023'!$AE$2:$AE$10000,0),1),"")</f>
        <v>2604.1</v>
      </c>
      <c r="AC924" s="1" t="str">
        <f>IF(INDEX('CAMD Facility Data 2023'!$AE$2:$AG$10000,MATCH(Z924,'CAMD Facility Data 2023'!$AE$2:$AE$10000,0),3)&gt;0,INDEX('CAMD Facility Data 2023'!$AE$2:$AG$10000,MATCH(Z924,'CAMD Facility Data 2023'!$AE$2:$AE$10000,0),3),"")</f>
        <v>Y</v>
      </c>
      <c r="AD924" s="20">
        <f t="shared" si="43"/>
        <v>6.1382514195539674E-2</v>
      </c>
      <c r="AE924" s="25">
        <f t="shared" si="44"/>
        <v>0.59091103873081074</v>
      </c>
    </row>
    <row r="925" spans="1:31" x14ac:dyDescent="0.2">
      <c r="A925" s="1" t="s">
        <v>1153</v>
      </c>
      <c r="B925" s="1" t="s">
        <v>2386</v>
      </c>
      <c r="C925" s="1">
        <v>2720</v>
      </c>
      <c r="D925" s="1" t="s">
        <v>2391</v>
      </c>
      <c r="F925" s="1">
        <v>2023</v>
      </c>
      <c r="G925" s="5">
        <v>6732</v>
      </c>
      <c r="H925" s="5">
        <v>6713.79</v>
      </c>
      <c r="I925" s="5">
        <v>1985273.69</v>
      </c>
      <c r="K925" s="5">
        <v>4.07</v>
      </c>
      <c r="L925" s="5">
        <v>1E-3</v>
      </c>
      <c r="M925" s="5">
        <v>806152.58799999999</v>
      </c>
      <c r="N925" s="6">
        <v>5.8999999999999997E-2</v>
      </c>
      <c r="O925" s="5">
        <v>59.348999999999997</v>
      </c>
      <c r="P925" s="6">
        <v>9.7999999999999997E-3</v>
      </c>
      <c r="Q925" s="5">
        <v>13565094.162</v>
      </c>
      <c r="R925" s="1" t="s">
        <v>44</v>
      </c>
      <c r="T925" s="1" t="s">
        <v>71</v>
      </c>
      <c r="V925" s="1" t="s">
        <v>64</v>
      </c>
      <c r="Y925" s="1" t="s">
        <v>2319</v>
      </c>
      <c r="Z925" s="1" t="str">
        <f t="shared" si="42"/>
        <v>2720 12C</v>
      </c>
      <c r="AA925" s="3">
        <f>IF(INDEX('CAMD Facility Data 2023'!$AA$2:$AE$10000,MATCH(Z925,'CAMD Facility Data 2023'!$AE$2:$AE$10000,0),1)&gt;0,INDEX('CAMD Facility Data 2023'!$AA$2:$AE$10000,MATCH(Z925,'CAMD Facility Data 2023'!$AE$2:$AE$10000,0),1),"")</f>
        <v>40822</v>
      </c>
      <c r="AB925" s="5">
        <f>IF(INDEX('CAMD Facility Data 2023'!$AC$2:$AE$10000,MATCH(Z925,'CAMD Facility Data 2023'!$AE$2:$AE$10000,0),1)&gt;0,INDEX('CAMD Facility Data 2023'!$AC$2:$AE$10000,MATCH(Z925,'CAMD Facility Data 2023'!$AE$2:$AE$10000,0),1),"")</f>
        <v>2604.1</v>
      </c>
      <c r="AC925" s="1" t="str">
        <f>IF(INDEX('CAMD Facility Data 2023'!$AE$2:$AG$10000,MATCH(Z925,'CAMD Facility Data 2023'!$AE$2:$AE$10000,0),3)&gt;0,INDEX('CAMD Facility Data 2023'!$AE$2:$AG$10000,MATCH(Z925,'CAMD Facility Data 2023'!$AE$2:$AE$10000,0),3),"")</f>
        <v>Y</v>
      </c>
      <c r="AD925" s="20">
        <f t="shared" si="43"/>
        <v>5.9789237422473475E-2</v>
      </c>
      <c r="AE925" s="25">
        <f t="shared" si="44"/>
        <v>0.59464948766250059</v>
      </c>
    </row>
    <row r="926" spans="1:31" x14ac:dyDescent="0.2">
      <c r="A926" s="1" t="s">
        <v>1153</v>
      </c>
      <c r="B926" s="1" t="s">
        <v>2393</v>
      </c>
      <c r="C926" s="1">
        <v>2721</v>
      </c>
      <c r="D926" s="1">
        <v>5</v>
      </c>
      <c r="F926" s="1">
        <v>2023</v>
      </c>
      <c r="G926" s="5">
        <v>3534</v>
      </c>
      <c r="H926" s="5">
        <v>3517.39</v>
      </c>
      <c r="I926" s="5">
        <v>1080666.3500000001</v>
      </c>
      <c r="K926" s="5">
        <v>373.25599999999997</v>
      </c>
      <c r="L926" s="5">
        <v>5.1999999999999998E-2</v>
      </c>
      <c r="M926" s="5">
        <v>1080531.3219999999</v>
      </c>
      <c r="N926" s="6">
        <v>8.9800000000000005E-2</v>
      </c>
      <c r="O926" s="5">
        <v>870.89499999999998</v>
      </c>
      <c r="P926" s="6">
        <v>0.16189999999999999</v>
      </c>
      <c r="Q926" s="5">
        <v>11359630.414000001</v>
      </c>
      <c r="R926" s="1" t="s">
        <v>55</v>
      </c>
      <c r="S926" s="1" t="s">
        <v>341</v>
      </c>
      <c r="T926" s="1" t="s">
        <v>43</v>
      </c>
      <c r="U926" s="1" t="s">
        <v>241</v>
      </c>
      <c r="V926" s="1" t="s">
        <v>301</v>
      </c>
      <c r="W926" s="1" t="s">
        <v>331</v>
      </c>
      <c r="Y926" s="1" t="s">
        <v>2351</v>
      </c>
      <c r="Z926" s="1" t="str">
        <f t="shared" si="42"/>
        <v>2721 5</v>
      </c>
      <c r="AA926" s="3">
        <f>IF(INDEX('CAMD Facility Data 2023'!$AA$2:$AE$10000,MATCH(Z926,'CAMD Facility Data 2023'!$AE$2:$AE$10000,0),1)&gt;0,INDEX('CAMD Facility Data 2023'!$AA$2:$AE$10000,MATCH(Z926,'CAMD Facility Data 2023'!$AE$2:$AE$10000,0),1),"")</f>
        <v>26470</v>
      </c>
      <c r="AB926" s="5">
        <f>IF(INDEX('CAMD Facility Data 2023'!$AC$2:$AE$10000,MATCH(Z926,'CAMD Facility Data 2023'!$AE$2:$AE$10000,0),1)&gt;0,INDEX('CAMD Facility Data 2023'!$AC$2:$AE$10000,MATCH(Z926,'CAMD Facility Data 2023'!$AE$2:$AE$10000,0),1),"")</f>
        <v>6080</v>
      </c>
      <c r="AC926" s="1" t="str">
        <f>IF(INDEX('CAMD Facility Data 2023'!$AE$2:$AG$10000,MATCH(Z926,'CAMD Facility Data 2023'!$AE$2:$AE$10000,0),3)&gt;0,INDEX('CAMD Facility Data 2023'!$AE$2:$AG$10000,MATCH(Z926,'CAMD Facility Data 2023'!$AE$2:$AE$10000,0),3),"")</f>
        <v>Y</v>
      </c>
      <c r="AD926" s="20">
        <f t="shared" si="43"/>
        <v>1.6117740688418769</v>
      </c>
      <c r="AE926" s="25">
        <f t="shared" si="44"/>
        <v>0.21328313532654411</v>
      </c>
    </row>
    <row r="927" spans="1:31" x14ac:dyDescent="0.2">
      <c r="A927" s="1" t="s">
        <v>1153</v>
      </c>
      <c r="B927" s="1" t="s">
        <v>2393</v>
      </c>
      <c r="C927" s="1">
        <v>2721</v>
      </c>
      <c r="D927" s="1">
        <v>6</v>
      </c>
      <c r="F927" s="1">
        <v>2023</v>
      </c>
      <c r="G927" s="5">
        <v>6893</v>
      </c>
      <c r="H927" s="5">
        <v>6889.95</v>
      </c>
      <c r="I927" s="5">
        <v>4654467.9000000004</v>
      </c>
      <c r="K927" s="5">
        <v>649.76900000000001</v>
      </c>
      <c r="L927" s="5">
        <v>3.0499999999999999E-2</v>
      </c>
      <c r="M927" s="5">
        <v>2987632.4249999998</v>
      </c>
      <c r="N927" s="6">
        <v>7.5200000000000003E-2</v>
      </c>
      <c r="O927" s="5">
        <v>1151.386</v>
      </c>
      <c r="P927" s="6">
        <v>5.79E-2</v>
      </c>
      <c r="Q927" s="5">
        <v>39659382.862000003</v>
      </c>
      <c r="R927" s="1" t="s">
        <v>55</v>
      </c>
      <c r="S927" s="1" t="s">
        <v>341</v>
      </c>
      <c r="T927" s="1" t="s">
        <v>89</v>
      </c>
      <c r="U927" s="1" t="s">
        <v>241</v>
      </c>
      <c r="V927" s="1" t="s">
        <v>563</v>
      </c>
      <c r="W927" s="1" t="s">
        <v>1310</v>
      </c>
      <c r="Y927" s="1" t="s">
        <v>2351</v>
      </c>
      <c r="Z927" s="1" t="str">
        <f t="shared" si="42"/>
        <v>2721 6</v>
      </c>
      <c r="AA927" s="3">
        <f>IF(INDEX('CAMD Facility Data 2023'!$AA$2:$AE$10000,MATCH(Z927,'CAMD Facility Data 2023'!$AE$2:$AE$10000,0),1)&gt;0,INDEX('CAMD Facility Data 2023'!$AA$2:$AE$10000,MATCH(Z927,'CAMD Facility Data 2023'!$AE$2:$AE$10000,0),1),"")</f>
        <v>41070</v>
      </c>
      <c r="AB927" s="5">
        <f>IF(INDEX('CAMD Facility Data 2023'!$AC$2:$AE$10000,MATCH(Z927,'CAMD Facility Data 2023'!$AE$2:$AE$10000,0),1)&gt;0,INDEX('CAMD Facility Data 2023'!$AC$2:$AE$10000,MATCH(Z927,'CAMD Facility Data 2023'!$AE$2:$AE$10000,0),1),"")</f>
        <v>8000</v>
      </c>
      <c r="AC927" s="1" t="str">
        <f>IF(INDEX('CAMD Facility Data 2023'!$AE$2:$AG$10000,MATCH(Z927,'CAMD Facility Data 2023'!$AE$2:$AE$10000,0),3)&gt;0,INDEX('CAMD Facility Data 2023'!$AE$2:$AG$10000,MATCH(Z927,'CAMD Facility Data 2023'!$AE$2:$AE$10000,0),3),"")</f>
        <v>Y</v>
      </c>
      <c r="AD927" s="20">
        <f t="shared" si="43"/>
        <v>0.49474441536056135</v>
      </c>
      <c r="AE927" s="25">
        <f t="shared" si="44"/>
        <v>0.56591585134132427</v>
      </c>
    </row>
    <row r="928" spans="1:31" x14ac:dyDescent="0.2">
      <c r="A928" s="1" t="s">
        <v>1153</v>
      </c>
      <c r="B928" s="1" t="s">
        <v>2398</v>
      </c>
      <c r="C928" s="1">
        <v>2723</v>
      </c>
      <c r="D928" s="1" t="s">
        <v>834</v>
      </c>
      <c r="F928" s="1">
        <v>2023</v>
      </c>
      <c r="G928" s="5">
        <v>6523</v>
      </c>
      <c r="H928" s="5">
        <v>6504.95</v>
      </c>
      <c r="I928" s="5">
        <v>1915150.72</v>
      </c>
      <c r="K928" s="5">
        <v>2.782</v>
      </c>
      <c r="L928" s="5">
        <v>1E-4</v>
      </c>
      <c r="M928" s="5">
        <v>799555.81599999999</v>
      </c>
      <c r="N928" s="6">
        <v>5.8999999999999997E-2</v>
      </c>
      <c r="O928" s="5">
        <v>212.21299999999999</v>
      </c>
      <c r="P928" s="6">
        <v>3.27E-2</v>
      </c>
      <c r="Q928" s="5">
        <v>13453923.843</v>
      </c>
      <c r="R928" s="1" t="s">
        <v>284</v>
      </c>
      <c r="T928" s="1" t="s">
        <v>71</v>
      </c>
      <c r="V928" s="1" t="s">
        <v>64</v>
      </c>
      <c r="Y928" s="1" t="s">
        <v>2319</v>
      </c>
      <c r="Z928" s="1" t="str">
        <f t="shared" si="42"/>
        <v>2723 8C</v>
      </c>
      <c r="AA928" s="3">
        <f>IF(INDEX('CAMD Facility Data 2023'!$AA$2:$AE$10000,MATCH(Z928,'CAMD Facility Data 2023'!$AE$2:$AE$10000,0),1)&gt;0,INDEX('CAMD Facility Data 2023'!$AA$2:$AE$10000,MATCH(Z928,'CAMD Facility Data 2023'!$AE$2:$AE$10000,0),1),"")</f>
        <v>41114</v>
      </c>
      <c r="AB928" s="5">
        <f>IF(INDEX('CAMD Facility Data 2023'!$AC$2:$AE$10000,MATCH(Z928,'CAMD Facility Data 2023'!$AE$2:$AE$10000,0),1)&gt;0,INDEX('CAMD Facility Data 2023'!$AC$2:$AE$10000,MATCH(Z928,'CAMD Facility Data 2023'!$AE$2:$AE$10000,0),1),"")</f>
        <v>2625</v>
      </c>
      <c r="AC928" s="1" t="str">
        <f>IF(INDEX('CAMD Facility Data 2023'!$AE$2:$AG$10000,MATCH(Z928,'CAMD Facility Data 2023'!$AE$2:$AE$10000,0),3)&gt;0,INDEX('CAMD Facility Data 2023'!$AE$2:$AG$10000,MATCH(Z928,'CAMD Facility Data 2023'!$AE$2:$AE$10000,0),3),"")</f>
        <v>Y</v>
      </c>
      <c r="AD928" s="20">
        <f t="shared" si="43"/>
        <v>0.2216149337844282</v>
      </c>
      <c r="AE928" s="25">
        <f t="shared" si="44"/>
        <v>0.58508040195694722</v>
      </c>
    </row>
    <row r="929" spans="1:31" x14ac:dyDescent="0.2">
      <c r="A929" s="1" t="s">
        <v>1153</v>
      </c>
      <c r="B929" s="1" t="s">
        <v>2398</v>
      </c>
      <c r="C929" s="1">
        <v>2723</v>
      </c>
      <c r="D929" s="1" t="s">
        <v>2401</v>
      </c>
      <c r="F929" s="1">
        <v>2023</v>
      </c>
      <c r="G929" s="5">
        <v>6665</v>
      </c>
      <c r="H929" s="5">
        <v>6649.06</v>
      </c>
      <c r="I929" s="5">
        <v>1949138.74</v>
      </c>
      <c r="K929" s="5">
        <v>2.8660000000000001</v>
      </c>
      <c r="L929" s="5">
        <v>1E-4</v>
      </c>
      <c r="M929" s="5">
        <v>813068.52899999998</v>
      </c>
      <c r="N929" s="6">
        <v>5.8999999999999997E-2</v>
      </c>
      <c r="O929" s="5">
        <v>200.887</v>
      </c>
      <c r="P929" s="6">
        <v>3.0499999999999999E-2</v>
      </c>
      <c r="Q929" s="5">
        <v>13681448.289999999</v>
      </c>
      <c r="R929" s="1" t="s">
        <v>284</v>
      </c>
      <c r="T929" s="1" t="s">
        <v>71</v>
      </c>
      <c r="V929" s="1" t="s">
        <v>64</v>
      </c>
      <c r="Y929" s="1" t="s">
        <v>2319</v>
      </c>
      <c r="Z929" s="1" t="str">
        <f t="shared" si="42"/>
        <v>2723 9C</v>
      </c>
      <c r="AA929" s="3">
        <f>IF(INDEX('CAMD Facility Data 2023'!$AA$2:$AE$10000,MATCH(Z929,'CAMD Facility Data 2023'!$AE$2:$AE$10000,0),1)&gt;0,INDEX('CAMD Facility Data 2023'!$AA$2:$AE$10000,MATCH(Z929,'CAMD Facility Data 2023'!$AE$2:$AE$10000,0),1),"")</f>
        <v>41130</v>
      </c>
      <c r="AB929" s="5">
        <f>IF(INDEX('CAMD Facility Data 2023'!$AC$2:$AE$10000,MATCH(Z929,'CAMD Facility Data 2023'!$AE$2:$AE$10000,0),1)&gt;0,INDEX('CAMD Facility Data 2023'!$AC$2:$AE$10000,MATCH(Z929,'CAMD Facility Data 2023'!$AE$2:$AE$10000,0),1),"")</f>
        <v>2625</v>
      </c>
      <c r="AC929" s="1" t="str">
        <f>IF(INDEX('CAMD Facility Data 2023'!$AE$2:$AG$10000,MATCH(Z929,'CAMD Facility Data 2023'!$AE$2:$AE$10000,0),3)&gt;0,INDEX('CAMD Facility Data 2023'!$AE$2:$AG$10000,MATCH(Z929,'CAMD Facility Data 2023'!$AE$2:$AE$10000,0),3),"")</f>
        <v>Y</v>
      </c>
      <c r="AD929" s="20">
        <f t="shared" si="43"/>
        <v>0.20612899007897201</v>
      </c>
      <c r="AE929" s="25">
        <f t="shared" si="44"/>
        <v>0.5949749202000435</v>
      </c>
    </row>
    <row r="930" spans="1:31" x14ac:dyDescent="0.2">
      <c r="A930" s="1" t="s">
        <v>1153</v>
      </c>
      <c r="B930" s="1" t="s">
        <v>2403</v>
      </c>
      <c r="C930" s="1">
        <v>2727</v>
      </c>
      <c r="D930" s="1">
        <v>1</v>
      </c>
      <c r="E930" s="1" t="s">
        <v>1963</v>
      </c>
      <c r="F930" s="1">
        <v>2023</v>
      </c>
      <c r="G930" s="5">
        <v>3744</v>
      </c>
      <c r="H930" s="5">
        <v>3735.78</v>
      </c>
      <c r="I930" s="5">
        <v>858678.48</v>
      </c>
      <c r="K930" s="5">
        <v>321.28199999999998</v>
      </c>
      <c r="L930" s="5">
        <v>6.4199999999999993E-2</v>
      </c>
      <c r="M930" s="5">
        <v>697677.07299999997</v>
      </c>
      <c r="N930" s="6">
        <v>7.9899999999999999E-2</v>
      </c>
      <c r="O930" s="5">
        <v>761.50400000000002</v>
      </c>
      <c r="P930" s="6">
        <v>0.16880000000000001</v>
      </c>
      <c r="Q930" s="5">
        <v>8330808.1449999996</v>
      </c>
      <c r="R930" s="1" t="s">
        <v>55</v>
      </c>
      <c r="S930" s="1" t="s">
        <v>341</v>
      </c>
      <c r="T930" s="1" t="s">
        <v>43</v>
      </c>
      <c r="U930" s="1" t="s">
        <v>241</v>
      </c>
      <c r="V930" s="1" t="s">
        <v>2383</v>
      </c>
      <c r="W930" s="1" t="s">
        <v>331</v>
      </c>
      <c r="Y930" s="1" t="s">
        <v>2351</v>
      </c>
      <c r="Z930" s="1" t="str">
        <f t="shared" si="42"/>
        <v>2727 1</v>
      </c>
      <c r="AA930" s="3">
        <f>IF(INDEX('CAMD Facility Data 2023'!$AA$2:$AE$10000,MATCH(Z930,'CAMD Facility Data 2023'!$AE$2:$AE$10000,0),1)&gt;0,INDEX('CAMD Facility Data 2023'!$AA$2:$AE$10000,MATCH(Z930,'CAMD Facility Data 2023'!$AE$2:$AE$10000,0),1),"")</f>
        <v>23822</v>
      </c>
      <c r="AB930" s="5">
        <f>IF(INDEX('CAMD Facility Data 2023'!$AC$2:$AE$10000,MATCH(Z930,'CAMD Facility Data 2023'!$AE$2:$AE$10000,0),1)&gt;0,INDEX('CAMD Facility Data 2023'!$AC$2:$AE$10000,MATCH(Z930,'CAMD Facility Data 2023'!$AE$2:$AE$10000,0),1),"")</f>
        <v>4756</v>
      </c>
      <c r="AC930" s="1" t="str">
        <f>IF(INDEX('CAMD Facility Data 2023'!$AE$2:$AG$10000,MATCH(Z930,'CAMD Facility Data 2023'!$AE$2:$AE$10000,0),3)&gt;0,INDEX('CAMD Facility Data 2023'!$AE$2:$AG$10000,MATCH(Z930,'CAMD Facility Data 2023'!$AE$2:$AE$10000,0),3),"")</f>
        <v>Y</v>
      </c>
      <c r="AD930" s="20">
        <f t="shared" si="43"/>
        <v>1.7736650393288067</v>
      </c>
      <c r="AE930" s="25">
        <f t="shared" si="44"/>
        <v>0.19995910344923595</v>
      </c>
    </row>
    <row r="931" spans="1:31" x14ac:dyDescent="0.2">
      <c r="A931" s="1" t="s">
        <v>1153</v>
      </c>
      <c r="B931" s="1" t="s">
        <v>2403</v>
      </c>
      <c r="C931" s="1">
        <v>2727</v>
      </c>
      <c r="D931" s="1">
        <v>2</v>
      </c>
      <c r="E931" s="1" t="s">
        <v>1963</v>
      </c>
      <c r="F931" s="1">
        <v>2023</v>
      </c>
      <c r="G931" s="5">
        <v>3623</v>
      </c>
      <c r="H931" s="5">
        <v>3612.78</v>
      </c>
      <c r="I931" s="5">
        <v>877076.77</v>
      </c>
      <c r="K931" s="5">
        <v>398.50900000000001</v>
      </c>
      <c r="L931" s="5">
        <v>7.8200000000000006E-2</v>
      </c>
      <c r="M931" s="5">
        <v>728244.93500000006</v>
      </c>
      <c r="N931" s="6">
        <v>8.4199999999999997E-2</v>
      </c>
      <c r="O931" s="5">
        <v>829.53300000000002</v>
      </c>
      <c r="P931" s="6">
        <v>0.18410000000000001</v>
      </c>
      <c r="Q931" s="5">
        <v>8333576.3130000001</v>
      </c>
      <c r="R931" s="1" t="s">
        <v>55</v>
      </c>
      <c r="S931" s="1" t="s">
        <v>341</v>
      </c>
      <c r="T931" s="1" t="s">
        <v>43</v>
      </c>
      <c r="U931" s="1" t="s">
        <v>241</v>
      </c>
      <c r="V931" s="1" t="s">
        <v>2383</v>
      </c>
      <c r="W931" s="1" t="s">
        <v>331</v>
      </c>
      <c r="Y931" s="1" t="s">
        <v>2351</v>
      </c>
      <c r="Z931" s="1" t="str">
        <f t="shared" si="42"/>
        <v>2727 2</v>
      </c>
      <c r="AA931" s="3">
        <f>IF(INDEX('CAMD Facility Data 2023'!$AA$2:$AE$10000,MATCH(Z931,'CAMD Facility Data 2023'!$AE$2:$AE$10000,0),1)&gt;0,INDEX('CAMD Facility Data 2023'!$AA$2:$AE$10000,MATCH(Z931,'CAMD Facility Data 2023'!$AE$2:$AE$10000,0),1),"")</f>
        <v>24214</v>
      </c>
      <c r="AB931" s="5">
        <f>IF(INDEX('CAMD Facility Data 2023'!$AC$2:$AE$10000,MATCH(Z931,'CAMD Facility Data 2023'!$AE$2:$AE$10000,0),1)&gt;0,INDEX('CAMD Facility Data 2023'!$AC$2:$AE$10000,MATCH(Z931,'CAMD Facility Data 2023'!$AE$2:$AE$10000,0),1),"")</f>
        <v>4542</v>
      </c>
      <c r="AC931" s="1" t="str">
        <f>IF(INDEX('CAMD Facility Data 2023'!$AE$2:$AG$10000,MATCH(Z931,'CAMD Facility Data 2023'!$AE$2:$AE$10000,0),3)&gt;0,INDEX('CAMD Facility Data 2023'!$AE$2:$AG$10000,MATCH(Z931,'CAMD Facility Data 2023'!$AE$2:$AE$10000,0),3),"")</f>
        <v>Y</v>
      </c>
      <c r="AD931" s="20">
        <f t="shared" si="43"/>
        <v>1.8915858414537645</v>
      </c>
      <c r="AE931" s="25">
        <f t="shared" si="44"/>
        <v>0.20944991125447121</v>
      </c>
    </row>
    <row r="932" spans="1:31" x14ac:dyDescent="0.2">
      <c r="A932" s="1" t="s">
        <v>1153</v>
      </c>
      <c r="B932" s="1" t="s">
        <v>2403</v>
      </c>
      <c r="C932" s="1">
        <v>2727</v>
      </c>
      <c r="D932" s="1">
        <v>3</v>
      </c>
      <c r="F932" s="1">
        <v>2023</v>
      </c>
      <c r="G932" s="5">
        <v>5915</v>
      </c>
      <c r="H932" s="5">
        <v>5899.38</v>
      </c>
      <c r="I932" s="5">
        <v>2459782.5299999998</v>
      </c>
      <c r="K932" s="5">
        <v>301.62799999999999</v>
      </c>
      <c r="L932" s="5">
        <v>2.8799999999999999E-2</v>
      </c>
      <c r="M932" s="5">
        <v>1829307.976</v>
      </c>
      <c r="N932" s="6">
        <v>7.5200000000000003E-2</v>
      </c>
      <c r="O932" s="5">
        <v>1586.569</v>
      </c>
      <c r="P932" s="6">
        <v>0.13020000000000001</v>
      </c>
      <c r="Q932" s="5">
        <v>23318225.147999998</v>
      </c>
      <c r="R932" s="1" t="s">
        <v>55</v>
      </c>
      <c r="S932" s="1" t="s">
        <v>2408</v>
      </c>
      <c r="T932" s="1" t="s">
        <v>43</v>
      </c>
      <c r="U932" s="1" t="s">
        <v>241</v>
      </c>
      <c r="V932" s="1" t="s">
        <v>301</v>
      </c>
      <c r="W932" s="1" t="s">
        <v>331</v>
      </c>
      <c r="Y932" s="1" t="s">
        <v>2351</v>
      </c>
      <c r="Z932" s="1" t="str">
        <f t="shared" si="42"/>
        <v>2727 3</v>
      </c>
      <c r="AA932" s="3">
        <f>IF(INDEX('CAMD Facility Data 2023'!$AA$2:$AE$10000,MATCH(Z932,'CAMD Facility Data 2023'!$AE$2:$AE$10000,0),1)&gt;0,INDEX('CAMD Facility Data 2023'!$AA$2:$AE$10000,MATCH(Z932,'CAMD Facility Data 2023'!$AE$2:$AE$10000,0),1),"")</f>
        <v>25338</v>
      </c>
      <c r="AB932" s="5">
        <f>IF(INDEX('CAMD Facility Data 2023'!$AC$2:$AE$10000,MATCH(Z932,'CAMD Facility Data 2023'!$AE$2:$AE$10000,0),1)&gt;0,INDEX('CAMD Facility Data 2023'!$AC$2:$AE$10000,MATCH(Z932,'CAMD Facility Data 2023'!$AE$2:$AE$10000,0),1),"")</f>
        <v>7506</v>
      </c>
      <c r="AC932" s="1" t="str">
        <f>IF(INDEX('CAMD Facility Data 2023'!$AE$2:$AG$10000,MATCH(Z932,'CAMD Facility Data 2023'!$AE$2:$AE$10000,0),3)&gt;0,INDEX('CAMD Facility Data 2023'!$AE$2:$AG$10000,MATCH(Z932,'CAMD Facility Data 2023'!$AE$2:$AE$10000,0),3),"")</f>
        <v>Y</v>
      </c>
      <c r="AD932" s="20">
        <f t="shared" si="43"/>
        <v>1.2900075357474794</v>
      </c>
      <c r="AE932" s="25">
        <f t="shared" si="44"/>
        <v>0.35463600425595593</v>
      </c>
    </row>
    <row r="933" spans="1:31" x14ac:dyDescent="0.2">
      <c r="A933" s="1" t="s">
        <v>1153</v>
      </c>
      <c r="B933" s="1" t="s">
        <v>2403</v>
      </c>
      <c r="C933" s="1">
        <v>2727</v>
      </c>
      <c r="D933" s="1">
        <v>4</v>
      </c>
      <c r="F933" s="1">
        <v>2023</v>
      </c>
      <c r="G933" s="5">
        <v>7218</v>
      </c>
      <c r="H933" s="5">
        <v>7211.65</v>
      </c>
      <c r="I933" s="5">
        <v>3201676.64</v>
      </c>
      <c r="K933" s="5">
        <v>400.54399999999998</v>
      </c>
      <c r="L933" s="5">
        <v>2.24E-2</v>
      </c>
      <c r="M933" s="5">
        <v>2392002.486</v>
      </c>
      <c r="N933" s="6">
        <v>7.7100000000000002E-2</v>
      </c>
      <c r="O933" s="5">
        <v>3084.0169999999998</v>
      </c>
      <c r="P933" s="6">
        <v>0.20019999999999999</v>
      </c>
      <c r="Q933" s="5">
        <v>30008613.605</v>
      </c>
      <c r="R933" s="1" t="s">
        <v>55</v>
      </c>
      <c r="S933" s="1" t="s">
        <v>341</v>
      </c>
      <c r="T933" s="1" t="s">
        <v>43</v>
      </c>
      <c r="U933" s="1" t="s">
        <v>241</v>
      </c>
      <c r="V933" s="1" t="s">
        <v>2383</v>
      </c>
      <c r="W933" s="1" t="s">
        <v>331</v>
      </c>
      <c r="Y933" s="1" t="s">
        <v>2351</v>
      </c>
      <c r="Z933" s="1" t="str">
        <f t="shared" si="42"/>
        <v>2727 4</v>
      </c>
      <c r="AA933" s="3">
        <f>IF(INDEX('CAMD Facility Data 2023'!$AA$2:$AE$10000,MATCH(Z933,'CAMD Facility Data 2023'!$AE$2:$AE$10000,0),1)&gt;0,INDEX('CAMD Facility Data 2023'!$AA$2:$AE$10000,MATCH(Z933,'CAMD Facility Data 2023'!$AE$2:$AE$10000,0),1),"")</f>
        <v>25689</v>
      </c>
      <c r="AB933" s="5">
        <f>IF(INDEX('CAMD Facility Data 2023'!$AC$2:$AE$10000,MATCH(Z933,'CAMD Facility Data 2023'!$AE$2:$AE$10000,0),1)&gt;0,INDEX('CAMD Facility Data 2023'!$AC$2:$AE$10000,MATCH(Z933,'CAMD Facility Data 2023'!$AE$2:$AE$10000,0),1),"")</f>
        <v>7486</v>
      </c>
      <c r="AC933" s="1" t="str">
        <f>IF(INDEX('CAMD Facility Data 2023'!$AE$2:$AG$10000,MATCH(Z933,'CAMD Facility Data 2023'!$AE$2:$AE$10000,0),3)&gt;0,INDEX('CAMD Facility Data 2023'!$AE$2:$AG$10000,MATCH(Z933,'CAMD Facility Data 2023'!$AE$2:$AE$10000,0),3),"")</f>
        <v>Y</v>
      </c>
      <c r="AD933" s="20">
        <f t="shared" si="43"/>
        <v>1.9265012346780903</v>
      </c>
      <c r="AE933" s="25">
        <f t="shared" si="44"/>
        <v>0.45760630810694425</v>
      </c>
    </row>
    <row r="934" spans="1:31" x14ac:dyDescent="0.2">
      <c r="A934" s="1" t="s">
        <v>2411</v>
      </c>
      <c r="B934" s="1" t="s">
        <v>2412</v>
      </c>
      <c r="C934" s="1">
        <v>2790</v>
      </c>
      <c r="D934" s="1" t="s">
        <v>107</v>
      </c>
      <c r="F934" s="1">
        <v>2023</v>
      </c>
      <c r="G934" s="5">
        <v>590</v>
      </c>
      <c r="H934" s="5">
        <v>534.71</v>
      </c>
      <c r="I934" s="5">
        <v>29532.16</v>
      </c>
      <c r="K934" s="5">
        <v>0.11899999999999999</v>
      </c>
      <c r="L934" s="5">
        <v>1E-3</v>
      </c>
      <c r="M934" s="5">
        <v>23608.183000000001</v>
      </c>
      <c r="N934" s="6">
        <v>5.9200000000000003E-2</v>
      </c>
      <c r="O934" s="5">
        <v>9.4239999999999995</v>
      </c>
      <c r="P934" s="6">
        <v>6.7299999999999999E-2</v>
      </c>
      <c r="Q934" s="5">
        <v>397238.13099999999</v>
      </c>
      <c r="R934" s="1" t="s">
        <v>44</v>
      </c>
      <c r="T934" s="1" t="s">
        <v>93</v>
      </c>
      <c r="V934" s="1" t="s">
        <v>140</v>
      </c>
      <c r="Y934" s="1" t="s">
        <v>247</v>
      </c>
      <c r="Z934" s="1" t="str">
        <f t="shared" si="42"/>
        <v>2790 CT6</v>
      </c>
      <c r="AA934" s="3">
        <f>IF(INDEX('CAMD Facility Data 2023'!$AA$2:$AE$10000,MATCH(Z934,'CAMD Facility Data 2023'!$AE$2:$AE$10000,0),1)&gt;0,INDEX('CAMD Facility Data 2023'!$AA$2:$AE$10000,MATCH(Z934,'CAMD Facility Data 2023'!$AE$2:$AE$10000,0),1),"")</f>
        <v>41806</v>
      </c>
      <c r="AB934" s="5">
        <f>IF(INDEX('CAMD Facility Data 2023'!$AC$2:$AE$10000,MATCH(Z934,'CAMD Facility Data 2023'!$AE$2:$AE$10000,0),1)&gt;0,INDEX('CAMD Facility Data 2023'!$AC$2:$AE$10000,MATCH(Z934,'CAMD Facility Data 2023'!$AE$2:$AE$10000,0),1),"")</f>
        <v>1200</v>
      </c>
      <c r="AC934" s="1" t="str">
        <f>IF(INDEX('CAMD Facility Data 2023'!$AE$2:$AG$10000,MATCH(Z934,'CAMD Facility Data 2023'!$AE$2:$AE$10000,0),3)&gt;0,INDEX('CAMD Facility Data 2023'!$AE$2:$AG$10000,MATCH(Z934,'CAMD Facility Data 2023'!$AE$2:$AE$10000,0),3),"")</f>
        <v/>
      </c>
      <c r="AD934" s="20">
        <f t="shared" si="43"/>
        <v>0.63821948682385576</v>
      </c>
      <c r="AE934" s="25">
        <f t="shared" si="44"/>
        <v>3.7789015506088278E-2</v>
      </c>
    </row>
    <row r="935" spans="1:31" x14ac:dyDescent="0.2">
      <c r="A935" s="1" t="s">
        <v>2411</v>
      </c>
      <c r="B935" s="1" t="s">
        <v>2416</v>
      </c>
      <c r="C935" s="1">
        <v>2817</v>
      </c>
      <c r="D935" s="1">
        <v>1</v>
      </c>
      <c r="F935" s="1">
        <v>2023</v>
      </c>
      <c r="G935" s="5">
        <v>5564</v>
      </c>
      <c r="H935" s="5">
        <v>5554.57</v>
      </c>
      <c r="I935" s="5">
        <v>1041686.65</v>
      </c>
      <c r="K935" s="5">
        <v>465.76</v>
      </c>
      <c r="L935" s="5">
        <v>8.3099999999999993E-2</v>
      </c>
      <c r="M935" s="5">
        <v>1141022.4750000001</v>
      </c>
      <c r="N935" s="6">
        <v>0.1089</v>
      </c>
      <c r="O935" s="5">
        <v>770.53800000000001</v>
      </c>
      <c r="P935" s="6">
        <v>0.14460000000000001</v>
      </c>
      <c r="Q935" s="5">
        <v>10480621.402000001</v>
      </c>
      <c r="R935" s="1" t="s">
        <v>55</v>
      </c>
      <c r="T935" s="1" t="s">
        <v>89</v>
      </c>
      <c r="U935" s="1" t="s">
        <v>241</v>
      </c>
      <c r="V935" s="1" t="s">
        <v>2419</v>
      </c>
      <c r="W935" s="1" t="s">
        <v>58</v>
      </c>
      <c r="X935" s="1" t="s">
        <v>1109</v>
      </c>
      <c r="Y935" s="1" t="s">
        <v>236</v>
      </c>
      <c r="Z935" s="1" t="str">
        <f t="shared" si="42"/>
        <v>2817 1</v>
      </c>
      <c r="AA935" s="3">
        <f>IF(INDEX('CAMD Facility Data 2023'!$AA$2:$AE$10000,MATCH(Z935,'CAMD Facility Data 2023'!$AE$2:$AE$10000,0),1)&gt;0,INDEX('CAMD Facility Data 2023'!$AA$2:$AE$10000,MATCH(Z935,'CAMD Facility Data 2023'!$AE$2:$AE$10000,0),1),"")</f>
        <v>24137</v>
      </c>
      <c r="AB935" s="5">
        <f>IF(INDEX('CAMD Facility Data 2023'!$AC$2:$AE$10000,MATCH(Z935,'CAMD Facility Data 2023'!$AE$2:$AE$10000,0),1)&gt;0,INDEX('CAMD Facility Data 2023'!$AC$2:$AE$10000,MATCH(Z935,'CAMD Facility Data 2023'!$AE$2:$AE$10000,0),1),"")</f>
        <v>3084</v>
      </c>
      <c r="AC935" s="1" t="str">
        <f>IF(INDEX('CAMD Facility Data 2023'!$AE$2:$AG$10000,MATCH(Z935,'CAMD Facility Data 2023'!$AE$2:$AE$10000,0),3)&gt;0,INDEX('CAMD Facility Data 2023'!$AE$2:$AG$10000,MATCH(Z935,'CAMD Facility Data 2023'!$AE$2:$AE$10000,0),3),"")</f>
        <v>Y</v>
      </c>
      <c r="AD935" s="20">
        <f t="shared" si="43"/>
        <v>1.4794045791025545</v>
      </c>
      <c r="AE935" s="25">
        <f t="shared" si="44"/>
        <v>0.38794356947627767</v>
      </c>
    </row>
    <row r="936" spans="1:31" x14ac:dyDescent="0.2">
      <c r="A936" s="1" t="s">
        <v>2411</v>
      </c>
      <c r="B936" s="1" t="s">
        <v>2416</v>
      </c>
      <c r="C936" s="1">
        <v>2817</v>
      </c>
      <c r="D936" s="1">
        <v>2</v>
      </c>
      <c r="F936" s="1">
        <v>2023</v>
      </c>
      <c r="G936" s="5">
        <v>7505</v>
      </c>
      <c r="H936" s="5">
        <v>7488.36</v>
      </c>
      <c r="I936" s="5">
        <v>2624873.77</v>
      </c>
      <c r="K936" s="5">
        <v>1404.6579999999999</v>
      </c>
      <c r="L936" s="5">
        <v>9.5000000000000001E-2</v>
      </c>
      <c r="M936" s="5">
        <v>3000603.2349999999</v>
      </c>
      <c r="N936" s="6">
        <v>0.1085</v>
      </c>
      <c r="O936" s="5">
        <v>4263.5860000000002</v>
      </c>
      <c r="P936" s="6">
        <v>0.30499999999999999</v>
      </c>
      <c r="Q936" s="5">
        <v>27561365.756999999</v>
      </c>
      <c r="R936" s="1" t="s">
        <v>55</v>
      </c>
      <c r="T936" s="1" t="s">
        <v>606</v>
      </c>
      <c r="U936" s="1" t="s">
        <v>241</v>
      </c>
      <c r="V936" s="1" t="s">
        <v>604</v>
      </c>
      <c r="W936" s="1" t="s">
        <v>58</v>
      </c>
      <c r="X936" s="1" t="s">
        <v>1109</v>
      </c>
      <c r="Y936" s="1" t="s">
        <v>236</v>
      </c>
      <c r="Z936" s="1" t="str">
        <f t="shared" si="42"/>
        <v>2817 2</v>
      </c>
      <c r="AA936" s="3">
        <f>IF(INDEX('CAMD Facility Data 2023'!$AA$2:$AE$10000,MATCH(Z936,'CAMD Facility Data 2023'!$AE$2:$AE$10000,0),1)&gt;0,INDEX('CAMD Facility Data 2023'!$AA$2:$AE$10000,MATCH(Z936,'CAMD Facility Data 2023'!$AE$2:$AE$10000,0),1),"")</f>
        <v>27743</v>
      </c>
      <c r="AB936" s="5">
        <f>IF(INDEX('CAMD Facility Data 2023'!$AC$2:$AE$10000,MATCH(Z936,'CAMD Facility Data 2023'!$AE$2:$AE$10000,0),1)&gt;0,INDEX('CAMD Facility Data 2023'!$AC$2:$AE$10000,MATCH(Z936,'CAMD Facility Data 2023'!$AE$2:$AE$10000,0),1),"")</f>
        <v>5531</v>
      </c>
      <c r="AC936" s="1" t="str">
        <f>IF(INDEX('CAMD Facility Data 2023'!$AE$2:$AG$10000,MATCH(Z936,'CAMD Facility Data 2023'!$AE$2:$AE$10000,0),3)&gt;0,INDEX('CAMD Facility Data 2023'!$AE$2:$AG$10000,MATCH(Z936,'CAMD Facility Data 2023'!$AE$2:$AE$10000,0),3),"")</f>
        <v>Y</v>
      </c>
      <c r="AD936" s="20">
        <f t="shared" si="43"/>
        <v>3.2486026937592509</v>
      </c>
      <c r="AE936" s="25">
        <f t="shared" si="44"/>
        <v>0.56884372261698068</v>
      </c>
    </row>
    <row r="937" spans="1:31" x14ac:dyDescent="0.2">
      <c r="A937" s="1" t="s">
        <v>2411</v>
      </c>
      <c r="B937" s="1" t="s">
        <v>2422</v>
      </c>
      <c r="C937" s="1">
        <v>2823</v>
      </c>
      <c r="D937" s="1" t="s">
        <v>866</v>
      </c>
      <c r="F937" s="1">
        <v>2023</v>
      </c>
      <c r="G937" s="5">
        <v>8282</v>
      </c>
      <c r="H937" s="5">
        <v>8269.76</v>
      </c>
      <c r="I937" s="5">
        <v>1971884.69</v>
      </c>
      <c r="K937" s="5">
        <v>194.386</v>
      </c>
      <c r="L937" s="5">
        <v>0.02</v>
      </c>
      <c r="M937" s="5">
        <v>2101594.0950000002</v>
      </c>
      <c r="N937" s="6">
        <v>0.109</v>
      </c>
      <c r="O937" s="5">
        <v>3215.3040000000001</v>
      </c>
      <c r="P937" s="6">
        <v>0.33069999999999999</v>
      </c>
      <c r="Q937" s="5">
        <v>19303690.197000001</v>
      </c>
      <c r="R937" s="1" t="s">
        <v>55</v>
      </c>
      <c r="T937" s="1" t="s">
        <v>606</v>
      </c>
      <c r="U937" s="1" t="s">
        <v>1077</v>
      </c>
      <c r="V937" s="1" t="s">
        <v>604</v>
      </c>
      <c r="W937" s="1" t="s">
        <v>58</v>
      </c>
      <c r="Y937" s="1" t="s">
        <v>236</v>
      </c>
      <c r="Z937" s="1" t="str">
        <f t="shared" si="42"/>
        <v>2823 B1</v>
      </c>
      <c r="AA937" s="3">
        <f>IF(INDEX('CAMD Facility Data 2023'!$AA$2:$AE$10000,MATCH(Z937,'CAMD Facility Data 2023'!$AE$2:$AE$10000,0),1)&gt;0,INDEX('CAMD Facility Data 2023'!$AA$2:$AE$10000,MATCH(Z937,'CAMD Facility Data 2023'!$AE$2:$AE$10000,0),1),"")</f>
        <v>25890</v>
      </c>
      <c r="AB937" s="5">
        <f>IF(INDEX('CAMD Facility Data 2023'!$AC$2:$AE$10000,MATCH(Z937,'CAMD Facility Data 2023'!$AE$2:$AE$10000,0),1)&gt;0,INDEX('CAMD Facility Data 2023'!$AC$2:$AE$10000,MATCH(Z937,'CAMD Facility Data 2023'!$AE$2:$AE$10000,0),1),"")</f>
        <v>3339</v>
      </c>
      <c r="AC937" s="1" t="str">
        <f>IF(INDEX('CAMD Facility Data 2023'!$AE$2:$AG$10000,MATCH(Z937,'CAMD Facility Data 2023'!$AE$2:$AE$10000,0),3)&gt;0,INDEX('CAMD Facility Data 2023'!$AE$2:$AG$10000,MATCH(Z937,'CAMD Facility Data 2023'!$AE$2:$AE$10000,0),3),"")</f>
        <v>Y</v>
      </c>
      <c r="AD937" s="20">
        <f t="shared" si="43"/>
        <v>3.2611480948208995</v>
      </c>
      <c r="AE937" s="25">
        <f t="shared" si="44"/>
        <v>0.65996334303601689</v>
      </c>
    </row>
    <row r="938" spans="1:31" x14ac:dyDescent="0.2">
      <c r="A938" s="1" t="s">
        <v>2411</v>
      </c>
      <c r="B938" s="1" t="s">
        <v>2422</v>
      </c>
      <c r="C938" s="1">
        <v>2823</v>
      </c>
      <c r="D938" s="1" t="s">
        <v>871</v>
      </c>
      <c r="F938" s="1">
        <v>2023</v>
      </c>
      <c r="G938" s="5">
        <v>7333</v>
      </c>
      <c r="H938" s="5">
        <v>7322.28</v>
      </c>
      <c r="I938" s="5">
        <v>3021502.68</v>
      </c>
      <c r="K938" s="5">
        <v>1802.1320000000001</v>
      </c>
      <c r="L938" s="5">
        <v>0.11550000000000001</v>
      </c>
      <c r="M938" s="5">
        <v>3360776.0809999998</v>
      </c>
      <c r="N938" s="6">
        <v>0.109</v>
      </c>
      <c r="O938" s="5">
        <v>5037.8090000000002</v>
      </c>
      <c r="P938" s="6">
        <v>0.32740000000000002</v>
      </c>
      <c r="Q938" s="5">
        <v>30869636.993999999</v>
      </c>
      <c r="R938" s="1" t="s">
        <v>55</v>
      </c>
      <c r="T938" s="1" t="s">
        <v>606</v>
      </c>
      <c r="U938" s="1" t="s">
        <v>2428</v>
      </c>
      <c r="V938" s="1" t="s">
        <v>604</v>
      </c>
      <c r="W938" s="1" t="s">
        <v>58</v>
      </c>
      <c r="Y938" s="1" t="s">
        <v>236</v>
      </c>
      <c r="Z938" s="1" t="str">
        <f t="shared" si="42"/>
        <v>2823 B2</v>
      </c>
      <c r="AA938" s="3">
        <f>IF(INDEX('CAMD Facility Data 2023'!$AA$2:$AE$10000,MATCH(Z938,'CAMD Facility Data 2023'!$AE$2:$AE$10000,0),1)&gt;0,INDEX('CAMD Facility Data 2023'!$AA$2:$AE$10000,MATCH(Z938,'CAMD Facility Data 2023'!$AE$2:$AE$10000,0),1),"")</f>
        <v>28256</v>
      </c>
      <c r="AB938" s="5">
        <f>IF(INDEX('CAMD Facility Data 2023'!$AC$2:$AE$10000,MATCH(Z938,'CAMD Facility Data 2023'!$AE$2:$AE$10000,0),1)&gt;0,INDEX('CAMD Facility Data 2023'!$AC$2:$AE$10000,MATCH(Z938,'CAMD Facility Data 2023'!$AE$2:$AE$10000,0),1),"")</f>
        <v>6584</v>
      </c>
      <c r="AC938" s="1" t="str">
        <f>IF(INDEX('CAMD Facility Data 2023'!$AE$2:$AG$10000,MATCH(Z938,'CAMD Facility Data 2023'!$AE$2:$AE$10000,0),3)&gt;0,INDEX('CAMD Facility Data 2023'!$AE$2:$AG$10000,MATCH(Z938,'CAMD Facility Data 2023'!$AE$2:$AE$10000,0),3),"")</f>
        <v>Y</v>
      </c>
      <c r="AD938" s="20">
        <f t="shared" si="43"/>
        <v>3.3346381145688739</v>
      </c>
      <c r="AE938" s="25">
        <f t="shared" si="44"/>
        <v>0.53522648294329134</v>
      </c>
    </row>
    <row r="939" spans="1:31" x14ac:dyDescent="0.2">
      <c r="A939" s="1" t="s">
        <v>2430</v>
      </c>
      <c r="B939" s="1" t="s">
        <v>2431</v>
      </c>
      <c r="C939" s="1">
        <v>2828</v>
      </c>
      <c r="D939" s="1">
        <v>1</v>
      </c>
      <c r="F939" s="1">
        <v>2023</v>
      </c>
      <c r="G939" s="5">
        <v>6606</v>
      </c>
      <c r="H939" s="5">
        <v>6592.12</v>
      </c>
      <c r="I939" s="5">
        <v>3172343.26</v>
      </c>
      <c r="K939" s="5">
        <v>3039.5540000000001</v>
      </c>
      <c r="L939" s="5">
        <v>0.20130000000000001</v>
      </c>
      <c r="M939" s="5">
        <v>3045767.6030000001</v>
      </c>
      <c r="N939" s="6">
        <v>0.10299999999999999</v>
      </c>
      <c r="O939" s="5">
        <v>962.38099999999997</v>
      </c>
      <c r="P939" s="6">
        <v>6.6500000000000004E-2</v>
      </c>
      <c r="Q939" s="5">
        <v>29685856.682999998</v>
      </c>
      <c r="R939" s="1" t="s">
        <v>55</v>
      </c>
      <c r="T939" s="1" t="s">
        <v>86</v>
      </c>
      <c r="U939" s="1" t="s">
        <v>56</v>
      </c>
      <c r="V939" s="1" t="s">
        <v>1633</v>
      </c>
      <c r="W939" s="1" t="s">
        <v>58</v>
      </c>
      <c r="Y939" s="1" t="s">
        <v>1005</v>
      </c>
      <c r="Z939" s="1" t="str">
        <f t="shared" si="42"/>
        <v>2828 1</v>
      </c>
      <c r="AA939" s="3">
        <f>IF(INDEX('CAMD Facility Data 2023'!$AA$2:$AE$10000,MATCH(Z939,'CAMD Facility Data 2023'!$AE$2:$AE$10000,0),1)&gt;0,INDEX('CAMD Facility Data 2023'!$AA$2:$AE$10000,MATCH(Z939,'CAMD Facility Data 2023'!$AE$2:$AE$10000,0),1),"")</f>
        <v>24504</v>
      </c>
      <c r="AB939" s="5">
        <f>IF(INDEX('CAMD Facility Data 2023'!$AC$2:$AE$10000,MATCH(Z939,'CAMD Facility Data 2023'!$AE$2:$AE$10000,0),1)&gt;0,INDEX('CAMD Facility Data 2023'!$AC$2:$AE$10000,MATCH(Z939,'CAMD Facility Data 2023'!$AE$2:$AE$10000,0),1),"")</f>
        <v>6625</v>
      </c>
      <c r="AC939" s="1" t="str">
        <f>IF(INDEX('CAMD Facility Data 2023'!$AE$2:$AG$10000,MATCH(Z939,'CAMD Facility Data 2023'!$AE$2:$AE$10000,0),3)&gt;0,INDEX('CAMD Facility Data 2023'!$AE$2:$AG$10000,MATCH(Z939,'CAMD Facility Data 2023'!$AE$2:$AE$10000,0),3),"")</f>
        <v>Y</v>
      </c>
      <c r="AD939" s="20">
        <f t="shared" si="43"/>
        <v>0.60673194615137582</v>
      </c>
      <c r="AE939" s="25">
        <f t="shared" si="44"/>
        <v>0.51151644150943398</v>
      </c>
    </row>
    <row r="940" spans="1:31" x14ac:dyDescent="0.2">
      <c r="A940" s="1" t="s">
        <v>2430</v>
      </c>
      <c r="B940" s="1" t="s">
        <v>2431</v>
      </c>
      <c r="C940" s="1">
        <v>2828</v>
      </c>
      <c r="D940" s="1">
        <v>2</v>
      </c>
      <c r="F940" s="1">
        <v>2023</v>
      </c>
      <c r="G940" s="5">
        <v>7594</v>
      </c>
      <c r="H940" s="5">
        <v>7585.35</v>
      </c>
      <c r="I940" s="5">
        <v>3908956.62</v>
      </c>
      <c r="K940" s="5">
        <v>4654.3140000000003</v>
      </c>
      <c r="L940" s="5">
        <v>0.26800000000000002</v>
      </c>
      <c r="M940" s="5">
        <v>3734830.71</v>
      </c>
      <c r="N940" s="6">
        <v>0.10299999999999999</v>
      </c>
      <c r="O940" s="5">
        <v>1297.806</v>
      </c>
      <c r="P940" s="6">
        <v>7.1400000000000005E-2</v>
      </c>
      <c r="Q940" s="5">
        <v>36401896.545999996</v>
      </c>
      <c r="R940" s="1" t="s">
        <v>55</v>
      </c>
      <c r="T940" s="1" t="s">
        <v>86</v>
      </c>
      <c r="U940" s="1" t="s">
        <v>56</v>
      </c>
      <c r="V940" s="1" t="s">
        <v>1633</v>
      </c>
      <c r="W940" s="1" t="s">
        <v>58</v>
      </c>
      <c r="Y940" s="1" t="s">
        <v>1005</v>
      </c>
      <c r="Z940" s="1" t="str">
        <f t="shared" si="42"/>
        <v>2828 2</v>
      </c>
      <c r="AA940" s="3">
        <f>IF(INDEX('CAMD Facility Data 2023'!$AA$2:$AE$10000,MATCH(Z940,'CAMD Facility Data 2023'!$AE$2:$AE$10000,0),1)&gt;0,INDEX('CAMD Facility Data 2023'!$AA$2:$AE$10000,MATCH(Z940,'CAMD Facility Data 2023'!$AE$2:$AE$10000,0),1),"")</f>
        <v>24654</v>
      </c>
      <c r="AB940" s="5">
        <f>IF(INDEX('CAMD Facility Data 2023'!$AC$2:$AE$10000,MATCH(Z940,'CAMD Facility Data 2023'!$AE$2:$AE$10000,0),1)&gt;0,INDEX('CAMD Facility Data 2023'!$AC$2:$AE$10000,MATCH(Z940,'CAMD Facility Data 2023'!$AE$2:$AE$10000,0),1),"")</f>
        <v>6500</v>
      </c>
      <c r="AC940" s="1" t="str">
        <f>IF(INDEX('CAMD Facility Data 2023'!$AE$2:$AG$10000,MATCH(Z940,'CAMD Facility Data 2023'!$AE$2:$AE$10000,0),3)&gt;0,INDEX('CAMD Facility Data 2023'!$AE$2:$AG$10000,MATCH(Z940,'CAMD Facility Data 2023'!$AE$2:$AE$10000,0),3),"")</f>
        <v>Y</v>
      </c>
      <c r="AD940" s="20">
        <f t="shared" si="43"/>
        <v>0.66401657841882111</v>
      </c>
      <c r="AE940" s="25">
        <f t="shared" si="44"/>
        <v>0.63930271419037576</v>
      </c>
    </row>
    <row r="941" spans="1:31" x14ac:dyDescent="0.2">
      <c r="A941" s="1" t="s">
        <v>2430</v>
      </c>
      <c r="B941" s="1" t="s">
        <v>2431</v>
      </c>
      <c r="C941" s="1">
        <v>2828</v>
      </c>
      <c r="D941" s="1">
        <v>3</v>
      </c>
      <c r="F941" s="1">
        <v>2023</v>
      </c>
      <c r="G941" s="5">
        <v>6333</v>
      </c>
      <c r="H941" s="5">
        <v>6321.19</v>
      </c>
      <c r="I941" s="5">
        <v>3334360.58</v>
      </c>
      <c r="K941" s="5">
        <v>2994.7779999999998</v>
      </c>
      <c r="L941" s="5">
        <v>0.2742</v>
      </c>
      <c r="M941" s="5">
        <v>3339445.406</v>
      </c>
      <c r="N941" s="6">
        <v>0.10299999999999999</v>
      </c>
      <c r="O941" s="5">
        <v>1333.9069999999999</v>
      </c>
      <c r="P941" s="6">
        <v>8.3500000000000005E-2</v>
      </c>
      <c r="Q941" s="5">
        <v>32548210.440000001</v>
      </c>
      <c r="R941" s="1" t="s">
        <v>55</v>
      </c>
      <c r="T941" s="1" t="s">
        <v>89</v>
      </c>
      <c r="U941" s="1" t="s">
        <v>56</v>
      </c>
      <c r="V941" s="1" t="s">
        <v>639</v>
      </c>
      <c r="W941" s="1" t="s">
        <v>331</v>
      </c>
      <c r="Y941" s="1" t="s">
        <v>1005</v>
      </c>
      <c r="Z941" s="1" t="str">
        <f t="shared" si="42"/>
        <v>2828 3</v>
      </c>
      <c r="AA941" s="3">
        <f>IF(INDEX('CAMD Facility Data 2023'!$AA$2:$AE$10000,MATCH(Z941,'CAMD Facility Data 2023'!$AE$2:$AE$10000,0),1)&gt;0,INDEX('CAMD Facility Data 2023'!$AA$2:$AE$10000,MATCH(Z941,'CAMD Facility Data 2023'!$AE$2:$AE$10000,0),1),"")</f>
        <v>28388</v>
      </c>
      <c r="AB941" s="5">
        <f>IF(INDEX('CAMD Facility Data 2023'!$AC$2:$AE$10000,MATCH(Z941,'CAMD Facility Data 2023'!$AE$2:$AE$10000,0),1)&gt;0,INDEX('CAMD Facility Data 2023'!$AC$2:$AE$10000,MATCH(Z941,'CAMD Facility Data 2023'!$AE$2:$AE$10000,0),1),"")</f>
        <v>6550</v>
      </c>
      <c r="AC941" s="1" t="str">
        <f>IF(INDEX('CAMD Facility Data 2023'!$AE$2:$AG$10000,MATCH(Z941,'CAMD Facility Data 2023'!$AE$2:$AE$10000,0),3)&gt;0,INDEX('CAMD Facility Data 2023'!$AE$2:$AG$10000,MATCH(Z941,'CAMD Facility Data 2023'!$AE$2:$AE$10000,0),3),"")</f>
        <v>Y</v>
      </c>
      <c r="AD941" s="20">
        <f t="shared" si="43"/>
        <v>0.80009763071275275</v>
      </c>
      <c r="AE941" s="25">
        <f t="shared" si="44"/>
        <v>0.56725941022691628</v>
      </c>
    </row>
    <row r="942" spans="1:31" x14ac:dyDescent="0.2">
      <c r="A942" s="1" t="s">
        <v>2430</v>
      </c>
      <c r="B942" s="1" t="s">
        <v>2438</v>
      </c>
      <c r="C942" s="1">
        <v>2831</v>
      </c>
      <c r="D942" s="1">
        <v>1</v>
      </c>
      <c r="F942" s="1">
        <v>2023</v>
      </c>
      <c r="G942" s="5">
        <v>26</v>
      </c>
      <c r="H942" s="5">
        <v>18.38</v>
      </c>
      <c r="I942" s="5">
        <v>749.38</v>
      </c>
      <c r="K942" s="5">
        <v>1.0999999999999999E-2</v>
      </c>
      <c r="L942" s="5">
        <v>1E-3</v>
      </c>
      <c r="O942" s="5">
        <v>12.737</v>
      </c>
      <c r="P942" s="6">
        <v>0.7</v>
      </c>
      <c r="Q942" s="5">
        <v>36392.400000000001</v>
      </c>
      <c r="R942" s="1" t="s">
        <v>44</v>
      </c>
      <c r="T942" s="1" t="s">
        <v>93</v>
      </c>
      <c r="Y942" s="1" t="s">
        <v>1020</v>
      </c>
      <c r="Z942" s="1" t="str">
        <f t="shared" si="42"/>
        <v>2831 1</v>
      </c>
      <c r="AA942" s="3">
        <f>IF(INDEX('CAMD Facility Data 2023'!$AA$2:$AE$10000,MATCH(Z942,'CAMD Facility Data 2023'!$AE$2:$AE$10000,0),1)&gt;0,INDEX('CAMD Facility Data 2023'!$AA$2:$AE$10000,MATCH(Z942,'CAMD Facility Data 2023'!$AE$2:$AE$10000,0),1),"")</f>
        <v>24015</v>
      </c>
      <c r="AB942" s="5">
        <f>IF(INDEX('CAMD Facility Data 2023'!$AC$2:$AE$10000,MATCH(Z942,'CAMD Facility Data 2023'!$AE$2:$AE$10000,0),1)&gt;0,INDEX('CAMD Facility Data 2023'!$AC$2:$AE$10000,MATCH(Z942,'CAMD Facility Data 2023'!$AE$2:$AE$10000,0),1),"")</f>
        <v>1980</v>
      </c>
      <c r="AC942" s="1" t="str">
        <f>IF(INDEX('CAMD Facility Data 2023'!$AE$2:$AG$10000,MATCH(Z942,'CAMD Facility Data 2023'!$AE$2:$AE$10000,0),3)&gt;0,INDEX('CAMD Facility Data 2023'!$AE$2:$AG$10000,MATCH(Z942,'CAMD Facility Data 2023'!$AE$2:$AE$10000,0),3),"")</f>
        <v/>
      </c>
      <c r="AD942" s="20">
        <f t="shared" si="43"/>
        <v>33.99343457258</v>
      </c>
      <c r="AE942" s="25">
        <f t="shared" si="44"/>
        <v>2.0981735159817353E-3</v>
      </c>
    </row>
    <row r="943" spans="1:31" x14ac:dyDescent="0.2">
      <c r="A943" s="1" t="s">
        <v>2430</v>
      </c>
      <c r="B943" s="1" t="s">
        <v>2442</v>
      </c>
      <c r="C943" s="1">
        <v>2832</v>
      </c>
      <c r="D943" s="1">
        <v>6</v>
      </c>
      <c r="F943" s="1">
        <v>2023</v>
      </c>
      <c r="G943" s="5">
        <v>0</v>
      </c>
      <c r="H943" s="5">
        <v>0</v>
      </c>
      <c r="R943" s="1" t="s">
        <v>55</v>
      </c>
      <c r="T943" s="1" t="s">
        <v>43</v>
      </c>
      <c r="W943" s="1" t="s">
        <v>58</v>
      </c>
      <c r="Y943" s="1" t="s">
        <v>1005</v>
      </c>
      <c r="Z943" s="1" t="str">
        <f t="shared" si="42"/>
        <v>2832 6</v>
      </c>
      <c r="AA943" s="3">
        <f>IF(INDEX('CAMD Facility Data 2023'!$AA$2:$AE$10000,MATCH(Z943,'CAMD Facility Data 2023'!$AE$2:$AE$10000,0),1)&gt;0,INDEX('CAMD Facility Data 2023'!$AA$2:$AE$10000,MATCH(Z943,'CAMD Facility Data 2023'!$AE$2:$AE$10000,0),1),"")</f>
        <v>22250</v>
      </c>
      <c r="AB943" s="5">
        <f>IF(INDEX('CAMD Facility Data 2023'!$AC$2:$AE$10000,MATCH(Z943,'CAMD Facility Data 2023'!$AE$2:$AE$10000,0),1)&gt;0,INDEX('CAMD Facility Data 2023'!$AC$2:$AE$10000,MATCH(Z943,'CAMD Facility Data 2023'!$AE$2:$AE$10000,0),1),"")</f>
        <v>1635</v>
      </c>
      <c r="AC943" s="1" t="str">
        <f>IF(INDEX('CAMD Facility Data 2023'!$AE$2:$AG$10000,MATCH(Z943,'CAMD Facility Data 2023'!$AE$2:$AE$10000,0),3)&gt;0,INDEX('CAMD Facility Data 2023'!$AE$2:$AG$10000,MATCH(Z943,'CAMD Facility Data 2023'!$AE$2:$AE$10000,0),3),"")</f>
        <v/>
      </c>
      <c r="AD943" s="20" t="str">
        <f t="shared" si="43"/>
        <v/>
      </c>
      <c r="AE943" s="25">
        <f t="shared" si="44"/>
        <v>0</v>
      </c>
    </row>
    <row r="944" spans="1:31" x14ac:dyDescent="0.2">
      <c r="A944" s="1" t="s">
        <v>2430</v>
      </c>
      <c r="B944" s="1" t="s">
        <v>2442</v>
      </c>
      <c r="C944" s="1">
        <v>2832</v>
      </c>
      <c r="D944" s="1">
        <v>7</v>
      </c>
      <c r="F944" s="1">
        <v>2023</v>
      </c>
      <c r="G944" s="5">
        <v>4693</v>
      </c>
      <c r="H944" s="5">
        <v>4659.24</v>
      </c>
      <c r="I944" s="5">
        <v>1718540.39</v>
      </c>
      <c r="K944" s="5">
        <v>2849.5070000000001</v>
      </c>
      <c r="L944" s="5">
        <v>0.27510000000000001</v>
      </c>
      <c r="M944" s="5">
        <v>1733892.92</v>
      </c>
      <c r="N944" s="6">
        <v>0.10290000000000001</v>
      </c>
      <c r="O944" s="5">
        <v>2154.1350000000002</v>
      </c>
      <c r="P944" s="6">
        <v>0.23880000000000001</v>
      </c>
      <c r="Q944" s="5">
        <v>16899526.445</v>
      </c>
      <c r="R944" s="1" t="s">
        <v>55</v>
      </c>
      <c r="T944" s="1" t="s">
        <v>86</v>
      </c>
      <c r="U944" s="1" t="s">
        <v>56</v>
      </c>
      <c r="V944" s="1" t="s">
        <v>1633</v>
      </c>
      <c r="W944" s="1" t="s">
        <v>800</v>
      </c>
      <c r="Y944" s="1" t="s">
        <v>1005</v>
      </c>
      <c r="Z944" s="1" t="str">
        <f t="shared" si="42"/>
        <v>2832 7</v>
      </c>
      <c r="AA944" s="3">
        <f>IF(INDEX('CAMD Facility Data 2023'!$AA$2:$AE$10000,MATCH(Z944,'CAMD Facility Data 2023'!$AE$2:$AE$10000,0),1)&gt;0,INDEX('CAMD Facility Data 2023'!$AA$2:$AE$10000,MATCH(Z944,'CAMD Facility Data 2023'!$AE$2:$AE$10000,0),1),"")</f>
        <v>27515</v>
      </c>
      <c r="AB944" s="5">
        <f>IF(INDEX('CAMD Facility Data 2023'!$AC$2:$AE$10000,MATCH(Z944,'CAMD Facility Data 2023'!$AE$2:$AE$10000,0),1)&gt;0,INDEX('CAMD Facility Data 2023'!$AC$2:$AE$10000,MATCH(Z944,'CAMD Facility Data 2023'!$AE$2:$AE$10000,0),1),"")</f>
        <v>5575</v>
      </c>
      <c r="AC944" s="1" t="str">
        <f>IF(INDEX('CAMD Facility Data 2023'!$AE$2:$AG$10000,MATCH(Z944,'CAMD Facility Data 2023'!$AE$2:$AE$10000,0),3)&gt;0,INDEX('CAMD Facility Data 2023'!$AE$2:$AG$10000,MATCH(Z944,'CAMD Facility Data 2023'!$AE$2:$AE$10000,0),3),"")</f>
        <v>Y</v>
      </c>
      <c r="AD944" s="20">
        <f t="shared" si="43"/>
        <v>2.5069355512790712</v>
      </c>
      <c r="AE944" s="25">
        <f t="shared" si="44"/>
        <v>0.34603940547126155</v>
      </c>
    </row>
    <row r="945" spans="1:31" x14ac:dyDescent="0.2">
      <c r="A945" s="1" t="s">
        <v>2430</v>
      </c>
      <c r="B945" s="1" t="s">
        <v>2442</v>
      </c>
      <c r="C945" s="1">
        <v>2832</v>
      </c>
      <c r="D945" s="1">
        <v>8</v>
      </c>
      <c r="F945" s="1">
        <v>2023</v>
      </c>
      <c r="G945" s="5">
        <v>4341</v>
      </c>
      <c r="H945" s="5">
        <v>4316.8999999999996</v>
      </c>
      <c r="I945" s="5">
        <v>1430982.34</v>
      </c>
      <c r="K945" s="5">
        <v>2425.239</v>
      </c>
      <c r="L945" s="5">
        <v>0.2918</v>
      </c>
      <c r="M945" s="5">
        <v>1396208.605</v>
      </c>
      <c r="N945" s="6">
        <v>0.10290000000000001</v>
      </c>
      <c r="O945" s="5">
        <v>1767.4939999999999</v>
      </c>
      <c r="P945" s="6">
        <v>0.2477</v>
      </c>
      <c r="Q945" s="5">
        <v>13608252.671</v>
      </c>
      <c r="R945" s="1" t="s">
        <v>55</v>
      </c>
      <c r="T945" s="1" t="s">
        <v>89</v>
      </c>
      <c r="U945" s="1" t="s">
        <v>56</v>
      </c>
      <c r="V945" s="1" t="s">
        <v>2447</v>
      </c>
      <c r="W945" s="1" t="s">
        <v>800</v>
      </c>
      <c r="Y945" s="1" t="s">
        <v>1005</v>
      </c>
      <c r="Z945" s="1" t="str">
        <f t="shared" si="42"/>
        <v>2832 8</v>
      </c>
      <c r="AA945" s="3">
        <f>IF(INDEX('CAMD Facility Data 2023'!$AA$2:$AE$10000,MATCH(Z945,'CAMD Facility Data 2023'!$AE$2:$AE$10000,0),1)&gt;0,INDEX('CAMD Facility Data 2023'!$AA$2:$AE$10000,MATCH(Z945,'CAMD Facility Data 2023'!$AE$2:$AE$10000,0),1),"")</f>
        <v>28543</v>
      </c>
      <c r="AB945" s="5">
        <f>IF(INDEX('CAMD Facility Data 2023'!$AC$2:$AE$10000,MATCH(Z945,'CAMD Facility Data 2023'!$AE$2:$AE$10000,0),1)&gt;0,INDEX('CAMD Facility Data 2023'!$AC$2:$AE$10000,MATCH(Z945,'CAMD Facility Data 2023'!$AE$2:$AE$10000,0),1),"")</f>
        <v>5025</v>
      </c>
      <c r="AC945" s="1" t="str">
        <f>IF(INDEX('CAMD Facility Data 2023'!$AE$2:$AG$10000,MATCH(Z945,'CAMD Facility Data 2023'!$AE$2:$AE$10000,0),3)&gt;0,INDEX('CAMD Facility Data 2023'!$AE$2:$AG$10000,MATCH(Z945,'CAMD Facility Data 2023'!$AE$2:$AE$10000,0),3),"")</f>
        <v>Y</v>
      </c>
      <c r="AD945" s="20">
        <f t="shared" si="43"/>
        <v>2.4703225897253209</v>
      </c>
      <c r="AE945" s="25">
        <f t="shared" si="44"/>
        <v>0.30914497537427021</v>
      </c>
    </row>
    <row r="946" spans="1:31" x14ac:dyDescent="0.2">
      <c r="A946" s="1" t="s">
        <v>2430</v>
      </c>
      <c r="B946" s="1" t="s">
        <v>2449</v>
      </c>
      <c r="C946" s="1">
        <v>2847</v>
      </c>
      <c r="D946" s="1">
        <v>1</v>
      </c>
      <c r="F946" s="1">
        <v>2023</v>
      </c>
      <c r="G946" s="5">
        <v>1495</v>
      </c>
      <c r="H946" s="5">
        <v>1262.93</v>
      </c>
      <c r="I946" s="5">
        <v>81989.02</v>
      </c>
      <c r="K946" s="5">
        <v>0.30499999999999999</v>
      </c>
      <c r="L946" s="5">
        <v>2.3E-3</v>
      </c>
      <c r="M946" s="5">
        <v>60701.7</v>
      </c>
      <c r="N946" s="6">
        <v>5.8900000000000001E-2</v>
      </c>
      <c r="O946" s="5">
        <v>58.517000000000003</v>
      </c>
      <c r="P946" s="6">
        <v>0.24199999999999999</v>
      </c>
      <c r="Q946" s="5">
        <v>1028756.4</v>
      </c>
      <c r="R946" s="1" t="s">
        <v>44</v>
      </c>
      <c r="S946" s="1" t="s">
        <v>94</v>
      </c>
      <c r="T946" s="1" t="s">
        <v>93</v>
      </c>
      <c r="V946" s="1" t="s">
        <v>95</v>
      </c>
      <c r="Y946" s="1" t="s">
        <v>461</v>
      </c>
      <c r="Z946" s="1" t="str">
        <f t="shared" si="42"/>
        <v>2847 1</v>
      </c>
      <c r="AA946" s="3">
        <f>IF(INDEX('CAMD Facility Data 2023'!$AA$2:$AE$10000,MATCH(Z946,'CAMD Facility Data 2023'!$AE$2:$AE$10000,0),1)&gt;0,INDEX('CAMD Facility Data 2023'!$AA$2:$AE$10000,MATCH(Z946,'CAMD Facility Data 2023'!$AE$2:$AE$10000,0),1),"")</f>
        <v>34851</v>
      </c>
      <c r="AB946" s="5">
        <f>IF(INDEX('CAMD Facility Data 2023'!$AC$2:$AE$10000,MATCH(Z946,'CAMD Facility Data 2023'!$AE$2:$AE$10000,0),1)&gt;0,INDEX('CAMD Facility Data 2023'!$AC$2:$AE$10000,MATCH(Z946,'CAMD Facility Data 2023'!$AE$2:$AE$10000,0),1),"")</f>
        <v>1500</v>
      </c>
      <c r="AC946" s="1" t="str">
        <f>IF(INDEX('CAMD Facility Data 2023'!$AE$2:$AG$10000,MATCH(Z946,'CAMD Facility Data 2023'!$AE$2:$AE$10000,0),3)&gt;0,INDEX('CAMD Facility Data 2023'!$AE$2:$AG$10000,MATCH(Z946,'CAMD Facility Data 2023'!$AE$2:$AE$10000,0),3),"")</f>
        <v/>
      </c>
      <c r="AD946" s="20">
        <f t="shared" si="43"/>
        <v>1.4274350394723585</v>
      </c>
      <c r="AE946" s="25">
        <f t="shared" si="44"/>
        <v>7.8291963470319637E-2</v>
      </c>
    </row>
    <row r="947" spans="1:31" x14ac:dyDescent="0.2">
      <c r="A947" s="1" t="s">
        <v>2430</v>
      </c>
      <c r="B947" s="1" t="s">
        <v>2449</v>
      </c>
      <c r="C947" s="1">
        <v>2847</v>
      </c>
      <c r="D947" s="1">
        <v>2</v>
      </c>
      <c r="F947" s="1">
        <v>2023</v>
      </c>
      <c r="G947" s="5">
        <v>1639</v>
      </c>
      <c r="H947" s="5">
        <v>1406.77</v>
      </c>
      <c r="I947" s="5">
        <v>89288.04</v>
      </c>
      <c r="K947" s="5">
        <v>2.3170000000000002</v>
      </c>
      <c r="L947" s="5">
        <v>4.7999999999999996E-3</v>
      </c>
      <c r="M947" s="5">
        <v>68371.399999999994</v>
      </c>
      <c r="N947" s="6">
        <v>5.9299999999999999E-2</v>
      </c>
      <c r="O947" s="5">
        <v>79.823999999999998</v>
      </c>
      <c r="P947" s="6">
        <v>0.25629999999999997</v>
      </c>
      <c r="Q947" s="5">
        <v>1155939.3</v>
      </c>
      <c r="R947" s="1" t="s">
        <v>44</v>
      </c>
      <c r="S947" s="1" t="s">
        <v>94</v>
      </c>
      <c r="T947" s="1" t="s">
        <v>93</v>
      </c>
      <c r="V947" s="1" t="s">
        <v>95</v>
      </c>
      <c r="Y947" s="1" t="s">
        <v>461</v>
      </c>
      <c r="Z947" s="1" t="str">
        <f t="shared" si="42"/>
        <v>2847 2</v>
      </c>
      <c r="AA947" s="3">
        <f>IF(INDEX('CAMD Facility Data 2023'!$AA$2:$AE$10000,MATCH(Z947,'CAMD Facility Data 2023'!$AE$2:$AE$10000,0),1)&gt;0,INDEX('CAMD Facility Data 2023'!$AA$2:$AE$10000,MATCH(Z947,'CAMD Facility Data 2023'!$AE$2:$AE$10000,0),1),"")</f>
        <v>35433</v>
      </c>
      <c r="AB947" s="5">
        <f>IF(INDEX('CAMD Facility Data 2023'!$AC$2:$AE$10000,MATCH(Z947,'CAMD Facility Data 2023'!$AE$2:$AE$10000,0),1)&gt;0,INDEX('CAMD Facility Data 2023'!$AC$2:$AE$10000,MATCH(Z947,'CAMD Facility Data 2023'!$AE$2:$AE$10000,0),1),"")</f>
        <v>1500</v>
      </c>
      <c r="AC947" s="1" t="str">
        <f>IF(INDEX('CAMD Facility Data 2023'!$AE$2:$AG$10000,MATCH(Z947,'CAMD Facility Data 2023'!$AE$2:$AE$10000,0),3)&gt;0,INDEX('CAMD Facility Data 2023'!$AE$2:$AG$10000,MATCH(Z947,'CAMD Facility Data 2023'!$AE$2:$AE$10000,0),3),"")</f>
        <v/>
      </c>
      <c r="AD947" s="20">
        <f t="shared" si="43"/>
        <v>1.7880110258887978</v>
      </c>
      <c r="AE947" s="25">
        <f t="shared" si="44"/>
        <v>8.7971027397260274E-2</v>
      </c>
    </row>
    <row r="948" spans="1:31" x14ac:dyDescent="0.2">
      <c r="A948" s="1" t="s">
        <v>2430</v>
      </c>
      <c r="B948" s="1" t="s">
        <v>2449</v>
      </c>
      <c r="C948" s="1">
        <v>2847</v>
      </c>
      <c r="D948" s="1">
        <v>3</v>
      </c>
      <c r="F948" s="1">
        <v>2023</v>
      </c>
      <c r="G948" s="5">
        <v>3767</v>
      </c>
      <c r="H948" s="5">
        <v>3387.26</v>
      </c>
      <c r="I948" s="5">
        <v>222916.34</v>
      </c>
      <c r="K948" s="5">
        <v>0.82599999999999996</v>
      </c>
      <c r="L948" s="5">
        <v>1.2999999999999999E-3</v>
      </c>
      <c r="M948" s="5">
        <v>160792.6</v>
      </c>
      <c r="N948" s="6">
        <v>5.8999999999999997E-2</v>
      </c>
      <c r="O948" s="5">
        <v>90.326999999999998</v>
      </c>
      <c r="P948" s="6">
        <v>0.15379999999999999</v>
      </c>
      <c r="Q948" s="5">
        <v>2725618</v>
      </c>
      <c r="R948" s="1" t="s">
        <v>44</v>
      </c>
      <c r="S948" s="1" t="s">
        <v>94</v>
      </c>
      <c r="T948" s="1" t="s">
        <v>93</v>
      </c>
      <c r="V948" s="1" t="s">
        <v>183</v>
      </c>
      <c r="Y948" s="1" t="s">
        <v>461</v>
      </c>
      <c r="Z948" s="1" t="str">
        <f t="shared" si="42"/>
        <v>2847 3</v>
      </c>
      <c r="AA948" s="3">
        <f>IF(INDEX('CAMD Facility Data 2023'!$AA$2:$AE$10000,MATCH(Z948,'CAMD Facility Data 2023'!$AE$2:$AE$10000,0),1)&gt;0,INDEX('CAMD Facility Data 2023'!$AA$2:$AE$10000,MATCH(Z948,'CAMD Facility Data 2023'!$AE$2:$AE$10000,0),1),"")</f>
        <v>36192</v>
      </c>
      <c r="AB948" s="5">
        <f>IF(INDEX('CAMD Facility Data 2023'!$AC$2:$AE$10000,MATCH(Z948,'CAMD Facility Data 2023'!$AE$2:$AE$10000,0),1)&gt;0,INDEX('CAMD Facility Data 2023'!$AC$2:$AE$10000,MATCH(Z948,'CAMD Facility Data 2023'!$AE$2:$AE$10000,0),1),"")</f>
        <v>1500</v>
      </c>
      <c r="AC948" s="1" t="str">
        <f>IF(INDEX('CAMD Facility Data 2023'!$AE$2:$AG$10000,MATCH(Z948,'CAMD Facility Data 2023'!$AE$2:$AE$10000,0),3)&gt;0,INDEX('CAMD Facility Data 2023'!$AE$2:$AG$10000,MATCH(Z948,'CAMD Facility Data 2023'!$AE$2:$AE$10000,0),3),"")</f>
        <v/>
      </c>
      <c r="AD948" s="20">
        <f t="shared" si="43"/>
        <v>0.81041165488362132</v>
      </c>
      <c r="AE948" s="25">
        <f t="shared" si="44"/>
        <v>0.2074290715372907</v>
      </c>
    </row>
    <row r="949" spans="1:31" x14ac:dyDescent="0.2">
      <c r="A949" s="1" t="s">
        <v>2430</v>
      </c>
      <c r="B949" s="1" t="s">
        <v>2454</v>
      </c>
      <c r="C949" s="1">
        <v>2848</v>
      </c>
      <c r="D949" s="1" t="s">
        <v>2455</v>
      </c>
      <c r="F949" s="1">
        <v>2023</v>
      </c>
      <c r="G949" s="5">
        <v>19</v>
      </c>
      <c r="H949" s="5">
        <v>19</v>
      </c>
      <c r="I949" s="5">
        <v>475</v>
      </c>
      <c r="K949" s="5">
        <v>3.0000000000000001E-3</v>
      </c>
      <c r="L949" s="5">
        <v>1E-3</v>
      </c>
      <c r="O949" s="5">
        <v>3.7109999999999999</v>
      </c>
      <c r="P949" s="6">
        <v>0.7</v>
      </c>
      <c r="Q949" s="5">
        <v>10602</v>
      </c>
      <c r="R949" s="1" t="s">
        <v>44</v>
      </c>
      <c r="S949" s="1" t="s">
        <v>94</v>
      </c>
      <c r="T949" s="1" t="s">
        <v>93</v>
      </c>
      <c r="Y949" s="1" t="s">
        <v>1020</v>
      </c>
      <c r="Z949" s="1" t="str">
        <f t="shared" si="42"/>
        <v>2848 H-7</v>
      </c>
      <c r="AA949" s="3">
        <f>IF(INDEX('CAMD Facility Data 2023'!$AA$2:$AE$10000,MATCH(Z949,'CAMD Facility Data 2023'!$AE$2:$AE$10000,0),1)&gt;0,INDEX('CAMD Facility Data 2023'!$AA$2:$AE$10000,MATCH(Z949,'CAMD Facility Data 2023'!$AE$2:$AE$10000,0),1),"")</f>
        <v>25157</v>
      </c>
      <c r="AB949" s="5">
        <f>IF(INDEX('CAMD Facility Data 2023'!$AC$2:$AE$10000,MATCH(Z949,'CAMD Facility Data 2023'!$AE$2:$AE$10000,0),1)&gt;0,INDEX('CAMD Facility Data 2023'!$AC$2:$AE$10000,MATCH(Z949,'CAMD Facility Data 2023'!$AE$2:$AE$10000,0),1),"")</f>
        <v>558</v>
      </c>
      <c r="AC949" s="1" t="str">
        <f>IF(INDEX('CAMD Facility Data 2023'!$AE$2:$AG$10000,MATCH(Z949,'CAMD Facility Data 2023'!$AE$2:$AE$10000,0),3)&gt;0,INDEX('CAMD Facility Data 2023'!$AE$2:$AG$10000,MATCH(Z949,'CAMD Facility Data 2023'!$AE$2:$AE$10000,0),3),"")</f>
        <v/>
      </c>
      <c r="AD949" s="20">
        <f t="shared" si="43"/>
        <v>15.625263157894738</v>
      </c>
      <c r="AE949" s="25">
        <f t="shared" si="44"/>
        <v>2.1689497716894978E-3</v>
      </c>
    </row>
    <row r="950" spans="1:31" x14ac:dyDescent="0.2">
      <c r="A950" s="1" t="s">
        <v>2430</v>
      </c>
      <c r="B950" s="1" t="s">
        <v>2458</v>
      </c>
      <c r="C950" s="1">
        <v>2861</v>
      </c>
      <c r="D950" s="1" t="s">
        <v>2459</v>
      </c>
      <c r="F950" s="1">
        <v>2023</v>
      </c>
      <c r="G950" s="5">
        <v>5</v>
      </c>
      <c r="H950" s="5">
        <v>2.7</v>
      </c>
      <c r="I950" s="5">
        <v>55.8</v>
      </c>
      <c r="K950" s="5">
        <v>0.26900000000000002</v>
      </c>
      <c r="L950" s="5">
        <v>0.50329999999999997</v>
      </c>
      <c r="O950" s="5">
        <v>0.64600000000000002</v>
      </c>
      <c r="P950" s="6">
        <v>1.2013</v>
      </c>
      <c r="Q950" s="5">
        <v>1076.0999999999999</v>
      </c>
      <c r="R950" s="1" t="s">
        <v>94</v>
      </c>
      <c r="T950" s="1" t="s">
        <v>93</v>
      </c>
      <c r="Y950" s="1" t="s">
        <v>1020</v>
      </c>
      <c r="Z950" s="1" t="str">
        <f t="shared" si="42"/>
        <v>2861 CTA</v>
      </c>
      <c r="AA950" s="3">
        <f>IF(INDEX('CAMD Facility Data 2023'!$AA$2:$AE$10000,MATCH(Z950,'CAMD Facility Data 2023'!$AE$2:$AE$10000,0),1)&gt;0,INDEX('CAMD Facility Data 2023'!$AA$2:$AE$10000,MATCH(Z950,'CAMD Facility Data 2023'!$AE$2:$AE$10000,0),1),"")</f>
        <v>26490</v>
      </c>
      <c r="AB950" s="5">
        <f>IF(INDEX('CAMD Facility Data 2023'!$AC$2:$AE$10000,MATCH(Z950,'CAMD Facility Data 2023'!$AE$2:$AE$10000,0),1)&gt;0,INDEX('CAMD Facility Data 2023'!$AC$2:$AE$10000,MATCH(Z950,'CAMD Facility Data 2023'!$AE$2:$AE$10000,0),1),"")</f>
        <v>469</v>
      </c>
      <c r="AC950" s="1" t="str">
        <f>IF(INDEX('CAMD Facility Data 2023'!$AE$2:$AG$10000,MATCH(Z950,'CAMD Facility Data 2023'!$AE$2:$AE$10000,0),3)&gt;0,INDEX('CAMD Facility Data 2023'!$AE$2:$AG$10000,MATCH(Z950,'CAMD Facility Data 2023'!$AE$2:$AE$10000,0),3),"")</f>
        <v/>
      </c>
      <c r="AD950" s="20">
        <f t="shared" si="43"/>
        <v>23.154121863799283</v>
      </c>
      <c r="AE950" s="25">
        <f t="shared" si="44"/>
        <v>2.6192423401583082E-4</v>
      </c>
    </row>
    <row r="951" spans="1:31" x14ac:dyDescent="0.2">
      <c r="A951" s="1" t="s">
        <v>2430</v>
      </c>
      <c r="B951" s="1" t="s">
        <v>2463</v>
      </c>
      <c r="C951" s="1">
        <v>2866</v>
      </c>
      <c r="D951" s="1">
        <v>5</v>
      </c>
      <c r="E951" s="1" t="s">
        <v>2464</v>
      </c>
      <c r="F951" s="1">
        <v>2023</v>
      </c>
      <c r="G951" s="5">
        <v>815</v>
      </c>
      <c r="H951" s="5">
        <v>799.64</v>
      </c>
      <c r="I951" s="5">
        <v>42109.59</v>
      </c>
      <c r="K951" s="5">
        <v>17.11</v>
      </c>
      <c r="L951" s="5">
        <v>3.8800000000000001E-2</v>
      </c>
      <c r="M951" s="5">
        <v>60159.281000000003</v>
      </c>
      <c r="N951" s="6">
        <v>0.1046</v>
      </c>
      <c r="O951" s="5">
        <v>39.942999999999998</v>
      </c>
      <c r="P951" s="6">
        <v>0.1028</v>
      </c>
      <c r="Q951" s="5">
        <v>573594.78099999996</v>
      </c>
      <c r="R951" s="1" t="s">
        <v>55</v>
      </c>
      <c r="T951" s="1" t="s">
        <v>89</v>
      </c>
      <c r="U951" s="1" t="s">
        <v>241</v>
      </c>
      <c r="V951" s="1" t="s">
        <v>1516</v>
      </c>
      <c r="W951" s="1" t="s">
        <v>58</v>
      </c>
      <c r="Y951" s="1" t="s">
        <v>1005</v>
      </c>
      <c r="Z951" s="1" t="str">
        <f t="shared" si="42"/>
        <v>2866 5</v>
      </c>
      <c r="AA951" s="3">
        <f>IF(INDEX('CAMD Facility Data 2023'!$AA$2:$AE$10000,MATCH(Z951,'CAMD Facility Data 2023'!$AE$2:$AE$10000,0),1)&gt;0,INDEX('CAMD Facility Data 2023'!$AA$2:$AE$10000,MATCH(Z951,'CAMD Facility Data 2023'!$AE$2:$AE$10000,0),1),"")</f>
        <v>24746</v>
      </c>
      <c r="AB951" s="5">
        <f>IF(INDEX('CAMD Facility Data 2023'!$AC$2:$AE$10000,MATCH(Z951,'CAMD Facility Data 2023'!$AE$2:$AE$10000,0),1)&gt;0,INDEX('CAMD Facility Data 2023'!$AC$2:$AE$10000,MATCH(Z951,'CAMD Facility Data 2023'!$AE$2:$AE$10000,0),1),"")</f>
        <v>3810</v>
      </c>
      <c r="AC951" s="1" t="str">
        <f>IF(INDEX('CAMD Facility Data 2023'!$AE$2:$AG$10000,MATCH(Z951,'CAMD Facility Data 2023'!$AE$2:$AE$10000,0),3)&gt;0,INDEX('CAMD Facility Data 2023'!$AE$2:$AG$10000,MATCH(Z951,'CAMD Facility Data 2023'!$AE$2:$AE$10000,0),3),"")</f>
        <v>Y</v>
      </c>
      <c r="AD951" s="20">
        <f t="shared" si="43"/>
        <v>1.8970975495130684</v>
      </c>
      <c r="AE951" s="25">
        <f t="shared" si="44"/>
        <v>1.7186051516676851E-2</v>
      </c>
    </row>
    <row r="952" spans="1:31" x14ac:dyDescent="0.2">
      <c r="A952" s="1" t="s">
        <v>2430</v>
      </c>
      <c r="B952" s="1" t="s">
        <v>2463</v>
      </c>
      <c r="C952" s="1">
        <v>2866</v>
      </c>
      <c r="D952" s="1">
        <v>6</v>
      </c>
      <c r="E952" s="1" t="s">
        <v>2464</v>
      </c>
      <c r="F952" s="1">
        <v>2023</v>
      </c>
      <c r="G952" s="5">
        <v>1885</v>
      </c>
      <c r="H952" s="5">
        <v>1874.64</v>
      </c>
      <c r="I952" s="5">
        <v>799319.98</v>
      </c>
      <c r="K952" s="5">
        <v>236.14400000000001</v>
      </c>
      <c r="L952" s="5">
        <v>5.3900000000000003E-2</v>
      </c>
      <c r="M952" s="5">
        <v>871159.72</v>
      </c>
      <c r="N952" s="6">
        <v>0.105</v>
      </c>
      <c r="O952" s="5">
        <v>376.339</v>
      </c>
      <c r="P952" s="6">
        <v>9.2899999999999996E-2</v>
      </c>
      <c r="Q952" s="5">
        <v>8306267.9110000003</v>
      </c>
      <c r="R952" s="1" t="s">
        <v>55</v>
      </c>
      <c r="T952" s="1" t="s">
        <v>89</v>
      </c>
      <c r="U952" s="1" t="s">
        <v>241</v>
      </c>
      <c r="V952" s="1" t="s">
        <v>563</v>
      </c>
      <c r="W952" s="1" t="s">
        <v>58</v>
      </c>
      <c r="Y952" s="1" t="s">
        <v>1005</v>
      </c>
      <c r="Z952" s="1" t="str">
        <f t="shared" si="42"/>
        <v>2866 6</v>
      </c>
      <c r="AA952" s="3">
        <f>IF(INDEX('CAMD Facility Data 2023'!$AA$2:$AE$10000,MATCH(Z952,'CAMD Facility Data 2023'!$AE$2:$AE$10000,0),1)&gt;0,INDEX('CAMD Facility Data 2023'!$AA$2:$AE$10000,MATCH(Z952,'CAMD Facility Data 2023'!$AE$2:$AE$10000,0),1),"")</f>
        <v>25204</v>
      </c>
      <c r="AB952" s="5">
        <f>IF(INDEX('CAMD Facility Data 2023'!$AC$2:$AE$10000,MATCH(Z952,'CAMD Facility Data 2023'!$AE$2:$AE$10000,0),1)&gt;0,INDEX('CAMD Facility Data 2023'!$AC$2:$AE$10000,MATCH(Z952,'CAMD Facility Data 2023'!$AE$2:$AE$10000,0),1),"")</f>
        <v>7300</v>
      </c>
      <c r="AC952" s="1" t="str">
        <f>IF(INDEX('CAMD Facility Data 2023'!$AE$2:$AG$10000,MATCH(Z952,'CAMD Facility Data 2023'!$AE$2:$AE$10000,0),3)&gt;0,INDEX('CAMD Facility Data 2023'!$AE$2:$AG$10000,MATCH(Z952,'CAMD Facility Data 2023'!$AE$2:$AE$10000,0),3),"")</f>
        <v>Y</v>
      </c>
      <c r="AD952" s="20">
        <f t="shared" si="43"/>
        <v>0.94164792427683341</v>
      </c>
      <c r="AE952" s="25">
        <f t="shared" si="44"/>
        <v>0.1298909725245512</v>
      </c>
    </row>
    <row r="953" spans="1:31" x14ac:dyDescent="0.2">
      <c r="A953" s="1" t="s">
        <v>2430</v>
      </c>
      <c r="B953" s="1" t="s">
        <v>2463</v>
      </c>
      <c r="C953" s="1">
        <v>2866</v>
      </c>
      <c r="D953" s="1">
        <v>7</v>
      </c>
      <c r="E953" s="1" t="s">
        <v>2464</v>
      </c>
      <c r="F953" s="1">
        <v>2023</v>
      </c>
      <c r="G953" s="5">
        <v>665</v>
      </c>
      <c r="H953" s="5">
        <v>653.16999999999996</v>
      </c>
      <c r="I953" s="5">
        <v>231647.06</v>
      </c>
      <c r="K953" s="5">
        <v>70.787999999999997</v>
      </c>
      <c r="L953" s="5">
        <v>5.4399999999999997E-2</v>
      </c>
      <c r="M953" s="5">
        <v>248785.48199999999</v>
      </c>
      <c r="N953" s="6">
        <v>0.105</v>
      </c>
      <c r="O953" s="5">
        <v>94.147000000000006</v>
      </c>
      <c r="P953" s="6">
        <v>8.6900000000000005E-2</v>
      </c>
      <c r="Q953" s="5">
        <v>2372096.2799999998</v>
      </c>
      <c r="R953" s="1" t="s">
        <v>55</v>
      </c>
      <c r="T953" s="1" t="s">
        <v>86</v>
      </c>
      <c r="U953" s="1" t="s">
        <v>241</v>
      </c>
      <c r="V953" s="1" t="s">
        <v>1633</v>
      </c>
      <c r="W953" s="1" t="s">
        <v>58</v>
      </c>
      <c r="Y953" s="1" t="s">
        <v>1005</v>
      </c>
      <c r="Z953" s="1" t="str">
        <f t="shared" si="42"/>
        <v>2866 7</v>
      </c>
      <c r="AA953" s="3">
        <f>IF(INDEX('CAMD Facility Data 2023'!$AA$2:$AE$10000,MATCH(Z953,'CAMD Facility Data 2023'!$AE$2:$AE$10000,0),1)&gt;0,INDEX('CAMD Facility Data 2023'!$AA$2:$AE$10000,MATCH(Z953,'CAMD Facility Data 2023'!$AE$2:$AE$10000,0),1),"")</f>
        <v>26115</v>
      </c>
      <c r="AB953" s="5">
        <f>IF(INDEX('CAMD Facility Data 2023'!$AC$2:$AE$10000,MATCH(Z953,'CAMD Facility Data 2023'!$AE$2:$AE$10000,0),1)&gt;0,INDEX('CAMD Facility Data 2023'!$AC$2:$AE$10000,MATCH(Z953,'CAMD Facility Data 2023'!$AE$2:$AE$10000,0),1),"")</f>
        <v>7400</v>
      </c>
      <c r="AC953" s="1" t="str">
        <f>IF(INDEX('CAMD Facility Data 2023'!$AE$2:$AG$10000,MATCH(Z953,'CAMD Facility Data 2023'!$AE$2:$AE$10000,0),3)&gt;0,INDEX('CAMD Facility Data 2023'!$AE$2:$AG$10000,MATCH(Z953,'CAMD Facility Data 2023'!$AE$2:$AE$10000,0),3),"")</f>
        <v>Y</v>
      </c>
      <c r="AD953" s="20">
        <f t="shared" si="43"/>
        <v>0.8128486500109261</v>
      </c>
      <c r="AE953" s="25">
        <f t="shared" si="44"/>
        <v>3.6592871158830059E-2</v>
      </c>
    </row>
    <row r="954" spans="1:31" x14ac:dyDescent="0.2">
      <c r="A954" s="1" t="s">
        <v>2430</v>
      </c>
      <c r="B954" s="1" t="s">
        <v>2471</v>
      </c>
      <c r="C954" s="1">
        <v>2869</v>
      </c>
      <c r="D954" s="1" t="s">
        <v>372</v>
      </c>
      <c r="F954" s="1">
        <v>2023</v>
      </c>
      <c r="G954" s="5">
        <v>8</v>
      </c>
      <c r="H954" s="5">
        <v>8</v>
      </c>
      <c r="I954" s="5">
        <v>317</v>
      </c>
      <c r="K954" s="5">
        <v>0.42</v>
      </c>
      <c r="L954" s="5">
        <v>0.1</v>
      </c>
      <c r="O954" s="5">
        <v>2.4020000000000001</v>
      </c>
      <c r="P954" s="6">
        <v>0.57199999999999995</v>
      </c>
      <c r="Q954" s="5">
        <v>8400</v>
      </c>
      <c r="R954" s="1" t="s">
        <v>94</v>
      </c>
      <c r="T954" s="1" t="s">
        <v>93</v>
      </c>
      <c r="Y954" s="1" t="s">
        <v>1020</v>
      </c>
      <c r="Z954" s="1" t="str">
        <f t="shared" si="42"/>
        <v>2869 1A</v>
      </c>
      <c r="AA954" s="3">
        <f>IF(INDEX('CAMD Facility Data 2023'!$AA$2:$AE$10000,MATCH(Z954,'CAMD Facility Data 2023'!$AE$2:$AE$10000,0),1)&gt;0,INDEX('CAMD Facility Data 2023'!$AA$2:$AE$10000,MATCH(Z954,'CAMD Facility Data 2023'!$AE$2:$AE$10000,0),1),"")</f>
        <v>26785</v>
      </c>
      <c r="AB954" s="5">
        <f>IF(INDEX('CAMD Facility Data 2023'!$AC$2:$AE$10000,MATCH(Z954,'CAMD Facility Data 2023'!$AE$2:$AE$10000,0),1)&gt;0,INDEX('CAMD Facility Data 2023'!$AC$2:$AE$10000,MATCH(Z954,'CAMD Facility Data 2023'!$AE$2:$AE$10000,0),1),"")</f>
        <v>1050</v>
      </c>
      <c r="AC954" s="1" t="str">
        <f>IF(INDEX('CAMD Facility Data 2023'!$AE$2:$AG$10000,MATCH(Z954,'CAMD Facility Data 2023'!$AE$2:$AE$10000,0),3)&gt;0,INDEX('CAMD Facility Data 2023'!$AE$2:$AG$10000,MATCH(Z954,'CAMD Facility Data 2023'!$AE$2:$AE$10000,0),3),"")</f>
        <v/>
      </c>
      <c r="AD954" s="20">
        <f t="shared" si="43"/>
        <v>15.154574132492113</v>
      </c>
      <c r="AE954" s="25">
        <f t="shared" si="44"/>
        <v>9.1324200913242006E-4</v>
      </c>
    </row>
    <row r="955" spans="1:31" x14ac:dyDescent="0.2">
      <c r="A955" s="1" t="s">
        <v>2430</v>
      </c>
      <c r="B955" s="1" t="s">
        <v>2471</v>
      </c>
      <c r="C955" s="1">
        <v>2869</v>
      </c>
      <c r="D955" s="1" t="s">
        <v>1199</v>
      </c>
      <c r="F955" s="1">
        <v>2023</v>
      </c>
      <c r="G955" s="5">
        <v>14</v>
      </c>
      <c r="H955" s="5">
        <v>14</v>
      </c>
      <c r="I955" s="5">
        <v>516</v>
      </c>
      <c r="K955" s="5">
        <v>0.73499999999999999</v>
      </c>
      <c r="L955" s="5">
        <v>0.1</v>
      </c>
      <c r="O955" s="5">
        <v>4.2039999999999997</v>
      </c>
      <c r="P955" s="6">
        <v>0.57199999999999995</v>
      </c>
      <c r="Q955" s="5">
        <v>14700</v>
      </c>
      <c r="R955" s="1" t="s">
        <v>94</v>
      </c>
      <c r="T955" s="1" t="s">
        <v>93</v>
      </c>
      <c r="Y955" s="1" t="s">
        <v>1020</v>
      </c>
      <c r="Z955" s="1" t="str">
        <f t="shared" si="42"/>
        <v>2869 1B</v>
      </c>
      <c r="AA955" s="3">
        <f>IF(INDEX('CAMD Facility Data 2023'!$AA$2:$AE$10000,MATCH(Z955,'CAMD Facility Data 2023'!$AE$2:$AE$10000,0),1)&gt;0,INDEX('CAMD Facility Data 2023'!$AA$2:$AE$10000,MATCH(Z955,'CAMD Facility Data 2023'!$AE$2:$AE$10000,0),1),"")</f>
        <v>26785</v>
      </c>
      <c r="AB955" s="5">
        <f>IF(INDEX('CAMD Facility Data 2023'!$AC$2:$AE$10000,MATCH(Z955,'CAMD Facility Data 2023'!$AE$2:$AE$10000,0),1)&gt;0,INDEX('CAMD Facility Data 2023'!$AC$2:$AE$10000,MATCH(Z955,'CAMD Facility Data 2023'!$AE$2:$AE$10000,0),1),"")</f>
        <v>1050</v>
      </c>
      <c r="AC955" s="1" t="str">
        <f>IF(INDEX('CAMD Facility Data 2023'!$AE$2:$AG$10000,MATCH(Z955,'CAMD Facility Data 2023'!$AE$2:$AE$10000,0),3)&gt;0,INDEX('CAMD Facility Data 2023'!$AE$2:$AG$10000,MATCH(Z955,'CAMD Facility Data 2023'!$AE$2:$AE$10000,0),3),"")</f>
        <v/>
      </c>
      <c r="AD955" s="20">
        <f t="shared" si="43"/>
        <v>16.294573643410853</v>
      </c>
      <c r="AE955" s="25">
        <f t="shared" si="44"/>
        <v>1.5981735159817352E-3</v>
      </c>
    </row>
    <row r="956" spans="1:31" x14ac:dyDescent="0.2">
      <c r="A956" s="1" t="s">
        <v>2430</v>
      </c>
      <c r="B956" s="1" t="s">
        <v>2471</v>
      </c>
      <c r="C956" s="1">
        <v>2869</v>
      </c>
      <c r="D956" s="1">
        <v>2</v>
      </c>
      <c r="F956" s="1">
        <v>2023</v>
      </c>
      <c r="G956" s="5">
        <v>3356</v>
      </c>
      <c r="H956" s="5">
        <v>3052.59</v>
      </c>
      <c r="I956" s="5">
        <v>219829.82</v>
      </c>
      <c r="K956" s="5">
        <v>0.79</v>
      </c>
      <c r="L956" s="5">
        <v>1E-3</v>
      </c>
      <c r="M956" s="5">
        <v>156502.95800000001</v>
      </c>
      <c r="N956" s="6">
        <v>5.91E-2</v>
      </c>
      <c r="O956" s="5">
        <v>34.396999999999998</v>
      </c>
      <c r="P956" s="6">
        <v>3.2000000000000001E-2</v>
      </c>
      <c r="Q956" s="5">
        <v>2633137.2969999998</v>
      </c>
      <c r="R956" s="1" t="s">
        <v>94</v>
      </c>
      <c r="S956" s="1" t="s">
        <v>44</v>
      </c>
      <c r="T956" s="1" t="s">
        <v>93</v>
      </c>
      <c r="V956" s="1" t="s">
        <v>183</v>
      </c>
      <c r="Y956" s="1" t="s">
        <v>461</v>
      </c>
      <c r="Z956" s="1" t="str">
        <f t="shared" si="42"/>
        <v>2869 2</v>
      </c>
      <c r="AA956" s="3">
        <f>IF(INDEX('CAMD Facility Data 2023'!$AA$2:$AE$10000,MATCH(Z956,'CAMD Facility Data 2023'!$AE$2:$AE$10000,0),1)&gt;0,INDEX('CAMD Facility Data 2023'!$AA$2:$AE$10000,MATCH(Z956,'CAMD Facility Data 2023'!$AE$2:$AE$10000,0),1),"")</f>
        <v>36942</v>
      </c>
      <c r="AB956" s="5">
        <f>IF(INDEX('CAMD Facility Data 2023'!$AC$2:$AE$10000,MATCH(Z956,'CAMD Facility Data 2023'!$AE$2:$AE$10000,0),1)&gt;0,INDEX('CAMD Facility Data 2023'!$AC$2:$AE$10000,MATCH(Z956,'CAMD Facility Data 2023'!$AE$2:$AE$10000,0),1),"")</f>
        <v>1130</v>
      </c>
      <c r="AC956" s="1" t="str">
        <f>IF(INDEX('CAMD Facility Data 2023'!$AE$2:$AG$10000,MATCH(Z956,'CAMD Facility Data 2023'!$AE$2:$AE$10000,0),3)&gt;0,INDEX('CAMD Facility Data 2023'!$AE$2:$AG$10000,MATCH(Z956,'CAMD Facility Data 2023'!$AE$2:$AE$10000,0),3),"")</f>
        <v/>
      </c>
      <c r="AD956" s="20">
        <f t="shared" si="43"/>
        <v>0.31294207491959009</v>
      </c>
      <c r="AE956" s="25">
        <f t="shared" si="44"/>
        <v>0.26600570745949004</v>
      </c>
    </row>
    <row r="957" spans="1:31" x14ac:dyDescent="0.2">
      <c r="A957" s="1" t="s">
        <v>2430</v>
      </c>
      <c r="B957" s="1" t="s">
        <v>2471</v>
      </c>
      <c r="C957" s="1">
        <v>2869</v>
      </c>
      <c r="D957" s="1">
        <v>3</v>
      </c>
      <c r="F957" s="1">
        <v>2023</v>
      </c>
      <c r="G957" s="5">
        <v>3456</v>
      </c>
      <c r="H957" s="5">
        <v>3141.51</v>
      </c>
      <c r="I957" s="5">
        <v>227744.75</v>
      </c>
      <c r="K957" s="5">
        <v>0.82099999999999995</v>
      </c>
      <c r="L957" s="5">
        <v>1E-3</v>
      </c>
      <c r="M957" s="5">
        <v>162564.75099999999</v>
      </c>
      <c r="N957" s="6">
        <v>5.91E-2</v>
      </c>
      <c r="O957" s="5">
        <v>36.127000000000002</v>
      </c>
      <c r="P957" s="6">
        <v>3.1199999999999999E-2</v>
      </c>
      <c r="Q957" s="5">
        <v>2735348.45</v>
      </c>
      <c r="R957" s="1" t="s">
        <v>94</v>
      </c>
      <c r="S957" s="1" t="s">
        <v>44</v>
      </c>
      <c r="T957" s="1" t="s">
        <v>93</v>
      </c>
      <c r="V957" s="1" t="s">
        <v>183</v>
      </c>
      <c r="Y957" s="1" t="s">
        <v>461</v>
      </c>
      <c r="Z957" s="1" t="str">
        <f t="shared" si="42"/>
        <v>2869 3</v>
      </c>
      <c r="AA957" s="3">
        <f>IF(INDEX('CAMD Facility Data 2023'!$AA$2:$AE$10000,MATCH(Z957,'CAMD Facility Data 2023'!$AE$2:$AE$10000,0),1)&gt;0,INDEX('CAMD Facility Data 2023'!$AA$2:$AE$10000,MATCH(Z957,'CAMD Facility Data 2023'!$AE$2:$AE$10000,0),1),"")</f>
        <v>36942</v>
      </c>
      <c r="AB957" s="5">
        <f>IF(INDEX('CAMD Facility Data 2023'!$AC$2:$AE$10000,MATCH(Z957,'CAMD Facility Data 2023'!$AE$2:$AE$10000,0),1)&gt;0,INDEX('CAMD Facility Data 2023'!$AC$2:$AE$10000,MATCH(Z957,'CAMD Facility Data 2023'!$AE$2:$AE$10000,0),1),"")</f>
        <v>1140</v>
      </c>
      <c r="AC957" s="1" t="str">
        <f>IF(INDEX('CAMD Facility Data 2023'!$AE$2:$AG$10000,MATCH(Z957,'CAMD Facility Data 2023'!$AE$2:$AE$10000,0),3)&gt;0,INDEX('CAMD Facility Data 2023'!$AE$2:$AG$10000,MATCH(Z957,'CAMD Facility Data 2023'!$AE$2:$AE$10000,0),3),"")</f>
        <v/>
      </c>
      <c r="AD957" s="20">
        <f t="shared" si="43"/>
        <v>0.31725868543621755</v>
      </c>
      <c r="AE957" s="25">
        <f t="shared" si="44"/>
        <v>0.27390735900825125</v>
      </c>
    </row>
    <row r="958" spans="1:31" x14ac:dyDescent="0.2">
      <c r="A958" s="1" t="s">
        <v>2430</v>
      </c>
      <c r="B958" s="1" t="s">
        <v>2471</v>
      </c>
      <c r="C958" s="1">
        <v>2869</v>
      </c>
      <c r="D958" s="1">
        <v>4</v>
      </c>
      <c r="F958" s="1">
        <v>2023</v>
      </c>
      <c r="G958" s="5">
        <v>3634</v>
      </c>
      <c r="H958" s="5">
        <v>3306.74</v>
      </c>
      <c r="I958" s="5">
        <v>235507.92</v>
      </c>
      <c r="K958" s="5">
        <v>0.85</v>
      </c>
      <c r="L958" s="5">
        <v>1E-3</v>
      </c>
      <c r="M958" s="5">
        <v>168315.42199999999</v>
      </c>
      <c r="N958" s="6">
        <v>5.91E-2</v>
      </c>
      <c r="O958" s="5">
        <v>38.756999999999998</v>
      </c>
      <c r="P958" s="6">
        <v>3.2500000000000001E-2</v>
      </c>
      <c r="Q958" s="5">
        <v>2832055.2719999999</v>
      </c>
      <c r="R958" s="1" t="s">
        <v>94</v>
      </c>
      <c r="S958" s="1" t="s">
        <v>44</v>
      </c>
      <c r="T958" s="1" t="s">
        <v>93</v>
      </c>
      <c r="V958" s="1" t="s">
        <v>183</v>
      </c>
      <c r="Y958" s="1" t="s">
        <v>461</v>
      </c>
      <c r="Z958" s="1" t="str">
        <f t="shared" si="42"/>
        <v>2869 4</v>
      </c>
      <c r="AA958" s="3">
        <f>IF(INDEX('CAMD Facility Data 2023'!$AA$2:$AE$10000,MATCH(Z958,'CAMD Facility Data 2023'!$AE$2:$AE$10000,0),1)&gt;0,INDEX('CAMD Facility Data 2023'!$AA$2:$AE$10000,MATCH(Z958,'CAMD Facility Data 2023'!$AE$2:$AE$10000,0),1),"")</f>
        <v>36942</v>
      </c>
      <c r="AB958" s="5">
        <f>IF(INDEX('CAMD Facility Data 2023'!$AC$2:$AE$10000,MATCH(Z958,'CAMD Facility Data 2023'!$AE$2:$AE$10000,0),1)&gt;0,INDEX('CAMD Facility Data 2023'!$AC$2:$AE$10000,MATCH(Z958,'CAMD Facility Data 2023'!$AE$2:$AE$10000,0),1),"")</f>
        <v>1325</v>
      </c>
      <c r="AC958" s="1" t="str">
        <f>IF(INDEX('CAMD Facility Data 2023'!$AE$2:$AG$10000,MATCH(Z958,'CAMD Facility Data 2023'!$AE$2:$AE$10000,0),3)&gt;0,INDEX('CAMD Facility Data 2023'!$AE$2:$AG$10000,MATCH(Z958,'CAMD Facility Data 2023'!$AE$2:$AE$10000,0),3),"")</f>
        <v/>
      </c>
      <c r="AD958" s="20">
        <f t="shared" si="43"/>
        <v>0.32913542780217325</v>
      </c>
      <c r="AE958" s="25">
        <f t="shared" si="44"/>
        <v>0.24399545722408891</v>
      </c>
    </row>
    <row r="959" spans="1:31" x14ac:dyDescent="0.2">
      <c r="A959" s="1" t="s">
        <v>2430</v>
      </c>
      <c r="B959" s="1" t="s">
        <v>2471</v>
      </c>
      <c r="C959" s="1">
        <v>2869</v>
      </c>
      <c r="D959" s="1">
        <v>5</v>
      </c>
      <c r="F959" s="1">
        <v>2023</v>
      </c>
      <c r="G959" s="5">
        <v>2733</v>
      </c>
      <c r="H959" s="5">
        <v>2477.38</v>
      </c>
      <c r="I959" s="5">
        <v>181541.68</v>
      </c>
      <c r="K959" s="5">
        <v>0.64600000000000002</v>
      </c>
      <c r="L959" s="5">
        <v>1E-3</v>
      </c>
      <c r="M959" s="5">
        <v>127875.28200000001</v>
      </c>
      <c r="N959" s="6">
        <v>5.9200000000000003E-2</v>
      </c>
      <c r="O959" s="5">
        <v>29.193999999999999</v>
      </c>
      <c r="P959" s="6">
        <v>3.2399999999999998E-2</v>
      </c>
      <c r="Q959" s="5">
        <v>2150434.787</v>
      </c>
      <c r="R959" s="1" t="s">
        <v>94</v>
      </c>
      <c r="S959" s="1" t="s">
        <v>44</v>
      </c>
      <c r="T959" s="1" t="s">
        <v>93</v>
      </c>
      <c r="V959" s="1" t="s">
        <v>183</v>
      </c>
      <c r="Y959" s="1" t="s">
        <v>461</v>
      </c>
      <c r="Z959" s="1" t="str">
        <f t="shared" si="42"/>
        <v>2869 5</v>
      </c>
      <c r="AA959" s="3">
        <f>IF(INDEX('CAMD Facility Data 2023'!$AA$2:$AE$10000,MATCH(Z959,'CAMD Facility Data 2023'!$AE$2:$AE$10000,0),1)&gt;0,INDEX('CAMD Facility Data 2023'!$AA$2:$AE$10000,MATCH(Z959,'CAMD Facility Data 2023'!$AE$2:$AE$10000,0),1),"")</f>
        <v>36942</v>
      </c>
      <c r="AB959" s="5">
        <f>IF(INDEX('CAMD Facility Data 2023'!$AC$2:$AE$10000,MATCH(Z959,'CAMD Facility Data 2023'!$AE$2:$AE$10000,0),1)&gt;0,INDEX('CAMD Facility Data 2023'!$AC$2:$AE$10000,MATCH(Z959,'CAMD Facility Data 2023'!$AE$2:$AE$10000,0),1),"")</f>
        <v>1100</v>
      </c>
      <c r="AC959" s="1" t="str">
        <f>IF(INDEX('CAMD Facility Data 2023'!$AE$2:$AG$10000,MATCH(Z959,'CAMD Facility Data 2023'!$AE$2:$AE$10000,0),3)&gt;0,INDEX('CAMD Facility Data 2023'!$AE$2:$AG$10000,MATCH(Z959,'CAMD Facility Data 2023'!$AE$2:$AE$10000,0),3),"")</f>
        <v/>
      </c>
      <c r="AD959" s="20">
        <f t="shared" si="43"/>
        <v>0.32162311156314077</v>
      </c>
      <c r="AE959" s="25">
        <f t="shared" si="44"/>
        <v>0.22316674833955999</v>
      </c>
    </row>
    <row r="960" spans="1:31" x14ac:dyDescent="0.2">
      <c r="A960" s="1" t="s">
        <v>2430</v>
      </c>
      <c r="B960" s="1" t="s">
        <v>2471</v>
      </c>
      <c r="C960" s="1">
        <v>2869</v>
      </c>
      <c r="D960" s="1">
        <v>6</v>
      </c>
      <c r="F960" s="1">
        <v>2023</v>
      </c>
      <c r="G960" s="5">
        <v>3715</v>
      </c>
      <c r="H960" s="5">
        <v>3397.67</v>
      </c>
      <c r="I960" s="5">
        <v>246240.13</v>
      </c>
      <c r="K960" s="5">
        <v>0.88</v>
      </c>
      <c r="L960" s="5">
        <v>1E-3</v>
      </c>
      <c r="M960" s="5">
        <v>174144.89799999999</v>
      </c>
      <c r="N960" s="6">
        <v>5.9200000000000003E-2</v>
      </c>
      <c r="O960" s="5">
        <v>41.624000000000002</v>
      </c>
      <c r="P960" s="6">
        <v>3.3000000000000002E-2</v>
      </c>
      <c r="Q960" s="5">
        <v>2928646.2340000002</v>
      </c>
      <c r="R960" s="1" t="s">
        <v>94</v>
      </c>
      <c r="S960" s="1" t="s">
        <v>44</v>
      </c>
      <c r="T960" s="1" t="s">
        <v>93</v>
      </c>
      <c r="V960" s="1" t="s">
        <v>183</v>
      </c>
      <c r="Y960" s="1" t="s">
        <v>461</v>
      </c>
      <c r="Z960" s="1" t="str">
        <f t="shared" si="42"/>
        <v>2869 6</v>
      </c>
      <c r="AA960" s="3">
        <f>IF(INDEX('CAMD Facility Data 2023'!$AA$2:$AE$10000,MATCH(Z960,'CAMD Facility Data 2023'!$AE$2:$AE$10000,0),1)&gt;0,INDEX('CAMD Facility Data 2023'!$AA$2:$AE$10000,MATCH(Z960,'CAMD Facility Data 2023'!$AE$2:$AE$10000,0),1),"")</f>
        <v>36942</v>
      </c>
      <c r="AB960" s="5">
        <f>IF(INDEX('CAMD Facility Data 2023'!$AC$2:$AE$10000,MATCH(Z960,'CAMD Facility Data 2023'!$AE$2:$AE$10000,0),1)&gt;0,INDEX('CAMD Facility Data 2023'!$AC$2:$AE$10000,MATCH(Z960,'CAMD Facility Data 2023'!$AE$2:$AE$10000,0),1),"")</f>
        <v>1110</v>
      </c>
      <c r="AC960" s="1" t="str">
        <f>IF(INDEX('CAMD Facility Data 2023'!$AE$2:$AG$10000,MATCH(Z960,'CAMD Facility Data 2023'!$AE$2:$AE$10000,0),3)&gt;0,INDEX('CAMD Facility Data 2023'!$AE$2:$AG$10000,MATCH(Z960,'CAMD Facility Data 2023'!$AE$2:$AE$10000,0),3),"")</f>
        <v/>
      </c>
      <c r="AD960" s="20">
        <f t="shared" si="43"/>
        <v>0.33807649468021317</v>
      </c>
      <c r="AE960" s="25">
        <f t="shared" si="44"/>
        <v>0.30118950121354232</v>
      </c>
    </row>
    <row r="961" spans="1:31" x14ac:dyDescent="0.2">
      <c r="A961" s="1" t="s">
        <v>2430</v>
      </c>
      <c r="B961" s="1" t="s">
        <v>2482</v>
      </c>
      <c r="C961" s="1">
        <v>2876</v>
      </c>
      <c r="D961" s="1">
        <v>1</v>
      </c>
      <c r="E961" s="1" t="s">
        <v>1177</v>
      </c>
      <c r="F961" s="1">
        <v>2023</v>
      </c>
      <c r="G961" s="5">
        <v>6802</v>
      </c>
      <c r="H961" s="5">
        <v>6795.15</v>
      </c>
      <c r="I961" s="5">
        <v>1052597.58</v>
      </c>
      <c r="K961" s="5">
        <v>657.279</v>
      </c>
      <c r="L961" s="5">
        <v>0.1265</v>
      </c>
      <c r="M961" s="5">
        <v>1043846.61</v>
      </c>
      <c r="N961" s="6">
        <v>0.10299999999999999</v>
      </c>
      <c r="O961" s="5">
        <v>649.399</v>
      </c>
      <c r="P961" s="6">
        <v>0.12959999999999999</v>
      </c>
      <c r="Q961" s="5">
        <v>10173955.470000001</v>
      </c>
      <c r="R961" s="1" t="s">
        <v>55</v>
      </c>
      <c r="T961" s="1" t="s">
        <v>1059</v>
      </c>
      <c r="U961" s="1" t="s">
        <v>1077</v>
      </c>
      <c r="V961" s="1" t="s">
        <v>1010</v>
      </c>
      <c r="W961" s="1" t="s">
        <v>331</v>
      </c>
      <c r="Y961" s="1" t="s">
        <v>1005</v>
      </c>
      <c r="Z961" s="1" t="str">
        <f t="shared" si="42"/>
        <v>2876 1</v>
      </c>
      <c r="AA961" s="3">
        <f>IF(INDEX('CAMD Facility Data 2023'!$AA$2:$AE$10000,MATCH(Z961,'CAMD Facility Data 2023'!$AE$2:$AE$10000,0),1)&gt;0,INDEX('CAMD Facility Data 2023'!$AA$2:$AE$10000,MATCH(Z961,'CAMD Facility Data 2023'!$AE$2:$AE$10000,0),1),"")</f>
        <v>20135</v>
      </c>
      <c r="AB961" s="5">
        <f>IF(INDEX('CAMD Facility Data 2023'!$AC$2:$AE$10000,MATCH(Z961,'CAMD Facility Data 2023'!$AE$2:$AE$10000,0),1)&gt;0,INDEX('CAMD Facility Data 2023'!$AC$2:$AE$10000,MATCH(Z961,'CAMD Facility Data 2023'!$AE$2:$AE$10000,0),1),"")</f>
        <v>2629.6</v>
      </c>
      <c r="AC961" s="1" t="str">
        <f>IF(INDEX('CAMD Facility Data 2023'!$AE$2:$AG$10000,MATCH(Z961,'CAMD Facility Data 2023'!$AE$2:$AE$10000,0),3)&gt;0,INDEX('CAMD Facility Data 2023'!$AE$2:$AG$10000,MATCH(Z961,'CAMD Facility Data 2023'!$AE$2:$AE$10000,0),3),"")</f>
        <v>Y</v>
      </c>
      <c r="AD961" s="20">
        <f t="shared" si="43"/>
        <v>1.2338979536700054</v>
      </c>
      <c r="AE961" s="25">
        <f t="shared" si="44"/>
        <v>0.44166810228963416</v>
      </c>
    </row>
    <row r="962" spans="1:31" x14ac:dyDescent="0.2">
      <c r="A962" s="1" t="s">
        <v>2430</v>
      </c>
      <c r="B962" s="1" t="s">
        <v>2482</v>
      </c>
      <c r="C962" s="1">
        <v>2876</v>
      </c>
      <c r="D962" s="1">
        <v>2</v>
      </c>
      <c r="E962" s="1" t="s">
        <v>1177</v>
      </c>
      <c r="F962" s="1">
        <v>2023</v>
      </c>
      <c r="G962" s="5">
        <v>6943</v>
      </c>
      <c r="H962" s="5">
        <v>6932.59</v>
      </c>
      <c r="I962" s="5">
        <v>1053506.73</v>
      </c>
      <c r="K962" s="5">
        <v>668.57799999999997</v>
      </c>
      <c r="L962" s="5">
        <v>0.15709999999999999</v>
      </c>
      <c r="M962" s="5">
        <v>1048070.005</v>
      </c>
      <c r="N962" s="6">
        <v>0.10299999999999999</v>
      </c>
      <c r="O962" s="5">
        <v>609.87</v>
      </c>
      <c r="P962" s="6">
        <v>0.1245</v>
      </c>
      <c r="Q962" s="5">
        <v>10215125.231000001</v>
      </c>
      <c r="R962" s="1" t="s">
        <v>55</v>
      </c>
      <c r="T962" s="1" t="s">
        <v>1059</v>
      </c>
      <c r="U962" s="1" t="s">
        <v>1077</v>
      </c>
      <c r="V962" s="1" t="s">
        <v>1010</v>
      </c>
      <c r="W962" s="1" t="s">
        <v>331</v>
      </c>
      <c r="Y962" s="1" t="s">
        <v>1005</v>
      </c>
      <c r="Z962" s="1" t="str">
        <f t="shared" si="42"/>
        <v>2876 2</v>
      </c>
      <c r="AA962" s="3">
        <f>IF(INDEX('CAMD Facility Data 2023'!$AA$2:$AE$10000,MATCH(Z962,'CAMD Facility Data 2023'!$AE$2:$AE$10000,0),1)&gt;0,INDEX('CAMD Facility Data 2023'!$AA$2:$AE$10000,MATCH(Z962,'CAMD Facility Data 2023'!$AE$2:$AE$10000,0),1),"")</f>
        <v>20264</v>
      </c>
      <c r="AB962" s="5">
        <f>IF(INDEX('CAMD Facility Data 2023'!$AC$2:$AE$10000,MATCH(Z962,'CAMD Facility Data 2023'!$AE$2:$AE$10000,0),1)&gt;0,INDEX('CAMD Facility Data 2023'!$AC$2:$AE$10000,MATCH(Z962,'CAMD Facility Data 2023'!$AE$2:$AE$10000,0),1),"")</f>
        <v>2629.6</v>
      </c>
      <c r="AC962" s="1" t="str">
        <f>IF(INDEX('CAMD Facility Data 2023'!$AE$2:$AG$10000,MATCH(Z962,'CAMD Facility Data 2023'!$AE$2:$AE$10000,0),3)&gt;0,INDEX('CAMD Facility Data 2023'!$AE$2:$AG$10000,MATCH(Z962,'CAMD Facility Data 2023'!$AE$2:$AE$10000,0),3),"")</f>
        <v>Y</v>
      </c>
      <c r="AD962" s="20">
        <f t="shared" si="43"/>
        <v>1.1577904205699758</v>
      </c>
      <c r="AE962" s="25">
        <f t="shared" si="44"/>
        <v>0.4434553491737202</v>
      </c>
    </row>
    <row r="963" spans="1:31" x14ac:dyDescent="0.2">
      <c r="A963" s="1" t="s">
        <v>2430</v>
      </c>
      <c r="B963" s="1" t="s">
        <v>2482</v>
      </c>
      <c r="C963" s="1">
        <v>2876</v>
      </c>
      <c r="D963" s="1">
        <v>3</v>
      </c>
      <c r="E963" s="1" t="s">
        <v>2486</v>
      </c>
      <c r="F963" s="1">
        <v>2023</v>
      </c>
      <c r="G963" s="5">
        <v>7099</v>
      </c>
      <c r="H963" s="5">
        <v>7081.25</v>
      </c>
      <c r="I963" s="5">
        <v>1001151.44</v>
      </c>
      <c r="K963" s="5">
        <v>642.17700000000002</v>
      </c>
      <c r="L963" s="5">
        <v>0.1202</v>
      </c>
      <c r="M963" s="5">
        <v>1046042.0330000001</v>
      </c>
      <c r="N963" s="6">
        <v>0.10299999999999999</v>
      </c>
      <c r="O963" s="5">
        <v>584.97299999999996</v>
      </c>
      <c r="P963" s="6">
        <v>0.1188</v>
      </c>
      <c r="Q963" s="5">
        <v>10195343.061000001</v>
      </c>
      <c r="R963" s="1" t="s">
        <v>55</v>
      </c>
      <c r="T963" s="1" t="s">
        <v>1059</v>
      </c>
      <c r="U963" s="1" t="s">
        <v>1077</v>
      </c>
      <c r="V963" s="1" t="s">
        <v>1010</v>
      </c>
      <c r="W963" s="1" t="s">
        <v>331</v>
      </c>
      <c r="Y963" s="1" t="s">
        <v>1005</v>
      </c>
      <c r="Z963" s="1" t="str">
        <f t="shared" ref="Z963:Z1026" si="45">C963&amp;" "&amp;D963</f>
        <v>2876 3</v>
      </c>
      <c r="AA963" s="3">
        <f>IF(INDEX('CAMD Facility Data 2023'!$AA$2:$AE$10000,MATCH(Z963,'CAMD Facility Data 2023'!$AE$2:$AE$10000,0),1)&gt;0,INDEX('CAMD Facility Data 2023'!$AA$2:$AE$10000,MATCH(Z963,'CAMD Facility Data 2023'!$AE$2:$AE$10000,0),1),"")</f>
        <v>20333</v>
      </c>
      <c r="AB963" s="5">
        <f>IF(INDEX('CAMD Facility Data 2023'!$AC$2:$AE$10000,MATCH(Z963,'CAMD Facility Data 2023'!$AE$2:$AE$10000,0),1)&gt;0,INDEX('CAMD Facility Data 2023'!$AC$2:$AE$10000,MATCH(Z963,'CAMD Facility Data 2023'!$AE$2:$AE$10000,0),1),"")</f>
        <v>2629.6</v>
      </c>
      <c r="AC963" s="1" t="str">
        <f>IF(INDEX('CAMD Facility Data 2023'!$AE$2:$AG$10000,MATCH(Z963,'CAMD Facility Data 2023'!$AE$2:$AE$10000,0),3)&gt;0,INDEX('CAMD Facility Data 2023'!$AE$2:$AG$10000,MATCH(Z963,'CAMD Facility Data 2023'!$AE$2:$AE$10000,0),3),"")</f>
        <v>Y</v>
      </c>
      <c r="AD963" s="20">
        <f t="shared" ref="AD963:AD1026" si="46">IF(ISNUMBER(O963*2000/I963),O963*2000/I963,"")</f>
        <v>1.1686004267246521</v>
      </c>
      <c r="AE963" s="25">
        <f t="shared" ref="AE963:AE1026" si="47">Q963/(AB963*8760)</f>
        <v>0.44259657271172032</v>
      </c>
    </row>
    <row r="964" spans="1:31" x14ac:dyDescent="0.2">
      <c r="A964" s="1" t="s">
        <v>2430</v>
      </c>
      <c r="B964" s="1" t="s">
        <v>2482</v>
      </c>
      <c r="C964" s="1">
        <v>2876</v>
      </c>
      <c r="D964" s="1">
        <v>4</v>
      </c>
      <c r="E964" s="1" t="s">
        <v>2486</v>
      </c>
      <c r="F964" s="1">
        <v>2023</v>
      </c>
      <c r="G964" s="5">
        <v>7080</v>
      </c>
      <c r="H964" s="5">
        <v>7064.13</v>
      </c>
      <c r="I964" s="5">
        <v>1028683.21</v>
      </c>
      <c r="K964" s="5">
        <v>668.95600000000002</v>
      </c>
      <c r="L964" s="5">
        <v>0.1217</v>
      </c>
      <c r="M964" s="5">
        <v>1071854.7930000001</v>
      </c>
      <c r="N964" s="6">
        <v>0.10299999999999999</v>
      </c>
      <c r="O964" s="5">
        <v>629.245</v>
      </c>
      <c r="P964" s="6">
        <v>0.1227</v>
      </c>
      <c r="Q964" s="5">
        <v>10446923.908</v>
      </c>
      <c r="R964" s="1" t="s">
        <v>55</v>
      </c>
      <c r="T964" s="1" t="s">
        <v>1059</v>
      </c>
      <c r="U964" s="1" t="s">
        <v>1077</v>
      </c>
      <c r="V964" s="1" t="s">
        <v>1010</v>
      </c>
      <c r="W964" s="1" t="s">
        <v>331</v>
      </c>
      <c r="Y964" s="1" t="s">
        <v>1005</v>
      </c>
      <c r="Z964" s="1" t="str">
        <f t="shared" si="45"/>
        <v>2876 4</v>
      </c>
      <c r="AA964" s="3">
        <f>IF(INDEX('CAMD Facility Data 2023'!$AA$2:$AE$10000,MATCH(Z964,'CAMD Facility Data 2023'!$AE$2:$AE$10000,0),1)&gt;0,INDEX('CAMD Facility Data 2023'!$AA$2:$AE$10000,MATCH(Z964,'CAMD Facility Data 2023'!$AE$2:$AE$10000,0),1),"")</f>
        <v>20408</v>
      </c>
      <c r="AB964" s="5">
        <f>IF(INDEX('CAMD Facility Data 2023'!$AC$2:$AE$10000,MATCH(Z964,'CAMD Facility Data 2023'!$AE$2:$AE$10000,0),1)&gt;0,INDEX('CAMD Facility Data 2023'!$AC$2:$AE$10000,MATCH(Z964,'CAMD Facility Data 2023'!$AE$2:$AE$10000,0),1),"")</f>
        <v>2629.6</v>
      </c>
      <c r="AC964" s="1" t="str">
        <f>IF(INDEX('CAMD Facility Data 2023'!$AE$2:$AG$10000,MATCH(Z964,'CAMD Facility Data 2023'!$AE$2:$AE$10000,0),3)&gt;0,INDEX('CAMD Facility Data 2023'!$AE$2:$AG$10000,MATCH(Z964,'CAMD Facility Data 2023'!$AE$2:$AE$10000,0),3),"")</f>
        <v>Y</v>
      </c>
      <c r="AD964" s="20">
        <f t="shared" si="46"/>
        <v>1.2233989898600561</v>
      </c>
      <c r="AE964" s="25">
        <f t="shared" si="47"/>
        <v>0.45351811012109416</v>
      </c>
    </row>
    <row r="965" spans="1:31" x14ac:dyDescent="0.2">
      <c r="A965" s="1" t="s">
        <v>2430</v>
      </c>
      <c r="B965" s="1" t="s">
        <v>2482</v>
      </c>
      <c r="C965" s="1">
        <v>2876</v>
      </c>
      <c r="D965" s="1">
        <v>5</v>
      </c>
      <c r="E965" s="1" t="s">
        <v>2486</v>
      </c>
      <c r="F965" s="1">
        <v>2023</v>
      </c>
      <c r="G965" s="5">
        <v>7422</v>
      </c>
      <c r="H965" s="5">
        <v>7404.06</v>
      </c>
      <c r="I965" s="5">
        <v>1076461.53</v>
      </c>
      <c r="K965" s="5">
        <v>660.69200000000001</v>
      </c>
      <c r="L965" s="5">
        <v>0.11700000000000001</v>
      </c>
      <c r="M965" s="5">
        <v>1126743.5989999999</v>
      </c>
      <c r="N965" s="6">
        <v>0.10299999999999999</v>
      </c>
      <c r="O965" s="5">
        <v>671.21600000000001</v>
      </c>
      <c r="P965" s="6">
        <v>0.1241</v>
      </c>
      <c r="Q965" s="5">
        <v>10981905.937000001</v>
      </c>
      <c r="R965" s="1" t="s">
        <v>55</v>
      </c>
      <c r="T965" s="1" t="s">
        <v>1059</v>
      </c>
      <c r="U965" s="1" t="s">
        <v>1077</v>
      </c>
      <c r="V965" s="1" t="s">
        <v>1010</v>
      </c>
      <c r="W965" s="1" t="s">
        <v>331</v>
      </c>
      <c r="Y965" s="1" t="s">
        <v>1005</v>
      </c>
      <c r="Z965" s="1" t="str">
        <f t="shared" si="45"/>
        <v>2876 5</v>
      </c>
      <c r="AA965" s="3">
        <f>IF(INDEX('CAMD Facility Data 2023'!$AA$2:$AE$10000,MATCH(Z965,'CAMD Facility Data 2023'!$AE$2:$AE$10000,0),1)&gt;0,INDEX('CAMD Facility Data 2023'!$AA$2:$AE$10000,MATCH(Z965,'CAMD Facility Data 2023'!$AE$2:$AE$10000,0),1),"")</f>
        <v>20445</v>
      </c>
      <c r="AB965" s="5">
        <f>IF(INDEX('CAMD Facility Data 2023'!$AC$2:$AE$10000,MATCH(Z965,'CAMD Facility Data 2023'!$AE$2:$AE$10000,0),1)&gt;0,INDEX('CAMD Facility Data 2023'!$AC$2:$AE$10000,MATCH(Z965,'CAMD Facility Data 2023'!$AE$2:$AE$10000,0),1),"")</f>
        <v>2629.6</v>
      </c>
      <c r="AC965" s="1" t="str">
        <f>IF(INDEX('CAMD Facility Data 2023'!$AE$2:$AG$10000,MATCH(Z965,'CAMD Facility Data 2023'!$AE$2:$AE$10000,0),3)&gt;0,INDEX('CAMD Facility Data 2023'!$AE$2:$AG$10000,MATCH(Z965,'CAMD Facility Data 2023'!$AE$2:$AE$10000,0),3),"")</f>
        <v>Y</v>
      </c>
      <c r="AD965" s="20">
        <f t="shared" si="46"/>
        <v>1.2470784720007597</v>
      </c>
      <c r="AE965" s="25">
        <f t="shared" si="47"/>
        <v>0.47674255789897385</v>
      </c>
    </row>
    <row r="966" spans="1:31" x14ac:dyDescent="0.2">
      <c r="A966" s="1" t="s">
        <v>2430</v>
      </c>
      <c r="B966" s="1" t="s">
        <v>2487</v>
      </c>
      <c r="C966" s="1">
        <v>2878</v>
      </c>
      <c r="D966" s="1">
        <v>1</v>
      </c>
      <c r="F966" s="1">
        <v>2023</v>
      </c>
      <c r="G966" s="5">
        <v>7777</v>
      </c>
      <c r="H966" s="5">
        <v>7757.59</v>
      </c>
      <c r="J966" s="5">
        <v>9247345.6899999995</v>
      </c>
      <c r="K966" s="5">
        <v>2337.5630000000001</v>
      </c>
      <c r="L966" s="5">
        <v>0.36249999999999999</v>
      </c>
      <c r="M966" s="5">
        <v>1338817.8600000001</v>
      </c>
      <c r="N966" s="6">
        <v>0.105</v>
      </c>
      <c r="O966" s="5">
        <v>458.84100000000001</v>
      </c>
      <c r="P966" s="6">
        <v>7.3599999999999999E-2</v>
      </c>
      <c r="Q966" s="5">
        <v>12696221.384</v>
      </c>
      <c r="R966" s="1" t="s">
        <v>2492</v>
      </c>
      <c r="S966" s="1" t="s">
        <v>55</v>
      </c>
      <c r="T966" s="1" t="s">
        <v>885</v>
      </c>
      <c r="U966" s="1" t="s">
        <v>212</v>
      </c>
      <c r="V966" s="1" t="s">
        <v>220</v>
      </c>
      <c r="W966" s="1" t="s">
        <v>232</v>
      </c>
      <c r="X966" s="1" t="s">
        <v>214</v>
      </c>
      <c r="Y966" s="1" t="s">
        <v>1005</v>
      </c>
      <c r="Z966" s="1" t="str">
        <f t="shared" si="45"/>
        <v>2878 1</v>
      </c>
      <c r="AA966" s="3">
        <f>IF(INDEX('CAMD Facility Data 2023'!$AA$2:$AE$10000,MATCH(Z966,'CAMD Facility Data 2023'!$AE$2:$AE$10000,0),1)&gt;0,INDEX('CAMD Facility Data 2023'!$AA$2:$AE$10000,MATCH(Z966,'CAMD Facility Data 2023'!$AE$2:$AE$10000,0),1),"")</f>
        <v>20302</v>
      </c>
      <c r="AB966" s="5">
        <f>IF(INDEX('CAMD Facility Data 2023'!$AC$2:$AE$10000,MATCH(Z966,'CAMD Facility Data 2023'!$AE$2:$AE$10000,0),1)&gt;0,INDEX('CAMD Facility Data 2023'!$AC$2:$AE$10000,MATCH(Z966,'CAMD Facility Data 2023'!$AE$2:$AE$10000,0),1),"")</f>
        <v>2259.5</v>
      </c>
      <c r="AC966" s="1" t="str">
        <f>IF(INDEX('CAMD Facility Data 2023'!$AE$2:$AG$10000,MATCH(Z966,'CAMD Facility Data 2023'!$AE$2:$AE$10000,0),3)&gt;0,INDEX('CAMD Facility Data 2023'!$AE$2:$AG$10000,MATCH(Z966,'CAMD Facility Data 2023'!$AE$2:$AE$10000,0),3),"")</f>
        <v/>
      </c>
      <c r="AD966" s="20" t="str">
        <f t="shared" si="46"/>
        <v/>
      </c>
      <c r="AE966" s="25">
        <f t="shared" si="47"/>
        <v>0.64144294783769384</v>
      </c>
    </row>
    <row r="967" spans="1:31" x14ac:dyDescent="0.2">
      <c r="A967" s="1" t="s">
        <v>2430</v>
      </c>
      <c r="B967" s="1" t="s">
        <v>2494</v>
      </c>
      <c r="C967" s="1">
        <v>2880</v>
      </c>
      <c r="D967" s="1" t="s">
        <v>2495</v>
      </c>
      <c r="F967" s="1">
        <v>2023</v>
      </c>
      <c r="G967" s="5">
        <v>1190</v>
      </c>
      <c r="H967" s="5">
        <v>1032.9100000000001</v>
      </c>
      <c r="I967" s="5">
        <v>96712.99</v>
      </c>
      <c r="K967" s="5">
        <v>0.38400000000000001</v>
      </c>
      <c r="L967" s="5">
        <v>1E-3</v>
      </c>
      <c r="M967" s="5">
        <v>76071.072</v>
      </c>
      <c r="N967" s="6">
        <v>5.8999999999999997E-2</v>
      </c>
      <c r="O967" s="5">
        <v>54.87</v>
      </c>
      <c r="P967" s="6">
        <v>8.9899999999999994E-2</v>
      </c>
      <c r="Q967" s="5">
        <v>1280031.1240000001</v>
      </c>
      <c r="R967" s="1" t="s">
        <v>44</v>
      </c>
      <c r="T967" s="1" t="s">
        <v>93</v>
      </c>
      <c r="V967" s="1" t="s">
        <v>95</v>
      </c>
      <c r="Y967" s="1" t="s">
        <v>461</v>
      </c>
      <c r="Z967" s="1" t="str">
        <f t="shared" si="45"/>
        <v>2880 CTG4</v>
      </c>
      <c r="AA967" s="3">
        <f>IF(INDEX('CAMD Facility Data 2023'!$AA$2:$AE$10000,MATCH(Z967,'CAMD Facility Data 2023'!$AE$2:$AE$10000,0),1)&gt;0,INDEX('CAMD Facility Data 2023'!$AA$2:$AE$10000,MATCH(Z967,'CAMD Facility Data 2023'!$AE$2:$AE$10000,0),1),"")</f>
        <v>36595</v>
      </c>
      <c r="AB967" s="5">
        <f>IF(INDEX('CAMD Facility Data 2023'!$AC$2:$AE$10000,MATCH(Z967,'CAMD Facility Data 2023'!$AE$2:$AE$10000,0),1)&gt;0,INDEX('CAMD Facility Data 2023'!$AC$2:$AE$10000,MATCH(Z967,'CAMD Facility Data 2023'!$AE$2:$AE$10000,0),1),"")</f>
        <v>1673</v>
      </c>
      <c r="AC967" s="1" t="str">
        <f>IF(INDEX('CAMD Facility Data 2023'!$AE$2:$AG$10000,MATCH(Z967,'CAMD Facility Data 2023'!$AE$2:$AE$10000,0),3)&gt;0,INDEX('CAMD Facility Data 2023'!$AE$2:$AG$10000,MATCH(Z967,'CAMD Facility Data 2023'!$AE$2:$AE$10000,0),3),"")</f>
        <v/>
      </c>
      <c r="AD967" s="20">
        <f t="shared" si="46"/>
        <v>1.1346976243832394</v>
      </c>
      <c r="AE967" s="25">
        <f t="shared" si="47"/>
        <v>8.7341467082620292E-2</v>
      </c>
    </row>
    <row r="968" spans="1:31" x14ac:dyDescent="0.2">
      <c r="A968" s="1" t="s">
        <v>2430</v>
      </c>
      <c r="B968" s="1" t="s">
        <v>2494</v>
      </c>
      <c r="C968" s="1">
        <v>2880</v>
      </c>
      <c r="D968" s="1" t="s">
        <v>2500</v>
      </c>
      <c r="F968" s="1">
        <v>2023</v>
      </c>
      <c r="G968" s="5">
        <v>785</v>
      </c>
      <c r="H968" s="5">
        <v>682.66</v>
      </c>
      <c r="I968" s="5">
        <v>63055.7</v>
      </c>
      <c r="K968" s="5">
        <v>0.255</v>
      </c>
      <c r="L968" s="5">
        <v>1E-3</v>
      </c>
      <c r="M968" s="5">
        <v>50500.237999999998</v>
      </c>
      <c r="N968" s="6">
        <v>5.8999999999999997E-2</v>
      </c>
      <c r="O968" s="5">
        <v>35.874000000000002</v>
      </c>
      <c r="P968" s="6">
        <v>8.7099999999999997E-2</v>
      </c>
      <c r="Q968" s="5">
        <v>849757.09900000005</v>
      </c>
      <c r="R968" s="1" t="s">
        <v>44</v>
      </c>
      <c r="T968" s="1" t="s">
        <v>93</v>
      </c>
      <c r="V968" s="1" t="s">
        <v>95</v>
      </c>
      <c r="Y968" s="1" t="s">
        <v>461</v>
      </c>
      <c r="Z968" s="1" t="str">
        <f t="shared" si="45"/>
        <v>2880 CTG5</v>
      </c>
      <c r="AA968" s="3">
        <f>IF(INDEX('CAMD Facility Data 2023'!$AA$2:$AE$10000,MATCH(Z968,'CAMD Facility Data 2023'!$AE$2:$AE$10000,0),1)&gt;0,INDEX('CAMD Facility Data 2023'!$AA$2:$AE$10000,MATCH(Z968,'CAMD Facility Data 2023'!$AE$2:$AE$10000,0),1),"")</f>
        <v>36653</v>
      </c>
      <c r="AB968" s="5">
        <f>IF(INDEX('CAMD Facility Data 2023'!$AC$2:$AE$10000,MATCH(Z968,'CAMD Facility Data 2023'!$AE$2:$AE$10000,0),1)&gt;0,INDEX('CAMD Facility Data 2023'!$AC$2:$AE$10000,MATCH(Z968,'CAMD Facility Data 2023'!$AE$2:$AE$10000,0),1),"")</f>
        <v>1673</v>
      </c>
      <c r="AC968" s="1" t="str">
        <f>IF(INDEX('CAMD Facility Data 2023'!$AE$2:$AG$10000,MATCH(Z968,'CAMD Facility Data 2023'!$AE$2:$AE$10000,0),3)&gt;0,INDEX('CAMD Facility Data 2023'!$AE$2:$AG$10000,MATCH(Z968,'CAMD Facility Data 2023'!$AE$2:$AE$10000,0),3),"")</f>
        <v/>
      </c>
      <c r="AD968" s="20">
        <f t="shared" si="46"/>
        <v>1.137851137962151</v>
      </c>
      <c r="AE968" s="25">
        <f t="shared" si="47"/>
        <v>5.7982208634585836E-2</v>
      </c>
    </row>
    <row r="969" spans="1:31" x14ac:dyDescent="0.2">
      <c r="A969" s="1" t="s">
        <v>2430</v>
      </c>
      <c r="B969" s="1" t="s">
        <v>2494</v>
      </c>
      <c r="C969" s="1">
        <v>2880</v>
      </c>
      <c r="D969" s="1" t="s">
        <v>2502</v>
      </c>
      <c r="F969" s="1">
        <v>2023</v>
      </c>
      <c r="G969" s="5">
        <v>961</v>
      </c>
      <c r="H969" s="5">
        <v>829.75</v>
      </c>
      <c r="I969" s="5">
        <v>73822.78</v>
      </c>
      <c r="K969" s="5">
        <v>0.29799999999999999</v>
      </c>
      <c r="L969" s="5">
        <v>1E-3</v>
      </c>
      <c r="M969" s="5">
        <v>58980.264999999999</v>
      </c>
      <c r="N969" s="6">
        <v>5.8999999999999997E-2</v>
      </c>
      <c r="O969" s="5">
        <v>42.033000000000001</v>
      </c>
      <c r="P969" s="6">
        <v>8.8200000000000001E-2</v>
      </c>
      <c r="Q969" s="5">
        <v>992477.19900000002</v>
      </c>
      <c r="R969" s="1" t="s">
        <v>44</v>
      </c>
      <c r="T969" s="1" t="s">
        <v>93</v>
      </c>
      <c r="V969" s="1" t="s">
        <v>95</v>
      </c>
      <c r="Y969" s="1" t="s">
        <v>461</v>
      </c>
      <c r="Z969" s="1" t="str">
        <f t="shared" si="45"/>
        <v>2880 CTG6</v>
      </c>
      <c r="AA969" s="3">
        <f>IF(INDEX('CAMD Facility Data 2023'!$AA$2:$AE$10000,MATCH(Z969,'CAMD Facility Data 2023'!$AE$2:$AE$10000,0),1)&gt;0,INDEX('CAMD Facility Data 2023'!$AA$2:$AE$10000,MATCH(Z969,'CAMD Facility Data 2023'!$AE$2:$AE$10000,0),1),"")</f>
        <v>36595</v>
      </c>
      <c r="AB969" s="5">
        <f>IF(INDEX('CAMD Facility Data 2023'!$AC$2:$AE$10000,MATCH(Z969,'CAMD Facility Data 2023'!$AE$2:$AE$10000,0),1)&gt;0,INDEX('CAMD Facility Data 2023'!$AC$2:$AE$10000,MATCH(Z969,'CAMD Facility Data 2023'!$AE$2:$AE$10000,0),1),"")</f>
        <v>1673</v>
      </c>
      <c r="AC969" s="1" t="str">
        <f>IF(INDEX('CAMD Facility Data 2023'!$AE$2:$AG$10000,MATCH(Z969,'CAMD Facility Data 2023'!$AE$2:$AE$10000,0),3)&gt;0,INDEX('CAMD Facility Data 2023'!$AE$2:$AG$10000,MATCH(Z969,'CAMD Facility Data 2023'!$AE$2:$AE$10000,0),3),"")</f>
        <v/>
      </c>
      <c r="AD969" s="20">
        <f t="shared" si="46"/>
        <v>1.1387541894249986</v>
      </c>
      <c r="AE969" s="25">
        <f t="shared" si="47"/>
        <v>6.7720552243938789E-2</v>
      </c>
    </row>
    <row r="970" spans="1:31" x14ac:dyDescent="0.2">
      <c r="A970" s="1" t="s">
        <v>335</v>
      </c>
      <c r="B970" s="1" t="s">
        <v>2504</v>
      </c>
      <c r="C970" s="1">
        <v>2951</v>
      </c>
      <c r="D970" s="1">
        <v>10</v>
      </c>
      <c r="F970" s="1">
        <v>2023</v>
      </c>
      <c r="G970" s="5">
        <v>589</v>
      </c>
      <c r="H970" s="5">
        <v>523.42999999999995</v>
      </c>
      <c r="I970" s="5">
        <v>22212.74</v>
      </c>
      <c r="K970" s="5">
        <v>6.6000000000000003E-2</v>
      </c>
      <c r="L970" s="5">
        <v>1E-3</v>
      </c>
      <c r="M970" s="5">
        <v>13100.441000000001</v>
      </c>
      <c r="N970" s="6">
        <v>5.9200000000000003E-2</v>
      </c>
      <c r="O970" s="5">
        <v>10.423999999999999</v>
      </c>
      <c r="P970" s="6">
        <v>0.1028</v>
      </c>
      <c r="Q970" s="5">
        <v>220443.995</v>
      </c>
      <c r="R970" s="1" t="s">
        <v>44</v>
      </c>
      <c r="T970" s="1" t="s">
        <v>93</v>
      </c>
      <c r="V970" s="1" t="s">
        <v>95</v>
      </c>
      <c r="Y970" s="1" t="s">
        <v>346</v>
      </c>
      <c r="Z970" s="1" t="str">
        <f t="shared" si="45"/>
        <v>2951 10</v>
      </c>
      <c r="AA970" s="3">
        <f>IF(INDEX('CAMD Facility Data 2023'!$AA$2:$AE$10000,MATCH(Z970,'CAMD Facility Data 2023'!$AE$2:$AE$10000,0),1)&gt;0,INDEX('CAMD Facility Data 2023'!$AA$2:$AE$10000,MATCH(Z970,'CAMD Facility Data 2023'!$AE$2:$AE$10000,0),1),"")</f>
        <v>36691</v>
      </c>
      <c r="AB970" s="5">
        <f>IF(INDEX('CAMD Facility Data 2023'!$AC$2:$AE$10000,MATCH(Z970,'CAMD Facility Data 2023'!$AE$2:$AE$10000,0),1)&gt;0,INDEX('CAMD Facility Data 2023'!$AC$2:$AE$10000,MATCH(Z970,'CAMD Facility Data 2023'!$AE$2:$AE$10000,0),1),"")</f>
        <v>550</v>
      </c>
      <c r="AC970" s="1" t="str">
        <f>IF(INDEX('CAMD Facility Data 2023'!$AE$2:$AG$10000,MATCH(Z970,'CAMD Facility Data 2023'!$AE$2:$AE$10000,0),3)&gt;0,INDEX('CAMD Facility Data 2023'!$AE$2:$AG$10000,MATCH(Z970,'CAMD Facility Data 2023'!$AE$2:$AE$10000,0),3),"")</f>
        <v/>
      </c>
      <c r="AD970" s="20">
        <f t="shared" si="46"/>
        <v>0.93856048375841961</v>
      </c>
      <c r="AE970" s="25">
        <f t="shared" si="47"/>
        <v>4.5754253839767535E-2</v>
      </c>
    </row>
    <row r="971" spans="1:31" x14ac:dyDescent="0.2">
      <c r="A971" s="1" t="s">
        <v>335</v>
      </c>
      <c r="B971" s="1" t="s">
        <v>2504</v>
      </c>
      <c r="C971" s="1">
        <v>2951</v>
      </c>
      <c r="D971" s="1">
        <v>6</v>
      </c>
      <c r="F971" s="1">
        <v>2023</v>
      </c>
      <c r="G971" s="5">
        <v>3140</v>
      </c>
      <c r="H971" s="5">
        <v>3117.58</v>
      </c>
      <c r="I971" s="5">
        <v>300279.95</v>
      </c>
      <c r="K971" s="5">
        <v>1.135</v>
      </c>
      <c r="L971" s="5">
        <v>1E-3</v>
      </c>
      <c r="M971" s="5">
        <v>224764.519</v>
      </c>
      <c r="N971" s="6">
        <v>5.8999999999999997E-2</v>
      </c>
      <c r="O971" s="5">
        <v>529.73</v>
      </c>
      <c r="P971" s="6">
        <v>0.24990000000000001</v>
      </c>
      <c r="Q971" s="5">
        <v>3781993.4339999999</v>
      </c>
      <c r="R971" s="1" t="s">
        <v>44</v>
      </c>
      <c r="S971" s="1" t="s">
        <v>173</v>
      </c>
      <c r="T971" s="1" t="s">
        <v>89</v>
      </c>
      <c r="Y971" s="1" t="s">
        <v>346</v>
      </c>
      <c r="Z971" s="1" t="str">
        <f t="shared" si="45"/>
        <v>2951 6</v>
      </c>
      <c r="AA971" s="3">
        <f>IF(INDEX('CAMD Facility Data 2023'!$AA$2:$AE$10000,MATCH(Z971,'CAMD Facility Data 2023'!$AE$2:$AE$10000,0),1)&gt;0,INDEX('CAMD Facility Data 2023'!$AA$2:$AE$10000,MATCH(Z971,'CAMD Facility Data 2023'!$AE$2:$AE$10000,0),1),"")</f>
        <v>21297</v>
      </c>
      <c r="AB971" s="5">
        <f>IF(INDEX('CAMD Facility Data 2023'!$AC$2:$AE$10000,MATCH(Z971,'CAMD Facility Data 2023'!$AE$2:$AE$10000,0),1)&gt;0,INDEX('CAMD Facility Data 2023'!$AC$2:$AE$10000,MATCH(Z971,'CAMD Facility Data 2023'!$AE$2:$AE$10000,0),1),"")</f>
        <v>2212</v>
      </c>
      <c r="AC971" s="1" t="str">
        <f>IF(INDEX('CAMD Facility Data 2023'!$AE$2:$AG$10000,MATCH(Z971,'CAMD Facility Data 2023'!$AE$2:$AE$10000,0),3)&gt;0,INDEX('CAMD Facility Data 2023'!$AE$2:$AG$10000,MATCH(Z971,'CAMD Facility Data 2023'!$AE$2:$AE$10000,0),3),"")</f>
        <v/>
      </c>
      <c r="AD971" s="20">
        <f t="shared" si="46"/>
        <v>3.5282408965367149</v>
      </c>
      <c r="AE971" s="25">
        <f t="shared" si="47"/>
        <v>0.1951783048254849</v>
      </c>
    </row>
    <row r="972" spans="1:31" x14ac:dyDescent="0.2">
      <c r="A972" s="1" t="s">
        <v>335</v>
      </c>
      <c r="B972" s="1" t="s">
        <v>2504</v>
      </c>
      <c r="C972" s="1">
        <v>2951</v>
      </c>
      <c r="D972" s="1">
        <v>7</v>
      </c>
      <c r="F972" s="1">
        <v>2023</v>
      </c>
      <c r="G972" s="5">
        <v>0</v>
      </c>
      <c r="H972" s="5">
        <v>0</v>
      </c>
      <c r="R972" s="1" t="s">
        <v>44</v>
      </c>
      <c r="S972" s="1" t="s">
        <v>173</v>
      </c>
      <c r="T972" s="1" t="s">
        <v>71</v>
      </c>
      <c r="Y972" s="1" t="s">
        <v>346</v>
      </c>
      <c r="Z972" s="1" t="str">
        <f t="shared" si="45"/>
        <v>2951 7</v>
      </c>
      <c r="AA972" s="3">
        <f>IF(INDEX('CAMD Facility Data 2023'!$AA$2:$AE$10000,MATCH(Z972,'CAMD Facility Data 2023'!$AE$2:$AE$10000,0),1)&gt;0,INDEX('CAMD Facility Data 2023'!$AA$2:$AE$10000,MATCH(Z972,'CAMD Facility Data 2023'!$AE$2:$AE$10000,0),1),"")</f>
        <v>23174</v>
      </c>
      <c r="AB972" s="5">
        <f>IF(INDEX('CAMD Facility Data 2023'!$AC$2:$AE$10000,MATCH(Z972,'CAMD Facility Data 2023'!$AE$2:$AE$10000,0),1)&gt;0,INDEX('CAMD Facility Data 2023'!$AC$2:$AE$10000,MATCH(Z972,'CAMD Facility Data 2023'!$AE$2:$AE$10000,0),1),"")</f>
        <v>3360</v>
      </c>
      <c r="AC972" s="1" t="str">
        <f>IF(INDEX('CAMD Facility Data 2023'!$AE$2:$AG$10000,MATCH(Z972,'CAMD Facility Data 2023'!$AE$2:$AE$10000,0),3)&gt;0,INDEX('CAMD Facility Data 2023'!$AE$2:$AG$10000,MATCH(Z972,'CAMD Facility Data 2023'!$AE$2:$AE$10000,0),3),"")</f>
        <v/>
      </c>
      <c r="AD972" s="20" t="str">
        <f t="shared" si="46"/>
        <v/>
      </c>
      <c r="AE972" s="25">
        <f t="shared" si="47"/>
        <v>0</v>
      </c>
    </row>
    <row r="973" spans="1:31" x14ac:dyDescent="0.2">
      <c r="A973" s="1" t="s">
        <v>335</v>
      </c>
      <c r="B973" s="1" t="s">
        <v>2504</v>
      </c>
      <c r="C973" s="1">
        <v>2951</v>
      </c>
      <c r="D973" s="1">
        <v>8</v>
      </c>
      <c r="F973" s="1">
        <v>2023</v>
      </c>
      <c r="G973" s="5">
        <v>2578</v>
      </c>
      <c r="H973" s="5">
        <v>2546.36</v>
      </c>
      <c r="I973" s="5">
        <v>393060.11</v>
      </c>
      <c r="K973" s="5">
        <v>1.4379999999999999</v>
      </c>
      <c r="L973" s="5">
        <v>1E-3</v>
      </c>
      <c r="M973" s="5">
        <v>284872.36599999998</v>
      </c>
      <c r="N973" s="6">
        <v>5.91E-2</v>
      </c>
      <c r="O973" s="5">
        <v>470.50599999999997</v>
      </c>
      <c r="P973" s="6">
        <v>0.14749999999999999</v>
      </c>
      <c r="Q973" s="5">
        <v>4793475.0559999999</v>
      </c>
      <c r="R973" s="1" t="s">
        <v>44</v>
      </c>
      <c r="T973" s="1" t="s">
        <v>43</v>
      </c>
      <c r="Y973" s="1" t="s">
        <v>346</v>
      </c>
      <c r="Z973" s="1" t="str">
        <f t="shared" si="45"/>
        <v>2951 8</v>
      </c>
      <c r="AA973" s="3">
        <f>IF(INDEX('CAMD Facility Data 2023'!$AA$2:$AE$10000,MATCH(Z973,'CAMD Facility Data 2023'!$AE$2:$AE$10000,0),1)&gt;0,INDEX('CAMD Facility Data 2023'!$AA$2:$AE$10000,MATCH(Z973,'CAMD Facility Data 2023'!$AE$2:$AE$10000,0),1),"")</f>
        <v>25366</v>
      </c>
      <c r="AB973" s="5">
        <f>IF(INDEX('CAMD Facility Data 2023'!$AC$2:$AE$10000,MATCH(Z973,'CAMD Facility Data 2023'!$AE$2:$AE$10000,0),1)&gt;0,INDEX('CAMD Facility Data 2023'!$AC$2:$AE$10000,MATCH(Z973,'CAMD Facility Data 2023'!$AE$2:$AE$10000,0),1),"")</f>
        <v>5201</v>
      </c>
      <c r="AC973" s="1" t="str">
        <f>IF(INDEX('CAMD Facility Data 2023'!$AE$2:$AG$10000,MATCH(Z973,'CAMD Facility Data 2023'!$AE$2:$AE$10000,0),3)&gt;0,INDEX('CAMD Facility Data 2023'!$AE$2:$AG$10000,MATCH(Z973,'CAMD Facility Data 2023'!$AE$2:$AE$10000,0),3),"")</f>
        <v/>
      </c>
      <c r="AD973" s="20">
        <f t="shared" si="46"/>
        <v>2.3940663935600082</v>
      </c>
      <c r="AE973" s="25">
        <f t="shared" si="47"/>
        <v>0.10521060351056478</v>
      </c>
    </row>
    <row r="974" spans="1:31" x14ac:dyDescent="0.2">
      <c r="A974" s="1" t="s">
        <v>335</v>
      </c>
      <c r="B974" s="1" t="s">
        <v>2504</v>
      </c>
      <c r="C974" s="1">
        <v>2951</v>
      </c>
      <c r="D974" s="1">
        <v>9</v>
      </c>
      <c r="F974" s="1">
        <v>2023</v>
      </c>
      <c r="G974" s="5">
        <v>1986</v>
      </c>
      <c r="H974" s="5">
        <v>1761.86</v>
      </c>
      <c r="I974" s="5">
        <v>76591.61</v>
      </c>
      <c r="K974" s="5">
        <v>0.22600000000000001</v>
      </c>
      <c r="L974" s="5">
        <v>1E-3</v>
      </c>
      <c r="M974" s="5">
        <v>44739.697</v>
      </c>
      <c r="N974" s="6">
        <v>5.9200000000000003E-2</v>
      </c>
      <c r="O974" s="5">
        <v>36.979999999999997</v>
      </c>
      <c r="P974" s="6">
        <v>0.10489999999999999</v>
      </c>
      <c r="Q974" s="5">
        <v>752819.50600000005</v>
      </c>
      <c r="R974" s="1" t="s">
        <v>44</v>
      </c>
      <c r="T974" s="1" t="s">
        <v>93</v>
      </c>
      <c r="V974" s="1" t="s">
        <v>95</v>
      </c>
      <c r="Y974" s="1" t="s">
        <v>346</v>
      </c>
      <c r="Z974" s="1" t="str">
        <f t="shared" si="45"/>
        <v>2951 9</v>
      </c>
      <c r="AA974" s="3">
        <f>IF(INDEX('CAMD Facility Data 2023'!$AA$2:$AE$10000,MATCH(Z974,'CAMD Facility Data 2023'!$AE$2:$AE$10000,0),1)&gt;0,INDEX('CAMD Facility Data 2023'!$AA$2:$AE$10000,MATCH(Z974,'CAMD Facility Data 2023'!$AE$2:$AE$10000,0),1),"")</f>
        <v>36692</v>
      </c>
      <c r="AB974" s="5">
        <f>IF(INDEX('CAMD Facility Data 2023'!$AC$2:$AE$10000,MATCH(Z974,'CAMD Facility Data 2023'!$AE$2:$AE$10000,0),1)&gt;0,INDEX('CAMD Facility Data 2023'!$AC$2:$AE$10000,MATCH(Z974,'CAMD Facility Data 2023'!$AE$2:$AE$10000,0),1),"")</f>
        <v>550</v>
      </c>
      <c r="AC974" s="1" t="str">
        <f>IF(INDEX('CAMD Facility Data 2023'!$AE$2:$AG$10000,MATCH(Z974,'CAMD Facility Data 2023'!$AE$2:$AE$10000,0),3)&gt;0,INDEX('CAMD Facility Data 2023'!$AE$2:$AG$10000,MATCH(Z974,'CAMD Facility Data 2023'!$AE$2:$AE$10000,0),3),"")</f>
        <v/>
      </c>
      <c r="AD974" s="20">
        <f t="shared" si="46"/>
        <v>0.9656410147273311</v>
      </c>
      <c r="AE974" s="25">
        <f t="shared" si="47"/>
        <v>0.15625145413034455</v>
      </c>
    </row>
    <row r="975" spans="1:31" x14ac:dyDescent="0.2">
      <c r="A975" s="1" t="s">
        <v>335</v>
      </c>
      <c r="B975" s="1" t="s">
        <v>2513</v>
      </c>
      <c r="C975" s="1">
        <v>2952</v>
      </c>
      <c r="D975" s="1">
        <v>4</v>
      </c>
      <c r="F975" s="1">
        <v>2023</v>
      </c>
      <c r="G975" s="5">
        <v>2577</v>
      </c>
      <c r="H975" s="5">
        <v>2548.16</v>
      </c>
      <c r="I975" s="5">
        <v>616813.37</v>
      </c>
      <c r="K975" s="5">
        <v>2.0219999999999998</v>
      </c>
      <c r="L975" s="5">
        <v>1E-3</v>
      </c>
      <c r="M975" s="5">
        <v>400554.12300000002</v>
      </c>
      <c r="N975" s="6">
        <v>5.8999999999999997E-2</v>
      </c>
      <c r="O975" s="5">
        <v>344.26100000000002</v>
      </c>
      <c r="P975" s="6">
        <v>9.1200000000000003E-2</v>
      </c>
      <c r="Q975" s="5">
        <v>6740117.3830000004</v>
      </c>
      <c r="R975" s="1" t="s">
        <v>44</v>
      </c>
      <c r="T975" s="1" t="s">
        <v>43</v>
      </c>
      <c r="V975" s="1" t="s">
        <v>1226</v>
      </c>
      <c r="W975" s="1" t="s">
        <v>58</v>
      </c>
      <c r="Y975" s="1" t="s">
        <v>346</v>
      </c>
      <c r="Z975" s="1" t="str">
        <f t="shared" si="45"/>
        <v>2952 4</v>
      </c>
      <c r="AA975" s="3">
        <f>IF(INDEX('CAMD Facility Data 2023'!$AA$2:$AE$10000,MATCH(Z975,'CAMD Facility Data 2023'!$AE$2:$AE$10000,0),1)&gt;0,INDEX('CAMD Facility Data 2023'!$AA$2:$AE$10000,MATCH(Z975,'CAMD Facility Data 2023'!$AE$2:$AE$10000,0),1),"")</f>
        <v>28490</v>
      </c>
      <c r="AB975" s="5">
        <f>IF(INDEX('CAMD Facility Data 2023'!$AC$2:$AE$10000,MATCH(Z975,'CAMD Facility Data 2023'!$AE$2:$AE$10000,0),1)&gt;0,INDEX('CAMD Facility Data 2023'!$AC$2:$AE$10000,MATCH(Z975,'CAMD Facility Data 2023'!$AE$2:$AE$10000,0),1),"")</f>
        <v>6000</v>
      </c>
      <c r="AC975" s="1" t="str">
        <f>IF(INDEX('CAMD Facility Data 2023'!$AE$2:$AG$10000,MATCH(Z975,'CAMD Facility Data 2023'!$AE$2:$AE$10000,0),3)&gt;0,INDEX('CAMD Facility Data 2023'!$AE$2:$AG$10000,MATCH(Z975,'CAMD Facility Data 2023'!$AE$2:$AE$10000,0),3),"")</f>
        <v/>
      </c>
      <c r="AD975" s="20">
        <f t="shared" si="46"/>
        <v>1.1162566077320926</v>
      </c>
      <c r="AE975" s="25">
        <f t="shared" si="47"/>
        <v>0.12823663209665145</v>
      </c>
    </row>
    <row r="976" spans="1:31" x14ac:dyDescent="0.2">
      <c r="A976" s="1" t="s">
        <v>335</v>
      </c>
      <c r="B976" s="1" t="s">
        <v>2513</v>
      </c>
      <c r="C976" s="1">
        <v>2952</v>
      </c>
      <c r="D976" s="1">
        <v>5</v>
      </c>
      <c r="F976" s="1">
        <v>2023</v>
      </c>
      <c r="G976" s="5">
        <v>1633</v>
      </c>
      <c r="H976" s="5">
        <v>1610.16</v>
      </c>
      <c r="I976" s="5">
        <v>445948.73</v>
      </c>
      <c r="K976" s="5">
        <v>1.427</v>
      </c>
      <c r="L976" s="5">
        <v>1E-3</v>
      </c>
      <c r="M976" s="5">
        <v>282665.25799999997</v>
      </c>
      <c r="N976" s="6">
        <v>5.91E-2</v>
      </c>
      <c r="O976" s="5">
        <v>281.49599999999998</v>
      </c>
      <c r="P976" s="6">
        <v>0.1002</v>
      </c>
      <c r="Q976" s="5">
        <v>4756389.2060000002</v>
      </c>
      <c r="R976" s="1" t="s">
        <v>44</v>
      </c>
      <c r="T976" s="1" t="s">
        <v>43</v>
      </c>
      <c r="V976" s="1" t="s">
        <v>1226</v>
      </c>
      <c r="W976" s="1" t="s">
        <v>58</v>
      </c>
      <c r="Y976" s="1" t="s">
        <v>346</v>
      </c>
      <c r="Z976" s="1" t="str">
        <f t="shared" si="45"/>
        <v>2952 5</v>
      </c>
      <c r="AA976" s="3">
        <f>IF(INDEX('CAMD Facility Data 2023'!$AA$2:$AE$10000,MATCH(Z976,'CAMD Facility Data 2023'!$AE$2:$AE$10000,0),1)&gt;0,INDEX('CAMD Facility Data 2023'!$AA$2:$AE$10000,MATCH(Z976,'CAMD Facility Data 2023'!$AE$2:$AE$10000,0),1),"")</f>
        <v>28781</v>
      </c>
      <c r="AB976" s="5">
        <f>IF(INDEX('CAMD Facility Data 2023'!$AC$2:$AE$10000,MATCH(Z976,'CAMD Facility Data 2023'!$AE$2:$AE$10000,0),1)&gt;0,INDEX('CAMD Facility Data 2023'!$AC$2:$AE$10000,MATCH(Z976,'CAMD Facility Data 2023'!$AE$2:$AE$10000,0),1),"")</f>
        <v>6005</v>
      </c>
      <c r="AC976" s="1" t="str">
        <f>IF(INDEX('CAMD Facility Data 2023'!$AE$2:$AG$10000,MATCH(Z976,'CAMD Facility Data 2023'!$AE$2:$AE$10000,0),3)&gt;0,INDEX('CAMD Facility Data 2023'!$AE$2:$AG$10000,MATCH(Z976,'CAMD Facility Data 2023'!$AE$2:$AE$10000,0),3),"")</f>
        <v/>
      </c>
      <c r="AD976" s="20">
        <f t="shared" si="46"/>
        <v>1.262459027520944</v>
      </c>
      <c r="AE976" s="25">
        <f t="shared" si="47"/>
        <v>9.0419118124546144E-2</v>
      </c>
    </row>
    <row r="977" spans="1:31" x14ac:dyDescent="0.2">
      <c r="A977" s="1" t="s">
        <v>335</v>
      </c>
      <c r="B977" s="1" t="s">
        <v>2513</v>
      </c>
      <c r="C977" s="1">
        <v>2952</v>
      </c>
      <c r="D977" s="1">
        <v>6</v>
      </c>
      <c r="F977" s="1">
        <v>2023</v>
      </c>
      <c r="G977" s="5">
        <v>3224</v>
      </c>
      <c r="H977" s="5">
        <v>3193.05</v>
      </c>
      <c r="I977" s="5">
        <v>840229.91</v>
      </c>
      <c r="K977" s="5">
        <v>2189.8820000000001</v>
      </c>
      <c r="L977" s="5">
        <v>0.40260000000000001</v>
      </c>
      <c r="M977" s="5">
        <v>990840.62399999995</v>
      </c>
      <c r="N977" s="6">
        <v>9.8699999999999996E-2</v>
      </c>
      <c r="O977" s="5">
        <v>1199.732</v>
      </c>
      <c r="P977" s="6">
        <v>0.2253</v>
      </c>
      <c r="Q977" s="5">
        <v>9518052.5969999991</v>
      </c>
      <c r="R977" s="1" t="s">
        <v>55</v>
      </c>
      <c r="S977" s="1" t="s">
        <v>44</v>
      </c>
      <c r="T977" s="1" t="s">
        <v>43</v>
      </c>
      <c r="V977" s="1" t="s">
        <v>220</v>
      </c>
      <c r="W977" s="1" t="s">
        <v>58</v>
      </c>
      <c r="X977" s="1" t="s">
        <v>214</v>
      </c>
      <c r="Y977" s="1" t="s">
        <v>337</v>
      </c>
      <c r="Z977" s="1" t="str">
        <f t="shared" si="45"/>
        <v>2952 6</v>
      </c>
      <c r="AA977" s="3">
        <f>IF(INDEX('CAMD Facility Data 2023'!$AA$2:$AE$10000,MATCH(Z977,'CAMD Facility Data 2023'!$AE$2:$AE$10000,0),1)&gt;0,INDEX('CAMD Facility Data 2023'!$AA$2:$AE$10000,MATCH(Z977,'CAMD Facility Data 2023'!$AE$2:$AE$10000,0),1),"")</f>
        <v>30851</v>
      </c>
      <c r="AB977" s="5">
        <f>IF(INDEX('CAMD Facility Data 2023'!$AC$2:$AE$10000,MATCH(Z977,'CAMD Facility Data 2023'!$AE$2:$AE$10000,0),1)&gt;0,INDEX('CAMD Facility Data 2023'!$AC$2:$AE$10000,MATCH(Z977,'CAMD Facility Data 2023'!$AE$2:$AE$10000,0),1),"")</f>
        <v>6163</v>
      </c>
      <c r="AC977" s="1" t="str">
        <f>IF(INDEX('CAMD Facility Data 2023'!$AE$2:$AG$10000,MATCH(Z977,'CAMD Facility Data 2023'!$AE$2:$AE$10000,0),3)&gt;0,INDEX('CAMD Facility Data 2023'!$AE$2:$AG$10000,MATCH(Z977,'CAMD Facility Data 2023'!$AE$2:$AE$10000,0),3),"")</f>
        <v/>
      </c>
      <c r="AD977" s="20">
        <f t="shared" si="46"/>
        <v>2.8557231436809953</v>
      </c>
      <c r="AE977" s="25">
        <f t="shared" si="47"/>
        <v>0.17629980278907043</v>
      </c>
    </row>
    <row r="978" spans="1:31" x14ac:dyDescent="0.2">
      <c r="A978" s="1" t="s">
        <v>335</v>
      </c>
      <c r="B978" s="1" t="s">
        <v>2519</v>
      </c>
      <c r="C978" s="1">
        <v>2953</v>
      </c>
      <c r="D978" s="1" t="s">
        <v>2520</v>
      </c>
      <c r="F978" s="1">
        <v>2023</v>
      </c>
      <c r="G978" s="5">
        <v>1926</v>
      </c>
      <c r="H978" s="5">
        <v>1642.32</v>
      </c>
      <c r="I978" s="5">
        <v>72162.490000000005</v>
      </c>
      <c r="K978" s="5">
        <v>0.21199999999999999</v>
      </c>
      <c r="L978" s="5">
        <v>1E-3</v>
      </c>
      <c r="M978" s="5">
        <v>42034.374000000003</v>
      </c>
      <c r="N978" s="6">
        <v>5.9200000000000003E-2</v>
      </c>
      <c r="O978" s="5">
        <v>28.529</v>
      </c>
      <c r="P978" s="6">
        <v>9.8500000000000004E-2</v>
      </c>
      <c r="Q978" s="5">
        <v>707295.92</v>
      </c>
      <c r="R978" s="1" t="s">
        <v>44</v>
      </c>
      <c r="T978" s="1" t="s">
        <v>93</v>
      </c>
      <c r="V978" s="1" t="s">
        <v>95</v>
      </c>
      <c r="Y978" s="1" t="s">
        <v>346</v>
      </c>
      <c r="Z978" s="1" t="str">
        <f t="shared" si="45"/>
        <v>2953 T10</v>
      </c>
      <c r="AA978" s="3">
        <f>IF(INDEX('CAMD Facility Data 2023'!$AA$2:$AE$10000,MATCH(Z978,'CAMD Facility Data 2023'!$AE$2:$AE$10000,0),1)&gt;0,INDEX('CAMD Facility Data 2023'!$AA$2:$AE$10000,MATCH(Z978,'CAMD Facility Data 2023'!$AE$2:$AE$10000,0),1),"")</f>
        <v>43069</v>
      </c>
      <c r="AB978" s="5">
        <f>IF(INDEX('CAMD Facility Data 2023'!$AC$2:$AE$10000,MATCH(Z978,'CAMD Facility Data 2023'!$AE$2:$AE$10000,0),1)&gt;0,INDEX('CAMD Facility Data 2023'!$AC$2:$AE$10000,MATCH(Z978,'CAMD Facility Data 2023'!$AE$2:$AE$10000,0),1),"")</f>
        <v>610</v>
      </c>
      <c r="AC978" s="1" t="str">
        <f>IF(INDEX('CAMD Facility Data 2023'!$AE$2:$AG$10000,MATCH(Z978,'CAMD Facility Data 2023'!$AE$2:$AE$10000,0),3)&gt;0,INDEX('CAMD Facility Data 2023'!$AE$2:$AG$10000,MATCH(Z978,'CAMD Facility Data 2023'!$AE$2:$AE$10000,0),3),"")</f>
        <v/>
      </c>
      <c r="AD978" s="20">
        <f t="shared" si="46"/>
        <v>0.79068779361687758</v>
      </c>
      <c r="AE978" s="25">
        <f t="shared" si="47"/>
        <v>0.13236318586720563</v>
      </c>
    </row>
    <row r="979" spans="1:31" x14ac:dyDescent="0.2">
      <c r="A979" s="1" t="s">
        <v>335</v>
      </c>
      <c r="B979" s="1" t="s">
        <v>2519</v>
      </c>
      <c r="C979" s="1">
        <v>2953</v>
      </c>
      <c r="D979" s="1" t="s">
        <v>2524</v>
      </c>
      <c r="F979" s="1">
        <v>2023</v>
      </c>
      <c r="G979" s="5">
        <v>2911</v>
      </c>
      <c r="H979" s="5">
        <v>2694.34</v>
      </c>
      <c r="I979" s="5">
        <v>116634.78</v>
      </c>
      <c r="K979" s="5">
        <v>0.34699999999999998</v>
      </c>
      <c r="L979" s="5">
        <v>1E-3</v>
      </c>
      <c r="M979" s="5">
        <v>68768.244999999995</v>
      </c>
      <c r="N979" s="6">
        <v>5.9200000000000003E-2</v>
      </c>
      <c r="O979" s="5">
        <v>48.500999999999998</v>
      </c>
      <c r="P979" s="6">
        <v>9.4299999999999995E-2</v>
      </c>
      <c r="Q979" s="5">
        <v>1157202.4269999999</v>
      </c>
      <c r="R979" s="1" t="s">
        <v>44</v>
      </c>
      <c r="T979" s="1" t="s">
        <v>93</v>
      </c>
      <c r="V979" s="1" t="s">
        <v>95</v>
      </c>
      <c r="Y979" s="1" t="s">
        <v>346</v>
      </c>
      <c r="Z979" s="1" t="str">
        <f t="shared" si="45"/>
        <v>2953 T11</v>
      </c>
      <c r="AA979" s="3">
        <f>IF(INDEX('CAMD Facility Data 2023'!$AA$2:$AE$10000,MATCH(Z979,'CAMD Facility Data 2023'!$AE$2:$AE$10000,0),1)&gt;0,INDEX('CAMD Facility Data 2023'!$AA$2:$AE$10000,MATCH(Z979,'CAMD Facility Data 2023'!$AE$2:$AE$10000,0),1),"")</f>
        <v>43084</v>
      </c>
      <c r="AB979" s="5">
        <f>IF(INDEX('CAMD Facility Data 2023'!$AC$2:$AE$10000,MATCH(Z979,'CAMD Facility Data 2023'!$AE$2:$AE$10000,0),1)&gt;0,INDEX('CAMD Facility Data 2023'!$AC$2:$AE$10000,MATCH(Z979,'CAMD Facility Data 2023'!$AE$2:$AE$10000,0),1),"")</f>
        <v>610</v>
      </c>
      <c r="AC979" s="1" t="str">
        <f>IF(INDEX('CAMD Facility Data 2023'!$AE$2:$AG$10000,MATCH(Z979,'CAMD Facility Data 2023'!$AE$2:$AE$10000,0),3)&gt;0,INDEX('CAMD Facility Data 2023'!$AE$2:$AG$10000,MATCH(Z979,'CAMD Facility Data 2023'!$AE$2:$AE$10000,0),3),"")</f>
        <v/>
      </c>
      <c r="AD979" s="20">
        <f t="shared" si="46"/>
        <v>0.83167302240378038</v>
      </c>
      <c r="AE979" s="25">
        <f t="shared" si="47"/>
        <v>0.21655857979639193</v>
      </c>
    </row>
    <row r="980" spans="1:31" x14ac:dyDescent="0.2">
      <c r="A980" s="1" t="s">
        <v>335</v>
      </c>
      <c r="B980" s="1" t="s">
        <v>2519</v>
      </c>
      <c r="C980" s="1">
        <v>2953</v>
      </c>
      <c r="D980" s="1" t="s">
        <v>2526</v>
      </c>
      <c r="F980" s="1">
        <v>2023</v>
      </c>
      <c r="G980" s="5">
        <v>308</v>
      </c>
      <c r="H980" s="5">
        <v>269.3</v>
      </c>
      <c r="I980" s="5">
        <v>10675.05</v>
      </c>
      <c r="K980" s="5">
        <v>3.2000000000000001E-2</v>
      </c>
      <c r="L980" s="5">
        <v>1E-3</v>
      </c>
      <c r="M980" s="5">
        <v>6410.8919999999998</v>
      </c>
      <c r="N980" s="6">
        <v>5.9200000000000003E-2</v>
      </c>
      <c r="O980" s="5">
        <v>4.6109999999999998</v>
      </c>
      <c r="P980" s="6">
        <v>0.10340000000000001</v>
      </c>
      <c r="Q980" s="5">
        <v>107870.72199999999</v>
      </c>
      <c r="R980" s="1" t="s">
        <v>44</v>
      </c>
      <c r="T980" s="1" t="s">
        <v>93</v>
      </c>
      <c r="V980" s="1" t="s">
        <v>95</v>
      </c>
      <c r="Y980" s="1" t="s">
        <v>346</v>
      </c>
      <c r="Z980" s="1" t="str">
        <f t="shared" si="45"/>
        <v>2953 T12</v>
      </c>
      <c r="AA980" s="3">
        <f>IF(INDEX('CAMD Facility Data 2023'!$AA$2:$AE$10000,MATCH(Z980,'CAMD Facility Data 2023'!$AE$2:$AE$10000,0),1)&gt;0,INDEX('CAMD Facility Data 2023'!$AA$2:$AE$10000,MATCH(Z980,'CAMD Facility Data 2023'!$AE$2:$AE$10000,0),1),"")</f>
        <v>43089</v>
      </c>
      <c r="AB980" s="5">
        <f>IF(INDEX('CAMD Facility Data 2023'!$AC$2:$AE$10000,MATCH(Z980,'CAMD Facility Data 2023'!$AE$2:$AE$10000,0),1)&gt;0,INDEX('CAMD Facility Data 2023'!$AC$2:$AE$10000,MATCH(Z980,'CAMD Facility Data 2023'!$AE$2:$AE$10000,0),1),"")</f>
        <v>610</v>
      </c>
      <c r="AC980" s="1" t="str">
        <f>IF(INDEX('CAMD Facility Data 2023'!$AE$2:$AG$10000,MATCH(Z980,'CAMD Facility Data 2023'!$AE$2:$AE$10000,0),3)&gt;0,INDEX('CAMD Facility Data 2023'!$AE$2:$AG$10000,MATCH(Z980,'CAMD Facility Data 2023'!$AE$2:$AE$10000,0),3),"")</f>
        <v/>
      </c>
      <c r="AD980" s="20">
        <f t="shared" si="46"/>
        <v>0.86388354152907953</v>
      </c>
      <c r="AE980" s="25">
        <f t="shared" si="47"/>
        <v>2.0186900591361627E-2</v>
      </c>
    </row>
    <row r="981" spans="1:31" x14ac:dyDescent="0.2">
      <c r="A981" s="1" t="s">
        <v>335</v>
      </c>
      <c r="B981" s="1" t="s">
        <v>2519</v>
      </c>
      <c r="C981" s="1">
        <v>2953</v>
      </c>
      <c r="D981" s="1" t="s">
        <v>2528</v>
      </c>
      <c r="F981" s="1">
        <v>2023</v>
      </c>
      <c r="G981" s="5">
        <v>1601</v>
      </c>
      <c r="H981" s="5">
        <v>1391.69</v>
      </c>
      <c r="I981" s="5">
        <v>64420.23</v>
      </c>
      <c r="K981" s="5">
        <v>0.188</v>
      </c>
      <c r="L981" s="5">
        <v>1E-3</v>
      </c>
      <c r="M981" s="5">
        <v>37259.656999999999</v>
      </c>
      <c r="N981" s="6">
        <v>5.9200000000000003E-2</v>
      </c>
      <c r="O981" s="5">
        <v>25.288</v>
      </c>
      <c r="P981" s="6">
        <v>9.6600000000000005E-2</v>
      </c>
      <c r="Q981" s="5">
        <v>626994.57999999996</v>
      </c>
      <c r="R981" s="1" t="s">
        <v>44</v>
      </c>
      <c r="T981" s="1" t="s">
        <v>93</v>
      </c>
      <c r="V981" s="1" t="s">
        <v>95</v>
      </c>
      <c r="Y981" s="1" t="s">
        <v>346</v>
      </c>
      <c r="Z981" s="1" t="str">
        <f t="shared" si="45"/>
        <v>2953 T6</v>
      </c>
      <c r="AA981" s="3">
        <f>IF(INDEX('CAMD Facility Data 2023'!$AA$2:$AE$10000,MATCH(Z981,'CAMD Facility Data 2023'!$AE$2:$AE$10000,0),1)&gt;0,INDEX('CAMD Facility Data 2023'!$AA$2:$AE$10000,MATCH(Z981,'CAMD Facility Data 2023'!$AE$2:$AE$10000,0),1),"")</f>
        <v>43002</v>
      </c>
      <c r="AB981" s="5">
        <f>IF(INDEX('CAMD Facility Data 2023'!$AC$2:$AE$10000,MATCH(Z981,'CAMD Facility Data 2023'!$AE$2:$AE$10000,0),1)&gt;0,INDEX('CAMD Facility Data 2023'!$AC$2:$AE$10000,MATCH(Z981,'CAMD Facility Data 2023'!$AE$2:$AE$10000,0),1),"")</f>
        <v>610</v>
      </c>
      <c r="AC981" s="1" t="str">
        <f>IF(INDEX('CAMD Facility Data 2023'!$AE$2:$AG$10000,MATCH(Z981,'CAMD Facility Data 2023'!$AE$2:$AE$10000,0),3)&gt;0,INDEX('CAMD Facility Data 2023'!$AE$2:$AG$10000,MATCH(Z981,'CAMD Facility Data 2023'!$AE$2:$AE$10000,0),3),"")</f>
        <v/>
      </c>
      <c r="AD981" s="20">
        <f t="shared" si="46"/>
        <v>0.78509499267543748</v>
      </c>
      <c r="AE981" s="25">
        <f t="shared" si="47"/>
        <v>0.11733561269556103</v>
      </c>
    </row>
    <row r="982" spans="1:31" x14ac:dyDescent="0.2">
      <c r="A982" s="1" t="s">
        <v>335</v>
      </c>
      <c r="B982" s="1" t="s">
        <v>2519</v>
      </c>
      <c r="C982" s="1">
        <v>2953</v>
      </c>
      <c r="D982" s="1" t="s">
        <v>2530</v>
      </c>
      <c r="F982" s="1">
        <v>2023</v>
      </c>
      <c r="G982" s="5">
        <v>1989</v>
      </c>
      <c r="H982" s="5">
        <v>1838.62</v>
      </c>
      <c r="I982" s="5">
        <v>77800.61</v>
      </c>
      <c r="K982" s="5">
        <v>0.23400000000000001</v>
      </c>
      <c r="L982" s="5">
        <v>1E-3</v>
      </c>
      <c r="M982" s="5">
        <v>46294.652999999998</v>
      </c>
      <c r="N982" s="6">
        <v>5.9200000000000003E-2</v>
      </c>
      <c r="O982" s="5">
        <v>32.055999999999997</v>
      </c>
      <c r="P982" s="6">
        <v>9.2499999999999999E-2</v>
      </c>
      <c r="Q982" s="5">
        <v>779001.875</v>
      </c>
      <c r="R982" s="1" t="s">
        <v>44</v>
      </c>
      <c r="T982" s="1" t="s">
        <v>93</v>
      </c>
      <c r="V982" s="1" t="s">
        <v>95</v>
      </c>
      <c r="Y982" s="1" t="s">
        <v>346</v>
      </c>
      <c r="Z982" s="1" t="str">
        <f t="shared" si="45"/>
        <v>2953 T7</v>
      </c>
      <c r="AA982" s="3">
        <f>IF(INDEX('CAMD Facility Data 2023'!$AA$2:$AE$10000,MATCH(Z982,'CAMD Facility Data 2023'!$AE$2:$AE$10000,0),1)&gt;0,INDEX('CAMD Facility Data 2023'!$AA$2:$AE$10000,MATCH(Z982,'CAMD Facility Data 2023'!$AE$2:$AE$10000,0),1),"")</f>
        <v>43023</v>
      </c>
      <c r="AB982" s="5">
        <f>IF(INDEX('CAMD Facility Data 2023'!$AC$2:$AE$10000,MATCH(Z982,'CAMD Facility Data 2023'!$AE$2:$AE$10000,0),1)&gt;0,INDEX('CAMD Facility Data 2023'!$AC$2:$AE$10000,MATCH(Z982,'CAMD Facility Data 2023'!$AE$2:$AE$10000,0),1),"")</f>
        <v>610</v>
      </c>
      <c r="AC982" s="1" t="str">
        <f>IF(INDEX('CAMD Facility Data 2023'!$AE$2:$AG$10000,MATCH(Z982,'CAMD Facility Data 2023'!$AE$2:$AE$10000,0),3)&gt;0,INDEX('CAMD Facility Data 2023'!$AE$2:$AG$10000,MATCH(Z982,'CAMD Facility Data 2023'!$AE$2:$AE$10000,0),3),"")</f>
        <v/>
      </c>
      <c r="AD982" s="20">
        <f t="shared" si="46"/>
        <v>0.82405523555663629</v>
      </c>
      <c r="AE982" s="25">
        <f t="shared" si="47"/>
        <v>0.1457822207874841</v>
      </c>
    </row>
    <row r="983" spans="1:31" x14ac:dyDescent="0.2">
      <c r="A983" s="1" t="s">
        <v>335</v>
      </c>
      <c r="B983" s="1" t="s">
        <v>2519</v>
      </c>
      <c r="C983" s="1">
        <v>2953</v>
      </c>
      <c r="D983" s="1" t="s">
        <v>2532</v>
      </c>
      <c r="F983" s="1">
        <v>2023</v>
      </c>
      <c r="G983" s="5">
        <v>2802</v>
      </c>
      <c r="H983" s="5">
        <v>2402.8200000000002</v>
      </c>
      <c r="I983" s="5">
        <v>103342.33</v>
      </c>
      <c r="K983" s="5">
        <v>0.307</v>
      </c>
      <c r="L983" s="5">
        <v>1E-3</v>
      </c>
      <c r="M983" s="5">
        <v>60808.228999999999</v>
      </c>
      <c r="N983" s="6">
        <v>5.9200000000000003E-2</v>
      </c>
      <c r="O983" s="5">
        <v>41.703000000000003</v>
      </c>
      <c r="P983" s="6">
        <v>9.9900000000000003E-2</v>
      </c>
      <c r="Q983" s="5">
        <v>1023222.551</v>
      </c>
      <c r="R983" s="1" t="s">
        <v>44</v>
      </c>
      <c r="T983" s="1" t="s">
        <v>93</v>
      </c>
      <c r="V983" s="1" t="s">
        <v>95</v>
      </c>
      <c r="Y983" s="1" t="s">
        <v>346</v>
      </c>
      <c r="Z983" s="1" t="str">
        <f t="shared" si="45"/>
        <v>2953 T8</v>
      </c>
      <c r="AA983" s="3">
        <f>IF(INDEX('CAMD Facility Data 2023'!$AA$2:$AE$10000,MATCH(Z983,'CAMD Facility Data 2023'!$AE$2:$AE$10000,0),1)&gt;0,INDEX('CAMD Facility Data 2023'!$AA$2:$AE$10000,MATCH(Z983,'CAMD Facility Data 2023'!$AE$2:$AE$10000,0),1),"")</f>
        <v>43042</v>
      </c>
      <c r="AB983" s="5">
        <f>IF(INDEX('CAMD Facility Data 2023'!$AC$2:$AE$10000,MATCH(Z983,'CAMD Facility Data 2023'!$AE$2:$AE$10000,0),1)&gt;0,INDEX('CAMD Facility Data 2023'!$AC$2:$AE$10000,MATCH(Z983,'CAMD Facility Data 2023'!$AE$2:$AE$10000,0),1),"")</f>
        <v>610</v>
      </c>
      <c r="AC983" s="1" t="str">
        <f>IF(INDEX('CAMD Facility Data 2023'!$AE$2:$AG$10000,MATCH(Z983,'CAMD Facility Data 2023'!$AE$2:$AE$10000,0),3)&gt;0,INDEX('CAMD Facility Data 2023'!$AE$2:$AG$10000,MATCH(Z983,'CAMD Facility Data 2023'!$AE$2:$AE$10000,0),3),"")</f>
        <v/>
      </c>
      <c r="AD983" s="20">
        <f t="shared" si="46"/>
        <v>0.80708457028209057</v>
      </c>
      <c r="AE983" s="25">
        <f t="shared" si="47"/>
        <v>0.19148561849689347</v>
      </c>
    </row>
    <row r="984" spans="1:31" x14ac:dyDescent="0.2">
      <c r="A984" s="1" t="s">
        <v>335</v>
      </c>
      <c r="B984" s="1" t="s">
        <v>2519</v>
      </c>
      <c r="C984" s="1">
        <v>2953</v>
      </c>
      <c r="D984" s="1" t="s">
        <v>2534</v>
      </c>
      <c r="F984" s="1">
        <v>2023</v>
      </c>
      <c r="G984" s="5">
        <v>3239</v>
      </c>
      <c r="H984" s="5">
        <v>2767.33</v>
      </c>
      <c r="I984" s="5">
        <v>120630.91</v>
      </c>
      <c r="K984" s="5">
        <v>0.35699999999999998</v>
      </c>
      <c r="L984" s="5">
        <v>1E-3</v>
      </c>
      <c r="M984" s="5">
        <v>70768.338000000003</v>
      </c>
      <c r="N984" s="6">
        <v>5.9200000000000003E-2</v>
      </c>
      <c r="O984" s="5">
        <v>48.173999999999999</v>
      </c>
      <c r="P984" s="6">
        <v>9.7699999999999995E-2</v>
      </c>
      <c r="Q984" s="5">
        <v>1190834.135</v>
      </c>
      <c r="R984" s="1" t="s">
        <v>44</v>
      </c>
      <c r="T984" s="1" t="s">
        <v>93</v>
      </c>
      <c r="V984" s="1" t="s">
        <v>95</v>
      </c>
      <c r="Y984" s="1" t="s">
        <v>346</v>
      </c>
      <c r="Z984" s="1" t="str">
        <f t="shared" si="45"/>
        <v>2953 T9</v>
      </c>
      <c r="AA984" s="3">
        <f>IF(INDEX('CAMD Facility Data 2023'!$AA$2:$AE$10000,MATCH(Z984,'CAMD Facility Data 2023'!$AE$2:$AE$10000,0),1)&gt;0,INDEX('CAMD Facility Data 2023'!$AA$2:$AE$10000,MATCH(Z984,'CAMD Facility Data 2023'!$AE$2:$AE$10000,0),1),"")</f>
        <v>43058</v>
      </c>
      <c r="AB984" s="5">
        <f>IF(INDEX('CAMD Facility Data 2023'!$AC$2:$AE$10000,MATCH(Z984,'CAMD Facility Data 2023'!$AE$2:$AE$10000,0),1)&gt;0,INDEX('CAMD Facility Data 2023'!$AC$2:$AE$10000,MATCH(Z984,'CAMD Facility Data 2023'!$AE$2:$AE$10000,0),1),"")</f>
        <v>610</v>
      </c>
      <c r="AC984" s="1" t="str">
        <f>IF(INDEX('CAMD Facility Data 2023'!$AE$2:$AG$10000,MATCH(Z984,'CAMD Facility Data 2023'!$AE$2:$AE$10000,0),3)&gt;0,INDEX('CAMD Facility Data 2023'!$AE$2:$AG$10000,MATCH(Z984,'CAMD Facility Data 2023'!$AE$2:$AE$10000,0),3),"")</f>
        <v/>
      </c>
      <c r="AD984" s="20">
        <f t="shared" si="46"/>
        <v>0.79870076417395841</v>
      </c>
      <c r="AE984" s="25">
        <f t="shared" si="47"/>
        <v>0.22285240942435811</v>
      </c>
    </row>
    <row r="985" spans="1:31" x14ac:dyDescent="0.2">
      <c r="A985" s="1" t="s">
        <v>335</v>
      </c>
      <c r="B985" s="1" t="s">
        <v>2536</v>
      </c>
      <c r="C985" s="1">
        <v>2956</v>
      </c>
      <c r="D985" s="1">
        <v>1</v>
      </c>
      <c r="F985" s="1">
        <v>2023</v>
      </c>
      <c r="G985" s="5">
        <v>3550</v>
      </c>
      <c r="H985" s="5">
        <v>3532.6</v>
      </c>
      <c r="I985" s="5">
        <v>857908.87</v>
      </c>
      <c r="K985" s="5">
        <v>2.7829999999999999</v>
      </c>
      <c r="L985" s="5">
        <v>1E-3</v>
      </c>
      <c r="M985" s="5">
        <v>551205.54399999999</v>
      </c>
      <c r="N985" s="6">
        <v>5.8999999999999997E-2</v>
      </c>
      <c r="O985" s="5">
        <v>634.96299999999997</v>
      </c>
      <c r="P985" s="6">
        <v>0.1295</v>
      </c>
      <c r="Q985" s="5">
        <v>9275063.6339999996</v>
      </c>
      <c r="R985" s="1" t="s">
        <v>44</v>
      </c>
      <c r="T985" s="1" t="s">
        <v>89</v>
      </c>
      <c r="V985" s="1" t="s">
        <v>90</v>
      </c>
      <c r="Y985" s="1" t="s">
        <v>346</v>
      </c>
      <c r="Z985" s="1" t="str">
        <f t="shared" si="45"/>
        <v>2956 1</v>
      </c>
      <c r="AA985" s="3">
        <f>IF(INDEX('CAMD Facility Data 2023'!$AA$2:$AE$10000,MATCH(Z985,'CAMD Facility Data 2023'!$AE$2:$AE$10000,0),1)&gt;0,INDEX('CAMD Facility Data 2023'!$AA$2:$AE$10000,MATCH(Z985,'CAMD Facility Data 2023'!$AE$2:$AE$10000,0),1),"")</f>
        <v>26021</v>
      </c>
      <c r="AB985" s="5">
        <f>IF(INDEX('CAMD Facility Data 2023'!$AC$2:$AE$10000,MATCH(Z985,'CAMD Facility Data 2023'!$AE$2:$AE$10000,0),1)&gt;0,INDEX('CAMD Facility Data 2023'!$AC$2:$AE$10000,MATCH(Z985,'CAMD Facility Data 2023'!$AE$2:$AE$10000,0),1),"")</f>
        <v>5480</v>
      </c>
      <c r="AC985" s="1" t="str">
        <f>IF(INDEX('CAMD Facility Data 2023'!$AE$2:$AG$10000,MATCH(Z985,'CAMD Facility Data 2023'!$AE$2:$AE$10000,0),3)&gt;0,INDEX('CAMD Facility Data 2023'!$AE$2:$AG$10000,MATCH(Z985,'CAMD Facility Data 2023'!$AE$2:$AE$10000,0),3),"")</f>
        <v/>
      </c>
      <c r="AD985" s="20">
        <f t="shared" si="46"/>
        <v>1.4802574543844034</v>
      </c>
      <c r="AE985" s="25">
        <f t="shared" si="47"/>
        <v>0.19321117125787421</v>
      </c>
    </row>
    <row r="986" spans="1:31" x14ac:dyDescent="0.2">
      <c r="A986" s="1" t="s">
        <v>335</v>
      </c>
      <c r="B986" s="1" t="s">
        <v>2536</v>
      </c>
      <c r="C986" s="1">
        <v>2956</v>
      </c>
      <c r="D986" s="1">
        <v>2</v>
      </c>
      <c r="F986" s="1">
        <v>2023</v>
      </c>
      <c r="G986" s="5">
        <v>4274</v>
      </c>
      <c r="H986" s="5">
        <v>4258.92</v>
      </c>
      <c r="I986" s="5">
        <v>1037218.34</v>
      </c>
      <c r="K986" s="5">
        <v>3.2389999999999999</v>
      </c>
      <c r="L986" s="5">
        <v>1E-3</v>
      </c>
      <c r="M986" s="5">
        <v>641642.28</v>
      </c>
      <c r="N986" s="6">
        <v>5.8999999999999997E-2</v>
      </c>
      <c r="O986" s="5">
        <v>720.21299999999997</v>
      </c>
      <c r="P986" s="6">
        <v>0.111</v>
      </c>
      <c r="Q986" s="5">
        <v>10796814.773</v>
      </c>
      <c r="R986" s="1" t="s">
        <v>44</v>
      </c>
      <c r="T986" s="1" t="s">
        <v>89</v>
      </c>
      <c r="V986" s="1" t="s">
        <v>90</v>
      </c>
      <c r="Y986" s="1" t="s">
        <v>346</v>
      </c>
      <c r="Z986" s="1" t="str">
        <f t="shared" si="45"/>
        <v>2956 2</v>
      </c>
      <c r="AA986" s="3">
        <f>IF(INDEX('CAMD Facility Data 2023'!$AA$2:$AE$10000,MATCH(Z986,'CAMD Facility Data 2023'!$AE$2:$AE$10000,0),1)&gt;0,INDEX('CAMD Facility Data 2023'!$AA$2:$AE$10000,MATCH(Z986,'CAMD Facility Data 2023'!$AE$2:$AE$10000,0),1),"")</f>
        <v>26698</v>
      </c>
      <c r="AB986" s="5">
        <f>IF(INDEX('CAMD Facility Data 2023'!$AC$2:$AE$10000,MATCH(Z986,'CAMD Facility Data 2023'!$AE$2:$AE$10000,0),1)&gt;0,INDEX('CAMD Facility Data 2023'!$AC$2:$AE$10000,MATCH(Z986,'CAMD Facility Data 2023'!$AE$2:$AE$10000,0),1),"")</f>
        <v>5480</v>
      </c>
      <c r="AC986" s="1" t="str">
        <f>IF(INDEX('CAMD Facility Data 2023'!$AE$2:$AG$10000,MATCH(Z986,'CAMD Facility Data 2023'!$AE$2:$AE$10000,0),3)&gt;0,INDEX('CAMD Facility Data 2023'!$AE$2:$AG$10000,MATCH(Z986,'CAMD Facility Data 2023'!$AE$2:$AE$10000,0),3),"")</f>
        <v/>
      </c>
      <c r="AD986" s="20">
        <f t="shared" si="46"/>
        <v>1.3887394239480957</v>
      </c>
      <c r="AE986" s="25">
        <f t="shared" si="47"/>
        <v>0.22491114998916775</v>
      </c>
    </row>
    <row r="987" spans="1:31" x14ac:dyDescent="0.2">
      <c r="A987" s="1" t="s">
        <v>335</v>
      </c>
      <c r="B987" s="1" t="s">
        <v>2536</v>
      </c>
      <c r="C987" s="1">
        <v>2956</v>
      </c>
      <c r="D987" s="1">
        <v>3</v>
      </c>
      <c r="F987" s="1">
        <v>2023</v>
      </c>
      <c r="G987" s="5">
        <v>4250</v>
      </c>
      <c r="H987" s="5">
        <v>3878.92</v>
      </c>
      <c r="I987" s="5">
        <v>900495.89</v>
      </c>
      <c r="K987" s="5">
        <v>2.8130000000000002</v>
      </c>
      <c r="L987" s="5">
        <v>1E-3</v>
      </c>
      <c r="M987" s="5">
        <v>557172.16299999994</v>
      </c>
      <c r="N987" s="6">
        <v>5.91E-2</v>
      </c>
      <c r="O987" s="5">
        <v>603.31100000000004</v>
      </c>
      <c r="P987" s="6">
        <v>0.1028</v>
      </c>
      <c r="Q987" s="5">
        <v>9375445.0999999996</v>
      </c>
      <c r="R987" s="1" t="s">
        <v>44</v>
      </c>
      <c r="T987" s="1" t="s">
        <v>89</v>
      </c>
      <c r="V987" s="1" t="s">
        <v>90</v>
      </c>
      <c r="W987" s="1" t="s">
        <v>672</v>
      </c>
      <c r="Y987" s="1" t="s">
        <v>346</v>
      </c>
      <c r="Z987" s="1" t="str">
        <f t="shared" si="45"/>
        <v>2956 3</v>
      </c>
      <c r="AA987" s="3">
        <f>IF(INDEX('CAMD Facility Data 2023'!$AA$2:$AE$10000,MATCH(Z987,'CAMD Facility Data 2023'!$AE$2:$AE$10000,0),1)&gt;0,INDEX('CAMD Facility Data 2023'!$AA$2:$AE$10000,MATCH(Z987,'CAMD Facility Data 2023'!$AE$2:$AE$10000,0),1),"")</f>
        <v>27561</v>
      </c>
      <c r="AB987" s="5">
        <f>IF(INDEX('CAMD Facility Data 2023'!$AC$2:$AE$10000,MATCH(Z987,'CAMD Facility Data 2023'!$AE$2:$AE$10000,0),1)&gt;0,INDEX('CAMD Facility Data 2023'!$AC$2:$AE$10000,MATCH(Z987,'CAMD Facility Data 2023'!$AE$2:$AE$10000,0),1),"")</f>
        <v>5350</v>
      </c>
      <c r="AC987" s="1" t="str">
        <f>IF(INDEX('CAMD Facility Data 2023'!$AE$2:$AG$10000,MATCH(Z987,'CAMD Facility Data 2023'!$AE$2:$AE$10000,0),3)&gt;0,INDEX('CAMD Facility Data 2023'!$AE$2:$AG$10000,MATCH(Z987,'CAMD Facility Data 2023'!$AE$2:$AE$10000,0),3),"")</f>
        <v/>
      </c>
      <c r="AD987" s="20">
        <f t="shared" si="46"/>
        <v>1.3399528120000637</v>
      </c>
      <c r="AE987" s="25">
        <f t="shared" si="47"/>
        <v>0.2000479046643622</v>
      </c>
    </row>
    <row r="988" spans="1:31" x14ac:dyDescent="0.2">
      <c r="A988" s="1" t="s">
        <v>335</v>
      </c>
      <c r="B988" s="1" t="s">
        <v>2542</v>
      </c>
      <c r="C988" s="1">
        <v>2963</v>
      </c>
      <c r="D988" s="1" t="s">
        <v>2549</v>
      </c>
      <c r="F988" s="1">
        <v>2023</v>
      </c>
      <c r="G988" s="5">
        <v>5253</v>
      </c>
      <c r="H988" s="5">
        <v>5237.62</v>
      </c>
      <c r="I988" s="5">
        <v>701720.93</v>
      </c>
      <c r="K988" s="5">
        <v>2.21</v>
      </c>
      <c r="L988" s="5">
        <v>1E-3</v>
      </c>
      <c r="M988" s="5">
        <v>437678.32900000003</v>
      </c>
      <c r="N988" s="6">
        <v>5.8999999999999997E-2</v>
      </c>
      <c r="O988" s="5">
        <v>147.803</v>
      </c>
      <c r="P988" s="6">
        <v>4.1099999999999998E-2</v>
      </c>
      <c r="Q988" s="5">
        <v>7364739.8169999998</v>
      </c>
      <c r="R988" s="1" t="s">
        <v>44</v>
      </c>
      <c r="T988" s="1" t="s">
        <v>71</v>
      </c>
      <c r="V988" s="1" t="s">
        <v>140</v>
      </c>
      <c r="Y988" s="1" t="s">
        <v>346</v>
      </c>
      <c r="Z988" s="1" t="str">
        <f t="shared" si="45"/>
        <v>2963 3301A</v>
      </c>
      <c r="AA988" s="3">
        <f>IF(INDEX('CAMD Facility Data 2023'!$AA$2:$AE$10000,MATCH(Z988,'CAMD Facility Data 2023'!$AE$2:$AE$10000,0),1)&gt;0,INDEX('CAMD Facility Data 2023'!$AA$2:$AE$10000,MATCH(Z988,'CAMD Facility Data 2023'!$AE$2:$AE$10000,0),1),"")</f>
        <v>37043</v>
      </c>
      <c r="AB988" s="5">
        <f>IF(INDEX('CAMD Facility Data 2023'!$AC$2:$AE$10000,MATCH(Z988,'CAMD Facility Data 2023'!$AE$2:$AE$10000,0),1)&gt;0,INDEX('CAMD Facility Data 2023'!$AC$2:$AE$10000,MATCH(Z988,'CAMD Facility Data 2023'!$AE$2:$AE$10000,0),1),"")</f>
        <v>1783</v>
      </c>
      <c r="AC988" s="1" t="str">
        <f>IF(INDEX('CAMD Facility Data 2023'!$AE$2:$AG$10000,MATCH(Z988,'CAMD Facility Data 2023'!$AE$2:$AE$10000,0),3)&gt;0,INDEX('CAMD Facility Data 2023'!$AE$2:$AG$10000,MATCH(Z988,'CAMD Facility Data 2023'!$AE$2:$AE$10000,0),3),"")</f>
        <v/>
      </c>
      <c r="AD988" s="20">
        <f t="shared" si="46"/>
        <v>0.42125863340003267</v>
      </c>
      <c r="AE988" s="25">
        <f t="shared" si="47"/>
        <v>0.47152199854280791</v>
      </c>
    </row>
    <row r="989" spans="1:31" x14ac:dyDescent="0.2">
      <c r="A989" s="1" t="s">
        <v>335</v>
      </c>
      <c r="B989" s="1" t="s">
        <v>2542</v>
      </c>
      <c r="C989" s="1">
        <v>2963</v>
      </c>
      <c r="D989" s="1" t="s">
        <v>2551</v>
      </c>
      <c r="F989" s="1">
        <v>2023</v>
      </c>
      <c r="G989" s="5">
        <v>1368</v>
      </c>
      <c r="H989" s="5">
        <v>1350.58</v>
      </c>
      <c r="I989" s="5">
        <v>176603.13</v>
      </c>
      <c r="K989" s="5">
        <v>0.61</v>
      </c>
      <c r="L989" s="5">
        <v>1E-3</v>
      </c>
      <c r="M989" s="5">
        <v>120766.17200000001</v>
      </c>
      <c r="N989" s="6">
        <v>5.8999999999999997E-2</v>
      </c>
      <c r="O989" s="5">
        <v>30.707999999999998</v>
      </c>
      <c r="P989" s="6">
        <v>3.5000000000000003E-2</v>
      </c>
      <c r="Q989" s="5">
        <v>2032139.5090000001</v>
      </c>
      <c r="R989" s="1" t="s">
        <v>44</v>
      </c>
      <c r="T989" s="1" t="s">
        <v>71</v>
      </c>
      <c r="V989" s="1" t="s">
        <v>140</v>
      </c>
      <c r="Y989" s="1" t="s">
        <v>346</v>
      </c>
      <c r="Z989" s="1" t="str">
        <f t="shared" si="45"/>
        <v>2963 3301B</v>
      </c>
      <c r="AA989" s="3">
        <f>IF(INDEX('CAMD Facility Data 2023'!$AA$2:$AE$10000,MATCH(Z989,'CAMD Facility Data 2023'!$AE$2:$AE$10000,0),1)&gt;0,INDEX('CAMD Facility Data 2023'!$AA$2:$AE$10000,MATCH(Z989,'CAMD Facility Data 2023'!$AE$2:$AE$10000,0),1),"")</f>
        <v>37043</v>
      </c>
      <c r="AB989" s="5">
        <f>IF(INDEX('CAMD Facility Data 2023'!$AC$2:$AE$10000,MATCH(Z989,'CAMD Facility Data 2023'!$AE$2:$AE$10000,0),1)&gt;0,INDEX('CAMD Facility Data 2023'!$AC$2:$AE$10000,MATCH(Z989,'CAMD Facility Data 2023'!$AE$2:$AE$10000,0),1),"")</f>
        <v>1783</v>
      </c>
      <c r="AC989" s="1" t="str">
        <f>IF(INDEX('CAMD Facility Data 2023'!$AE$2:$AG$10000,MATCH(Z989,'CAMD Facility Data 2023'!$AE$2:$AE$10000,0),3)&gt;0,INDEX('CAMD Facility Data 2023'!$AE$2:$AG$10000,MATCH(Z989,'CAMD Facility Data 2023'!$AE$2:$AE$10000,0),3),"")</f>
        <v/>
      </c>
      <c r="AD989" s="20">
        <f t="shared" si="46"/>
        <v>0.34776280578945573</v>
      </c>
      <c r="AE989" s="25">
        <f t="shared" si="47"/>
        <v>0.13010622322185431</v>
      </c>
    </row>
    <row r="990" spans="1:31" x14ac:dyDescent="0.2">
      <c r="A990" s="1" t="s">
        <v>335</v>
      </c>
      <c r="B990" s="1" t="s">
        <v>2542</v>
      </c>
      <c r="C990" s="1">
        <v>2963</v>
      </c>
      <c r="D990" s="1">
        <v>3302</v>
      </c>
      <c r="F990" s="1">
        <v>2023</v>
      </c>
      <c r="G990" s="5">
        <v>4296</v>
      </c>
      <c r="H990" s="5">
        <v>4279.53</v>
      </c>
      <c r="I990" s="5">
        <v>1095743.19</v>
      </c>
      <c r="K990" s="5">
        <v>4.0529999999999999</v>
      </c>
      <c r="L990" s="5">
        <v>1E-3</v>
      </c>
      <c r="M990" s="5">
        <v>802859.95900000003</v>
      </c>
      <c r="N990" s="6">
        <v>5.8999999999999997E-2</v>
      </c>
      <c r="O990" s="5">
        <v>1513.549</v>
      </c>
      <c r="P990" s="6">
        <v>0.21429999999999999</v>
      </c>
      <c r="Q990" s="5">
        <v>13509637.574999999</v>
      </c>
      <c r="R990" s="1" t="s">
        <v>44</v>
      </c>
      <c r="T990" s="1" t="s">
        <v>86</v>
      </c>
      <c r="V990" s="1" t="s">
        <v>87</v>
      </c>
      <c r="Y990" s="1" t="s">
        <v>346</v>
      </c>
      <c r="Z990" s="1" t="str">
        <f t="shared" si="45"/>
        <v>2963 3302</v>
      </c>
      <c r="AA990" s="3">
        <f>IF(INDEX('CAMD Facility Data 2023'!$AA$2:$AE$10000,MATCH(Z990,'CAMD Facility Data 2023'!$AE$2:$AE$10000,0),1)&gt;0,INDEX('CAMD Facility Data 2023'!$AA$2:$AE$10000,MATCH(Z990,'CAMD Facility Data 2023'!$AE$2:$AE$10000,0),1),"")</f>
        <v>25749</v>
      </c>
      <c r="AB990" s="5">
        <f>IF(INDEX('CAMD Facility Data 2023'!$AC$2:$AE$10000,MATCH(Z990,'CAMD Facility Data 2023'!$AE$2:$AE$10000,0),1)&gt;0,INDEX('CAMD Facility Data 2023'!$AC$2:$AE$10000,MATCH(Z990,'CAMD Facility Data 2023'!$AE$2:$AE$10000,0),1),"")</f>
        <v>4754</v>
      </c>
      <c r="AC990" s="1" t="str">
        <f>IF(INDEX('CAMD Facility Data 2023'!$AE$2:$AG$10000,MATCH(Z990,'CAMD Facility Data 2023'!$AE$2:$AE$10000,0),3)&gt;0,INDEX('CAMD Facility Data 2023'!$AE$2:$AG$10000,MATCH(Z990,'CAMD Facility Data 2023'!$AE$2:$AE$10000,0),3),"")</f>
        <v/>
      </c>
      <c r="AD990" s="20">
        <f t="shared" si="46"/>
        <v>2.7625980500047644</v>
      </c>
      <c r="AE990" s="25">
        <f t="shared" si="47"/>
        <v>0.32439967820897758</v>
      </c>
    </row>
    <row r="991" spans="1:31" x14ac:dyDescent="0.2">
      <c r="A991" s="1" t="s">
        <v>335</v>
      </c>
      <c r="B991" s="1" t="s">
        <v>2542</v>
      </c>
      <c r="C991" s="1">
        <v>2963</v>
      </c>
      <c r="D991" s="1">
        <v>3313</v>
      </c>
      <c r="F991" s="1">
        <v>2023</v>
      </c>
      <c r="G991" s="5">
        <v>5737</v>
      </c>
      <c r="H991" s="5">
        <v>5715.21</v>
      </c>
      <c r="I991" s="5">
        <v>1798116.27</v>
      </c>
      <c r="K991" s="5">
        <v>3181.1990000000001</v>
      </c>
      <c r="L991" s="5">
        <v>0.30990000000000001</v>
      </c>
      <c r="M991" s="5">
        <v>2078508.764</v>
      </c>
      <c r="N991" s="6">
        <v>0.105</v>
      </c>
      <c r="O991" s="5">
        <v>1293.0450000000001</v>
      </c>
      <c r="P991" s="6">
        <v>0.1305</v>
      </c>
      <c r="Q991" s="5">
        <v>19817967.221999999</v>
      </c>
      <c r="R991" s="1" t="s">
        <v>55</v>
      </c>
      <c r="T991" s="1" t="s">
        <v>43</v>
      </c>
      <c r="U991" s="1" t="s">
        <v>1009</v>
      </c>
      <c r="V991" s="1" t="s">
        <v>2547</v>
      </c>
      <c r="W991" s="1" t="s">
        <v>123</v>
      </c>
      <c r="X991" s="1" t="s">
        <v>214</v>
      </c>
      <c r="Y991" s="1" t="s">
        <v>337</v>
      </c>
      <c r="Z991" s="1" t="str">
        <f t="shared" si="45"/>
        <v>2963 3313</v>
      </c>
      <c r="AA991" s="3">
        <f>IF(INDEX('CAMD Facility Data 2023'!$AA$2:$AE$10000,MATCH(Z991,'CAMD Facility Data 2023'!$AE$2:$AE$10000,0),1)&gt;0,INDEX('CAMD Facility Data 2023'!$AA$2:$AE$10000,MATCH(Z991,'CAMD Facility Data 2023'!$AE$2:$AE$10000,0),1),"")</f>
        <v>29036</v>
      </c>
      <c r="AB991" s="5">
        <f>IF(INDEX('CAMD Facility Data 2023'!$AC$2:$AE$10000,MATCH(Z991,'CAMD Facility Data 2023'!$AE$2:$AE$10000,0),1)&gt;0,INDEX('CAMD Facility Data 2023'!$AC$2:$AE$10000,MATCH(Z991,'CAMD Facility Data 2023'!$AE$2:$AE$10000,0),1),"")</f>
        <v>5800</v>
      </c>
      <c r="AC991" s="1" t="str">
        <f>IF(INDEX('CAMD Facility Data 2023'!$AE$2:$AG$10000,MATCH(Z991,'CAMD Facility Data 2023'!$AE$2:$AE$10000,0),3)&gt;0,INDEX('CAMD Facility Data 2023'!$AE$2:$AG$10000,MATCH(Z991,'CAMD Facility Data 2023'!$AE$2:$AE$10000,0),3),"")</f>
        <v/>
      </c>
      <c r="AD991" s="20">
        <f t="shared" si="46"/>
        <v>1.4382217897399927</v>
      </c>
      <c r="AE991" s="25">
        <f t="shared" si="47"/>
        <v>0.39005603885214923</v>
      </c>
    </row>
    <row r="992" spans="1:31" x14ac:dyDescent="0.2">
      <c r="A992" s="1" t="s">
        <v>335</v>
      </c>
      <c r="B992" s="1" t="s">
        <v>2553</v>
      </c>
      <c r="C992" s="1">
        <v>2964</v>
      </c>
      <c r="D992" s="1">
        <v>8002</v>
      </c>
      <c r="E992" s="1" t="s">
        <v>1330</v>
      </c>
      <c r="F992" s="1">
        <v>2023</v>
      </c>
      <c r="G992" s="5">
        <v>5228</v>
      </c>
      <c r="H992" s="5">
        <v>5191.12</v>
      </c>
      <c r="I992" s="5">
        <v>121798.75</v>
      </c>
      <c r="K992" s="5">
        <v>0.434</v>
      </c>
      <c r="L992" s="5">
        <v>1E-3</v>
      </c>
      <c r="M992" s="5">
        <v>85909.407999999996</v>
      </c>
      <c r="N992" s="6">
        <v>5.8999999999999997E-2</v>
      </c>
      <c r="O992" s="5">
        <v>214.755</v>
      </c>
      <c r="P992" s="6">
        <v>0.25409999999999999</v>
      </c>
      <c r="Q992" s="5">
        <v>1445652.666</v>
      </c>
      <c r="R992" s="1" t="s">
        <v>44</v>
      </c>
      <c r="T992" s="1" t="s">
        <v>89</v>
      </c>
      <c r="Y992" s="1" t="s">
        <v>346</v>
      </c>
      <c r="Z992" s="1" t="str">
        <f t="shared" si="45"/>
        <v>2964 8002</v>
      </c>
      <c r="AA992" s="3">
        <f>IF(INDEX('CAMD Facility Data 2023'!$AA$2:$AE$10000,MATCH(Z992,'CAMD Facility Data 2023'!$AE$2:$AE$10000,0),1)&gt;0,INDEX('CAMD Facility Data 2023'!$AA$2:$AE$10000,MATCH(Z992,'CAMD Facility Data 2023'!$AE$2:$AE$10000,0),1),"")</f>
        <v>19756</v>
      </c>
      <c r="AB992" s="5">
        <f>IF(INDEX('CAMD Facility Data 2023'!$AC$2:$AE$10000,MATCH(Z992,'CAMD Facility Data 2023'!$AE$2:$AE$10000,0),1)&gt;0,INDEX('CAMD Facility Data 2023'!$AC$2:$AE$10000,MATCH(Z992,'CAMD Facility Data 2023'!$AE$2:$AE$10000,0),1),"")</f>
        <v>940</v>
      </c>
      <c r="AC992" s="1" t="str">
        <f>IF(INDEX('CAMD Facility Data 2023'!$AE$2:$AG$10000,MATCH(Z992,'CAMD Facility Data 2023'!$AE$2:$AE$10000,0),3)&gt;0,INDEX('CAMD Facility Data 2023'!$AE$2:$AG$10000,MATCH(Z992,'CAMD Facility Data 2023'!$AE$2:$AE$10000,0),3),"")</f>
        <v/>
      </c>
      <c r="AD992" s="20">
        <f t="shared" si="46"/>
        <v>3.5263908701854492</v>
      </c>
      <c r="AE992" s="25">
        <f t="shared" si="47"/>
        <v>0.17556259909647332</v>
      </c>
    </row>
    <row r="993" spans="1:31" x14ac:dyDescent="0.2">
      <c r="A993" s="1" t="s">
        <v>335</v>
      </c>
      <c r="B993" s="1" t="s">
        <v>2553</v>
      </c>
      <c r="C993" s="1">
        <v>2964</v>
      </c>
      <c r="D993" s="1">
        <v>8003</v>
      </c>
      <c r="E993" s="1" t="s">
        <v>1330</v>
      </c>
      <c r="F993" s="1">
        <v>2023</v>
      </c>
      <c r="G993" s="5">
        <v>6879</v>
      </c>
      <c r="H993" s="5">
        <v>6856.37</v>
      </c>
      <c r="I993" s="5">
        <v>800510.73</v>
      </c>
      <c r="K993" s="5">
        <v>2.613</v>
      </c>
      <c r="L993" s="5">
        <v>1E-3</v>
      </c>
      <c r="M993" s="5">
        <v>517630.86700000003</v>
      </c>
      <c r="N993" s="6">
        <v>5.8999999999999997E-2</v>
      </c>
      <c r="O993" s="5">
        <v>1412.36</v>
      </c>
      <c r="P993" s="6">
        <v>0.2437</v>
      </c>
      <c r="Q993" s="5">
        <v>8710236.6549999993</v>
      </c>
      <c r="R993" s="1" t="s">
        <v>44</v>
      </c>
      <c r="T993" s="1" t="s">
        <v>86</v>
      </c>
      <c r="V993" s="1" t="s">
        <v>2557</v>
      </c>
      <c r="Y993" s="1" t="s">
        <v>346</v>
      </c>
      <c r="Z993" s="1" t="str">
        <f t="shared" si="45"/>
        <v>2964 8003</v>
      </c>
      <c r="AA993" s="3">
        <f>IF(INDEX('CAMD Facility Data 2023'!$AA$2:$AE$10000,MATCH(Z993,'CAMD Facility Data 2023'!$AE$2:$AE$10000,0),1)&gt;0,INDEX('CAMD Facility Data 2023'!$AA$2:$AE$10000,MATCH(Z993,'CAMD Facility Data 2023'!$AE$2:$AE$10000,0),1),"")</f>
        <v>24593</v>
      </c>
      <c r="AB993" s="5">
        <f>IF(INDEX('CAMD Facility Data 2023'!$AC$2:$AE$10000,MATCH(Z993,'CAMD Facility Data 2023'!$AE$2:$AE$10000,0),1)&gt;0,INDEX('CAMD Facility Data 2023'!$AC$2:$AE$10000,MATCH(Z993,'CAMD Facility Data 2023'!$AE$2:$AE$10000,0),1),"")</f>
        <v>3450</v>
      </c>
      <c r="AC993" s="1" t="str">
        <f>IF(INDEX('CAMD Facility Data 2023'!$AE$2:$AG$10000,MATCH(Z993,'CAMD Facility Data 2023'!$AE$2:$AE$10000,0),3)&gt;0,INDEX('CAMD Facility Data 2023'!$AE$2:$AG$10000,MATCH(Z993,'CAMD Facility Data 2023'!$AE$2:$AE$10000,0),3),"")</f>
        <v/>
      </c>
      <c r="AD993" s="20">
        <f t="shared" si="46"/>
        <v>3.5286472674763525</v>
      </c>
      <c r="AE993" s="25">
        <f t="shared" si="47"/>
        <v>0.2882084790880815</v>
      </c>
    </row>
    <row r="994" spans="1:31" x14ac:dyDescent="0.2">
      <c r="A994" s="1" t="s">
        <v>335</v>
      </c>
      <c r="B994" s="1" t="s">
        <v>2553</v>
      </c>
      <c r="C994" s="1">
        <v>2964</v>
      </c>
      <c r="D994" s="1">
        <v>8004</v>
      </c>
      <c r="F994" s="1">
        <v>2023</v>
      </c>
      <c r="G994" s="5">
        <v>1699</v>
      </c>
      <c r="H994" s="5">
        <v>1519.26</v>
      </c>
      <c r="I994" s="5">
        <v>106136.88</v>
      </c>
      <c r="K994" s="5">
        <v>0.42</v>
      </c>
      <c r="L994" s="5">
        <v>1E-3</v>
      </c>
      <c r="M994" s="5">
        <v>82350.600000000006</v>
      </c>
      <c r="N994" s="6">
        <v>5.9200000000000003E-2</v>
      </c>
      <c r="O994" s="5">
        <v>60.140999999999998</v>
      </c>
      <c r="P994" s="6">
        <v>0.1789</v>
      </c>
      <c r="Q994" s="5">
        <v>1395721.9</v>
      </c>
      <c r="R994" s="1" t="s">
        <v>44</v>
      </c>
      <c r="T994" s="1" t="s">
        <v>93</v>
      </c>
      <c r="V994" s="1" t="s">
        <v>1460</v>
      </c>
      <c r="Y994" s="1" t="s">
        <v>346</v>
      </c>
      <c r="Z994" s="1" t="str">
        <f t="shared" si="45"/>
        <v>2964 8004</v>
      </c>
      <c r="AA994" s="3">
        <f>IF(INDEX('CAMD Facility Data 2023'!$AA$2:$AE$10000,MATCH(Z994,'CAMD Facility Data 2023'!$AE$2:$AE$10000,0),1)&gt;0,INDEX('CAMD Facility Data 2023'!$AA$2:$AE$10000,MATCH(Z994,'CAMD Facility Data 2023'!$AE$2:$AE$10000,0),1),"")</f>
        <v>39499</v>
      </c>
      <c r="AB994" s="5">
        <f>IF(INDEX('CAMD Facility Data 2023'!$AC$2:$AE$10000,MATCH(Z994,'CAMD Facility Data 2023'!$AE$2:$AE$10000,0),1)&gt;0,INDEX('CAMD Facility Data 2023'!$AC$2:$AE$10000,MATCH(Z994,'CAMD Facility Data 2023'!$AE$2:$AE$10000,0),1),"")</f>
        <v>1150</v>
      </c>
      <c r="AC994" s="1" t="str">
        <f>IF(INDEX('CAMD Facility Data 2023'!$AE$2:$AG$10000,MATCH(Z994,'CAMD Facility Data 2023'!$AE$2:$AE$10000,0),3)&gt;0,INDEX('CAMD Facility Data 2023'!$AE$2:$AG$10000,MATCH(Z994,'CAMD Facility Data 2023'!$AE$2:$AE$10000,0),3),"")</f>
        <v/>
      </c>
      <c r="AD994" s="20">
        <f t="shared" si="46"/>
        <v>1.1332724308459039</v>
      </c>
      <c r="AE994" s="25">
        <f t="shared" si="47"/>
        <v>0.13854694262457812</v>
      </c>
    </row>
    <row r="995" spans="1:31" x14ac:dyDescent="0.2">
      <c r="A995" s="1" t="s">
        <v>335</v>
      </c>
      <c r="B995" s="1" t="s">
        <v>2553</v>
      </c>
      <c r="C995" s="1">
        <v>2964</v>
      </c>
      <c r="D995" s="1">
        <v>8005</v>
      </c>
      <c r="F995" s="1">
        <v>2023</v>
      </c>
      <c r="G995" s="5">
        <v>1506</v>
      </c>
      <c r="H995" s="5">
        <v>1335.1</v>
      </c>
      <c r="I995" s="5">
        <v>91470.14</v>
      </c>
      <c r="K995" s="5">
        <v>0.35399999999999998</v>
      </c>
      <c r="L995" s="5">
        <v>1E-3</v>
      </c>
      <c r="M995" s="5">
        <v>69881.600000000006</v>
      </c>
      <c r="N995" s="6">
        <v>5.9400000000000001E-2</v>
      </c>
      <c r="O995" s="5">
        <v>53.503999999999998</v>
      </c>
      <c r="P995" s="6">
        <v>0.19089999999999999</v>
      </c>
      <c r="Q995" s="5">
        <v>1184283.8999999999</v>
      </c>
      <c r="R995" s="1" t="s">
        <v>44</v>
      </c>
      <c r="T995" s="1" t="s">
        <v>93</v>
      </c>
      <c r="V995" s="1" t="s">
        <v>1460</v>
      </c>
      <c r="Y995" s="1" t="s">
        <v>346</v>
      </c>
      <c r="Z995" s="1" t="str">
        <f t="shared" si="45"/>
        <v>2964 8005</v>
      </c>
      <c r="AA995" s="3">
        <f>IF(INDEX('CAMD Facility Data 2023'!$AA$2:$AE$10000,MATCH(Z995,'CAMD Facility Data 2023'!$AE$2:$AE$10000,0),1)&gt;0,INDEX('CAMD Facility Data 2023'!$AA$2:$AE$10000,MATCH(Z995,'CAMD Facility Data 2023'!$AE$2:$AE$10000,0),1),"")</f>
        <v>39492</v>
      </c>
      <c r="AB995" s="5">
        <f>IF(INDEX('CAMD Facility Data 2023'!$AC$2:$AE$10000,MATCH(Z995,'CAMD Facility Data 2023'!$AE$2:$AE$10000,0),1)&gt;0,INDEX('CAMD Facility Data 2023'!$AC$2:$AE$10000,MATCH(Z995,'CAMD Facility Data 2023'!$AE$2:$AE$10000,0),1),"")</f>
        <v>1150</v>
      </c>
      <c r="AC995" s="1" t="str">
        <f>IF(INDEX('CAMD Facility Data 2023'!$AE$2:$AG$10000,MATCH(Z995,'CAMD Facility Data 2023'!$AE$2:$AE$10000,0),3)&gt;0,INDEX('CAMD Facility Data 2023'!$AE$2:$AG$10000,MATCH(Z995,'CAMD Facility Data 2023'!$AE$2:$AE$10000,0),3),"")</f>
        <v/>
      </c>
      <c r="AD995" s="20">
        <f t="shared" si="46"/>
        <v>1.1698681121511347</v>
      </c>
      <c r="AE995" s="25">
        <f t="shared" si="47"/>
        <v>0.11755845741512805</v>
      </c>
    </row>
    <row r="996" spans="1:31" x14ac:dyDescent="0.2">
      <c r="A996" s="1" t="s">
        <v>335</v>
      </c>
      <c r="B996" s="1" t="s">
        <v>2553</v>
      </c>
      <c r="C996" s="1">
        <v>2964</v>
      </c>
      <c r="D996" s="1" t="s">
        <v>2561</v>
      </c>
      <c r="E996" s="1" t="s">
        <v>1330</v>
      </c>
      <c r="F996" s="1">
        <v>2023</v>
      </c>
      <c r="G996" s="5">
        <v>1494</v>
      </c>
      <c r="H996" s="5">
        <v>1475.72</v>
      </c>
      <c r="I996" s="5">
        <v>20673.32</v>
      </c>
      <c r="K996" s="5">
        <v>6.8000000000000005E-2</v>
      </c>
      <c r="L996" s="5">
        <v>1E-3</v>
      </c>
      <c r="M996" s="5">
        <v>13566.984</v>
      </c>
      <c r="N996" s="6">
        <v>5.8999999999999997E-2</v>
      </c>
      <c r="O996" s="5">
        <v>10.7</v>
      </c>
      <c r="P996" s="6">
        <v>8.4599999999999995E-2</v>
      </c>
      <c r="Q996" s="5">
        <v>228318.93700000001</v>
      </c>
      <c r="R996" s="1" t="s">
        <v>44</v>
      </c>
      <c r="T996" s="1" t="s">
        <v>89</v>
      </c>
      <c r="Y996" s="1" t="s">
        <v>346</v>
      </c>
      <c r="Z996" s="1" t="str">
        <f t="shared" si="45"/>
        <v>2964 801N</v>
      </c>
      <c r="AA996" s="3">
        <f>IF(INDEX('CAMD Facility Data 2023'!$AA$2:$AE$10000,MATCH(Z996,'CAMD Facility Data 2023'!$AE$2:$AE$10000,0),1)&gt;0,INDEX('CAMD Facility Data 2023'!$AA$2:$AE$10000,MATCH(Z996,'CAMD Facility Data 2023'!$AE$2:$AE$10000,0),1),"")</f>
        <v>19176</v>
      </c>
      <c r="AB996" s="5">
        <f>IF(INDEX('CAMD Facility Data 2023'!$AC$2:$AE$10000,MATCH(Z996,'CAMD Facility Data 2023'!$AE$2:$AE$10000,0),1)&gt;0,INDEX('CAMD Facility Data 2023'!$AC$2:$AE$10000,MATCH(Z996,'CAMD Facility Data 2023'!$AE$2:$AE$10000,0),1),"")</f>
        <v>482</v>
      </c>
      <c r="AC996" s="1" t="str">
        <f>IF(INDEX('CAMD Facility Data 2023'!$AE$2:$AG$10000,MATCH(Z996,'CAMD Facility Data 2023'!$AE$2:$AE$10000,0),3)&gt;0,INDEX('CAMD Facility Data 2023'!$AE$2:$AG$10000,MATCH(Z996,'CAMD Facility Data 2023'!$AE$2:$AE$10000,0),3),"")</f>
        <v/>
      </c>
      <c r="AD996" s="20">
        <f t="shared" si="46"/>
        <v>1.0351506192522537</v>
      </c>
      <c r="AE996" s="25">
        <f t="shared" si="47"/>
        <v>5.4074285463915572E-2</v>
      </c>
    </row>
    <row r="997" spans="1:31" x14ac:dyDescent="0.2">
      <c r="A997" s="1" t="s">
        <v>335</v>
      </c>
      <c r="B997" s="1" t="s">
        <v>2553</v>
      </c>
      <c r="C997" s="1">
        <v>2964</v>
      </c>
      <c r="D997" s="1" t="s">
        <v>2563</v>
      </c>
      <c r="E997" s="1" t="s">
        <v>1330</v>
      </c>
      <c r="F997" s="1">
        <v>2023</v>
      </c>
      <c r="G997" s="5">
        <v>1493</v>
      </c>
      <c r="H997" s="5">
        <v>1475.1</v>
      </c>
      <c r="I997" s="5">
        <v>20668.900000000001</v>
      </c>
      <c r="K997" s="5">
        <v>6.8000000000000005E-2</v>
      </c>
      <c r="L997" s="5">
        <v>1E-3</v>
      </c>
      <c r="M997" s="5">
        <v>13564.655000000001</v>
      </c>
      <c r="N997" s="6">
        <v>5.8999999999999997E-2</v>
      </c>
      <c r="O997" s="5">
        <v>20.919</v>
      </c>
      <c r="P997" s="6">
        <v>0.1676</v>
      </c>
      <c r="Q997" s="5">
        <v>228279.62400000001</v>
      </c>
      <c r="R997" s="1" t="s">
        <v>44</v>
      </c>
      <c r="T997" s="1" t="s">
        <v>89</v>
      </c>
      <c r="Y997" s="1" t="s">
        <v>346</v>
      </c>
      <c r="Z997" s="1" t="str">
        <f t="shared" si="45"/>
        <v>2964 801S</v>
      </c>
      <c r="AA997" s="3">
        <f>IF(INDEX('CAMD Facility Data 2023'!$AA$2:$AE$10000,MATCH(Z997,'CAMD Facility Data 2023'!$AE$2:$AE$10000,0),1)&gt;0,INDEX('CAMD Facility Data 2023'!$AA$2:$AE$10000,MATCH(Z997,'CAMD Facility Data 2023'!$AE$2:$AE$10000,0),1),"")</f>
        <v>19176</v>
      </c>
      <c r="AB997" s="5">
        <f>IF(INDEX('CAMD Facility Data 2023'!$AC$2:$AE$10000,MATCH(Z997,'CAMD Facility Data 2023'!$AE$2:$AE$10000,0),1)&gt;0,INDEX('CAMD Facility Data 2023'!$AC$2:$AE$10000,MATCH(Z997,'CAMD Facility Data 2023'!$AE$2:$AE$10000,0),1),"")</f>
        <v>482</v>
      </c>
      <c r="AC997" s="1" t="str">
        <f>IF(INDEX('CAMD Facility Data 2023'!$AE$2:$AG$10000,MATCH(Z997,'CAMD Facility Data 2023'!$AE$2:$AE$10000,0),3)&gt;0,INDEX('CAMD Facility Data 2023'!$AE$2:$AG$10000,MATCH(Z997,'CAMD Facility Data 2023'!$AE$2:$AE$10000,0),3),"")</f>
        <v/>
      </c>
      <c r="AD997" s="20">
        <f t="shared" si="46"/>
        <v>2.0242006105791792</v>
      </c>
      <c r="AE997" s="25">
        <f t="shared" si="47"/>
        <v>5.4064974705848923E-2</v>
      </c>
    </row>
    <row r="998" spans="1:31" x14ac:dyDescent="0.2">
      <c r="A998" s="1" t="s">
        <v>335</v>
      </c>
      <c r="B998" s="1" t="s">
        <v>2564</v>
      </c>
      <c r="C998" s="1">
        <v>2965</v>
      </c>
      <c r="D998" s="1">
        <v>1402</v>
      </c>
      <c r="E998" s="1" t="s">
        <v>1330</v>
      </c>
      <c r="F998" s="1">
        <v>2023</v>
      </c>
      <c r="G998" s="5">
        <v>2342</v>
      </c>
      <c r="H998" s="5">
        <v>2306.4699999999998</v>
      </c>
      <c r="I998" s="5">
        <v>100727.16</v>
      </c>
      <c r="K998" s="5">
        <v>0.33</v>
      </c>
      <c r="L998" s="5">
        <v>1E-3</v>
      </c>
      <c r="M998" s="5">
        <v>65420.288999999997</v>
      </c>
      <c r="N998" s="6">
        <v>5.9200000000000003E-2</v>
      </c>
      <c r="O998" s="5">
        <v>194.90899999999999</v>
      </c>
      <c r="P998" s="6">
        <v>0.28960000000000002</v>
      </c>
      <c r="Q998" s="5">
        <v>1100840.2279999999</v>
      </c>
      <c r="R998" s="1" t="s">
        <v>44</v>
      </c>
      <c r="T998" s="1" t="s">
        <v>89</v>
      </c>
      <c r="Y998" s="1" t="s">
        <v>346</v>
      </c>
      <c r="Z998" s="1" t="str">
        <f t="shared" si="45"/>
        <v>2965 1402</v>
      </c>
      <c r="AA998" s="3">
        <f>IF(INDEX('CAMD Facility Data 2023'!$AA$2:$AE$10000,MATCH(Z998,'CAMD Facility Data 2023'!$AE$2:$AE$10000,0),1)&gt;0,INDEX('CAMD Facility Data 2023'!$AA$2:$AE$10000,MATCH(Z998,'CAMD Facility Data 2023'!$AE$2:$AE$10000,0),1),"")</f>
        <v>20729</v>
      </c>
      <c r="AB998" s="5">
        <f>IF(INDEX('CAMD Facility Data 2023'!$AC$2:$AE$10000,MATCH(Z998,'CAMD Facility Data 2023'!$AE$2:$AE$10000,0),1)&gt;0,INDEX('CAMD Facility Data 2023'!$AC$2:$AE$10000,MATCH(Z998,'CAMD Facility Data 2023'!$AE$2:$AE$10000,0),1),"")</f>
        <v>1818</v>
      </c>
      <c r="AC998" s="1" t="str">
        <f>IF(INDEX('CAMD Facility Data 2023'!$AE$2:$AG$10000,MATCH(Z998,'CAMD Facility Data 2023'!$AE$2:$AE$10000,0),3)&gt;0,INDEX('CAMD Facility Data 2023'!$AE$2:$AG$10000,MATCH(Z998,'CAMD Facility Data 2023'!$AE$2:$AE$10000,0),3),"")</f>
        <v/>
      </c>
      <c r="AD998" s="20">
        <f t="shared" si="46"/>
        <v>3.8700386271190412</v>
      </c>
      <c r="AE998" s="25">
        <f t="shared" si="47"/>
        <v>6.9123593341069253E-2</v>
      </c>
    </row>
    <row r="999" spans="1:31" x14ac:dyDescent="0.2">
      <c r="A999" s="1" t="s">
        <v>335</v>
      </c>
      <c r="B999" s="1" t="s">
        <v>2564</v>
      </c>
      <c r="C999" s="1">
        <v>2965</v>
      </c>
      <c r="D999" s="1">
        <v>1404</v>
      </c>
      <c r="E999" s="1" t="s">
        <v>1330</v>
      </c>
      <c r="F999" s="1">
        <v>2023</v>
      </c>
      <c r="G999" s="5">
        <v>3859</v>
      </c>
      <c r="H999" s="5">
        <v>3835.9</v>
      </c>
      <c r="I999" s="5">
        <v>141396.04999999999</v>
      </c>
      <c r="K999" s="5">
        <v>0.51900000000000002</v>
      </c>
      <c r="L999" s="5">
        <v>1E-3</v>
      </c>
      <c r="M999" s="5">
        <v>102835.148</v>
      </c>
      <c r="N999" s="6">
        <v>5.9200000000000003E-2</v>
      </c>
      <c r="O999" s="5">
        <v>182.25</v>
      </c>
      <c r="P999" s="6">
        <v>0.184</v>
      </c>
      <c r="Q999" s="5">
        <v>1730444.41</v>
      </c>
      <c r="R999" s="1" t="s">
        <v>44</v>
      </c>
      <c r="T999" s="1" t="s">
        <v>89</v>
      </c>
      <c r="Y999" s="1" t="s">
        <v>346</v>
      </c>
      <c r="Z999" s="1" t="str">
        <f t="shared" si="45"/>
        <v>2965 1404</v>
      </c>
      <c r="AA999" s="3">
        <f>IF(INDEX('CAMD Facility Data 2023'!$AA$2:$AE$10000,MATCH(Z999,'CAMD Facility Data 2023'!$AE$2:$AE$10000,0),1)&gt;0,INDEX('CAMD Facility Data 2023'!$AA$2:$AE$10000,MATCH(Z999,'CAMD Facility Data 2023'!$AE$2:$AE$10000,0),1),"")</f>
        <v>21245</v>
      </c>
      <c r="AB999" s="5">
        <f>IF(INDEX('CAMD Facility Data 2023'!$AC$2:$AE$10000,MATCH(Z999,'CAMD Facility Data 2023'!$AE$2:$AE$10000,0),1)&gt;0,INDEX('CAMD Facility Data 2023'!$AC$2:$AE$10000,MATCH(Z999,'CAMD Facility Data 2023'!$AE$2:$AE$10000,0),1),"")</f>
        <v>1268</v>
      </c>
      <c r="AC999" s="1" t="str">
        <f>IF(INDEX('CAMD Facility Data 2023'!$AE$2:$AG$10000,MATCH(Z999,'CAMD Facility Data 2023'!$AE$2:$AE$10000,0),3)&gt;0,INDEX('CAMD Facility Data 2023'!$AE$2:$AG$10000,MATCH(Z999,'CAMD Facility Data 2023'!$AE$2:$AE$10000,0),3),"")</f>
        <v/>
      </c>
      <c r="AD999" s="20">
        <f t="shared" si="46"/>
        <v>2.5778655061439131</v>
      </c>
      <c r="AE999" s="25">
        <f t="shared" si="47"/>
        <v>0.1557881042665975</v>
      </c>
    </row>
    <row r="1000" spans="1:31" x14ac:dyDescent="0.2">
      <c r="A1000" s="1" t="s">
        <v>335</v>
      </c>
      <c r="B1000" s="1" t="s">
        <v>2569</v>
      </c>
      <c r="C1000" s="1">
        <v>3006</v>
      </c>
      <c r="D1000" s="1">
        <v>10</v>
      </c>
      <c r="F1000" s="1">
        <v>2023</v>
      </c>
      <c r="G1000" s="5">
        <v>967</v>
      </c>
      <c r="H1000" s="5">
        <v>867.44</v>
      </c>
      <c r="I1000" s="5">
        <v>17667.28</v>
      </c>
      <c r="K1000" s="5">
        <v>6.6000000000000003E-2</v>
      </c>
      <c r="L1000" s="5">
        <v>1E-3</v>
      </c>
      <c r="M1000" s="5">
        <v>13024.755999999999</v>
      </c>
      <c r="N1000" s="6">
        <v>5.9299999999999999E-2</v>
      </c>
      <c r="O1000" s="5">
        <v>9.7829999999999995</v>
      </c>
      <c r="P1000" s="6">
        <v>9.4899999999999998E-2</v>
      </c>
      <c r="Q1000" s="5">
        <v>219170.606</v>
      </c>
      <c r="R1000" s="1" t="s">
        <v>44</v>
      </c>
      <c r="T1000" s="1" t="s">
        <v>93</v>
      </c>
      <c r="V1000" s="1" t="s">
        <v>95</v>
      </c>
      <c r="Y1000" s="1" t="s">
        <v>346</v>
      </c>
      <c r="Z1000" s="1" t="str">
        <f t="shared" si="45"/>
        <v>3006 10</v>
      </c>
      <c r="AA1000" s="3">
        <f>IF(INDEX('CAMD Facility Data 2023'!$AA$2:$AE$10000,MATCH(Z1000,'CAMD Facility Data 2023'!$AE$2:$AE$10000,0),1)&gt;0,INDEX('CAMD Facility Data 2023'!$AA$2:$AE$10000,MATCH(Z1000,'CAMD Facility Data 2023'!$AE$2:$AE$10000,0),1),"")</f>
        <v>39946</v>
      </c>
      <c r="AB1000" s="5">
        <f>IF(INDEX('CAMD Facility Data 2023'!$AC$2:$AE$10000,MATCH(Z1000,'CAMD Facility Data 2023'!$AE$2:$AE$10000,0),1)&gt;0,INDEX('CAMD Facility Data 2023'!$AC$2:$AE$10000,MATCH(Z1000,'CAMD Facility Data 2023'!$AE$2:$AE$10000,0),1),"")</f>
        <v>490</v>
      </c>
      <c r="AC1000" s="1" t="str">
        <f>IF(INDEX('CAMD Facility Data 2023'!$AE$2:$AG$10000,MATCH(Z1000,'CAMD Facility Data 2023'!$AE$2:$AE$10000,0),3)&gt;0,INDEX('CAMD Facility Data 2023'!$AE$2:$AG$10000,MATCH(Z1000,'CAMD Facility Data 2023'!$AE$2:$AE$10000,0),3),"")</f>
        <v/>
      </c>
      <c r="AD1000" s="20">
        <f t="shared" si="46"/>
        <v>1.1074709859129419</v>
      </c>
      <c r="AE1000" s="25">
        <f t="shared" si="47"/>
        <v>5.1060154226073989E-2</v>
      </c>
    </row>
    <row r="1001" spans="1:31" x14ac:dyDescent="0.2">
      <c r="A1001" s="1" t="s">
        <v>335</v>
      </c>
      <c r="B1001" s="1" t="s">
        <v>2569</v>
      </c>
      <c r="C1001" s="1">
        <v>3006</v>
      </c>
      <c r="D1001" s="1">
        <v>11</v>
      </c>
      <c r="F1001" s="1">
        <v>2023</v>
      </c>
      <c r="G1001" s="5">
        <v>828</v>
      </c>
      <c r="H1001" s="5">
        <v>753.56</v>
      </c>
      <c r="I1001" s="5">
        <v>16836.3</v>
      </c>
      <c r="K1001" s="5">
        <v>6.2E-2</v>
      </c>
      <c r="L1001" s="5">
        <v>1E-3</v>
      </c>
      <c r="M1001" s="5">
        <v>12190.103999999999</v>
      </c>
      <c r="N1001" s="6">
        <v>5.9299999999999999E-2</v>
      </c>
      <c r="O1001" s="5">
        <v>8.7010000000000005</v>
      </c>
      <c r="P1001" s="6">
        <v>9.0200000000000002E-2</v>
      </c>
      <c r="Q1001" s="5">
        <v>205116.34</v>
      </c>
      <c r="R1001" s="1" t="s">
        <v>44</v>
      </c>
      <c r="T1001" s="1" t="s">
        <v>93</v>
      </c>
      <c r="V1001" s="1" t="s">
        <v>95</v>
      </c>
      <c r="Y1001" s="1" t="s">
        <v>346</v>
      </c>
      <c r="Z1001" s="1" t="str">
        <f t="shared" si="45"/>
        <v>3006 11</v>
      </c>
      <c r="AA1001" s="3">
        <f>IF(INDEX('CAMD Facility Data 2023'!$AA$2:$AE$10000,MATCH(Z1001,'CAMD Facility Data 2023'!$AE$2:$AE$10000,0),1)&gt;0,INDEX('CAMD Facility Data 2023'!$AA$2:$AE$10000,MATCH(Z1001,'CAMD Facility Data 2023'!$AE$2:$AE$10000,0),1),"")</f>
        <v>39975</v>
      </c>
      <c r="AB1001" s="5">
        <f>IF(INDEX('CAMD Facility Data 2023'!$AC$2:$AE$10000,MATCH(Z1001,'CAMD Facility Data 2023'!$AE$2:$AE$10000,0),1)&gt;0,INDEX('CAMD Facility Data 2023'!$AC$2:$AE$10000,MATCH(Z1001,'CAMD Facility Data 2023'!$AE$2:$AE$10000,0),1),"")</f>
        <v>505</v>
      </c>
      <c r="AC1001" s="1" t="str">
        <f>IF(INDEX('CAMD Facility Data 2023'!$AE$2:$AG$10000,MATCH(Z1001,'CAMD Facility Data 2023'!$AE$2:$AE$10000,0),3)&gt;0,INDEX('CAMD Facility Data 2023'!$AE$2:$AG$10000,MATCH(Z1001,'CAMD Facility Data 2023'!$AE$2:$AE$10000,0),3),"")</f>
        <v/>
      </c>
      <c r="AD1001" s="20">
        <f t="shared" si="46"/>
        <v>1.0336000190065513</v>
      </c>
      <c r="AE1001" s="25">
        <f t="shared" si="47"/>
        <v>4.6366549120665491E-2</v>
      </c>
    </row>
    <row r="1002" spans="1:31" x14ac:dyDescent="0.2">
      <c r="A1002" s="1" t="s">
        <v>335</v>
      </c>
      <c r="B1002" s="1" t="s">
        <v>2569</v>
      </c>
      <c r="C1002" s="1">
        <v>3006</v>
      </c>
      <c r="D1002" s="1">
        <v>3</v>
      </c>
      <c r="F1002" s="1">
        <v>2023</v>
      </c>
      <c r="G1002" s="5">
        <v>0</v>
      </c>
      <c r="H1002" s="5">
        <v>0</v>
      </c>
      <c r="R1002" s="1" t="s">
        <v>44</v>
      </c>
      <c r="T1002" s="1" t="s">
        <v>89</v>
      </c>
      <c r="Y1002" s="1" t="s">
        <v>346</v>
      </c>
      <c r="Z1002" s="1" t="str">
        <f t="shared" si="45"/>
        <v>3006 3</v>
      </c>
      <c r="AA1002" s="3">
        <f>IF(INDEX('CAMD Facility Data 2023'!$AA$2:$AE$10000,MATCH(Z1002,'CAMD Facility Data 2023'!$AE$2:$AE$10000,0),1)&gt;0,INDEX('CAMD Facility Data 2023'!$AA$2:$AE$10000,MATCH(Z1002,'CAMD Facility Data 2023'!$AE$2:$AE$10000,0),1),"")</f>
        <v>21462</v>
      </c>
      <c r="AB1002" s="5">
        <f>IF(INDEX('CAMD Facility Data 2023'!$AC$2:$AE$10000,MATCH(Z1002,'CAMD Facility Data 2023'!$AE$2:$AE$10000,0),1)&gt;0,INDEX('CAMD Facility Data 2023'!$AC$2:$AE$10000,MATCH(Z1002,'CAMD Facility Data 2023'!$AE$2:$AE$10000,0),1),"")</f>
        <v>800</v>
      </c>
      <c r="AC1002" s="1" t="str">
        <f>IF(INDEX('CAMD Facility Data 2023'!$AE$2:$AG$10000,MATCH(Z1002,'CAMD Facility Data 2023'!$AE$2:$AE$10000,0),3)&gt;0,INDEX('CAMD Facility Data 2023'!$AE$2:$AG$10000,MATCH(Z1002,'CAMD Facility Data 2023'!$AE$2:$AE$10000,0),3),"")</f>
        <v/>
      </c>
      <c r="AD1002" s="20" t="str">
        <f t="shared" si="46"/>
        <v/>
      </c>
      <c r="AE1002" s="25">
        <f t="shared" si="47"/>
        <v>0</v>
      </c>
    </row>
    <row r="1003" spans="1:31" x14ac:dyDescent="0.2">
      <c r="A1003" s="1" t="s">
        <v>335</v>
      </c>
      <c r="B1003" s="1" t="s">
        <v>2569</v>
      </c>
      <c r="C1003" s="1">
        <v>3006</v>
      </c>
      <c r="D1003" s="1">
        <v>7</v>
      </c>
      <c r="F1003" s="1">
        <v>2023</v>
      </c>
      <c r="G1003" s="5">
        <v>1626</v>
      </c>
      <c r="H1003" s="5">
        <v>1487.48</v>
      </c>
      <c r="I1003" s="5">
        <v>35795.449999999997</v>
      </c>
      <c r="K1003" s="5">
        <v>0.122</v>
      </c>
      <c r="L1003" s="5">
        <v>1E-3</v>
      </c>
      <c r="M1003" s="5">
        <v>24214.571</v>
      </c>
      <c r="N1003" s="6">
        <v>5.9400000000000001E-2</v>
      </c>
      <c r="O1003" s="5">
        <v>18.04</v>
      </c>
      <c r="P1003" s="6">
        <v>9.0300000000000005E-2</v>
      </c>
      <c r="Q1003" s="5">
        <v>407433.27500000002</v>
      </c>
      <c r="R1003" s="1" t="s">
        <v>44</v>
      </c>
      <c r="T1003" s="1" t="s">
        <v>93</v>
      </c>
      <c r="V1003" s="1" t="s">
        <v>95</v>
      </c>
      <c r="Y1003" s="1" t="s">
        <v>346</v>
      </c>
      <c r="Z1003" s="1" t="str">
        <f t="shared" si="45"/>
        <v>3006 7</v>
      </c>
      <c r="AA1003" s="3">
        <f>IF(INDEX('CAMD Facility Data 2023'!$AA$2:$AE$10000,MATCH(Z1003,'CAMD Facility Data 2023'!$AE$2:$AE$10000,0),1)&gt;0,INDEX('CAMD Facility Data 2023'!$AA$2:$AE$10000,MATCH(Z1003,'CAMD Facility Data 2023'!$AE$2:$AE$10000,0),1),"")</f>
        <v>36993</v>
      </c>
      <c r="AB1003" s="5">
        <f>IF(INDEX('CAMD Facility Data 2023'!$AC$2:$AE$10000,MATCH(Z1003,'CAMD Facility Data 2023'!$AE$2:$AE$10000,0),1)&gt;0,INDEX('CAMD Facility Data 2023'!$AC$2:$AE$10000,MATCH(Z1003,'CAMD Facility Data 2023'!$AE$2:$AE$10000,0),1),"")</f>
        <v>471.3</v>
      </c>
      <c r="AC1003" s="1" t="str">
        <f>IF(INDEX('CAMD Facility Data 2023'!$AE$2:$AG$10000,MATCH(Z1003,'CAMD Facility Data 2023'!$AE$2:$AE$10000,0),3)&gt;0,INDEX('CAMD Facility Data 2023'!$AE$2:$AG$10000,MATCH(Z1003,'CAMD Facility Data 2023'!$AE$2:$AE$10000,0),3),"")</f>
        <v/>
      </c>
      <c r="AD1003" s="20">
        <f t="shared" si="46"/>
        <v>1.0079493343427728</v>
      </c>
      <c r="AE1003" s="25">
        <f t="shared" si="47"/>
        <v>9.8685864271271448E-2</v>
      </c>
    </row>
    <row r="1004" spans="1:31" x14ac:dyDescent="0.2">
      <c r="A1004" s="1" t="s">
        <v>335</v>
      </c>
      <c r="B1004" s="1" t="s">
        <v>2569</v>
      </c>
      <c r="C1004" s="1">
        <v>3006</v>
      </c>
      <c r="D1004" s="1">
        <v>8</v>
      </c>
      <c r="F1004" s="1">
        <v>2023</v>
      </c>
      <c r="G1004" s="5">
        <v>1604</v>
      </c>
      <c r="H1004" s="5">
        <v>1472.67</v>
      </c>
      <c r="I1004" s="5">
        <v>37729.29</v>
      </c>
      <c r="K1004" s="5">
        <v>0.125</v>
      </c>
      <c r="L1004" s="5">
        <v>1E-3</v>
      </c>
      <c r="M1004" s="5">
        <v>24744.456999999999</v>
      </c>
      <c r="N1004" s="6">
        <v>5.9299999999999999E-2</v>
      </c>
      <c r="O1004" s="5">
        <v>18.364999999999998</v>
      </c>
      <c r="P1004" s="6">
        <v>9.1800000000000007E-2</v>
      </c>
      <c r="Q1004" s="5">
        <v>416355.85600000003</v>
      </c>
      <c r="R1004" s="1" t="s">
        <v>44</v>
      </c>
      <c r="T1004" s="1" t="s">
        <v>93</v>
      </c>
      <c r="V1004" s="1" t="s">
        <v>95</v>
      </c>
      <c r="Y1004" s="1" t="s">
        <v>346</v>
      </c>
      <c r="Z1004" s="1" t="str">
        <f t="shared" si="45"/>
        <v>3006 8</v>
      </c>
      <c r="AA1004" s="3">
        <f>IF(INDEX('CAMD Facility Data 2023'!$AA$2:$AE$10000,MATCH(Z1004,'CAMD Facility Data 2023'!$AE$2:$AE$10000,0),1)&gt;0,INDEX('CAMD Facility Data 2023'!$AA$2:$AE$10000,MATCH(Z1004,'CAMD Facility Data 2023'!$AE$2:$AE$10000,0),1),"")</f>
        <v>36993</v>
      </c>
      <c r="AB1004" s="5">
        <f>IF(INDEX('CAMD Facility Data 2023'!$AC$2:$AE$10000,MATCH(Z1004,'CAMD Facility Data 2023'!$AE$2:$AE$10000,0),1)&gt;0,INDEX('CAMD Facility Data 2023'!$AC$2:$AE$10000,MATCH(Z1004,'CAMD Facility Data 2023'!$AE$2:$AE$10000,0),1),"")</f>
        <v>475.6</v>
      </c>
      <c r="AC1004" s="1" t="str">
        <f>IF(INDEX('CAMD Facility Data 2023'!$AE$2:$AG$10000,MATCH(Z1004,'CAMD Facility Data 2023'!$AE$2:$AE$10000,0),3)&gt;0,INDEX('CAMD Facility Data 2023'!$AE$2:$AG$10000,MATCH(Z1004,'CAMD Facility Data 2023'!$AE$2:$AE$10000,0),3),"")</f>
        <v/>
      </c>
      <c r="AD1004" s="20">
        <f t="shared" si="46"/>
        <v>0.97351421137264971</v>
      </c>
      <c r="AE1004" s="25">
        <f t="shared" si="47"/>
        <v>9.9935255058738598E-2</v>
      </c>
    </row>
    <row r="1005" spans="1:31" x14ac:dyDescent="0.2">
      <c r="A1005" s="1" t="s">
        <v>335</v>
      </c>
      <c r="B1005" s="1" t="s">
        <v>2569</v>
      </c>
      <c r="C1005" s="1">
        <v>3006</v>
      </c>
      <c r="D1005" s="1">
        <v>9</v>
      </c>
      <c r="F1005" s="1">
        <v>2023</v>
      </c>
      <c r="G1005" s="5">
        <v>1037</v>
      </c>
      <c r="H1005" s="5">
        <v>934.58</v>
      </c>
      <c r="I1005" s="5">
        <v>18412.849999999999</v>
      </c>
      <c r="K1005" s="5">
        <v>7.0999999999999994E-2</v>
      </c>
      <c r="L1005" s="5">
        <v>1E-3</v>
      </c>
      <c r="M1005" s="5">
        <v>13980.294</v>
      </c>
      <c r="N1005" s="6">
        <v>5.9299999999999999E-2</v>
      </c>
      <c r="O1005" s="5">
        <v>10.845000000000001</v>
      </c>
      <c r="P1005" s="6">
        <v>9.8199999999999996E-2</v>
      </c>
      <c r="Q1005" s="5">
        <v>235277.16399999999</v>
      </c>
      <c r="R1005" s="1" t="s">
        <v>44</v>
      </c>
      <c r="T1005" s="1" t="s">
        <v>93</v>
      </c>
      <c r="V1005" s="1" t="s">
        <v>95</v>
      </c>
      <c r="Y1005" s="1" t="s">
        <v>346</v>
      </c>
      <c r="Z1005" s="1" t="str">
        <f t="shared" si="45"/>
        <v>3006 9</v>
      </c>
      <c r="AA1005" s="3">
        <f>IF(INDEX('CAMD Facility Data 2023'!$AA$2:$AE$10000,MATCH(Z1005,'CAMD Facility Data 2023'!$AE$2:$AE$10000,0),1)&gt;0,INDEX('CAMD Facility Data 2023'!$AA$2:$AE$10000,MATCH(Z1005,'CAMD Facility Data 2023'!$AE$2:$AE$10000,0),1),"")</f>
        <v>39950</v>
      </c>
      <c r="AB1005" s="5">
        <f>IF(INDEX('CAMD Facility Data 2023'!$AC$2:$AE$10000,MATCH(Z1005,'CAMD Facility Data 2023'!$AE$2:$AE$10000,0),1)&gt;0,INDEX('CAMD Facility Data 2023'!$AC$2:$AE$10000,MATCH(Z1005,'CAMD Facility Data 2023'!$AE$2:$AE$10000,0),1),"")</f>
        <v>505</v>
      </c>
      <c r="AC1005" s="1" t="str">
        <f>IF(INDEX('CAMD Facility Data 2023'!$AE$2:$AG$10000,MATCH(Z1005,'CAMD Facility Data 2023'!$AE$2:$AE$10000,0),3)&gt;0,INDEX('CAMD Facility Data 2023'!$AE$2:$AG$10000,MATCH(Z1005,'CAMD Facility Data 2023'!$AE$2:$AE$10000,0),3),"")</f>
        <v/>
      </c>
      <c r="AD1005" s="20">
        <f t="shared" si="46"/>
        <v>1.1779816812715034</v>
      </c>
      <c r="AE1005" s="25">
        <f t="shared" si="47"/>
        <v>5.318440345404403E-2</v>
      </c>
    </row>
    <row r="1006" spans="1:31" x14ac:dyDescent="0.2">
      <c r="A1006" s="1" t="s">
        <v>335</v>
      </c>
      <c r="B1006" s="1" t="s">
        <v>2577</v>
      </c>
      <c r="C1006" s="1">
        <v>3008</v>
      </c>
      <c r="D1006" s="1">
        <v>1</v>
      </c>
      <c r="F1006" s="1">
        <v>2023</v>
      </c>
      <c r="G1006" s="5">
        <v>517</v>
      </c>
      <c r="H1006" s="5">
        <v>510.19</v>
      </c>
      <c r="I1006" s="5">
        <v>15346.53</v>
      </c>
      <c r="K1006" s="5">
        <v>5.0999999999999997E-2</v>
      </c>
      <c r="L1006" s="5">
        <v>1E-3</v>
      </c>
      <c r="M1006" s="5">
        <v>10060.183999999999</v>
      </c>
      <c r="N1006" s="6">
        <v>6.2100000000000002E-2</v>
      </c>
      <c r="O1006" s="5">
        <v>34.975999999999999</v>
      </c>
      <c r="P1006" s="6">
        <v>0.3765</v>
      </c>
      <c r="Q1006" s="5">
        <v>169254.383</v>
      </c>
      <c r="R1006" s="1" t="s">
        <v>44</v>
      </c>
      <c r="T1006" s="1" t="s">
        <v>89</v>
      </c>
      <c r="Y1006" s="1" t="s">
        <v>346</v>
      </c>
      <c r="Z1006" s="1" t="str">
        <f t="shared" si="45"/>
        <v>3008 1</v>
      </c>
      <c r="AA1006" s="3">
        <f>IF(INDEX('CAMD Facility Data 2023'!$AA$2:$AE$10000,MATCH(Z1006,'CAMD Facility Data 2023'!$AE$2:$AE$10000,0),1)&gt;0,INDEX('CAMD Facility Data 2023'!$AA$2:$AE$10000,MATCH(Z1006,'CAMD Facility Data 2023'!$AE$2:$AE$10000,0),1),"")</f>
        <v>23463</v>
      </c>
      <c r="AB1006" s="5">
        <f>IF(INDEX('CAMD Facility Data 2023'!$AC$2:$AE$10000,MATCH(Z1006,'CAMD Facility Data 2023'!$AE$2:$AE$10000,0),1)&gt;0,INDEX('CAMD Facility Data 2023'!$AC$2:$AE$10000,MATCH(Z1006,'CAMD Facility Data 2023'!$AE$2:$AE$10000,0),1),"")</f>
        <v>756</v>
      </c>
      <c r="AC1006" s="1" t="str">
        <f>IF(INDEX('CAMD Facility Data 2023'!$AE$2:$AG$10000,MATCH(Z1006,'CAMD Facility Data 2023'!$AE$2:$AE$10000,0),3)&gt;0,INDEX('CAMD Facility Data 2023'!$AE$2:$AG$10000,MATCH(Z1006,'CAMD Facility Data 2023'!$AE$2:$AE$10000,0),3),"")</f>
        <v/>
      </c>
      <c r="AD1006" s="20">
        <f t="shared" si="46"/>
        <v>4.5581639627981048</v>
      </c>
      <c r="AE1006" s="25">
        <f t="shared" si="47"/>
        <v>2.5557244177478195E-2</v>
      </c>
    </row>
    <row r="1007" spans="1:31" x14ac:dyDescent="0.2">
      <c r="A1007" s="1" t="s">
        <v>335</v>
      </c>
      <c r="B1007" s="1" t="s">
        <v>2577</v>
      </c>
      <c r="C1007" s="1">
        <v>3008</v>
      </c>
      <c r="D1007" s="1">
        <v>2</v>
      </c>
      <c r="F1007" s="1">
        <v>2023</v>
      </c>
      <c r="G1007" s="5">
        <v>1357</v>
      </c>
      <c r="H1007" s="5">
        <v>1251.29</v>
      </c>
      <c r="I1007" s="5">
        <v>38706.300000000003</v>
      </c>
      <c r="K1007" s="5">
        <v>0.121</v>
      </c>
      <c r="L1007" s="5">
        <v>8.9999999999999998E-4</v>
      </c>
      <c r="M1007" s="5">
        <v>23919.43</v>
      </c>
      <c r="N1007" s="6">
        <v>6.3500000000000001E-2</v>
      </c>
      <c r="O1007" s="5">
        <v>30.591000000000001</v>
      </c>
      <c r="P1007" s="6">
        <v>0.1008</v>
      </c>
      <c r="Q1007" s="5">
        <v>402415.00400000002</v>
      </c>
      <c r="R1007" s="1" t="s">
        <v>44</v>
      </c>
      <c r="T1007" s="1" t="s">
        <v>89</v>
      </c>
      <c r="Y1007" s="1" t="s">
        <v>346</v>
      </c>
      <c r="Z1007" s="1" t="str">
        <f t="shared" si="45"/>
        <v>3008 2</v>
      </c>
      <c r="AA1007" s="3">
        <f>IF(INDEX('CAMD Facility Data 2023'!$AA$2:$AE$10000,MATCH(Z1007,'CAMD Facility Data 2023'!$AE$2:$AE$10000,0),1)&gt;0,INDEX('CAMD Facility Data 2023'!$AA$2:$AE$10000,MATCH(Z1007,'CAMD Facility Data 2023'!$AE$2:$AE$10000,0),1),"")</f>
        <v>24971</v>
      </c>
      <c r="AB1007" s="5">
        <f>IF(INDEX('CAMD Facility Data 2023'!$AC$2:$AE$10000,MATCH(Z1007,'CAMD Facility Data 2023'!$AE$2:$AE$10000,0),1)&gt;0,INDEX('CAMD Facility Data 2023'!$AC$2:$AE$10000,MATCH(Z1007,'CAMD Facility Data 2023'!$AE$2:$AE$10000,0),1),"")</f>
        <v>1624</v>
      </c>
      <c r="AC1007" s="1" t="str">
        <f>IF(INDEX('CAMD Facility Data 2023'!$AE$2:$AG$10000,MATCH(Z1007,'CAMD Facility Data 2023'!$AE$2:$AE$10000,0),3)&gt;0,INDEX('CAMD Facility Data 2023'!$AE$2:$AG$10000,MATCH(Z1007,'CAMD Facility Data 2023'!$AE$2:$AE$10000,0),3),"")</f>
        <v/>
      </c>
      <c r="AD1007" s="20">
        <f t="shared" si="46"/>
        <v>1.5806729137117213</v>
      </c>
      <c r="AE1007" s="25">
        <f t="shared" si="47"/>
        <v>2.8286813943810874E-2</v>
      </c>
    </row>
    <row r="1008" spans="1:31" x14ac:dyDescent="0.2">
      <c r="A1008" s="1" t="s">
        <v>335</v>
      </c>
      <c r="B1008" s="1" t="s">
        <v>2577</v>
      </c>
      <c r="C1008" s="1">
        <v>3008</v>
      </c>
      <c r="D1008" s="1">
        <v>3</v>
      </c>
      <c r="F1008" s="1">
        <v>2023</v>
      </c>
      <c r="G1008" s="5">
        <v>2034</v>
      </c>
      <c r="H1008" s="5">
        <v>1892.26</v>
      </c>
      <c r="I1008" s="5">
        <v>50217.32</v>
      </c>
      <c r="K1008" s="5">
        <v>0.16300000000000001</v>
      </c>
      <c r="L1008" s="5">
        <v>8.9999999999999998E-4</v>
      </c>
      <c r="M1008" s="5">
        <v>32311.607</v>
      </c>
      <c r="N1008" s="6">
        <v>6.9900000000000004E-2</v>
      </c>
      <c r="O1008" s="5">
        <v>33.887</v>
      </c>
      <c r="P1008" s="6">
        <v>8.2699999999999996E-2</v>
      </c>
      <c r="Q1008" s="5">
        <v>543361.098</v>
      </c>
      <c r="R1008" s="1" t="s">
        <v>44</v>
      </c>
      <c r="T1008" s="1" t="s">
        <v>89</v>
      </c>
      <c r="V1008" s="1" t="s">
        <v>2582</v>
      </c>
      <c r="Y1008" s="1" t="s">
        <v>346</v>
      </c>
      <c r="Z1008" s="1" t="str">
        <f t="shared" si="45"/>
        <v>3008 3</v>
      </c>
      <c r="AA1008" s="3">
        <f>IF(INDEX('CAMD Facility Data 2023'!$AA$2:$AE$10000,MATCH(Z1008,'CAMD Facility Data 2023'!$AE$2:$AE$10000,0),1)&gt;0,INDEX('CAMD Facility Data 2023'!$AA$2:$AE$10000,MATCH(Z1008,'CAMD Facility Data 2023'!$AE$2:$AE$10000,0),1),"")</f>
        <v>27513</v>
      </c>
      <c r="AB1008" s="5">
        <f>IF(INDEX('CAMD Facility Data 2023'!$AC$2:$AE$10000,MATCH(Z1008,'CAMD Facility Data 2023'!$AE$2:$AE$10000,0),1)&gt;0,INDEX('CAMD Facility Data 2023'!$AC$2:$AE$10000,MATCH(Z1008,'CAMD Facility Data 2023'!$AE$2:$AE$10000,0),1),"")</f>
        <v>1755</v>
      </c>
      <c r="AC1008" s="1" t="str">
        <f>IF(INDEX('CAMD Facility Data 2023'!$AE$2:$AG$10000,MATCH(Z1008,'CAMD Facility Data 2023'!$AE$2:$AE$10000,0),3)&gt;0,INDEX('CAMD Facility Data 2023'!$AE$2:$AG$10000,MATCH(Z1008,'CAMD Facility Data 2023'!$AE$2:$AE$10000,0),3),"")</f>
        <v/>
      </c>
      <c r="AD1008" s="20">
        <f t="shared" si="46"/>
        <v>1.3496140375472048</v>
      </c>
      <c r="AE1008" s="25">
        <f t="shared" si="47"/>
        <v>3.5343317722358818E-2</v>
      </c>
    </row>
    <row r="1009" spans="1:31" x14ac:dyDescent="0.2">
      <c r="A1009" s="1" t="s">
        <v>2584</v>
      </c>
      <c r="B1009" s="1" t="s">
        <v>2585</v>
      </c>
      <c r="C1009" s="1">
        <v>3096</v>
      </c>
      <c r="D1009" s="1" t="s">
        <v>377</v>
      </c>
      <c r="F1009" s="1">
        <v>2023</v>
      </c>
      <c r="G1009" s="5">
        <v>768</v>
      </c>
      <c r="H1009" s="5">
        <v>737.14</v>
      </c>
      <c r="I1009" s="5">
        <v>28424.67</v>
      </c>
      <c r="K1009" s="5">
        <v>0.13100000000000001</v>
      </c>
      <c r="L1009" s="5">
        <v>1E-3</v>
      </c>
      <c r="M1009" s="5">
        <v>26003.042000000001</v>
      </c>
      <c r="N1009" s="6">
        <v>5.91E-2</v>
      </c>
      <c r="O1009" s="5">
        <v>4.6760000000000002</v>
      </c>
      <c r="P1009" s="6">
        <v>2.9499999999999998E-2</v>
      </c>
      <c r="Q1009" s="5">
        <v>437530.47100000002</v>
      </c>
      <c r="R1009" s="1" t="s">
        <v>44</v>
      </c>
      <c r="T1009" s="1" t="s">
        <v>71</v>
      </c>
      <c r="V1009" s="1" t="s">
        <v>611</v>
      </c>
      <c r="Y1009" s="1" t="s">
        <v>1515</v>
      </c>
      <c r="Z1009" s="1" t="str">
        <f t="shared" si="45"/>
        <v>3096 2A</v>
      </c>
      <c r="AA1009" s="3">
        <f>IF(INDEX('CAMD Facility Data 2023'!$AA$2:$AE$10000,MATCH(Z1009,'CAMD Facility Data 2023'!$AE$2:$AE$10000,0),1)&gt;0,INDEX('CAMD Facility Data 2023'!$AA$2:$AE$10000,MATCH(Z1009,'CAMD Facility Data 2023'!$AE$2:$AE$10000,0),1),"")</f>
        <v>26816</v>
      </c>
      <c r="AB1009" s="5">
        <f>IF(INDEX('CAMD Facility Data 2023'!$AC$2:$AE$10000,MATCH(Z1009,'CAMD Facility Data 2023'!$AE$2:$AE$10000,0),1)&gt;0,INDEX('CAMD Facility Data 2023'!$AC$2:$AE$10000,MATCH(Z1009,'CAMD Facility Data 2023'!$AE$2:$AE$10000,0),1),"")</f>
        <v>918</v>
      </c>
      <c r="AC1009" s="1" t="str">
        <f>IF(INDEX('CAMD Facility Data 2023'!$AE$2:$AG$10000,MATCH(Z1009,'CAMD Facility Data 2023'!$AE$2:$AE$10000,0),3)&gt;0,INDEX('CAMD Facility Data 2023'!$AE$2:$AG$10000,MATCH(Z1009,'CAMD Facility Data 2023'!$AE$2:$AE$10000,0),3),"")</f>
        <v>Y</v>
      </c>
      <c r="AD1009" s="20">
        <f t="shared" si="46"/>
        <v>0.32900997619321526</v>
      </c>
      <c r="AE1009" s="25">
        <f t="shared" si="47"/>
        <v>5.440784400771978E-2</v>
      </c>
    </row>
    <row r="1010" spans="1:31" x14ac:dyDescent="0.2">
      <c r="A1010" s="1" t="s">
        <v>2584</v>
      </c>
      <c r="B1010" s="1" t="s">
        <v>2585</v>
      </c>
      <c r="C1010" s="1">
        <v>3096</v>
      </c>
      <c r="D1010" s="1" t="s">
        <v>1201</v>
      </c>
      <c r="F1010" s="1">
        <v>2023</v>
      </c>
      <c r="G1010" s="5">
        <v>715</v>
      </c>
      <c r="H1010" s="5">
        <v>683.14</v>
      </c>
      <c r="I1010" s="5">
        <v>26267.17</v>
      </c>
      <c r="K1010" s="5">
        <v>0.11600000000000001</v>
      </c>
      <c r="L1010" s="5">
        <v>1E-3</v>
      </c>
      <c r="M1010" s="5">
        <v>22966.898000000001</v>
      </c>
      <c r="N1010" s="6">
        <v>5.91E-2</v>
      </c>
      <c r="O1010" s="5">
        <v>4.2210000000000001</v>
      </c>
      <c r="P1010" s="6">
        <v>2.9700000000000001E-2</v>
      </c>
      <c r="Q1010" s="5">
        <v>386454.57299999997</v>
      </c>
      <c r="R1010" s="1" t="s">
        <v>44</v>
      </c>
      <c r="T1010" s="1" t="s">
        <v>71</v>
      </c>
      <c r="V1010" s="1" t="s">
        <v>611</v>
      </c>
      <c r="Y1010" s="1" t="s">
        <v>1515</v>
      </c>
      <c r="Z1010" s="1" t="str">
        <f t="shared" si="45"/>
        <v>3096 2B</v>
      </c>
      <c r="AA1010" s="3">
        <f>IF(INDEX('CAMD Facility Data 2023'!$AA$2:$AE$10000,MATCH(Z1010,'CAMD Facility Data 2023'!$AE$2:$AE$10000,0),1)&gt;0,INDEX('CAMD Facility Data 2023'!$AA$2:$AE$10000,MATCH(Z1010,'CAMD Facility Data 2023'!$AE$2:$AE$10000,0),1),"")</f>
        <v>26816</v>
      </c>
      <c r="AB1010" s="5">
        <f>IF(INDEX('CAMD Facility Data 2023'!$AC$2:$AE$10000,MATCH(Z1010,'CAMD Facility Data 2023'!$AE$2:$AE$10000,0),1)&gt;0,INDEX('CAMD Facility Data 2023'!$AC$2:$AE$10000,MATCH(Z1010,'CAMD Facility Data 2023'!$AE$2:$AE$10000,0),1),"")</f>
        <v>960</v>
      </c>
      <c r="AC1010" s="1" t="str">
        <f>IF(INDEX('CAMD Facility Data 2023'!$AE$2:$AG$10000,MATCH(Z1010,'CAMD Facility Data 2023'!$AE$2:$AE$10000,0),3)&gt;0,INDEX('CAMD Facility Data 2023'!$AE$2:$AG$10000,MATCH(Z1010,'CAMD Facility Data 2023'!$AE$2:$AE$10000,0),3),"")</f>
        <v>Y</v>
      </c>
      <c r="AD1010" s="20">
        <f t="shared" si="46"/>
        <v>0.32138978047501882</v>
      </c>
      <c r="AE1010" s="25">
        <f t="shared" si="47"/>
        <v>4.5953977953767121E-2</v>
      </c>
    </row>
    <row r="1011" spans="1:31" x14ac:dyDescent="0.2">
      <c r="A1011" s="1" t="s">
        <v>2584</v>
      </c>
      <c r="B1011" s="1" t="s">
        <v>2585</v>
      </c>
      <c r="C1011" s="1">
        <v>3096</v>
      </c>
      <c r="D1011" s="1">
        <v>3</v>
      </c>
      <c r="F1011" s="1">
        <v>2023</v>
      </c>
      <c r="G1011" s="5">
        <v>755</v>
      </c>
      <c r="H1011" s="5">
        <v>724.92</v>
      </c>
      <c r="I1011" s="5">
        <v>27588.98</v>
      </c>
      <c r="K1011" s="5">
        <v>0.11600000000000001</v>
      </c>
      <c r="L1011" s="5">
        <v>1E-3</v>
      </c>
      <c r="M1011" s="5">
        <v>23014.73</v>
      </c>
      <c r="N1011" s="6">
        <v>5.91E-2</v>
      </c>
      <c r="O1011" s="5">
        <v>4.1970000000000001</v>
      </c>
      <c r="P1011" s="6">
        <v>3.0099999999999998E-2</v>
      </c>
      <c r="Q1011" s="5">
        <v>387267.3</v>
      </c>
      <c r="R1011" s="1" t="s">
        <v>44</v>
      </c>
      <c r="T1011" s="1" t="s">
        <v>71</v>
      </c>
      <c r="V1011" s="1" t="s">
        <v>611</v>
      </c>
      <c r="Y1011" s="1" t="s">
        <v>1515</v>
      </c>
      <c r="Z1011" s="1" t="str">
        <f t="shared" si="45"/>
        <v>3096 3</v>
      </c>
      <c r="AA1011" s="3">
        <f>IF(INDEX('CAMD Facility Data 2023'!$AA$2:$AE$10000,MATCH(Z1011,'CAMD Facility Data 2023'!$AE$2:$AE$10000,0),1)&gt;0,INDEX('CAMD Facility Data 2023'!$AA$2:$AE$10000,MATCH(Z1011,'CAMD Facility Data 2023'!$AE$2:$AE$10000,0),1),"")</f>
        <v>26816</v>
      </c>
      <c r="AB1011" s="5">
        <f>IF(INDEX('CAMD Facility Data 2023'!$AC$2:$AE$10000,MATCH(Z1011,'CAMD Facility Data 2023'!$AE$2:$AE$10000,0),1)&gt;0,INDEX('CAMD Facility Data 2023'!$AC$2:$AE$10000,MATCH(Z1011,'CAMD Facility Data 2023'!$AE$2:$AE$10000,0),1),"")</f>
        <v>918</v>
      </c>
      <c r="AC1011" s="1" t="str">
        <f>IF(INDEX('CAMD Facility Data 2023'!$AE$2:$AG$10000,MATCH(Z1011,'CAMD Facility Data 2023'!$AE$2:$AE$10000,0),3)&gt;0,INDEX('CAMD Facility Data 2023'!$AE$2:$AG$10000,MATCH(Z1011,'CAMD Facility Data 2023'!$AE$2:$AE$10000,0),3),"")</f>
        <v>Y</v>
      </c>
      <c r="AD1011" s="20">
        <f t="shared" si="46"/>
        <v>0.30425191507623695</v>
      </c>
      <c r="AE1011" s="25">
        <f t="shared" si="47"/>
        <v>4.8157511863192767E-2</v>
      </c>
    </row>
    <row r="1012" spans="1:31" x14ac:dyDescent="0.2">
      <c r="A1012" s="1" t="s">
        <v>2584</v>
      </c>
      <c r="B1012" s="1" t="s">
        <v>2593</v>
      </c>
      <c r="C1012" s="1">
        <v>3111</v>
      </c>
      <c r="D1012" s="1">
        <v>31</v>
      </c>
      <c r="F1012" s="1">
        <v>2023</v>
      </c>
      <c r="G1012" s="5">
        <v>85</v>
      </c>
      <c r="H1012" s="5">
        <v>84.27</v>
      </c>
      <c r="I1012" s="5">
        <v>1548.24</v>
      </c>
      <c r="K1012" s="5">
        <v>1.1559999999999999</v>
      </c>
      <c r="L1012" s="5">
        <v>0.10100000000000001</v>
      </c>
      <c r="M1012" s="5">
        <v>1854.3</v>
      </c>
      <c r="N1012" s="6">
        <v>8.1000000000000003E-2</v>
      </c>
      <c r="O1012" s="5">
        <v>7.6020000000000003</v>
      </c>
      <c r="P1012" s="6">
        <v>0.66339999999999999</v>
      </c>
      <c r="Q1012" s="5">
        <v>22892.9</v>
      </c>
      <c r="R1012" s="1" t="s">
        <v>94</v>
      </c>
      <c r="S1012" s="1" t="s">
        <v>44</v>
      </c>
      <c r="T1012" s="1" t="s">
        <v>93</v>
      </c>
      <c r="Y1012" s="1" t="s">
        <v>1528</v>
      </c>
      <c r="Z1012" s="1" t="str">
        <f t="shared" si="45"/>
        <v>3111 31</v>
      </c>
      <c r="AA1012" s="3">
        <f>IF(INDEX('CAMD Facility Data 2023'!$AA$2:$AE$10000,MATCH(Z1012,'CAMD Facility Data 2023'!$AE$2:$AE$10000,0),1)&gt;0,INDEX('CAMD Facility Data 2023'!$AA$2:$AE$10000,MATCH(Z1012,'CAMD Facility Data 2023'!$AE$2:$AE$10000,0),1),"")</f>
        <v>26085</v>
      </c>
      <c r="AB1012" s="5">
        <f>IF(INDEX('CAMD Facility Data 2023'!$AC$2:$AE$10000,MATCH(Z1012,'CAMD Facility Data 2023'!$AE$2:$AE$10000,0),1)&gt;0,INDEX('CAMD Facility Data 2023'!$AC$2:$AE$10000,MATCH(Z1012,'CAMD Facility Data 2023'!$AE$2:$AE$10000,0),1),"")</f>
        <v>326</v>
      </c>
      <c r="AC1012" s="1" t="str">
        <f>IF(INDEX('CAMD Facility Data 2023'!$AE$2:$AG$10000,MATCH(Z1012,'CAMD Facility Data 2023'!$AE$2:$AE$10000,0),3)&gt;0,INDEX('CAMD Facility Data 2023'!$AE$2:$AG$10000,MATCH(Z1012,'CAMD Facility Data 2023'!$AE$2:$AE$10000,0),3),"")</f>
        <v/>
      </c>
      <c r="AD1012" s="20">
        <f t="shared" si="46"/>
        <v>9.8201829173771511</v>
      </c>
      <c r="AE1012" s="25">
        <f t="shared" si="47"/>
        <v>8.0163949351486127E-3</v>
      </c>
    </row>
    <row r="1013" spans="1:31" x14ac:dyDescent="0.2">
      <c r="A1013" s="1" t="s">
        <v>2584</v>
      </c>
      <c r="B1013" s="1" t="s">
        <v>2593</v>
      </c>
      <c r="C1013" s="1">
        <v>3111</v>
      </c>
      <c r="D1013" s="1">
        <v>32</v>
      </c>
      <c r="F1013" s="1">
        <v>2023</v>
      </c>
      <c r="G1013" s="5">
        <v>116</v>
      </c>
      <c r="H1013" s="5">
        <v>109.88</v>
      </c>
      <c r="I1013" s="5">
        <v>1787.18</v>
      </c>
      <c r="K1013" s="5">
        <v>1.4450000000000001</v>
      </c>
      <c r="L1013" s="5">
        <v>0.10100000000000001</v>
      </c>
      <c r="M1013" s="5">
        <v>2318.9</v>
      </c>
      <c r="N1013" s="6">
        <v>8.1100000000000005E-2</v>
      </c>
      <c r="O1013" s="5">
        <v>9.4760000000000009</v>
      </c>
      <c r="P1013" s="6">
        <v>0.66200000000000003</v>
      </c>
      <c r="Q1013" s="5">
        <v>28618.7</v>
      </c>
      <c r="R1013" s="1" t="s">
        <v>94</v>
      </c>
      <c r="S1013" s="1" t="s">
        <v>44</v>
      </c>
      <c r="T1013" s="1" t="s">
        <v>93</v>
      </c>
      <c r="Y1013" s="1" t="s">
        <v>1528</v>
      </c>
      <c r="Z1013" s="1" t="str">
        <f t="shared" si="45"/>
        <v>3111 32</v>
      </c>
      <c r="AA1013" s="3">
        <f>IF(INDEX('CAMD Facility Data 2023'!$AA$2:$AE$10000,MATCH(Z1013,'CAMD Facility Data 2023'!$AE$2:$AE$10000,0),1)&gt;0,INDEX('CAMD Facility Data 2023'!$AA$2:$AE$10000,MATCH(Z1013,'CAMD Facility Data 2023'!$AE$2:$AE$10000,0),1),"")</f>
        <v>26085</v>
      </c>
      <c r="AB1013" s="5">
        <f>IF(INDEX('CAMD Facility Data 2023'!$AC$2:$AE$10000,MATCH(Z1013,'CAMD Facility Data 2023'!$AE$2:$AE$10000,0),1)&gt;0,INDEX('CAMD Facility Data 2023'!$AC$2:$AE$10000,MATCH(Z1013,'CAMD Facility Data 2023'!$AE$2:$AE$10000,0),1),"")</f>
        <v>326</v>
      </c>
      <c r="AC1013" s="1" t="str">
        <f>IF(INDEX('CAMD Facility Data 2023'!$AE$2:$AG$10000,MATCH(Z1013,'CAMD Facility Data 2023'!$AE$2:$AE$10000,0),3)&gt;0,INDEX('CAMD Facility Data 2023'!$AE$2:$AG$10000,MATCH(Z1013,'CAMD Facility Data 2023'!$AE$2:$AE$10000,0),3),"")</f>
        <v/>
      </c>
      <c r="AD1013" s="20">
        <f t="shared" si="46"/>
        <v>10.604415895433029</v>
      </c>
      <c r="AE1013" s="25">
        <f t="shared" si="47"/>
        <v>1.002139535535199E-2</v>
      </c>
    </row>
    <row r="1014" spans="1:31" x14ac:dyDescent="0.2">
      <c r="A1014" s="1" t="s">
        <v>2584</v>
      </c>
      <c r="B1014" s="1" t="s">
        <v>2598</v>
      </c>
      <c r="C1014" s="1">
        <v>3113</v>
      </c>
      <c r="D1014" s="1">
        <v>5</v>
      </c>
      <c r="F1014" s="1">
        <v>2023</v>
      </c>
      <c r="G1014" s="5">
        <v>18</v>
      </c>
      <c r="H1014" s="5">
        <v>8.34</v>
      </c>
      <c r="I1014" s="5">
        <v>707.9</v>
      </c>
      <c r="K1014" s="5">
        <v>9.4E-2</v>
      </c>
      <c r="L1014" s="5">
        <v>0.02</v>
      </c>
      <c r="M1014" s="5">
        <v>745.33699999999999</v>
      </c>
      <c r="N1014" s="6">
        <v>8.1000000000000003E-2</v>
      </c>
      <c r="O1014" s="5">
        <v>1.4139999999999999</v>
      </c>
      <c r="P1014" s="6">
        <v>1.2032</v>
      </c>
      <c r="Q1014" s="5">
        <v>9184.8289999999997</v>
      </c>
      <c r="R1014" s="1" t="s">
        <v>44</v>
      </c>
      <c r="S1014" s="1" t="s">
        <v>94</v>
      </c>
      <c r="T1014" s="1" t="s">
        <v>93</v>
      </c>
      <c r="V1014" s="1" t="s">
        <v>183</v>
      </c>
      <c r="Y1014" s="1" t="s">
        <v>1515</v>
      </c>
      <c r="Z1014" s="1" t="str">
        <f t="shared" si="45"/>
        <v>3113 5</v>
      </c>
      <c r="AA1014" s="3">
        <f>IF(INDEX('CAMD Facility Data 2023'!$AA$2:$AE$10000,MATCH(Z1014,'CAMD Facility Data 2023'!$AE$2:$AE$10000,0),1)&gt;0,INDEX('CAMD Facility Data 2023'!$AA$2:$AE$10000,MATCH(Z1014,'CAMD Facility Data 2023'!$AE$2:$AE$10000,0),1),"")</f>
        <v>34881</v>
      </c>
      <c r="AB1014" s="5">
        <f>IF(INDEX('CAMD Facility Data 2023'!$AC$2:$AE$10000,MATCH(Z1014,'CAMD Facility Data 2023'!$AE$2:$AE$10000,0),1)&gt;0,INDEX('CAMD Facility Data 2023'!$AC$2:$AE$10000,MATCH(Z1014,'CAMD Facility Data 2023'!$AE$2:$AE$10000,0),1),"")</f>
        <v>1950</v>
      </c>
      <c r="AC1014" s="1" t="str">
        <f>IF(INDEX('CAMD Facility Data 2023'!$AE$2:$AG$10000,MATCH(Z1014,'CAMD Facility Data 2023'!$AE$2:$AE$10000,0),3)&gt;0,INDEX('CAMD Facility Data 2023'!$AE$2:$AG$10000,MATCH(Z1014,'CAMD Facility Data 2023'!$AE$2:$AE$10000,0),3),"")</f>
        <v/>
      </c>
      <c r="AD1014" s="20">
        <f t="shared" si="46"/>
        <v>3.9949145359514056</v>
      </c>
      <c r="AE1014" s="25">
        <f t="shared" si="47"/>
        <v>5.3769049291652027E-4</v>
      </c>
    </row>
    <row r="1015" spans="1:31" x14ac:dyDescent="0.2">
      <c r="A1015" s="1" t="s">
        <v>2584</v>
      </c>
      <c r="B1015" s="1" t="s">
        <v>2603</v>
      </c>
      <c r="C1015" s="1">
        <v>3116</v>
      </c>
      <c r="D1015" s="1">
        <v>31</v>
      </c>
      <c r="F1015" s="1">
        <v>2023</v>
      </c>
      <c r="G1015" s="5">
        <v>13</v>
      </c>
      <c r="H1015" s="5">
        <v>12.83</v>
      </c>
      <c r="I1015" s="5">
        <v>113</v>
      </c>
      <c r="K1015" s="5">
        <v>0.1</v>
      </c>
      <c r="L1015" s="5">
        <v>0.1007</v>
      </c>
      <c r="M1015" s="5">
        <v>160.69999999999999</v>
      </c>
      <c r="N1015" s="6">
        <v>8.1299999999999997E-2</v>
      </c>
      <c r="O1015" s="5">
        <v>0.67200000000000004</v>
      </c>
      <c r="P1015" s="6">
        <v>0.67059999999999997</v>
      </c>
      <c r="Q1015" s="5">
        <v>1983</v>
      </c>
      <c r="R1015" s="1" t="s">
        <v>94</v>
      </c>
      <c r="T1015" s="1" t="s">
        <v>93</v>
      </c>
      <c r="Y1015" s="1" t="s">
        <v>1528</v>
      </c>
      <c r="Z1015" s="1" t="str">
        <f t="shared" si="45"/>
        <v>3116 31</v>
      </c>
      <c r="AA1015" s="3">
        <f>IF(INDEX('CAMD Facility Data 2023'!$AA$2:$AE$10000,MATCH(Z1015,'CAMD Facility Data 2023'!$AE$2:$AE$10000,0),1)&gt;0,INDEX('CAMD Facility Data 2023'!$AA$2:$AE$10000,MATCH(Z1015,'CAMD Facility Data 2023'!$AE$2:$AE$10000,0),1),"")</f>
        <v>26085</v>
      </c>
      <c r="AB1015" s="5">
        <f>IF(INDEX('CAMD Facility Data 2023'!$AC$2:$AE$10000,MATCH(Z1015,'CAMD Facility Data 2023'!$AE$2:$AE$10000,0),1)&gt;0,INDEX('CAMD Facility Data 2023'!$AC$2:$AE$10000,MATCH(Z1015,'CAMD Facility Data 2023'!$AE$2:$AE$10000,0),1),"")</f>
        <v>305</v>
      </c>
      <c r="AC1015" s="1" t="str">
        <f>IF(INDEX('CAMD Facility Data 2023'!$AE$2:$AG$10000,MATCH(Z1015,'CAMD Facility Data 2023'!$AE$2:$AE$10000,0),3)&gt;0,INDEX('CAMD Facility Data 2023'!$AE$2:$AG$10000,MATCH(Z1015,'CAMD Facility Data 2023'!$AE$2:$AE$10000,0),3),"")</f>
        <v/>
      </c>
      <c r="AD1015" s="20">
        <f t="shared" si="46"/>
        <v>11.893805309734514</v>
      </c>
      <c r="AE1015" s="25">
        <f t="shared" si="47"/>
        <v>7.4219627217606107E-4</v>
      </c>
    </row>
    <row r="1016" spans="1:31" x14ac:dyDescent="0.2">
      <c r="A1016" s="1" t="s">
        <v>2584</v>
      </c>
      <c r="B1016" s="1" t="s">
        <v>2603</v>
      </c>
      <c r="C1016" s="1">
        <v>3116</v>
      </c>
      <c r="D1016" s="1">
        <v>32</v>
      </c>
      <c r="F1016" s="1">
        <v>2023</v>
      </c>
      <c r="G1016" s="5">
        <v>26</v>
      </c>
      <c r="H1016" s="5">
        <v>25</v>
      </c>
      <c r="I1016" s="5">
        <v>300</v>
      </c>
      <c r="K1016" s="5">
        <v>0.26500000000000001</v>
      </c>
      <c r="L1016" s="5">
        <v>0.1013</v>
      </c>
      <c r="M1016" s="5">
        <v>424.5</v>
      </c>
      <c r="N1016" s="6">
        <v>8.1000000000000003E-2</v>
      </c>
      <c r="O1016" s="5">
        <v>1.766</v>
      </c>
      <c r="P1016" s="6">
        <v>0.66910000000000003</v>
      </c>
      <c r="Q1016" s="5">
        <v>5241.1000000000004</v>
      </c>
      <c r="R1016" s="1" t="s">
        <v>94</v>
      </c>
      <c r="T1016" s="1" t="s">
        <v>93</v>
      </c>
      <c r="Y1016" s="1" t="s">
        <v>1528</v>
      </c>
      <c r="Z1016" s="1" t="str">
        <f t="shared" si="45"/>
        <v>3116 32</v>
      </c>
      <c r="AA1016" s="3">
        <f>IF(INDEX('CAMD Facility Data 2023'!$AA$2:$AE$10000,MATCH(Z1016,'CAMD Facility Data 2023'!$AE$2:$AE$10000,0),1)&gt;0,INDEX('CAMD Facility Data 2023'!$AA$2:$AE$10000,MATCH(Z1016,'CAMD Facility Data 2023'!$AE$2:$AE$10000,0),1),"")</f>
        <v>26085</v>
      </c>
      <c r="AB1016" s="5">
        <f>IF(INDEX('CAMD Facility Data 2023'!$AC$2:$AE$10000,MATCH(Z1016,'CAMD Facility Data 2023'!$AE$2:$AE$10000,0),1)&gt;0,INDEX('CAMD Facility Data 2023'!$AC$2:$AE$10000,MATCH(Z1016,'CAMD Facility Data 2023'!$AE$2:$AE$10000,0),1),"")</f>
        <v>305</v>
      </c>
      <c r="AC1016" s="1" t="str">
        <f>IF(INDEX('CAMD Facility Data 2023'!$AE$2:$AG$10000,MATCH(Z1016,'CAMD Facility Data 2023'!$AE$2:$AE$10000,0),3)&gt;0,INDEX('CAMD Facility Data 2023'!$AE$2:$AG$10000,MATCH(Z1016,'CAMD Facility Data 2023'!$AE$2:$AE$10000,0),3),"")</f>
        <v/>
      </c>
      <c r="AD1016" s="20">
        <f t="shared" si="46"/>
        <v>11.773333333333333</v>
      </c>
      <c r="AE1016" s="25">
        <f t="shared" si="47"/>
        <v>1.9616363500261995E-3</v>
      </c>
    </row>
    <row r="1017" spans="1:31" x14ac:dyDescent="0.2">
      <c r="A1017" s="1" t="s">
        <v>2584</v>
      </c>
      <c r="B1017" s="1" t="s">
        <v>2607</v>
      </c>
      <c r="C1017" s="1">
        <v>3118</v>
      </c>
      <c r="D1017" s="1">
        <v>1</v>
      </c>
      <c r="F1017" s="1">
        <v>2023</v>
      </c>
      <c r="G1017" s="5">
        <v>4128</v>
      </c>
      <c r="H1017" s="5">
        <v>4124.54</v>
      </c>
      <c r="I1017" s="5">
        <v>2285635.17</v>
      </c>
      <c r="K1017" s="5">
        <v>714.66899999999998</v>
      </c>
      <c r="L1017" s="5">
        <v>6.1400000000000003E-2</v>
      </c>
      <c r="M1017" s="5">
        <v>2246118.568</v>
      </c>
      <c r="N1017" s="6">
        <v>0.1022</v>
      </c>
      <c r="O1017" s="5">
        <v>724.76700000000005</v>
      </c>
      <c r="P1017" s="6">
        <v>6.7199999999999996E-2</v>
      </c>
      <c r="Q1017" s="5">
        <v>21911568.125</v>
      </c>
      <c r="R1017" s="1" t="s">
        <v>55</v>
      </c>
      <c r="S1017" s="1" t="s">
        <v>44</v>
      </c>
      <c r="T1017" s="1" t="s">
        <v>43</v>
      </c>
      <c r="U1017" s="1" t="s">
        <v>56</v>
      </c>
      <c r="V1017" s="1" t="s">
        <v>301</v>
      </c>
      <c r="W1017" s="1" t="s">
        <v>58</v>
      </c>
      <c r="Y1017" s="1" t="s">
        <v>682</v>
      </c>
      <c r="Z1017" s="1" t="str">
        <f t="shared" si="45"/>
        <v>3118 1</v>
      </c>
      <c r="AA1017" s="3">
        <f>IF(INDEX('CAMD Facility Data 2023'!$AA$2:$AE$10000,MATCH(Z1017,'CAMD Facility Data 2023'!$AE$2:$AE$10000,0),1)&gt;0,INDEX('CAMD Facility Data 2023'!$AA$2:$AE$10000,MATCH(Z1017,'CAMD Facility Data 2023'!$AE$2:$AE$10000,0),1),"")</f>
        <v>25689</v>
      </c>
      <c r="AB1017" s="5">
        <f>IF(INDEX('CAMD Facility Data 2023'!$AC$2:$AE$10000,MATCH(Z1017,'CAMD Facility Data 2023'!$AE$2:$AE$10000,0),1)&gt;0,INDEX('CAMD Facility Data 2023'!$AC$2:$AE$10000,MATCH(Z1017,'CAMD Facility Data 2023'!$AE$2:$AE$10000,0),1),"")</f>
        <v>9650</v>
      </c>
      <c r="AC1017" s="1" t="str">
        <f>IF(INDEX('CAMD Facility Data 2023'!$AE$2:$AG$10000,MATCH(Z1017,'CAMD Facility Data 2023'!$AE$2:$AE$10000,0),3)&gt;0,INDEX('CAMD Facility Data 2023'!$AE$2:$AG$10000,MATCH(Z1017,'CAMD Facility Data 2023'!$AE$2:$AE$10000,0),3),"")</f>
        <v>Y</v>
      </c>
      <c r="AD1017" s="20">
        <f t="shared" si="46"/>
        <v>0.63419307640422773</v>
      </c>
      <c r="AE1017" s="25">
        <f t="shared" si="47"/>
        <v>0.25920420333830174</v>
      </c>
    </row>
    <row r="1018" spans="1:31" x14ac:dyDescent="0.2">
      <c r="A1018" s="1" t="s">
        <v>2584</v>
      </c>
      <c r="B1018" s="1" t="s">
        <v>2607</v>
      </c>
      <c r="C1018" s="1">
        <v>3118</v>
      </c>
      <c r="D1018" s="1">
        <v>2</v>
      </c>
      <c r="F1018" s="1">
        <v>2023</v>
      </c>
      <c r="G1018" s="5">
        <v>1572</v>
      </c>
      <c r="H1018" s="5">
        <v>1565.93</v>
      </c>
      <c r="I1018" s="5">
        <v>850682.59</v>
      </c>
      <c r="K1018" s="5">
        <v>363.053</v>
      </c>
      <c r="L1018" s="5">
        <v>8.4699999999999998E-2</v>
      </c>
      <c r="M1018" s="5">
        <v>823488.27899999998</v>
      </c>
      <c r="N1018" s="6">
        <v>0.1009</v>
      </c>
      <c r="O1018" s="5">
        <v>270.37</v>
      </c>
      <c r="P1018" s="6">
        <v>6.8000000000000005E-2</v>
      </c>
      <c r="Q1018" s="5">
        <v>8045278.0279999999</v>
      </c>
      <c r="R1018" s="1" t="s">
        <v>55</v>
      </c>
      <c r="S1018" s="1" t="s">
        <v>44</v>
      </c>
      <c r="T1018" s="1" t="s">
        <v>43</v>
      </c>
      <c r="U1018" s="1" t="s">
        <v>56</v>
      </c>
      <c r="V1018" s="1" t="s">
        <v>301</v>
      </c>
      <c r="W1018" s="1" t="s">
        <v>58</v>
      </c>
      <c r="Y1018" s="1" t="s">
        <v>682</v>
      </c>
      <c r="Z1018" s="1" t="str">
        <f t="shared" si="45"/>
        <v>3118 2</v>
      </c>
      <c r="AA1018" s="3">
        <f>IF(INDEX('CAMD Facility Data 2023'!$AA$2:$AE$10000,MATCH(Z1018,'CAMD Facility Data 2023'!$AE$2:$AE$10000,0),1)&gt;0,INDEX('CAMD Facility Data 2023'!$AA$2:$AE$10000,MATCH(Z1018,'CAMD Facility Data 2023'!$AE$2:$AE$10000,0),1),"")</f>
        <v>26054</v>
      </c>
      <c r="AB1018" s="5">
        <f>IF(INDEX('CAMD Facility Data 2023'!$AC$2:$AE$10000,MATCH(Z1018,'CAMD Facility Data 2023'!$AE$2:$AE$10000,0),1)&gt;0,INDEX('CAMD Facility Data 2023'!$AC$2:$AE$10000,MATCH(Z1018,'CAMD Facility Data 2023'!$AE$2:$AE$10000,0),1),"")</f>
        <v>9615</v>
      </c>
      <c r="AC1018" s="1" t="str">
        <f>IF(INDEX('CAMD Facility Data 2023'!$AE$2:$AG$10000,MATCH(Z1018,'CAMD Facility Data 2023'!$AE$2:$AE$10000,0),3)&gt;0,INDEX('CAMD Facility Data 2023'!$AE$2:$AG$10000,MATCH(Z1018,'CAMD Facility Data 2023'!$AE$2:$AE$10000,0),3),"")</f>
        <v>Y</v>
      </c>
      <c r="AD1018" s="20">
        <f t="shared" si="46"/>
        <v>0.63565424560998718</v>
      </c>
      <c r="AE1018" s="25">
        <f t="shared" si="47"/>
        <v>9.5518537055637481E-2</v>
      </c>
    </row>
    <row r="1019" spans="1:31" x14ac:dyDescent="0.2">
      <c r="A1019" s="1" t="s">
        <v>2584</v>
      </c>
      <c r="B1019" s="1" t="s">
        <v>2613</v>
      </c>
      <c r="C1019" s="1">
        <v>3122</v>
      </c>
      <c r="D1019" s="1">
        <v>1</v>
      </c>
      <c r="F1019" s="1">
        <v>2023</v>
      </c>
      <c r="G1019" s="5">
        <v>1395</v>
      </c>
      <c r="H1019" s="5">
        <v>1393.3</v>
      </c>
      <c r="I1019" s="5">
        <v>462076.9</v>
      </c>
      <c r="K1019" s="5">
        <v>413.96800000000002</v>
      </c>
      <c r="L1019" s="5">
        <v>0.1832</v>
      </c>
      <c r="M1019" s="5">
        <v>494809.755</v>
      </c>
      <c r="N1019" s="6">
        <v>0.10299999999999999</v>
      </c>
      <c r="O1019" s="5">
        <v>250.19</v>
      </c>
      <c r="P1019" s="6">
        <v>0.1051</v>
      </c>
      <c r="Q1019" s="5">
        <v>4822705.12</v>
      </c>
      <c r="R1019" s="1" t="s">
        <v>55</v>
      </c>
      <c r="T1019" s="1" t="s">
        <v>89</v>
      </c>
      <c r="U1019" s="1" t="s">
        <v>212</v>
      </c>
      <c r="V1019" s="1" t="s">
        <v>563</v>
      </c>
      <c r="W1019" s="1" t="s">
        <v>1182</v>
      </c>
      <c r="X1019" s="1" t="s">
        <v>344</v>
      </c>
      <c r="Y1019" s="1" t="s">
        <v>682</v>
      </c>
      <c r="Z1019" s="1" t="str">
        <f t="shared" si="45"/>
        <v>3122 1</v>
      </c>
      <c r="AA1019" s="3">
        <f>IF(INDEX('CAMD Facility Data 2023'!$AA$2:$AE$10000,MATCH(Z1019,'CAMD Facility Data 2023'!$AE$2:$AE$10000,0),1)&gt;0,INDEX('CAMD Facility Data 2023'!$AA$2:$AE$10000,MATCH(Z1019,'CAMD Facility Data 2023'!$AE$2:$AE$10000,0),1),"")</f>
        <v>25355</v>
      </c>
      <c r="AB1019" s="5">
        <f>IF(INDEX('CAMD Facility Data 2023'!$AC$2:$AE$10000,MATCH(Z1019,'CAMD Facility Data 2023'!$AE$2:$AE$10000,0),1)&gt;0,INDEX('CAMD Facility Data 2023'!$AC$2:$AE$10000,MATCH(Z1019,'CAMD Facility Data 2023'!$AE$2:$AE$10000,0),1),"")</f>
        <v>6792</v>
      </c>
      <c r="AC1019" s="1" t="str">
        <f>IF(INDEX('CAMD Facility Data 2023'!$AE$2:$AG$10000,MATCH(Z1019,'CAMD Facility Data 2023'!$AE$2:$AE$10000,0),3)&gt;0,INDEX('CAMD Facility Data 2023'!$AE$2:$AG$10000,MATCH(Z1019,'CAMD Facility Data 2023'!$AE$2:$AE$10000,0),3),"")</f>
        <v>Y</v>
      </c>
      <c r="AD1019" s="20">
        <f t="shared" si="46"/>
        <v>1.082893345241885</v>
      </c>
      <c r="AE1019" s="25">
        <f t="shared" si="47"/>
        <v>8.1056701141821424E-2</v>
      </c>
    </row>
    <row r="1020" spans="1:31" x14ac:dyDescent="0.2">
      <c r="A1020" s="1" t="s">
        <v>2584</v>
      </c>
      <c r="B1020" s="1" t="s">
        <v>2613</v>
      </c>
      <c r="C1020" s="1">
        <v>3122</v>
      </c>
      <c r="D1020" s="1">
        <v>2</v>
      </c>
      <c r="F1020" s="1">
        <v>2023</v>
      </c>
      <c r="G1020" s="5">
        <v>0</v>
      </c>
      <c r="H1020" s="5">
        <v>0</v>
      </c>
      <c r="R1020" s="1" t="s">
        <v>55</v>
      </c>
      <c r="T1020" s="1" t="s">
        <v>89</v>
      </c>
      <c r="U1020" s="1" t="s">
        <v>212</v>
      </c>
      <c r="V1020" s="1" t="s">
        <v>563</v>
      </c>
      <c r="W1020" s="1" t="s">
        <v>1182</v>
      </c>
      <c r="X1020" s="1" t="s">
        <v>344</v>
      </c>
      <c r="Y1020" s="1" t="s">
        <v>682</v>
      </c>
      <c r="Z1020" s="1" t="str">
        <f t="shared" si="45"/>
        <v>3122 2</v>
      </c>
      <c r="AA1020" s="3">
        <f>IF(INDEX('CAMD Facility Data 2023'!$AA$2:$AE$10000,MATCH(Z1020,'CAMD Facility Data 2023'!$AE$2:$AE$10000,0),1)&gt;0,INDEX('CAMD Facility Data 2023'!$AA$2:$AE$10000,MATCH(Z1020,'CAMD Facility Data 2023'!$AE$2:$AE$10000,0),1),"")</f>
        <v>25508</v>
      </c>
      <c r="AB1020" s="5">
        <f>IF(INDEX('CAMD Facility Data 2023'!$AC$2:$AE$10000,MATCH(Z1020,'CAMD Facility Data 2023'!$AE$2:$AE$10000,0),1)&gt;0,INDEX('CAMD Facility Data 2023'!$AC$2:$AE$10000,MATCH(Z1020,'CAMD Facility Data 2023'!$AE$2:$AE$10000,0),1),"")</f>
        <v>6792</v>
      </c>
      <c r="AC1020" s="1" t="str">
        <f>IF(INDEX('CAMD Facility Data 2023'!$AE$2:$AG$10000,MATCH(Z1020,'CAMD Facility Data 2023'!$AE$2:$AE$10000,0),3)&gt;0,INDEX('CAMD Facility Data 2023'!$AE$2:$AG$10000,MATCH(Z1020,'CAMD Facility Data 2023'!$AE$2:$AE$10000,0),3),"")</f>
        <v>Y</v>
      </c>
      <c r="AD1020" s="20" t="str">
        <f t="shared" si="46"/>
        <v/>
      </c>
      <c r="AE1020" s="25">
        <f t="shared" si="47"/>
        <v>0</v>
      </c>
    </row>
    <row r="1021" spans="1:31" x14ac:dyDescent="0.2">
      <c r="A1021" s="1" t="s">
        <v>2584</v>
      </c>
      <c r="B1021" s="1" t="s">
        <v>2613</v>
      </c>
      <c r="C1021" s="1">
        <v>3122</v>
      </c>
      <c r="D1021" s="1">
        <v>3</v>
      </c>
      <c r="F1021" s="1">
        <v>2023</v>
      </c>
      <c r="G1021" s="5">
        <v>2185</v>
      </c>
      <c r="H1021" s="5">
        <v>2179.4699999999998</v>
      </c>
      <c r="I1021" s="5">
        <v>740595.02</v>
      </c>
      <c r="K1021" s="5">
        <v>323.57100000000003</v>
      </c>
      <c r="L1021" s="5">
        <v>7.5300000000000006E-2</v>
      </c>
      <c r="M1021" s="5">
        <v>764540.71100000001</v>
      </c>
      <c r="N1021" s="6">
        <v>0.10299999999999999</v>
      </c>
      <c r="O1021" s="5">
        <v>369.584</v>
      </c>
      <c r="P1021" s="6">
        <v>9.6100000000000005E-2</v>
      </c>
      <c r="Q1021" s="5">
        <v>7451659.5769999996</v>
      </c>
      <c r="R1021" s="1" t="s">
        <v>55</v>
      </c>
      <c r="T1021" s="1" t="s">
        <v>89</v>
      </c>
      <c r="U1021" s="1" t="s">
        <v>56</v>
      </c>
      <c r="V1021" s="1" t="s">
        <v>563</v>
      </c>
      <c r="W1021" s="1" t="s">
        <v>58</v>
      </c>
      <c r="Y1021" s="1" t="s">
        <v>682</v>
      </c>
      <c r="Z1021" s="1" t="str">
        <f t="shared" si="45"/>
        <v>3122 3</v>
      </c>
      <c r="AA1021" s="3">
        <f>IF(INDEX('CAMD Facility Data 2023'!$AA$2:$AE$10000,MATCH(Z1021,'CAMD Facility Data 2023'!$AE$2:$AE$10000,0),1)&gt;0,INDEX('CAMD Facility Data 2023'!$AA$2:$AE$10000,MATCH(Z1021,'CAMD Facility Data 2023'!$AE$2:$AE$10000,0),1),"")</f>
        <v>28460</v>
      </c>
      <c r="AB1021" s="5">
        <f>IF(INDEX('CAMD Facility Data 2023'!$AC$2:$AE$10000,MATCH(Z1021,'CAMD Facility Data 2023'!$AE$2:$AE$10000,0),1)&gt;0,INDEX('CAMD Facility Data 2023'!$AC$2:$AE$10000,MATCH(Z1021,'CAMD Facility Data 2023'!$AE$2:$AE$10000,0),1),"")</f>
        <v>7260</v>
      </c>
      <c r="AC1021" s="1" t="str">
        <f>IF(INDEX('CAMD Facility Data 2023'!$AE$2:$AG$10000,MATCH(Z1021,'CAMD Facility Data 2023'!$AE$2:$AE$10000,0),3)&gt;0,INDEX('CAMD Facility Data 2023'!$AE$2:$AG$10000,MATCH(Z1021,'CAMD Facility Data 2023'!$AE$2:$AE$10000,0),3),"")</f>
        <v>Y</v>
      </c>
      <c r="AD1021" s="20">
        <f t="shared" si="46"/>
        <v>0.99807314394309588</v>
      </c>
      <c r="AE1021" s="25">
        <f t="shared" si="47"/>
        <v>0.11716888022503993</v>
      </c>
    </row>
    <row r="1022" spans="1:31" x14ac:dyDescent="0.2">
      <c r="A1022" s="1" t="s">
        <v>2584</v>
      </c>
      <c r="B1022" s="1" t="s">
        <v>2620</v>
      </c>
      <c r="C1022" s="1">
        <v>3130</v>
      </c>
      <c r="D1022" s="1">
        <v>1</v>
      </c>
      <c r="E1022" s="1" t="s">
        <v>1421</v>
      </c>
      <c r="F1022" s="1">
        <v>2023</v>
      </c>
      <c r="G1022" s="5">
        <v>5929</v>
      </c>
      <c r="H1022" s="5">
        <v>5917.16</v>
      </c>
      <c r="J1022" s="5">
        <v>9712061.0199999996</v>
      </c>
      <c r="K1022" s="5">
        <v>4174.1809999999996</v>
      </c>
      <c r="L1022" s="5">
        <v>0.56440000000000001</v>
      </c>
      <c r="M1022" s="5">
        <v>1478180.9939999999</v>
      </c>
      <c r="N1022" s="6">
        <v>9.9099999999999994E-2</v>
      </c>
      <c r="O1022" s="5">
        <v>834.51700000000005</v>
      </c>
      <c r="P1022" s="6">
        <v>0.11210000000000001</v>
      </c>
      <c r="Q1022" s="5">
        <v>14881024.301000001</v>
      </c>
      <c r="R1022" s="1" t="s">
        <v>2622</v>
      </c>
      <c r="T1022" s="1" t="s">
        <v>885</v>
      </c>
      <c r="U1022" s="1" t="s">
        <v>1069</v>
      </c>
      <c r="V1022" s="1" t="s">
        <v>669</v>
      </c>
      <c r="W1022" s="1" t="s">
        <v>232</v>
      </c>
      <c r="Y1022" s="1" t="s">
        <v>682</v>
      </c>
      <c r="Z1022" s="1" t="str">
        <f t="shared" si="45"/>
        <v>3130 1</v>
      </c>
      <c r="AA1022" s="3">
        <f>IF(INDEX('CAMD Facility Data 2023'!$AA$2:$AE$10000,MATCH(Z1022,'CAMD Facility Data 2023'!$AE$2:$AE$10000,0),1)&gt;0,INDEX('CAMD Facility Data 2023'!$AA$2:$AE$10000,MATCH(Z1022,'CAMD Facility Data 2023'!$AE$2:$AE$10000,0),1),"")</f>
        <v>38056</v>
      </c>
      <c r="AB1022" s="5">
        <f>IF(INDEX('CAMD Facility Data 2023'!$AC$2:$AE$10000,MATCH(Z1022,'CAMD Facility Data 2023'!$AE$2:$AE$10000,0),1)&gt;0,INDEX('CAMD Facility Data 2023'!$AC$2:$AE$10000,MATCH(Z1022,'CAMD Facility Data 2023'!$AE$2:$AE$10000,0),1),"")</f>
        <v>3180</v>
      </c>
      <c r="AC1022" s="1" t="str">
        <f>IF(INDEX('CAMD Facility Data 2023'!$AE$2:$AG$10000,MATCH(Z1022,'CAMD Facility Data 2023'!$AE$2:$AE$10000,0),3)&gt;0,INDEX('CAMD Facility Data 2023'!$AE$2:$AG$10000,MATCH(Z1022,'CAMD Facility Data 2023'!$AE$2:$AE$10000,0),3),"")</f>
        <v>Y</v>
      </c>
      <c r="AD1022" s="20" t="str">
        <f t="shared" si="46"/>
        <v/>
      </c>
      <c r="AE1022" s="25">
        <f t="shared" si="47"/>
        <v>0.53419719066798776</v>
      </c>
    </row>
    <row r="1023" spans="1:31" x14ac:dyDescent="0.2">
      <c r="A1023" s="1" t="s">
        <v>2584</v>
      </c>
      <c r="B1023" s="1" t="s">
        <v>2620</v>
      </c>
      <c r="C1023" s="1">
        <v>3130</v>
      </c>
      <c r="D1023" s="1">
        <v>2</v>
      </c>
      <c r="E1023" s="1" t="s">
        <v>1421</v>
      </c>
      <c r="F1023" s="1">
        <v>2023</v>
      </c>
      <c r="G1023" s="5">
        <v>4154</v>
      </c>
      <c r="H1023" s="5">
        <v>4140.68</v>
      </c>
      <c r="J1023" s="5">
        <v>6690682.8700000001</v>
      </c>
      <c r="K1023" s="5">
        <v>2853.8710000000001</v>
      </c>
      <c r="L1023" s="5">
        <v>0.55979999999999996</v>
      </c>
      <c r="M1023" s="5">
        <v>1009105.83</v>
      </c>
      <c r="N1023" s="6">
        <v>9.8500000000000004E-2</v>
      </c>
      <c r="O1023" s="5">
        <v>572.98699999999997</v>
      </c>
      <c r="P1023" s="6">
        <v>0.11169999999999999</v>
      </c>
      <c r="Q1023" s="5">
        <v>10209996.977</v>
      </c>
      <c r="R1023" s="1" t="s">
        <v>2622</v>
      </c>
      <c r="T1023" s="1" t="s">
        <v>885</v>
      </c>
      <c r="U1023" s="1" t="s">
        <v>1069</v>
      </c>
      <c r="V1023" s="1" t="s">
        <v>669</v>
      </c>
      <c r="W1023" s="1" t="s">
        <v>232</v>
      </c>
      <c r="Y1023" s="1" t="s">
        <v>682</v>
      </c>
      <c r="Z1023" s="1" t="str">
        <f t="shared" si="45"/>
        <v>3130 2</v>
      </c>
      <c r="AA1023" s="3">
        <f>IF(INDEX('CAMD Facility Data 2023'!$AA$2:$AE$10000,MATCH(Z1023,'CAMD Facility Data 2023'!$AE$2:$AE$10000,0),1)&gt;0,INDEX('CAMD Facility Data 2023'!$AA$2:$AE$10000,MATCH(Z1023,'CAMD Facility Data 2023'!$AE$2:$AE$10000,0),1),"")</f>
        <v>38056</v>
      </c>
      <c r="AB1023" s="5">
        <f>IF(INDEX('CAMD Facility Data 2023'!$AC$2:$AE$10000,MATCH(Z1023,'CAMD Facility Data 2023'!$AE$2:$AE$10000,0),1)&gt;0,INDEX('CAMD Facility Data 2023'!$AC$2:$AE$10000,MATCH(Z1023,'CAMD Facility Data 2023'!$AE$2:$AE$10000,0),1),"")</f>
        <v>3180</v>
      </c>
      <c r="AC1023" s="1" t="str">
        <f>IF(INDEX('CAMD Facility Data 2023'!$AE$2:$AG$10000,MATCH(Z1023,'CAMD Facility Data 2023'!$AE$2:$AE$10000,0),3)&gt;0,INDEX('CAMD Facility Data 2023'!$AE$2:$AG$10000,MATCH(Z1023,'CAMD Facility Data 2023'!$AE$2:$AE$10000,0),3),"")</f>
        <v>Y</v>
      </c>
      <c r="AD1023" s="20" t="str">
        <f t="shared" si="46"/>
        <v/>
      </c>
      <c r="AE1023" s="25">
        <f t="shared" si="47"/>
        <v>0.36651722297607764</v>
      </c>
    </row>
    <row r="1024" spans="1:31" x14ac:dyDescent="0.2">
      <c r="A1024" s="1" t="s">
        <v>2584</v>
      </c>
      <c r="B1024" s="1" t="s">
        <v>2624</v>
      </c>
      <c r="C1024" s="1">
        <v>3131</v>
      </c>
      <c r="D1024" s="1">
        <v>1</v>
      </c>
      <c r="F1024" s="1">
        <v>2023</v>
      </c>
      <c r="G1024" s="5">
        <v>3090</v>
      </c>
      <c r="H1024" s="5">
        <v>2979.31</v>
      </c>
      <c r="I1024" s="5">
        <v>211170.6</v>
      </c>
      <c r="K1024" s="5">
        <v>0.65200000000000002</v>
      </c>
      <c r="L1024" s="5">
        <v>1E-3</v>
      </c>
      <c r="M1024" s="5">
        <v>129069.929</v>
      </c>
      <c r="N1024" s="6">
        <v>5.91E-2</v>
      </c>
      <c r="O1024" s="5">
        <v>72.787999999999997</v>
      </c>
      <c r="P1024" s="6">
        <v>6.2600000000000003E-2</v>
      </c>
      <c r="Q1024" s="5">
        <v>2171888.2769999998</v>
      </c>
      <c r="R1024" s="1" t="s">
        <v>44</v>
      </c>
      <c r="T1024" s="1" t="s">
        <v>89</v>
      </c>
      <c r="V1024" s="1" t="s">
        <v>1516</v>
      </c>
      <c r="W1024" s="1" t="s">
        <v>58</v>
      </c>
      <c r="Y1024" s="1" t="s">
        <v>1515</v>
      </c>
      <c r="Z1024" s="1" t="str">
        <f t="shared" si="45"/>
        <v>3131 1</v>
      </c>
      <c r="AA1024" s="3">
        <f>IF(INDEX('CAMD Facility Data 2023'!$AA$2:$AE$10000,MATCH(Z1024,'CAMD Facility Data 2023'!$AE$2:$AE$10000,0),1)&gt;0,INDEX('CAMD Facility Data 2023'!$AA$2:$AE$10000,MATCH(Z1024,'CAMD Facility Data 2023'!$AE$2:$AE$10000,0),1),"")</f>
        <v>19876</v>
      </c>
      <c r="AB1024" s="5">
        <f>IF(INDEX('CAMD Facility Data 2023'!$AC$2:$AE$10000,MATCH(Z1024,'CAMD Facility Data 2023'!$AE$2:$AE$10000,0),1)&gt;0,INDEX('CAMD Facility Data 2023'!$AC$2:$AE$10000,MATCH(Z1024,'CAMD Facility Data 2023'!$AE$2:$AE$10000,0),1),"")</f>
        <v>1460</v>
      </c>
      <c r="AC1024" s="1" t="str">
        <f>IF(INDEX('CAMD Facility Data 2023'!$AE$2:$AG$10000,MATCH(Z1024,'CAMD Facility Data 2023'!$AE$2:$AE$10000,0),3)&gt;0,INDEX('CAMD Facility Data 2023'!$AE$2:$AG$10000,MATCH(Z1024,'CAMD Facility Data 2023'!$AE$2:$AE$10000,0),3),"")</f>
        <v>Y</v>
      </c>
      <c r="AD1024" s="20">
        <f t="shared" si="46"/>
        <v>0.68937626734024526</v>
      </c>
      <c r="AE1024" s="25">
        <f t="shared" si="47"/>
        <v>0.16981674774817038</v>
      </c>
    </row>
    <row r="1025" spans="1:31" x14ac:dyDescent="0.2">
      <c r="A1025" s="1" t="s">
        <v>2584</v>
      </c>
      <c r="B1025" s="1" t="s">
        <v>2624</v>
      </c>
      <c r="C1025" s="1">
        <v>3131</v>
      </c>
      <c r="D1025" s="1">
        <v>2</v>
      </c>
      <c r="F1025" s="1">
        <v>2023</v>
      </c>
      <c r="G1025" s="5">
        <v>3046</v>
      </c>
      <c r="H1025" s="5">
        <v>2917.67</v>
      </c>
      <c r="I1025" s="5">
        <v>191952.98</v>
      </c>
      <c r="K1025" s="5">
        <v>0.64300000000000002</v>
      </c>
      <c r="L1025" s="5">
        <v>1E-3</v>
      </c>
      <c r="M1025" s="5">
        <v>127287.879</v>
      </c>
      <c r="N1025" s="6">
        <v>5.8999999999999997E-2</v>
      </c>
      <c r="O1025" s="5">
        <v>83.38</v>
      </c>
      <c r="P1025" s="6">
        <v>7.1099999999999997E-2</v>
      </c>
      <c r="Q1025" s="5">
        <v>2141899.9249999998</v>
      </c>
      <c r="R1025" s="1" t="s">
        <v>44</v>
      </c>
      <c r="T1025" s="1" t="s">
        <v>89</v>
      </c>
      <c r="V1025" s="1" t="s">
        <v>1516</v>
      </c>
      <c r="W1025" s="1" t="s">
        <v>58</v>
      </c>
      <c r="Y1025" s="1" t="s">
        <v>1515</v>
      </c>
      <c r="Z1025" s="1" t="str">
        <f t="shared" si="45"/>
        <v>3131 2</v>
      </c>
      <c r="AA1025" s="3">
        <f>IF(INDEX('CAMD Facility Data 2023'!$AA$2:$AE$10000,MATCH(Z1025,'CAMD Facility Data 2023'!$AE$2:$AE$10000,0),1)&gt;0,INDEX('CAMD Facility Data 2023'!$AA$2:$AE$10000,MATCH(Z1025,'CAMD Facility Data 2023'!$AE$2:$AE$10000,0),1),"")</f>
        <v>19876</v>
      </c>
      <c r="AB1025" s="5">
        <f>IF(INDEX('CAMD Facility Data 2023'!$AC$2:$AE$10000,MATCH(Z1025,'CAMD Facility Data 2023'!$AE$2:$AE$10000,0),1)&gt;0,INDEX('CAMD Facility Data 2023'!$AC$2:$AE$10000,MATCH(Z1025,'CAMD Facility Data 2023'!$AE$2:$AE$10000,0),1),"")</f>
        <v>1603</v>
      </c>
      <c r="AC1025" s="1" t="str">
        <f>IF(INDEX('CAMD Facility Data 2023'!$AE$2:$AG$10000,MATCH(Z1025,'CAMD Facility Data 2023'!$AE$2:$AE$10000,0),3)&gt;0,INDEX('CAMD Facility Data 2023'!$AE$2:$AG$10000,MATCH(Z1025,'CAMD Facility Data 2023'!$AE$2:$AE$10000,0),3),"")</f>
        <v>Y</v>
      </c>
      <c r="AD1025" s="20">
        <f t="shared" si="46"/>
        <v>0.86875442100456057</v>
      </c>
      <c r="AE1025" s="25">
        <f t="shared" si="47"/>
        <v>0.15253220452803959</v>
      </c>
    </row>
    <row r="1026" spans="1:31" x14ac:dyDescent="0.2">
      <c r="A1026" s="1" t="s">
        <v>2584</v>
      </c>
      <c r="B1026" s="1" t="s">
        <v>2624</v>
      </c>
      <c r="C1026" s="1">
        <v>3131</v>
      </c>
      <c r="D1026" s="1">
        <v>3</v>
      </c>
      <c r="E1026" s="1" t="s">
        <v>1421</v>
      </c>
      <c r="F1026" s="1">
        <v>2023</v>
      </c>
      <c r="G1026" s="5">
        <v>5168</v>
      </c>
      <c r="H1026" s="5">
        <v>5048.33</v>
      </c>
      <c r="I1026" s="5">
        <v>660391.72</v>
      </c>
      <c r="K1026" s="5">
        <v>2.0139999999999998</v>
      </c>
      <c r="L1026" s="5">
        <v>1E-3</v>
      </c>
      <c r="M1026" s="5">
        <v>398847.29800000001</v>
      </c>
      <c r="N1026" s="6">
        <v>5.8799999999999998E-2</v>
      </c>
      <c r="O1026" s="5">
        <v>180.38300000000001</v>
      </c>
      <c r="P1026" s="6">
        <v>5.04E-2</v>
      </c>
      <c r="Q1026" s="5">
        <v>6711374.6289999997</v>
      </c>
      <c r="R1026" s="1" t="s">
        <v>44</v>
      </c>
      <c r="T1026" s="1" t="s">
        <v>43</v>
      </c>
      <c r="V1026" s="1" t="s">
        <v>2383</v>
      </c>
      <c r="W1026" s="1" t="s">
        <v>58</v>
      </c>
      <c r="Y1026" s="1" t="s">
        <v>1515</v>
      </c>
      <c r="Z1026" s="1" t="str">
        <f t="shared" si="45"/>
        <v>3131 3</v>
      </c>
      <c r="AA1026" s="3">
        <f>IF(INDEX('CAMD Facility Data 2023'!$AA$2:$AE$10000,MATCH(Z1026,'CAMD Facility Data 2023'!$AE$2:$AE$10000,0),1)&gt;0,INDEX('CAMD Facility Data 2023'!$AA$2:$AE$10000,MATCH(Z1026,'CAMD Facility Data 2023'!$AE$2:$AE$10000,0),1),"")</f>
        <v>21702</v>
      </c>
      <c r="AB1026" s="5">
        <f>IF(INDEX('CAMD Facility Data 2023'!$AC$2:$AE$10000,MATCH(Z1026,'CAMD Facility Data 2023'!$AE$2:$AE$10000,0),1)&gt;0,INDEX('CAMD Facility Data 2023'!$AC$2:$AE$10000,MATCH(Z1026,'CAMD Facility Data 2023'!$AE$2:$AE$10000,0),1),"")</f>
        <v>1890</v>
      </c>
      <c r="AC1026" s="1" t="str">
        <f>IF(INDEX('CAMD Facility Data 2023'!$AE$2:$AG$10000,MATCH(Z1026,'CAMD Facility Data 2023'!$AE$2:$AE$10000,0),3)&gt;0,INDEX('CAMD Facility Data 2023'!$AE$2:$AG$10000,MATCH(Z1026,'CAMD Facility Data 2023'!$AE$2:$AE$10000,0),3),"")</f>
        <v>Y</v>
      </c>
      <c r="AD1026" s="20">
        <f t="shared" si="46"/>
        <v>0.54629091957724729</v>
      </c>
      <c r="AE1026" s="25">
        <f t="shared" si="47"/>
        <v>0.40536436840134327</v>
      </c>
    </row>
    <row r="1027" spans="1:31" x14ac:dyDescent="0.2">
      <c r="A1027" s="1" t="s">
        <v>2584</v>
      </c>
      <c r="B1027" s="1" t="s">
        <v>2624</v>
      </c>
      <c r="C1027" s="1">
        <v>3131</v>
      </c>
      <c r="D1027" s="1">
        <v>4</v>
      </c>
      <c r="E1027" s="1" t="s">
        <v>1421</v>
      </c>
      <c r="F1027" s="1">
        <v>2023</v>
      </c>
      <c r="G1027" s="5">
        <v>5284</v>
      </c>
      <c r="H1027" s="5">
        <v>5147.54</v>
      </c>
      <c r="I1027" s="5">
        <v>657595.43999999994</v>
      </c>
      <c r="K1027" s="5">
        <v>2.0089999999999999</v>
      </c>
      <c r="L1027" s="5">
        <v>1E-3</v>
      </c>
      <c r="M1027" s="5">
        <v>397864.75400000002</v>
      </c>
      <c r="N1027" s="6">
        <v>5.8799999999999998E-2</v>
      </c>
      <c r="O1027" s="5">
        <v>178.654</v>
      </c>
      <c r="P1027" s="6">
        <v>4.9799999999999997E-2</v>
      </c>
      <c r="Q1027" s="5">
        <v>6694860.4170000004</v>
      </c>
      <c r="R1027" s="1" t="s">
        <v>44</v>
      </c>
      <c r="T1027" s="1" t="s">
        <v>43</v>
      </c>
      <c r="V1027" s="1" t="s">
        <v>2383</v>
      </c>
      <c r="W1027" s="1" t="s">
        <v>58</v>
      </c>
      <c r="Y1027" s="1" t="s">
        <v>1515</v>
      </c>
      <c r="Z1027" s="1" t="str">
        <f t="shared" ref="Z1027:Z1090" si="48">C1027&amp;" "&amp;D1027</f>
        <v>3131 4</v>
      </c>
      <c r="AA1027" s="3">
        <f>IF(INDEX('CAMD Facility Data 2023'!$AA$2:$AE$10000,MATCH(Z1027,'CAMD Facility Data 2023'!$AE$2:$AE$10000,0),1)&gt;0,INDEX('CAMD Facility Data 2023'!$AA$2:$AE$10000,MATCH(Z1027,'CAMD Facility Data 2023'!$AE$2:$AE$10000,0),1),"")</f>
        <v>22068</v>
      </c>
      <c r="AB1027" s="5">
        <f>IF(INDEX('CAMD Facility Data 2023'!$AC$2:$AE$10000,MATCH(Z1027,'CAMD Facility Data 2023'!$AE$2:$AE$10000,0),1)&gt;0,INDEX('CAMD Facility Data 2023'!$AC$2:$AE$10000,MATCH(Z1027,'CAMD Facility Data 2023'!$AE$2:$AE$10000,0),1),"")</f>
        <v>1860</v>
      </c>
      <c r="AC1027" s="1" t="str">
        <f>IF(INDEX('CAMD Facility Data 2023'!$AE$2:$AG$10000,MATCH(Z1027,'CAMD Facility Data 2023'!$AE$2:$AE$10000,0),3)&gt;0,INDEX('CAMD Facility Data 2023'!$AE$2:$AG$10000,MATCH(Z1027,'CAMD Facility Data 2023'!$AE$2:$AE$10000,0),3),"")</f>
        <v>Y</v>
      </c>
      <c r="AD1027" s="20">
        <f t="shared" ref="AD1027:AD1090" si="49">IF(ISNUMBER(O1027*2000/I1027),O1027*2000/I1027,"")</f>
        <v>0.54335534930108398</v>
      </c>
      <c r="AE1027" s="25">
        <f t="shared" ref="AE1027:AE1090" si="50">Q1027/(AB1027*8760)</f>
        <v>0.41088896358079247</v>
      </c>
    </row>
    <row r="1028" spans="1:31" x14ac:dyDescent="0.2">
      <c r="A1028" s="1" t="s">
        <v>2584</v>
      </c>
      <c r="B1028" s="1" t="s">
        <v>2631</v>
      </c>
      <c r="C1028" s="1">
        <v>3132</v>
      </c>
      <c r="D1028" s="1">
        <v>5</v>
      </c>
      <c r="F1028" s="1">
        <v>2023</v>
      </c>
      <c r="G1028" s="5">
        <v>380</v>
      </c>
      <c r="H1028" s="5">
        <v>304.52999999999997</v>
      </c>
      <c r="I1028" s="5">
        <v>15992.69</v>
      </c>
      <c r="K1028" s="5">
        <v>7.0000000000000007E-2</v>
      </c>
      <c r="L1028" s="5">
        <v>1.2999999999999999E-3</v>
      </c>
      <c r="M1028" s="5">
        <v>13586.102999999999</v>
      </c>
      <c r="N1028" s="6">
        <v>6.0400000000000002E-2</v>
      </c>
      <c r="O1028" s="5">
        <v>59.173999999999999</v>
      </c>
      <c r="P1028" s="6">
        <v>0.46970000000000001</v>
      </c>
      <c r="Q1028" s="5">
        <v>228487.93900000001</v>
      </c>
      <c r="R1028" s="1" t="s">
        <v>44</v>
      </c>
      <c r="S1028" s="1" t="s">
        <v>94</v>
      </c>
      <c r="T1028" s="1" t="s">
        <v>93</v>
      </c>
      <c r="Y1028" s="1" t="s">
        <v>1528</v>
      </c>
      <c r="Z1028" s="1" t="str">
        <f t="shared" si="48"/>
        <v>3132 5</v>
      </c>
      <c r="AA1028" s="3">
        <f>IF(INDEX('CAMD Facility Data 2023'!$AA$2:$AE$10000,MATCH(Z1028,'CAMD Facility Data 2023'!$AE$2:$AE$10000,0),1)&gt;0,INDEX('CAMD Facility Data 2023'!$AA$2:$AE$10000,MATCH(Z1028,'CAMD Facility Data 2023'!$AE$2:$AE$10000,0),1),"")</f>
        <v>26543</v>
      </c>
      <c r="AB1028" s="5">
        <f>IF(INDEX('CAMD Facility Data 2023'!$AC$2:$AE$10000,MATCH(Z1028,'CAMD Facility Data 2023'!$AE$2:$AE$10000,0),1)&gt;0,INDEX('CAMD Facility Data 2023'!$AC$2:$AE$10000,MATCH(Z1028,'CAMD Facility Data 2023'!$AE$2:$AE$10000,0),1),"")</f>
        <v>1248</v>
      </c>
      <c r="AC1028" s="1" t="str">
        <f>IF(INDEX('CAMD Facility Data 2023'!$AE$2:$AG$10000,MATCH(Z1028,'CAMD Facility Data 2023'!$AE$2:$AE$10000,0),3)&gt;0,INDEX('CAMD Facility Data 2023'!$AE$2:$AG$10000,MATCH(Z1028,'CAMD Facility Data 2023'!$AE$2:$AE$10000,0),3),"")</f>
        <v/>
      </c>
      <c r="AD1028" s="20">
        <f t="shared" si="49"/>
        <v>7.4001309348208464</v>
      </c>
      <c r="AE1028" s="25">
        <f t="shared" si="50"/>
        <v>2.0899918316795458E-2</v>
      </c>
    </row>
    <row r="1029" spans="1:31" x14ac:dyDescent="0.2">
      <c r="A1029" s="1" t="s">
        <v>2584</v>
      </c>
      <c r="B1029" s="1" t="s">
        <v>2635</v>
      </c>
      <c r="C1029" s="1">
        <v>3136</v>
      </c>
      <c r="D1029" s="1">
        <v>1</v>
      </c>
      <c r="F1029" s="1">
        <v>2023</v>
      </c>
      <c r="G1029" s="5">
        <v>2225</v>
      </c>
      <c r="H1029" s="5">
        <v>2221.61</v>
      </c>
      <c r="I1029" s="5">
        <v>1568982.62</v>
      </c>
      <c r="K1029" s="5">
        <v>3021.0279999999998</v>
      </c>
      <c r="L1029" s="5">
        <v>0.39200000000000002</v>
      </c>
      <c r="M1029" s="5">
        <v>1537171.1580000001</v>
      </c>
      <c r="N1029" s="6">
        <v>0.10290000000000001</v>
      </c>
      <c r="O1029" s="5">
        <v>515.19500000000005</v>
      </c>
      <c r="P1029" s="6">
        <v>7.0199999999999999E-2</v>
      </c>
      <c r="Q1029" s="5">
        <v>14982171.583000001</v>
      </c>
      <c r="R1029" s="1" t="s">
        <v>55</v>
      </c>
      <c r="S1029" s="1" t="s">
        <v>44</v>
      </c>
      <c r="T1029" s="1" t="s">
        <v>43</v>
      </c>
      <c r="U1029" s="1" t="s">
        <v>241</v>
      </c>
      <c r="V1029" s="1" t="s">
        <v>301</v>
      </c>
      <c r="W1029" s="1" t="s">
        <v>58</v>
      </c>
      <c r="Y1029" s="1" t="s">
        <v>682</v>
      </c>
      <c r="Z1029" s="1" t="str">
        <f t="shared" si="48"/>
        <v>3136 1</v>
      </c>
      <c r="AA1029" s="3">
        <f>IF(INDEX('CAMD Facility Data 2023'!$AA$2:$AE$10000,MATCH(Z1029,'CAMD Facility Data 2023'!$AE$2:$AE$10000,0),1)&gt;0,INDEX('CAMD Facility Data 2023'!$AA$2:$AE$10000,MATCH(Z1029,'CAMD Facility Data 2023'!$AE$2:$AE$10000,0),1),"")</f>
        <v>24624</v>
      </c>
      <c r="AB1029" s="5">
        <f>IF(INDEX('CAMD Facility Data 2023'!$AC$2:$AE$10000,MATCH(Z1029,'CAMD Facility Data 2023'!$AE$2:$AE$10000,0),1)&gt;0,INDEX('CAMD Facility Data 2023'!$AC$2:$AE$10000,MATCH(Z1029,'CAMD Facility Data 2023'!$AE$2:$AE$10000,0),1),"")</f>
        <v>9250</v>
      </c>
      <c r="AC1029" s="1" t="str">
        <f>IF(INDEX('CAMD Facility Data 2023'!$AE$2:$AG$10000,MATCH(Z1029,'CAMD Facility Data 2023'!$AE$2:$AE$10000,0),3)&gt;0,INDEX('CAMD Facility Data 2023'!$AE$2:$AG$10000,MATCH(Z1029,'CAMD Facility Data 2023'!$AE$2:$AE$10000,0),3),"")</f>
        <v>Y</v>
      </c>
      <c r="AD1029" s="20">
        <f t="shared" si="49"/>
        <v>0.65672492917735448</v>
      </c>
      <c r="AE1029" s="25">
        <f t="shared" si="50"/>
        <v>0.18489660104899422</v>
      </c>
    </row>
    <row r="1030" spans="1:31" x14ac:dyDescent="0.2">
      <c r="A1030" s="1" t="s">
        <v>2584</v>
      </c>
      <c r="B1030" s="1" t="s">
        <v>2635</v>
      </c>
      <c r="C1030" s="1">
        <v>3136</v>
      </c>
      <c r="D1030" s="1">
        <v>2</v>
      </c>
      <c r="F1030" s="1">
        <v>2023</v>
      </c>
      <c r="G1030" s="5">
        <v>2207</v>
      </c>
      <c r="H1030" s="5">
        <v>2199.67</v>
      </c>
      <c r="I1030" s="5">
        <v>1504583.04</v>
      </c>
      <c r="K1030" s="5">
        <v>3395.1379999999999</v>
      </c>
      <c r="L1030" s="5">
        <v>0.434</v>
      </c>
      <c r="M1030" s="5">
        <v>1502648.6140000001</v>
      </c>
      <c r="N1030" s="6">
        <v>0.1027</v>
      </c>
      <c r="O1030" s="5">
        <v>483.44499999999999</v>
      </c>
      <c r="P1030" s="6">
        <v>6.6699999999999995E-2</v>
      </c>
      <c r="Q1030" s="5">
        <v>14645680.84</v>
      </c>
      <c r="R1030" s="1" t="s">
        <v>55</v>
      </c>
      <c r="S1030" s="1" t="s">
        <v>44</v>
      </c>
      <c r="T1030" s="1" t="s">
        <v>43</v>
      </c>
      <c r="U1030" s="1" t="s">
        <v>241</v>
      </c>
      <c r="V1030" s="1" t="s">
        <v>301</v>
      </c>
      <c r="W1030" s="1" t="s">
        <v>58</v>
      </c>
      <c r="Y1030" s="1" t="s">
        <v>682</v>
      </c>
      <c r="Z1030" s="1" t="str">
        <f t="shared" si="48"/>
        <v>3136 2</v>
      </c>
      <c r="AA1030" s="3">
        <f>IF(INDEX('CAMD Facility Data 2023'!$AA$2:$AE$10000,MATCH(Z1030,'CAMD Facility Data 2023'!$AE$2:$AE$10000,0),1)&gt;0,INDEX('CAMD Facility Data 2023'!$AA$2:$AE$10000,MATCH(Z1030,'CAMD Facility Data 2023'!$AE$2:$AE$10000,0),1),"")</f>
        <v>24990</v>
      </c>
      <c r="AB1030" s="5">
        <f>IF(INDEX('CAMD Facility Data 2023'!$AC$2:$AE$10000,MATCH(Z1030,'CAMD Facility Data 2023'!$AE$2:$AE$10000,0),1)&gt;0,INDEX('CAMD Facility Data 2023'!$AC$2:$AE$10000,MATCH(Z1030,'CAMD Facility Data 2023'!$AE$2:$AE$10000,0),1),"")</f>
        <v>8960</v>
      </c>
      <c r="AC1030" s="1" t="str">
        <f>IF(INDEX('CAMD Facility Data 2023'!$AE$2:$AG$10000,MATCH(Z1030,'CAMD Facility Data 2023'!$AE$2:$AE$10000,0),3)&gt;0,INDEX('CAMD Facility Data 2023'!$AE$2:$AG$10000,MATCH(Z1030,'CAMD Facility Data 2023'!$AE$2:$AE$10000,0),3),"")</f>
        <v>Y</v>
      </c>
      <c r="AD1030" s="20">
        <f t="shared" si="49"/>
        <v>0.64262986774063324</v>
      </c>
      <c r="AE1030" s="25">
        <f t="shared" si="50"/>
        <v>0.18659390339611873</v>
      </c>
    </row>
    <row r="1031" spans="1:31" x14ac:dyDescent="0.2">
      <c r="A1031" s="1" t="s">
        <v>2584</v>
      </c>
      <c r="B1031" s="1" t="s">
        <v>2639</v>
      </c>
      <c r="C1031" s="1">
        <v>3138</v>
      </c>
      <c r="D1031" s="1">
        <v>3</v>
      </c>
      <c r="F1031" s="1">
        <v>2023</v>
      </c>
      <c r="G1031" s="5">
        <v>4698</v>
      </c>
      <c r="H1031" s="5">
        <v>4589.87</v>
      </c>
      <c r="I1031" s="5">
        <v>271934.18</v>
      </c>
      <c r="K1031" s="5">
        <v>0.85699999999999998</v>
      </c>
      <c r="L1031" s="5">
        <v>1E-3</v>
      </c>
      <c r="M1031" s="5">
        <v>169788.967</v>
      </c>
      <c r="N1031" s="6">
        <v>5.91E-2</v>
      </c>
      <c r="O1031" s="5">
        <v>105.29300000000001</v>
      </c>
      <c r="P1031" s="6">
        <v>6.8000000000000005E-2</v>
      </c>
      <c r="Q1031" s="5">
        <v>2857031.3339999998</v>
      </c>
      <c r="R1031" s="1" t="s">
        <v>44</v>
      </c>
      <c r="T1031" s="1" t="s">
        <v>89</v>
      </c>
      <c r="V1031" s="1" t="s">
        <v>1221</v>
      </c>
      <c r="W1031" s="1" t="s">
        <v>58</v>
      </c>
      <c r="Y1031" s="1" t="s">
        <v>1515</v>
      </c>
      <c r="Z1031" s="1" t="str">
        <f t="shared" si="48"/>
        <v>3138 3</v>
      </c>
      <c r="AA1031" s="3">
        <f>IF(INDEX('CAMD Facility Data 2023'!$AA$2:$AE$10000,MATCH(Z1031,'CAMD Facility Data 2023'!$AE$2:$AE$10000,0),1)&gt;0,INDEX('CAMD Facility Data 2023'!$AA$2:$AE$10000,MATCH(Z1031,'CAMD Facility Data 2023'!$AE$2:$AE$10000,0),1),"")</f>
        <v>19146</v>
      </c>
      <c r="AB1031" s="5">
        <f>IF(INDEX('CAMD Facility Data 2023'!$AC$2:$AE$10000,MATCH(Z1031,'CAMD Facility Data 2023'!$AE$2:$AE$10000,0),1)&gt;0,INDEX('CAMD Facility Data 2023'!$AC$2:$AE$10000,MATCH(Z1031,'CAMD Facility Data 2023'!$AE$2:$AE$10000,0),1),"")</f>
        <v>1075</v>
      </c>
      <c r="AC1031" s="1" t="str">
        <f>IF(INDEX('CAMD Facility Data 2023'!$AE$2:$AG$10000,MATCH(Z1031,'CAMD Facility Data 2023'!$AE$2:$AE$10000,0),3)&gt;0,INDEX('CAMD Facility Data 2023'!$AE$2:$AG$10000,MATCH(Z1031,'CAMD Facility Data 2023'!$AE$2:$AE$10000,0),3),"")</f>
        <v>Y</v>
      </c>
      <c r="AD1031" s="20">
        <f t="shared" si="49"/>
        <v>0.77440062885805683</v>
      </c>
      <c r="AE1031" s="25">
        <f t="shared" si="50"/>
        <v>0.30339081809493468</v>
      </c>
    </row>
    <row r="1032" spans="1:31" x14ac:dyDescent="0.2">
      <c r="A1032" s="1" t="s">
        <v>2584</v>
      </c>
      <c r="B1032" s="1" t="s">
        <v>2639</v>
      </c>
      <c r="C1032" s="1">
        <v>3138</v>
      </c>
      <c r="D1032" s="1">
        <v>4</v>
      </c>
      <c r="F1032" s="1">
        <v>2023</v>
      </c>
      <c r="G1032" s="5">
        <v>5743</v>
      </c>
      <c r="H1032" s="5">
        <v>5623.73</v>
      </c>
      <c r="I1032" s="5">
        <v>349488.59</v>
      </c>
      <c r="K1032" s="5">
        <v>1.1359999999999999</v>
      </c>
      <c r="L1032" s="5">
        <v>1E-3</v>
      </c>
      <c r="M1032" s="5">
        <v>225030.58499999999</v>
      </c>
      <c r="N1032" s="6">
        <v>5.91E-2</v>
      </c>
      <c r="O1032" s="5">
        <v>124.047</v>
      </c>
      <c r="P1032" s="6">
        <v>5.9200000000000003E-2</v>
      </c>
      <c r="Q1032" s="5">
        <v>3786610.08</v>
      </c>
      <c r="R1032" s="1" t="s">
        <v>44</v>
      </c>
      <c r="T1032" s="1" t="s">
        <v>89</v>
      </c>
      <c r="V1032" s="1" t="s">
        <v>1221</v>
      </c>
      <c r="W1032" s="1" t="s">
        <v>58</v>
      </c>
      <c r="Y1032" s="1" t="s">
        <v>1515</v>
      </c>
      <c r="Z1032" s="1" t="str">
        <f t="shared" si="48"/>
        <v>3138 4</v>
      </c>
      <c r="AA1032" s="3">
        <f>IF(INDEX('CAMD Facility Data 2023'!$AA$2:$AE$10000,MATCH(Z1032,'CAMD Facility Data 2023'!$AE$2:$AE$10000,0),1)&gt;0,INDEX('CAMD Facility Data 2023'!$AA$2:$AE$10000,MATCH(Z1032,'CAMD Facility Data 2023'!$AE$2:$AE$10000,0),1),"")</f>
        <v>21337</v>
      </c>
      <c r="AB1032" s="5">
        <f>IF(INDEX('CAMD Facility Data 2023'!$AC$2:$AE$10000,MATCH(Z1032,'CAMD Facility Data 2023'!$AE$2:$AE$10000,0),1)&gt;0,INDEX('CAMD Facility Data 2023'!$AC$2:$AE$10000,MATCH(Z1032,'CAMD Facility Data 2023'!$AE$2:$AE$10000,0),1),"")</f>
        <v>1232</v>
      </c>
      <c r="AC1032" s="1" t="str">
        <f>IF(INDEX('CAMD Facility Data 2023'!$AE$2:$AG$10000,MATCH(Z1032,'CAMD Facility Data 2023'!$AE$2:$AE$10000,0),3)&gt;0,INDEX('CAMD Facility Data 2023'!$AE$2:$AG$10000,MATCH(Z1032,'CAMD Facility Data 2023'!$AE$2:$AE$10000,0),3),"")</f>
        <v>Y</v>
      </c>
      <c r="AD1032" s="20">
        <f t="shared" si="49"/>
        <v>0.70987725235893961</v>
      </c>
      <c r="AE1032" s="25">
        <f t="shared" si="50"/>
        <v>0.35086154598825831</v>
      </c>
    </row>
    <row r="1033" spans="1:31" x14ac:dyDescent="0.2">
      <c r="A1033" s="1" t="s">
        <v>2584</v>
      </c>
      <c r="B1033" s="1" t="s">
        <v>2639</v>
      </c>
      <c r="C1033" s="1">
        <v>3138</v>
      </c>
      <c r="D1033" s="1">
        <v>5</v>
      </c>
      <c r="F1033" s="1">
        <v>2023</v>
      </c>
      <c r="G1033" s="5">
        <v>4179</v>
      </c>
      <c r="H1033" s="5">
        <v>4089.75</v>
      </c>
      <c r="I1033" s="5">
        <v>330247.65999999997</v>
      </c>
      <c r="K1033" s="5">
        <v>1.0429999999999999</v>
      </c>
      <c r="L1033" s="5">
        <v>1E-3</v>
      </c>
      <c r="M1033" s="5">
        <v>206568.50700000001</v>
      </c>
      <c r="N1033" s="6">
        <v>5.91E-2</v>
      </c>
      <c r="O1033" s="5">
        <v>118.248</v>
      </c>
      <c r="P1033" s="6">
        <v>5.8099999999999999E-2</v>
      </c>
      <c r="Q1033" s="5">
        <v>3475925.0469999998</v>
      </c>
      <c r="R1033" s="1" t="s">
        <v>44</v>
      </c>
      <c r="T1033" s="1" t="s">
        <v>89</v>
      </c>
      <c r="V1033" s="1" t="s">
        <v>1221</v>
      </c>
      <c r="W1033" s="1" t="s">
        <v>58</v>
      </c>
      <c r="Y1033" s="1" t="s">
        <v>1515</v>
      </c>
      <c r="Z1033" s="1" t="str">
        <f t="shared" si="48"/>
        <v>3138 5</v>
      </c>
      <c r="AA1033" s="3">
        <f>IF(INDEX('CAMD Facility Data 2023'!$AA$2:$AE$10000,MATCH(Z1033,'CAMD Facility Data 2023'!$AE$2:$AE$10000,0),1)&gt;0,INDEX('CAMD Facility Data 2023'!$AA$2:$AE$10000,MATCH(Z1033,'CAMD Facility Data 2023'!$AE$2:$AE$10000,0),1),"")</f>
        <v>23529</v>
      </c>
      <c r="AB1033" s="5">
        <f>IF(INDEX('CAMD Facility Data 2023'!$AC$2:$AE$10000,MATCH(Z1033,'CAMD Facility Data 2023'!$AE$2:$AE$10000,0),1)&gt;0,INDEX('CAMD Facility Data 2023'!$AC$2:$AE$10000,MATCH(Z1033,'CAMD Facility Data 2023'!$AE$2:$AE$10000,0),1),"")</f>
        <v>1610</v>
      </c>
      <c r="AC1033" s="1" t="str">
        <f>IF(INDEX('CAMD Facility Data 2023'!$AE$2:$AG$10000,MATCH(Z1033,'CAMD Facility Data 2023'!$AE$2:$AE$10000,0),3)&gt;0,INDEX('CAMD Facility Data 2023'!$AE$2:$AG$10000,MATCH(Z1033,'CAMD Facility Data 2023'!$AE$2:$AE$10000,0),3),"")</f>
        <v>Y</v>
      </c>
      <c r="AD1033" s="20">
        <f t="shared" si="49"/>
        <v>0.71611711041343951</v>
      </c>
      <c r="AE1033" s="25">
        <f t="shared" si="50"/>
        <v>0.24645658179471908</v>
      </c>
    </row>
    <row r="1034" spans="1:31" x14ac:dyDescent="0.2">
      <c r="A1034" s="1" t="s">
        <v>2584</v>
      </c>
      <c r="B1034" s="1" t="s">
        <v>2645</v>
      </c>
      <c r="C1034" s="1">
        <v>3140</v>
      </c>
      <c r="D1034" s="1">
        <v>1</v>
      </c>
      <c r="E1034" s="1" t="s">
        <v>2646</v>
      </c>
      <c r="F1034" s="1">
        <v>2023</v>
      </c>
      <c r="G1034" s="5">
        <v>3584</v>
      </c>
      <c r="H1034" s="5">
        <v>3557.73</v>
      </c>
      <c r="I1034" s="5">
        <v>800790.86</v>
      </c>
      <c r="K1034" s="5">
        <v>70.468000000000004</v>
      </c>
      <c r="L1034" s="5">
        <v>2.18E-2</v>
      </c>
      <c r="M1034" s="5">
        <v>506801.745</v>
      </c>
      <c r="N1034" s="6">
        <v>6.0600000000000001E-2</v>
      </c>
      <c r="O1034" s="5">
        <v>331.35700000000003</v>
      </c>
      <c r="P1034" s="6">
        <v>7.6999999999999999E-2</v>
      </c>
      <c r="Q1034" s="5">
        <v>8364069.3190000001</v>
      </c>
      <c r="R1034" s="1" t="s">
        <v>55</v>
      </c>
      <c r="S1034" s="1" t="s">
        <v>2648</v>
      </c>
      <c r="T1034" s="1" t="s">
        <v>43</v>
      </c>
      <c r="U1034" s="1" t="s">
        <v>241</v>
      </c>
      <c r="V1034" s="1" t="s">
        <v>213</v>
      </c>
      <c r="W1034" s="1" t="s">
        <v>232</v>
      </c>
      <c r="Y1034" s="1" t="s">
        <v>682</v>
      </c>
      <c r="Z1034" s="1" t="str">
        <f t="shared" si="48"/>
        <v>3140 1</v>
      </c>
      <c r="AA1034" s="3">
        <f>IF(INDEX('CAMD Facility Data 2023'!$AA$2:$AE$10000,MATCH(Z1034,'CAMD Facility Data 2023'!$AE$2:$AE$10000,0),1)&gt;0,INDEX('CAMD Facility Data 2023'!$AA$2:$AE$10000,MATCH(Z1034,'CAMD Facility Data 2023'!$AE$2:$AE$10000,0),1),"")</f>
        <v>22454</v>
      </c>
      <c r="AB1034" s="5">
        <f>IF(INDEX('CAMD Facility Data 2023'!$AC$2:$AE$10000,MATCH(Z1034,'CAMD Facility Data 2023'!$AE$2:$AE$10000,0),1)&gt;0,INDEX('CAMD Facility Data 2023'!$AC$2:$AE$10000,MATCH(Z1034,'CAMD Facility Data 2023'!$AE$2:$AE$10000,0),1),"")</f>
        <v>3715</v>
      </c>
      <c r="AC1034" s="1" t="str">
        <f>IF(INDEX('CAMD Facility Data 2023'!$AE$2:$AG$10000,MATCH(Z1034,'CAMD Facility Data 2023'!$AE$2:$AE$10000,0),3)&gt;0,INDEX('CAMD Facility Data 2023'!$AE$2:$AG$10000,MATCH(Z1034,'CAMD Facility Data 2023'!$AE$2:$AE$10000,0),3),"")</f>
        <v/>
      </c>
      <c r="AD1034" s="20">
        <f t="shared" si="49"/>
        <v>0.82757438065664235</v>
      </c>
      <c r="AE1034" s="25">
        <f t="shared" si="50"/>
        <v>0.25701276814960944</v>
      </c>
    </row>
    <row r="1035" spans="1:31" x14ac:dyDescent="0.2">
      <c r="A1035" s="1" t="s">
        <v>2584</v>
      </c>
      <c r="B1035" s="1" t="s">
        <v>2645</v>
      </c>
      <c r="C1035" s="1">
        <v>3140</v>
      </c>
      <c r="D1035" s="1">
        <v>2</v>
      </c>
      <c r="E1035" s="1" t="s">
        <v>2646</v>
      </c>
      <c r="F1035" s="1">
        <v>2023</v>
      </c>
      <c r="G1035" s="5">
        <v>4919</v>
      </c>
      <c r="H1035" s="5">
        <v>4892.8599999999997</v>
      </c>
      <c r="I1035" s="5">
        <v>1209393.75</v>
      </c>
      <c r="K1035" s="5">
        <v>67.652000000000001</v>
      </c>
      <c r="L1035" s="5">
        <v>1.95E-2</v>
      </c>
      <c r="M1035" s="5">
        <v>765318.81799999997</v>
      </c>
      <c r="N1035" s="6">
        <v>5.9799999999999999E-2</v>
      </c>
      <c r="O1035" s="5">
        <v>476.92</v>
      </c>
      <c r="P1035" s="6">
        <v>7.0599999999999996E-2</v>
      </c>
      <c r="Q1035" s="5">
        <v>12797138.466</v>
      </c>
      <c r="R1035" s="1" t="s">
        <v>55</v>
      </c>
      <c r="S1035" s="1" t="s">
        <v>2648</v>
      </c>
      <c r="T1035" s="1" t="s">
        <v>43</v>
      </c>
      <c r="U1035" s="1" t="s">
        <v>241</v>
      </c>
      <c r="V1035" s="1" t="s">
        <v>213</v>
      </c>
      <c r="W1035" s="1" t="s">
        <v>58</v>
      </c>
      <c r="Y1035" s="1" t="s">
        <v>682</v>
      </c>
      <c r="Z1035" s="1" t="str">
        <f t="shared" si="48"/>
        <v>3140 2</v>
      </c>
      <c r="AA1035" s="3">
        <f>IF(INDEX('CAMD Facility Data 2023'!$AA$2:$AE$10000,MATCH(Z1035,'CAMD Facility Data 2023'!$AE$2:$AE$10000,0),1)&gt;0,INDEX('CAMD Facility Data 2023'!$AA$2:$AE$10000,MATCH(Z1035,'CAMD Facility Data 2023'!$AE$2:$AE$10000,0),1),"")</f>
        <v>24033</v>
      </c>
      <c r="AB1035" s="5">
        <f>IF(INDEX('CAMD Facility Data 2023'!$AC$2:$AE$10000,MATCH(Z1035,'CAMD Facility Data 2023'!$AE$2:$AE$10000,0),1)&gt;0,INDEX('CAMD Facility Data 2023'!$AC$2:$AE$10000,MATCH(Z1035,'CAMD Facility Data 2023'!$AE$2:$AE$10000,0),1),"")</f>
        <v>4090</v>
      </c>
      <c r="AC1035" s="1" t="str">
        <f>IF(INDEX('CAMD Facility Data 2023'!$AE$2:$AG$10000,MATCH(Z1035,'CAMD Facility Data 2023'!$AE$2:$AE$10000,0),3)&gt;0,INDEX('CAMD Facility Data 2023'!$AE$2:$AG$10000,MATCH(Z1035,'CAMD Facility Data 2023'!$AE$2:$AE$10000,0),3),"")</f>
        <v/>
      </c>
      <c r="AD1035" s="20">
        <f t="shared" si="49"/>
        <v>0.78869268176720775</v>
      </c>
      <c r="AE1035" s="25">
        <f t="shared" si="50"/>
        <v>0.35717861992162642</v>
      </c>
    </row>
    <row r="1036" spans="1:31" x14ac:dyDescent="0.2">
      <c r="A1036" s="1" t="s">
        <v>2584</v>
      </c>
      <c r="B1036" s="1" t="s">
        <v>2645</v>
      </c>
      <c r="C1036" s="1">
        <v>3140</v>
      </c>
      <c r="D1036" s="1">
        <v>3</v>
      </c>
      <c r="F1036" s="1">
        <v>2023</v>
      </c>
      <c r="G1036" s="5">
        <v>2069</v>
      </c>
      <c r="H1036" s="5">
        <v>2054.62</v>
      </c>
      <c r="I1036" s="5">
        <v>969680.76</v>
      </c>
      <c r="K1036" s="5">
        <v>72.346000000000004</v>
      </c>
      <c r="L1036" s="5">
        <v>5.16E-2</v>
      </c>
      <c r="M1036" s="5">
        <v>562684.24699999997</v>
      </c>
      <c r="N1036" s="6">
        <v>0.06</v>
      </c>
      <c r="O1036" s="5">
        <v>366.73899999999998</v>
      </c>
      <c r="P1036" s="6">
        <v>7.3200000000000001E-2</v>
      </c>
      <c r="Q1036" s="5">
        <v>9343549.4920000006</v>
      </c>
      <c r="R1036" s="1" t="s">
        <v>55</v>
      </c>
      <c r="S1036" s="1" t="s">
        <v>2648</v>
      </c>
      <c r="T1036" s="1" t="s">
        <v>43</v>
      </c>
      <c r="U1036" s="1" t="s">
        <v>241</v>
      </c>
      <c r="V1036" s="1" t="s">
        <v>213</v>
      </c>
      <c r="W1036" s="1" t="s">
        <v>58</v>
      </c>
      <c r="Y1036" s="1" t="s">
        <v>682</v>
      </c>
      <c r="Z1036" s="1" t="str">
        <f t="shared" si="48"/>
        <v>3140 3</v>
      </c>
      <c r="AA1036" s="3">
        <f>IF(INDEX('CAMD Facility Data 2023'!$AA$2:$AE$10000,MATCH(Z1036,'CAMD Facility Data 2023'!$AE$2:$AE$10000,0),1)&gt;0,INDEX('CAMD Facility Data 2023'!$AA$2:$AE$10000,MATCH(Z1036,'CAMD Facility Data 2023'!$AE$2:$AE$10000,0),1),"")</f>
        <v>25367</v>
      </c>
      <c r="AB1036" s="5">
        <f>IF(INDEX('CAMD Facility Data 2023'!$AC$2:$AE$10000,MATCH(Z1036,'CAMD Facility Data 2023'!$AE$2:$AE$10000,0),1)&gt;0,INDEX('CAMD Facility Data 2023'!$AC$2:$AE$10000,MATCH(Z1036,'CAMD Facility Data 2023'!$AE$2:$AE$10000,0),1),"")</f>
        <v>7770</v>
      </c>
      <c r="AC1036" s="1" t="str">
        <f>IF(INDEX('CAMD Facility Data 2023'!$AE$2:$AG$10000,MATCH(Z1036,'CAMD Facility Data 2023'!$AE$2:$AE$10000,0),3)&gt;0,INDEX('CAMD Facility Data 2023'!$AE$2:$AG$10000,MATCH(Z1036,'CAMD Facility Data 2023'!$AE$2:$AE$10000,0),3),"")</f>
        <v/>
      </c>
      <c r="AD1036" s="20">
        <f t="shared" si="49"/>
        <v>0.75641183186928451</v>
      </c>
      <c r="AE1036" s="25">
        <f t="shared" si="50"/>
        <v>0.13727351850872399</v>
      </c>
    </row>
    <row r="1037" spans="1:31" x14ac:dyDescent="0.2">
      <c r="A1037" s="1" t="s">
        <v>2584</v>
      </c>
      <c r="B1037" s="1" t="s">
        <v>2652</v>
      </c>
      <c r="C1037" s="1">
        <v>3148</v>
      </c>
      <c r="D1037" s="1">
        <v>3</v>
      </c>
      <c r="F1037" s="1">
        <v>2023</v>
      </c>
      <c r="G1037" s="5">
        <v>1099</v>
      </c>
      <c r="H1037" s="5">
        <v>1047.07</v>
      </c>
      <c r="I1037" s="5">
        <v>250364.71</v>
      </c>
      <c r="K1037" s="5">
        <v>14.212</v>
      </c>
      <c r="L1037" s="5">
        <v>6.4899999999999999E-2</v>
      </c>
      <c r="M1037" s="5">
        <v>175090.40700000001</v>
      </c>
      <c r="N1037" s="6">
        <v>5.8999999999999997E-2</v>
      </c>
      <c r="O1037" s="5">
        <v>110.587</v>
      </c>
      <c r="P1037" s="6">
        <v>5.8999999999999997E-2</v>
      </c>
      <c r="Q1037" s="5">
        <v>2939055.91</v>
      </c>
      <c r="R1037" s="1" t="s">
        <v>173</v>
      </c>
      <c r="S1037" s="1" t="s">
        <v>44</v>
      </c>
      <c r="T1037" s="1" t="s">
        <v>43</v>
      </c>
      <c r="Y1037" s="1" t="s">
        <v>682</v>
      </c>
      <c r="Z1037" s="1" t="str">
        <f t="shared" si="48"/>
        <v>3148 3</v>
      </c>
      <c r="AA1037" s="3">
        <f>IF(INDEX('CAMD Facility Data 2023'!$AA$2:$AE$10000,MATCH(Z1037,'CAMD Facility Data 2023'!$AE$2:$AE$10000,0),1)&gt;0,INDEX('CAMD Facility Data 2023'!$AA$2:$AE$10000,MATCH(Z1037,'CAMD Facility Data 2023'!$AE$2:$AE$10000,0),1),"")</f>
        <v>27668</v>
      </c>
      <c r="AB1037" s="5">
        <f>IF(INDEX('CAMD Facility Data 2023'!$AC$2:$AE$10000,MATCH(Z1037,'CAMD Facility Data 2023'!$AE$2:$AE$10000,0),1)&gt;0,INDEX('CAMD Facility Data 2023'!$AC$2:$AE$10000,MATCH(Z1037,'CAMD Facility Data 2023'!$AE$2:$AE$10000,0),1),"")</f>
        <v>9469</v>
      </c>
      <c r="AC1037" s="1" t="str">
        <f>IF(INDEX('CAMD Facility Data 2023'!$AE$2:$AG$10000,MATCH(Z1037,'CAMD Facility Data 2023'!$AE$2:$AE$10000,0),3)&gt;0,INDEX('CAMD Facility Data 2023'!$AE$2:$AG$10000,MATCH(Z1037,'CAMD Facility Data 2023'!$AE$2:$AE$10000,0),3),"")</f>
        <v/>
      </c>
      <c r="AD1037" s="20">
        <f t="shared" si="49"/>
        <v>0.88340725016716615</v>
      </c>
      <c r="AE1037" s="25">
        <f t="shared" si="50"/>
        <v>3.5432322898417377E-2</v>
      </c>
    </row>
    <row r="1038" spans="1:31" x14ac:dyDescent="0.2">
      <c r="A1038" s="1" t="s">
        <v>2584</v>
      </c>
      <c r="B1038" s="1" t="s">
        <v>2652</v>
      </c>
      <c r="C1038" s="1">
        <v>3148</v>
      </c>
      <c r="D1038" s="1">
        <v>4</v>
      </c>
      <c r="F1038" s="1">
        <v>2023</v>
      </c>
      <c r="G1038" s="5">
        <v>1501</v>
      </c>
      <c r="H1038" s="5">
        <v>1450.88</v>
      </c>
      <c r="I1038" s="5">
        <v>363917.01</v>
      </c>
      <c r="K1038" s="5">
        <v>15.019</v>
      </c>
      <c r="L1038" s="5">
        <v>8.6199999999999999E-2</v>
      </c>
      <c r="M1038" s="5">
        <v>248055.55900000001</v>
      </c>
      <c r="N1038" s="6">
        <v>5.8700000000000002E-2</v>
      </c>
      <c r="O1038" s="5">
        <v>146.97399999999999</v>
      </c>
      <c r="P1038" s="6">
        <v>6.0100000000000001E-2</v>
      </c>
      <c r="Q1038" s="5">
        <v>4180663.3840000001</v>
      </c>
      <c r="R1038" s="1" t="s">
        <v>173</v>
      </c>
      <c r="S1038" s="1" t="s">
        <v>44</v>
      </c>
      <c r="T1038" s="1" t="s">
        <v>43</v>
      </c>
      <c r="Y1038" s="1" t="s">
        <v>682</v>
      </c>
      <c r="Z1038" s="1" t="str">
        <f t="shared" si="48"/>
        <v>3148 4</v>
      </c>
      <c r="AA1038" s="3">
        <f>IF(INDEX('CAMD Facility Data 2023'!$AA$2:$AE$10000,MATCH(Z1038,'CAMD Facility Data 2023'!$AE$2:$AE$10000,0),1)&gt;0,INDEX('CAMD Facility Data 2023'!$AA$2:$AE$10000,MATCH(Z1038,'CAMD Facility Data 2023'!$AE$2:$AE$10000,0),1),"")</f>
        <v>28199</v>
      </c>
      <c r="AB1038" s="5">
        <f>IF(INDEX('CAMD Facility Data 2023'!$AC$2:$AE$10000,MATCH(Z1038,'CAMD Facility Data 2023'!$AE$2:$AE$10000,0),1)&gt;0,INDEX('CAMD Facility Data 2023'!$AC$2:$AE$10000,MATCH(Z1038,'CAMD Facility Data 2023'!$AE$2:$AE$10000,0),1),"")</f>
        <v>9303</v>
      </c>
      <c r="AC1038" s="1" t="str">
        <f>IF(INDEX('CAMD Facility Data 2023'!$AE$2:$AG$10000,MATCH(Z1038,'CAMD Facility Data 2023'!$AE$2:$AE$10000,0),3)&gt;0,INDEX('CAMD Facility Data 2023'!$AE$2:$AG$10000,MATCH(Z1038,'CAMD Facility Data 2023'!$AE$2:$AE$10000,0),3),"")</f>
        <v/>
      </c>
      <c r="AD1038" s="20">
        <f t="shared" si="49"/>
        <v>0.80773360937429106</v>
      </c>
      <c r="AE1038" s="25">
        <f t="shared" si="50"/>
        <v>5.1300083686855076E-2</v>
      </c>
    </row>
    <row r="1039" spans="1:31" x14ac:dyDescent="0.2">
      <c r="A1039" s="1" t="s">
        <v>2584</v>
      </c>
      <c r="B1039" s="1" t="s">
        <v>2656</v>
      </c>
      <c r="C1039" s="1">
        <v>3149</v>
      </c>
      <c r="D1039" s="1">
        <v>1</v>
      </c>
      <c r="F1039" s="1">
        <v>2023</v>
      </c>
      <c r="G1039" s="5">
        <v>795</v>
      </c>
      <c r="H1039" s="5">
        <v>786.98</v>
      </c>
      <c r="I1039" s="5">
        <v>336818.64</v>
      </c>
      <c r="K1039" s="5">
        <v>233.28700000000001</v>
      </c>
      <c r="L1039" s="5">
        <v>0.1361</v>
      </c>
      <c r="M1039" s="5">
        <v>267667.72499999998</v>
      </c>
      <c r="N1039" s="6">
        <v>8.3199999999999996E-2</v>
      </c>
      <c r="O1039" s="5">
        <v>136.07900000000001</v>
      </c>
      <c r="P1039" s="6">
        <v>8.8300000000000003E-2</v>
      </c>
      <c r="Q1039" s="5">
        <v>3240950.6150000002</v>
      </c>
      <c r="R1039" s="1" t="s">
        <v>55</v>
      </c>
      <c r="S1039" s="1" t="s">
        <v>2660</v>
      </c>
      <c r="T1039" s="1" t="s">
        <v>43</v>
      </c>
      <c r="U1039" s="1" t="s">
        <v>241</v>
      </c>
      <c r="V1039" s="1" t="s">
        <v>301</v>
      </c>
      <c r="W1039" s="1" t="s">
        <v>58</v>
      </c>
      <c r="Y1039" s="1" t="s">
        <v>682</v>
      </c>
      <c r="Z1039" s="1" t="str">
        <f t="shared" si="48"/>
        <v>3149 1</v>
      </c>
      <c r="AA1039" s="3">
        <f>IF(INDEX('CAMD Facility Data 2023'!$AA$2:$AE$10000,MATCH(Z1039,'CAMD Facility Data 2023'!$AE$2:$AE$10000,0),1)&gt;0,INDEX('CAMD Facility Data 2023'!$AA$2:$AE$10000,MATCH(Z1039,'CAMD Facility Data 2023'!$AE$2:$AE$10000,0),1),"")</f>
        <v>26238</v>
      </c>
      <c r="AB1039" s="5">
        <f>IF(INDEX('CAMD Facility Data 2023'!$AC$2:$AE$10000,MATCH(Z1039,'CAMD Facility Data 2023'!$AE$2:$AE$10000,0),1)&gt;0,INDEX('CAMD Facility Data 2023'!$AC$2:$AE$10000,MATCH(Z1039,'CAMD Facility Data 2023'!$AE$2:$AE$10000,0),1),"")</f>
        <v>7384</v>
      </c>
      <c r="AC1039" s="1" t="str">
        <f>IF(INDEX('CAMD Facility Data 2023'!$AE$2:$AG$10000,MATCH(Z1039,'CAMD Facility Data 2023'!$AE$2:$AE$10000,0),3)&gt;0,INDEX('CAMD Facility Data 2023'!$AE$2:$AG$10000,MATCH(Z1039,'CAMD Facility Data 2023'!$AE$2:$AE$10000,0),3),"")</f>
        <v>Y</v>
      </c>
      <c r="AD1039" s="20">
        <f t="shared" si="49"/>
        <v>0.80802535156605348</v>
      </c>
      <c r="AE1039" s="25">
        <f t="shared" si="50"/>
        <v>5.0104486916670382E-2</v>
      </c>
    </row>
    <row r="1040" spans="1:31" x14ac:dyDescent="0.2">
      <c r="A1040" s="1" t="s">
        <v>2584</v>
      </c>
      <c r="B1040" s="1" t="s">
        <v>2656</v>
      </c>
      <c r="C1040" s="1">
        <v>3149</v>
      </c>
      <c r="D1040" s="1">
        <v>2</v>
      </c>
      <c r="F1040" s="1">
        <v>2023</v>
      </c>
      <c r="G1040" s="5">
        <v>751</v>
      </c>
      <c r="H1040" s="5">
        <v>733.23</v>
      </c>
      <c r="I1040" s="5">
        <v>303494.93</v>
      </c>
      <c r="K1040" s="5">
        <v>195.833</v>
      </c>
      <c r="L1040" s="5">
        <v>0.13450000000000001</v>
      </c>
      <c r="M1040" s="5">
        <v>261159.11900000001</v>
      </c>
      <c r="N1040" s="6">
        <v>8.09E-2</v>
      </c>
      <c r="O1040" s="5">
        <v>158.29</v>
      </c>
      <c r="P1040" s="6">
        <v>0.1016</v>
      </c>
      <c r="Q1040" s="5">
        <v>3253851.0150000001</v>
      </c>
      <c r="R1040" s="1" t="s">
        <v>55</v>
      </c>
      <c r="S1040" s="1" t="s">
        <v>2660</v>
      </c>
      <c r="T1040" s="1" t="s">
        <v>43</v>
      </c>
      <c r="U1040" s="1" t="s">
        <v>241</v>
      </c>
      <c r="V1040" s="1" t="s">
        <v>301</v>
      </c>
      <c r="W1040" s="1" t="s">
        <v>58</v>
      </c>
      <c r="Y1040" s="1" t="s">
        <v>682</v>
      </c>
      <c r="Z1040" s="1" t="str">
        <f t="shared" si="48"/>
        <v>3149 2</v>
      </c>
      <c r="AA1040" s="3">
        <f>IF(INDEX('CAMD Facility Data 2023'!$AA$2:$AE$10000,MATCH(Z1040,'CAMD Facility Data 2023'!$AE$2:$AE$10000,0),1)&gt;0,INDEX('CAMD Facility Data 2023'!$AA$2:$AE$10000,MATCH(Z1040,'CAMD Facility Data 2023'!$AE$2:$AE$10000,0),1),"")</f>
        <v>26697</v>
      </c>
      <c r="AB1040" s="5">
        <f>IF(INDEX('CAMD Facility Data 2023'!$AC$2:$AE$10000,MATCH(Z1040,'CAMD Facility Data 2023'!$AE$2:$AE$10000,0),1)&gt;0,INDEX('CAMD Facility Data 2023'!$AC$2:$AE$10000,MATCH(Z1040,'CAMD Facility Data 2023'!$AE$2:$AE$10000,0),1),"")</f>
        <v>7384</v>
      </c>
      <c r="AC1040" s="1" t="str">
        <f>IF(INDEX('CAMD Facility Data 2023'!$AE$2:$AG$10000,MATCH(Z1040,'CAMD Facility Data 2023'!$AE$2:$AE$10000,0),3)&gt;0,INDEX('CAMD Facility Data 2023'!$AE$2:$AG$10000,MATCH(Z1040,'CAMD Facility Data 2023'!$AE$2:$AE$10000,0),3),"")</f>
        <v>Y</v>
      </c>
      <c r="AD1040" s="20">
        <f t="shared" si="49"/>
        <v>1.0431146246825276</v>
      </c>
      <c r="AE1040" s="25">
        <f t="shared" si="50"/>
        <v>5.0303924674230845E-2</v>
      </c>
    </row>
    <row r="1041" spans="1:31" x14ac:dyDescent="0.2">
      <c r="A1041" s="1" t="s">
        <v>2584</v>
      </c>
      <c r="B1041" s="1" t="s">
        <v>2663</v>
      </c>
      <c r="C1041" s="1">
        <v>3161</v>
      </c>
      <c r="D1041" s="1">
        <v>3</v>
      </c>
      <c r="E1041" s="1" t="s">
        <v>2664</v>
      </c>
      <c r="F1041" s="1">
        <v>2023</v>
      </c>
      <c r="G1041" s="5">
        <v>286</v>
      </c>
      <c r="H1041" s="5">
        <v>273.11</v>
      </c>
      <c r="I1041" s="5">
        <v>16544.849999999999</v>
      </c>
      <c r="K1041" s="5">
        <v>8.5999999999999993E-2</v>
      </c>
      <c r="L1041" s="5">
        <v>1E-3</v>
      </c>
      <c r="M1041" s="5">
        <v>15088.210999999999</v>
      </c>
      <c r="N1041" s="6">
        <v>6.2899999999999998E-2</v>
      </c>
      <c r="O1041" s="5">
        <v>8.0069999999999997</v>
      </c>
      <c r="P1041" s="6">
        <v>5.6000000000000001E-2</v>
      </c>
      <c r="Q1041" s="5">
        <v>236524.98199999999</v>
      </c>
      <c r="R1041" s="1" t="s">
        <v>44</v>
      </c>
      <c r="S1041" s="1" t="s">
        <v>94</v>
      </c>
      <c r="T1041" s="1" t="s">
        <v>43</v>
      </c>
      <c r="V1041" s="1" t="s">
        <v>454</v>
      </c>
      <c r="Y1041" s="1" t="s">
        <v>682</v>
      </c>
      <c r="Z1041" s="1" t="str">
        <f t="shared" si="48"/>
        <v>3161 3</v>
      </c>
      <c r="AA1041" s="3">
        <f>IF(INDEX('CAMD Facility Data 2023'!$AA$2:$AE$10000,MATCH(Z1041,'CAMD Facility Data 2023'!$AE$2:$AE$10000,0),1)&gt;0,INDEX('CAMD Facility Data 2023'!$AA$2:$AE$10000,MATCH(Z1041,'CAMD Facility Data 2023'!$AE$2:$AE$10000,0),1),"")</f>
        <v>27030</v>
      </c>
      <c r="AB1041" s="5">
        <f>IF(INDEX('CAMD Facility Data 2023'!$AC$2:$AE$10000,MATCH(Z1041,'CAMD Facility Data 2023'!$AE$2:$AE$10000,0),1)&gt;0,INDEX('CAMD Facility Data 2023'!$AC$2:$AE$10000,MATCH(Z1041,'CAMD Facility Data 2023'!$AE$2:$AE$10000,0),1),"")</f>
        <v>5863.1</v>
      </c>
      <c r="AC1041" s="1" t="str">
        <f>IF(INDEX('CAMD Facility Data 2023'!$AE$2:$AG$10000,MATCH(Z1041,'CAMD Facility Data 2023'!$AE$2:$AE$10000,0),3)&gt;0,INDEX('CAMD Facility Data 2023'!$AE$2:$AG$10000,MATCH(Z1041,'CAMD Facility Data 2023'!$AE$2:$AE$10000,0),3),"")</f>
        <v/>
      </c>
      <c r="AD1041" s="20">
        <f t="shared" si="49"/>
        <v>0.96791448698537619</v>
      </c>
      <c r="AE1041" s="25">
        <f t="shared" si="50"/>
        <v>4.6051694021014798E-3</v>
      </c>
    </row>
    <row r="1042" spans="1:31" x14ac:dyDescent="0.2">
      <c r="A1042" s="1" t="s">
        <v>2584</v>
      </c>
      <c r="B1042" s="1" t="s">
        <v>2663</v>
      </c>
      <c r="C1042" s="1">
        <v>3161</v>
      </c>
      <c r="D1042" s="1">
        <v>4</v>
      </c>
      <c r="E1042" s="1" t="s">
        <v>2664</v>
      </c>
      <c r="F1042" s="1">
        <v>2023</v>
      </c>
      <c r="G1042" s="5">
        <v>285</v>
      </c>
      <c r="H1042" s="5">
        <v>270.02</v>
      </c>
      <c r="I1042" s="5">
        <v>14107.24</v>
      </c>
      <c r="K1042" s="5">
        <v>7.4999999999999997E-2</v>
      </c>
      <c r="L1042" s="5">
        <v>1E-3</v>
      </c>
      <c r="M1042" s="5">
        <v>13243.722</v>
      </c>
      <c r="N1042" s="6">
        <v>6.2600000000000003E-2</v>
      </c>
      <c r="O1042" s="5">
        <v>6.7960000000000003</v>
      </c>
      <c r="P1042" s="6">
        <v>5.6099999999999997E-2</v>
      </c>
      <c r="Q1042" s="5">
        <v>209617.62100000001</v>
      </c>
      <c r="R1042" s="1" t="s">
        <v>44</v>
      </c>
      <c r="S1042" s="1" t="s">
        <v>94</v>
      </c>
      <c r="T1042" s="1" t="s">
        <v>43</v>
      </c>
      <c r="V1042" s="1" t="s">
        <v>454</v>
      </c>
      <c r="Y1042" s="1" t="s">
        <v>682</v>
      </c>
      <c r="Z1042" s="1" t="str">
        <f t="shared" si="48"/>
        <v>3161 4</v>
      </c>
      <c r="AA1042" s="3">
        <f>IF(INDEX('CAMD Facility Data 2023'!$AA$2:$AE$10000,MATCH(Z1042,'CAMD Facility Data 2023'!$AE$2:$AE$10000,0),1)&gt;0,INDEX('CAMD Facility Data 2023'!$AA$2:$AE$10000,MATCH(Z1042,'CAMD Facility Data 2023'!$AE$2:$AE$10000,0),1),"")</f>
        <v>27760</v>
      </c>
      <c r="AB1042" s="5">
        <f>IF(INDEX('CAMD Facility Data 2023'!$AC$2:$AE$10000,MATCH(Z1042,'CAMD Facility Data 2023'!$AE$2:$AE$10000,0),1)&gt;0,INDEX('CAMD Facility Data 2023'!$AC$2:$AE$10000,MATCH(Z1042,'CAMD Facility Data 2023'!$AE$2:$AE$10000,0),1),"")</f>
        <v>5345.3</v>
      </c>
      <c r="AC1042" s="1" t="str">
        <f>IF(INDEX('CAMD Facility Data 2023'!$AE$2:$AG$10000,MATCH(Z1042,'CAMD Facility Data 2023'!$AE$2:$AE$10000,0),3)&gt;0,INDEX('CAMD Facility Data 2023'!$AE$2:$AG$10000,MATCH(Z1042,'CAMD Facility Data 2023'!$AE$2:$AE$10000,0),3),"")</f>
        <v/>
      </c>
      <c r="AD1042" s="20">
        <f t="shared" si="49"/>
        <v>0.96347690972862166</v>
      </c>
      <c r="AE1042" s="25">
        <f t="shared" si="50"/>
        <v>4.4766340839522143E-3</v>
      </c>
    </row>
    <row r="1043" spans="1:31" x14ac:dyDescent="0.2">
      <c r="A1043" s="1" t="s">
        <v>2584</v>
      </c>
      <c r="B1043" s="1" t="s">
        <v>2669</v>
      </c>
      <c r="C1043" s="1">
        <v>3168</v>
      </c>
      <c r="D1043" s="1">
        <v>91</v>
      </c>
      <c r="F1043" s="1">
        <v>2023</v>
      </c>
      <c r="G1043" s="5">
        <v>15</v>
      </c>
      <c r="H1043" s="5">
        <v>10.69</v>
      </c>
      <c r="I1043" s="5">
        <v>529.13</v>
      </c>
      <c r="K1043" s="5">
        <v>0.7</v>
      </c>
      <c r="L1043" s="5">
        <v>0.20200000000000001</v>
      </c>
      <c r="M1043" s="5">
        <v>560.9</v>
      </c>
      <c r="N1043" s="6">
        <v>8.1000000000000003E-2</v>
      </c>
      <c r="O1043" s="5">
        <v>2.0089999999999999</v>
      </c>
      <c r="P1043" s="6">
        <v>0.58009999999999995</v>
      </c>
      <c r="Q1043" s="5">
        <v>6927.9</v>
      </c>
      <c r="R1043" s="1" t="s">
        <v>94</v>
      </c>
      <c r="T1043" s="1" t="s">
        <v>93</v>
      </c>
      <c r="Y1043" s="1" t="s">
        <v>1528</v>
      </c>
      <c r="Z1043" s="1" t="str">
        <f t="shared" si="48"/>
        <v>3168 91</v>
      </c>
      <c r="AA1043" s="3">
        <f>IF(INDEX('CAMD Facility Data 2023'!$AA$2:$AE$10000,MATCH(Z1043,'CAMD Facility Data 2023'!$AE$2:$AE$10000,0),1)&gt;0,INDEX('CAMD Facility Data 2023'!$AA$2:$AE$10000,MATCH(Z1043,'CAMD Facility Data 2023'!$AE$2:$AE$10000,0),1),"")</f>
        <v>26822</v>
      </c>
      <c r="AB1043" s="5">
        <f>IF(INDEX('CAMD Facility Data 2023'!$AC$2:$AE$10000,MATCH(Z1043,'CAMD Facility Data 2023'!$AE$2:$AE$10000,0),1)&gt;0,INDEX('CAMD Facility Data 2023'!$AC$2:$AE$10000,MATCH(Z1043,'CAMD Facility Data 2023'!$AE$2:$AE$10000,0),1),"")</f>
        <v>838</v>
      </c>
      <c r="AC1043" s="1" t="str">
        <f>IF(INDEX('CAMD Facility Data 2023'!$AE$2:$AG$10000,MATCH(Z1043,'CAMD Facility Data 2023'!$AE$2:$AE$10000,0),3)&gt;0,INDEX('CAMD Facility Data 2023'!$AE$2:$AG$10000,MATCH(Z1043,'CAMD Facility Data 2023'!$AE$2:$AE$10000,0),3),"")</f>
        <v/>
      </c>
      <c r="AD1043" s="20">
        <f t="shared" si="49"/>
        <v>7.5935970366450594</v>
      </c>
      <c r="AE1043" s="25">
        <f t="shared" si="50"/>
        <v>9.4374243959852221E-4</v>
      </c>
    </row>
    <row r="1044" spans="1:31" x14ac:dyDescent="0.2">
      <c r="A1044" s="1" t="s">
        <v>2584</v>
      </c>
      <c r="B1044" s="1" t="s">
        <v>2669</v>
      </c>
      <c r="C1044" s="1">
        <v>3168</v>
      </c>
      <c r="D1044" s="1">
        <v>92</v>
      </c>
      <c r="F1044" s="1">
        <v>2023</v>
      </c>
      <c r="G1044" s="5">
        <v>11</v>
      </c>
      <c r="H1044" s="5">
        <v>6.53</v>
      </c>
      <c r="I1044" s="5">
        <v>297.37</v>
      </c>
      <c r="K1044" s="5">
        <v>0.39800000000000002</v>
      </c>
      <c r="L1044" s="5">
        <v>0.20150000000000001</v>
      </c>
      <c r="M1044" s="5">
        <v>318.89999999999998</v>
      </c>
      <c r="N1044" s="6">
        <v>8.1000000000000003E-2</v>
      </c>
      <c r="O1044" s="5">
        <v>1.1419999999999999</v>
      </c>
      <c r="P1044" s="6">
        <v>0.58030000000000004</v>
      </c>
      <c r="Q1044" s="5">
        <v>3938</v>
      </c>
      <c r="R1044" s="1" t="s">
        <v>94</v>
      </c>
      <c r="T1044" s="1" t="s">
        <v>93</v>
      </c>
      <c r="Y1044" s="1" t="s">
        <v>1528</v>
      </c>
      <c r="Z1044" s="1" t="str">
        <f t="shared" si="48"/>
        <v>3168 92</v>
      </c>
      <c r="AA1044" s="3">
        <f>IF(INDEX('CAMD Facility Data 2023'!$AA$2:$AE$10000,MATCH(Z1044,'CAMD Facility Data 2023'!$AE$2:$AE$10000,0),1)&gt;0,INDEX('CAMD Facility Data 2023'!$AA$2:$AE$10000,MATCH(Z1044,'CAMD Facility Data 2023'!$AE$2:$AE$10000,0),1),"")</f>
        <v>26822</v>
      </c>
      <c r="AB1044" s="5">
        <f>IF(INDEX('CAMD Facility Data 2023'!$AC$2:$AE$10000,MATCH(Z1044,'CAMD Facility Data 2023'!$AE$2:$AE$10000,0),1)&gt;0,INDEX('CAMD Facility Data 2023'!$AC$2:$AE$10000,MATCH(Z1044,'CAMD Facility Data 2023'!$AE$2:$AE$10000,0),1),"")</f>
        <v>838</v>
      </c>
      <c r="AC1044" s="1" t="str">
        <f>IF(INDEX('CAMD Facility Data 2023'!$AE$2:$AG$10000,MATCH(Z1044,'CAMD Facility Data 2023'!$AE$2:$AE$10000,0),3)&gt;0,INDEX('CAMD Facility Data 2023'!$AE$2:$AG$10000,MATCH(Z1044,'CAMD Facility Data 2023'!$AE$2:$AE$10000,0),3),"")</f>
        <v/>
      </c>
      <c r="AD1044" s="20">
        <f t="shared" si="49"/>
        <v>7.6806671822981469</v>
      </c>
      <c r="AE1044" s="25">
        <f t="shared" si="50"/>
        <v>5.3644794629526709E-4</v>
      </c>
    </row>
    <row r="1045" spans="1:31" x14ac:dyDescent="0.2">
      <c r="A1045" s="1" t="s">
        <v>2584</v>
      </c>
      <c r="B1045" s="1" t="s">
        <v>2674</v>
      </c>
      <c r="C1045" s="1">
        <v>3176</v>
      </c>
      <c r="D1045" s="1" t="s">
        <v>105</v>
      </c>
      <c r="F1045" s="1">
        <v>2023</v>
      </c>
      <c r="G1045" s="5">
        <v>5663</v>
      </c>
      <c r="H1045" s="5">
        <v>5338.48</v>
      </c>
      <c r="I1045" s="5">
        <v>317376.71000000002</v>
      </c>
      <c r="K1045" s="5">
        <v>0.74299999999999999</v>
      </c>
      <c r="L1045" s="5">
        <v>1E-3</v>
      </c>
      <c r="M1045" s="5">
        <v>147178.81700000001</v>
      </c>
      <c r="N1045" s="6">
        <v>5.9200000000000003E-2</v>
      </c>
      <c r="O1045" s="5">
        <v>12.58</v>
      </c>
      <c r="P1045" s="6">
        <v>1.2500000000000001E-2</v>
      </c>
      <c r="Q1045" s="5">
        <v>2476581.2829999998</v>
      </c>
      <c r="R1045" s="1" t="s">
        <v>44</v>
      </c>
      <c r="S1045" s="1" t="s">
        <v>94</v>
      </c>
      <c r="T1045" s="1" t="s">
        <v>71</v>
      </c>
      <c r="V1045" s="1" t="s">
        <v>176</v>
      </c>
      <c r="Y1045" s="1" t="s">
        <v>1515</v>
      </c>
      <c r="Z1045" s="1" t="str">
        <f t="shared" si="48"/>
        <v>3176 CT5</v>
      </c>
      <c r="AA1045" s="3">
        <f>IF(INDEX('CAMD Facility Data 2023'!$AA$2:$AE$10000,MATCH(Z1045,'CAMD Facility Data 2023'!$AE$2:$AE$10000,0),1)&gt;0,INDEX('CAMD Facility Data 2023'!$AA$2:$AE$10000,MATCH(Z1045,'CAMD Facility Data 2023'!$AE$2:$AE$10000,0),1),"")</f>
        <v>40696</v>
      </c>
      <c r="AB1045" s="5">
        <f>IF(INDEX('CAMD Facility Data 2023'!$AC$2:$AE$10000,MATCH(Z1045,'CAMD Facility Data 2023'!$AE$2:$AE$10000,0),1)&gt;0,INDEX('CAMD Facility Data 2023'!$AC$2:$AE$10000,MATCH(Z1045,'CAMD Facility Data 2023'!$AE$2:$AE$10000,0),1),"")</f>
        <v>540</v>
      </c>
      <c r="AC1045" s="1" t="str">
        <f>IF(INDEX('CAMD Facility Data 2023'!$AE$2:$AG$10000,MATCH(Z1045,'CAMD Facility Data 2023'!$AE$2:$AE$10000,0),3)&gt;0,INDEX('CAMD Facility Data 2023'!$AE$2:$AG$10000,MATCH(Z1045,'CAMD Facility Data 2023'!$AE$2:$AE$10000,0),3),"")</f>
        <v>Y</v>
      </c>
      <c r="AD1045" s="20">
        <f t="shared" si="49"/>
        <v>7.9274878109360944E-2</v>
      </c>
      <c r="AE1045" s="25">
        <f t="shared" si="50"/>
        <v>0.52354584876543209</v>
      </c>
    </row>
    <row r="1046" spans="1:31" x14ac:dyDescent="0.2">
      <c r="A1046" s="1" t="s">
        <v>2584</v>
      </c>
      <c r="B1046" s="1" t="s">
        <v>2674</v>
      </c>
      <c r="C1046" s="1">
        <v>3176</v>
      </c>
      <c r="D1046" s="1" t="s">
        <v>107</v>
      </c>
      <c r="F1046" s="1">
        <v>2023</v>
      </c>
      <c r="G1046" s="5">
        <v>5489</v>
      </c>
      <c r="H1046" s="5">
        <v>5174.26</v>
      </c>
      <c r="I1046" s="5">
        <v>308270.15000000002</v>
      </c>
      <c r="K1046" s="5">
        <v>0.71499999999999997</v>
      </c>
      <c r="L1046" s="5">
        <v>1E-3</v>
      </c>
      <c r="M1046" s="5">
        <v>141681.546</v>
      </c>
      <c r="N1046" s="6">
        <v>5.9200000000000003E-2</v>
      </c>
      <c r="O1046" s="5">
        <v>11.933</v>
      </c>
      <c r="P1046" s="6">
        <v>1.2999999999999999E-2</v>
      </c>
      <c r="Q1046" s="5">
        <v>2384147.7250000001</v>
      </c>
      <c r="R1046" s="1" t="s">
        <v>44</v>
      </c>
      <c r="S1046" s="1" t="s">
        <v>94</v>
      </c>
      <c r="T1046" s="1" t="s">
        <v>71</v>
      </c>
      <c r="V1046" s="1" t="s">
        <v>176</v>
      </c>
      <c r="Y1046" s="1" t="s">
        <v>1515</v>
      </c>
      <c r="Z1046" s="1" t="str">
        <f t="shared" si="48"/>
        <v>3176 CT6</v>
      </c>
      <c r="AA1046" s="3">
        <f>IF(INDEX('CAMD Facility Data 2023'!$AA$2:$AE$10000,MATCH(Z1046,'CAMD Facility Data 2023'!$AE$2:$AE$10000,0),1)&gt;0,INDEX('CAMD Facility Data 2023'!$AA$2:$AE$10000,MATCH(Z1046,'CAMD Facility Data 2023'!$AE$2:$AE$10000,0),1),"")</f>
        <v>40691</v>
      </c>
      <c r="AB1046" s="5">
        <f>IF(INDEX('CAMD Facility Data 2023'!$AC$2:$AE$10000,MATCH(Z1046,'CAMD Facility Data 2023'!$AE$2:$AE$10000,0),1)&gt;0,INDEX('CAMD Facility Data 2023'!$AC$2:$AE$10000,MATCH(Z1046,'CAMD Facility Data 2023'!$AE$2:$AE$10000,0),1),"")</f>
        <v>540</v>
      </c>
      <c r="AC1046" s="1" t="str">
        <f>IF(INDEX('CAMD Facility Data 2023'!$AE$2:$AG$10000,MATCH(Z1046,'CAMD Facility Data 2023'!$AE$2:$AE$10000,0),3)&gt;0,INDEX('CAMD Facility Data 2023'!$AE$2:$AG$10000,MATCH(Z1046,'CAMD Facility Data 2023'!$AE$2:$AE$10000,0),3),"")</f>
        <v>Y</v>
      </c>
      <c r="AD1046" s="20">
        <f t="shared" si="49"/>
        <v>7.7419107883134317E-2</v>
      </c>
      <c r="AE1046" s="25">
        <f t="shared" si="50"/>
        <v>0.50400552278877053</v>
      </c>
    </row>
    <row r="1047" spans="1:31" x14ac:dyDescent="0.2">
      <c r="A1047" s="1" t="s">
        <v>2680</v>
      </c>
      <c r="B1047" s="1" t="s">
        <v>2681</v>
      </c>
      <c r="C1047" s="1">
        <v>3236</v>
      </c>
      <c r="D1047" s="1">
        <v>10</v>
      </c>
      <c r="F1047" s="1">
        <v>2023</v>
      </c>
      <c r="G1047" s="5">
        <v>4161</v>
      </c>
      <c r="H1047" s="5">
        <v>4007.75</v>
      </c>
      <c r="I1047" s="5">
        <v>392566</v>
      </c>
      <c r="K1047" s="5">
        <v>1.6819999999999999</v>
      </c>
      <c r="L1047" s="5">
        <v>1.1000000000000001E-3</v>
      </c>
      <c r="M1047" s="5">
        <v>292876.05</v>
      </c>
      <c r="N1047" s="6">
        <v>5.9200000000000003E-2</v>
      </c>
      <c r="O1047" s="5">
        <v>75.382000000000005</v>
      </c>
      <c r="P1047" s="6">
        <v>3.9399999999999998E-2</v>
      </c>
      <c r="Q1047" s="5">
        <v>4928206.25</v>
      </c>
      <c r="R1047" s="1" t="s">
        <v>44</v>
      </c>
      <c r="S1047" s="1" t="s">
        <v>94</v>
      </c>
      <c r="T1047" s="1" t="s">
        <v>71</v>
      </c>
      <c r="V1047" s="1" t="s">
        <v>2685</v>
      </c>
      <c r="Y1047" s="1" t="s">
        <v>579</v>
      </c>
      <c r="Z1047" s="1" t="str">
        <f t="shared" si="48"/>
        <v>3236 10</v>
      </c>
      <c r="AA1047" s="3">
        <f>IF(INDEX('CAMD Facility Data 2023'!$AA$2:$AE$10000,MATCH(Z1047,'CAMD Facility Data 2023'!$AE$2:$AE$10000,0),1)&gt;0,INDEX('CAMD Facility Data 2023'!$AA$2:$AE$10000,MATCH(Z1047,'CAMD Facility Data 2023'!$AE$2:$AE$10000,0),1),"")</f>
        <v>34904</v>
      </c>
      <c r="AB1047" s="5">
        <f>IF(INDEX('CAMD Facility Data 2023'!$AC$2:$AE$10000,MATCH(Z1047,'CAMD Facility Data 2023'!$AE$2:$AE$10000,0),1)&gt;0,INDEX('CAMD Facility Data 2023'!$AC$2:$AE$10000,MATCH(Z1047,'CAMD Facility Data 2023'!$AE$2:$AE$10000,0),1),"")</f>
        <v>1450</v>
      </c>
      <c r="AC1047" s="1" t="str">
        <f>IF(INDEX('CAMD Facility Data 2023'!$AE$2:$AG$10000,MATCH(Z1047,'CAMD Facility Data 2023'!$AE$2:$AE$10000,0),3)&gt;0,INDEX('CAMD Facility Data 2023'!$AE$2:$AG$10000,MATCH(Z1047,'CAMD Facility Data 2023'!$AE$2:$AE$10000,0),3),"")</f>
        <v>Y</v>
      </c>
      <c r="AD1047" s="20">
        <f t="shared" si="49"/>
        <v>0.38404752321902558</v>
      </c>
      <c r="AE1047" s="25">
        <f t="shared" si="50"/>
        <v>0.3879866359628405</v>
      </c>
    </row>
    <row r="1048" spans="1:31" x14ac:dyDescent="0.2">
      <c r="A1048" s="1" t="s">
        <v>2680</v>
      </c>
      <c r="B1048" s="1" t="s">
        <v>2681</v>
      </c>
      <c r="C1048" s="1">
        <v>3236</v>
      </c>
      <c r="D1048" s="1">
        <v>11</v>
      </c>
      <c r="F1048" s="1">
        <v>2023</v>
      </c>
      <c r="G1048" s="5">
        <v>4474</v>
      </c>
      <c r="H1048" s="5">
        <v>4358.25</v>
      </c>
      <c r="I1048" s="5">
        <v>429333.75</v>
      </c>
      <c r="K1048" s="5">
        <v>2.0619999999999998</v>
      </c>
      <c r="L1048" s="5">
        <v>1.1999999999999999E-3</v>
      </c>
      <c r="M1048" s="5">
        <v>333589.02500000002</v>
      </c>
      <c r="N1048" s="6">
        <v>5.9299999999999999E-2</v>
      </c>
      <c r="O1048" s="5">
        <v>72.882999999999996</v>
      </c>
      <c r="P1048" s="6">
        <v>3.15E-2</v>
      </c>
      <c r="Q1048" s="5">
        <v>5599262.9500000002</v>
      </c>
      <c r="R1048" s="1" t="s">
        <v>44</v>
      </c>
      <c r="S1048" s="1" t="s">
        <v>94</v>
      </c>
      <c r="T1048" s="1" t="s">
        <v>71</v>
      </c>
      <c r="V1048" s="1" t="s">
        <v>2685</v>
      </c>
      <c r="Y1048" s="1" t="s">
        <v>579</v>
      </c>
      <c r="Z1048" s="1" t="str">
        <f t="shared" si="48"/>
        <v>3236 11</v>
      </c>
      <c r="AA1048" s="3">
        <f>IF(INDEX('CAMD Facility Data 2023'!$AA$2:$AE$10000,MATCH(Z1048,'CAMD Facility Data 2023'!$AE$2:$AE$10000,0),1)&gt;0,INDEX('CAMD Facility Data 2023'!$AA$2:$AE$10000,MATCH(Z1048,'CAMD Facility Data 2023'!$AE$2:$AE$10000,0),1),"")</f>
        <v>34880</v>
      </c>
      <c r="AB1048" s="5">
        <f>IF(INDEX('CAMD Facility Data 2023'!$AC$2:$AE$10000,MATCH(Z1048,'CAMD Facility Data 2023'!$AE$2:$AE$10000,0),1)&gt;0,INDEX('CAMD Facility Data 2023'!$AC$2:$AE$10000,MATCH(Z1048,'CAMD Facility Data 2023'!$AE$2:$AE$10000,0),1),"")</f>
        <v>1450</v>
      </c>
      <c r="AC1048" s="1" t="str">
        <f>IF(INDEX('CAMD Facility Data 2023'!$AE$2:$AG$10000,MATCH(Z1048,'CAMD Facility Data 2023'!$AE$2:$AE$10000,0),3)&gt;0,INDEX('CAMD Facility Data 2023'!$AE$2:$AG$10000,MATCH(Z1048,'CAMD Facility Data 2023'!$AE$2:$AE$10000,0),3),"")</f>
        <v>Y</v>
      </c>
      <c r="AD1048" s="20">
        <f t="shared" si="49"/>
        <v>0.33951675124538894</v>
      </c>
      <c r="AE1048" s="25">
        <f t="shared" si="50"/>
        <v>0.44081742638954496</v>
      </c>
    </row>
    <row r="1049" spans="1:31" x14ac:dyDescent="0.2">
      <c r="A1049" s="1" t="s">
        <v>2680</v>
      </c>
      <c r="B1049" s="1" t="s">
        <v>2681</v>
      </c>
      <c r="C1049" s="1">
        <v>3236</v>
      </c>
      <c r="D1049" s="1">
        <v>9</v>
      </c>
      <c r="F1049" s="1">
        <v>2023</v>
      </c>
      <c r="G1049" s="5">
        <v>4119</v>
      </c>
      <c r="H1049" s="5">
        <v>3919.25</v>
      </c>
      <c r="I1049" s="5">
        <v>381994.5</v>
      </c>
      <c r="K1049" s="5">
        <v>1.75</v>
      </c>
      <c r="L1049" s="5">
        <v>1.1999999999999999E-3</v>
      </c>
      <c r="M1049" s="5">
        <v>269423.55</v>
      </c>
      <c r="N1049" s="6">
        <v>5.9400000000000001E-2</v>
      </c>
      <c r="O1049" s="5">
        <v>71.561000000000007</v>
      </c>
      <c r="P1049" s="6">
        <v>4.3099999999999999E-2</v>
      </c>
      <c r="Q1049" s="5">
        <v>4517157.375</v>
      </c>
      <c r="R1049" s="1" t="s">
        <v>44</v>
      </c>
      <c r="S1049" s="1" t="s">
        <v>94</v>
      </c>
      <c r="T1049" s="1" t="s">
        <v>71</v>
      </c>
      <c r="V1049" s="1" t="s">
        <v>2685</v>
      </c>
      <c r="Y1049" s="1" t="s">
        <v>579</v>
      </c>
      <c r="Z1049" s="1" t="str">
        <f t="shared" si="48"/>
        <v>3236 9</v>
      </c>
      <c r="AA1049" s="3">
        <f>IF(INDEX('CAMD Facility Data 2023'!$AA$2:$AE$10000,MATCH(Z1049,'CAMD Facility Data 2023'!$AE$2:$AE$10000,0),1)&gt;0,INDEX('CAMD Facility Data 2023'!$AA$2:$AE$10000,MATCH(Z1049,'CAMD Facility Data 2023'!$AE$2:$AE$10000,0),1),"")</f>
        <v>34941</v>
      </c>
      <c r="AB1049" s="5">
        <f>IF(INDEX('CAMD Facility Data 2023'!$AC$2:$AE$10000,MATCH(Z1049,'CAMD Facility Data 2023'!$AE$2:$AE$10000,0),1)&gt;0,INDEX('CAMD Facility Data 2023'!$AC$2:$AE$10000,MATCH(Z1049,'CAMD Facility Data 2023'!$AE$2:$AE$10000,0),1),"")</f>
        <v>1450</v>
      </c>
      <c r="AC1049" s="1" t="str">
        <f>IF(INDEX('CAMD Facility Data 2023'!$AE$2:$AG$10000,MATCH(Z1049,'CAMD Facility Data 2023'!$AE$2:$AE$10000,0),3)&gt;0,INDEX('CAMD Facility Data 2023'!$AE$2:$AG$10000,MATCH(Z1049,'CAMD Facility Data 2023'!$AE$2:$AE$10000,0),3),"")</f>
        <v>Y</v>
      </c>
      <c r="AD1049" s="20">
        <f t="shared" si="49"/>
        <v>0.37467031593386818</v>
      </c>
      <c r="AE1049" s="25">
        <f t="shared" si="50"/>
        <v>0.35562567902692488</v>
      </c>
    </row>
    <row r="1050" spans="1:31" x14ac:dyDescent="0.2">
      <c r="A1050" s="1" t="s">
        <v>291</v>
      </c>
      <c r="B1050" s="1" t="s">
        <v>2689</v>
      </c>
      <c r="C1050" s="1">
        <v>3250</v>
      </c>
      <c r="D1050" s="1">
        <v>12</v>
      </c>
      <c r="F1050" s="1">
        <v>2023</v>
      </c>
      <c r="G1050" s="5">
        <v>171</v>
      </c>
      <c r="H1050" s="5">
        <v>142.33000000000001</v>
      </c>
      <c r="I1050" s="5">
        <v>12544.83</v>
      </c>
      <c r="K1050" s="5">
        <v>4.4999999999999998E-2</v>
      </c>
      <c r="L1050" s="5">
        <v>8.9999999999999998E-4</v>
      </c>
      <c r="M1050" s="5">
        <v>9010.6239999999998</v>
      </c>
      <c r="N1050" s="6">
        <v>6.3100000000000003E-2</v>
      </c>
      <c r="O1050" s="5">
        <v>7.3789999999999996</v>
      </c>
      <c r="P1050" s="6">
        <v>0.1041</v>
      </c>
      <c r="Q1050" s="5">
        <v>143345.01999999999</v>
      </c>
      <c r="R1050" s="1" t="s">
        <v>44</v>
      </c>
      <c r="S1050" s="1" t="s">
        <v>94</v>
      </c>
      <c r="T1050" s="1" t="s">
        <v>93</v>
      </c>
      <c r="V1050" s="1" t="s">
        <v>95</v>
      </c>
      <c r="Y1050" s="1" t="s">
        <v>2690</v>
      </c>
      <c r="Z1050" s="1" t="str">
        <f t="shared" si="48"/>
        <v>3250 12</v>
      </c>
      <c r="AA1050" s="3">
        <f>IF(INDEX('CAMD Facility Data 2023'!$AA$2:$AE$10000,MATCH(Z1050,'CAMD Facility Data 2023'!$AE$2:$AE$10000,0),1)&gt;0,INDEX('CAMD Facility Data 2023'!$AA$2:$AE$10000,MATCH(Z1050,'CAMD Facility Data 2023'!$AE$2:$AE$10000,0),1),"")</f>
        <v>35582</v>
      </c>
      <c r="AB1050" s="5">
        <f>IF(INDEX('CAMD Facility Data 2023'!$AC$2:$AE$10000,MATCH(Z1050,'CAMD Facility Data 2023'!$AE$2:$AE$10000,0),1)&gt;0,INDEX('CAMD Facility Data 2023'!$AC$2:$AE$10000,MATCH(Z1050,'CAMD Facility Data 2023'!$AE$2:$AE$10000,0),1),"")</f>
        <v>1965</v>
      </c>
      <c r="AC1050" s="1" t="str">
        <f>IF(INDEX('CAMD Facility Data 2023'!$AE$2:$AG$10000,MATCH(Z1050,'CAMD Facility Data 2023'!$AE$2:$AE$10000,0),3)&gt;0,INDEX('CAMD Facility Data 2023'!$AE$2:$AG$10000,MATCH(Z1050,'CAMD Facility Data 2023'!$AE$2:$AE$10000,0),3),"")</f>
        <v/>
      </c>
      <c r="AD1050" s="20">
        <f t="shared" si="49"/>
        <v>1.1764208841411163</v>
      </c>
      <c r="AE1050" s="25">
        <f t="shared" si="50"/>
        <v>8.327525067679831E-3</v>
      </c>
    </row>
    <row r="1051" spans="1:31" x14ac:dyDescent="0.2">
      <c r="A1051" s="1" t="s">
        <v>291</v>
      </c>
      <c r="B1051" s="1" t="s">
        <v>2689</v>
      </c>
      <c r="C1051" s="1">
        <v>3250</v>
      </c>
      <c r="D1051" s="1">
        <v>13</v>
      </c>
      <c r="F1051" s="1">
        <v>2023</v>
      </c>
      <c r="G1051" s="5">
        <v>156</v>
      </c>
      <c r="H1051" s="5">
        <v>131.81</v>
      </c>
      <c r="I1051" s="5">
        <v>11595.26</v>
      </c>
      <c r="K1051" s="5">
        <v>4.5999999999999999E-2</v>
      </c>
      <c r="L1051" s="5">
        <v>1E-3</v>
      </c>
      <c r="M1051" s="5">
        <v>8972.5149999999994</v>
      </c>
      <c r="N1051" s="6">
        <v>6.3899999999999998E-2</v>
      </c>
      <c r="O1051" s="5">
        <v>7.12</v>
      </c>
      <c r="P1051" s="6">
        <v>0.1045</v>
      </c>
      <c r="Q1051" s="5">
        <v>142399.83300000001</v>
      </c>
      <c r="R1051" s="1" t="s">
        <v>44</v>
      </c>
      <c r="S1051" s="1" t="s">
        <v>94</v>
      </c>
      <c r="T1051" s="1" t="s">
        <v>93</v>
      </c>
      <c r="V1051" s="1" t="s">
        <v>95</v>
      </c>
      <c r="Y1051" s="1" t="s">
        <v>2690</v>
      </c>
      <c r="Z1051" s="1" t="str">
        <f t="shared" si="48"/>
        <v>3250 13</v>
      </c>
      <c r="AA1051" s="3">
        <f>IF(INDEX('CAMD Facility Data 2023'!$AA$2:$AE$10000,MATCH(Z1051,'CAMD Facility Data 2023'!$AE$2:$AE$10000,0),1)&gt;0,INDEX('CAMD Facility Data 2023'!$AA$2:$AE$10000,MATCH(Z1051,'CAMD Facility Data 2023'!$AE$2:$AE$10000,0),1),"")</f>
        <v>35582</v>
      </c>
      <c r="AB1051" s="5">
        <f>IF(INDEX('CAMD Facility Data 2023'!$AC$2:$AE$10000,MATCH(Z1051,'CAMD Facility Data 2023'!$AE$2:$AE$10000,0),1)&gt;0,INDEX('CAMD Facility Data 2023'!$AC$2:$AE$10000,MATCH(Z1051,'CAMD Facility Data 2023'!$AE$2:$AE$10000,0),1),"")</f>
        <v>1850</v>
      </c>
      <c r="AC1051" s="1" t="str">
        <f>IF(INDEX('CAMD Facility Data 2023'!$AE$2:$AG$10000,MATCH(Z1051,'CAMD Facility Data 2023'!$AE$2:$AE$10000,0),3)&gt;0,INDEX('CAMD Facility Data 2023'!$AE$2:$AG$10000,MATCH(Z1051,'CAMD Facility Data 2023'!$AE$2:$AE$10000,0),3),"")</f>
        <v/>
      </c>
      <c r="AD1051" s="20">
        <f t="shared" si="49"/>
        <v>1.2280880290739491</v>
      </c>
      <c r="AE1051" s="25">
        <f t="shared" si="50"/>
        <v>8.7868587560162911E-3</v>
      </c>
    </row>
    <row r="1052" spans="1:31" x14ac:dyDescent="0.2">
      <c r="A1052" s="1" t="s">
        <v>291</v>
      </c>
      <c r="B1052" s="1" t="s">
        <v>2694</v>
      </c>
      <c r="C1052" s="1">
        <v>3264</v>
      </c>
      <c r="D1052" s="1">
        <v>11</v>
      </c>
      <c r="F1052" s="1">
        <v>2023</v>
      </c>
      <c r="G1052" s="5">
        <v>8073</v>
      </c>
      <c r="H1052" s="5">
        <v>8067.71</v>
      </c>
      <c r="I1052" s="5">
        <v>3098407.6</v>
      </c>
      <c r="K1052" s="5">
        <v>6.4859999999999998</v>
      </c>
      <c r="L1052" s="5">
        <v>1E-3</v>
      </c>
      <c r="M1052" s="5">
        <v>1284686.308</v>
      </c>
      <c r="N1052" s="6">
        <v>5.8999999999999997E-2</v>
      </c>
      <c r="O1052" s="5">
        <v>100.271</v>
      </c>
      <c r="P1052" s="6">
        <v>9.5999999999999992E-3</v>
      </c>
      <c r="Q1052" s="5">
        <v>21617669.75</v>
      </c>
      <c r="R1052" s="1" t="s">
        <v>44</v>
      </c>
      <c r="T1052" s="1" t="s">
        <v>71</v>
      </c>
      <c r="V1052" s="1" t="s">
        <v>64</v>
      </c>
      <c r="Y1052" s="1" t="s">
        <v>2690</v>
      </c>
      <c r="Z1052" s="1" t="str">
        <f t="shared" si="48"/>
        <v>3264 11</v>
      </c>
      <c r="AA1052" s="3">
        <f>IF(INDEX('CAMD Facility Data 2023'!$AA$2:$AE$10000,MATCH(Z1052,'CAMD Facility Data 2023'!$AE$2:$AE$10000,0),1)&gt;0,INDEX('CAMD Facility Data 2023'!$AA$2:$AE$10000,MATCH(Z1052,'CAMD Facility Data 2023'!$AE$2:$AE$10000,0),1),"")</f>
        <v>43058</v>
      </c>
      <c r="AB1052" s="5">
        <f>IF(INDEX('CAMD Facility Data 2023'!$AC$2:$AE$10000,MATCH(Z1052,'CAMD Facility Data 2023'!$AE$2:$AE$10000,0),1)&gt;0,INDEX('CAMD Facility Data 2023'!$AC$2:$AE$10000,MATCH(Z1052,'CAMD Facility Data 2023'!$AE$2:$AE$10000,0),1),"")</f>
        <v>3001</v>
      </c>
      <c r="AC1052" s="1" t="str">
        <f>IF(INDEX('CAMD Facility Data 2023'!$AE$2:$AG$10000,MATCH(Z1052,'CAMD Facility Data 2023'!$AE$2:$AE$10000,0),3)&gt;0,INDEX('CAMD Facility Data 2023'!$AE$2:$AG$10000,MATCH(Z1052,'CAMD Facility Data 2023'!$AE$2:$AE$10000,0),3),"")</f>
        <v>Y</v>
      </c>
      <c r="AD1052" s="20">
        <f t="shared" si="49"/>
        <v>6.4724215109722816E-2</v>
      </c>
      <c r="AE1052" s="25">
        <f t="shared" si="50"/>
        <v>0.8223160677795377</v>
      </c>
    </row>
    <row r="1053" spans="1:31" x14ac:dyDescent="0.2">
      <c r="A1053" s="1" t="s">
        <v>291</v>
      </c>
      <c r="B1053" s="1" t="s">
        <v>2694</v>
      </c>
      <c r="C1053" s="1">
        <v>3264</v>
      </c>
      <c r="D1053" s="1">
        <v>12</v>
      </c>
      <c r="F1053" s="1">
        <v>2023</v>
      </c>
      <c r="G1053" s="5">
        <v>8024</v>
      </c>
      <c r="H1053" s="5">
        <v>8014.29</v>
      </c>
      <c r="I1053" s="5">
        <v>3075658.22</v>
      </c>
      <c r="K1053" s="5">
        <v>6.476</v>
      </c>
      <c r="L1053" s="5">
        <v>1E-3</v>
      </c>
      <c r="M1053" s="5">
        <v>1282793.27</v>
      </c>
      <c r="N1053" s="6">
        <v>5.8999999999999997E-2</v>
      </c>
      <c r="O1053" s="5">
        <v>99.995000000000005</v>
      </c>
      <c r="P1053" s="6">
        <v>9.5999999999999992E-3</v>
      </c>
      <c r="Q1053" s="5">
        <v>21585940.465999998</v>
      </c>
      <c r="R1053" s="1" t="s">
        <v>44</v>
      </c>
      <c r="T1053" s="1" t="s">
        <v>71</v>
      </c>
      <c r="V1053" s="1" t="s">
        <v>64</v>
      </c>
      <c r="Y1053" s="1" t="s">
        <v>2690</v>
      </c>
      <c r="Z1053" s="1" t="str">
        <f t="shared" si="48"/>
        <v>3264 12</v>
      </c>
      <c r="AA1053" s="3">
        <f>IF(INDEX('CAMD Facility Data 2023'!$AA$2:$AE$10000,MATCH(Z1053,'CAMD Facility Data 2023'!$AE$2:$AE$10000,0),1)&gt;0,INDEX('CAMD Facility Data 2023'!$AA$2:$AE$10000,MATCH(Z1053,'CAMD Facility Data 2023'!$AE$2:$AE$10000,0),1),"")</f>
        <v>43057</v>
      </c>
      <c r="AB1053" s="5">
        <f>IF(INDEX('CAMD Facility Data 2023'!$AC$2:$AE$10000,MATCH(Z1053,'CAMD Facility Data 2023'!$AE$2:$AE$10000,0),1)&gt;0,INDEX('CAMD Facility Data 2023'!$AC$2:$AE$10000,MATCH(Z1053,'CAMD Facility Data 2023'!$AE$2:$AE$10000,0),1),"")</f>
        <v>3001</v>
      </c>
      <c r="AC1053" s="1" t="str">
        <f>IF(INDEX('CAMD Facility Data 2023'!$AE$2:$AG$10000,MATCH(Z1053,'CAMD Facility Data 2023'!$AE$2:$AE$10000,0),3)&gt;0,INDEX('CAMD Facility Data 2023'!$AE$2:$AG$10000,MATCH(Z1053,'CAMD Facility Data 2023'!$AE$2:$AE$10000,0),3),"")</f>
        <v>Y</v>
      </c>
      <c r="AD1053" s="20">
        <f t="shared" si="49"/>
        <v>6.5023479754522259E-2</v>
      </c>
      <c r="AE1053" s="25">
        <f t="shared" si="50"/>
        <v>0.82110911530250941</v>
      </c>
    </row>
    <row r="1054" spans="1:31" x14ac:dyDescent="0.2">
      <c r="A1054" s="1" t="s">
        <v>291</v>
      </c>
      <c r="B1054" s="1" t="s">
        <v>2694</v>
      </c>
      <c r="C1054" s="1">
        <v>3264</v>
      </c>
      <c r="D1054" s="1" t="s">
        <v>2700</v>
      </c>
      <c r="F1054" s="1">
        <v>2023</v>
      </c>
      <c r="G1054" s="5">
        <v>209</v>
      </c>
      <c r="H1054" s="5">
        <v>159.30000000000001</v>
      </c>
      <c r="I1054" s="5">
        <v>5556.49</v>
      </c>
      <c r="K1054" s="5">
        <v>1.7999999999999999E-2</v>
      </c>
      <c r="L1054" s="5">
        <v>1E-3</v>
      </c>
      <c r="M1054" s="5">
        <v>3465.1579999999999</v>
      </c>
      <c r="N1054" s="6">
        <v>6.1499999999999999E-2</v>
      </c>
      <c r="O1054" s="5">
        <v>2.62</v>
      </c>
      <c r="P1054" s="6">
        <v>9.6100000000000005E-2</v>
      </c>
      <c r="Q1054" s="5">
        <v>57306.567000000003</v>
      </c>
      <c r="R1054" s="1" t="s">
        <v>44</v>
      </c>
      <c r="S1054" s="1" t="s">
        <v>94</v>
      </c>
      <c r="T1054" s="1" t="s">
        <v>93</v>
      </c>
      <c r="V1054" s="1" t="s">
        <v>95</v>
      </c>
      <c r="Y1054" s="1" t="s">
        <v>2690</v>
      </c>
      <c r="Z1054" s="1" t="str">
        <f t="shared" si="48"/>
        <v>3264 7C</v>
      </c>
      <c r="AA1054" s="3">
        <f>IF(INDEX('CAMD Facility Data 2023'!$AA$2:$AE$10000,MATCH(Z1054,'CAMD Facility Data 2023'!$AE$2:$AE$10000,0),1)&gt;0,INDEX('CAMD Facility Data 2023'!$AA$2:$AE$10000,MATCH(Z1054,'CAMD Facility Data 2023'!$AE$2:$AE$10000,0),1),"")</f>
        <v>38936</v>
      </c>
      <c r="AB1054" s="5">
        <f>IF(INDEX('CAMD Facility Data 2023'!$AC$2:$AE$10000,MATCH(Z1054,'CAMD Facility Data 2023'!$AE$2:$AE$10000,0),1)&gt;0,INDEX('CAMD Facility Data 2023'!$AC$2:$AE$10000,MATCH(Z1054,'CAMD Facility Data 2023'!$AE$2:$AE$10000,0),1),"")</f>
        <v>480</v>
      </c>
      <c r="AC1054" s="1" t="str">
        <f>IF(INDEX('CAMD Facility Data 2023'!$AE$2:$AG$10000,MATCH(Z1054,'CAMD Facility Data 2023'!$AE$2:$AE$10000,0),3)&gt;0,INDEX('CAMD Facility Data 2023'!$AE$2:$AG$10000,MATCH(Z1054,'CAMD Facility Data 2023'!$AE$2:$AE$10000,0),3),"")</f>
        <v/>
      </c>
      <c r="AD1054" s="20">
        <f t="shared" si="49"/>
        <v>0.94304138043981001</v>
      </c>
      <c r="AE1054" s="25">
        <f t="shared" si="50"/>
        <v>1.3628844891552512E-2</v>
      </c>
    </row>
    <row r="1055" spans="1:31" x14ac:dyDescent="0.2">
      <c r="A1055" s="1" t="s">
        <v>291</v>
      </c>
      <c r="B1055" s="1" t="s">
        <v>2694</v>
      </c>
      <c r="C1055" s="1">
        <v>3264</v>
      </c>
      <c r="D1055" s="1" t="s">
        <v>834</v>
      </c>
      <c r="F1055" s="1">
        <v>2023</v>
      </c>
      <c r="G1055" s="5">
        <v>274</v>
      </c>
      <c r="H1055" s="5">
        <v>228.09</v>
      </c>
      <c r="I1055" s="5">
        <v>5440.26</v>
      </c>
      <c r="K1055" s="5">
        <v>2.1000000000000001E-2</v>
      </c>
      <c r="L1055" s="5">
        <v>1E-3</v>
      </c>
      <c r="M1055" s="5">
        <v>3967.636</v>
      </c>
      <c r="N1055" s="6">
        <v>6.7299999999999999E-2</v>
      </c>
      <c r="O1055" s="5">
        <v>3.08</v>
      </c>
      <c r="P1055" s="6">
        <v>0.11269999999999999</v>
      </c>
      <c r="Q1055" s="5">
        <v>62961.483</v>
      </c>
      <c r="R1055" s="1" t="s">
        <v>44</v>
      </c>
      <c r="S1055" s="1" t="s">
        <v>94</v>
      </c>
      <c r="T1055" s="1" t="s">
        <v>93</v>
      </c>
      <c r="V1055" s="1" t="s">
        <v>95</v>
      </c>
      <c r="Y1055" s="1" t="s">
        <v>2690</v>
      </c>
      <c r="Z1055" s="1" t="str">
        <f t="shared" si="48"/>
        <v>3264 8C</v>
      </c>
      <c r="AA1055" s="3">
        <f>IF(INDEX('CAMD Facility Data 2023'!$AA$2:$AE$10000,MATCH(Z1055,'CAMD Facility Data 2023'!$AE$2:$AE$10000,0),1)&gt;0,INDEX('CAMD Facility Data 2023'!$AA$2:$AE$10000,MATCH(Z1055,'CAMD Facility Data 2023'!$AE$2:$AE$10000,0),1),"")</f>
        <v>38934</v>
      </c>
      <c r="AB1055" s="5">
        <f>IF(INDEX('CAMD Facility Data 2023'!$AC$2:$AE$10000,MATCH(Z1055,'CAMD Facility Data 2023'!$AE$2:$AE$10000,0),1)&gt;0,INDEX('CAMD Facility Data 2023'!$AC$2:$AE$10000,MATCH(Z1055,'CAMD Facility Data 2023'!$AE$2:$AE$10000,0),1),"")</f>
        <v>480</v>
      </c>
      <c r="AC1055" s="1" t="str">
        <f>IF(INDEX('CAMD Facility Data 2023'!$AE$2:$AG$10000,MATCH(Z1055,'CAMD Facility Data 2023'!$AE$2:$AE$10000,0),3)&gt;0,INDEX('CAMD Facility Data 2023'!$AE$2:$AG$10000,MATCH(Z1055,'CAMD Facility Data 2023'!$AE$2:$AE$10000,0),3),"")</f>
        <v/>
      </c>
      <c r="AD1055" s="20">
        <f t="shared" si="49"/>
        <v>1.132298823953267</v>
      </c>
      <c r="AE1055" s="25">
        <f t="shared" si="50"/>
        <v>1.4973716466894977E-2</v>
      </c>
    </row>
    <row r="1056" spans="1:31" x14ac:dyDescent="0.2">
      <c r="A1056" s="1" t="s">
        <v>291</v>
      </c>
      <c r="B1056" s="1" t="s">
        <v>2703</v>
      </c>
      <c r="C1056" s="1">
        <v>3285</v>
      </c>
      <c r="D1056" s="1" t="s">
        <v>2704</v>
      </c>
      <c r="F1056" s="1">
        <v>2023</v>
      </c>
      <c r="G1056" s="5">
        <v>325</v>
      </c>
      <c r="H1056" s="5">
        <v>265.8</v>
      </c>
      <c r="I1056" s="5">
        <v>17468.8</v>
      </c>
      <c r="K1056" s="5">
        <v>8.1000000000000003E-2</v>
      </c>
      <c r="L1056" s="5">
        <v>1E-3</v>
      </c>
      <c r="M1056" s="5">
        <v>16372.208000000001</v>
      </c>
      <c r="N1056" s="6">
        <v>8.5800000000000001E-2</v>
      </c>
      <c r="O1056" s="5">
        <v>17.239999999999998</v>
      </c>
      <c r="P1056" s="6">
        <v>0.1447</v>
      </c>
      <c r="Q1056" s="5">
        <v>242190.101</v>
      </c>
      <c r="R1056" s="1" t="s">
        <v>44</v>
      </c>
      <c r="S1056" s="1" t="s">
        <v>94</v>
      </c>
      <c r="T1056" s="1" t="s">
        <v>93</v>
      </c>
      <c r="V1056" s="1" t="s">
        <v>95</v>
      </c>
      <c r="Y1056" s="1" t="s">
        <v>2690</v>
      </c>
      <c r="Z1056" s="1" t="str">
        <f t="shared" si="48"/>
        <v>3285 HAG4</v>
      </c>
      <c r="AA1056" s="3">
        <f>IF(INDEX('CAMD Facility Data 2023'!$AA$2:$AE$10000,MATCH(Z1056,'CAMD Facility Data 2023'!$AE$2:$AE$10000,0),1)&gt;0,INDEX('CAMD Facility Data 2023'!$AA$2:$AE$10000,MATCH(Z1056,'CAMD Facility Data 2023'!$AE$2:$AE$10000,0),1),"")</f>
        <v>33239</v>
      </c>
      <c r="AB1056" s="5">
        <f>IF(INDEX('CAMD Facility Data 2023'!$AC$2:$AE$10000,MATCH(Z1056,'CAMD Facility Data 2023'!$AE$2:$AE$10000,0),1)&gt;0,INDEX('CAMD Facility Data 2023'!$AC$2:$AE$10000,MATCH(Z1056,'CAMD Facility Data 2023'!$AE$2:$AE$10000,0),1),"")</f>
        <v>1296.7</v>
      </c>
      <c r="AC1056" s="1" t="str">
        <f>IF(INDEX('CAMD Facility Data 2023'!$AE$2:$AG$10000,MATCH(Z1056,'CAMD Facility Data 2023'!$AE$2:$AE$10000,0),3)&gt;0,INDEX('CAMD Facility Data 2023'!$AE$2:$AG$10000,MATCH(Z1056,'CAMD Facility Data 2023'!$AE$2:$AE$10000,0),3),"")</f>
        <v/>
      </c>
      <c r="AD1056" s="20">
        <f t="shared" si="49"/>
        <v>1.9738047261403189</v>
      </c>
      <c r="AE1056" s="25">
        <f t="shared" si="50"/>
        <v>2.1321255343296805E-2</v>
      </c>
    </row>
    <row r="1057" spans="1:31" x14ac:dyDescent="0.2">
      <c r="A1057" s="1" t="s">
        <v>291</v>
      </c>
      <c r="B1057" s="1" t="s">
        <v>2709</v>
      </c>
      <c r="C1057" s="1">
        <v>3287</v>
      </c>
      <c r="D1057" s="1" t="s">
        <v>2710</v>
      </c>
      <c r="F1057" s="1">
        <v>2023</v>
      </c>
      <c r="G1057" s="5">
        <v>3563</v>
      </c>
      <c r="H1057" s="5">
        <v>3559.9</v>
      </c>
      <c r="I1057" s="5">
        <v>341395.11</v>
      </c>
      <c r="K1057" s="5">
        <v>0.878</v>
      </c>
      <c r="L1057" s="5">
        <v>1E-3</v>
      </c>
      <c r="M1057" s="5">
        <v>175152.92300000001</v>
      </c>
      <c r="N1057" s="6">
        <v>5.8999999999999997E-2</v>
      </c>
      <c r="O1057" s="5">
        <v>108.88800000000001</v>
      </c>
      <c r="P1057" s="6">
        <v>8.2299999999999998E-2</v>
      </c>
      <c r="Q1057" s="5">
        <v>2954636.62</v>
      </c>
      <c r="R1057" s="1" t="s">
        <v>44</v>
      </c>
      <c r="T1057" s="1" t="s">
        <v>43</v>
      </c>
      <c r="V1057" s="1" t="s">
        <v>242</v>
      </c>
      <c r="W1057" s="1" t="s">
        <v>232</v>
      </c>
      <c r="Y1057" s="1" t="s">
        <v>2690</v>
      </c>
      <c r="Z1057" s="1" t="str">
        <f t="shared" si="48"/>
        <v>3287 MCM1</v>
      </c>
      <c r="AA1057" s="3">
        <f>IF(INDEX('CAMD Facility Data 2023'!$AA$2:$AE$10000,MATCH(Z1057,'CAMD Facility Data 2023'!$AE$2:$AE$10000,0),1)&gt;0,INDEX('CAMD Facility Data 2023'!$AA$2:$AE$10000,MATCH(Z1057,'CAMD Facility Data 2023'!$AE$2:$AE$10000,0),1),"")</f>
        <v>21186</v>
      </c>
      <c r="AB1057" s="5">
        <f>IF(INDEX('CAMD Facility Data 2023'!$AC$2:$AE$10000,MATCH(Z1057,'CAMD Facility Data 2023'!$AE$2:$AE$10000,0),1)&gt;0,INDEX('CAMD Facility Data 2023'!$AC$2:$AE$10000,MATCH(Z1057,'CAMD Facility Data 2023'!$AE$2:$AE$10000,0),1),"")</f>
        <v>1352</v>
      </c>
      <c r="AC1057" s="1" t="str">
        <f>IF(INDEX('CAMD Facility Data 2023'!$AE$2:$AG$10000,MATCH(Z1057,'CAMD Facility Data 2023'!$AE$2:$AE$10000,0),3)&gt;0,INDEX('CAMD Facility Data 2023'!$AE$2:$AG$10000,MATCH(Z1057,'CAMD Facility Data 2023'!$AE$2:$AE$10000,0),3),"")</f>
        <v/>
      </c>
      <c r="AD1057" s="20">
        <f t="shared" si="49"/>
        <v>0.63790017378983555</v>
      </c>
      <c r="AE1057" s="25">
        <f t="shared" si="50"/>
        <v>0.24947284422198807</v>
      </c>
    </row>
    <row r="1058" spans="1:31" x14ac:dyDescent="0.2">
      <c r="A1058" s="1" t="s">
        <v>291</v>
      </c>
      <c r="B1058" s="1" t="s">
        <v>2709</v>
      </c>
      <c r="C1058" s="1">
        <v>3287</v>
      </c>
      <c r="D1058" s="1" t="s">
        <v>2714</v>
      </c>
      <c r="F1058" s="1">
        <v>2023</v>
      </c>
      <c r="G1058" s="5">
        <v>4625</v>
      </c>
      <c r="H1058" s="5">
        <v>4620.8100000000004</v>
      </c>
      <c r="I1058" s="5">
        <v>440949.85</v>
      </c>
      <c r="K1058" s="5">
        <v>1.1419999999999999</v>
      </c>
      <c r="L1058" s="5">
        <v>1E-3</v>
      </c>
      <c r="M1058" s="5">
        <v>227691.40400000001</v>
      </c>
      <c r="N1058" s="6">
        <v>5.8999999999999997E-2</v>
      </c>
      <c r="O1058" s="5">
        <v>135.55000000000001</v>
      </c>
      <c r="P1058" s="6">
        <v>8.5800000000000001E-2</v>
      </c>
      <c r="Q1058" s="5">
        <v>3840987.0419999999</v>
      </c>
      <c r="R1058" s="1" t="s">
        <v>44</v>
      </c>
      <c r="T1058" s="1" t="s">
        <v>43</v>
      </c>
      <c r="V1058" s="1" t="s">
        <v>242</v>
      </c>
      <c r="W1058" s="1" t="s">
        <v>232</v>
      </c>
      <c r="Y1058" s="1" t="s">
        <v>2690</v>
      </c>
      <c r="Z1058" s="1" t="str">
        <f t="shared" si="48"/>
        <v>3287 MCM2</v>
      </c>
      <c r="AA1058" s="3">
        <f>IF(INDEX('CAMD Facility Data 2023'!$AA$2:$AE$10000,MATCH(Z1058,'CAMD Facility Data 2023'!$AE$2:$AE$10000,0),1)&gt;0,INDEX('CAMD Facility Data 2023'!$AA$2:$AE$10000,MATCH(Z1058,'CAMD Facility Data 2023'!$AE$2:$AE$10000,0),1),"")</f>
        <v>21186</v>
      </c>
      <c r="AB1058" s="5">
        <f>IF(INDEX('CAMD Facility Data 2023'!$AC$2:$AE$10000,MATCH(Z1058,'CAMD Facility Data 2023'!$AE$2:$AE$10000,0),1)&gt;0,INDEX('CAMD Facility Data 2023'!$AC$2:$AE$10000,MATCH(Z1058,'CAMD Facility Data 2023'!$AE$2:$AE$10000,0),1),"")</f>
        <v>1434</v>
      </c>
      <c r="AC1058" s="1" t="str">
        <f>IF(INDEX('CAMD Facility Data 2023'!$AE$2:$AG$10000,MATCH(Z1058,'CAMD Facility Data 2023'!$AE$2:$AE$10000,0),3)&gt;0,INDEX('CAMD Facility Data 2023'!$AE$2:$AG$10000,MATCH(Z1058,'CAMD Facility Data 2023'!$AE$2:$AE$10000,0),3),"")</f>
        <v/>
      </c>
      <c r="AD1058" s="20">
        <f t="shared" si="49"/>
        <v>0.61480914439589907</v>
      </c>
      <c r="AE1058" s="25">
        <f t="shared" si="50"/>
        <v>0.30576627643720983</v>
      </c>
    </row>
    <row r="1059" spans="1:31" x14ac:dyDescent="0.2">
      <c r="A1059" s="1" t="s">
        <v>291</v>
      </c>
      <c r="B1059" s="1" t="s">
        <v>2716</v>
      </c>
      <c r="C1059" s="1">
        <v>3295</v>
      </c>
      <c r="D1059" s="1" t="s">
        <v>2717</v>
      </c>
      <c r="F1059" s="1">
        <v>2023</v>
      </c>
      <c r="G1059" s="5">
        <v>1855</v>
      </c>
      <c r="H1059" s="5">
        <v>1844.66</v>
      </c>
      <c r="I1059" s="5">
        <v>103818.25</v>
      </c>
      <c r="K1059" s="5">
        <v>0.35299999999999998</v>
      </c>
      <c r="L1059" s="5">
        <v>8.9999999999999998E-4</v>
      </c>
      <c r="M1059" s="5">
        <v>67724.320999999996</v>
      </c>
      <c r="N1059" s="6">
        <v>5.8799999999999998E-2</v>
      </c>
      <c r="O1059" s="5">
        <v>46.595999999999997</v>
      </c>
      <c r="P1059" s="6">
        <v>8.4199999999999997E-2</v>
      </c>
      <c r="Q1059" s="5">
        <v>1142494.821</v>
      </c>
      <c r="R1059" s="1" t="s">
        <v>44</v>
      </c>
      <c r="T1059" s="1" t="s">
        <v>43</v>
      </c>
      <c r="V1059" s="1" t="s">
        <v>242</v>
      </c>
      <c r="Y1059" s="1" t="s">
        <v>2690</v>
      </c>
      <c r="Z1059" s="1" t="str">
        <f t="shared" si="48"/>
        <v>3295 URQ3</v>
      </c>
      <c r="AA1059" s="3">
        <f>IF(INDEX('CAMD Facility Data 2023'!$AA$2:$AE$10000,MATCH(Z1059,'CAMD Facility Data 2023'!$AE$2:$AE$10000,0),1)&gt;0,INDEX('CAMD Facility Data 2023'!$AA$2:$AE$10000,MATCH(Z1059,'CAMD Facility Data 2023'!$AE$2:$AE$10000,0),1),"")</f>
        <v>20090</v>
      </c>
      <c r="AB1059" s="5">
        <f>IF(INDEX('CAMD Facility Data 2023'!$AC$2:$AE$10000,MATCH(Z1059,'CAMD Facility Data 2023'!$AE$2:$AE$10000,0),1)&gt;0,INDEX('CAMD Facility Data 2023'!$AC$2:$AE$10000,MATCH(Z1059,'CAMD Facility Data 2023'!$AE$2:$AE$10000,0),1),"")</f>
        <v>1201</v>
      </c>
      <c r="AC1059" s="1" t="str">
        <f>IF(INDEX('CAMD Facility Data 2023'!$AE$2:$AG$10000,MATCH(Z1059,'CAMD Facility Data 2023'!$AE$2:$AE$10000,0),3)&gt;0,INDEX('CAMD Facility Data 2023'!$AE$2:$AG$10000,MATCH(Z1059,'CAMD Facility Data 2023'!$AE$2:$AE$10000,0),3),"")</f>
        <v/>
      </c>
      <c r="AD1059" s="20">
        <f t="shared" si="49"/>
        <v>0.89764564515391077</v>
      </c>
      <c r="AE1059" s="25">
        <f t="shared" si="50"/>
        <v>0.10859432407924903</v>
      </c>
    </row>
    <row r="1060" spans="1:31" x14ac:dyDescent="0.2">
      <c r="A1060" s="1" t="s">
        <v>291</v>
      </c>
      <c r="B1060" s="1" t="s">
        <v>2716</v>
      </c>
      <c r="C1060" s="1">
        <v>3295</v>
      </c>
      <c r="D1060" s="1" t="s">
        <v>2720</v>
      </c>
      <c r="F1060" s="1">
        <v>2023</v>
      </c>
      <c r="G1060" s="5">
        <v>56</v>
      </c>
      <c r="H1060" s="5">
        <v>34.630000000000003</v>
      </c>
      <c r="I1060" s="5">
        <v>1306.05</v>
      </c>
      <c r="K1060" s="5">
        <v>5.0000000000000001E-3</v>
      </c>
      <c r="L1060" s="5">
        <v>1E-3</v>
      </c>
      <c r="M1060" s="5">
        <v>1040.2</v>
      </c>
      <c r="N1060" s="6">
        <v>8.0699999999999994E-2</v>
      </c>
      <c r="O1060" s="5">
        <v>0.80800000000000005</v>
      </c>
      <c r="P1060" s="6">
        <v>0.1003</v>
      </c>
      <c r="Q1060" s="5">
        <v>15515.513999999999</v>
      </c>
      <c r="R1060" s="1" t="s">
        <v>44</v>
      </c>
      <c r="S1060" s="1" t="s">
        <v>94</v>
      </c>
      <c r="T1060" s="1" t="s">
        <v>93</v>
      </c>
      <c r="V1060" s="1" t="s">
        <v>95</v>
      </c>
      <c r="Y1060" s="1" t="s">
        <v>2690</v>
      </c>
      <c r="Z1060" s="1" t="str">
        <f t="shared" si="48"/>
        <v>3295 URQ4</v>
      </c>
      <c r="AA1060" s="3">
        <f>IF(INDEX('CAMD Facility Data 2023'!$AA$2:$AE$10000,MATCH(Z1060,'CAMD Facility Data 2023'!$AE$2:$AE$10000,0),1)&gt;0,INDEX('CAMD Facility Data 2023'!$AA$2:$AE$10000,MATCH(Z1060,'CAMD Facility Data 2023'!$AE$2:$AE$10000,0),1),"")</f>
        <v>36312</v>
      </c>
      <c r="AB1060" s="5">
        <f>IF(INDEX('CAMD Facility Data 2023'!$AC$2:$AE$10000,MATCH(Z1060,'CAMD Facility Data 2023'!$AE$2:$AE$10000,0),1)&gt;0,INDEX('CAMD Facility Data 2023'!$AC$2:$AE$10000,MATCH(Z1060,'CAMD Facility Data 2023'!$AE$2:$AE$10000,0),1),"")</f>
        <v>570</v>
      </c>
      <c r="AC1060" s="1" t="str">
        <f>IF(INDEX('CAMD Facility Data 2023'!$AE$2:$AG$10000,MATCH(Z1060,'CAMD Facility Data 2023'!$AE$2:$AE$10000,0),3)&gt;0,INDEX('CAMD Facility Data 2023'!$AE$2:$AG$10000,MATCH(Z1060,'CAMD Facility Data 2023'!$AE$2:$AE$10000,0),3),"")</f>
        <v/>
      </c>
      <c r="AD1060" s="20">
        <f t="shared" si="49"/>
        <v>1.2373186325178975</v>
      </c>
      <c r="AE1060" s="25">
        <f t="shared" si="50"/>
        <v>3.1073287671232875E-3</v>
      </c>
    </row>
    <row r="1061" spans="1:31" x14ac:dyDescent="0.2">
      <c r="A1061" s="1" t="s">
        <v>291</v>
      </c>
      <c r="B1061" s="1" t="s">
        <v>2716</v>
      </c>
      <c r="C1061" s="1">
        <v>3295</v>
      </c>
      <c r="D1061" s="1" t="s">
        <v>2722</v>
      </c>
      <c r="F1061" s="1">
        <v>2023</v>
      </c>
      <c r="G1061" s="5">
        <v>5553</v>
      </c>
      <c r="H1061" s="5">
        <v>5540.09</v>
      </c>
      <c r="I1061" s="5">
        <v>668230.82999999996</v>
      </c>
      <c r="K1061" s="5">
        <v>2.2610000000000001</v>
      </c>
      <c r="L1061" s="5">
        <v>1E-3</v>
      </c>
      <c r="M1061" s="5">
        <v>447870.89299999998</v>
      </c>
      <c r="N1061" s="6">
        <v>5.8999999999999997E-2</v>
      </c>
      <c r="O1061" s="5">
        <v>93.326999999999998</v>
      </c>
      <c r="P1061" s="6">
        <v>2.6700000000000002E-2</v>
      </c>
      <c r="Q1061" s="5">
        <v>7536017.6730000004</v>
      </c>
      <c r="R1061" s="1" t="s">
        <v>44</v>
      </c>
      <c r="S1061" s="1" t="s">
        <v>94</v>
      </c>
      <c r="T1061" s="1" t="s">
        <v>71</v>
      </c>
      <c r="V1061" s="1" t="s">
        <v>183</v>
      </c>
      <c r="Y1061" s="1" t="s">
        <v>2690</v>
      </c>
      <c r="Z1061" s="1" t="str">
        <f t="shared" si="48"/>
        <v>3295 URQ5</v>
      </c>
      <c r="AA1061" s="3">
        <f>IF(INDEX('CAMD Facility Data 2023'!$AA$2:$AE$10000,MATCH(Z1061,'CAMD Facility Data 2023'!$AE$2:$AE$10000,0),1)&gt;0,INDEX('CAMD Facility Data 2023'!$AA$2:$AE$10000,MATCH(Z1061,'CAMD Facility Data 2023'!$AE$2:$AE$10000,0),1),"")</f>
        <v>37288</v>
      </c>
      <c r="AB1061" s="5">
        <f>IF(INDEX('CAMD Facility Data 2023'!$AC$2:$AE$10000,MATCH(Z1061,'CAMD Facility Data 2023'!$AE$2:$AE$10000,0),1)&gt;0,INDEX('CAMD Facility Data 2023'!$AC$2:$AE$10000,MATCH(Z1061,'CAMD Facility Data 2023'!$AE$2:$AE$10000,0),1),"")</f>
        <v>1850</v>
      </c>
      <c r="AC1061" s="1" t="str">
        <f>IF(INDEX('CAMD Facility Data 2023'!$AE$2:$AG$10000,MATCH(Z1061,'CAMD Facility Data 2023'!$AE$2:$AE$10000,0),3)&gt;0,INDEX('CAMD Facility Data 2023'!$AE$2:$AG$10000,MATCH(Z1061,'CAMD Facility Data 2023'!$AE$2:$AE$10000,0),3),"")</f>
        <v/>
      </c>
      <c r="AD1061" s="20">
        <f t="shared" si="49"/>
        <v>0.27932563362872681</v>
      </c>
      <c r="AE1061" s="25">
        <f t="shared" si="50"/>
        <v>0.46501404868567198</v>
      </c>
    </row>
    <row r="1062" spans="1:31" x14ac:dyDescent="0.2">
      <c r="A1062" s="1" t="s">
        <v>291</v>
      </c>
      <c r="B1062" s="1" t="s">
        <v>2716</v>
      </c>
      <c r="C1062" s="1">
        <v>3295</v>
      </c>
      <c r="D1062" s="1" t="s">
        <v>2724</v>
      </c>
      <c r="F1062" s="1">
        <v>2023</v>
      </c>
      <c r="G1062" s="5">
        <v>5459</v>
      </c>
      <c r="H1062" s="5">
        <v>5446.08</v>
      </c>
      <c r="I1062" s="5">
        <v>654501.17000000004</v>
      </c>
      <c r="K1062" s="5">
        <v>2.2320000000000002</v>
      </c>
      <c r="L1062" s="5">
        <v>1E-3</v>
      </c>
      <c r="M1062" s="5">
        <v>441797.30800000002</v>
      </c>
      <c r="N1062" s="6">
        <v>5.8999999999999997E-2</v>
      </c>
      <c r="O1062" s="5">
        <v>83.855000000000004</v>
      </c>
      <c r="P1062" s="6">
        <v>2.4500000000000001E-2</v>
      </c>
      <c r="Q1062" s="5">
        <v>7432034.7800000003</v>
      </c>
      <c r="R1062" s="1" t="s">
        <v>44</v>
      </c>
      <c r="S1062" s="1" t="s">
        <v>94</v>
      </c>
      <c r="T1062" s="1" t="s">
        <v>71</v>
      </c>
      <c r="V1062" s="1" t="s">
        <v>183</v>
      </c>
      <c r="Y1062" s="1" t="s">
        <v>2690</v>
      </c>
      <c r="Z1062" s="1" t="str">
        <f t="shared" si="48"/>
        <v>3295 URQ6</v>
      </c>
      <c r="AA1062" s="3">
        <f>IF(INDEX('CAMD Facility Data 2023'!$AA$2:$AE$10000,MATCH(Z1062,'CAMD Facility Data 2023'!$AE$2:$AE$10000,0),1)&gt;0,INDEX('CAMD Facility Data 2023'!$AA$2:$AE$10000,MATCH(Z1062,'CAMD Facility Data 2023'!$AE$2:$AE$10000,0),1),"")</f>
        <v>37288</v>
      </c>
      <c r="AB1062" s="5">
        <f>IF(INDEX('CAMD Facility Data 2023'!$AC$2:$AE$10000,MATCH(Z1062,'CAMD Facility Data 2023'!$AE$2:$AE$10000,0),1)&gt;0,INDEX('CAMD Facility Data 2023'!$AC$2:$AE$10000,MATCH(Z1062,'CAMD Facility Data 2023'!$AE$2:$AE$10000,0),1),"")</f>
        <v>1884</v>
      </c>
      <c r="AC1062" s="1" t="str">
        <f>IF(INDEX('CAMD Facility Data 2023'!$AE$2:$AG$10000,MATCH(Z1062,'CAMD Facility Data 2023'!$AE$2:$AE$10000,0),3)&gt;0,INDEX('CAMD Facility Data 2023'!$AE$2:$AG$10000,MATCH(Z1062,'CAMD Facility Data 2023'!$AE$2:$AE$10000,0),3),"")</f>
        <v/>
      </c>
      <c r="AD1062" s="20">
        <f t="shared" si="49"/>
        <v>0.25624094759066662</v>
      </c>
      <c r="AE1062" s="25">
        <f t="shared" si="50"/>
        <v>0.45032154819726805</v>
      </c>
    </row>
    <row r="1063" spans="1:31" x14ac:dyDescent="0.2">
      <c r="A1063" s="1" t="s">
        <v>291</v>
      </c>
      <c r="B1063" s="1" t="s">
        <v>2726</v>
      </c>
      <c r="C1063" s="1">
        <v>3297</v>
      </c>
      <c r="D1063" s="1" t="s">
        <v>2727</v>
      </c>
      <c r="E1063" s="1" t="s">
        <v>2728</v>
      </c>
      <c r="F1063" s="1">
        <v>2023</v>
      </c>
      <c r="G1063" s="5">
        <v>2132</v>
      </c>
      <c r="H1063" s="5">
        <v>2128.4499999999998</v>
      </c>
      <c r="I1063" s="5">
        <v>478107.36</v>
      </c>
      <c r="K1063" s="5">
        <v>72.012</v>
      </c>
      <c r="L1063" s="5">
        <v>3.1199999999999999E-2</v>
      </c>
      <c r="M1063" s="5">
        <v>450320.42499999999</v>
      </c>
      <c r="N1063" s="6">
        <v>0.10299999999999999</v>
      </c>
      <c r="O1063" s="5">
        <v>233.99299999999999</v>
      </c>
      <c r="P1063" s="6">
        <v>0.1047</v>
      </c>
      <c r="Q1063" s="5">
        <v>4389098.432</v>
      </c>
      <c r="R1063" s="1" t="s">
        <v>55</v>
      </c>
      <c r="S1063" s="1" t="s">
        <v>173</v>
      </c>
      <c r="T1063" s="1" t="s">
        <v>89</v>
      </c>
      <c r="U1063" s="1" t="s">
        <v>56</v>
      </c>
      <c r="V1063" s="1" t="s">
        <v>639</v>
      </c>
      <c r="W1063" s="1" t="s">
        <v>123</v>
      </c>
      <c r="Y1063" s="1" t="s">
        <v>293</v>
      </c>
      <c r="Z1063" s="1" t="str">
        <f t="shared" si="48"/>
        <v>3297 WAT1</v>
      </c>
      <c r="AA1063" s="3">
        <f>IF(INDEX('CAMD Facility Data 2023'!$AA$2:$AE$10000,MATCH(Z1063,'CAMD Facility Data 2023'!$AE$2:$AE$10000,0),1)&gt;0,INDEX('CAMD Facility Data 2023'!$AA$2:$AE$10000,MATCH(Z1063,'CAMD Facility Data 2023'!$AE$2:$AE$10000,0),1),"")</f>
        <v>25569</v>
      </c>
      <c r="AB1063" s="5">
        <f>IF(INDEX('CAMD Facility Data 2023'!$AC$2:$AE$10000,MATCH(Z1063,'CAMD Facility Data 2023'!$AE$2:$AE$10000,0),1)&gt;0,INDEX('CAMD Facility Data 2023'!$AC$2:$AE$10000,MATCH(Z1063,'CAMD Facility Data 2023'!$AE$2:$AE$10000,0),1),"")</f>
        <v>4300</v>
      </c>
      <c r="AC1063" s="1" t="str">
        <f>IF(INDEX('CAMD Facility Data 2023'!$AE$2:$AG$10000,MATCH(Z1063,'CAMD Facility Data 2023'!$AE$2:$AE$10000,0),3)&gt;0,INDEX('CAMD Facility Data 2023'!$AE$2:$AG$10000,MATCH(Z1063,'CAMD Facility Data 2023'!$AE$2:$AE$10000,0),3),"")</f>
        <v>Y</v>
      </c>
      <c r="AD1063" s="20">
        <f t="shared" si="49"/>
        <v>0.97883036144852487</v>
      </c>
      <c r="AE1063" s="25">
        <f t="shared" si="50"/>
        <v>0.1165206125092917</v>
      </c>
    </row>
    <row r="1064" spans="1:31" x14ac:dyDescent="0.2">
      <c r="A1064" s="1" t="s">
        <v>291</v>
      </c>
      <c r="B1064" s="1" t="s">
        <v>2726</v>
      </c>
      <c r="C1064" s="1">
        <v>3297</v>
      </c>
      <c r="D1064" s="1" t="s">
        <v>2732</v>
      </c>
      <c r="E1064" s="1" t="s">
        <v>2733</v>
      </c>
      <c r="F1064" s="1">
        <v>2023</v>
      </c>
      <c r="G1064" s="5">
        <v>6277</v>
      </c>
      <c r="H1064" s="5">
        <v>6258.35</v>
      </c>
      <c r="I1064" s="5">
        <v>1439342</v>
      </c>
      <c r="K1064" s="5">
        <v>194.46100000000001</v>
      </c>
      <c r="L1064" s="5">
        <v>3.6400000000000002E-2</v>
      </c>
      <c r="M1064" s="5">
        <v>1339991.075</v>
      </c>
      <c r="N1064" s="6">
        <v>0.1028</v>
      </c>
      <c r="O1064" s="5">
        <v>684.15300000000002</v>
      </c>
      <c r="P1064" s="6">
        <v>0.1053</v>
      </c>
      <c r="Q1064" s="5">
        <v>13060352.825999999</v>
      </c>
      <c r="R1064" s="1" t="s">
        <v>55</v>
      </c>
      <c r="S1064" s="1" t="s">
        <v>173</v>
      </c>
      <c r="T1064" s="1" t="s">
        <v>89</v>
      </c>
      <c r="U1064" s="1" t="s">
        <v>56</v>
      </c>
      <c r="V1064" s="1" t="s">
        <v>639</v>
      </c>
      <c r="W1064" s="1" t="s">
        <v>232</v>
      </c>
      <c r="Y1064" s="1" t="s">
        <v>293</v>
      </c>
      <c r="Z1064" s="1" t="str">
        <f t="shared" si="48"/>
        <v>3297 WAT2</v>
      </c>
      <c r="AA1064" s="3">
        <f>IF(INDEX('CAMD Facility Data 2023'!$AA$2:$AE$10000,MATCH(Z1064,'CAMD Facility Data 2023'!$AE$2:$AE$10000,0),1)&gt;0,INDEX('CAMD Facility Data 2023'!$AA$2:$AE$10000,MATCH(Z1064,'CAMD Facility Data 2023'!$AE$2:$AE$10000,0),1),"")</f>
        <v>25934</v>
      </c>
      <c r="AB1064" s="5">
        <f>IF(INDEX('CAMD Facility Data 2023'!$AC$2:$AE$10000,MATCH(Z1064,'CAMD Facility Data 2023'!$AE$2:$AE$10000,0),1)&gt;0,INDEX('CAMD Facility Data 2023'!$AC$2:$AE$10000,MATCH(Z1064,'CAMD Facility Data 2023'!$AE$2:$AE$10000,0),1),"")</f>
        <v>4456</v>
      </c>
      <c r="AC1064" s="1" t="str">
        <f>IF(INDEX('CAMD Facility Data 2023'!$AE$2:$AG$10000,MATCH(Z1064,'CAMD Facility Data 2023'!$AE$2:$AE$10000,0),3)&gt;0,INDEX('CAMD Facility Data 2023'!$AE$2:$AG$10000,MATCH(Z1064,'CAMD Facility Data 2023'!$AE$2:$AE$10000,0),3),"")</f>
        <v>Y</v>
      </c>
      <c r="AD1064" s="20">
        <f t="shared" si="49"/>
        <v>0.95064689281630077</v>
      </c>
      <c r="AE1064" s="25">
        <f t="shared" si="50"/>
        <v>0.33458434848503477</v>
      </c>
    </row>
    <row r="1065" spans="1:31" x14ac:dyDescent="0.2">
      <c r="A1065" s="1" t="s">
        <v>291</v>
      </c>
      <c r="B1065" s="1" t="s">
        <v>2735</v>
      </c>
      <c r="C1065" s="1">
        <v>3298</v>
      </c>
      <c r="D1065" s="1" t="s">
        <v>2736</v>
      </c>
      <c r="F1065" s="1">
        <v>2023</v>
      </c>
      <c r="G1065" s="5">
        <v>6645</v>
      </c>
      <c r="H1065" s="5">
        <v>6635.51</v>
      </c>
      <c r="I1065" s="5">
        <v>2166731.14</v>
      </c>
      <c r="K1065" s="5">
        <v>520.47699999999998</v>
      </c>
      <c r="L1065" s="5">
        <v>4.5999999999999999E-2</v>
      </c>
      <c r="M1065" s="5">
        <v>2210026.9649999999</v>
      </c>
      <c r="N1065" s="6">
        <v>0.10299999999999999</v>
      </c>
      <c r="O1065" s="5">
        <v>2568.6439999999998</v>
      </c>
      <c r="P1065" s="6">
        <v>0.2477</v>
      </c>
      <c r="Q1065" s="5">
        <v>21540248.682999998</v>
      </c>
      <c r="R1065" s="1" t="s">
        <v>55</v>
      </c>
      <c r="S1065" s="1" t="s">
        <v>173</v>
      </c>
      <c r="T1065" s="1" t="s">
        <v>43</v>
      </c>
      <c r="U1065" s="1" t="s">
        <v>56</v>
      </c>
      <c r="V1065" s="1" t="s">
        <v>2278</v>
      </c>
      <c r="W1065" s="1" t="s">
        <v>58</v>
      </c>
      <c r="Y1065" s="1" t="s">
        <v>293</v>
      </c>
      <c r="Z1065" s="1" t="str">
        <f t="shared" si="48"/>
        <v>3298 WIL1</v>
      </c>
      <c r="AA1065" s="3">
        <f>IF(INDEX('CAMD Facility Data 2023'!$AA$2:$AE$10000,MATCH(Z1065,'CAMD Facility Data 2023'!$AE$2:$AE$10000,0),1)&gt;0,INDEX('CAMD Facility Data 2023'!$AA$2:$AE$10000,MATCH(Z1065,'CAMD Facility Data 2023'!$AE$2:$AE$10000,0),1),"")</f>
        <v>26665</v>
      </c>
      <c r="AB1065" s="5">
        <f>IF(INDEX('CAMD Facility Data 2023'!$AC$2:$AE$10000,MATCH(Z1065,'CAMD Facility Data 2023'!$AE$2:$AE$10000,0),1)&gt;0,INDEX('CAMD Facility Data 2023'!$AC$2:$AE$10000,MATCH(Z1065,'CAMD Facility Data 2023'!$AE$2:$AE$10000,0),1),"")</f>
        <v>7077</v>
      </c>
      <c r="AC1065" s="1" t="str">
        <f>IF(INDEX('CAMD Facility Data 2023'!$AE$2:$AG$10000,MATCH(Z1065,'CAMD Facility Data 2023'!$AE$2:$AE$10000,0),3)&gt;0,INDEX('CAMD Facility Data 2023'!$AE$2:$AG$10000,MATCH(Z1065,'CAMD Facility Data 2023'!$AE$2:$AE$10000,0),3),"")</f>
        <v>Y</v>
      </c>
      <c r="AD1065" s="20">
        <f t="shared" si="49"/>
        <v>2.3709854467684437</v>
      </c>
      <c r="AE1065" s="25">
        <f t="shared" si="50"/>
        <v>0.34745407631190622</v>
      </c>
    </row>
    <row r="1066" spans="1:31" x14ac:dyDescent="0.2">
      <c r="A1066" s="1" t="s">
        <v>291</v>
      </c>
      <c r="B1066" s="1" t="s">
        <v>2739</v>
      </c>
      <c r="C1066" s="1">
        <v>3318</v>
      </c>
      <c r="D1066" s="1" t="s">
        <v>311</v>
      </c>
      <c r="E1066" s="1" t="s">
        <v>1156</v>
      </c>
      <c r="F1066" s="1">
        <v>2023</v>
      </c>
      <c r="G1066" s="5">
        <v>5</v>
      </c>
      <c r="H1066" s="5">
        <v>1.98</v>
      </c>
      <c r="I1066" s="5">
        <v>12.35</v>
      </c>
      <c r="K1066" s="5">
        <v>0.13800000000000001</v>
      </c>
      <c r="L1066" s="5">
        <v>0.5</v>
      </c>
      <c r="O1066" s="5">
        <v>0.33100000000000002</v>
      </c>
      <c r="P1066" s="6">
        <v>1.1998</v>
      </c>
      <c r="Q1066" s="5">
        <v>551.6</v>
      </c>
      <c r="R1066" s="1" t="s">
        <v>94</v>
      </c>
      <c r="T1066" s="1" t="s">
        <v>93</v>
      </c>
      <c r="Y1066" s="1" t="s">
        <v>2740</v>
      </c>
      <c r="Z1066" s="1" t="str">
        <f t="shared" si="48"/>
        <v>3318 CT1</v>
      </c>
      <c r="AA1066" s="3">
        <f>IF(INDEX('CAMD Facility Data 2023'!$AA$2:$AE$10000,MATCH(Z1066,'CAMD Facility Data 2023'!$AE$2:$AE$10000,0),1)&gt;0,INDEX('CAMD Facility Data 2023'!$AA$2:$AE$10000,MATCH(Z1066,'CAMD Facility Data 2023'!$AE$2:$AE$10000,0),1),"")</f>
        <v>26877</v>
      </c>
      <c r="AB1066" s="5">
        <f>IF(INDEX('CAMD Facility Data 2023'!$AC$2:$AE$10000,MATCH(Z1066,'CAMD Facility Data 2023'!$AE$2:$AE$10000,0),1)&gt;0,INDEX('CAMD Facility Data 2023'!$AC$2:$AE$10000,MATCH(Z1066,'CAMD Facility Data 2023'!$AE$2:$AE$10000,0),1),"")</f>
        <v>594</v>
      </c>
      <c r="AC1066" s="1" t="str">
        <f>IF(INDEX('CAMD Facility Data 2023'!$AE$2:$AG$10000,MATCH(Z1066,'CAMD Facility Data 2023'!$AE$2:$AE$10000,0),3)&gt;0,INDEX('CAMD Facility Data 2023'!$AE$2:$AG$10000,MATCH(Z1066,'CAMD Facility Data 2023'!$AE$2:$AE$10000,0),3),"")</f>
        <v/>
      </c>
      <c r="AD1066" s="20">
        <f t="shared" si="49"/>
        <v>53.603238866396765</v>
      </c>
      <c r="AE1066" s="25">
        <f t="shared" si="50"/>
        <v>1.060067955045124E-4</v>
      </c>
    </row>
    <row r="1067" spans="1:31" x14ac:dyDescent="0.2">
      <c r="A1067" s="1" t="s">
        <v>291</v>
      </c>
      <c r="B1067" s="1" t="s">
        <v>2739</v>
      </c>
      <c r="C1067" s="1">
        <v>3318</v>
      </c>
      <c r="D1067" s="1" t="s">
        <v>98</v>
      </c>
      <c r="E1067" s="1" t="s">
        <v>1156</v>
      </c>
      <c r="F1067" s="1">
        <v>2023</v>
      </c>
      <c r="G1067" s="5">
        <v>3</v>
      </c>
      <c r="H1067" s="5">
        <v>1.48</v>
      </c>
      <c r="I1067" s="5">
        <v>10.63</v>
      </c>
      <c r="K1067" s="5">
        <v>0.104</v>
      </c>
      <c r="L1067" s="5">
        <v>0.50029999999999997</v>
      </c>
      <c r="O1067" s="5">
        <v>0.25</v>
      </c>
      <c r="P1067" s="6">
        <v>1.1997</v>
      </c>
      <c r="Q1067" s="5">
        <v>417.4</v>
      </c>
      <c r="R1067" s="1" t="s">
        <v>94</v>
      </c>
      <c r="T1067" s="1" t="s">
        <v>93</v>
      </c>
      <c r="Y1067" s="1" t="s">
        <v>2740</v>
      </c>
      <c r="Z1067" s="1" t="str">
        <f t="shared" si="48"/>
        <v>3318 CT2</v>
      </c>
      <c r="AA1067" s="3">
        <f>IF(INDEX('CAMD Facility Data 2023'!$AA$2:$AE$10000,MATCH(Z1067,'CAMD Facility Data 2023'!$AE$2:$AE$10000,0),1)&gt;0,INDEX('CAMD Facility Data 2023'!$AA$2:$AE$10000,MATCH(Z1067,'CAMD Facility Data 2023'!$AE$2:$AE$10000,0),1),"")</f>
        <v>27242</v>
      </c>
      <c r="AB1067" s="5">
        <f>IF(INDEX('CAMD Facility Data 2023'!$AC$2:$AE$10000,MATCH(Z1067,'CAMD Facility Data 2023'!$AE$2:$AE$10000,0),1)&gt;0,INDEX('CAMD Facility Data 2023'!$AC$2:$AE$10000,MATCH(Z1067,'CAMD Facility Data 2023'!$AE$2:$AE$10000,0),1),"")</f>
        <v>594</v>
      </c>
      <c r="AC1067" s="1" t="str">
        <f>IF(INDEX('CAMD Facility Data 2023'!$AE$2:$AG$10000,MATCH(Z1067,'CAMD Facility Data 2023'!$AE$2:$AE$10000,0),3)&gt;0,INDEX('CAMD Facility Data 2023'!$AE$2:$AG$10000,MATCH(Z1067,'CAMD Facility Data 2023'!$AE$2:$AE$10000,0),3),"")</f>
        <v/>
      </c>
      <c r="AD1067" s="20">
        <f t="shared" si="49"/>
        <v>47.036688617121349</v>
      </c>
      <c r="AE1067" s="25">
        <f t="shared" si="50"/>
        <v>8.021616469105053E-5</v>
      </c>
    </row>
    <row r="1068" spans="1:31" x14ac:dyDescent="0.2">
      <c r="A1068" s="1" t="s">
        <v>291</v>
      </c>
      <c r="B1068" s="1" t="s">
        <v>2739</v>
      </c>
      <c r="C1068" s="1">
        <v>3318</v>
      </c>
      <c r="D1068" s="1" t="s">
        <v>101</v>
      </c>
      <c r="E1068" s="1" t="s">
        <v>1156</v>
      </c>
      <c r="F1068" s="1">
        <v>2023</v>
      </c>
      <c r="G1068" s="5">
        <v>22</v>
      </c>
      <c r="H1068" s="5">
        <v>11.01</v>
      </c>
      <c r="I1068" s="5">
        <v>104.99</v>
      </c>
      <c r="K1068" s="5">
        <v>1.2809999999999999</v>
      </c>
      <c r="L1068" s="5">
        <v>0.50080000000000002</v>
      </c>
      <c r="O1068" s="5">
        <v>3.073</v>
      </c>
      <c r="P1068" s="6">
        <v>1.2008000000000001</v>
      </c>
      <c r="Q1068" s="5">
        <v>5121.2</v>
      </c>
      <c r="R1068" s="1" t="s">
        <v>94</v>
      </c>
      <c r="T1068" s="1" t="s">
        <v>93</v>
      </c>
      <c r="V1068" s="1" t="s">
        <v>95</v>
      </c>
      <c r="Y1068" s="1" t="s">
        <v>2740</v>
      </c>
      <c r="Z1068" s="1" t="str">
        <f t="shared" si="48"/>
        <v>3318 CT3</v>
      </c>
      <c r="AA1068" s="3">
        <f>IF(INDEX('CAMD Facility Data 2023'!$AA$2:$AE$10000,MATCH(Z1068,'CAMD Facility Data 2023'!$AE$2:$AE$10000,0),1)&gt;0,INDEX('CAMD Facility Data 2023'!$AA$2:$AE$10000,MATCH(Z1068,'CAMD Facility Data 2023'!$AE$2:$AE$10000,0),1),"")</f>
        <v>28946</v>
      </c>
      <c r="AB1068" s="5">
        <f>IF(INDEX('CAMD Facility Data 2023'!$AC$2:$AE$10000,MATCH(Z1068,'CAMD Facility Data 2023'!$AE$2:$AE$10000,0),1)&gt;0,INDEX('CAMD Facility Data 2023'!$AC$2:$AE$10000,MATCH(Z1068,'CAMD Facility Data 2023'!$AE$2:$AE$10000,0),1),"")</f>
        <v>700</v>
      </c>
      <c r="AC1068" s="1" t="str">
        <f>IF(INDEX('CAMD Facility Data 2023'!$AE$2:$AG$10000,MATCH(Z1068,'CAMD Facility Data 2023'!$AE$2:$AE$10000,0),3)&gt;0,INDEX('CAMD Facility Data 2023'!$AE$2:$AG$10000,MATCH(Z1068,'CAMD Facility Data 2023'!$AE$2:$AE$10000,0),3),"")</f>
        <v/>
      </c>
      <c r="AD1068" s="20">
        <f t="shared" si="49"/>
        <v>58.538908467473092</v>
      </c>
      <c r="AE1068" s="25">
        <f t="shared" si="50"/>
        <v>8.3515981735159811E-4</v>
      </c>
    </row>
    <row r="1069" spans="1:31" x14ac:dyDescent="0.2">
      <c r="A1069" s="1" t="s">
        <v>291</v>
      </c>
      <c r="B1069" s="1" t="s">
        <v>2744</v>
      </c>
      <c r="C1069" s="1">
        <v>3320</v>
      </c>
      <c r="D1069" s="1" t="s">
        <v>101</v>
      </c>
      <c r="E1069" s="1" t="s">
        <v>1156</v>
      </c>
      <c r="F1069" s="1">
        <v>2023</v>
      </c>
      <c r="G1069" s="5">
        <v>9</v>
      </c>
      <c r="H1069" s="5">
        <v>7.09</v>
      </c>
      <c r="I1069" s="5">
        <v>68.02</v>
      </c>
      <c r="K1069" s="5">
        <v>0.42799999999999999</v>
      </c>
      <c r="L1069" s="5">
        <v>0.50019999999999998</v>
      </c>
      <c r="O1069" s="5">
        <v>1.028</v>
      </c>
      <c r="P1069" s="6">
        <v>1.2000999999999999</v>
      </c>
      <c r="Q1069" s="5">
        <v>1713.1</v>
      </c>
      <c r="R1069" s="1" t="s">
        <v>94</v>
      </c>
      <c r="T1069" s="1" t="s">
        <v>93</v>
      </c>
      <c r="Y1069" s="1" t="s">
        <v>2740</v>
      </c>
      <c r="Z1069" s="1" t="str">
        <f t="shared" si="48"/>
        <v>3320 CT3</v>
      </c>
      <c r="AA1069" s="3">
        <f>IF(INDEX('CAMD Facility Data 2023'!$AA$2:$AE$10000,MATCH(Z1069,'CAMD Facility Data 2023'!$AE$2:$AE$10000,0),1)&gt;0,INDEX('CAMD Facility Data 2023'!$AA$2:$AE$10000,MATCH(Z1069,'CAMD Facility Data 2023'!$AE$2:$AE$10000,0),1),"")</f>
        <v>26512</v>
      </c>
      <c r="AB1069" s="5">
        <f>IF(INDEX('CAMD Facility Data 2023'!$AC$2:$AE$10000,MATCH(Z1069,'CAMD Facility Data 2023'!$AE$2:$AE$10000,0),1)&gt;0,INDEX('CAMD Facility Data 2023'!$AC$2:$AE$10000,MATCH(Z1069,'CAMD Facility Data 2023'!$AE$2:$AE$10000,0),1),"")</f>
        <v>270.3</v>
      </c>
      <c r="AC1069" s="1" t="str">
        <f>IF(INDEX('CAMD Facility Data 2023'!$AE$2:$AG$10000,MATCH(Z1069,'CAMD Facility Data 2023'!$AE$2:$AE$10000,0),3)&gt;0,INDEX('CAMD Facility Data 2023'!$AE$2:$AG$10000,MATCH(Z1069,'CAMD Facility Data 2023'!$AE$2:$AE$10000,0),3),"")</f>
        <v/>
      </c>
      <c r="AD1069" s="20">
        <f t="shared" si="49"/>
        <v>30.226403998823876</v>
      </c>
      <c r="AE1069" s="25">
        <f t="shared" si="50"/>
        <v>7.2349005079760855E-4</v>
      </c>
    </row>
    <row r="1070" spans="1:31" x14ac:dyDescent="0.2">
      <c r="A1070" s="1" t="s">
        <v>291</v>
      </c>
      <c r="B1070" s="1" t="s">
        <v>2744</v>
      </c>
      <c r="C1070" s="1">
        <v>3320</v>
      </c>
      <c r="D1070" s="1" t="s">
        <v>103</v>
      </c>
      <c r="E1070" s="1" t="s">
        <v>1156</v>
      </c>
      <c r="F1070" s="1">
        <v>2023</v>
      </c>
      <c r="G1070" s="5">
        <v>0</v>
      </c>
      <c r="H1070" s="5">
        <v>0</v>
      </c>
      <c r="R1070" s="1" t="s">
        <v>94</v>
      </c>
      <c r="T1070" s="1" t="s">
        <v>93</v>
      </c>
      <c r="Y1070" s="1" t="s">
        <v>2740</v>
      </c>
      <c r="Z1070" s="1" t="str">
        <f t="shared" si="48"/>
        <v>3320 CT4</v>
      </c>
      <c r="AA1070" s="3">
        <f>IF(INDEX('CAMD Facility Data 2023'!$AA$2:$AE$10000,MATCH(Z1070,'CAMD Facility Data 2023'!$AE$2:$AE$10000,0),1)&gt;0,INDEX('CAMD Facility Data 2023'!$AA$2:$AE$10000,MATCH(Z1070,'CAMD Facility Data 2023'!$AE$2:$AE$10000,0),1),"")</f>
        <v>26512</v>
      </c>
      <c r="AB1070" s="5">
        <f>IF(INDEX('CAMD Facility Data 2023'!$AC$2:$AE$10000,MATCH(Z1070,'CAMD Facility Data 2023'!$AE$2:$AE$10000,0),1)&gt;0,INDEX('CAMD Facility Data 2023'!$AC$2:$AE$10000,MATCH(Z1070,'CAMD Facility Data 2023'!$AE$2:$AE$10000,0),1),"")</f>
        <v>270.3</v>
      </c>
      <c r="AC1070" s="1" t="str">
        <f>IF(INDEX('CAMD Facility Data 2023'!$AE$2:$AG$10000,MATCH(Z1070,'CAMD Facility Data 2023'!$AE$2:$AE$10000,0),3)&gt;0,INDEX('CAMD Facility Data 2023'!$AE$2:$AG$10000,MATCH(Z1070,'CAMD Facility Data 2023'!$AE$2:$AE$10000,0),3),"")</f>
        <v/>
      </c>
      <c r="AD1070" s="20" t="str">
        <f t="shared" si="49"/>
        <v/>
      </c>
      <c r="AE1070" s="25">
        <f t="shared" si="50"/>
        <v>0</v>
      </c>
    </row>
    <row r="1071" spans="1:31" x14ac:dyDescent="0.2">
      <c r="A1071" s="1" t="s">
        <v>291</v>
      </c>
      <c r="B1071" s="1" t="s">
        <v>2744</v>
      </c>
      <c r="C1071" s="1">
        <v>3320</v>
      </c>
      <c r="D1071" s="1" t="s">
        <v>105</v>
      </c>
      <c r="E1071" s="1" t="s">
        <v>1156</v>
      </c>
      <c r="F1071" s="1">
        <v>2023</v>
      </c>
      <c r="G1071" s="5">
        <v>1</v>
      </c>
      <c r="H1071" s="5">
        <v>0.5</v>
      </c>
      <c r="I1071" s="5">
        <v>2.5</v>
      </c>
      <c r="K1071" s="5">
        <v>5.8000000000000003E-2</v>
      </c>
      <c r="L1071" s="5">
        <v>0.5</v>
      </c>
      <c r="O1071" s="5">
        <v>0.14000000000000001</v>
      </c>
      <c r="P1071" s="6">
        <v>1.2</v>
      </c>
      <c r="Q1071" s="5">
        <v>233</v>
      </c>
      <c r="R1071" s="1" t="s">
        <v>94</v>
      </c>
      <c r="T1071" s="1" t="s">
        <v>93</v>
      </c>
      <c r="Y1071" s="1" t="s">
        <v>2740</v>
      </c>
      <c r="Z1071" s="1" t="str">
        <f t="shared" si="48"/>
        <v>3320 CT5</v>
      </c>
      <c r="AA1071" s="3">
        <f>IF(INDEX('CAMD Facility Data 2023'!$AA$2:$AE$10000,MATCH(Z1071,'CAMD Facility Data 2023'!$AE$2:$AE$10000,0),1)&gt;0,INDEX('CAMD Facility Data 2023'!$AA$2:$AE$10000,MATCH(Z1071,'CAMD Facility Data 2023'!$AE$2:$AE$10000,0),1),"")</f>
        <v>27912</v>
      </c>
      <c r="AB1071" s="5">
        <f>IF(INDEX('CAMD Facility Data 2023'!$AC$2:$AE$10000,MATCH(Z1071,'CAMD Facility Data 2023'!$AE$2:$AE$10000,0),1)&gt;0,INDEX('CAMD Facility Data 2023'!$AC$2:$AE$10000,MATCH(Z1071,'CAMD Facility Data 2023'!$AE$2:$AE$10000,0),1),"")</f>
        <v>352</v>
      </c>
      <c r="AC1071" s="1" t="str">
        <f>IF(INDEX('CAMD Facility Data 2023'!$AE$2:$AG$10000,MATCH(Z1071,'CAMD Facility Data 2023'!$AE$2:$AE$10000,0),3)&gt;0,INDEX('CAMD Facility Data 2023'!$AE$2:$AG$10000,MATCH(Z1071,'CAMD Facility Data 2023'!$AE$2:$AE$10000,0),3),"")</f>
        <v/>
      </c>
      <c r="AD1071" s="20">
        <f t="shared" si="49"/>
        <v>112</v>
      </c>
      <c r="AE1071" s="25">
        <f t="shared" si="50"/>
        <v>7.5562992943129932E-5</v>
      </c>
    </row>
    <row r="1072" spans="1:31" x14ac:dyDescent="0.2">
      <c r="A1072" s="1" t="s">
        <v>2750</v>
      </c>
      <c r="B1072" s="1" t="s">
        <v>2751</v>
      </c>
      <c r="C1072" s="1">
        <v>3338</v>
      </c>
      <c r="D1072" s="1" t="s">
        <v>377</v>
      </c>
      <c r="F1072" s="1">
        <v>2023</v>
      </c>
      <c r="G1072" s="5">
        <v>768</v>
      </c>
      <c r="H1072" s="5">
        <v>659.97</v>
      </c>
      <c r="I1072" s="5">
        <v>17881.98</v>
      </c>
      <c r="K1072" s="5">
        <v>6.9000000000000006E-2</v>
      </c>
      <c r="L1072" s="5">
        <v>1E-3</v>
      </c>
      <c r="M1072" s="5">
        <v>12614.7</v>
      </c>
      <c r="N1072" s="6">
        <v>5.91E-2</v>
      </c>
      <c r="O1072" s="5">
        <v>17.120999999999999</v>
      </c>
      <c r="P1072" s="6">
        <v>0.16450000000000001</v>
      </c>
      <c r="Q1072" s="5">
        <v>213169.6</v>
      </c>
      <c r="R1072" s="1" t="s">
        <v>44</v>
      </c>
      <c r="S1072" s="1" t="s">
        <v>94</v>
      </c>
      <c r="T1072" s="1" t="s">
        <v>93</v>
      </c>
      <c r="V1072" s="1" t="s">
        <v>95</v>
      </c>
      <c r="Y1072" s="1" t="s">
        <v>247</v>
      </c>
      <c r="Z1072" s="1" t="str">
        <f t="shared" si="48"/>
        <v>3338 2A</v>
      </c>
      <c r="AA1072" s="3">
        <f>IF(INDEX('CAMD Facility Data 2023'!$AA$2:$AE$10000,MATCH(Z1072,'CAMD Facility Data 2023'!$AE$2:$AE$10000,0),1)&gt;0,INDEX('CAMD Facility Data 2023'!$AA$2:$AE$10000,MATCH(Z1072,'CAMD Facility Data 2023'!$AE$2:$AE$10000,0),1),"")</f>
        <v>41256</v>
      </c>
      <c r="AB1072" s="5">
        <f>IF(INDEX('CAMD Facility Data 2023'!$AC$2:$AE$10000,MATCH(Z1072,'CAMD Facility Data 2023'!$AE$2:$AE$10000,0),1)&gt;0,INDEX('CAMD Facility Data 2023'!$AC$2:$AE$10000,MATCH(Z1072,'CAMD Facility Data 2023'!$AE$2:$AE$10000,0),1),"")</f>
        <v>323</v>
      </c>
      <c r="AC1072" s="1" t="str">
        <f>IF(INDEX('CAMD Facility Data 2023'!$AE$2:$AG$10000,MATCH(Z1072,'CAMD Facility Data 2023'!$AE$2:$AE$10000,0),3)&gt;0,INDEX('CAMD Facility Data 2023'!$AE$2:$AG$10000,MATCH(Z1072,'CAMD Facility Data 2023'!$AE$2:$AE$10000,0),3),"")</f>
        <v/>
      </c>
      <c r="AD1072" s="20">
        <f t="shared" si="49"/>
        <v>1.9148886197166086</v>
      </c>
      <c r="AE1072" s="25">
        <f t="shared" si="50"/>
        <v>7.5338790166391001E-2</v>
      </c>
    </row>
    <row r="1073" spans="1:31" x14ac:dyDescent="0.2">
      <c r="A1073" s="1" t="s">
        <v>2750</v>
      </c>
      <c r="B1073" s="1" t="s">
        <v>2751</v>
      </c>
      <c r="C1073" s="1">
        <v>3338</v>
      </c>
      <c r="D1073" s="1" t="s">
        <v>1201</v>
      </c>
      <c r="F1073" s="1">
        <v>2023</v>
      </c>
      <c r="G1073" s="5">
        <v>767</v>
      </c>
      <c r="H1073" s="5">
        <v>659.71</v>
      </c>
      <c r="I1073" s="5">
        <v>17694.060000000001</v>
      </c>
      <c r="K1073" s="5">
        <v>7.0000000000000007E-2</v>
      </c>
      <c r="L1073" s="5">
        <v>1E-3</v>
      </c>
      <c r="M1073" s="5">
        <v>12611.5</v>
      </c>
      <c r="N1073" s="6">
        <v>5.91E-2</v>
      </c>
      <c r="O1073" s="5">
        <v>17.187000000000001</v>
      </c>
      <c r="P1073" s="6">
        <v>0.16439999999999999</v>
      </c>
      <c r="Q1073" s="5">
        <v>213085.2</v>
      </c>
      <c r="R1073" s="1" t="s">
        <v>44</v>
      </c>
      <c r="S1073" s="1" t="s">
        <v>94</v>
      </c>
      <c r="T1073" s="1" t="s">
        <v>93</v>
      </c>
      <c r="V1073" s="1" t="s">
        <v>95</v>
      </c>
      <c r="Y1073" s="1" t="s">
        <v>247</v>
      </c>
      <c r="Z1073" s="1" t="str">
        <f t="shared" si="48"/>
        <v>3338 2B</v>
      </c>
      <c r="AA1073" s="3">
        <f>IF(INDEX('CAMD Facility Data 2023'!$AA$2:$AE$10000,MATCH(Z1073,'CAMD Facility Data 2023'!$AE$2:$AE$10000,0),1)&gt;0,INDEX('CAMD Facility Data 2023'!$AA$2:$AE$10000,MATCH(Z1073,'CAMD Facility Data 2023'!$AE$2:$AE$10000,0),1),"")</f>
        <v>41256</v>
      </c>
      <c r="AB1073" s="5">
        <f>IF(INDEX('CAMD Facility Data 2023'!$AC$2:$AE$10000,MATCH(Z1073,'CAMD Facility Data 2023'!$AE$2:$AE$10000,0),1)&gt;0,INDEX('CAMD Facility Data 2023'!$AC$2:$AE$10000,MATCH(Z1073,'CAMD Facility Data 2023'!$AE$2:$AE$10000,0),1),"")</f>
        <v>323</v>
      </c>
      <c r="AC1073" s="1" t="str">
        <f>IF(INDEX('CAMD Facility Data 2023'!$AE$2:$AG$10000,MATCH(Z1073,'CAMD Facility Data 2023'!$AE$2:$AE$10000,0),3)&gt;0,INDEX('CAMD Facility Data 2023'!$AE$2:$AG$10000,MATCH(Z1073,'CAMD Facility Data 2023'!$AE$2:$AE$10000,0),3),"")</f>
        <v/>
      </c>
      <c r="AD1073" s="20">
        <f t="shared" si="49"/>
        <v>1.9426858505057627</v>
      </c>
      <c r="AE1073" s="25">
        <f t="shared" si="50"/>
        <v>7.5308961363925536E-2</v>
      </c>
    </row>
    <row r="1074" spans="1:31" x14ac:dyDescent="0.2">
      <c r="A1074" s="1" t="s">
        <v>2750</v>
      </c>
      <c r="B1074" s="1" t="s">
        <v>2755</v>
      </c>
      <c r="C1074" s="1">
        <v>3344</v>
      </c>
      <c r="D1074" s="1" t="s">
        <v>2756</v>
      </c>
      <c r="F1074" s="1">
        <v>2023</v>
      </c>
      <c r="G1074" s="5">
        <v>0</v>
      </c>
      <c r="H1074" s="5">
        <v>0</v>
      </c>
      <c r="R1074" s="1" t="s">
        <v>44</v>
      </c>
      <c r="S1074" s="1" t="s">
        <v>94</v>
      </c>
      <c r="T1074" s="1" t="s">
        <v>93</v>
      </c>
      <c r="V1074" s="1" t="s">
        <v>95</v>
      </c>
      <c r="Y1074" s="1" t="s">
        <v>247</v>
      </c>
      <c r="Z1074" s="1" t="str">
        <f t="shared" si="48"/>
        <v>3344 **2A</v>
      </c>
      <c r="AA1074" s="3">
        <f>IF(INDEX('CAMD Facility Data 2023'!$AA$2:$AE$10000,MATCH(Z1074,'CAMD Facility Data 2023'!$AE$2:$AE$10000,0),1)&gt;0,INDEX('CAMD Facility Data 2023'!$AA$2:$AE$10000,MATCH(Z1074,'CAMD Facility Data 2023'!$AE$2:$AE$10000,0),1),"")</f>
        <v>34090</v>
      </c>
      <c r="AB1074" s="5">
        <f>IF(INDEX('CAMD Facility Data 2023'!$AC$2:$AE$10000,MATCH(Z1074,'CAMD Facility Data 2023'!$AE$2:$AE$10000,0),1)&gt;0,INDEX('CAMD Facility Data 2023'!$AC$2:$AE$10000,MATCH(Z1074,'CAMD Facility Data 2023'!$AE$2:$AE$10000,0),1),"")</f>
        <v>361</v>
      </c>
      <c r="AC1074" s="1" t="str">
        <f>IF(INDEX('CAMD Facility Data 2023'!$AE$2:$AG$10000,MATCH(Z1074,'CAMD Facility Data 2023'!$AE$2:$AE$10000,0),3)&gt;0,INDEX('CAMD Facility Data 2023'!$AE$2:$AG$10000,MATCH(Z1074,'CAMD Facility Data 2023'!$AE$2:$AE$10000,0),3),"")</f>
        <v/>
      </c>
      <c r="AD1074" s="20" t="str">
        <f t="shared" si="49"/>
        <v/>
      </c>
      <c r="AE1074" s="25">
        <f t="shared" si="50"/>
        <v>0</v>
      </c>
    </row>
    <row r="1075" spans="1:31" x14ac:dyDescent="0.2">
      <c r="A1075" s="1" t="s">
        <v>2750</v>
      </c>
      <c r="B1075" s="1" t="s">
        <v>2755</v>
      </c>
      <c r="C1075" s="1">
        <v>3344</v>
      </c>
      <c r="D1075" s="1" t="s">
        <v>2761</v>
      </c>
      <c r="F1075" s="1">
        <v>2023</v>
      </c>
      <c r="G1075" s="5">
        <v>0</v>
      </c>
      <c r="H1075" s="5">
        <v>0</v>
      </c>
      <c r="R1075" s="1" t="s">
        <v>44</v>
      </c>
      <c r="S1075" s="1" t="s">
        <v>94</v>
      </c>
      <c r="T1075" s="1" t="s">
        <v>93</v>
      </c>
      <c r="V1075" s="1" t="s">
        <v>95</v>
      </c>
      <c r="Y1075" s="1" t="s">
        <v>247</v>
      </c>
      <c r="Z1075" s="1" t="str">
        <f t="shared" si="48"/>
        <v>3344 **2B</v>
      </c>
      <c r="AA1075" s="3">
        <f>IF(INDEX('CAMD Facility Data 2023'!$AA$2:$AE$10000,MATCH(Z1075,'CAMD Facility Data 2023'!$AE$2:$AE$10000,0),1)&gt;0,INDEX('CAMD Facility Data 2023'!$AA$2:$AE$10000,MATCH(Z1075,'CAMD Facility Data 2023'!$AE$2:$AE$10000,0),1),"")</f>
        <v>34090</v>
      </c>
      <c r="AB1075" s="5">
        <f>IF(INDEX('CAMD Facility Data 2023'!$AC$2:$AE$10000,MATCH(Z1075,'CAMD Facility Data 2023'!$AE$2:$AE$10000,0),1)&gt;0,INDEX('CAMD Facility Data 2023'!$AC$2:$AE$10000,MATCH(Z1075,'CAMD Facility Data 2023'!$AE$2:$AE$10000,0),1),"")</f>
        <v>442</v>
      </c>
      <c r="AC1075" s="1" t="str">
        <f>IF(INDEX('CAMD Facility Data 2023'!$AE$2:$AG$10000,MATCH(Z1075,'CAMD Facility Data 2023'!$AE$2:$AE$10000,0),3)&gt;0,INDEX('CAMD Facility Data 2023'!$AE$2:$AG$10000,MATCH(Z1075,'CAMD Facility Data 2023'!$AE$2:$AE$10000,0),3),"")</f>
        <v/>
      </c>
      <c r="AD1075" s="20" t="str">
        <f t="shared" si="49"/>
        <v/>
      </c>
      <c r="AE1075" s="25">
        <f t="shared" si="50"/>
        <v>0</v>
      </c>
    </row>
    <row r="1076" spans="1:31" x14ac:dyDescent="0.2">
      <c r="A1076" s="1" t="s">
        <v>2762</v>
      </c>
      <c r="B1076" s="1" t="s">
        <v>2763</v>
      </c>
      <c r="C1076" s="1">
        <v>3393</v>
      </c>
      <c r="D1076" s="1" t="s">
        <v>2764</v>
      </c>
      <c r="F1076" s="1">
        <v>2023</v>
      </c>
      <c r="G1076" s="5">
        <v>6570</v>
      </c>
      <c r="H1076" s="5">
        <v>6544.8</v>
      </c>
      <c r="I1076" s="5">
        <v>2619547.5</v>
      </c>
      <c r="K1076" s="5">
        <v>5.1440000000000001</v>
      </c>
      <c r="L1076" s="5">
        <v>1E-3</v>
      </c>
      <c r="M1076" s="5">
        <v>1019005.498</v>
      </c>
      <c r="N1076" s="6">
        <v>5.8999999999999997E-2</v>
      </c>
      <c r="O1076" s="5">
        <v>98.988</v>
      </c>
      <c r="P1076" s="6">
        <v>1.2500000000000001E-2</v>
      </c>
      <c r="Q1076" s="5">
        <v>17146692.02</v>
      </c>
      <c r="R1076" s="1" t="s">
        <v>44</v>
      </c>
      <c r="T1076" s="1" t="s">
        <v>71</v>
      </c>
      <c r="V1076" s="1" t="s">
        <v>64</v>
      </c>
      <c r="Y1076" s="1" t="s">
        <v>2765</v>
      </c>
      <c r="Z1076" s="1" t="str">
        <f t="shared" si="48"/>
        <v>3393 ACC1</v>
      </c>
      <c r="AA1076" s="3">
        <f>IF(INDEX('CAMD Facility Data 2023'!$AA$2:$AE$10000,MATCH(Z1076,'CAMD Facility Data 2023'!$AE$2:$AE$10000,0),1)&gt;0,INDEX('CAMD Facility Data 2023'!$AA$2:$AE$10000,MATCH(Z1076,'CAMD Facility Data 2023'!$AE$2:$AE$10000,0),1),"")</f>
        <v>42987</v>
      </c>
      <c r="AB1076" s="5">
        <f>IF(INDEX('CAMD Facility Data 2023'!$AC$2:$AE$10000,MATCH(Z1076,'CAMD Facility Data 2023'!$AE$2:$AE$10000,0),1)&gt;0,INDEX('CAMD Facility Data 2023'!$AC$2:$AE$10000,MATCH(Z1076,'CAMD Facility Data 2023'!$AE$2:$AE$10000,0),1),"")</f>
        <v>3797</v>
      </c>
      <c r="AC1076" s="1" t="str">
        <f>IF(INDEX('CAMD Facility Data 2023'!$AE$2:$AG$10000,MATCH(Z1076,'CAMD Facility Data 2023'!$AE$2:$AE$10000,0),3)&gt;0,INDEX('CAMD Facility Data 2023'!$AE$2:$AG$10000,MATCH(Z1076,'CAMD Facility Data 2023'!$AE$2:$AE$10000,0),3),"")</f>
        <v>Y</v>
      </c>
      <c r="AD1076" s="20">
        <f t="shared" si="49"/>
        <v>7.557641157489986E-2</v>
      </c>
      <c r="AE1076" s="25">
        <f t="shared" si="50"/>
        <v>0.51550827858571358</v>
      </c>
    </row>
    <row r="1077" spans="1:31" x14ac:dyDescent="0.2">
      <c r="A1077" s="1" t="s">
        <v>2762</v>
      </c>
      <c r="B1077" s="1" t="s">
        <v>2763</v>
      </c>
      <c r="C1077" s="1">
        <v>3393</v>
      </c>
      <c r="D1077" s="1" t="s">
        <v>2768</v>
      </c>
      <c r="F1077" s="1">
        <v>2023</v>
      </c>
      <c r="G1077" s="5">
        <v>7037</v>
      </c>
      <c r="H1077" s="5">
        <v>7017.28</v>
      </c>
      <c r="I1077" s="5">
        <v>2873895.37</v>
      </c>
      <c r="K1077" s="5">
        <v>5.6180000000000003</v>
      </c>
      <c r="L1077" s="5">
        <v>1E-3</v>
      </c>
      <c r="M1077" s="5">
        <v>1112873.851</v>
      </c>
      <c r="N1077" s="6">
        <v>5.8999999999999997E-2</v>
      </c>
      <c r="O1077" s="5">
        <v>132.69200000000001</v>
      </c>
      <c r="P1077" s="6">
        <v>1.46E-2</v>
      </c>
      <c r="Q1077" s="5">
        <v>18726264.868999999</v>
      </c>
      <c r="R1077" s="1" t="s">
        <v>44</v>
      </c>
      <c r="T1077" s="1" t="s">
        <v>71</v>
      </c>
      <c r="V1077" s="1" t="s">
        <v>64</v>
      </c>
      <c r="Y1077" s="1" t="s">
        <v>2765</v>
      </c>
      <c r="Z1077" s="1" t="str">
        <f t="shared" si="48"/>
        <v>3393 ACC2</v>
      </c>
      <c r="AA1077" s="3">
        <f>IF(INDEX('CAMD Facility Data 2023'!$AA$2:$AE$10000,MATCH(Z1077,'CAMD Facility Data 2023'!$AE$2:$AE$10000,0),1)&gt;0,INDEX('CAMD Facility Data 2023'!$AA$2:$AE$10000,MATCH(Z1077,'CAMD Facility Data 2023'!$AE$2:$AE$10000,0),1),"")</f>
        <v>42998</v>
      </c>
      <c r="AB1077" s="5">
        <f>IF(INDEX('CAMD Facility Data 2023'!$AC$2:$AE$10000,MATCH(Z1077,'CAMD Facility Data 2023'!$AE$2:$AE$10000,0),1)&gt;0,INDEX('CAMD Facility Data 2023'!$AC$2:$AE$10000,MATCH(Z1077,'CAMD Facility Data 2023'!$AE$2:$AE$10000,0),1),"")</f>
        <v>3797</v>
      </c>
      <c r="AC1077" s="1" t="str">
        <f>IF(INDEX('CAMD Facility Data 2023'!$AE$2:$AG$10000,MATCH(Z1077,'CAMD Facility Data 2023'!$AE$2:$AE$10000,0),3)&gt;0,INDEX('CAMD Facility Data 2023'!$AE$2:$AG$10000,MATCH(Z1077,'CAMD Facility Data 2023'!$AE$2:$AE$10000,0),3),"")</f>
        <v>Y</v>
      </c>
      <c r="AD1077" s="20">
        <f t="shared" si="49"/>
        <v>9.2342958191967861E-2</v>
      </c>
      <c r="AE1077" s="25">
        <f t="shared" si="50"/>
        <v>0.56299748987725229</v>
      </c>
    </row>
    <row r="1078" spans="1:31" x14ac:dyDescent="0.2">
      <c r="A1078" s="1" t="s">
        <v>2762</v>
      </c>
      <c r="B1078" s="1" t="s">
        <v>2763</v>
      </c>
      <c r="C1078" s="1">
        <v>3393</v>
      </c>
      <c r="D1078" s="1" t="s">
        <v>2770</v>
      </c>
      <c r="F1078" s="1">
        <v>2023</v>
      </c>
      <c r="G1078" s="5">
        <v>0</v>
      </c>
      <c r="H1078" s="5">
        <v>0</v>
      </c>
      <c r="R1078" s="1" t="s">
        <v>44</v>
      </c>
      <c r="S1078" s="1" t="s">
        <v>94</v>
      </c>
      <c r="T1078" s="1" t="s">
        <v>93</v>
      </c>
      <c r="Y1078" s="1" t="s">
        <v>1195</v>
      </c>
      <c r="Z1078" s="1" t="str">
        <f t="shared" si="48"/>
        <v>3393 ACT17</v>
      </c>
      <c r="AA1078" s="3">
        <f>IF(INDEX('CAMD Facility Data 2023'!$AA$2:$AE$10000,MATCH(Z1078,'CAMD Facility Data 2023'!$AE$2:$AE$10000,0),1)&gt;0,INDEX('CAMD Facility Data 2023'!$AA$2:$AE$10000,MATCH(Z1078,'CAMD Facility Data 2023'!$AE$2:$AE$10000,0),1),"")</f>
        <v>26543</v>
      </c>
      <c r="AB1078" s="5">
        <f>IF(INDEX('CAMD Facility Data 2023'!$AC$2:$AE$10000,MATCH(Z1078,'CAMD Facility Data 2023'!$AE$2:$AE$10000,0),1)&gt;0,INDEX('CAMD Facility Data 2023'!$AC$2:$AE$10000,MATCH(Z1078,'CAMD Facility Data 2023'!$AE$2:$AE$10000,0),1),"")</f>
        <v>760</v>
      </c>
      <c r="AC1078" s="1" t="str">
        <f>IF(INDEX('CAMD Facility Data 2023'!$AE$2:$AG$10000,MATCH(Z1078,'CAMD Facility Data 2023'!$AE$2:$AE$10000,0),3)&gt;0,INDEX('CAMD Facility Data 2023'!$AE$2:$AG$10000,MATCH(Z1078,'CAMD Facility Data 2023'!$AE$2:$AE$10000,0),3),"")</f>
        <v/>
      </c>
      <c r="AD1078" s="20" t="str">
        <f t="shared" si="49"/>
        <v/>
      </c>
      <c r="AE1078" s="25">
        <f t="shared" si="50"/>
        <v>0</v>
      </c>
    </row>
    <row r="1079" spans="1:31" x14ac:dyDescent="0.2">
      <c r="A1079" s="1" t="s">
        <v>2762</v>
      </c>
      <c r="B1079" s="1" t="s">
        <v>2763</v>
      </c>
      <c r="C1079" s="1">
        <v>3393</v>
      </c>
      <c r="D1079" s="1" t="s">
        <v>2772</v>
      </c>
      <c r="F1079" s="1">
        <v>2023</v>
      </c>
      <c r="G1079" s="5">
        <v>0</v>
      </c>
      <c r="H1079" s="5">
        <v>0</v>
      </c>
      <c r="R1079" s="1" t="s">
        <v>44</v>
      </c>
      <c r="S1079" s="1" t="s">
        <v>94</v>
      </c>
      <c r="T1079" s="1" t="s">
        <v>93</v>
      </c>
      <c r="Y1079" s="1" t="s">
        <v>1195</v>
      </c>
      <c r="Z1079" s="1" t="str">
        <f t="shared" si="48"/>
        <v>3393 ACT18</v>
      </c>
      <c r="AA1079" s="3">
        <f>IF(INDEX('CAMD Facility Data 2023'!$AA$2:$AE$10000,MATCH(Z1079,'CAMD Facility Data 2023'!$AE$2:$AE$10000,0),1)&gt;0,INDEX('CAMD Facility Data 2023'!$AA$2:$AE$10000,MATCH(Z1079,'CAMD Facility Data 2023'!$AE$2:$AE$10000,0),1),"")</f>
        <v>26543</v>
      </c>
      <c r="AB1079" s="5">
        <f>IF(INDEX('CAMD Facility Data 2023'!$AC$2:$AE$10000,MATCH(Z1079,'CAMD Facility Data 2023'!$AE$2:$AE$10000,0),1)&gt;0,INDEX('CAMD Facility Data 2023'!$AC$2:$AE$10000,MATCH(Z1079,'CAMD Facility Data 2023'!$AE$2:$AE$10000,0),1),"")</f>
        <v>760</v>
      </c>
      <c r="AC1079" s="1" t="str">
        <f>IF(INDEX('CAMD Facility Data 2023'!$AE$2:$AG$10000,MATCH(Z1079,'CAMD Facility Data 2023'!$AE$2:$AE$10000,0),3)&gt;0,INDEX('CAMD Facility Data 2023'!$AE$2:$AG$10000,MATCH(Z1079,'CAMD Facility Data 2023'!$AE$2:$AE$10000,0),3),"")</f>
        <v/>
      </c>
      <c r="AD1079" s="20" t="str">
        <f t="shared" si="49"/>
        <v/>
      </c>
      <c r="AE1079" s="25">
        <f t="shared" si="50"/>
        <v>0</v>
      </c>
    </row>
    <row r="1080" spans="1:31" x14ac:dyDescent="0.2">
      <c r="A1080" s="1" t="s">
        <v>2762</v>
      </c>
      <c r="B1080" s="1" t="s">
        <v>2763</v>
      </c>
      <c r="C1080" s="1">
        <v>3393</v>
      </c>
      <c r="D1080" s="1" t="s">
        <v>2774</v>
      </c>
      <c r="F1080" s="1">
        <v>2023</v>
      </c>
      <c r="G1080" s="5">
        <v>25</v>
      </c>
      <c r="H1080" s="5">
        <v>25</v>
      </c>
      <c r="I1080" s="5">
        <v>487</v>
      </c>
      <c r="K1080" s="5">
        <v>1.8839999999999999</v>
      </c>
      <c r="L1080" s="5">
        <v>0.50080000000000002</v>
      </c>
      <c r="M1080" s="5">
        <v>610.29999999999995</v>
      </c>
      <c r="N1080" s="6">
        <v>8.1699999999999995E-2</v>
      </c>
      <c r="O1080" s="5">
        <v>3.2069999999999999</v>
      </c>
      <c r="P1080" s="6">
        <v>0.76180000000000003</v>
      </c>
      <c r="Q1080" s="5">
        <v>7532.8</v>
      </c>
      <c r="R1080" s="1" t="s">
        <v>44</v>
      </c>
      <c r="S1080" s="1" t="s">
        <v>94</v>
      </c>
      <c r="T1080" s="1" t="s">
        <v>93</v>
      </c>
      <c r="Y1080" s="1" t="s">
        <v>1195</v>
      </c>
      <c r="Z1080" s="1" t="str">
        <f t="shared" si="48"/>
        <v>3393 ACT19</v>
      </c>
      <c r="AA1080" s="3">
        <f>IF(INDEX('CAMD Facility Data 2023'!$AA$2:$AE$10000,MATCH(Z1080,'CAMD Facility Data 2023'!$AE$2:$AE$10000,0),1)&gt;0,INDEX('CAMD Facility Data 2023'!$AA$2:$AE$10000,MATCH(Z1080,'CAMD Facility Data 2023'!$AE$2:$AE$10000,0),1),"")</f>
        <v>26543</v>
      </c>
      <c r="AB1080" s="5">
        <f>IF(INDEX('CAMD Facility Data 2023'!$AC$2:$AE$10000,MATCH(Z1080,'CAMD Facility Data 2023'!$AE$2:$AE$10000,0),1)&gt;0,INDEX('CAMD Facility Data 2023'!$AC$2:$AE$10000,MATCH(Z1080,'CAMD Facility Data 2023'!$AE$2:$AE$10000,0),1),"")</f>
        <v>760</v>
      </c>
      <c r="AC1080" s="1" t="str">
        <f>IF(INDEX('CAMD Facility Data 2023'!$AE$2:$AG$10000,MATCH(Z1080,'CAMD Facility Data 2023'!$AE$2:$AE$10000,0),3)&gt;0,INDEX('CAMD Facility Data 2023'!$AE$2:$AG$10000,MATCH(Z1080,'CAMD Facility Data 2023'!$AE$2:$AE$10000,0),3),"")</f>
        <v/>
      </c>
      <c r="AD1080" s="20">
        <f t="shared" si="49"/>
        <v>13.170431211498974</v>
      </c>
      <c r="AE1080" s="25">
        <f t="shared" si="50"/>
        <v>1.1314587839461668E-3</v>
      </c>
    </row>
    <row r="1081" spans="1:31" x14ac:dyDescent="0.2">
      <c r="A1081" s="1" t="s">
        <v>2762</v>
      </c>
      <c r="B1081" s="1" t="s">
        <v>2763</v>
      </c>
      <c r="C1081" s="1">
        <v>3393</v>
      </c>
      <c r="D1081" s="1" t="s">
        <v>2776</v>
      </c>
      <c r="F1081" s="1">
        <v>2023</v>
      </c>
      <c r="G1081" s="5">
        <v>22</v>
      </c>
      <c r="H1081" s="5">
        <v>22</v>
      </c>
      <c r="I1081" s="5">
        <v>292</v>
      </c>
      <c r="K1081" s="5">
        <v>0.69099999999999995</v>
      </c>
      <c r="L1081" s="5">
        <v>0.45400000000000001</v>
      </c>
      <c r="M1081" s="5">
        <v>225.9</v>
      </c>
      <c r="N1081" s="6">
        <v>7.8700000000000006E-2</v>
      </c>
      <c r="O1081" s="5">
        <v>0.84799999999999998</v>
      </c>
      <c r="P1081" s="6">
        <v>0.62370000000000003</v>
      </c>
      <c r="Q1081" s="5">
        <v>2801.1</v>
      </c>
      <c r="R1081" s="1" t="s">
        <v>44</v>
      </c>
      <c r="S1081" s="1" t="s">
        <v>94</v>
      </c>
      <c r="T1081" s="1" t="s">
        <v>93</v>
      </c>
      <c r="Y1081" s="1" t="s">
        <v>1195</v>
      </c>
      <c r="Z1081" s="1" t="str">
        <f t="shared" si="48"/>
        <v>3393 ACT20</v>
      </c>
      <c r="AA1081" s="3">
        <f>IF(INDEX('CAMD Facility Data 2023'!$AA$2:$AE$10000,MATCH(Z1081,'CAMD Facility Data 2023'!$AE$2:$AE$10000,0),1)&gt;0,INDEX('CAMD Facility Data 2023'!$AA$2:$AE$10000,MATCH(Z1081,'CAMD Facility Data 2023'!$AE$2:$AE$10000,0),1),"")</f>
        <v>26543</v>
      </c>
      <c r="AB1081" s="5">
        <f>IF(INDEX('CAMD Facility Data 2023'!$AC$2:$AE$10000,MATCH(Z1081,'CAMD Facility Data 2023'!$AE$2:$AE$10000,0),1)&gt;0,INDEX('CAMD Facility Data 2023'!$AC$2:$AE$10000,MATCH(Z1081,'CAMD Facility Data 2023'!$AE$2:$AE$10000,0),1),"")</f>
        <v>760</v>
      </c>
      <c r="AC1081" s="1" t="str">
        <f>IF(INDEX('CAMD Facility Data 2023'!$AE$2:$AG$10000,MATCH(Z1081,'CAMD Facility Data 2023'!$AE$2:$AE$10000,0),3)&gt;0,INDEX('CAMD Facility Data 2023'!$AE$2:$AG$10000,MATCH(Z1081,'CAMD Facility Data 2023'!$AE$2:$AE$10000,0),3),"")</f>
        <v/>
      </c>
      <c r="AD1081" s="20">
        <f t="shared" si="49"/>
        <v>5.8082191780821919</v>
      </c>
      <c r="AE1081" s="25">
        <f t="shared" si="50"/>
        <v>4.2073720259552989E-4</v>
      </c>
    </row>
    <row r="1082" spans="1:31" x14ac:dyDescent="0.2">
      <c r="A1082" s="1" t="s">
        <v>2762</v>
      </c>
      <c r="B1082" s="1" t="s">
        <v>2778</v>
      </c>
      <c r="C1082" s="1">
        <v>3396</v>
      </c>
      <c r="D1082" s="1">
        <v>1</v>
      </c>
      <c r="F1082" s="1">
        <v>2023</v>
      </c>
      <c r="G1082" s="5">
        <v>1821</v>
      </c>
      <c r="H1082" s="5">
        <v>1810.72</v>
      </c>
      <c r="I1082" s="5">
        <v>847648.16</v>
      </c>
      <c r="K1082" s="5">
        <v>348.14100000000002</v>
      </c>
      <c r="L1082" s="5">
        <v>7.1400000000000005E-2</v>
      </c>
      <c r="M1082" s="5">
        <v>901593.13899999997</v>
      </c>
      <c r="N1082" s="6">
        <v>0.10299999999999999</v>
      </c>
      <c r="O1082" s="5">
        <v>446.95100000000002</v>
      </c>
      <c r="P1082" s="6">
        <v>0.1132</v>
      </c>
      <c r="Q1082" s="5">
        <v>8787436.5549999997</v>
      </c>
      <c r="R1082" s="1" t="s">
        <v>55</v>
      </c>
      <c r="T1082" s="1" t="s">
        <v>43</v>
      </c>
      <c r="U1082" s="1" t="s">
        <v>56</v>
      </c>
      <c r="V1082" s="1" t="s">
        <v>223</v>
      </c>
      <c r="W1082" s="1" t="s">
        <v>58</v>
      </c>
      <c r="Y1082" s="1" t="s">
        <v>1188</v>
      </c>
      <c r="Z1082" s="1" t="str">
        <f t="shared" si="48"/>
        <v>3396 1</v>
      </c>
      <c r="AA1082" s="3">
        <f>IF(INDEX('CAMD Facility Data 2023'!$AA$2:$AE$10000,MATCH(Z1082,'CAMD Facility Data 2023'!$AE$2:$AE$10000,0),1)&gt;0,INDEX('CAMD Facility Data 2023'!$AA$2:$AE$10000,MATCH(Z1082,'CAMD Facility Data 2023'!$AE$2:$AE$10000,0),1),"")</f>
        <v>24563</v>
      </c>
      <c r="AB1082" s="5">
        <f>IF(INDEX('CAMD Facility Data 2023'!$AC$2:$AE$10000,MATCH(Z1082,'CAMD Facility Data 2023'!$AE$2:$AE$10000,0),1)&gt;0,INDEX('CAMD Facility Data 2023'!$AC$2:$AE$10000,MATCH(Z1082,'CAMD Facility Data 2023'!$AE$2:$AE$10000,0),1),"")</f>
        <v>12604</v>
      </c>
      <c r="AC1082" s="1" t="str">
        <f>IF(INDEX('CAMD Facility Data 2023'!$AE$2:$AG$10000,MATCH(Z1082,'CAMD Facility Data 2023'!$AE$2:$AE$10000,0),3)&gt;0,INDEX('CAMD Facility Data 2023'!$AE$2:$AG$10000,MATCH(Z1082,'CAMD Facility Data 2023'!$AE$2:$AE$10000,0),3),"")</f>
        <v>Y</v>
      </c>
      <c r="AD1082" s="20">
        <f t="shared" si="49"/>
        <v>1.0545672629077611</v>
      </c>
      <c r="AE1082" s="25">
        <f t="shared" si="50"/>
        <v>7.9588386768207231E-2</v>
      </c>
    </row>
    <row r="1083" spans="1:31" x14ac:dyDescent="0.2">
      <c r="A1083" s="1" t="s">
        <v>2762</v>
      </c>
      <c r="B1083" s="1" t="s">
        <v>2781</v>
      </c>
      <c r="C1083" s="1">
        <v>3399</v>
      </c>
      <c r="D1083" s="1">
        <v>1</v>
      </c>
      <c r="F1083" s="1">
        <v>2023</v>
      </c>
      <c r="G1083" s="5">
        <v>5496</v>
      </c>
      <c r="H1083" s="5">
        <v>5484.01</v>
      </c>
      <c r="I1083" s="5">
        <v>4039549.49</v>
      </c>
      <c r="K1083" s="5">
        <v>1499.5920000000001</v>
      </c>
      <c r="L1083" s="5">
        <v>6.7900000000000002E-2</v>
      </c>
      <c r="M1083" s="5">
        <v>4200812.8940000003</v>
      </c>
      <c r="N1083" s="6">
        <v>0.10299999999999999</v>
      </c>
      <c r="O1083" s="5">
        <v>1573.3869999999999</v>
      </c>
      <c r="P1083" s="6">
        <v>7.9699999999999993E-2</v>
      </c>
      <c r="Q1083" s="5">
        <v>40943617.097000003</v>
      </c>
      <c r="R1083" s="1" t="s">
        <v>55</v>
      </c>
      <c r="T1083" s="1" t="s">
        <v>86</v>
      </c>
      <c r="U1083" s="1" t="s">
        <v>56</v>
      </c>
      <c r="V1083" s="1" t="s">
        <v>1633</v>
      </c>
      <c r="W1083" s="1" t="s">
        <v>58</v>
      </c>
      <c r="Y1083" s="1" t="s">
        <v>1188</v>
      </c>
      <c r="Z1083" s="1" t="str">
        <f t="shared" si="48"/>
        <v>3399 1</v>
      </c>
      <c r="AA1083" s="3">
        <f>IF(INDEX('CAMD Facility Data 2023'!$AA$2:$AE$10000,MATCH(Z1083,'CAMD Facility Data 2023'!$AE$2:$AE$10000,0),1)&gt;0,INDEX('CAMD Facility Data 2023'!$AA$2:$AE$10000,MATCH(Z1083,'CAMD Facility Data 2023'!$AE$2:$AE$10000,0),1),"")</f>
        <v>26411</v>
      </c>
      <c r="AB1083" s="5">
        <f>IF(INDEX('CAMD Facility Data 2023'!$AC$2:$AE$10000,MATCH(Z1083,'CAMD Facility Data 2023'!$AE$2:$AE$10000,0),1)&gt;0,INDEX('CAMD Facility Data 2023'!$AC$2:$AE$10000,MATCH(Z1083,'CAMD Facility Data 2023'!$AE$2:$AE$10000,0),1),"")</f>
        <v>15208</v>
      </c>
      <c r="AC1083" s="1" t="str">
        <f>IF(INDEX('CAMD Facility Data 2023'!$AE$2:$AG$10000,MATCH(Z1083,'CAMD Facility Data 2023'!$AE$2:$AE$10000,0),3)&gt;0,INDEX('CAMD Facility Data 2023'!$AE$2:$AG$10000,MATCH(Z1083,'CAMD Facility Data 2023'!$AE$2:$AE$10000,0),3),"")</f>
        <v>Y</v>
      </c>
      <c r="AD1083" s="20">
        <f t="shared" si="49"/>
        <v>0.77899132261899828</v>
      </c>
      <c r="AE1083" s="25">
        <f t="shared" si="50"/>
        <v>0.30733356735610196</v>
      </c>
    </row>
    <row r="1084" spans="1:31" x14ac:dyDescent="0.2">
      <c r="A1084" s="1" t="s">
        <v>2762</v>
      </c>
      <c r="B1084" s="1" t="s">
        <v>2781</v>
      </c>
      <c r="C1084" s="1">
        <v>3399</v>
      </c>
      <c r="D1084" s="1">
        <v>2</v>
      </c>
      <c r="F1084" s="1">
        <v>2023</v>
      </c>
      <c r="G1084" s="5">
        <v>7611</v>
      </c>
      <c r="H1084" s="5">
        <v>7600.14</v>
      </c>
      <c r="I1084" s="5">
        <v>5708441.29</v>
      </c>
      <c r="K1084" s="5">
        <v>2574.8580000000002</v>
      </c>
      <c r="L1084" s="5">
        <v>8.0100000000000005E-2</v>
      </c>
      <c r="M1084" s="5">
        <v>6119673.1560000004</v>
      </c>
      <c r="N1084" s="6">
        <v>0.10299999999999999</v>
      </c>
      <c r="O1084" s="5">
        <v>1903.614</v>
      </c>
      <c r="P1084" s="6">
        <v>6.5500000000000003E-2</v>
      </c>
      <c r="Q1084" s="5">
        <v>59645996.038000003</v>
      </c>
      <c r="R1084" s="1" t="s">
        <v>55</v>
      </c>
      <c r="T1084" s="1" t="s">
        <v>86</v>
      </c>
      <c r="U1084" s="1" t="s">
        <v>56</v>
      </c>
      <c r="V1084" s="1" t="s">
        <v>1633</v>
      </c>
      <c r="W1084" s="1" t="s">
        <v>58</v>
      </c>
      <c r="Y1084" s="1" t="s">
        <v>1188</v>
      </c>
      <c r="Z1084" s="1" t="str">
        <f t="shared" si="48"/>
        <v>3399 2</v>
      </c>
      <c r="AA1084" s="3">
        <f>IF(INDEX('CAMD Facility Data 2023'!$AA$2:$AE$10000,MATCH(Z1084,'CAMD Facility Data 2023'!$AE$2:$AE$10000,0),1)&gt;0,INDEX('CAMD Facility Data 2023'!$AA$2:$AE$10000,MATCH(Z1084,'CAMD Facility Data 2023'!$AE$2:$AE$10000,0),1),"")</f>
        <v>26696</v>
      </c>
      <c r="AB1084" s="5">
        <f>IF(INDEX('CAMD Facility Data 2023'!$AC$2:$AE$10000,MATCH(Z1084,'CAMD Facility Data 2023'!$AE$2:$AE$10000,0),1)&gt;0,INDEX('CAMD Facility Data 2023'!$AC$2:$AE$10000,MATCH(Z1084,'CAMD Facility Data 2023'!$AE$2:$AE$10000,0),1),"")</f>
        <v>16100</v>
      </c>
      <c r="AC1084" s="1" t="str">
        <f>IF(INDEX('CAMD Facility Data 2023'!$AE$2:$AG$10000,MATCH(Z1084,'CAMD Facility Data 2023'!$AE$2:$AE$10000,0),3)&gt;0,INDEX('CAMD Facility Data 2023'!$AE$2:$AG$10000,MATCH(Z1084,'CAMD Facility Data 2023'!$AE$2:$AE$10000,0),3),"")</f>
        <v>Y</v>
      </c>
      <c r="AD1084" s="20">
        <f t="shared" si="49"/>
        <v>0.66694703625479523</v>
      </c>
      <c r="AE1084" s="25">
        <f t="shared" si="50"/>
        <v>0.4229132706401203</v>
      </c>
    </row>
    <row r="1085" spans="1:31" x14ac:dyDescent="0.2">
      <c r="A1085" s="1" t="s">
        <v>2762</v>
      </c>
      <c r="B1085" s="1" t="s">
        <v>2786</v>
      </c>
      <c r="C1085" s="1">
        <v>3403</v>
      </c>
      <c r="D1085" s="1">
        <v>1</v>
      </c>
      <c r="F1085" s="1">
        <v>2023</v>
      </c>
      <c r="G1085" s="5">
        <v>6363</v>
      </c>
      <c r="H1085" s="5">
        <v>6358.02</v>
      </c>
      <c r="I1085" s="5">
        <v>892892.32</v>
      </c>
      <c r="K1085" s="5">
        <v>305.40300000000002</v>
      </c>
      <c r="L1085" s="5">
        <v>6.5799999999999997E-2</v>
      </c>
      <c r="M1085" s="5">
        <v>949683.06</v>
      </c>
      <c r="N1085" s="6">
        <v>0.105</v>
      </c>
      <c r="O1085" s="5">
        <v>291.58999999999997</v>
      </c>
      <c r="P1085" s="6">
        <v>7.0099999999999996E-2</v>
      </c>
      <c r="Q1085" s="5">
        <v>9054936.3839999996</v>
      </c>
      <c r="R1085" s="1" t="s">
        <v>55</v>
      </c>
      <c r="T1085" s="1" t="s">
        <v>43</v>
      </c>
      <c r="U1085" s="1" t="s">
        <v>212</v>
      </c>
      <c r="V1085" s="1" t="s">
        <v>57</v>
      </c>
      <c r="W1085" s="1" t="s">
        <v>232</v>
      </c>
      <c r="Y1085" s="1" t="s">
        <v>1188</v>
      </c>
      <c r="Z1085" s="1" t="str">
        <f t="shared" si="48"/>
        <v>3403 1</v>
      </c>
      <c r="AA1085" s="3">
        <f>IF(INDEX('CAMD Facility Data 2023'!$AA$2:$AE$10000,MATCH(Z1085,'CAMD Facility Data 2023'!$AE$2:$AE$10000,0),1)&gt;0,INDEX('CAMD Facility Data 2023'!$AA$2:$AE$10000,MATCH(Z1085,'CAMD Facility Data 2023'!$AE$2:$AE$10000,0),1),"")</f>
        <v>20739</v>
      </c>
      <c r="AB1085" s="5">
        <f>IF(INDEX('CAMD Facility Data 2023'!$AC$2:$AE$10000,MATCH(Z1085,'CAMD Facility Data 2023'!$AE$2:$AE$10000,0),1)&gt;0,INDEX('CAMD Facility Data 2023'!$AC$2:$AE$10000,MATCH(Z1085,'CAMD Facility Data 2023'!$AE$2:$AE$10000,0),1),"")</f>
        <v>4456</v>
      </c>
      <c r="AC1085" s="1" t="str">
        <f>IF(INDEX('CAMD Facility Data 2023'!$AE$2:$AG$10000,MATCH(Z1085,'CAMD Facility Data 2023'!$AE$2:$AE$10000,0),3)&gt;0,INDEX('CAMD Facility Data 2023'!$AE$2:$AG$10000,MATCH(Z1085,'CAMD Facility Data 2023'!$AE$2:$AE$10000,0),3),"")</f>
        <v>Y</v>
      </c>
      <c r="AD1085" s="20">
        <f t="shared" si="49"/>
        <v>0.65313586749183827</v>
      </c>
      <c r="AE1085" s="25">
        <f t="shared" si="50"/>
        <v>0.23197229286048054</v>
      </c>
    </row>
    <row r="1086" spans="1:31" x14ac:dyDescent="0.2">
      <c r="A1086" s="1" t="s">
        <v>2762</v>
      </c>
      <c r="B1086" s="1" t="s">
        <v>2786</v>
      </c>
      <c r="C1086" s="1">
        <v>3403</v>
      </c>
      <c r="D1086" s="1">
        <v>2</v>
      </c>
      <c r="F1086" s="1">
        <v>2023</v>
      </c>
      <c r="G1086" s="5">
        <v>6404</v>
      </c>
      <c r="H1086" s="5">
        <v>6401.62</v>
      </c>
      <c r="I1086" s="5">
        <v>967435.75</v>
      </c>
      <c r="K1086" s="5">
        <v>324.24299999999999</v>
      </c>
      <c r="L1086" s="5">
        <v>6.6299999999999998E-2</v>
      </c>
      <c r="M1086" s="5">
        <v>1008041.596</v>
      </c>
      <c r="N1086" s="6">
        <v>0.105</v>
      </c>
      <c r="O1086" s="5">
        <v>306.13</v>
      </c>
      <c r="P1086" s="6">
        <v>6.9400000000000003E-2</v>
      </c>
      <c r="Q1086" s="5">
        <v>9611403.6830000002</v>
      </c>
      <c r="R1086" s="1" t="s">
        <v>55</v>
      </c>
      <c r="T1086" s="1" t="s">
        <v>43</v>
      </c>
      <c r="U1086" s="1" t="s">
        <v>212</v>
      </c>
      <c r="V1086" s="1" t="s">
        <v>57</v>
      </c>
      <c r="W1086" s="1" t="s">
        <v>232</v>
      </c>
      <c r="Y1086" s="1" t="s">
        <v>1188</v>
      </c>
      <c r="Z1086" s="1" t="str">
        <f t="shared" si="48"/>
        <v>3403 2</v>
      </c>
      <c r="AA1086" s="3">
        <f>IF(INDEX('CAMD Facility Data 2023'!$AA$2:$AE$10000,MATCH(Z1086,'CAMD Facility Data 2023'!$AE$2:$AE$10000,0),1)&gt;0,INDEX('CAMD Facility Data 2023'!$AA$2:$AE$10000,MATCH(Z1086,'CAMD Facility Data 2023'!$AE$2:$AE$10000,0),1),"")</f>
        <v>20941</v>
      </c>
      <c r="AB1086" s="5">
        <f>IF(INDEX('CAMD Facility Data 2023'!$AC$2:$AE$10000,MATCH(Z1086,'CAMD Facility Data 2023'!$AE$2:$AE$10000,0),1)&gt;0,INDEX('CAMD Facility Data 2023'!$AC$2:$AE$10000,MATCH(Z1086,'CAMD Facility Data 2023'!$AE$2:$AE$10000,0),1),"")</f>
        <v>3717</v>
      </c>
      <c r="AC1086" s="1" t="str">
        <f>IF(INDEX('CAMD Facility Data 2023'!$AE$2:$AG$10000,MATCH(Z1086,'CAMD Facility Data 2023'!$AE$2:$AE$10000,0),3)&gt;0,INDEX('CAMD Facility Data 2023'!$AE$2:$AG$10000,MATCH(Z1086,'CAMD Facility Data 2023'!$AE$2:$AE$10000,0),3),"")</f>
        <v>Y</v>
      </c>
      <c r="AD1086" s="20">
        <f t="shared" si="49"/>
        <v>0.63286890111307137</v>
      </c>
      <c r="AE1086" s="25">
        <f t="shared" si="50"/>
        <v>0.29518219027595044</v>
      </c>
    </row>
    <row r="1087" spans="1:31" x14ac:dyDescent="0.2">
      <c r="A1087" s="1" t="s">
        <v>2762</v>
      </c>
      <c r="B1087" s="1" t="s">
        <v>2786</v>
      </c>
      <c r="C1087" s="1">
        <v>3403</v>
      </c>
      <c r="D1087" s="1">
        <v>3</v>
      </c>
      <c r="F1087" s="1">
        <v>2023</v>
      </c>
      <c r="G1087" s="5">
        <v>7241</v>
      </c>
      <c r="H1087" s="5">
        <v>7235.86</v>
      </c>
      <c r="I1087" s="5">
        <v>1190273.44</v>
      </c>
      <c r="K1087" s="5">
        <v>386.87299999999999</v>
      </c>
      <c r="L1087" s="5">
        <v>6.2300000000000001E-2</v>
      </c>
      <c r="M1087" s="5">
        <v>1305176.436</v>
      </c>
      <c r="N1087" s="6">
        <v>0.105</v>
      </c>
      <c r="O1087" s="5">
        <v>277.57</v>
      </c>
      <c r="P1087" s="6">
        <v>4.6600000000000003E-2</v>
      </c>
      <c r="Q1087" s="5">
        <v>12444446.596000001</v>
      </c>
      <c r="R1087" s="1" t="s">
        <v>55</v>
      </c>
      <c r="T1087" s="1" t="s">
        <v>43</v>
      </c>
      <c r="U1087" s="1" t="s">
        <v>212</v>
      </c>
      <c r="V1087" s="1" t="s">
        <v>57</v>
      </c>
      <c r="W1087" s="1" t="s">
        <v>232</v>
      </c>
      <c r="Y1087" s="1" t="s">
        <v>1188</v>
      </c>
      <c r="Z1087" s="1" t="str">
        <f t="shared" si="48"/>
        <v>3403 3</v>
      </c>
      <c r="AA1087" s="3">
        <f>IF(INDEX('CAMD Facility Data 2023'!$AA$2:$AE$10000,MATCH(Z1087,'CAMD Facility Data 2023'!$AE$2:$AE$10000,0),1)&gt;0,INDEX('CAMD Facility Data 2023'!$AA$2:$AE$10000,MATCH(Z1087,'CAMD Facility Data 2023'!$AE$2:$AE$10000,0),1),"")</f>
        <v>21664</v>
      </c>
      <c r="AB1087" s="5">
        <f>IF(INDEX('CAMD Facility Data 2023'!$AC$2:$AE$10000,MATCH(Z1087,'CAMD Facility Data 2023'!$AE$2:$AE$10000,0),1)&gt;0,INDEX('CAMD Facility Data 2023'!$AC$2:$AE$10000,MATCH(Z1087,'CAMD Facility Data 2023'!$AE$2:$AE$10000,0),1),"")</f>
        <v>4712</v>
      </c>
      <c r="AC1087" s="1" t="str">
        <f>IF(INDEX('CAMD Facility Data 2023'!$AE$2:$AG$10000,MATCH(Z1087,'CAMD Facility Data 2023'!$AE$2:$AE$10000,0),3)&gt;0,INDEX('CAMD Facility Data 2023'!$AE$2:$AG$10000,MATCH(Z1087,'CAMD Facility Data 2023'!$AE$2:$AE$10000,0),3),"")</f>
        <v>Y</v>
      </c>
      <c r="AD1087" s="20">
        <f t="shared" si="49"/>
        <v>0.46639703226512391</v>
      </c>
      <c r="AE1087" s="25">
        <f t="shared" si="50"/>
        <v>0.30148534093463886</v>
      </c>
    </row>
    <row r="1088" spans="1:31" x14ac:dyDescent="0.2">
      <c r="A1088" s="1" t="s">
        <v>2762</v>
      </c>
      <c r="B1088" s="1" t="s">
        <v>2786</v>
      </c>
      <c r="C1088" s="1">
        <v>3403</v>
      </c>
      <c r="D1088" s="1">
        <v>4</v>
      </c>
      <c r="F1088" s="1">
        <v>2023</v>
      </c>
      <c r="G1088" s="5">
        <v>7182</v>
      </c>
      <c r="H1088" s="5">
        <v>7180.2</v>
      </c>
      <c r="I1088" s="5">
        <v>1204843.68</v>
      </c>
      <c r="K1088" s="5">
        <v>411.16399999999999</v>
      </c>
      <c r="L1088" s="5">
        <v>8.2799999999999999E-2</v>
      </c>
      <c r="M1088" s="5">
        <v>1295407.9129999999</v>
      </c>
      <c r="N1088" s="6">
        <v>0.105</v>
      </c>
      <c r="O1088" s="5">
        <v>311.67700000000002</v>
      </c>
      <c r="P1088" s="6">
        <v>5.3600000000000002E-2</v>
      </c>
      <c r="Q1088" s="5">
        <v>12351333.540999999</v>
      </c>
      <c r="R1088" s="1" t="s">
        <v>55</v>
      </c>
      <c r="T1088" s="1" t="s">
        <v>43</v>
      </c>
      <c r="U1088" s="1" t="s">
        <v>212</v>
      </c>
      <c r="V1088" s="1" t="s">
        <v>57</v>
      </c>
      <c r="W1088" s="1" t="s">
        <v>232</v>
      </c>
      <c r="Y1088" s="1" t="s">
        <v>1188</v>
      </c>
      <c r="Z1088" s="1" t="str">
        <f t="shared" si="48"/>
        <v>3403 4</v>
      </c>
      <c r="AA1088" s="3">
        <f>IF(INDEX('CAMD Facility Data 2023'!$AA$2:$AE$10000,MATCH(Z1088,'CAMD Facility Data 2023'!$AE$2:$AE$10000,0),1)&gt;0,INDEX('CAMD Facility Data 2023'!$AA$2:$AE$10000,MATCH(Z1088,'CAMD Facility Data 2023'!$AE$2:$AE$10000,0),1),"")</f>
        <v>21732</v>
      </c>
      <c r="AB1088" s="5">
        <f>IF(INDEX('CAMD Facility Data 2023'!$AC$2:$AE$10000,MATCH(Z1088,'CAMD Facility Data 2023'!$AE$2:$AE$10000,0),1)&gt;0,INDEX('CAMD Facility Data 2023'!$AC$2:$AE$10000,MATCH(Z1088,'CAMD Facility Data 2023'!$AE$2:$AE$10000,0),1),"")</f>
        <v>4433</v>
      </c>
      <c r="AC1088" s="1" t="str">
        <f>IF(INDEX('CAMD Facility Data 2023'!$AE$2:$AG$10000,MATCH(Z1088,'CAMD Facility Data 2023'!$AE$2:$AE$10000,0),3)&gt;0,INDEX('CAMD Facility Data 2023'!$AE$2:$AG$10000,MATCH(Z1088,'CAMD Facility Data 2023'!$AE$2:$AE$10000,0),3),"")</f>
        <v>Y</v>
      </c>
      <c r="AD1088" s="20">
        <f t="shared" si="49"/>
        <v>0.51737334091340381</v>
      </c>
      <c r="AE1088" s="25">
        <f t="shared" si="50"/>
        <v>0.31806216609653415</v>
      </c>
    </row>
    <row r="1089" spans="1:31" x14ac:dyDescent="0.2">
      <c r="A1089" s="1" t="s">
        <v>2762</v>
      </c>
      <c r="B1089" s="1" t="s">
        <v>2786</v>
      </c>
      <c r="C1089" s="1">
        <v>3403</v>
      </c>
      <c r="D1089" s="1" t="s">
        <v>2793</v>
      </c>
      <c r="F1089" s="1">
        <v>2023</v>
      </c>
      <c r="G1089" s="5">
        <v>105</v>
      </c>
      <c r="H1089" s="5">
        <v>105</v>
      </c>
      <c r="I1089" s="5">
        <v>4332</v>
      </c>
      <c r="K1089" s="5">
        <v>1.1160000000000001</v>
      </c>
      <c r="L1089" s="5">
        <v>4.1200000000000001E-2</v>
      </c>
      <c r="M1089" s="5">
        <v>3746.1</v>
      </c>
      <c r="N1089" s="6">
        <v>6.0699999999999997E-2</v>
      </c>
      <c r="O1089" s="5">
        <v>14.055</v>
      </c>
      <c r="P1089" s="6">
        <v>0.45540000000000003</v>
      </c>
      <c r="Q1089" s="5">
        <v>61865.7</v>
      </c>
      <c r="R1089" s="1" t="s">
        <v>44</v>
      </c>
      <c r="S1089" s="1" t="s">
        <v>94</v>
      </c>
      <c r="T1089" s="1" t="s">
        <v>93</v>
      </c>
      <c r="Y1089" s="1" t="s">
        <v>1195</v>
      </c>
      <c r="Z1089" s="1" t="str">
        <f t="shared" si="48"/>
        <v>3403 GCT1</v>
      </c>
      <c r="AA1089" s="3">
        <f>IF(INDEX('CAMD Facility Data 2023'!$AA$2:$AE$10000,MATCH(Z1089,'CAMD Facility Data 2023'!$AE$2:$AE$10000,0),1)&gt;0,INDEX('CAMD Facility Data 2023'!$AA$2:$AE$10000,MATCH(Z1089,'CAMD Facility Data 2023'!$AE$2:$AE$10000,0),1),"")</f>
        <v>27395</v>
      </c>
      <c r="AB1089" s="5">
        <f>IF(INDEX('CAMD Facility Data 2023'!$AC$2:$AE$10000,MATCH(Z1089,'CAMD Facility Data 2023'!$AE$2:$AE$10000,0),1)&gt;0,INDEX('CAMD Facility Data 2023'!$AC$2:$AE$10000,MATCH(Z1089,'CAMD Facility Data 2023'!$AE$2:$AE$10000,0),1),"")</f>
        <v>1137</v>
      </c>
      <c r="AC1089" s="1" t="str">
        <f>IF(INDEX('CAMD Facility Data 2023'!$AE$2:$AG$10000,MATCH(Z1089,'CAMD Facility Data 2023'!$AE$2:$AE$10000,0),3)&gt;0,INDEX('CAMD Facility Data 2023'!$AE$2:$AG$10000,MATCH(Z1089,'CAMD Facility Data 2023'!$AE$2:$AE$10000,0),3),"")</f>
        <v/>
      </c>
      <c r="AD1089" s="20">
        <f t="shared" si="49"/>
        <v>6.4889196675900278</v>
      </c>
      <c r="AE1089" s="25">
        <f t="shared" si="50"/>
        <v>6.2113408272189488E-3</v>
      </c>
    </row>
    <row r="1090" spans="1:31" x14ac:dyDescent="0.2">
      <c r="A1090" s="1" t="s">
        <v>2762</v>
      </c>
      <c r="B1090" s="1" t="s">
        <v>2786</v>
      </c>
      <c r="C1090" s="1">
        <v>3403</v>
      </c>
      <c r="D1090" s="1" t="s">
        <v>2795</v>
      </c>
      <c r="F1090" s="1">
        <v>2023</v>
      </c>
      <c r="G1090" s="5">
        <v>148</v>
      </c>
      <c r="H1090" s="5">
        <v>148</v>
      </c>
      <c r="I1090" s="5">
        <v>5779</v>
      </c>
      <c r="K1090" s="5">
        <v>2.4E-2</v>
      </c>
      <c r="L1090" s="5">
        <v>6.9999999999999999E-4</v>
      </c>
      <c r="M1090" s="5">
        <v>4864.7</v>
      </c>
      <c r="N1090" s="6">
        <v>5.9299999999999999E-2</v>
      </c>
      <c r="O1090" s="5">
        <v>17.670000000000002</v>
      </c>
      <c r="P1090" s="6">
        <v>0.4209</v>
      </c>
      <c r="Q1090" s="5">
        <v>82450.100000000006</v>
      </c>
      <c r="R1090" s="1" t="s">
        <v>44</v>
      </c>
      <c r="S1090" s="1" t="s">
        <v>94</v>
      </c>
      <c r="T1090" s="1" t="s">
        <v>93</v>
      </c>
      <c r="Y1090" s="1" t="s">
        <v>1195</v>
      </c>
      <c r="Z1090" s="1" t="str">
        <f t="shared" si="48"/>
        <v>3403 GCT2</v>
      </c>
      <c r="AA1090" s="3">
        <f>IF(INDEX('CAMD Facility Data 2023'!$AA$2:$AE$10000,MATCH(Z1090,'CAMD Facility Data 2023'!$AE$2:$AE$10000,0),1)&gt;0,INDEX('CAMD Facility Data 2023'!$AA$2:$AE$10000,MATCH(Z1090,'CAMD Facility Data 2023'!$AE$2:$AE$10000,0),1),"")</f>
        <v>27395</v>
      </c>
      <c r="AB1090" s="5">
        <f>IF(INDEX('CAMD Facility Data 2023'!$AC$2:$AE$10000,MATCH(Z1090,'CAMD Facility Data 2023'!$AE$2:$AE$10000,0),1)&gt;0,INDEX('CAMD Facility Data 2023'!$AC$2:$AE$10000,MATCH(Z1090,'CAMD Facility Data 2023'!$AE$2:$AE$10000,0),1),"")</f>
        <v>1137</v>
      </c>
      <c r="AC1090" s="1" t="str">
        <f>IF(INDEX('CAMD Facility Data 2023'!$AE$2:$AG$10000,MATCH(Z1090,'CAMD Facility Data 2023'!$AE$2:$AE$10000,0),3)&gt;0,INDEX('CAMD Facility Data 2023'!$AE$2:$AG$10000,MATCH(Z1090,'CAMD Facility Data 2023'!$AE$2:$AE$10000,0),3),"")</f>
        <v/>
      </c>
      <c r="AD1090" s="20">
        <f t="shared" si="49"/>
        <v>6.1152448520505276</v>
      </c>
      <c r="AE1090" s="25">
        <f t="shared" si="50"/>
        <v>8.2780227547459267E-3</v>
      </c>
    </row>
    <row r="1091" spans="1:31" x14ac:dyDescent="0.2">
      <c r="A1091" s="1" t="s">
        <v>2762</v>
      </c>
      <c r="B1091" s="1" t="s">
        <v>2786</v>
      </c>
      <c r="C1091" s="1">
        <v>3403</v>
      </c>
      <c r="D1091" s="1" t="s">
        <v>2797</v>
      </c>
      <c r="F1091" s="1">
        <v>2023</v>
      </c>
      <c r="G1091" s="5">
        <v>24</v>
      </c>
      <c r="H1091" s="5">
        <v>24</v>
      </c>
      <c r="I1091" s="5">
        <v>933</v>
      </c>
      <c r="K1091" s="5">
        <v>2.0299999999999998</v>
      </c>
      <c r="L1091" s="5">
        <v>0.22950000000000001</v>
      </c>
      <c r="M1091" s="5">
        <v>1325.3</v>
      </c>
      <c r="N1091" s="6">
        <v>6.9000000000000006E-2</v>
      </c>
      <c r="O1091" s="5">
        <v>8.8320000000000007</v>
      </c>
      <c r="P1091" s="6">
        <v>0.92930000000000001</v>
      </c>
      <c r="Q1091" s="5">
        <v>19443.099999999999</v>
      </c>
      <c r="R1091" s="1" t="s">
        <v>44</v>
      </c>
      <c r="S1091" s="1" t="s">
        <v>94</v>
      </c>
      <c r="T1091" s="1" t="s">
        <v>93</v>
      </c>
      <c r="Y1091" s="1" t="s">
        <v>1195</v>
      </c>
      <c r="Z1091" s="1" t="str">
        <f t="shared" ref="Z1091:Z1154" si="51">C1091&amp;" "&amp;D1091</f>
        <v>3403 GCT3</v>
      </c>
      <c r="AA1091" s="3">
        <f>IF(INDEX('CAMD Facility Data 2023'!$AA$2:$AE$10000,MATCH(Z1091,'CAMD Facility Data 2023'!$AE$2:$AE$10000,0),1)&gt;0,INDEX('CAMD Facility Data 2023'!$AA$2:$AE$10000,MATCH(Z1091,'CAMD Facility Data 2023'!$AE$2:$AE$10000,0),1),"")</f>
        <v>27395</v>
      </c>
      <c r="AB1091" s="5">
        <f>IF(INDEX('CAMD Facility Data 2023'!$AC$2:$AE$10000,MATCH(Z1091,'CAMD Facility Data 2023'!$AE$2:$AE$10000,0),1)&gt;0,INDEX('CAMD Facility Data 2023'!$AC$2:$AE$10000,MATCH(Z1091,'CAMD Facility Data 2023'!$AE$2:$AE$10000,0),1),"")</f>
        <v>1137</v>
      </c>
      <c r="AC1091" s="1" t="str">
        <f>IF(INDEX('CAMD Facility Data 2023'!$AE$2:$AG$10000,MATCH(Z1091,'CAMD Facility Data 2023'!$AE$2:$AE$10000,0),3)&gt;0,INDEX('CAMD Facility Data 2023'!$AE$2:$AG$10000,MATCH(Z1091,'CAMD Facility Data 2023'!$AE$2:$AE$10000,0),3),"")</f>
        <v/>
      </c>
      <c r="AD1091" s="20">
        <f t="shared" ref="AD1091:AD1154" si="52">IF(ISNUMBER(O1091*2000/I1091),O1091*2000/I1091,"")</f>
        <v>18.932475884244372</v>
      </c>
      <c r="AE1091" s="25">
        <f t="shared" ref="AE1091:AE1154" si="53">Q1091/(AB1091*8760)</f>
        <v>1.9520949546792607E-3</v>
      </c>
    </row>
    <row r="1092" spans="1:31" x14ac:dyDescent="0.2">
      <c r="A1092" s="1" t="s">
        <v>2762</v>
      </c>
      <c r="B1092" s="1" t="s">
        <v>2786</v>
      </c>
      <c r="C1092" s="1">
        <v>3403</v>
      </c>
      <c r="D1092" s="1" t="s">
        <v>2799</v>
      </c>
      <c r="F1092" s="1">
        <v>2023</v>
      </c>
      <c r="G1092" s="5">
        <v>0</v>
      </c>
      <c r="H1092" s="5">
        <v>0</v>
      </c>
      <c r="R1092" s="1" t="s">
        <v>44</v>
      </c>
      <c r="S1092" s="1" t="s">
        <v>94</v>
      </c>
      <c r="T1092" s="1" t="s">
        <v>93</v>
      </c>
      <c r="Y1092" s="1" t="s">
        <v>1195</v>
      </c>
      <c r="Z1092" s="1" t="str">
        <f t="shared" si="51"/>
        <v>3403 GCT4</v>
      </c>
      <c r="AA1092" s="3">
        <f>IF(INDEX('CAMD Facility Data 2023'!$AA$2:$AE$10000,MATCH(Z1092,'CAMD Facility Data 2023'!$AE$2:$AE$10000,0),1)&gt;0,INDEX('CAMD Facility Data 2023'!$AA$2:$AE$10000,MATCH(Z1092,'CAMD Facility Data 2023'!$AE$2:$AE$10000,0),1),"")</f>
        <v>27395</v>
      </c>
      <c r="AB1092" s="5">
        <f>IF(INDEX('CAMD Facility Data 2023'!$AC$2:$AE$10000,MATCH(Z1092,'CAMD Facility Data 2023'!$AE$2:$AE$10000,0),1)&gt;0,INDEX('CAMD Facility Data 2023'!$AC$2:$AE$10000,MATCH(Z1092,'CAMD Facility Data 2023'!$AE$2:$AE$10000,0),1),"")</f>
        <v>1137</v>
      </c>
      <c r="AC1092" s="1" t="str">
        <f>IF(INDEX('CAMD Facility Data 2023'!$AE$2:$AG$10000,MATCH(Z1092,'CAMD Facility Data 2023'!$AE$2:$AE$10000,0),3)&gt;0,INDEX('CAMD Facility Data 2023'!$AE$2:$AG$10000,MATCH(Z1092,'CAMD Facility Data 2023'!$AE$2:$AE$10000,0),3),"")</f>
        <v/>
      </c>
      <c r="AD1092" s="20" t="str">
        <f t="shared" si="52"/>
        <v/>
      </c>
      <c r="AE1092" s="25">
        <f t="shared" si="53"/>
        <v>0</v>
      </c>
    </row>
    <row r="1093" spans="1:31" x14ac:dyDescent="0.2">
      <c r="A1093" s="1" t="s">
        <v>2762</v>
      </c>
      <c r="B1093" s="1" t="s">
        <v>2786</v>
      </c>
      <c r="C1093" s="1">
        <v>3403</v>
      </c>
      <c r="D1093" s="1" t="s">
        <v>2801</v>
      </c>
      <c r="F1093" s="1">
        <v>2023</v>
      </c>
      <c r="G1093" s="5">
        <v>112</v>
      </c>
      <c r="H1093" s="5">
        <v>86.65</v>
      </c>
      <c r="I1093" s="5">
        <v>5555.33</v>
      </c>
      <c r="K1093" s="5">
        <v>5.3999999999999999E-2</v>
      </c>
      <c r="L1093" s="5">
        <v>2.0999999999999999E-3</v>
      </c>
      <c r="M1093" s="5">
        <v>4141.759</v>
      </c>
      <c r="N1093" s="6">
        <v>5.96E-2</v>
      </c>
      <c r="O1093" s="5">
        <v>1.3260000000000001</v>
      </c>
      <c r="P1093" s="6">
        <v>4.3099999999999999E-2</v>
      </c>
      <c r="Q1093" s="5">
        <v>69172.391000000003</v>
      </c>
      <c r="R1093" s="1" t="s">
        <v>44</v>
      </c>
      <c r="S1093" s="1" t="s">
        <v>94</v>
      </c>
      <c r="T1093" s="1" t="s">
        <v>93</v>
      </c>
      <c r="V1093" s="1" t="s">
        <v>183</v>
      </c>
      <c r="Y1093" s="1" t="s">
        <v>1207</v>
      </c>
      <c r="Z1093" s="1" t="str">
        <f t="shared" si="51"/>
        <v>3403 GCT5</v>
      </c>
      <c r="AA1093" s="3">
        <f>IF(INDEX('CAMD Facility Data 2023'!$AA$2:$AE$10000,MATCH(Z1093,'CAMD Facility Data 2023'!$AE$2:$AE$10000,0),1)&gt;0,INDEX('CAMD Facility Data 2023'!$AA$2:$AE$10000,MATCH(Z1093,'CAMD Facility Data 2023'!$AE$2:$AE$10000,0),1),"")</f>
        <v>36637</v>
      </c>
      <c r="AB1093" s="5">
        <f>IF(INDEX('CAMD Facility Data 2023'!$AC$2:$AE$10000,MATCH(Z1093,'CAMD Facility Data 2023'!$AE$2:$AE$10000,0),1)&gt;0,INDEX('CAMD Facility Data 2023'!$AC$2:$AE$10000,MATCH(Z1093,'CAMD Facility Data 2023'!$AE$2:$AE$10000,0),1),"")</f>
        <v>1160</v>
      </c>
      <c r="AC1093" s="1" t="str">
        <f>IF(INDEX('CAMD Facility Data 2023'!$AE$2:$AG$10000,MATCH(Z1093,'CAMD Facility Data 2023'!$AE$2:$AE$10000,0),3)&gt;0,INDEX('CAMD Facility Data 2023'!$AE$2:$AG$10000,MATCH(Z1093,'CAMD Facility Data 2023'!$AE$2:$AE$10000,0),3),"")</f>
        <v/>
      </c>
      <c r="AD1093" s="20">
        <f t="shared" si="52"/>
        <v>0.47737938160289306</v>
      </c>
      <c r="AE1093" s="25">
        <f t="shared" si="53"/>
        <v>6.8072341954022991E-3</v>
      </c>
    </row>
    <row r="1094" spans="1:31" x14ac:dyDescent="0.2">
      <c r="A1094" s="1" t="s">
        <v>2762</v>
      </c>
      <c r="B1094" s="1" t="s">
        <v>2786</v>
      </c>
      <c r="C1094" s="1">
        <v>3403</v>
      </c>
      <c r="D1094" s="1" t="s">
        <v>2803</v>
      </c>
      <c r="F1094" s="1">
        <v>2023</v>
      </c>
      <c r="G1094" s="5">
        <v>94</v>
      </c>
      <c r="H1094" s="5">
        <v>68.33</v>
      </c>
      <c r="I1094" s="5">
        <v>4345.54</v>
      </c>
      <c r="K1094" s="5">
        <v>0.04</v>
      </c>
      <c r="L1094" s="5">
        <v>2.0999999999999999E-3</v>
      </c>
      <c r="M1094" s="5">
        <v>3322.529</v>
      </c>
      <c r="N1094" s="6">
        <v>5.96E-2</v>
      </c>
      <c r="O1094" s="5">
        <v>1.0589999999999999</v>
      </c>
      <c r="P1094" s="6">
        <v>4.9799999999999997E-2</v>
      </c>
      <c r="Q1094" s="5">
        <v>55545.279000000002</v>
      </c>
      <c r="R1094" s="1" t="s">
        <v>44</v>
      </c>
      <c r="S1094" s="1" t="s">
        <v>94</v>
      </c>
      <c r="T1094" s="1" t="s">
        <v>93</v>
      </c>
      <c r="V1094" s="1" t="s">
        <v>183</v>
      </c>
      <c r="Y1094" s="1" t="s">
        <v>1207</v>
      </c>
      <c r="Z1094" s="1" t="str">
        <f t="shared" si="51"/>
        <v>3403 GCT6</v>
      </c>
      <c r="AA1094" s="3">
        <f>IF(INDEX('CAMD Facility Data 2023'!$AA$2:$AE$10000,MATCH(Z1094,'CAMD Facility Data 2023'!$AE$2:$AE$10000,0),1)&gt;0,INDEX('CAMD Facility Data 2023'!$AA$2:$AE$10000,MATCH(Z1094,'CAMD Facility Data 2023'!$AE$2:$AE$10000,0),1),"")</f>
        <v>36654</v>
      </c>
      <c r="AB1094" s="5">
        <f>IF(INDEX('CAMD Facility Data 2023'!$AC$2:$AE$10000,MATCH(Z1094,'CAMD Facility Data 2023'!$AE$2:$AE$10000,0),1)&gt;0,INDEX('CAMD Facility Data 2023'!$AC$2:$AE$10000,MATCH(Z1094,'CAMD Facility Data 2023'!$AE$2:$AE$10000,0),1),"")</f>
        <v>1115</v>
      </c>
      <c r="AC1094" s="1" t="str">
        <f>IF(INDEX('CAMD Facility Data 2023'!$AE$2:$AG$10000,MATCH(Z1094,'CAMD Facility Data 2023'!$AE$2:$AE$10000,0),3)&gt;0,INDEX('CAMD Facility Data 2023'!$AE$2:$AG$10000,MATCH(Z1094,'CAMD Facility Data 2023'!$AE$2:$AE$10000,0),3),"")</f>
        <v/>
      </c>
      <c r="AD1094" s="20">
        <f t="shared" si="52"/>
        <v>0.48739627296032256</v>
      </c>
      <c r="AE1094" s="25">
        <f t="shared" si="53"/>
        <v>5.6868029362982988E-3</v>
      </c>
    </row>
    <row r="1095" spans="1:31" x14ac:dyDescent="0.2">
      <c r="A1095" s="1" t="s">
        <v>2762</v>
      </c>
      <c r="B1095" s="1" t="s">
        <v>2786</v>
      </c>
      <c r="C1095" s="1">
        <v>3403</v>
      </c>
      <c r="D1095" s="1" t="s">
        <v>2805</v>
      </c>
      <c r="F1095" s="1">
        <v>2023</v>
      </c>
      <c r="G1095" s="5">
        <v>116</v>
      </c>
      <c r="H1095" s="5">
        <v>88.93</v>
      </c>
      <c r="I1095" s="5">
        <v>5832.08</v>
      </c>
      <c r="K1095" s="5">
        <v>8.2000000000000003E-2</v>
      </c>
      <c r="L1095" s="5">
        <v>2.5000000000000001E-3</v>
      </c>
      <c r="M1095" s="5">
        <v>4372.3389999999999</v>
      </c>
      <c r="N1095" s="6">
        <v>5.9799999999999999E-2</v>
      </c>
      <c r="O1095" s="5">
        <v>1.2390000000000001</v>
      </c>
      <c r="P1095" s="6">
        <v>3.8100000000000002E-2</v>
      </c>
      <c r="Q1095" s="5">
        <v>72634.66</v>
      </c>
      <c r="R1095" s="1" t="s">
        <v>44</v>
      </c>
      <c r="S1095" s="1" t="s">
        <v>94</v>
      </c>
      <c r="T1095" s="1" t="s">
        <v>93</v>
      </c>
      <c r="V1095" s="1" t="s">
        <v>183</v>
      </c>
      <c r="Y1095" s="1" t="s">
        <v>1207</v>
      </c>
      <c r="Z1095" s="1" t="str">
        <f t="shared" si="51"/>
        <v>3403 GCT7</v>
      </c>
      <c r="AA1095" s="3">
        <f>IF(INDEX('CAMD Facility Data 2023'!$AA$2:$AE$10000,MATCH(Z1095,'CAMD Facility Data 2023'!$AE$2:$AE$10000,0),1)&gt;0,INDEX('CAMD Facility Data 2023'!$AA$2:$AE$10000,MATCH(Z1095,'CAMD Facility Data 2023'!$AE$2:$AE$10000,0),1),"")</f>
        <v>36677</v>
      </c>
      <c r="AB1095" s="5">
        <f>IF(INDEX('CAMD Facility Data 2023'!$AC$2:$AE$10000,MATCH(Z1095,'CAMD Facility Data 2023'!$AE$2:$AE$10000,0),1)&gt;0,INDEX('CAMD Facility Data 2023'!$AC$2:$AE$10000,MATCH(Z1095,'CAMD Facility Data 2023'!$AE$2:$AE$10000,0),1),"")</f>
        <v>1225</v>
      </c>
      <c r="AC1095" s="1" t="str">
        <f>IF(INDEX('CAMD Facility Data 2023'!$AE$2:$AG$10000,MATCH(Z1095,'CAMD Facility Data 2023'!$AE$2:$AE$10000,0),3)&gt;0,INDEX('CAMD Facility Data 2023'!$AE$2:$AG$10000,MATCH(Z1095,'CAMD Facility Data 2023'!$AE$2:$AE$10000,0),3),"")</f>
        <v/>
      </c>
      <c r="AD1095" s="20">
        <f t="shared" si="52"/>
        <v>0.42489129092879385</v>
      </c>
      <c r="AE1095" s="25">
        <f t="shared" si="53"/>
        <v>6.7686757990867586E-3</v>
      </c>
    </row>
    <row r="1096" spans="1:31" x14ac:dyDescent="0.2">
      <c r="A1096" s="1" t="s">
        <v>2762</v>
      </c>
      <c r="B1096" s="1" t="s">
        <v>2786</v>
      </c>
      <c r="C1096" s="1">
        <v>3403</v>
      </c>
      <c r="D1096" s="1" t="s">
        <v>2807</v>
      </c>
      <c r="F1096" s="1">
        <v>2023</v>
      </c>
      <c r="G1096" s="5">
        <v>421</v>
      </c>
      <c r="H1096" s="5">
        <v>362.1</v>
      </c>
      <c r="I1096" s="5">
        <v>26621.11</v>
      </c>
      <c r="K1096" s="5">
        <v>0.28100000000000003</v>
      </c>
      <c r="L1096" s="5">
        <v>2.5999999999999999E-3</v>
      </c>
      <c r="M1096" s="5">
        <v>19242.008000000002</v>
      </c>
      <c r="N1096" s="6">
        <v>5.9799999999999999E-2</v>
      </c>
      <c r="O1096" s="5">
        <v>5.4589999999999996</v>
      </c>
      <c r="P1096" s="6">
        <v>4.07E-2</v>
      </c>
      <c r="Q1096" s="5">
        <v>320950.16800000001</v>
      </c>
      <c r="R1096" s="1" t="s">
        <v>44</v>
      </c>
      <c r="S1096" s="1" t="s">
        <v>94</v>
      </c>
      <c r="T1096" s="1" t="s">
        <v>93</v>
      </c>
      <c r="V1096" s="1" t="s">
        <v>183</v>
      </c>
      <c r="Y1096" s="1" t="s">
        <v>1207</v>
      </c>
      <c r="Z1096" s="1" t="str">
        <f t="shared" si="51"/>
        <v>3403 GCT8</v>
      </c>
      <c r="AA1096" s="3">
        <f>IF(INDEX('CAMD Facility Data 2023'!$AA$2:$AE$10000,MATCH(Z1096,'CAMD Facility Data 2023'!$AE$2:$AE$10000,0),1)&gt;0,INDEX('CAMD Facility Data 2023'!$AA$2:$AE$10000,MATCH(Z1096,'CAMD Facility Data 2023'!$AE$2:$AE$10000,0),1),"")</f>
        <v>36700</v>
      </c>
      <c r="AB1096" s="5">
        <f>IF(INDEX('CAMD Facility Data 2023'!$AC$2:$AE$10000,MATCH(Z1096,'CAMD Facility Data 2023'!$AE$2:$AE$10000,0),1)&gt;0,INDEX('CAMD Facility Data 2023'!$AC$2:$AE$10000,MATCH(Z1096,'CAMD Facility Data 2023'!$AE$2:$AE$10000,0),1),"")</f>
        <v>1218</v>
      </c>
      <c r="AC1096" s="1" t="str">
        <f>IF(INDEX('CAMD Facility Data 2023'!$AE$2:$AG$10000,MATCH(Z1096,'CAMD Facility Data 2023'!$AE$2:$AE$10000,0),3)&gt;0,INDEX('CAMD Facility Data 2023'!$AE$2:$AG$10000,MATCH(Z1096,'CAMD Facility Data 2023'!$AE$2:$AE$10000,0),3),"")</f>
        <v/>
      </c>
      <c r="AD1096" s="20">
        <f t="shared" si="52"/>
        <v>0.4101256484045932</v>
      </c>
      <c r="AE1096" s="25">
        <f t="shared" si="53"/>
        <v>3.0080580486012701E-2</v>
      </c>
    </row>
    <row r="1097" spans="1:31" x14ac:dyDescent="0.2">
      <c r="A1097" s="1" t="s">
        <v>2762</v>
      </c>
      <c r="B1097" s="1" t="s">
        <v>2809</v>
      </c>
      <c r="C1097" s="1">
        <v>3405</v>
      </c>
      <c r="D1097" s="1" t="s">
        <v>2810</v>
      </c>
      <c r="F1097" s="1">
        <v>2023</v>
      </c>
      <c r="G1097" s="5">
        <v>6474</v>
      </c>
      <c r="H1097" s="5">
        <v>6424.51</v>
      </c>
      <c r="I1097" s="5">
        <v>1347032.89</v>
      </c>
      <c r="K1097" s="5">
        <v>2.887</v>
      </c>
      <c r="L1097" s="5">
        <v>1E-3</v>
      </c>
      <c r="M1097" s="5">
        <v>571733.48499999999</v>
      </c>
      <c r="N1097" s="6">
        <v>5.8999999999999997E-2</v>
      </c>
      <c r="O1097" s="5">
        <v>45.381999999999998</v>
      </c>
      <c r="P1097" s="6">
        <v>1.11E-2</v>
      </c>
      <c r="Q1097" s="5">
        <v>9620371.9959999993</v>
      </c>
      <c r="R1097" s="1" t="s">
        <v>44</v>
      </c>
      <c r="S1097" s="1" t="s">
        <v>94</v>
      </c>
      <c r="T1097" s="1" t="s">
        <v>71</v>
      </c>
      <c r="V1097" s="1" t="s">
        <v>643</v>
      </c>
      <c r="Y1097" s="1" t="s">
        <v>1207</v>
      </c>
      <c r="Z1097" s="1" t="str">
        <f t="shared" si="51"/>
        <v>3405 JCC1</v>
      </c>
      <c r="AA1097" s="3">
        <f>IF(INDEX('CAMD Facility Data 2023'!$AA$2:$AE$10000,MATCH(Z1097,'CAMD Facility Data 2023'!$AE$2:$AE$10000,0),1)&gt;0,INDEX('CAMD Facility Data 2023'!$AA$2:$AE$10000,MATCH(Z1097,'CAMD Facility Data 2023'!$AE$2:$AE$10000,0),1),"")</f>
        <v>40894</v>
      </c>
      <c r="AB1097" s="5">
        <f>IF(INDEX('CAMD Facility Data 2023'!$AC$2:$AE$10000,MATCH(Z1097,'CAMD Facility Data 2023'!$AE$2:$AE$10000,0),1)&gt;0,INDEX('CAMD Facility Data 2023'!$AC$2:$AE$10000,MATCH(Z1097,'CAMD Facility Data 2023'!$AE$2:$AE$10000,0),1),"")</f>
        <v>2275.9</v>
      </c>
      <c r="AC1097" s="1" t="str">
        <f>IF(INDEX('CAMD Facility Data 2023'!$AE$2:$AG$10000,MATCH(Z1097,'CAMD Facility Data 2023'!$AE$2:$AE$10000,0),3)&gt;0,INDEX('CAMD Facility Data 2023'!$AE$2:$AG$10000,MATCH(Z1097,'CAMD Facility Data 2023'!$AE$2:$AE$10000,0),3),"")</f>
        <v>Y</v>
      </c>
      <c r="AD1097" s="20">
        <f t="shared" si="52"/>
        <v>6.7380685856898423E-2</v>
      </c>
      <c r="AE1097" s="25">
        <f t="shared" si="53"/>
        <v>0.48254140396262524</v>
      </c>
    </row>
    <row r="1098" spans="1:31" x14ac:dyDescent="0.2">
      <c r="A1098" s="1" t="s">
        <v>2762</v>
      </c>
      <c r="B1098" s="1" t="s">
        <v>2809</v>
      </c>
      <c r="C1098" s="1">
        <v>3405</v>
      </c>
      <c r="D1098" s="1" t="s">
        <v>2814</v>
      </c>
      <c r="F1098" s="1">
        <v>2023</v>
      </c>
      <c r="G1098" s="5">
        <v>7889</v>
      </c>
      <c r="H1098" s="5">
        <v>7869.61</v>
      </c>
      <c r="I1098" s="5">
        <v>1634777.82</v>
      </c>
      <c r="K1098" s="5">
        <v>3.5609999999999999</v>
      </c>
      <c r="L1098" s="5">
        <v>1E-3</v>
      </c>
      <c r="M1098" s="5">
        <v>705159.40899999999</v>
      </c>
      <c r="N1098" s="6">
        <v>5.8999999999999997E-2</v>
      </c>
      <c r="O1098" s="5">
        <v>61.216000000000001</v>
      </c>
      <c r="P1098" s="6">
        <v>1.1299999999999999E-2</v>
      </c>
      <c r="Q1098" s="5">
        <v>11865405.498</v>
      </c>
      <c r="R1098" s="1" t="s">
        <v>44</v>
      </c>
      <c r="S1098" s="1" t="s">
        <v>94</v>
      </c>
      <c r="T1098" s="1" t="s">
        <v>71</v>
      </c>
      <c r="V1098" s="1" t="s">
        <v>643</v>
      </c>
      <c r="Y1098" s="1" t="s">
        <v>1207</v>
      </c>
      <c r="Z1098" s="1" t="str">
        <f t="shared" si="51"/>
        <v>3405 JCC2</v>
      </c>
      <c r="AA1098" s="3">
        <f>IF(INDEX('CAMD Facility Data 2023'!$AA$2:$AE$10000,MATCH(Z1098,'CAMD Facility Data 2023'!$AE$2:$AE$10000,0),1)&gt;0,INDEX('CAMD Facility Data 2023'!$AA$2:$AE$10000,MATCH(Z1098,'CAMD Facility Data 2023'!$AE$2:$AE$10000,0),1),"")</f>
        <v>40924</v>
      </c>
      <c r="AB1098" s="5">
        <f>IF(INDEX('CAMD Facility Data 2023'!$AC$2:$AE$10000,MATCH(Z1098,'CAMD Facility Data 2023'!$AE$2:$AE$10000,0),1)&gt;0,INDEX('CAMD Facility Data 2023'!$AC$2:$AE$10000,MATCH(Z1098,'CAMD Facility Data 2023'!$AE$2:$AE$10000,0),1),"")</f>
        <v>2247.6999999999998</v>
      </c>
      <c r="AC1098" s="1" t="str">
        <f>IF(INDEX('CAMD Facility Data 2023'!$AE$2:$AG$10000,MATCH(Z1098,'CAMD Facility Data 2023'!$AE$2:$AE$10000,0),3)&gt;0,INDEX('CAMD Facility Data 2023'!$AE$2:$AG$10000,MATCH(Z1098,'CAMD Facility Data 2023'!$AE$2:$AE$10000,0),3),"")</f>
        <v>Y</v>
      </c>
      <c r="AD1098" s="20">
        <f t="shared" si="52"/>
        <v>7.4892134271799693E-2</v>
      </c>
      <c r="AE1098" s="25">
        <f t="shared" si="53"/>
        <v>0.60261527095277301</v>
      </c>
    </row>
    <row r="1099" spans="1:31" x14ac:dyDescent="0.2">
      <c r="A1099" s="1" t="s">
        <v>2762</v>
      </c>
      <c r="B1099" s="1" t="s">
        <v>2809</v>
      </c>
      <c r="C1099" s="1">
        <v>3405</v>
      </c>
      <c r="D1099" s="1" t="s">
        <v>2816</v>
      </c>
      <c r="F1099" s="1">
        <v>2023</v>
      </c>
      <c r="G1099" s="5">
        <v>6868</v>
      </c>
      <c r="H1099" s="5">
        <v>6797.54</v>
      </c>
      <c r="I1099" s="5">
        <v>1437775.49</v>
      </c>
      <c r="K1099" s="5">
        <v>3.07</v>
      </c>
      <c r="L1099" s="5">
        <v>1E-3</v>
      </c>
      <c r="M1099" s="5">
        <v>607887.55599999998</v>
      </c>
      <c r="N1099" s="6">
        <v>5.8999999999999997E-2</v>
      </c>
      <c r="O1099" s="5">
        <v>52.738</v>
      </c>
      <c r="P1099" s="6">
        <v>1.24E-2</v>
      </c>
      <c r="Q1099" s="5">
        <v>10228620.034</v>
      </c>
      <c r="R1099" s="1" t="s">
        <v>44</v>
      </c>
      <c r="S1099" s="1" t="s">
        <v>94</v>
      </c>
      <c r="T1099" s="1" t="s">
        <v>71</v>
      </c>
      <c r="V1099" s="1" t="s">
        <v>643</v>
      </c>
      <c r="Y1099" s="1" t="s">
        <v>1207</v>
      </c>
      <c r="Z1099" s="1" t="str">
        <f t="shared" si="51"/>
        <v>3405 JCC3</v>
      </c>
      <c r="AA1099" s="3">
        <f>IF(INDEX('CAMD Facility Data 2023'!$AA$2:$AE$10000,MATCH(Z1099,'CAMD Facility Data 2023'!$AE$2:$AE$10000,0),1)&gt;0,INDEX('CAMD Facility Data 2023'!$AA$2:$AE$10000,MATCH(Z1099,'CAMD Facility Data 2023'!$AE$2:$AE$10000,0),1),"")</f>
        <v>40936</v>
      </c>
      <c r="AB1099" s="5">
        <f>IF(INDEX('CAMD Facility Data 2023'!$AC$2:$AE$10000,MATCH(Z1099,'CAMD Facility Data 2023'!$AE$2:$AE$10000,0),1)&gt;0,INDEX('CAMD Facility Data 2023'!$AC$2:$AE$10000,MATCH(Z1099,'CAMD Facility Data 2023'!$AE$2:$AE$10000,0),1),"")</f>
        <v>2287</v>
      </c>
      <c r="AC1099" s="1" t="str">
        <f>IF(INDEX('CAMD Facility Data 2023'!$AE$2:$AG$10000,MATCH(Z1099,'CAMD Facility Data 2023'!$AE$2:$AE$10000,0),3)&gt;0,INDEX('CAMD Facility Data 2023'!$AE$2:$AG$10000,MATCH(Z1099,'CAMD Facility Data 2023'!$AE$2:$AE$10000,0),3),"")</f>
        <v>Y</v>
      </c>
      <c r="AD1099" s="20">
        <f t="shared" si="52"/>
        <v>7.3360549497195837E-2</v>
      </c>
      <c r="AE1099" s="25">
        <f t="shared" si="53"/>
        <v>0.51055998636326427</v>
      </c>
    </row>
    <row r="1100" spans="1:31" x14ac:dyDescent="0.2">
      <c r="A1100" s="1" t="s">
        <v>2762</v>
      </c>
      <c r="B1100" s="1" t="s">
        <v>2818</v>
      </c>
      <c r="C1100" s="1">
        <v>3406</v>
      </c>
      <c r="D1100" s="1" t="s">
        <v>2819</v>
      </c>
      <c r="F1100" s="1">
        <v>2023</v>
      </c>
      <c r="G1100" s="5">
        <v>42</v>
      </c>
      <c r="H1100" s="5">
        <v>42</v>
      </c>
      <c r="I1100" s="5">
        <v>2061</v>
      </c>
      <c r="K1100" s="5">
        <v>7.0000000000000001E-3</v>
      </c>
      <c r="L1100" s="5">
        <v>1E-3</v>
      </c>
      <c r="M1100" s="5">
        <v>1313</v>
      </c>
      <c r="N1100" s="6">
        <v>5.8999999999999997E-2</v>
      </c>
      <c r="O1100" s="5">
        <v>4.0609999999999999</v>
      </c>
      <c r="P1100" s="6">
        <v>0.3629</v>
      </c>
      <c r="Q1100" s="5">
        <v>22248.5</v>
      </c>
      <c r="R1100" s="1" t="s">
        <v>44</v>
      </c>
      <c r="S1100" s="1" t="s">
        <v>94</v>
      </c>
      <c r="T1100" s="1" t="s">
        <v>93</v>
      </c>
      <c r="Y1100" s="1" t="s">
        <v>1195</v>
      </c>
      <c r="Z1100" s="1" t="str">
        <f t="shared" si="51"/>
        <v>3406 JCT1</v>
      </c>
      <c r="AA1100" s="3">
        <f>IF(INDEX('CAMD Facility Data 2023'!$AA$2:$AE$10000,MATCH(Z1100,'CAMD Facility Data 2023'!$AE$2:$AE$10000,0),1)&gt;0,INDEX('CAMD Facility Data 2023'!$AA$2:$AE$10000,MATCH(Z1100,'CAMD Facility Data 2023'!$AE$2:$AE$10000,0),1),"")</f>
        <v>27303</v>
      </c>
      <c r="AB1100" s="5">
        <f>IF(INDEX('CAMD Facility Data 2023'!$AC$2:$AE$10000,MATCH(Z1100,'CAMD Facility Data 2023'!$AE$2:$AE$10000,0),1)&gt;0,INDEX('CAMD Facility Data 2023'!$AC$2:$AE$10000,MATCH(Z1100,'CAMD Facility Data 2023'!$AE$2:$AE$10000,0),1),"")</f>
        <v>790</v>
      </c>
      <c r="AC1100" s="1" t="str">
        <f>IF(INDEX('CAMD Facility Data 2023'!$AE$2:$AG$10000,MATCH(Z1100,'CAMD Facility Data 2023'!$AE$2:$AE$10000,0),3)&gt;0,INDEX('CAMD Facility Data 2023'!$AE$2:$AG$10000,MATCH(Z1100,'CAMD Facility Data 2023'!$AE$2:$AE$10000,0),3),"")</f>
        <v/>
      </c>
      <c r="AD1100" s="20">
        <f t="shared" si="52"/>
        <v>3.9408054342552159</v>
      </c>
      <c r="AE1100" s="25">
        <f t="shared" si="53"/>
        <v>3.2149153228137103E-3</v>
      </c>
    </row>
    <row r="1101" spans="1:31" x14ac:dyDescent="0.2">
      <c r="A1101" s="1" t="s">
        <v>2762</v>
      </c>
      <c r="B1101" s="1" t="s">
        <v>2818</v>
      </c>
      <c r="C1101" s="1">
        <v>3406</v>
      </c>
      <c r="D1101" s="1" t="s">
        <v>2823</v>
      </c>
      <c r="F1101" s="1">
        <v>2023</v>
      </c>
      <c r="G1101" s="5">
        <v>36</v>
      </c>
      <c r="H1101" s="5">
        <v>36</v>
      </c>
      <c r="I1101" s="5">
        <v>1225</v>
      </c>
      <c r="K1101" s="5">
        <v>1.4890000000000001</v>
      </c>
      <c r="L1101" s="5">
        <v>0.21260000000000001</v>
      </c>
      <c r="M1101" s="5">
        <v>1014.6</v>
      </c>
      <c r="N1101" s="6">
        <v>6.8400000000000002E-2</v>
      </c>
      <c r="O1101" s="5">
        <v>3.31</v>
      </c>
      <c r="P1101" s="6">
        <v>0.45169999999999999</v>
      </c>
      <c r="Q1101" s="5">
        <v>14979.9</v>
      </c>
      <c r="R1101" s="1" t="s">
        <v>44</v>
      </c>
      <c r="S1101" s="1" t="s">
        <v>94</v>
      </c>
      <c r="T1101" s="1" t="s">
        <v>93</v>
      </c>
      <c r="Y1101" s="1" t="s">
        <v>1195</v>
      </c>
      <c r="Z1101" s="1" t="str">
        <f t="shared" si="51"/>
        <v>3406 JCT10</v>
      </c>
      <c r="AA1101" s="3">
        <f>IF(INDEX('CAMD Facility Data 2023'!$AA$2:$AE$10000,MATCH(Z1101,'CAMD Facility Data 2023'!$AE$2:$AE$10000,0),1)&gt;0,INDEX('CAMD Facility Data 2023'!$AA$2:$AE$10000,MATCH(Z1101,'CAMD Facility Data 2023'!$AE$2:$AE$10000,0),1),"")</f>
        <v>27273</v>
      </c>
      <c r="AB1101" s="5">
        <f>IF(INDEX('CAMD Facility Data 2023'!$AC$2:$AE$10000,MATCH(Z1101,'CAMD Facility Data 2023'!$AE$2:$AE$10000,0),1)&gt;0,INDEX('CAMD Facility Data 2023'!$AC$2:$AE$10000,MATCH(Z1101,'CAMD Facility Data 2023'!$AE$2:$AE$10000,0),1),"")</f>
        <v>790</v>
      </c>
      <c r="AC1101" s="1" t="str">
        <f>IF(INDEX('CAMD Facility Data 2023'!$AE$2:$AG$10000,MATCH(Z1101,'CAMD Facility Data 2023'!$AE$2:$AE$10000,0),3)&gt;0,INDEX('CAMD Facility Data 2023'!$AE$2:$AG$10000,MATCH(Z1101,'CAMD Facility Data 2023'!$AE$2:$AE$10000,0),3),"")</f>
        <v/>
      </c>
      <c r="AD1101" s="20">
        <f t="shared" si="52"/>
        <v>5.4040816326530612</v>
      </c>
      <c r="AE1101" s="25">
        <f t="shared" si="53"/>
        <v>2.1646003121206865E-3</v>
      </c>
    </row>
    <row r="1102" spans="1:31" x14ac:dyDescent="0.2">
      <c r="A1102" s="1" t="s">
        <v>2762</v>
      </c>
      <c r="B1102" s="1" t="s">
        <v>2818</v>
      </c>
      <c r="C1102" s="1">
        <v>3406</v>
      </c>
      <c r="D1102" s="1" t="s">
        <v>2825</v>
      </c>
      <c r="F1102" s="1">
        <v>2023</v>
      </c>
      <c r="G1102" s="5">
        <v>6</v>
      </c>
      <c r="H1102" s="5">
        <v>6</v>
      </c>
      <c r="I1102" s="5">
        <v>273</v>
      </c>
      <c r="K1102" s="5">
        <v>1E-3</v>
      </c>
      <c r="L1102" s="5">
        <v>1E-3</v>
      </c>
      <c r="M1102" s="5">
        <v>175.6</v>
      </c>
      <c r="N1102" s="6">
        <v>5.8999999999999997E-2</v>
      </c>
      <c r="O1102" s="5">
        <v>0.48799999999999999</v>
      </c>
      <c r="P1102" s="6">
        <v>0.32800000000000001</v>
      </c>
      <c r="Q1102" s="5">
        <v>2976.9</v>
      </c>
      <c r="R1102" s="1" t="s">
        <v>44</v>
      </c>
      <c r="S1102" s="1" t="s">
        <v>94</v>
      </c>
      <c r="T1102" s="1" t="s">
        <v>93</v>
      </c>
      <c r="Y1102" s="1" t="s">
        <v>1195</v>
      </c>
      <c r="Z1102" s="1" t="str">
        <f t="shared" si="51"/>
        <v>3406 JCT11</v>
      </c>
      <c r="AA1102" s="3">
        <f>IF(INDEX('CAMD Facility Data 2023'!$AA$2:$AE$10000,MATCH(Z1102,'CAMD Facility Data 2023'!$AE$2:$AE$10000,0),1)&gt;0,INDEX('CAMD Facility Data 2023'!$AA$2:$AE$10000,MATCH(Z1102,'CAMD Facility Data 2023'!$AE$2:$AE$10000,0),1),"")</f>
        <v>27364</v>
      </c>
      <c r="AB1102" s="5">
        <f>IF(INDEX('CAMD Facility Data 2023'!$AC$2:$AE$10000,MATCH(Z1102,'CAMD Facility Data 2023'!$AE$2:$AE$10000,0),1)&gt;0,INDEX('CAMD Facility Data 2023'!$AC$2:$AE$10000,MATCH(Z1102,'CAMD Facility Data 2023'!$AE$2:$AE$10000,0),1),"")</f>
        <v>790</v>
      </c>
      <c r="AC1102" s="1" t="str">
        <f>IF(INDEX('CAMD Facility Data 2023'!$AE$2:$AG$10000,MATCH(Z1102,'CAMD Facility Data 2023'!$AE$2:$AE$10000,0),3)&gt;0,INDEX('CAMD Facility Data 2023'!$AE$2:$AG$10000,MATCH(Z1102,'CAMD Facility Data 2023'!$AE$2:$AE$10000,0),3),"")</f>
        <v/>
      </c>
      <c r="AD1102" s="20">
        <f t="shared" si="52"/>
        <v>3.5750915750915753</v>
      </c>
      <c r="AE1102" s="25">
        <f t="shared" si="53"/>
        <v>4.3016299635859198E-4</v>
      </c>
    </row>
    <row r="1103" spans="1:31" x14ac:dyDescent="0.2">
      <c r="A1103" s="1" t="s">
        <v>2762</v>
      </c>
      <c r="B1103" s="1" t="s">
        <v>2818</v>
      </c>
      <c r="C1103" s="1">
        <v>3406</v>
      </c>
      <c r="D1103" s="1" t="s">
        <v>2827</v>
      </c>
      <c r="F1103" s="1">
        <v>2023</v>
      </c>
      <c r="G1103" s="5">
        <v>27</v>
      </c>
      <c r="H1103" s="5">
        <v>27</v>
      </c>
      <c r="I1103" s="5">
        <v>920</v>
      </c>
      <c r="K1103" s="5">
        <v>1.5429999999999999</v>
      </c>
      <c r="L1103" s="5">
        <v>0.25030000000000002</v>
      </c>
      <c r="M1103" s="5">
        <v>692.9</v>
      </c>
      <c r="N1103" s="6">
        <v>7.0000000000000007E-2</v>
      </c>
      <c r="O1103" s="5">
        <v>2.3740000000000001</v>
      </c>
      <c r="P1103" s="6">
        <v>0.4587</v>
      </c>
      <c r="Q1103" s="5">
        <v>9440</v>
      </c>
      <c r="R1103" s="1" t="s">
        <v>44</v>
      </c>
      <c r="S1103" s="1" t="s">
        <v>94</v>
      </c>
      <c r="T1103" s="1" t="s">
        <v>93</v>
      </c>
      <c r="Y1103" s="1" t="s">
        <v>1195</v>
      </c>
      <c r="Z1103" s="1" t="str">
        <f t="shared" si="51"/>
        <v>3406 JCT12</v>
      </c>
      <c r="AA1103" s="3">
        <f>IF(INDEX('CAMD Facility Data 2023'!$AA$2:$AE$10000,MATCH(Z1103,'CAMD Facility Data 2023'!$AE$2:$AE$10000,0),1)&gt;0,INDEX('CAMD Facility Data 2023'!$AA$2:$AE$10000,MATCH(Z1103,'CAMD Facility Data 2023'!$AE$2:$AE$10000,0),1),"")</f>
        <v>27364</v>
      </c>
      <c r="AB1103" s="5">
        <f>IF(INDEX('CAMD Facility Data 2023'!$AC$2:$AE$10000,MATCH(Z1103,'CAMD Facility Data 2023'!$AE$2:$AE$10000,0),1)&gt;0,INDEX('CAMD Facility Data 2023'!$AC$2:$AE$10000,MATCH(Z1103,'CAMD Facility Data 2023'!$AE$2:$AE$10000,0),1),"")</f>
        <v>790</v>
      </c>
      <c r="AC1103" s="1" t="str">
        <f>IF(INDEX('CAMD Facility Data 2023'!$AE$2:$AG$10000,MATCH(Z1103,'CAMD Facility Data 2023'!$AE$2:$AE$10000,0),3)&gt;0,INDEX('CAMD Facility Data 2023'!$AE$2:$AG$10000,MATCH(Z1103,'CAMD Facility Data 2023'!$AE$2:$AE$10000,0),3),"")</f>
        <v/>
      </c>
      <c r="AD1103" s="20">
        <f t="shared" si="52"/>
        <v>5.160869565217391</v>
      </c>
      <c r="AE1103" s="25">
        <f t="shared" si="53"/>
        <v>1.3640830009826021E-3</v>
      </c>
    </row>
    <row r="1104" spans="1:31" x14ac:dyDescent="0.2">
      <c r="A1104" s="1" t="s">
        <v>2762</v>
      </c>
      <c r="B1104" s="1" t="s">
        <v>2818</v>
      </c>
      <c r="C1104" s="1">
        <v>3406</v>
      </c>
      <c r="D1104" s="1" t="s">
        <v>2829</v>
      </c>
      <c r="F1104" s="1">
        <v>2023</v>
      </c>
      <c r="G1104" s="5">
        <v>9</v>
      </c>
      <c r="H1104" s="5">
        <v>9</v>
      </c>
      <c r="I1104" s="5">
        <v>345</v>
      </c>
      <c r="K1104" s="5">
        <v>1E-3</v>
      </c>
      <c r="L1104" s="5">
        <v>6.9999999999999999E-4</v>
      </c>
      <c r="M1104" s="5">
        <v>198.9</v>
      </c>
      <c r="N1104" s="6">
        <v>5.8999999999999997E-2</v>
      </c>
      <c r="O1104" s="5">
        <v>0.56299999999999994</v>
      </c>
      <c r="P1104" s="6">
        <v>0.3493</v>
      </c>
      <c r="Q1104" s="5">
        <v>3370.9</v>
      </c>
      <c r="R1104" s="1" t="s">
        <v>44</v>
      </c>
      <c r="S1104" s="1" t="s">
        <v>94</v>
      </c>
      <c r="T1104" s="1" t="s">
        <v>93</v>
      </c>
      <c r="Y1104" s="1" t="s">
        <v>1195</v>
      </c>
      <c r="Z1104" s="1" t="str">
        <f t="shared" si="51"/>
        <v>3406 JCT13</v>
      </c>
      <c r="AA1104" s="3">
        <f>IF(INDEX('CAMD Facility Data 2023'!$AA$2:$AE$10000,MATCH(Z1104,'CAMD Facility Data 2023'!$AE$2:$AE$10000,0),1)&gt;0,INDEX('CAMD Facility Data 2023'!$AA$2:$AE$10000,MATCH(Z1104,'CAMD Facility Data 2023'!$AE$2:$AE$10000,0),1),"")</f>
        <v>27364</v>
      </c>
      <c r="AB1104" s="5">
        <f>IF(INDEX('CAMD Facility Data 2023'!$AC$2:$AE$10000,MATCH(Z1104,'CAMD Facility Data 2023'!$AE$2:$AE$10000,0),1)&gt;0,INDEX('CAMD Facility Data 2023'!$AC$2:$AE$10000,MATCH(Z1104,'CAMD Facility Data 2023'!$AE$2:$AE$10000,0),1),"")</f>
        <v>790</v>
      </c>
      <c r="AC1104" s="1" t="str">
        <f>IF(INDEX('CAMD Facility Data 2023'!$AE$2:$AG$10000,MATCH(Z1104,'CAMD Facility Data 2023'!$AE$2:$AE$10000,0),3)&gt;0,INDEX('CAMD Facility Data 2023'!$AE$2:$AG$10000,MATCH(Z1104,'CAMD Facility Data 2023'!$AE$2:$AE$10000,0),3),"")</f>
        <v/>
      </c>
      <c r="AD1104" s="20">
        <f t="shared" si="52"/>
        <v>3.2637681159420291</v>
      </c>
      <c r="AE1104" s="25">
        <f t="shared" si="53"/>
        <v>4.8709612161146755E-4</v>
      </c>
    </row>
    <row r="1105" spans="1:31" x14ac:dyDescent="0.2">
      <c r="A1105" s="1" t="s">
        <v>2762</v>
      </c>
      <c r="B1105" s="1" t="s">
        <v>2818</v>
      </c>
      <c r="C1105" s="1">
        <v>3406</v>
      </c>
      <c r="D1105" s="1" t="s">
        <v>2831</v>
      </c>
      <c r="F1105" s="1">
        <v>2023</v>
      </c>
      <c r="G1105" s="5">
        <v>22</v>
      </c>
      <c r="H1105" s="5">
        <v>22</v>
      </c>
      <c r="I1105" s="5">
        <v>476</v>
      </c>
      <c r="K1105" s="5">
        <v>0.627</v>
      </c>
      <c r="L1105" s="5">
        <v>0.2006</v>
      </c>
      <c r="M1105" s="5">
        <v>478.2</v>
      </c>
      <c r="N1105" s="6">
        <v>6.7799999999999999E-2</v>
      </c>
      <c r="O1105" s="5">
        <v>1.506</v>
      </c>
      <c r="P1105" s="6">
        <v>0.43619999999999998</v>
      </c>
      <c r="Q1105" s="5">
        <v>7174.1</v>
      </c>
      <c r="R1105" s="1" t="s">
        <v>44</v>
      </c>
      <c r="S1105" s="1" t="s">
        <v>94</v>
      </c>
      <c r="T1105" s="1" t="s">
        <v>93</v>
      </c>
      <c r="Y1105" s="1" t="s">
        <v>1195</v>
      </c>
      <c r="Z1105" s="1" t="str">
        <f t="shared" si="51"/>
        <v>3406 JCT14</v>
      </c>
      <c r="AA1105" s="3">
        <f>IF(INDEX('CAMD Facility Data 2023'!$AA$2:$AE$10000,MATCH(Z1105,'CAMD Facility Data 2023'!$AE$2:$AE$10000,0),1)&gt;0,INDEX('CAMD Facility Data 2023'!$AA$2:$AE$10000,MATCH(Z1105,'CAMD Facility Data 2023'!$AE$2:$AE$10000,0),1),"")</f>
        <v>27364</v>
      </c>
      <c r="AB1105" s="5">
        <f>IF(INDEX('CAMD Facility Data 2023'!$AC$2:$AE$10000,MATCH(Z1105,'CAMD Facility Data 2023'!$AE$2:$AE$10000,0),1)&gt;0,INDEX('CAMD Facility Data 2023'!$AC$2:$AE$10000,MATCH(Z1105,'CAMD Facility Data 2023'!$AE$2:$AE$10000,0),1),"")</f>
        <v>790</v>
      </c>
      <c r="AC1105" s="1" t="str">
        <f>IF(INDEX('CAMD Facility Data 2023'!$AE$2:$AG$10000,MATCH(Z1105,'CAMD Facility Data 2023'!$AE$2:$AE$10000,0),3)&gt;0,INDEX('CAMD Facility Data 2023'!$AE$2:$AG$10000,MATCH(Z1105,'CAMD Facility Data 2023'!$AE$2:$AE$10000,0),3),"")</f>
        <v/>
      </c>
      <c r="AD1105" s="20">
        <f t="shared" si="52"/>
        <v>6.3277310924369745</v>
      </c>
      <c r="AE1105" s="25">
        <f t="shared" si="53"/>
        <v>1.0366597306514075E-3</v>
      </c>
    </row>
    <row r="1106" spans="1:31" x14ac:dyDescent="0.2">
      <c r="A1106" s="1" t="s">
        <v>2762</v>
      </c>
      <c r="B1106" s="1" t="s">
        <v>2818</v>
      </c>
      <c r="C1106" s="1">
        <v>3406</v>
      </c>
      <c r="D1106" s="1" t="s">
        <v>2833</v>
      </c>
      <c r="F1106" s="1">
        <v>2023</v>
      </c>
      <c r="G1106" s="5">
        <v>14</v>
      </c>
      <c r="H1106" s="5">
        <v>14</v>
      </c>
      <c r="I1106" s="5">
        <v>531</v>
      </c>
      <c r="K1106" s="5">
        <v>2E-3</v>
      </c>
      <c r="L1106" s="5">
        <v>8.0000000000000004E-4</v>
      </c>
      <c r="M1106" s="5">
        <v>299.60000000000002</v>
      </c>
      <c r="N1106" s="6">
        <v>5.8999999999999997E-2</v>
      </c>
      <c r="O1106" s="5">
        <v>0.85899999999999999</v>
      </c>
      <c r="P1106" s="6">
        <v>0.34660000000000002</v>
      </c>
      <c r="Q1106" s="5">
        <v>5080.1000000000004</v>
      </c>
      <c r="R1106" s="1" t="s">
        <v>44</v>
      </c>
      <c r="S1106" s="1" t="s">
        <v>94</v>
      </c>
      <c r="T1106" s="1" t="s">
        <v>93</v>
      </c>
      <c r="Y1106" s="1" t="s">
        <v>1195</v>
      </c>
      <c r="Z1106" s="1" t="str">
        <f t="shared" si="51"/>
        <v>3406 JCT15</v>
      </c>
      <c r="AA1106" s="3">
        <f>IF(INDEX('CAMD Facility Data 2023'!$AA$2:$AE$10000,MATCH(Z1106,'CAMD Facility Data 2023'!$AE$2:$AE$10000,0),1)&gt;0,INDEX('CAMD Facility Data 2023'!$AA$2:$AE$10000,MATCH(Z1106,'CAMD Facility Data 2023'!$AE$2:$AE$10000,0),1),"")</f>
        <v>27364</v>
      </c>
      <c r="AB1106" s="5">
        <f>IF(INDEX('CAMD Facility Data 2023'!$AC$2:$AE$10000,MATCH(Z1106,'CAMD Facility Data 2023'!$AE$2:$AE$10000,0),1)&gt;0,INDEX('CAMD Facility Data 2023'!$AC$2:$AE$10000,MATCH(Z1106,'CAMD Facility Data 2023'!$AE$2:$AE$10000,0),1),"")</f>
        <v>790</v>
      </c>
      <c r="AC1106" s="1" t="str">
        <f>IF(INDEX('CAMD Facility Data 2023'!$AE$2:$AG$10000,MATCH(Z1106,'CAMD Facility Data 2023'!$AE$2:$AE$10000,0),3)&gt;0,INDEX('CAMD Facility Data 2023'!$AE$2:$AG$10000,MATCH(Z1106,'CAMD Facility Data 2023'!$AE$2:$AE$10000,0),3),"")</f>
        <v/>
      </c>
      <c r="AD1106" s="20">
        <f t="shared" si="52"/>
        <v>3.2354048964218456</v>
      </c>
      <c r="AE1106" s="25">
        <f t="shared" si="53"/>
        <v>7.3407606496734298E-4</v>
      </c>
    </row>
    <row r="1107" spans="1:31" x14ac:dyDescent="0.2">
      <c r="A1107" s="1" t="s">
        <v>2762</v>
      </c>
      <c r="B1107" s="1" t="s">
        <v>2818</v>
      </c>
      <c r="C1107" s="1">
        <v>3406</v>
      </c>
      <c r="D1107" s="1" t="s">
        <v>2835</v>
      </c>
      <c r="F1107" s="1">
        <v>2023</v>
      </c>
      <c r="G1107" s="5">
        <v>18</v>
      </c>
      <c r="H1107" s="5">
        <v>18</v>
      </c>
      <c r="I1107" s="5">
        <v>698</v>
      </c>
      <c r="K1107" s="5">
        <v>0.375</v>
      </c>
      <c r="L1107" s="5">
        <v>0.16769999999999999</v>
      </c>
      <c r="M1107" s="5">
        <v>416.3</v>
      </c>
      <c r="N1107" s="6">
        <v>6.6199999999999995E-2</v>
      </c>
      <c r="O1107" s="5">
        <v>1.2889999999999999</v>
      </c>
      <c r="P1107" s="6">
        <v>0.42659999999999998</v>
      </c>
      <c r="Q1107" s="5">
        <v>6497.3</v>
      </c>
      <c r="R1107" s="1" t="s">
        <v>44</v>
      </c>
      <c r="S1107" s="1" t="s">
        <v>94</v>
      </c>
      <c r="T1107" s="1" t="s">
        <v>93</v>
      </c>
      <c r="Y1107" s="1" t="s">
        <v>1195</v>
      </c>
      <c r="Z1107" s="1" t="str">
        <f t="shared" si="51"/>
        <v>3406 JCT16</v>
      </c>
      <c r="AA1107" s="3">
        <f>IF(INDEX('CAMD Facility Data 2023'!$AA$2:$AE$10000,MATCH(Z1107,'CAMD Facility Data 2023'!$AE$2:$AE$10000,0),1)&gt;0,INDEX('CAMD Facility Data 2023'!$AA$2:$AE$10000,MATCH(Z1107,'CAMD Facility Data 2023'!$AE$2:$AE$10000,0),1),"")</f>
        <v>27364</v>
      </c>
      <c r="AB1107" s="5">
        <f>IF(INDEX('CAMD Facility Data 2023'!$AC$2:$AE$10000,MATCH(Z1107,'CAMD Facility Data 2023'!$AE$2:$AE$10000,0),1)&gt;0,INDEX('CAMD Facility Data 2023'!$AC$2:$AE$10000,MATCH(Z1107,'CAMD Facility Data 2023'!$AE$2:$AE$10000,0),1),"")</f>
        <v>790</v>
      </c>
      <c r="AC1107" s="1" t="str">
        <f>IF(INDEX('CAMD Facility Data 2023'!$AE$2:$AG$10000,MATCH(Z1107,'CAMD Facility Data 2023'!$AE$2:$AE$10000,0),3)&gt;0,INDEX('CAMD Facility Data 2023'!$AE$2:$AG$10000,MATCH(Z1107,'CAMD Facility Data 2023'!$AE$2:$AE$10000,0),3),"")</f>
        <v/>
      </c>
      <c r="AD1107" s="20">
        <f t="shared" si="52"/>
        <v>3.6934097421203438</v>
      </c>
      <c r="AE1107" s="25">
        <f t="shared" si="53"/>
        <v>9.3886191549621414E-4</v>
      </c>
    </row>
    <row r="1108" spans="1:31" x14ac:dyDescent="0.2">
      <c r="A1108" s="1" t="s">
        <v>2762</v>
      </c>
      <c r="B1108" s="1" t="s">
        <v>2818</v>
      </c>
      <c r="C1108" s="1">
        <v>3406</v>
      </c>
      <c r="D1108" s="1" t="s">
        <v>2837</v>
      </c>
      <c r="F1108" s="1">
        <v>2023</v>
      </c>
      <c r="G1108" s="5">
        <v>1036</v>
      </c>
      <c r="H1108" s="5">
        <v>952.16</v>
      </c>
      <c r="I1108" s="5">
        <v>67088.77</v>
      </c>
      <c r="K1108" s="5">
        <v>0.252</v>
      </c>
      <c r="L1108" s="5">
        <v>1E-3</v>
      </c>
      <c r="M1108" s="5">
        <v>48339.353000000003</v>
      </c>
      <c r="N1108" s="6">
        <v>5.8999999999999997E-2</v>
      </c>
      <c r="O1108" s="5">
        <v>13.919</v>
      </c>
      <c r="P1108" s="6">
        <v>3.5999999999999997E-2</v>
      </c>
      <c r="Q1108" s="5">
        <v>813268.76599999995</v>
      </c>
      <c r="R1108" s="1" t="s">
        <v>44</v>
      </c>
      <c r="S1108" s="1" t="s">
        <v>94</v>
      </c>
      <c r="T1108" s="1" t="s">
        <v>93</v>
      </c>
      <c r="V1108" s="1" t="s">
        <v>183</v>
      </c>
      <c r="Y1108" s="1" t="s">
        <v>1207</v>
      </c>
      <c r="Z1108" s="1" t="str">
        <f t="shared" si="51"/>
        <v>3406 JCT17</v>
      </c>
      <c r="AA1108" s="3">
        <f>IF(INDEX('CAMD Facility Data 2023'!$AA$2:$AE$10000,MATCH(Z1108,'CAMD Facility Data 2023'!$AE$2:$AE$10000,0),1)&gt;0,INDEX('CAMD Facility Data 2023'!$AA$2:$AE$10000,MATCH(Z1108,'CAMD Facility Data 2023'!$AE$2:$AE$10000,0),1),"")</f>
        <v>36669</v>
      </c>
      <c r="AB1108" s="5">
        <f>IF(INDEX('CAMD Facility Data 2023'!$AC$2:$AE$10000,MATCH(Z1108,'CAMD Facility Data 2023'!$AE$2:$AE$10000,0),1)&gt;0,INDEX('CAMD Facility Data 2023'!$AC$2:$AE$10000,MATCH(Z1108,'CAMD Facility Data 2023'!$AE$2:$AE$10000,0),1),"")</f>
        <v>1209</v>
      </c>
      <c r="AC1108" s="1" t="str">
        <f>IF(INDEX('CAMD Facility Data 2023'!$AE$2:$AG$10000,MATCH(Z1108,'CAMD Facility Data 2023'!$AE$2:$AE$10000,0),3)&gt;0,INDEX('CAMD Facility Data 2023'!$AE$2:$AG$10000,MATCH(Z1108,'CAMD Facility Data 2023'!$AE$2:$AE$10000,0),3),"")</f>
        <v/>
      </c>
      <c r="AD1108" s="20">
        <f t="shared" si="52"/>
        <v>0.41494276911024003</v>
      </c>
      <c r="AE1108" s="25">
        <f t="shared" si="53"/>
        <v>7.6789826491571955E-2</v>
      </c>
    </row>
    <row r="1109" spans="1:31" x14ac:dyDescent="0.2">
      <c r="A1109" s="1" t="s">
        <v>2762</v>
      </c>
      <c r="B1109" s="1" t="s">
        <v>2818</v>
      </c>
      <c r="C1109" s="1">
        <v>3406</v>
      </c>
      <c r="D1109" s="1" t="s">
        <v>2839</v>
      </c>
      <c r="F1109" s="1">
        <v>2023</v>
      </c>
      <c r="G1109" s="5">
        <v>1048</v>
      </c>
      <c r="H1109" s="5">
        <v>959.68</v>
      </c>
      <c r="I1109" s="5">
        <v>64243.360000000001</v>
      </c>
      <c r="K1109" s="5">
        <v>0.23799999999999999</v>
      </c>
      <c r="L1109" s="5">
        <v>1.4E-3</v>
      </c>
      <c r="M1109" s="5">
        <v>34894.625999999997</v>
      </c>
      <c r="N1109" s="6">
        <v>5.9299999999999999E-2</v>
      </c>
      <c r="O1109" s="5">
        <v>9.8309999999999995</v>
      </c>
      <c r="P1109" s="6">
        <v>3.7100000000000001E-2</v>
      </c>
      <c r="Q1109" s="5">
        <v>586183.59600000002</v>
      </c>
      <c r="R1109" s="1" t="s">
        <v>44</v>
      </c>
      <c r="S1109" s="1" t="s">
        <v>94</v>
      </c>
      <c r="T1109" s="1" t="s">
        <v>93</v>
      </c>
      <c r="V1109" s="1" t="s">
        <v>183</v>
      </c>
      <c r="Y1109" s="1" t="s">
        <v>1207</v>
      </c>
      <c r="Z1109" s="1" t="str">
        <f t="shared" si="51"/>
        <v>3406 JCT18</v>
      </c>
      <c r="AA1109" s="3">
        <f>IF(INDEX('CAMD Facility Data 2023'!$AA$2:$AE$10000,MATCH(Z1109,'CAMD Facility Data 2023'!$AE$2:$AE$10000,0),1)&gt;0,INDEX('CAMD Facility Data 2023'!$AA$2:$AE$10000,MATCH(Z1109,'CAMD Facility Data 2023'!$AE$2:$AE$10000,0),1),"")</f>
        <v>36658</v>
      </c>
      <c r="AB1109" s="5">
        <f>IF(INDEX('CAMD Facility Data 2023'!$AC$2:$AE$10000,MATCH(Z1109,'CAMD Facility Data 2023'!$AE$2:$AE$10000,0),1)&gt;0,INDEX('CAMD Facility Data 2023'!$AC$2:$AE$10000,MATCH(Z1109,'CAMD Facility Data 2023'!$AE$2:$AE$10000,0),1),"")</f>
        <v>1209</v>
      </c>
      <c r="AC1109" s="1" t="str">
        <f>IF(INDEX('CAMD Facility Data 2023'!$AE$2:$AG$10000,MATCH(Z1109,'CAMD Facility Data 2023'!$AE$2:$AE$10000,0),3)&gt;0,INDEX('CAMD Facility Data 2023'!$AE$2:$AG$10000,MATCH(Z1109,'CAMD Facility Data 2023'!$AE$2:$AE$10000,0),3),"")</f>
        <v/>
      </c>
      <c r="AD1109" s="20">
        <f t="shared" si="52"/>
        <v>0.30605497595393516</v>
      </c>
      <c r="AE1109" s="25">
        <f t="shared" si="53"/>
        <v>5.5348168417236027E-2</v>
      </c>
    </row>
    <row r="1110" spans="1:31" x14ac:dyDescent="0.2">
      <c r="A1110" s="1" t="s">
        <v>2762</v>
      </c>
      <c r="B1110" s="1" t="s">
        <v>2818</v>
      </c>
      <c r="C1110" s="1">
        <v>3406</v>
      </c>
      <c r="D1110" s="1" t="s">
        <v>2841</v>
      </c>
      <c r="F1110" s="1">
        <v>2023</v>
      </c>
      <c r="G1110" s="5">
        <v>1012</v>
      </c>
      <c r="H1110" s="5">
        <v>928.36</v>
      </c>
      <c r="I1110" s="5">
        <v>65107.32</v>
      </c>
      <c r="K1110" s="5">
        <v>0.435</v>
      </c>
      <c r="L1110" s="5">
        <v>1.5E-3</v>
      </c>
      <c r="M1110" s="5">
        <v>48616.381000000001</v>
      </c>
      <c r="N1110" s="6">
        <v>5.9200000000000003E-2</v>
      </c>
      <c r="O1110" s="5">
        <v>13.75</v>
      </c>
      <c r="P1110" s="6">
        <v>3.6299999999999999E-2</v>
      </c>
      <c r="Q1110" s="5">
        <v>815125.12199999997</v>
      </c>
      <c r="R1110" s="1" t="s">
        <v>44</v>
      </c>
      <c r="S1110" s="1" t="s">
        <v>94</v>
      </c>
      <c r="T1110" s="1" t="s">
        <v>93</v>
      </c>
      <c r="V1110" s="1" t="s">
        <v>183</v>
      </c>
      <c r="Y1110" s="1" t="s">
        <v>1207</v>
      </c>
      <c r="Z1110" s="1" t="str">
        <f t="shared" si="51"/>
        <v>3406 JCT19</v>
      </c>
      <c r="AA1110" s="3">
        <f>IF(INDEX('CAMD Facility Data 2023'!$AA$2:$AE$10000,MATCH(Z1110,'CAMD Facility Data 2023'!$AE$2:$AE$10000,0),1)&gt;0,INDEX('CAMD Facility Data 2023'!$AA$2:$AE$10000,MATCH(Z1110,'CAMD Facility Data 2023'!$AE$2:$AE$10000,0),1),"")</f>
        <v>36675</v>
      </c>
      <c r="AB1110" s="5">
        <f>IF(INDEX('CAMD Facility Data 2023'!$AC$2:$AE$10000,MATCH(Z1110,'CAMD Facility Data 2023'!$AE$2:$AE$10000,0),1)&gt;0,INDEX('CAMD Facility Data 2023'!$AC$2:$AE$10000,MATCH(Z1110,'CAMD Facility Data 2023'!$AE$2:$AE$10000,0),1),"")</f>
        <v>1209</v>
      </c>
      <c r="AC1110" s="1" t="str">
        <f>IF(INDEX('CAMD Facility Data 2023'!$AE$2:$AG$10000,MATCH(Z1110,'CAMD Facility Data 2023'!$AE$2:$AE$10000,0),3)&gt;0,INDEX('CAMD Facility Data 2023'!$AE$2:$AG$10000,MATCH(Z1110,'CAMD Facility Data 2023'!$AE$2:$AE$10000,0),3),"")</f>
        <v/>
      </c>
      <c r="AD1110" s="20">
        <f t="shared" si="52"/>
        <v>0.42237954196240912</v>
      </c>
      <c r="AE1110" s="25">
        <f t="shared" si="53"/>
        <v>7.6965105883952542E-2</v>
      </c>
    </row>
    <row r="1111" spans="1:31" x14ac:dyDescent="0.2">
      <c r="A1111" s="1" t="s">
        <v>2762</v>
      </c>
      <c r="B1111" s="1" t="s">
        <v>2818</v>
      </c>
      <c r="C1111" s="1">
        <v>3406</v>
      </c>
      <c r="D1111" s="1" t="s">
        <v>2843</v>
      </c>
      <c r="F1111" s="1">
        <v>2023</v>
      </c>
      <c r="G1111" s="5">
        <v>64</v>
      </c>
      <c r="H1111" s="5">
        <v>64</v>
      </c>
      <c r="I1111" s="5">
        <v>2852</v>
      </c>
      <c r="K1111" s="5">
        <v>1.272</v>
      </c>
      <c r="L1111" s="5">
        <v>9.0999999999999998E-2</v>
      </c>
      <c r="M1111" s="5">
        <v>1938.3</v>
      </c>
      <c r="N1111" s="6">
        <v>6.2899999999999998E-2</v>
      </c>
      <c r="O1111" s="5">
        <v>5.9669999999999996</v>
      </c>
      <c r="P1111" s="6">
        <v>0.39169999999999999</v>
      </c>
      <c r="Q1111" s="5">
        <v>30968.7</v>
      </c>
      <c r="R1111" s="1" t="s">
        <v>44</v>
      </c>
      <c r="S1111" s="1" t="s">
        <v>94</v>
      </c>
      <c r="T1111" s="1" t="s">
        <v>93</v>
      </c>
      <c r="Y1111" s="1" t="s">
        <v>1195</v>
      </c>
      <c r="Z1111" s="1" t="str">
        <f t="shared" si="51"/>
        <v>3406 JCT2</v>
      </c>
      <c r="AA1111" s="3">
        <f>IF(INDEX('CAMD Facility Data 2023'!$AA$2:$AE$10000,MATCH(Z1111,'CAMD Facility Data 2023'!$AE$2:$AE$10000,0),1)&gt;0,INDEX('CAMD Facility Data 2023'!$AA$2:$AE$10000,MATCH(Z1111,'CAMD Facility Data 2023'!$AE$2:$AE$10000,0),1),"")</f>
        <v>27303</v>
      </c>
      <c r="AB1111" s="5">
        <f>IF(INDEX('CAMD Facility Data 2023'!$AC$2:$AE$10000,MATCH(Z1111,'CAMD Facility Data 2023'!$AE$2:$AE$10000,0),1)&gt;0,INDEX('CAMD Facility Data 2023'!$AC$2:$AE$10000,MATCH(Z1111,'CAMD Facility Data 2023'!$AE$2:$AE$10000,0),1),"")</f>
        <v>790</v>
      </c>
      <c r="AC1111" s="1" t="str">
        <f>IF(INDEX('CAMD Facility Data 2023'!$AE$2:$AG$10000,MATCH(Z1111,'CAMD Facility Data 2023'!$AE$2:$AE$10000,0),3)&gt;0,INDEX('CAMD Facility Data 2023'!$AE$2:$AG$10000,MATCH(Z1111,'CAMD Facility Data 2023'!$AE$2:$AE$10000,0),3),"")</f>
        <v/>
      </c>
      <c r="AD1111" s="20">
        <f t="shared" si="52"/>
        <v>4.1844319775596075</v>
      </c>
      <c r="AE1111" s="25">
        <f t="shared" si="53"/>
        <v>4.4749869949713894E-3</v>
      </c>
    </row>
    <row r="1112" spans="1:31" x14ac:dyDescent="0.2">
      <c r="A1112" s="1" t="s">
        <v>2762</v>
      </c>
      <c r="B1112" s="1" t="s">
        <v>2818</v>
      </c>
      <c r="C1112" s="1">
        <v>3406</v>
      </c>
      <c r="D1112" s="1" t="s">
        <v>2845</v>
      </c>
      <c r="F1112" s="1">
        <v>2023</v>
      </c>
      <c r="G1112" s="5">
        <v>7606</v>
      </c>
      <c r="H1112" s="5">
        <v>7583.61</v>
      </c>
      <c r="I1112" s="5">
        <v>789326.04</v>
      </c>
      <c r="K1112" s="5">
        <v>1.873</v>
      </c>
      <c r="L1112" s="5">
        <v>1.1999999999999999E-3</v>
      </c>
      <c r="M1112" s="5">
        <v>345207.49099999998</v>
      </c>
      <c r="N1112" s="6">
        <v>5.91E-2</v>
      </c>
      <c r="O1112" s="5">
        <v>17.396000000000001</v>
      </c>
      <c r="P1112" s="6">
        <v>6.4999999999999997E-3</v>
      </c>
      <c r="Q1112" s="5">
        <v>5806768.5580000002</v>
      </c>
      <c r="R1112" s="1" t="s">
        <v>44</v>
      </c>
      <c r="S1112" s="1" t="s">
        <v>94</v>
      </c>
      <c r="T1112" s="1" t="s">
        <v>93</v>
      </c>
      <c r="V1112" s="1" t="s">
        <v>223</v>
      </c>
      <c r="Y1112" s="1" t="s">
        <v>1207</v>
      </c>
      <c r="Z1112" s="1" t="str">
        <f t="shared" si="51"/>
        <v>3406 JCT20</v>
      </c>
      <c r="AA1112" s="3">
        <f>IF(INDEX('CAMD Facility Data 2023'!$AA$2:$AE$10000,MATCH(Z1112,'CAMD Facility Data 2023'!$AE$2:$AE$10000,0),1)&gt;0,INDEX('CAMD Facility Data 2023'!$AA$2:$AE$10000,MATCH(Z1112,'CAMD Facility Data 2023'!$AE$2:$AE$10000,0),1),"")</f>
        <v>36676</v>
      </c>
      <c r="AB1112" s="5">
        <f>IF(INDEX('CAMD Facility Data 2023'!$AC$2:$AE$10000,MATCH(Z1112,'CAMD Facility Data 2023'!$AE$2:$AE$10000,0),1)&gt;0,INDEX('CAMD Facility Data 2023'!$AC$2:$AE$10000,MATCH(Z1112,'CAMD Facility Data 2023'!$AE$2:$AE$10000,0),1),"")</f>
        <v>1611</v>
      </c>
      <c r="AC1112" s="1" t="str">
        <f>IF(INDEX('CAMD Facility Data 2023'!$AE$2:$AG$10000,MATCH(Z1112,'CAMD Facility Data 2023'!$AE$2:$AE$10000,0),3)&gt;0,INDEX('CAMD Facility Data 2023'!$AE$2:$AG$10000,MATCH(Z1112,'CAMD Facility Data 2023'!$AE$2:$AE$10000,0),3),"")</f>
        <v>Y</v>
      </c>
      <c r="AD1112" s="20">
        <f t="shared" si="52"/>
        <v>4.4078109978482403E-2</v>
      </c>
      <c r="AE1112" s="25">
        <f t="shared" si="53"/>
        <v>0.41146686720009978</v>
      </c>
    </row>
    <row r="1113" spans="1:31" x14ac:dyDescent="0.2">
      <c r="A1113" s="1" t="s">
        <v>2762</v>
      </c>
      <c r="B1113" s="1" t="s">
        <v>2818</v>
      </c>
      <c r="C1113" s="1">
        <v>3406</v>
      </c>
      <c r="D1113" s="1" t="s">
        <v>2847</v>
      </c>
      <c r="F1113" s="1">
        <v>2023</v>
      </c>
      <c r="G1113" s="5">
        <v>60</v>
      </c>
      <c r="H1113" s="5">
        <v>60</v>
      </c>
      <c r="I1113" s="5">
        <v>2837</v>
      </c>
      <c r="K1113" s="5">
        <v>1.008</v>
      </c>
      <c r="L1113" s="5">
        <v>8.5599999999999996E-2</v>
      </c>
      <c r="M1113" s="5">
        <v>1943.3</v>
      </c>
      <c r="N1113" s="6">
        <v>6.2700000000000006E-2</v>
      </c>
      <c r="O1113" s="5">
        <v>6.1420000000000003</v>
      </c>
      <c r="P1113" s="6">
        <v>0.39839999999999998</v>
      </c>
      <c r="Q1113" s="5">
        <v>31443.599999999999</v>
      </c>
      <c r="R1113" s="1" t="s">
        <v>44</v>
      </c>
      <c r="S1113" s="1" t="s">
        <v>94</v>
      </c>
      <c r="T1113" s="1" t="s">
        <v>93</v>
      </c>
      <c r="Y1113" s="1" t="s">
        <v>1195</v>
      </c>
      <c r="Z1113" s="1" t="str">
        <f t="shared" si="51"/>
        <v>3406 JCT3</v>
      </c>
      <c r="AA1113" s="3">
        <f>IF(INDEX('CAMD Facility Data 2023'!$AA$2:$AE$10000,MATCH(Z1113,'CAMD Facility Data 2023'!$AE$2:$AE$10000,0),1)&gt;0,INDEX('CAMD Facility Data 2023'!$AA$2:$AE$10000,MATCH(Z1113,'CAMD Facility Data 2023'!$AE$2:$AE$10000,0),1),"")</f>
        <v>27303</v>
      </c>
      <c r="AB1113" s="5">
        <f>IF(INDEX('CAMD Facility Data 2023'!$AC$2:$AE$10000,MATCH(Z1113,'CAMD Facility Data 2023'!$AE$2:$AE$10000,0),1)&gt;0,INDEX('CAMD Facility Data 2023'!$AC$2:$AE$10000,MATCH(Z1113,'CAMD Facility Data 2023'!$AE$2:$AE$10000,0),1),"")</f>
        <v>790</v>
      </c>
      <c r="AC1113" s="1" t="str">
        <f>IF(INDEX('CAMD Facility Data 2023'!$AE$2:$AG$10000,MATCH(Z1113,'CAMD Facility Data 2023'!$AE$2:$AE$10000,0),3)&gt;0,INDEX('CAMD Facility Data 2023'!$AE$2:$AG$10000,MATCH(Z1113,'CAMD Facility Data 2023'!$AE$2:$AE$10000,0),3),"")</f>
        <v/>
      </c>
      <c r="AD1113" s="20">
        <f t="shared" si="52"/>
        <v>4.3299259781459289</v>
      </c>
      <c r="AE1113" s="25">
        <f t="shared" si="53"/>
        <v>4.5436101959424307E-3</v>
      </c>
    </row>
    <row r="1114" spans="1:31" x14ac:dyDescent="0.2">
      <c r="A1114" s="1" t="s">
        <v>2762</v>
      </c>
      <c r="B1114" s="1" t="s">
        <v>2818</v>
      </c>
      <c r="C1114" s="1">
        <v>3406</v>
      </c>
      <c r="D1114" s="1" t="s">
        <v>2849</v>
      </c>
      <c r="F1114" s="1">
        <v>2023</v>
      </c>
      <c r="G1114" s="5">
        <v>74</v>
      </c>
      <c r="H1114" s="5">
        <v>74</v>
      </c>
      <c r="I1114" s="5">
        <v>2969</v>
      </c>
      <c r="K1114" s="5">
        <v>1.0580000000000001</v>
      </c>
      <c r="L1114" s="5">
        <v>9.7900000000000001E-2</v>
      </c>
      <c r="M1114" s="5">
        <v>1598.3</v>
      </c>
      <c r="N1114" s="6">
        <v>6.3299999999999995E-2</v>
      </c>
      <c r="O1114" s="5">
        <v>4.9530000000000003</v>
      </c>
      <c r="P1114" s="6">
        <v>0.39760000000000001</v>
      </c>
      <c r="Q1114" s="5">
        <v>25516.3</v>
      </c>
      <c r="R1114" s="1" t="s">
        <v>44</v>
      </c>
      <c r="S1114" s="1" t="s">
        <v>94</v>
      </c>
      <c r="T1114" s="1" t="s">
        <v>93</v>
      </c>
      <c r="Y1114" s="1" t="s">
        <v>1195</v>
      </c>
      <c r="Z1114" s="1" t="str">
        <f t="shared" si="51"/>
        <v>3406 JCT4</v>
      </c>
      <c r="AA1114" s="3">
        <f>IF(INDEX('CAMD Facility Data 2023'!$AA$2:$AE$10000,MATCH(Z1114,'CAMD Facility Data 2023'!$AE$2:$AE$10000,0),1)&gt;0,INDEX('CAMD Facility Data 2023'!$AA$2:$AE$10000,MATCH(Z1114,'CAMD Facility Data 2023'!$AE$2:$AE$10000,0),1),"")</f>
        <v>27242</v>
      </c>
      <c r="AB1114" s="5">
        <f>IF(INDEX('CAMD Facility Data 2023'!$AC$2:$AE$10000,MATCH(Z1114,'CAMD Facility Data 2023'!$AE$2:$AE$10000,0),1)&gt;0,INDEX('CAMD Facility Data 2023'!$AC$2:$AE$10000,MATCH(Z1114,'CAMD Facility Data 2023'!$AE$2:$AE$10000,0),1),"")</f>
        <v>790</v>
      </c>
      <c r="AC1114" s="1" t="str">
        <f>IF(INDEX('CAMD Facility Data 2023'!$AE$2:$AG$10000,MATCH(Z1114,'CAMD Facility Data 2023'!$AE$2:$AE$10000,0),3)&gt;0,INDEX('CAMD Facility Data 2023'!$AE$2:$AG$10000,MATCH(Z1114,'CAMD Facility Data 2023'!$AE$2:$AE$10000,0),3),"")</f>
        <v/>
      </c>
      <c r="AD1114" s="20">
        <f t="shared" si="52"/>
        <v>3.3364769282586728</v>
      </c>
      <c r="AE1114" s="25">
        <f t="shared" si="53"/>
        <v>3.6871134616496153E-3</v>
      </c>
    </row>
    <row r="1115" spans="1:31" x14ac:dyDescent="0.2">
      <c r="A1115" s="1" t="s">
        <v>2762</v>
      </c>
      <c r="B1115" s="1" t="s">
        <v>2818</v>
      </c>
      <c r="C1115" s="1">
        <v>3406</v>
      </c>
      <c r="D1115" s="1" t="s">
        <v>2851</v>
      </c>
      <c r="F1115" s="1">
        <v>2023</v>
      </c>
      <c r="G1115" s="5">
        <v>65</v>
      </c>
      <c r="H1115" s="5">
        <v>65</v>
      </c>
      <c r="I1115" s="5">
        <v>2898</v>
      </c>
      <c r="K1115" s="5">
        <v>1.5820000000000001</v>
      </c>
      <c r="L1115" s="5">
        <v>0.1119</v>
      </c>
      <c r="M1115" s="5">
        <v>2030.7</v>
      </c>
      <c r="N1115" s="6">
        <v>6.3899999999999998E-2</v>
      </c>
      <c r="O1115" s="5">
        <v>6.3650000000000002</v>
      </c>
      <c r="P1115" s="6">
        <v>0.40410000000000001</v>
      </c>
      <c r="Q1115" s="5">
        <v>32075.7</v>
      </c>
      <c r="R1115" s="1" t="s">
        <v>44</v>
      </c>
      <c r="S1115" s="1" t="s">
        <v>94</v>
      </c>
      <c r="T1115" s="1" t="s">
        <v>93</v>
      </c>
      <c r="Y1115" s="1" t="s">
        <v>1195</v>
      </c>
      <c r="Z1115" s="1" t="str">
        <f t="shared" si="51"/>
        <v>3406 JCT5</v>
      </c>
      <c r="AA1115" s="3">
        <f>IF(INDEX('CAMD Facility Data 2023'!$AA$2:$AE$10000,MATCH(Z1115,'CAMD Facility Data 2023'!$AE$2:$AE$10000,0),1)&gt;0,INDEX('CAMD Facility Data 2023'!$AA$2:$AE$10000,MATCH(Z1115,'CAMD Facility Data 2023'!$AE$2:$AE$10000,0),1),"")</f>
        <v>27303</v>
      </c>
      <c r="AB1115" s="5">
        <f>IF(INDEX('CAMD Facility Data 2023'!$AC$2:$AE$10000,MATCH(Z1115,'CAMD Facility Data 2023'!$AE$2:$AE$10000,0),1)&gt;0,INDEX('CAMD Facility Data 2023'!$AC$2:$AE$10000,MATCH(Z1115,'CAMD Facility Data 2023'!$AE$2:$AE$10000,0),1),"")</f>
        <v>790</v>
      </c>
      <c r="AC1115" s="1" t="str">
        <f>IF(INDEX('CAMD Facility Data 2023'!$AE$2:$AG$10000,MATCH(Z1115,'CAMD Facility Data 2023'!$AE$2:$AE$10000,0),3)&gt;0,INDEX('CAMD Facility Data 2023'!$AE$2:$AG$10000,MATCH(Z1115,'CAMD Facility Data 2023'!$AE$2:$AE$10000,0),3),"")</f>
        <v/>
      </c>
      <c r="AD1115" s="20">
        <f t="shared" si="52"/>
        <v>4.3926846100759143</v>
      </c>
      <c r="AE1115" s="25">
        <f t="shared" si="53"/>
        <v>4.6349488468874636E-3</v>
      </c>
    </row>
    <row r="1116" spans="1:31" x14ac:dyDescent="0.2">
      <c r="A1116" s="1" t="s">
        <v>2762</v>
      </c>
      <c r="B1116" s="1" t="s">
        <v>2818</v>
      </c>
      <c r="C1116" s="1">
        <v>3406</v>
      </c>
      <c r="D1116" s="1" t="s">
        <v>2853</v>
      </c>
      <c r="F1116" s="1">
        <v>2023</v>
      </c>
      <c r="G1116" s="5">
        <v>49</v>
      </c>
      <c r="H1116" s="5">
        <v>49</v>
      </c>
      <c r="I1116" s="5">
        <v>1588</v>
      </c>
      <c r="K1116" s="5">
        <v>1.052</v>
      </c>
      <c r="L1116" s="5">
        <v>0.13400000000000001</v>
      </c>
      <c r="M1116" s="5">
        <v>1225.3</v>
      </c>
      <c r="N1116" s="6">
        <v>6.4799999999999996E-2</v>
      </c>
      <c r="O1116" s="5">
        <v>3.9849999999999999</v>
      </c>
      <c r="P1116" s="6">
        <v>0.42220000000000002</v>
      </c>
      <c r="Q1116" s="5">
        <v>19212.2</v>
      </c>
      <c r="R1116" s="1" t="s">
        <v>44</v>
      </c>
      <c r="S1116" s="1" t="s">
        <v>94</v>
      </c>
      <c r="T1116" s="1" t="s">
        <v>93</v>
      </c>
      <c r="Y1116" s="1" t="s">
        <v>1195</v>
      </c>
      <c r="Z1116" s="1" t="str">
        <f t="shared" si="51"/>
        <v>3406 JCT6</v>
      </c>
      <c r="AA1116" s="3">
        <f>IF(INDEX('CAMD Facility Data 2023'!$AA$2:$AE$10000,MATCH(Z1116,'CAMD Facility Data 2023'!$AE$2:$AE$10000,0),1)&gt;0,INDEX('CAMD Facility Data 2023'!$AA$2:$AE$10000,MATCH(Z1116,'CAMD Facility Data 2023'!$AE$2:$AE$10000,0),1),"")</f>
        <v>27273</v>
      </c>
      <c r="AB1116" s="5">
        <f>IF(INDEX('CAMD Facility Data 2023'!$AC$2:$AE$10000,MATCH(Z1116,'CAMD Facility Data 2023'!$AE$2:$AE$10000,0),1)&gt;0,INDEX('CAMD Facility Data 2023'!$AC$2:$AE$10000,MATCH(Z1116,'CAMD Facility Data 2023'!$AE$2:$AE$10000,0),1),"")</f>
        <v>790</v>
      </c>
      <c r="AC1116" s="1" t="str">
        <f>IF(INDEX('CAMD Facility Data 2023'!$AE$2:$AG$10000,MATCH(Z1116,'CAMD Facility Data 2023'!$AE$2:$AE$10000,0),3)&gt;0,INDEX('CAMD Facility Data 2023'!$AE$2:$AG$10000,MATCH(Z1116,'CAMD Facility Data 2023'!$AE$2:$AE$10000,0),3),"")</f>
        <v/>
      </c>
      <c r="AD1116" s="20">
        <f t="shared" si="52"/>
        <v>5.0188916876574305</v>
      </c>
      <c r="AE1116" s="25">
        <f t="shared" si="53"/>
        <v>2.7761690075718166E-3</v>
      </c>
    </row>
    <row r="1117" spans="1:31" x14ac:dyDescent="0.2">
      <c r="A1117" s="1" t="s">
        <v>2762</v>
      </c>
      <c r="B1117" s="1" t="s">
        <v>2818</v>
      </c>
      <c r="C1117" s="1">
        <v>3406</v>
      </c>
      <c r="D1117" s="1" t="s">
        <v>2855</v>
      </c>
      <c r="F1117" s="1">
        <v>2023</v>
      </c>
      <c r="G1117" s="5">
        <v>29</v>
      </c>
      <c r="H1117" s="5">
        <v>29</v>
      </c>
      <c r="I1117" s="5">
        <v>1087</v>
      </c>
      <c r="K1117" s="5">
        <v>0.94599999999999995</v>
      </c>
      <c r="L1117" s="5">
        <v>0.1303</v>
      </c>
      <c r="M1117" s="5">
        <v>761.7</v>
      </c>
      <c r="N1117" s="6">
        <v>6.4699999999999994E-2</v>
      </c>
      <c r="O1117" s="5">
        <v>2.4729999999999999</v>
      </c>
      <c r="P1117" s="6">
        <v>0.42070000000000002</v>
      </c>
      <c r="Q1117" s="5">
        <v>11497.7</v>
      </c>
      <c r="R1117" s="1" t="s">
        <v>44</v>
      </c>
      <c r="S1117" s="1" t="s">
        <v>94</v>
      </c>
      <c r="T1117" s="1" t="s">
        <v>93</v>
      </c>
      <c r="Y1117" s="1" t="s">
        <v>1195</v>
      </c>
      <c r="Z1117" s="1" t="str">
        <f t="shared" si="51"/>
        <v>3406 JCT7</v>
      </c>
      <c r="AA1117" s="3">
        <f>IF(INDEX('CAMD Facility Data 2023'!$AA$2:$AE$10000,MATCH(Z1117,'CAMD Facility Data 2023'!$AE$2:$AE$10000,0),1)&gt;0,INDEX('CAMD Facility Data 2023'!$AA$2:$AE$10000,MATCH(Z1117,'CAMD Facility Data 2023'!$AE$2:$AE$10000,0),1),"")</f>
        <v>27273</v>
      </c>
      <c r="AB1117" s="5">
        <f>IF(INDEX('CAMD Facility Data 2023'!$AC$2:$AE$10000,MATCH(Z1117,'CAMD Facility Data 2023'!$AE$2:$AE$10000,0),1)&gt;0,INDEX('CAMD Facility Data 2023'!$AC$2:$AE$10000,MATCH(Z1117,'CAMD Facility Data 2023'!$AE$2:$AE$10000,0),1),"")</f>
        <v>790</v>
      </c>
      <c r="AC1117" s="1" t="str">
        <f>IF(INDEX('CAMD Facility Data 2023'!$AE$2:$AG$10000,MATCH(Z1117,'CAMD Facility Data 2023'!$AE$2:$AE$10000,0),3)&gt;0,INDEX('CAMD Facility Data 2023'!$AE$2:$AG$10000,MATCH(Z1117,'CAMD Facility Data 2023'!$AE$2:$AE$10000,0),3),"")</f>
        <v/>
      </c>
      <c r="AD1117" s="20">
        <f t="shared" si="52"/>
        <v>4.5501379944802212</v>
      </c>
      <c r="AE1117" s="25">
        <f t="shared" si="53"/>
        <v>1.6614213051268714E-3</v>
      </c>
    </row>
    <row r="1118" spans="1:31" x14ac:dyDescent="0.2">
      <c r="A1118" s="1" t="s">
        <v>2762</v>
      </c>
      <c r="B1118" s="1" t="s">
        <v>2818</v>
      </c>
      <c r="C1118" s="1">
        <v>3406</v>
      </c>
      <c r="D1118" s="1" t="s">
        <v>2857</v>
      </c>
      <c r="F1118" s="1">
        <v>2023</v>
      </c>
      <c r="G1118" s="5">
        <v>57</v>
      </c>
      <c r="H1118" s="5">
        <v>57</v>
      </c>
      <c r="I1118" s="5">
        <v>1993</v>
      </c>
      <c r="K1118" s="5">
        <v>1.6140000000000001</v>
      </c>
      <c r="L1118" s="5">
        <v>0.14779999999999999</v>
      </c>
      <c r="M1118" s="5">
        <v>1612.7</v>
      </c>
      <c r="N1118" s="6">
        <v>6.5500000000000003E-2</v>
      </c>
      <c r="O1118" s="5">
        <v>5.2460000000000004</v>
      </c>
      <c r="P1118" s="6">
        <v>0.42759999999999998</v>
      </c>
      <c r="Q1118" s="5">
        <v>24942.2</v>
      </c>
      <c r="R1118" s="1" t="s">
        <v>44</v>
      </c>
      <c r="S1118" s="1" t="s">
        <v>94</v>
      </c>
      <c r="T1118" s="1" t="s">
        <v>93</v>
      </c>
      <c r="Y1118" s="1" t="s">
        <v>1195</v>
      </c>
      <c r="Z1118" s="1" t="str">
        <f t="shared" si="51"/>
        <v>3406 JCT8</v>
      </c>
      <c r="AA1118" s="3">
        <f>IF(INDEX('CAMD Facility Data 2023'!$AA$2:$AE$10000,MATCH(Z1118,'CAMD Facility Data 2023'!$AE$2:$AE$10000,0),1)&gt;0,INDEX('CAMD Facility Data 2023'!$AA$2:$AE$10000,MATCH(Z1118,'CAMD Facility Data 2023'!$AE$2:$AE$10000,0),1),"")</f>
        <v>27242</v>
      </c>
      <c r="AB1118" s="5">
        <f>IF(INDEX('CAMD Facility Data 2023'!$AC$2:$AE$10000,MATCH(Z1118,'CAMD Facility Data 2023'!$AE$2:$AE$10000,0),1)&gt;0,INDEX('CAMD Facility Data 2023'!$AC$2:$AE$10000,MATCH(Z1118,'CAMD Facility Data 2023'!$AE$2:$AE$10000,0),1),"")</f>
        <v>790</v>
      </c>
      <c r="AC1118" s="1" t="str">
        <f>IF(INDEX('CAMD Facility Data 2023'!$AE$2:$AG$10000,MATCH(Z1118,'CAMD Facility Data 2023'!$AE$2:$AE$10000,0),3)&gt;0,INDEX('CAMD Facility Data 2023'!$AE$2:$AG$10000,MATCH(Z1118,'CAMD Facility Data 2023'!$AE$2:$AE$10000,0),3),"")</f>
        <v/>
      </c>
      <c r="AD1118" s="20">
        <f t="shared" si="52"/>
        <v>5.2644254892122433</v>
      </c>
      <c r="AE1118" s="25">
        <f t="shared" si="53"/>
        <v>3.6041558291428242E-3</v>
      </c>
    </row>
    <row r="1119" spans="1:31" x14ac:dyDescent="0.2">
      <c r="A1119" s="1" t="s">
        <v>2762</v>
      </c>
      <c r="B1119" s="1" t="s">
        <v>2818</v>
      </c>
      <c r="C1119" s="1">
        <v>3406</v>
      </c>
      <c r="D1119" s="1" t="s">
        <v>2859</v>
      </c>
      <c r="F1119" s="1">
        <v>2023</v>
      </c>
      <c r="G1119" s="5">
        <v>23</v>
      </c>
      <c r="H1119" s="5">
        <v>23</v>
      </c>
      <c r="I1119" s="5">
        <v>725</v>
      </c>
      <c r="K1119" s="5">
        <v>2E-3</v>
      </c>
      <c r="L1119" s="5">
        <v>8.9999999999999998E-4</v>
      </c>
      <c r="M1119" s="5">
        <v>367.9</v>
      </c>
      <c r="N1119" s="6">
        <v>5.8999999999999997E-2</v>
      </c>
      <c r="O1119" s="5">
        <v>1.079</v>
      </c>
      <c r="P1119" s="6">
        <v>0.3548</v>
      </c>
      <c r="Q1119" s="5">
        <v>6233.1</v>
      </c>
      <c r="R1119" s="1" t="s">
        <v>44</v>
      </c>
      <c r="S1119" s="1" t="s">
        <v>94</v>
      </c>
      <c r="T1119" s="1" t="s">
        <v>93</v>
      </c>
      <c r="Y1119" s="1" t="s">
        <v>1195</v>
      </c>
      <c r="Z1119" s="1" t="str">
        <f t="shared" si="51"/>
        <v>3406 JCT9</v>
      </c>
      <c r="AA1119" s="3">
        <f>IF(INDEX('CAMD Facility Data 2023'!$AA$2:$AE$10000,MATCH(Z1119,'CAMD Facility Data 2023'!$AE$2:$AE$10000,0),1)&gt;0,INDEX('CAMD Facility Data 2023'!$AA$2:$AE$10000,MATCH(Z1119,'CAMD Facility Data 2023'!$AE$2:$AE$10000,0),1),"")</f>
        <v>27273</v>
      </c>
      <c r="AB1119" s="5">
        <f>IF(INDEX('CAMD Facility Data 2023'!$AC$2:$AE$10000,MATCH(Z1119,'CAMD Facility Data 2023'!$AE$2:$AE$10000,0),1)&gt;0,INDEX('CAMD Facility Data 2023'!$AC$2:$AE$10000,MATCH(Z1119,'CAMD Facility Data 2023'!$AE$2:$AE$10000,0),1),"")</f>
        <v>790</v>
      </c>
      <c r="AC1119" s="1" t="str">
        <f>IF(INDEX('CAMD Facility Data 2023'!$AE$2:$AG$10000,MATCH(Z1119,'CAMD Facility Data 2023'!$AE$2:$AE$10000,0),3)&gt;0,INDEX('CAMD Facility Data 2023'!$AE$2:$AG$10000,MATCH(Z1119,'CAMD Facility Data 2023'!$AE$2:$AE$10000,0),3),"")</f>
        <v/>
      </c>
      <c r="AD1119" s="20">
        <f t="shared" si="52"/>
        <v>2.9765517241379311</v>
      </c>
      <c r="AE1119" s="25">
        <f t="shared" si="53"/>
        <v>9.0068493150684931E-4</v>
      </c>
    </row>
    <row r="1120" spans="1:31" x14ac:dyDescent="0.2">
      <c r="A1120" s="1" t="s">
        <v>2762</v>
      </c>
      <c r="B1120" s="1" t="s">
        <v>2861</v>
      </c>
      <c r="C1120" s="1">
        <v>3407</v>
      </c>
      <c r="D1120" s="1">
        <v>1</v>
      </c>
      <c r="E1120" s="1" t="s">
        <v>2862</v>
      </c>
      <c r="F1120" s="1">
        <v>2023</v>
      </c>
      <c r="G1120" s="5">
        <v>3201</v>
      </c>
      <c r="H1120" s="5">
        <v>3188.91</v>
      </c>
      <c r="I1120" s="5">
        <v>227341.66</v>
      </c>
      <c r="K1120" s="5">
        <v>167.50299999999999</v>
      </c>
      <c r="L1120" s="5">
        <v>0.13039999999999999</v>
      </c>
      <c r="M1120" s="5">
        <v>261453.92300000001</v>
      </c>
      <c r="N1120" s="6">
        <v>0.104</v>
      </c>
      <c r="O1120" s="5">
        <v>123.95399999999999</v>
      </c>
      <c r="P1120" s="6">
        <v>9.8299999999999998E-2</v>
      </c>
      <c r="Q1120" s="5">
        <v>2517511.179</v>
      </c>
      <c r="R1120" s="1" t="s">
        <v>55</v>
      </c>
      <c r="T1120" s="1" t="s">
        <v>43</v>
      </c>
      <c r="U1120" s="1" t="s">
        <v>241</v>
      </c>
      <c r="V1120" s="1" t="s">
        <v>223</v>
      </c>
      <c r="W1120" s="1" t="s">
        <v>58</v>
      </c>
      <c r="Y1120" s="1" t="s">
        <v>1188</v>
      </c>
      <c r="Z1120" s="1" t="str">
        <f t="shared" si="51"/>
        <v>3407 1</v>
      </c>
      <c r="AA1120" s="3">
        <f>IF(INDEX('CAMD Facility Data 2023'!$AA$2:$AE$10000,MATCH(Z1120,'CAMD Facility Data 2023'!$AE$2:$AE$10000,0),1)&gt;0,INDEX('CAMD Facility Data 2023'!$AA$2:$AE$10000,MATCH(Z1120,'CAMD Facility Data 2023'!$AE$2:$AE$10000,0),1),"")</f>
        <v>19754</v>
      </c>
      <c r="AB1120" s="5">
        <f>IF(INDEX('CAMD Facility Data 2023'!$AC$2:$AE$10000,MATCH(Z1120,'CAMD Facility Data 2023'!$AE$2:$AE$10000,0),1)&gt;0,INDEX('CAMD Facility Data 2023'!$AC$2:$AE$10000,MATCH(Z1120,'CAMD Facility Data 2023'!$AE$2:$AE$10000,0),1),"")</f>
        <v>2139</v>
      </c>
      <c r="AC1120" s="1" t="str">
        <f>IF(INDEX('CAMD Facility Data 2023'!$AE$2:$AG$10000,MATCH(Z1120,'CAMD Facility Data 2023'!$AE$2:$AE$10000,0),3)&gt;0,INDEX('CAMD Facility Data 2023'!$AE$2:$AG$10000,MATCH(Z1120,'CAMD Facility Data 2023'!$AE$2:$AE$10000,0),3),"")</f>
        <v>Y</v>
      </c>
      <c r="AD1120" s="20">
        <f t="shared" si="52"/>
        <v>1.0904644577681011</v>
      </c>
      <c r="AE1120" s="25">
        <f t="shared" si="53"/>
        <v>0.13435583024329639</v>
      </c>
    </row>
    <row r="1121" spans="1:31" x14ac:dyDescent="0.2">
      <c r="A1121" s="1" t="s">
        <v>2762</v>
      </c>
      <c r="B1121" s="1" t="s">
        <v>2861</v>
      </c>
      <c r="C1121" s="1">
        <v>3407</v>
      </c>
      <c r="D1121" s="1">
        <v>2</v>
      </c>
      <c r="E1121" s="1" t="s">
        <v>2862</v>
      </c>
      <c r="F1121" s="1">
        <v>2023</v>
      </c>
      <c r="G1121" s="5">
        <v>5141</v>
      </c>
      <c r="H1121" s="5">
        <v>5136.3900000000003</v>
      </c>
      <c r="I1121" s="5">
        <v>399627.75</v>
      </c>
      <c r="K1121" s="5">
        <v>252.52500000000001</v>
      </c>
      <c r="L1121" s="5">
        <v>0.1174</v>
      </c>
      <c r="M1121" s="5">
        <v>452158.43099999998</v>
      </c>
      <c r="N1121" s="6">
        <v>0.104</v>
      </c>
      <c r="O1121" s="5">
        <v>202.827</v>
      </c>
      <c r="P1121" s="6">
        <v>9.4700000000000006E-2</v>
      </c>
      <c r="Q1121" s="5">
        <v>4353777.6289999997</v>
      </c>
      <c r="R1121" s="1" t="s">
        <v>55</v>
      </c>
      <c r="T1121" s="1" t="s">
        <v>43</v>
      </c>
      <c r="U1121" s="1" t="s">
        <v>241</v>
      </c>
      <c r="V1121" s="1" t="s">
        <v>223</v>
      </c>
      <c r="W1121" s="1" t="s">
        <v>58</v>
      </c>
      <c r="Y1121" s="1" t="s">
        <v>1188</v>
      </c>
      <c r="Z1121" s="1" t="str">
        <f t="shared" si="51"/>
        <v>3407 2</v>
      </c>
      <c r="AA1121" s="3">
        <f>IF(INDEX('CAMD Facility Data 2023'!$AA$2:$AE$10000,MATCH(Z1121,'CAMD Facility Data 2023'!$AE$2:$AE$10000,0),1)&gt;0,INDEX('CAMD Facility Data 2023'!$AA$2:$AE$10000,MATCH(Z1121,'CAMD Facility Data 2023'!$AE$2:$AE$10000,0),1),"")</f>
        <v>19839</v>
      </c>
      <c r="AB1121" s="5">
        <f>IF(INDEX('CAMD Facility Data 2023'!$AC$2:$AE$10000,MATCH(Z1121,'CAMD Facility Data 2023'!$AE$2:$AE$10000,0),1)&gt;0,INDEX('CAMD Facility Data 2023'!$AC$2:$AE$10000,MATCH(Z1121,'CAMD Facility Data 2023'!$AE$2:$AE$10000,0),1),"")</f>
        <v>2185</v>
      </c>
      <c r="AC1121" s="1" t="str">
        <f>IF(INDEX('CAMD Facility Data 2023'!$AE$2:$AG$10000,MATCH(Z1121,'CAMD Facility Data 2023'!$AE$2:$AE$10000,0),3)&gt;0,INDEX('CAMD Facility Data 2023'!$AE$2:$AG$10000,MATCH(Z1121,'CAMD Facility Data 2023'!$AE$2:$AE$10000,0),3),"")</f>
        <v>Y</v>
      </c>
      <c r="AD1121" s="20">
        <f t="shared" si="52"/>
        <v>1.0150796585071982</v>
      </c>
      <c r="AE1121" s="25">
        <f t="shared" si="53"/>
        <v>0.22746296505856659</v>
      </c>
    </row>
    <row r="1122" spans="1:31" x14ac:dyDescent="0.2">
      <c r="A1122" s="1" t="s">
        <v>2762</v>
      </c>
      <c r="B1122" s="1" t="s">
        <v>2861</v>
      </c>
      <c r="C1122" s="1">
        <v>3407</v>
      </c>
      <c r="D1122" s="1">
        <v>3</v>
      </c>
      <c r="E1122" s="1" t="s">
        <v>2862</v>
      </c>
      <c r="F1122" s="1">
        <v>2023</v>
      </c>
      <c r="G1122" s="5">
        <v>5725</v>
      </c>
      <c r="H1122" s="5">
        <v>5717.61</v>
      </c>
      <c r="I1122" s="5">
        <v>435929.35</v>
      </c>
      <c r="K1122" s="5">
        <v>298.291</v>
      </c>
      <c r="L1122" s="5">
        <v>0.1268</v>
      </c>
      <c r="M1122" s="5">
        <v>494175.07900000003</v>
      </c>
      <c r="N1122" s="6">
        <v>0.104</v>
      </c>
      <c r="O1122" s="5">
        <v>216.13</v>
      </c>
      <c r="P1122" s="6">
        <v>9.1300000000000006E-2</v>
      </c>
      <c r="Q1122" s="5">
        <v>4758363.3640000001</v>
      </c>
      <c r="R1122" s="1" t="s">
        <v>55</v>
      </c>
      <c r="T1122" s="1" t="s">
        <v>43</v>
      </c>
      <c r="U1122" s="1" t="s">
        <v>241</v>
      </c>
      <c r="V1122" s="1" t="s">
        <v>223</v>
      </c>
      <c r="W1122" s="1" t="s">
        <v>58</v>
      </c>
      <c r="Y1122" s="1" t="s">
        <v>1188</v>
      </c>
      <c r="Z1122" s="1" t="str">
        <f t="shared" si="51"/>
        <v>3407 3</v>
      </c>
      <c r="AA1122" s="3">
        <f>IF(INDEX('CAMD Facility Data 2023'!$AA$2:$AE$10000,MATCH(Z1122,'CAMD Facility Data 2023'!$AE$2:$AE$10000,0),1)&gt;0,INDEX('CAMD Facility Data 2023'!$AA$2:$AE$10000,MATCH(Z1122,'CAMD Facility Data 2023'!$AE$2:$AE$10000,0),1),"")</f>
        <v>19880</v>
      </c>
      <c r="AB1122" s="5">
        <f>IF(INDEX('CAMD Facility Data 2023'!$AC$2:$AE$10000,MATCH(Z1122,'CAMD Facility Data 2023'!$AE$2:$AE$10000,0),1)&gt;0,INDEX('CAMD Facility Data 2023'!$AC$2:$AE$10000,MATCH(Z1122,'CAMD Facility Data 2023'!$AE$2:$AE$10000,0),1),"")</f>
        <v>2180</v>
      </c>
      <c r="AC1122" s="1" t="str">
        <f>IF(INDEX('CAMD Facility Data 2023'!$AE$2:$AG$10000,MATCH(Z1122,'CAMD Facility Data 2023'!$AE$2:$AE$10000,0),3)&gt;0,INDEX('CAMD Facility Data 2023'!$AE$2:$AG$10000,MATCH(Z1122,'CAMD Facility Data 2023'!$AE$2:$AE$10000,0),3),"")</f>
        <v>Y</v>
      </c>
      <c r="AD1122" s="20">
        <f t="shared" si="52"/>
        <v>0.99158269568222468</v>
      </c>
      <c r="AE1122" s="25">
        <f t="shared" si="53"/>
        <v>0.24917071781659755</v>
      </c>
    </row>
    <row r="1123" spans="1:31" x14ac:dyDescent="0.2">
      <c r="A1123" s="1" t="s">
        <v>2762</v>
      </c>
      <c r="B1123" s="1" t="s">
        <v>2861</v>
      </c>
      <c r="C1123" s="1">
        <v>3407</v>
      </c>
      <c r="D1123" s="1">
        <v>4</v>
      </c>
      <c r="E1123" s="1" t="s">
        <v>2862</v>
      </c>
      <c r="F1123" s="1">
        <v>2023</v>
      </c>
      <c r="G1123" s="5">
        <v>6188</v>
      </c>
      <c r="H1123" s="5">
        <v>6181.15</v>
      </c>
      <c r="I1123" s="5">
        <v>455886.32</v>
      </c>
      <c r="K1123" s="5">
        <v>309.63200000000001</v>
      </c>
      <c r="L1123" s="5">
        <v>0.1222</v>
      </c>
      <c r="M1123" s="5">
        <v>519377.66899999999</v>
      </c>
      <c r="N1123" s="6">
        <v>0.104</v>
      </c>
      <c r="O1123" s="5">
        <v>211.13399999999999</v>
      </c>
      <c r="P1123" s="6">
        <v>8.4900000000000003E-2</v>
      </c>
      <c r="Q1123" s="5">
        <v>5001040.5439999998</v>
      </c>
      <c r="R1123" s="1" t="s">
        <v>55</v>
      </c>
      <c r="T1123" s="1" t="s">
        <v>43</v>
      </c>
      <c r="U1123" s="1" t="s">
        <v>241</v>
      </c>
      <c r="V1123" s="1" t="s">
        <v>223</v>
      </c>
      <c r="W1123" s="1" t="s">
        <v>58</v>
      </c>
      <c r="Y1123" s="1" t="s">
        <v>1188</v>
      </c>
      <c r="Z1123" s="1" t="str">
        <f t="shared" si="51"/>
        <v>3407 4</v>
      </c>
      <c r="AA1123" s="3">
        <f>IF(INDEX('CAMD Facility Data 2023'!$AA$2:$AE$10000,MATCH(Z1123,'CAMD Facility Data 2023'!$AE$2:$AE$10000,0),1)&gt;0,INDEX('CAMD Facility Data 2023'!$AA$2:$AE$10000,MATCH(Z1123,'CAMD Facility Data 2023'!$AE$2:$AE$10000,0),1),"")</f>
        <v>19928</v>
      </c>
      <c r="AB1123" s="5">
        <f>IF(INDEX('CAMD Facility Data 2023'!$AC$2:$AE$10000,MATCH(Z1123,'CAMD Facility Data 2023'!$AE$2:$AE$10000,0),1)&gt;0,INDEX('CAMD Facility Data 2023'!$AC$2:$AE$10000,MATCH(Z1123,'CAMD Facility Data 2023'!$AE$2:$AE$10000,0),1),"")</f>
        <v>2176</v>
      </c>
      <c r="AC1123" s="1" t="str">
        <f>IF(INDEX('CAMD Facility Data 2023'!$AE$2:$AG$10000,MATCH(Z1123,'CAMD Facility Data 2023'!$AE$2:$AE$10000,0),3)&gt;0,INDEX('CAMD Facility Data 2023'!$AE$2:$AG$10000,MATCH(Z1123,'CAMD Facility Data 2023'!$AE$2:$AE$10000,0),3),"")</f>
        <v>Y</v>
      </c>
      <c r="AD1123" s="20">
        <f t="shared" si="52"/>
        <v>0.92625723009192296</v>
      </c>
      <c r="AE1123" s="25">
        <f t="shared" si="53"/>
        <v>0.26235985260542571</v>
      </c>
    </row>
    <row r="1124" spans="1:31" x14ac:dyDescent="0.2">
      <c r="A1124" s="1" t="s">
        <v>2762</v>
      </c>
      <c r="B1124" s="1" t="s">
        <v>2861</v>
      </c>
      <c r="C1124" s="1">
        <v>3407</v>
      </c>
      <c r="D1124" s="1">
        <v>5</v>
      </c>
      <c r="E1124" s="1" t="s">
        <v>2862</v>
      </c>
      <c r="F1124" s="1">
        <v>2023</v>
      </c>
      <c r="G1124" s="5">
        <v>5086</v>
      </c>
      <c r="H1124" s="5">
        <v>5074.6899999999996</v>
      </c>
      <c r="I1124" s="5">
        <v>477268.84</v>
      </c>
      <c r="K1124" s="5">
        <v>324.19600000000003</v>
      </c>
      <c r="L1124" s="5">
        <v>0.12239999999999999</v>
      </c>
      <c r="M1124" s="5">
        <v>543699.19799999997</v>
      </c>
      <c r="N1124" s="6">
        <v>0.104</v>
      </c>
      <c r="O1124" s="5">
        <v>228.88900000000001</v>
      </c>
      <c r="P1124" s="6">
        <v>8.8099999999999998E-2</v>
      </c>
      <c r="Q1124" s="5">
        <v>5235224.13</v>
      </c>
      <c r="R1124" s="1" t="s">
        <v>55</v>
      </c>
      <c r="T1124" s="1" t="s">
        <v>43</v>
      </c>
      <c r="U1124" s="1" t="s">
        <v>241</v>
      </c>
      <c r="V1124" s="1" t="s">
        <v>57</v>
      </c>
      <c r="W1124" s="1" t="s">
        <v>58</v>
      </c>
      <c r="Y1124" s="1" t="s">
        <v>1188</v>
      </c>
      <c r="Z1124" s="1" t="str">
        <f t="shared" si="51"/>
        <v>3407 5</v>
      </c>
      <c r="AA1124" s="3">
        <f>IF(INDEX('CAMD Facility Data 2023'!$AA$2:$AE$10000,MATCH(Z1124,'CAMD Facility Data 2023'!$AE$2:$AE$10000,0),1)&gt;0,INDEX('CAMD Facility Data 2023'!$AA$2:$AE$10000,MATCH(Z1124,'CAMD Facility Data 2023'!$AE$2:$AE$10000,0),1),"")</f>
        <v>20054</v>
      </c>
      <c r="AB1124" s="5">
        <f>IF(INDEX('CAMD Facility Data 2023'!$AC$2:$AE$10000,MATCH(Z1124,'CAMD Facility Data 2023'!$AE$2:$AE$10000,0),1)&gt;0,INDEX('CAMD Facility Data 2023'!$AC$2:$AE$10000,MATCH(Z1124,'CAMD Facility Data 2023'!$AE$2:$AE$10000,0),1),"")</f>
        <v>2932</v>
      </c>
      <c r="AC1124" s="1" t="str">
        <f>IF(INDEX('CAMD Facility Data 2023'!$AE$2:$AG$10000,MATCH(Z1124,'CAMD Facility Data 2023'!$AE$2:$AE$10000,0),3)&gt;0,INDEX('CAMD Facility Data 2023'!$AE$2:$AG$10000,MATCH(Z1124,'CAMD Facility Data 2023'!$AE$2:$AE$10000,0),3),"")</f>
        <v>Y</v>
      </c>
      <c r="AD1124" s="20">
        <f t="shared" si="52"/>
        <v>0.95916171690571705</v>
      </c>
      <c r="AE1124" s="25">
        <f t="shared" si="53"/>
        <v>0.20382957890261452</v>
      </c>
    </row>
    <row r="1125" spans="1:31" x14ac:dyDescent="0.2">
      <c r="A1125" s="1" t="s">
        <v>2762</v>
      </c>
      <c r="B1125" s="1" t="s">
        <v>2861</v>
      </c>
      <c r="C1125" s="1">
        <v>3407</v>
      </c>
      <c r="D1125" s="1">
        <v>6</v>
      </c>
      <c r="E1125" s="1" t="s">
        <v>2862</v>
      </c>
      <c r="F1125" s="1">
        <v>2023</v>
      </c>
      <c r="G1125" s="5">
        <v>2710</v>
      </c>
      <c r="H1125" s="5">
        <v>2700.93</v>
      </c>
      <c r="I1125" s="5">
        <v>254631.06</v>
      </c>
      <c r="K1125" s="5">
        <v>201.08500000000001</v>
      </c>
      <c r="L1125" s="5">
        <v>0.1394</v>
      </c>
      <c r="M1125" s="5">
        <v>291531.59899999999</v>
      </c>
      <c r="N1125" s="6">
        <v>0.104</v>
      </c>
      <c r="O1125" s="5">
        <v>108.464</v>
      </c>
      <c r="P1125" s="6">
        <v>7.8700000000000006E-2</v>
      </c>
      <c r="Q1125" s="5">
        <v>2807130.3969999999</v>
      </c>
      <c r="R1125" s="1" t="s">
        <v>55</v>
      </c>
      <c r="T1125" s="1" t="s">
        <v>43</v>
      </c>
      <c r="U1125" s="1" t="s">
        <v>241</v>
      </c>
      <c r="V1125" s="1" t="s">
        <v>57</v>
      </c>
      <c r="W1125" s="1" t="s">
        <v>58</v>
      </c>
      <c r="Y1125" s="1" t="s">
        <v>1188</v>
      </c>
      <c r="Z1125" s="1" t="str">
        <f t="shared" si="51"/>
        <v>3407 6</v>
      </c>
      <c r="AA1125" s="3">
        <f>IF(INDEX('CAMD Facility Data 2023'!$AA$2:$AE$10000,MATCH(Z1125,'CAMD Facility Data 2023'!$AE$2:$AE$10000,0),1)&gt;0,INDEX('CAMD Facility Data 2023'!$AA$2:$AE$10000,MATCH(Z1125,'CAMD Facility Data 2023'!$AE$2:$AE$10000,0),1),"")</f>
        <v>20123</v>
      </c>
      <c r="AB1125" s="5">
        <f>IF(INDEX('CAMD Facility Data 2023'!$AC$2:$AE$10000,MATCH(Z1125,'CAMD Facility Data 2023'!$AE$2:$AE$10000,0),1)&gt;0,INDEX('CAMD Facility Data 2023'!$AC$2:$AE$10000,MATCH(Z1125,'CAMD Facility Data 2023'!$AE$2:$AE$10000,0),1),"")</f>
        <v>2932</v>
      </c>
      <c r="AC1125" s="1" t="str">
        <f>IF(INDEX('CAMD Facility Data 2023'!$AE$2:$AG$10000,MATCH(Z1125,'CAMD Facility Data 2023'!$AE$2:$AE$10000,0),3)&gt;0,INDEX('CAMD Facility Data 2023'!$AE$2:$AG$10000,MATCH(Z1125,'CAMD Facility Data 2023'!$AE$2:$AE$10000,0),3),"")</f>
        <v>Y</v>
      </c>
      <c r="AD1125" s="20">
        <f t="shared" si="52"/>
        <v>0.85193063250021428</v>
      </c>
      <c r="AE1125" s="25">
        <f t="shared" si="53"/>
        <v>0.109293545517265</v>
      </c>
    </row>
    <row r="1126" spans="1:31" x14ac:dyDescent="0.2">
      <c r="A1126" s="1" t="s">
        <v>2762</v>
      </c>
      <c r="B1126" s="1" t="s">
        <v>2861</v>
      </c>
      <c r="C1126" s="1">
        <v>3407</v>
      </c>
      <c r="D1126" s="1">
        <v>7</v>
      </c>
      <c r="E1126" s="1" t="s">
        <v>2862</v>
      </c>
      <c r="F1126" s="1">
        <v>2023</v>
      </c>
      <c r="G1126" s="5">
        <v>1182</v>
      </c>
      <c r="H1126" s="5">
        <v>1173.31</v>
      </c>
      <c r="I1126" s="5">
        <v>94902.66</v>
      </c>
      <c r="K1126" s="5">
        <v>68.673000000000002</v>
      </c>
      <c r="L1126" s="5">
        <v>0.12620000000000001</v>
      </c>
      <c r="M1126" s="5">
        <v>110574.086</v>
      </c>
      <c r="N1126" s="6">
        <v>0.104</v>
      </c>
      <c r="O1126" s="5">
        <v>44.161000000000001</v>
      </c>
      <c r="P1126" s="6">
        <v>8.6999999999999994E-2</v>
      </c>
      <c r="Q1126" s="5">
        <v>1064706.3089999999</v>
      </c>
      <c r="R1126" s="1" t="s">
        <v>55</v>
      </c>
      <c r="T1126" s="1" t="s">
        <v>43</v>
      </c>
      <c r="U1126" s="1" t="s">
        <v>241</v>
      </c>
      <c r="V1126" s="1" t="s">
        <v>57</v>
      </c>
      <c r="W1126" s="1" t="s">
        <v>58</v>
      </c>
      <c r="Y1126" s="1" t="s">
        <v>1188</v>
      </c>
      <c r="Z1126" s="1" t="str">
        <f t="shared" si="51"/>
        <v>3407 7</v>
      </c>
      <c r="AA1126" s="3">
        <f>IF(INDEX('CAMD Facility Data 2023'!$AA$2:$AE$10000,MATCH(Z1126,'CAMD Facility Data 2023'!$AE$2:$AE$10000,0),1)&gt;0,INDEX('CAMD Facility Data 2023'!$AA$2:$AE$10000,MATCH(Z1126,'CAMD Facility Data 2023'!$AE$2:$AE$10000,0),1),"")</f>
        <v>20198</v>
      </c>
      <c r="AB1126" s="5">
        <f>IF(INDEX('CAMD Facility Data 2023'!$AC$2:$AE$10000,MATCH(Z1126,'CAMD Facility Data 2023'!$AE$2:$AE$10000,0),1)&gt;0,INDEX('CAMD Facility Data 2023'!$AC$2:$AE$10000,MATCH(Z1126,'CAMD Facility Data 2023'!$AE$2:$AE$10000,0),1),"")</f>
        <v>3576</v>
      </c>
      <c r="AC1126" s="1" t="str">
        <f>IF(INDEX('CAMD Facility Data 2023'!$AE$2:$AG$10000,MATCH(Z1126,'CAMD Facility Data 2023'!$AE$2:$AE$10000,0),3)&gt;0,INDEX('CAMD Facility Data 2023'!$AE$2:$AG$10000,MATCH(Z1126,'CAMD Facility Data 2023'!$AE$2:$AE$10000,0),3),"")</f>
        <v>Y</v>
      </c>
      <c r="AD1126" s="20">
        <f t="shared" si="52"/>
        <v>0.93065884560032353</v>
      </c>
      <c r="AE1126" s="25">
        <f t="shared" si="53"/>
        <v>3.3988203606233336E-2</v>
      </c>
    </row>
    <row r="1127" spans="1:31" x14ac:dyDescent="0.2">
      <c r="A1127" s="1" t="s">
        <v>2762</v>
      </c>
      <c r="B1127" s="1" t="s">
        <v>2861</v>
      </c>
      <c r="C1127" s="1">
        <v>3407</v>
      </c>
      <c r="D1127" s="1">
        <v>8</v>
      </c>
      <c r="E1127" s="1" t="s">
        <v>2862</v>
      </c>
      <c r="F1127" s="1">
        <v>2023</v>
      </c>
      <c r="G1127" s="5">
        <v>3055</v>
      </c>
      <c r="H1127" s="5">
        <v>3049.13</v>
      </c>
      <c r="I1127" s="5">
        <v>273756.65000000002</v>
      </c>
      <c r="K1127" s="5">
        <v>192.239</v>
      </c>
      <c r="L1127" s="5">
        <v>0.1237</v>
      </c>
      <c r="M1127" s="5">
        <v>317434.76699999999</v>
      </c>
      <c r="N1127" s="6">
        <v>0.104</v>
      </c>
      <c r="O1127" s="5">
        <v>126.259</v>
      </c>
      <c r="P1127" s="6">
        <v>8.3900000000000002E-2</v>
      </c>
      <c r="Q1127" s="5">
        <v>3056553.048</v>
      </c>
      <c r="R1127" s="1" t="s">
        <v>55</v>
      </c>
      <c r="T1127" s="1" t="s">
        <v>43</v>
      </c>
      <c r="U1127" s="1" t="s">
        <v>241</v>
      </c>
      <c r="V1127" s="1" t="s">
        <v>57</v>
      </c>
      <c r="W1127" s="1" t="s">
        <v>58</v>
      </c>
      <c r="Y1127" s="1" t="s">
        <v>1188</v>
      </c>
      <c r="Z1127" s="1" t="str">
        <f t="shared" si="51"/>
        <v>3407 8</v>
      </c>
      <c r="AA1127" s="3">
        <f>IF(INDEX('CAMD Facility Data 2023'!$AA$2:$AE$10000,MATCH(Z1127,'CAMD Facility Data 2023'!$AE$2:$AE$10000,0),1)&gt;0,INDEX('CAMD Facility Data 2023'!$AA$2:$AE$10000,MATCH(Z1127,'CAMD Facility Data 2023'!$AE$2:$AE$10000,0),1),"")</f>
        <v>20279</v>
      </c>
      <c r="AB1127" s="5">
        <f>IF(INDEX('CAMD Facility Data 2023'!$AC$2:$AE$10000,MATCH(Z1127,'CAMD Facility Data 2023'!$AE$2:$AE$10000,0),1)&gt;0,INDEX('CAMD Facility Data 2023'!$AC$2:$AE$10000,MATCH(Z1127,'CAMD Facility Data 2023'!$AE$2:$AE$10000,0),1),"")</f>
        <v>3005</v>
      </c>
      <c r="AC1127" s="1" t="str">
        <f>IF(INDEX('CAMD Facility Data 2023'!$AE$2:$AG$10000,MATCH(Z1127,'CAMD Facility Data 2023'!$AE$2:$AE$10000,0),3)&gt;0,INDEX('CAMD Facility Data 2023'!$AE$2:$AG$10000,MATCH(Z1127,'CAMD Facility Data 2023'!$AE$2:$AE$10000,0),3),"")</f>
        <v>Y</v>
      </c>
      <c r="AD1127" s="20">
        <f t="shared" si="52"/>
        <v>0.92241777505678846</v>
      </c>
      <c r="AE1127" s="25">
        <f t="shared" si="53"/>
        <v>0.1161136708226016</v>
      </c>
    </row>
    <row r="1128" spans="1:31" x14ac:dyDescent="0.2">
      <c r="A1128" s="1" t="s">
        <v>2762</v>
      </c>
      <c r="B1128" s="1" t="s">
        <v>2861</v>
      </c>
      <c r="C1128" s="1">
        <v>3407</v>
      </c>
      <c r="D1128" s="1">
        <v>9</v>
      </c>
      <c r="E1128" s="1" t="s">
        <v>2862</v>
      </c>
      <c r="F1128" s="1">
        <v>2023</v>
      </c>
      <c r="G1128" s="5">
        <v>1858</v>
      </c>
      <c r="H1128" s="5">
        <v>1845.04</v>
      </c>
      <c r="I1128" s="5">
        <v>181971.98</v>
      </c>
      <c r="K1128" s="5">
        <v>128.273</v>
      </c>
      <c r="L1128" s="5">
        <v>0.1232</v>
      </c>
      <c r="M1128" s="5">
        <v>209104.31700000001</v>
      </c>
      <c r="N1128" s="6">
        <v>0.104</v>
      </c>
      <c r="O1128" s="5">
        <v>82.218000000000004</v>
      </c>
      <c r="P1128" s="6">
        <v>8.3299999999999999E-2</v>
      </c>
      <c r="Q1128" s="5">
        <v>2013442.875</v>
      </c>
      <c r="R1128" s="1" t="s">
        <v>55</v>
      </c>
      <c r="T1128" s="1" t="s">
        <v>43</v>
      </c>
      <c r="U1128" s="1" t="s">
        <v>241</v>
      </c>
      <c r="V1128" s="1" t="s">
        <v>223</v>
      </c>
      <c r="W1128" s="1" t="s">
        <v>58</v>
      </c>
      <c r="Y1128" s="1" t="s">
        <v>1188</v>
      </c>
      <c r="Z1128" s="1" t="str">
        <f t="shared" si="51"/>
        <v>3407 9</v>
      </c>
      <c r="AA1128" s="3">
        <f>IF(INDEX('CAMD Facility Data 2023'!$AA$2:$AE$10000,MATCH(Z1128,'CAMD Facility Data 2023'!$AE$2:$AE$10000,0),1)&gt;0,INDEX('CAMD Facility Data 2023'!$AA$2:$AE$10000,MATCH(Z1128,'CAMD Facility Data 2023'!$AE$2:$AE$10000,0),1),"")</f>
        <v>20418</v>
      </c>
      <c r="AB1128" s="5">
        <f>IF(INDEX('CAMD Facility Data 2023'!$AC$2:$AE$10000,MATCH(Z1128,'CAMD Facility Data 2023'!$AE$2:$AE$10000,0),1)&gt;0,INDEX('CAMD Facility Data 2023'!$AC$2:$AE$10000,MATCH(Z1128,'CAMD Facility Data 2023'!$AE$2:$AE$10000,0),1),"")</f>
        <v>2959</v>
      </c>
      <c r="AC1128" s="1" t="str">
        <f>IF(INDEX('CAMD Facility Data 2023'!$AE$2:$AG$10000,MATCH(Z1128,'CAMD Facility Data 2023'!$AE$2:$AE$10000,0),3)&gt;0,INDEX('CAMD Facility Data 2023'!$AE$2:$AG$10000,MATCH(Z1128,'CAMD Facility Data 2023'!$AE$2:$AE$10000,0),3),"")</f>
        <v>Y</v>
      </c>
      <c r="AD1128" s="20">
        <f t="shared" si="52"/>
        <v>0.90363362535265035</v>
      </c>
      <c r="AE1128" s="25">
        <f t="shared" si="53"/>
        <v>7.7676605966473314E-2</v>
      </c>
    </row>
    <row r="1129" spans="1:31" x14ac:dyDescent="0.2">
      <c r="A1129" s="1" t="s">
        <v>383</v>
      </c>
      <c r="B1129" s="1" t="s">
        <v>2869</v>
      </c>
      <c r="C1129" s="1">
        <v>3439</v>
      </c>
      <c r="D1129" s="1">
        <v>4</v>
      </c>
      <c r="F1129" s="1">
        <v>2023</v>
      </c>
      <c r="G1129" s="5">
        <v>491</v>
      </c>
      <c r="H1129" s="5">
        <v>351.5</v>
      </c>
      <c r="I1129" s="5">
        <v>25349.41</v>
      </c>
      <c r="K1129" s="5">
        <v>7.1999999999999995E-2</v>
      </c>
      <c r="L1129" s="5">
        <v>1E-3</v>
      </c>
      <c r="M1129" s="5">
        <v>14289.264999999999</v>
      </c>
      <c r="N1129" s="6">
        <v>5.9200000000000003E-2</v>
      </c>
      <c r="O1129" s="5">
        <v>1.4079999999999999</v>
      </c>
      <c r="P1129" s="6">
        <v>2.06E-2</v>
      </c>
      <c r="Q1129" s="5">
        <v>240439.72399999999</v>
      </c>
      <c r="R1129" s="1" t="s">
        <v>44</v>
      </c>
      <c r="T1129" s="1" t="s">
        <v>93</v>
      </c>
      <c r="V1129" s="1" t="s">
        <v>176</v>
      </c>
      <c r="Y1129" s="1" t="s">
        <v>346</v>
      </c>
      <c r="Z1129" s="1" t="str">
        <f t="shared" si="51"/>
        <v>3439 4</v>
      </c>
      <c r="AA1129" s="3">
        <f>IF(INDEX('CAMD Facility Data 2023'!$AA$2:$AE$10000,MATCH(Z1129,'CAMD Facility Data 2023'!$AE$2:$AE$10000,0),1)&gt;0,INDEX('CAMD Facility Data 2023'!$AA$2:$AE$10000,MATCH(Z1129,'CAMD Facility Data 2023'!$AE$2:$AE$10000,0),1),"")</f>
        <v>39625</v>
      </c>
      <c r="AB1129" s="5">
        <f>IF(INDEX('CAMD Facility Data 2023'!$AC$2:$AE$10000,MATCH(Z1129,'CAMD Facility Data 2023'!$AE$2:$AE$10000,0),1)&gt;0,INDEX('CAMD Facility Data 2023'!$AC$2:$AE$10000,MATCH(Z1129,'CAMD Facility Data 2023'!$AE$2:$AE$10000,0),1),"")</f>
        <v>1058.0999999999999</v>
      </c>
      <c r="AC1129" s="1" t="str">
        <f>IF(INDEX('CAMD Facility Data 2023'!$AE$2:$AG$10000,MATCH(Z1129,'CAMD Facility Data 2023'!$AE$2:$AE$10000,0),3)&gt;0,INDEX('CAMD Facility Data 2023'!$AE$2:$AG$10000,MATCH(Z1129,'CAMD Facility Data 2023'!$AE$2:$AE$10000,0),3),"")</f>
        <v>Y</v>
      </c>
      <c r="AD1129" s="20">
        <f t="shared" si="52"/>
        <v>0.11108739808934409</v>
      </c>
      <c r="AE1129" s="25">
        <f t="shared" si="53"/>
        <v>2.5940324239321019E-2</v>
      </c>
    </row>
    <row r="1130" spans="1:31" x14ac:dyDescent="0.2">
      <c r="A1130" s="1" t="s">
        <v>383</v>
      </c>
      <c r="B1130" s="1" t="s">
        <v>2869</v>
      </c>
      <c r="C1130" s="1">
        <v>3439</v>
      </c>
      <c r="D1130" s="1">
        <v>5</v>
      </c>
      <c r="F1130" s="1">
        <v>2023</v>
      </c>
      <c r="G1130" s="5">
        <v>348</v>
      </c>
      <c r="H1130" s="5">
        <v>252.69</v>
      </c>
      <c r="I1130" s="5">
        <v>16920.990000000002</v>
      </c>
      <c r="K1130" s="5">
        <v>4.9000000000000002E-2</v>
      </c>
      <c r="L1130" s="5">
        <v>1E-3</v>
      </c>
      <c r="M1130" s="5">
        <v>9792.3240000000005</v>
      </c>
      <c r="N1130" s="6">
        <v>5.9200000000000003E-2</v>
      </c>
      <c r="O1130" s="5">
        <v>0.88200000000000001</v>
      </c>
      <c r="P1130" s="6">
        <v>1.6199999999999999E-2</v>
      </c>
      <c r="Q1130" s="5">
        <v>164773.74900000001</v>
      </c>
      <c r="R1130" s="1" t="s">
        <v>44</v>
      </c>
      <c r="T1130" s="1" t="s">
        <v>93</v>
      </c>
      <c r="V1130" s="1" t="s">
        <v>176</v>
      </c>
      <c r="Y1130" s="1" t="s">
        <v>346</v>
      </c>
      <c r="Z1130" s="1" t="str">
        <f t="shared" si="51"/>
        <v>3439 5</v>
      </c>
      <c r="AA1130" s="3">
        <f>IF(INDEX('CAMD Facility Data 2023'!$AA$2:$AE$10000,MATCH(Z1130,'CAMD Facility Data 2023'!$AE$2:$AE$10000,0),1)&gt;0,INDEX('CAMD Facility Data 2023'!$AA$2:$AE$10000,MATCH(Z1130,'CAMD Facility Data 2023'!$AE$2:$AE$10000,0),1),"")</f>
        <v>39654</v>
      </c>
      <c r="AB1130" s="5">
        <f>IF(INDEX('CAMD Facility Data 2023'!$AC$2:$AE$10000,MATCH(Z1130,'CAMD Facility Data 2023'!$AE$2:$AE$10000,0),1)&gt;0,INDEX('CAMD Facility Data 2023'!$AC$2:$AE$10000,MATCH(Z1130,'CAMD Facility Data 2023'!$AE$2:$AE$10000,0),1),"")</f>
        <v>949.1</v>
      </c>
      <c r="AC1130" s="1" t="str">
        <f>IF(INDEX('CAMD Facility Data 2023'!$AE$2:$AG$10000,MATCH(Z1130,'CAMD Facility Data 2023'!$AE$2:$AE$10000,0),3)&gt;0,INDEX('CAMD Facility Data 2023'!$AE$2:$AG$10000,MATCH(Z1130,'CAMD Facility Data 2023'!$AE$2:$AE$10000,0),3),"")</f>
        <v>Y</v>
      </c>
      <c r="AD1130" s="20">
        <f t="shared" si="52"/>
        <v>0.10424921946056347</v>
      </c>
      <c r="AE1130" s="25">
        <f t="shared" si="53"/>
        <v>1.9818553048814812E-2</v>
      </c>
    </row>
    <row r="1131" spans="1:31" x14ac:dyDescent="0.2">
      <c r="A1131" s="1" t="s">
        <v>383</v>
      </c>
      <c r="B1131" s="1" t="s">
        <v>2873</v>
      </c>
      <c r="C1131" s="1">
        <v>3441</v>
      </c>
      <c r="D1131" s="1">
        <v>8</v>
      </c>
      <c r="F1131" s="1">
        <v>2023</v>
      </c>
      <c r="G1131" s="5">
        <v>2896</v>
      </c>
      <c r="H1131" s="5">
        <v>2731.7</v>
      </c>
      <c r="I1131" s="5">
        <v>526559.78</v>
      </c>
      <c r="K1131" s="5">
        <v>1.161</v>
      </c>
      <c r="L1131" s="5">
        <v>1E-3</v>
      </c>
      <c r="M1131" s="5">
        <v>230044.038</v>
      </c>
      <c r="N1131" s="6">
        <v>5.91E-2</v>
      </c>
      <c r="O1131" s="5">
        <v>36.725000000000001</v>
      </c>
      <c r="P1131" s="6">
        <v>3.3799999999999997E-2</v>
      </c>
      <c r="Q1131" s="5">
        <v>3870943.87</v>
      </c>
      <c r="R1131" s="1" t="s">
        <v>44</v>
      </c>
      <c r="T1131" s="1" t="s">
        <v>71</v>
      </c>
      <c r="V1131" s="1" t="s">
        <v>223</v>
      </c>
      <c r="Y1131" s="1" t="s">
        <v>346</v>
      </c>
      <c r="Z1131" s="1" t="str">
        <f t="shared" si="51"/>
        <v>3441 8</v>
      </c>
      <c r="AA1131" s="3">
        <f>IF(INDEX('CAMD Facility Data 2023'!$AA$2:$AE$10000,MATCH(Z1131,'CAMD Facility Data 2023'!$AE$2:$AE$10000,0),1)&gt;0,INDEX('CAMD Facility Data 2023'!$AA$2:$AE$10000,MATCH(Z1131,'CAMD Facility Data 2023'!$AE$2:$AE$10000,0),1),"")</f>
        <v>40135</v>
      </c>
      <c r="AB1131" s="5">
        <f>IF(INDEX('CAMD Facility Data 2023'!$AC$2:$AE$10000,MATCH(Z1131,'CAMD Facility Data 2023'!$AE$2:$AE$10000,0),1)&gt;0,INDEX('CAMD Facility Data 2023'!$AC$2:$AE$10000,MATCH(Z1131,'CAMD Facility Data 2023'!$AE$2:$AE$10000,0),1),"")</f>
        <v>2610.4</v>
      </c>
      <c r="AC1131" s="1" t="str">
        <f>IF(INDEX('CAMD Facility Data 2023'!$AE$2:$AG$10000,MATCH(Z1131,'CAMD Facility Data 2023'!$AE$2:$AE$10000,0),3)&gt;0,INDEX('CAMD Facility Data 2023'!$AE$2:$AG$10000,MATCH(Z1131,'CAMD Facility Data 2023'!$AE$2:$AE$10000,0),3),"")</f>
        <v>Y</v>
      </c>
      <c r="AD1131" s="20">
        <f t="shared" si="52"/>
        <v>0.13949033479161663</v>
      </c>
      <c r="AE1131" s="25">
        <f t="shared" si="53"/>
        <v>0.16928002207887802</v>
      </c>
    </row>
    <row r="1132" spans="1:31" x14ac:dyDescent="0.2">
      <c r="A1132" s="1" t="s">
        <v>383</v>
      </c>
      <c r="B1132" s="1" t="s">
        <v>2873</v>
      </c>
      <c r="C1132" s="1">
        <v>3441</v>
      </c>
      <c r="D1132" s="1">
        <v>9</v>
      </c>
      <c r="F1132" s="1">
        <v>2023</v>
      </c>
      <c r="G1132" s="5">
        <v>3225</v>
      </c>
      <c r="H1132" s="5">
        <v>3044.25</v>
      </c>
      <c r="I1132" s="5">
        <v>591357.07999999996</v>
      </c>
      <c r="K1132" s="5">
        <v>1.323</v>
      </c>
      <c r="L1132" s="5">
        <v>1E-3</v>
      </c>
      <c r="M1132" s="5">
        <v>262046.829</v>
      </c>
      <c r="N1132" s="6">
        <v>5.91E-2</v>
      </c>
      <c r="O1132" s="5">
        <v>36.805999999999997</v>
      </c>
      <c r="P1132" s="6">
        <v>2.8199999999999999E-2</v>
      </c>
      <c r="Q1132" s="5">
        <v>4409414.9780000001</v>
      </c>
      <c r="R1132" s="1" t="s">
        <v>44</v>
      </c>
      <c r="T1132" s="1" t="s">
        <v>71</v>
      </c>
      <c r="V1132" s="1" t="s">
        <v>223</v>
      </c>
      <c r="Y1132" s="1" t="s">
        <v>346</v>
      </c>
      <c r="Z1132" s="1" t="str">
        <f t="shared" si="51"/>
        <v>3441 9</v>
      </c>
      <c r="AA1132" s="3">
        <f>IF(INDEX('CAMD Facility Data 2023'!$AA$2:$AE$10000,MATCH(Z1132,'CAMD Facility Data 2023'!$AE$2:$AE$10000,0),1)&gt;0,INDEX('CAMD Facility Data 2023'!$AA$2:$AE$10000,MATCH(Z1132,'CAMD Facility Data 2023'!$AE$2:$AE$10000,0),1),"")</f>
        <v>40138</v>
      </c>
      <c r="AB1132" s="5">
        <f>IF(INDEX('CAMD Facility Data 2023'!$AC$2:$AE$10000,MATCH(Z1132,'CAMD Facility Data 2023'!$AE$2:$AE$10000,0),1)&gt;0,INDEX('CAMD Facility Data 2023'!$AC$2:$AE$10000,MATCH(Z1132,'CAMD Facility Data 2023'!$AE$2:$AE$10000,0),1),"")</f>
        <v>2638.9</v>
      </c>
      <c r="AC1132" s="1" t="str">
        <f>IF(INDEX('CAMD Facility Data 2023'!$AE$2:$AG$10000,MATCH(Z1132,'CAMD Facility Data 2023'!$AE$2:$AE$10000,0),3)&gt;0,INDEX('CAMD Facility Data 2023'!$AE$2:$AG$10000,MATCH(Z1132,'CAMD Facility Data 2023'!$AE$2:$AE$10000,0),3),"")</f>
        <v>Y</v>
      </c>
      <c r="AD1132" s="20">
        <f t="shared" si="52"/>
        <v>0.12447978131926653</v>
      </c>
      <c r="AE1132" s="25">
        <f t="shared" si="53"/>
        <v>0.19074533866418328</v>
      </c>
    </row>
    <row r="1133" spans="1:31" x14ac:dyDescent="0.2">
      <c r="A1133" s="1" t="s">
        <v>383</v>
      </c>
      <c r="B1133" s="1" t="s">
        <v>2879</v>
      </c>
      <c r="C1133" s="1">
        <v>3443</v>
      </c>
      <c r="D1133" s="1">
        <v>9</v>
      </c>
      <c r="F1133" s="1">
        <v>2023</v>
      </c>
      <c r="G1133" s="5">
        <v>4491</v>
      </c>
      <c r="H1133" s="5">
        <v>4481.1099999999997</v>
      </c>
      <c r="I1133" s="5">
        <v>987193.16</v>
      </c>
      <c r="K1133" s="5">
        <v>2.298</v>
      </c>
      <c r="L1133" s="5">
        <v>1E-3</v>
      </c>
      <c r="M1133" s="5">
        <v>455106.73599999998</v>
      </c>
      <c r="N1133" s="6">
        <v>5.8999999999999997E-2</v>
      </c>
      <c r="O1133" s="5">
        <v>60.463000000000001</v>
      </c>
      <c r="P1133" s="6">
        <v>1.77E-2</v>
      </c>
      <c r="Q1133" s="5">
        <v>7658066.8849999998</v>
      </c>
      <c r="R1133" s="1" t="s">
        <v>44</v>
      </c>
      <c r="T1133" s="1" t="s">
        <v>71</v>
      </c>
      <c r="V1133" s="1" t="s">
        <v>64</v>
      </c>
      <c r="Y1133" s="1" t="s">
        <v>346</v>
      </c>
      <c r="Z1133" s="1" t="str">
        <f t="shared" si="51"/>
        <v>3443 9</v>
      </c>
      <c r="AA1133" s="3">
        <f>IF(INDEX('CAMD Facility Data 2023'!$AA$2:$AE$10000,MATCH(Z1133,'CAMD Facility Data 2023'!$AE$2:$AE$10000,0),1)&gt;0,INDEX('CAMD Facility Data 2023'!$AA$2:$AE$10000,MATCH(Z1133,'CAMD Facility Data 2023'!$AE$2:$AE$10000,0),1),"")</f>
        <v>39772</v>
      </c>
      <c r="AB1133" s="5">
        <f>IF(INDEX('CAMD Facility Data 2023'!$AC$2:$AE$10000,MATCH(Z1133,'CAMD Facility Data 2023'!$AE$2:$AE$10000,0),1)&gt;0,INDEX('CAMD Facility Data 2023'!$AC$2:$AE$10000,MATCH(Z1133,'CAMD Facility Data 2023'!$AE$2:$AE$10000,0),1),"")</f>
        <v>2444</v>
      </c>
      <c r="AC1133" s="1" t="str">
        <f>IF(INDEX('CAMD Facility Data 2023'!$AE$2:$AG$10000,MATCH(Z1133,'CAMD Facility Data 2023'!$AE$2:$AE$10000,0),3)&gt;0,INDEX('CAMD Facility Data 2023'!$AE$2:$AG$10000,MATCH(Z1133,'CAMD Facility Data 2023'!$AE$2:$AE$10000,0),3),"")</f>
        <v>Y</v>
      </c>
      <c r="AD1133" s="20">
        <f t="shared" si="52"/>
        <v>0.12249477093216488</v>
      </c>
      <c r="AE1133" s="25">
        <f t="shared" si="53"/>
        <v>0.35769580544843771</v>
      </c>
    </row>
    <row r="1134" spans="1:31" x14ac:dyDescent="0.2">
      <c r="A1134" s="1" t="s">
        <v>383</v>
      </c>
      <c r="B1134" s="1" t="s">
        <v>2884</v>
      </c>
      <c r="C1134" s="1">
        <v>3452</v>
      </c>
      <c r="D1134" s="1">
        <v>1</v>
      </c>
      <c r="F1134" s="1">
        <v>2023</v>
      </c>
      <c r="G1134" s="5">
        <v>1038</v>
      </c>
      <c r="H1134" s="5">
        <v>972.19</v>
      </c>
      <c r="I1134" s="5">
        <v>119376.75</v>
      </c>
      <c r="K1134" s="5">
        <v>1.79</v>
      </c>
      <c r="L1134" s="5">
        <v>2.5999999999999999E-3</v>
      </c>
      <c r="M1134" s="5">
        <v>91190.361000000004</v>
      </c>
      <c r="N1134" s="6">
        <v>6.13E-2</v>
      </c>
      <c r="O1134" s="5">
        <v>103.244</v>
      </c>
      <c r="P1134" s="6">
        <v>0.10589999999999999</v>
      </c>
      <c r="Q1134" s="5">
        <v>1465920.4850000001</v>
      </c>
      <c r="R1134" s="1" t="s">
        <v>44</v>
      </c>
      <c r="S1134" s="1" t="s">
        <v>94</v>
      </c>
      <c r="T1134" s="1" t="s">
        <v>89</v>
      </c>
      <c r="V1134" s="1" t="s">
        <v>1460</v>
      </c>
      <c r="Y1134" s="1" t="s">
        <v>346</v>
      </c>
      <c r="Z1134" s="1" t="str">
        <f t="shared" si="51"/>
        <v>3452 1</v>
      </c>
      <c r="AA1134" s="3">
        <f>IF(INDEX('CAMD Facility Data 2023'!$AA$2:$AE$10000,MATCH(Z1134,'CAMD Facility Data 2023'!$AE$2:$AE$10000,0),1)&gt;0,INDEX('CAMD Facility Data 2023'!$AA$2:$AE$10000,MATCH(Z1134,'CAMD Facility Data 2023'!$AE$2:$AE$10000,0),1),"")</f>
        <v>25737</v>
      </c>
      <c r="AB1134" s="5">
        <f>IF(INDEX('CAMD Facility Data 2023'!$AC$2:$AE$10000,MATCH(Z1134,'CAMD Facility Data 2023'!$AE$2:$AE$10000,0),1)&gt;0,INDEX('CAMD Facility Data 2023'!$AC$2:$AE$10000,MATCH(Z1134,'CAMD Facility Data 2023'!$AE$2:$AE$10000,0),1),"")</f>
        <v>4620</v>
      </c>
      <c r="AC1134" s="1" t="str">
        <f>IF(INDEX('CAMD Facility Data 2023'!$AE$2:$AG$10000,MATCH(Z1134,'CAMD Facility Data 2023'!$AE$2:$AE$10000,0),3)&gt;0,INDEX('CAMD Facility Data 2023'!$AE$2:$AG$10000,MATCH(Z1134,'CAMD Facility Data 2023'!$AE$2:$AE$10000,0),3),"")</f>
        <v/>
      </c>
      <c r="AD1134" s="20">
        <f t="shared" si="52"/>
        <v>1.7297170512683584</v>
      </c>
      <c r="AE1134" s="25">
        <f t="shared" si="53"/>
        <v>3.6221324917472181E-2</v>
      </c>
    </row>
    <row r="1135" spans="1:31" x14ac:dyDescent="0.2">
      <c r="A1135" s="1" t="s">
        <v>383</v>
      </c>
      <c r="B1135" s="1" t="s">
        <v>2884</v>
      </c>
      <c r="C1135" s="1">
        <v>3452</v>
      </c>
      <c r="D1135" s="1">
        <v>2</v>
      </c>
      <c r="F1135" s="1">
        <v>2023</v>
      </c>
      <c r="G1135" s="5">
        <v>3266</v>
      </c>
      <c r="H1135" s="5">
        <v>3177.67</v>
      </c>
      <c r="I1135" s="5">
        <v>817274.94</v>
      </c>
      <c r="K1135" s="5">
        <v>2.694</v>
      </c>
      <c r="L1135" s="5">
        <v>1E-3</v>
      </c>
      <c r="M1135" s="5">
        <v>530109.32900000003</v>
      </c>
      <c r="N1135" s="6">
        <v>5.9700000000000003E-2</v>
      </c>
      <c r="O1135" s="5">
        <v>117.30500000000001</v>
      </c>
      <c r="P1135" s="6">
        <v>3.2599999999999997E-2</v>
      </c>
      <c r="Q1135" s="5">
        <v>8838556.398</v>
      </c>
      <c r="R1135" s="1" t="s">
        <v>44</v>
      </c>
      <c r="S1135" s="1" t="s">
        <v>94</v>
      </c>
      <c r="T1135" s="1" t="s">
        <v>89</v>
      </c>
      <c r="V1135" s="1" t="s">
        <v>297</v>
      </c>
      <c r="Y1135" s="1" t="s">
        <v>346</v>
      </c>
      <c r="Z1135" s="1" t="str">
        <f t="shared" si="51"/>
        <v>3452 2</v>
      </c>
      <c r="AA1135" s="3">
        <f>IF(INDEX('CAMD Facility Data 2023'!$AA$2:$AE$10000,MATCH(Z1135,'CAMD Facility Data 2023'!$AE$2:$AE$10000,0),1)&gt;0,INDEX('CAMD Facility Data 2023'!$AA$2:$AE$10000,MATCH(Z1135,'CAMD Facility Data 2023'!$AE$2:$AE$10000,0),1),"")</f>
        <v>26988</v>
      </c>
      <c r="AB1135" s="5">
        <f>IF(INDEX('CAMD Facility Data 2023'!$AC$2:$AE$10000,MATCH(Z1135,'CAMD Facility Data 2023'!$AE$2:$AE$10000,0),1)&gt;0,INDEX('CAMD Facility Data 2023'!$AC$2:$AE$10000,MATCH(Z1135,'CAMD Facility Data 2023'!$AE$2:$AE$10000,0),1),"")</f>
        <v>5598</v>
      </c>
      <c r="AC1135" s="1" t="str">
        <f>IF(INDEX('CAMD Facility Data 2023'!$AE$2:$AG$10000,MATCH(Z1135,'CAMD Facility Data 2023'!$AE$2:$AE$10000,0),3)&gt;0,INDEX('CAMD Facility Data 2023'!$AE$2:$AG$10000,MATCH(Z1135,'CAMD Facility Data 2023'!$AE$2:$AE$10000,0),3),"")</f>
        <v>Y</v>
      </c>
      <c r="AD1135" s="20">
        <f t="shared" si="52"/>
        <v>0.28706373891753001</v>
      </c>
      <c r="AE1135" s="25">
        <f t="shared" si="53"/>
        <v>0.18023716065424542</v>
      </c>
    </row>
    <row r="1136" spans="1:31" x14ac:dyDescent="0.2">
      <c r="A1136" s="1" t="s">
        <v>383</v>
      </c>
      <c r="B1136" s="1" t="s">
        <v>2889</v>
      </c>
      <c r="C1136" s="1">
        <v>3453</v>
      </c>
      <c r="D1136" s="1">
        <v>6</v>
      </c>
      <c r="F1136" s="1">
        <v>2023</v>
      </c>
      <c r="G1136" s="5">
        <v>2122</v>
      </c>
      <c r="H1136" s="5">
        <v>2102.36</v>
      </c>
      <c r="I1136" s="5">
        <v>107166.04</v>
      </c>
      <c r="K1136" s="5">
        <v>0.39400000000000002</v>
      </c>
      <c r="L1136" s="5">
        <v>1E-3</v>
      </c>
      <c r="M1136" s="5">
        <v>77964.017000000007</v>
      </c>
      <c r="N1136" s="6">
        <v>5.9200000000000003E-2</v>
      </c>
      <c r="O1136" s="5">
        <v>80.25</v>
      </c>
      <c r="P1136" s="6">
        <v>8.4400000000000003E-2</v>
      </c>
      <c r="Q1136" s="5">
        <v>1311845.7990000001</v>
      </c>
      <c r="R1136" s="1" t="s">
        <v>44</v>
      </c>
      <c r="T1136" s="1" t="s">
        <v>89</v>
      </c>
      <c r="V1136" s="1" t="s">
        <v>2892</v>
      </c>
      <c r="Y1136" s="1" t="s">
        <v>346</v>
      </c>
      <c r="Z1136" s="1" t="str">
        <f t="shared" si="51"/>
        <v>3453 6</v>
      </c>
      <c r="AA1136" s="3">
        <f>IF(INDEX('CAMD Facility Data 2023'!$AA$2:$AE$10000,MATCH(Z1136,'CAMD Facility Data 2023'!$AE$2:$AE$10000,0),1)&gt;0,INDEX('CAMD Facility Data 2023'!$AA$2:$AE$10000,MATCH(Z1136,'CAMD Facility Data 2023'!$AE$2:$AE$10000,0),1),"")</f>
        <v>20507</v>
      </c>
      <c r="AB1136" s="5">
        <f>IF(INDEX('CAMD Facility Data 2023'!$AC$2:$AE$10000,MATCH(Z1136,'CAMD Facility Data 2023'!$AE$2:$AE$10000,0),1)&gt;0,INDEX('CAMD Facility Data 2023'!$AC$2:$AE$10000,MATCH(Z1136,'CAMD Facility Data 2023'!$AE$2:$AE$10000,0),1),"")</f>
        <v>1674</v>
      </c>
      <c r="AC1136" s="1" t="str">
        <f>IF(INDEX('CAMD Facility Data 2023'!$AE$2:$AG$10000,MATCH(Z1136,'CAMD Facility Data 2023'!$AE$2:$AE$10000,0),3)&gt;0,INDEX('CAMD Facility Data 2023'!$AE$2:$AG$10000,MATCH(Z1136,'CAMD Facility Data 2023'!$AE$2:$AE$10000,0),3),"")</f>
        <v/>
      </c>
      <c r="AD1136" s="20">
        <f t="shared" si="52"/>
        <v>1.4976759428639894</v>
      </c>
      <c r="AE1136" s="25">
        <f t="shared" si="53"/>
        <v>8.945883312057086E-2</v>
      </c>
    </row>
    <row r="1137" spans="1:31" x14ac:dyDescent="0.2">
      <c r="A1137" s="1" t="s">
        <v>383</v>
      </c>
      <c r="B1137" s="1" t="s">
        <v>2889</v>
      </c>
      <c r="C1137" s="1">
        <v>3453</v>
      </c>
      <c r="D1137" s="1">
        <v>7</v>
      </c>
      <c r="F1137" s="1">
        <v>2023</v>
      </c>
      <c r="G1137" s="5">
        <v>3103</v>
      </c>
      <c r="H1137" s="5">
        <v>3076.01</v>
      </c>
      <c r="I1137" s="5">
        <v>143328.12</v>
      </c>
      <c r="K1137" s="5">
        <v>0.51500000000000001</v>
      </c>
      <c r="L1137" s="5">
        <v>1E-3</v>
      </c>
      <c r="M1137" s="5">
        <v>101930.787</v>
      </c>
      <c r="N1137" s="6">
        <v>5.9200000000000003E-2</v>
      </c>
      <c r="O1137" s="5">
        <v>186.53800000000001</v>
      </c>
      <c r="P1137" s="6">
        <v>0.15909999999999999</v>
      </c>
      <c r="Q1137" s="5">
        <v>1715149.09</v>
      </c>
      <c r="R1137" s="1" t="s">
        <v>44</v>
      </c>
      <c r="T1137" s="1" t="s">
        <v>89</v>
      </c>
      <c r="V1137" s="1" t="s">
        <v>2892</v>
      </c>
      <c r="Y1137" s="1" t="s">
        <v>346</v>
      </c>
      <c r="Z1137" s="1" t="str">
        <f t="shared" si="51"/>
        <v>3453 7</v>
      </c>
      <c r="AA1137" s="3">
        <f>IF(INDEX('CAMD Facility Data 2023'!$AA$2:$AE$10000,MATCH(Z1137,'CAMD Facility Data 2023'!$AE$2:$AE$10000,0),1)&gt;0,INDEX('CAMD Facility Data 2023'!$AA$2:$AE$10000,MATCH(Z1137,'CAMD Facility Data 2023'!$AE$2:$AE$10000,0),1),"")</f>
        <v>21251</v>
      </c>
      <c r="AB1137" s="5">
        <f>IF(INDEX('CAMD Facility Data 2023'!$AC$2:$AE$10000,MATCH(Z1137,'CAMD Facility Data 2023'!$AE$2:$AE$10000,0),1)&gt;0,INDEX('CAMD Facility Data 2023'!$AC$2:$AE$10000,MATCH(Z1137,'CAMD Facility Data 2023'!$AE$2:$AE$10000,0),1),"")</f>
        <v>1674</v>
      </c>
      <c r="AC1137" s="1" t="str">
        <f>IF(INDEX('CAMD Facility Data 2023'!$AE$2:$AG$10000,MATCH(Z1137,'CAMD Facility Data 2023'!$AE$2:$AE$10000,0),3)&gt;0,INDEX('CAMD Facility Data 2023'!$AE$2:$AG$10000,MATCH(Z1137,'CAMD Facility Data 2023'!$AE$2:$AE$10000,0),3),"")</f>
        <v/>
      </c>
      <c r="AD1137" s="20">
        <f t="shared" si="52"/>
        <v>2.6029504887107988</v>
      </c>
      <c r="AE1137" s="25">
        <f t="shared" si="53"/>
        <v>0.11696133519364113</v>
      </c>
    </row>
    <row r="1138" spans="1:31" x14ac:dyDescent="0.2">
      <c r="A1138" s="1" t="s">
        <v>383</v>
      </c>
      <c r="B1138" s="1" t="s">
        <v>2889</v>
      </c>
      <c r="C1138" s="1">
        <v>3453</v>
      </c>
      <c r="D1138" s="1">
        <v>8</v>
      </c>
      <c r="F1138" s="1">
        <v>2023</v>
      </c>
      <c r="G1138" s="5">
        <v>1517</v>
      </c>
      <c r="H1138" s="5">
        <v>1490.33</v>
      </c>
      <c r="I1138" s="5">
        <v>382352.97</v>
      </c>
      <c r="K1138" s="5">
        <v>1.2649999999999999</v>
      </c>
      <c r="L1138" s="5">
        <v>1E-3</v>
      </c>
      <c r="M1138" s="5">
        <v>250623.084</v>
      </c>
      <c r="N1138" s="6">
        <v>5.8999999999999997E-2</v>
      </c>
      <c r="O1138" s="5">
        <v>48.570999999999998</v>
      </c>
      <c r="P1138" s="6">
        <v>2.1999999999999999E-2</v>
      </c>
      <c r="Q1138" s="5">
        <v>4217207.2980000004</v>
      </c>
      <c r="R1138" s="1" t="s">
        <v>44</v>
      </c>
      <c r="T1138" s="1" t="s">
        <v>43</v>
      </c>
      <c r="V1138" s="1" t="s">
        <v>223</v>
      </c>
      <c r="Y1138" s="1" t="s">
        <v>346</v>
      </c>
      <c r="Z1138" s="1" t="str">
        <f t="shared" si="51"/>
        <v>3453 8</v>
      </c>
      <c r="AA1138" s="3">
        <f>IF(INDEX('CAMD Facility Data 2023'!$AA$2:$AE$10000,MATCH(Z1138,'CAMD Facility Data 2023'!$AE$2:$AE$10000,0),1)&gt;0,INDEX('CAMD Facility Data 2023'!$AA$2:$AE$10000,MATCH(Z1138,'CAMD Facility Data 2023'!$AE$2:$AE$10000,0),1),"")</f>
        <v>24664</v>
      </c>
      <c r="AB1138" s="5">
        <f>IF(INDEX('CAMD Facility Data 2023'!$AC$2:$AE$10000,MATCH(Z1138,'CAMD Facility Data 2023'!$AE$2:$AE$10000,0),1)&gt;0,INDEX('CAMD Facility Data 2023'!$AC$2:$AE$10000,MATCH(Z1138,'CAMD Facility Data 2023'!$AE$2:$AE$10000,0),1),"")</f>
        <v>6204</v>
      </c>
      <c r="AC1138" s="1" t="str">
        <f>IF(INDEX('CAMD Facility Data 2023'!$AE$2:$AG$10000,MATCH(Z1138,'CAMD Facility Data 2023'!$AE$2:$AE$10000,0),3)&gt;0,INDEX('CAMD Facility Data 2023'!$AE$2:$AG$10000,MATCH(Z1138,'CAMD Facility Data 2023'!$AE$2:$AE$10000,0),3),"")</f>
        <v>Y</v>
      </c>
      <c r="AD1138" s="20">
        <f t="shared" si="52"/>
        <v>0.25406367315520006</v>
      </c>
      <c r="AE1138" s="25">
        <f t="shared" si="53"/>
        <v>7.7597736656863009E-2</v>
      </c>
    </row>
    <row r="1139" spans="1:31" x14ac:dyDescent="0.2">
      <c r="A1139" s="1" t="s">
        <v>383</v>
      </c>
      <c r="B1139" s="1" t="s">
        <v>2896</v>
      </c>
      <c r="C1139" s="1">
        <v>3456</v>
      </c>
      <c r="D1139" s="1">
        <v>1</v>
      </c>
      <c r="F1139" s="1">
        <v>2023</v>
      </c>
      <c r="G1139" s="5">
        <v>6060</v>
      </c>
      <c r="H1139" s="5">
        <v>6047.41</v>
      </c>
      <c r="I1139" s="5">
        <v>276828.05</v>
      </c>
      <c r="K1139" s="5">
        <v>0.97</v>
      </c>
      <c r="L1139" s="5">
        <v>1E-3</v>
      </c>
      <c r="M1139" s="5">
        <v>192095.413</v>
      </c>
      <c r="N1139" s="6">
        <v>5.91E-2</v>
      </c>
      <c r="O1139" s="5">
        <v>337.94499999999999</v>
      </c>
      <c r="P1139" s="6">
        <v>0.20100000000000001</v>
      </c>
      <c r="Q1139" s="5">
        <v>3232388.2820000001</v>
      </c>
      <c r="R1139" s="1" t="s">
        <v>44</v>
      </c>
      <c r="S1139" s="1" t="s">
        <v>94</v>
      </c>
      <c r="T1139" s="1" t="s">
        <v>89</v>
      </c>
      <c r="Y1139" s="1" t="s">
        <v>346</v>
      </c>
      <c r="Z1139" s="1" t="str">
        <f t="shared" si="51"/>
        <v>3456 1</v>
      </c>
      <c r="AA1139" s="3">
        <f>IF(INDEX('CAMD Facility Data 2023'!$AA$2:$AE$10000,MATCH(Z1139,'CAMD Facility Data 2023'!$AE$2:$AE$10000,0),1)&gt;0,INDEX('CAMD Facility Data 2023'!$AA$2:$AE$10000,MATCH(Z1139,'CAMD Facility Data 2023'!$AE$2:$AE$10000,0),1),"")</f>
        <v>22007</v>
      </c>
      <c r="AB1139" s="5">
        <f>IF(INDEX('CAMD Facility Data 2023'!$AC$2:$AE$10000,MATCH(Z1139,'CAMD Facility Data 2023'!$AE$2:$AE$10000,0),1)&gt;0,INDEX('CAMD Facility Data 2023'!$AC$2:$AE$10000,MATCH(Z1139,'CAMD Facility Data 2023'!$AE$2:$AE$10000,0),1),"")</f>
        <v>858</v>
      </c>
      <c r="AC1139" s="1" t="str">
        <f>IF(INDEX('CAMD Facility Data 2023'!$AE$2:$AG$10000,MATCH(Z1139,'CAMD Facility Data 2023'!$AE$2:$AE$10000,0),3)&gt;0,INDEX('CAMD Facility Data 2023'!$AE$2:$AG$10000,MATCH(Z1139,'CAMD Facility Data 2023'!$AE$2:$AE$10000,0),3),"")</f>
        <v/>
      </c>
      <c r="AD1139" s="20">
        <f t="shared" si="52"/>
        <v>2.4415517141416849</v>
      </c>
      <c r="AE1139" s="25">
        <f t="shared" si="53"/>
        <v>0.43006304908941895</v>
      </c>
    </row>
    <row r="1140" spans="1:31" x14ac:dyDescent="0.2">
      <c r="A1140" s="1" t="s">
        <v>383</v>
      </c>
      <c r="B1140" s="1" t="s">
        <v>2896</v>
      </c>
      <c r="C1140" s="1">
        <v>3456</v>
      </c>
      <c r="D1140" s="1">
        <v>2</v>
      </c>
      <c r="F1140" s="1">
        <v>2023</v>
      </c>
      <c r="G1140" s="5">
        <v>5484</v>
      </c>
      <c r="H1140" s="5">
        <v>5468.58</v>
      </c>
      <c r="I1140" s="5">
        <v>264365.34000000003</v>
      </c>
      <c r="K1140" s="5">
        <v>0.94599999999999995</v>
      </c>
      <c r="L1140" s="5">
        <v>1E-3</v>
      </c>
      <c r="M1140" s="5">
        <v>187376.97399999999</v>
      </c>
      <c r="N1140" s="6">
        <v>5.91E-2</v>
      </c>
      <c r="O1140" s="5">
        <v>287.44099999999997</v>
      </c>
      <c r="P1140" s="6">
        <v>0.17050000000000001</v>
      </c>
      <c r="Q1140" s="5">
        <v>3152964.233</v>
      </c>
      <c r="R1140" s="1" t="s">
        <v>44</v>
      </c>
      <c r="S1140" s="1" t="s">
        <v>94</v>
      </c>
      <c r="T1140" s="1" t="s">
        <v>89</v>
      </c>
      <c r="Y1140" s="1" t="s">
        <v>2899</v>
      </c>
      <c r="Z1140" s="1" t="str">
        <f t="shared" si="51"/>
        <v>3456 2</v>
      </c>
      <c r="AA1140" s="3">
        <f>IF(INDEX('CAMD Facility Data 2023'!$AA$2:$AE$10000,MATCH(Z1140,'CAMD Facility Data 2023'!$AE$2:$AE$10000,0),1)&gt;0,INDEX('CAMD Facility Data 2023'!$AA$2:$AE$10000,MATCH(Z1140,'CAMD Facility Data 2023'!$AE$2:$AE$10000,0),1),"")</f>
        <v>23102</v>
      </c>
      <c r="AB1140" s="5">
        <f>IF(INDEX('CAMD Facility Data 2023'!$AC$2:$AE$10000,MATCH(Z1140,'CAMD Facility Data 2023'!$AE$2:$AE$10000,0),1)&gt;0,INDEX('CAMD Facility Data 2023'!$AC$2:$AE$10000,MATCH(Z1140,'CAMD Facility Data 2023'!$AE$2:$AE$10000,0),1),"")</f>
        <v>858</v>
      </c>
      <c r="AC1140" s="1" t="str">
        <f>IF(INDEX('CAMD Facility Data 2023'!$AE$2:$AG$10000,MATCH(Z1140,'CAMD Facility Data 2023'!$AE$2:$AE$10000,0),3)&gt;0,INDEX('CAMD Facility Data 2023'!$AE$2:$AG$10000,MATCH(Z1140,'CAMD Facility Data 2023'!$AE$2:$AE$10000,0),3),"")</f>
        <v/>
      </c>
      <c r="AD1140" s="20">
        <f t="shared" si="52"/>
        <v>2.1745740194232721</v>
      </c>
      <c r="AE1140" s="25">
        <f t="shared" si="53"/>
        <v>0.41949583200285256</v>
      </c>
    </row>
    <row r="1141" spans="1:31" x14ac:dyDescent="0.2">
      <c r="A1141" s="1" t="s">
        <v>383</v>
      </c>
      <c r="B1141" s="1" t="s">
        <v>2896</v>
      </c>
      <c r="C1141" s="1">
        <v>3456</v>
      </c>
      <c r="D1141" s="1">
        <v>3</v>
      </c>
      <c r="F1141" s="1">
        <v>2023</v>
      </c>
      <c r="G1141" s="5">
        <v>2295</v>
      </c>
      <c r="H1141" s="5">
        <v>2285.02</v>
      </c>
      <c r="I1141" s="5">
        <v>105241.17</v>
      </c>
      <c r="K1141" s="5">
        <v>0.34699999999999998</v>
      </c>
      <c r="L1141" s="5">
        <v>1E-3</v>
      </c>
      <c r="M1141" s="5">
        <v>68817.135999999999</v>
      </c>
      <c r="N1141" s="6">
        <v>5.91E-2</v>
      </c>
      <c r="O1141" s="5">
        <v>99.924999999999997</v>
      </c>
      <c r="P1141" s="6">
        <v>0.17219999999999999</v>
      </c>
      <c r="Q1141" s="5">
        <v>1158035.8400000001</v>
      </c>
      <c r="R1141" s="1" t="s">
        <v>44</v>
      </c>
      <c r="S1141" s="1" t="s">
        <v>94</v>
      </c>
      <c r="T1141" s="1" t="s">
        <v>89</v>
      </c>
      <c r="Y1141" s="1" t="s">
        <v>2899</v>
      </c>
      <c r="Z1141" s="1" t="str">
        <f t="shared" si="51"/>
        <v>3456 3</v>
      </c>
      <c r="AA1141" s="3">
        <f>IF(INDEX('CAMD Facility Data 2023'!$AA$2:$AE$10000,MATCH(Z1141,'CAMD Facility Data 2023'!$AE$2:$AE$10000,0),1)&gt;0,INDEX('CAMD Facility Data 2023'!$AA$2:$AE$10000,MATCH(Z1141,'CAMD Facility Data 2023'!$AE$2:$AE$10000,0),1),"")</f>
        <v>24108</v>
      </c>
      <c r="AB1141" s="5">
        <f>IF(INDEX('CAMD Facility Data 2023'!$AC$2:$AE$10000,MATCH(Z1141,'CAMD Facility Data 2023'!$AE$2:$AE$10000,0),1)&gt;0,INDEX('CAMD Facility Data 2023'!$AC$2:$AE$10000,MATCH(Z1141,'CAMD Facility Data 2023'!$AE$2:$AE$10000,0),1),"")</f>
        <v>1030</v>
      </c>
      <c r="AC1141" s="1" t="str">
        <f>IF(INDEX('CAMD Facility Data 2023'!$AE$2:$AG$10000,MATCH(Z1141,'CAMD Facility Data 2023'!$AE$2:$AE$10000,0),3)&gt;0,INDEX('CAMD Facility Data 2023'!$AE$2:$AG$10000,MATCH(Z1141,'CAMD Facility Data 2023'!$AE$2:$AE$10000,0),3),"")</f>
        <v/>
      </c>
      <c r="AD1141" s="20">
        <f t="shared" si="52"/>
        <v>1.8989716666965979</v>
      </c>
      <c r="AE1141" s="25">
        <f t="shared" si="53"/>
        <v>0.12834550693797936</v>
      </c>
    </row>
    <row r="1142" spans="1:31" x14ac:dyDescent="0.2">
      <c r="A1142" s="1" t="s">
        <v>383</v>
      </c>
      <c r="B1142" s="1" t="s">
        <v>2896</v>
      </c>
      <c r="C1142" s="1">
        <v>3456</v>
      </c>
      <c r="D1142" s="1" t="s">
        <v>569</v>
      </c>
      <c r="F1142" s="1">
        <v>2023</v>
      </c>
      <c r="G1142" s="5">
        <v>7507</v>
      </c>
      <c r="H1142" s="5">
        <v>7481.44</v>
      </c>
      <c r="I1142" s="5">
        <v>647573.79</v>
      </c>
      <c r="K1142" s="5">
        <v>1.8480000000000001</v>
      </c>
      <c r="L1142" s="5">
        <v>1E-3</v>
      </c>
      <c r="M1142" s="5">
        <v>366095.18800000002</v>
      </c>
      <c r="N1142" s="6">
        <v>5.8999999999999997E-2</v>
      </c>
      <c r="O1142" s="5">
        <v>481.98700000000002</v>
      </c>
      <c r="P1142" s="6">
        <v>0.1598</v>
      </c>
      <c r="Q1142" s="5">
        <v>6160274.4040000001</v>
      </c>
      <c r="R1142" s="1" t="s">
        <v>44</v>
      </c>
      <c r="T1142" s="1" t="s">
        <v>71</v>
      </c>
      <c r="V1142" s="1" t="s">
        <v>95</v>
      </c>
      <c r="Y1142" s="1" t="s">
        <v>2899</v>
      </c>
      <c r="Z1142" s="1" t="str">
        <f t="shared" si="51"/>
        <v>3456 **4</v>
      </c>
      <c r="AA1142" s="3">
        <f>IF(INDEX('CAMD Facility Data 2023'!$AA$2:$AE$10000,MATCH(Z1142,'CAMD Facility Data 2023'!$AE$2:$AE$10000,0),1)&gt;0,INDEX('CAMD Facility Data 2023'!$AA$2:$AE$10000,MATCH(Z1142,'CAMD Facility Data 2023'!$AE$2:$AE$10000,0),1),"")</f>
        <v>27395</v>
      </c>
      <c r="AB1142" s="5">
        <f>IF(INDEX('CAMD Facility Data 2023'!$AC$2:$AE$10000,MATCH(Z1142,'CAMD Facility Data 2023'!$AE$2:$AE$10000,0),1)&gt;0,INDEX('CAMD Facility Data 2023'!$AC$2:$AE$10000,MATCH(Z1142,'CAMD Facility Data 2023'!$AE$2:$AE$10000,0),1),"")</f>
        <v>1022</v>
      </c>
      <c r="AC1142" s="1" t="str">
        <f>IF(INDEX('CAMD Facility Data 2023'!$AE$2:$AG$10000,MATCH(Z1142,'CAMD Facility Data 2023'!$AE$2:$AE$10000,0),3)&gt;0,INDEX('CAMD Facility Data 2023'!$AE$2:$AG$10000,MATCH(Z1142,'CAMD Facility Data 2023'!$AE$2:$AE$10000,0),3),"")</f>
        <v/>
      </c>
      <c r="AD1142" s="20">
        <f t="shared" si="52"/>
        <v>1.4885932922022678</v>
      </c>
      <c r="AE1142" s="25">
        <f t="shared" si="53"/>
        <v>0.68808969832631872</v>
      </c>
    </row>
    <row r="1143" spans="1:31" x14ac:dyDescent="0.2">
      <c r="A1143" s="1" t="s">
        <v>383</v>
      </c>
      <c r="B1143" s="1" t="s">
        <v>2896</v>
      </c>
      <c r="C1143" s="1">
        <v>3456</v>
      </c>
      <c r="D1143" s="1" t="s">
        <v>2903</v>
      </c>
      <c r="F1143" s="1">
        <v>2023</v>
      </c>
      <c r="G1143" s="5">
        <v>7275</v>
      </c>
      <c r="H1143" s="5">
        <v>7260.21</v>
      </c>
      <c r="I1143" s="5">
        <v>620415.29</v>
      </c>
      <c r="K1143" s="5">
        <v>1.788</v>
      </c>
      <c r="L1143" s="5">
        <v>1E-3</v>
      </c>
      <c r="M1143" s="5">
        <v>354121.848</v>
      </c>
      <c r="N1143" s="6">
        <v>5.8999999999999997E-2</v>
      </c>
      <c r="O1143" s="5">
        <v>448.935</v>
      </c>
      <c r="P1143" s="6">
        <v>0.1542</v>
      </c>
      <c r="Q1143" s="5">
        <v>5958779.0140000004</v>
      </c>
      <c r="R1143" s="1" t="s">
        <v>44</v>
      </c>
      <c r="T1143" s="1" t="s">
        <v>71</v>
      </c>
      <c r="V1143" s="1" t="s">
        <v>95</v>
      </c>
      <c r="Y1143" s="1" t="s">
        <v>2899</v>
      </c>
      <c r="Z1143" s="1" t="str">
        <f t="shared" si="51"/>
        <v>3456 **5</v>
      </c>
      <c r="AA1143" s="3">
        <f>IF(INDEX('CAMD Facility Data 2023'!$AA$2:$AE$10000,MATCH(Z1143,'CAMD Facility Data 2023'!$AE$2:$AE$10000,0),1)&gt;0,INDEX('CAMD Facility Data 2023'!$AA$2:$AE$10000,MATCH(Z1143,'CAMD Facility Data 2023'!$AE$2:$AE$10000,0),1),"")</f>
        <v>27395</v>
      </c>
      <c r="AB1143" s="5">
        <f>IF(INDEX('CAMD Facility Data 2023'!$AC$2:$AE$10000,MATCH(Z1143,'CAMD Facility Data 2023'!$AE$2:$AE$10000,0),1)&gt;0,INDEX('CAMD Facility Data 2023'!$AC$2:$AE$10000,MATCH(Z1143,'CAMD Facility Data 2023'!$AE$2:$AE$10000,0),1),"")</f>
        <v>1022</v>
      </c>
      <c r="AC1143" s="1" t="str">
        <f>IF(INDEX('CAMD Facility Data 2023'!$AE$2:$AG$10000,MATCH(Z1143,'CAMD Facility Data 2023'!$AE$2:$AE$10000,0),3)&gt;0,INDEX('CAMD Facility Data 2023'!$AE$2:$AG$10000,MATCH(Z1143,'CAMD Facility Data 2023'!$AE$2:$AE$10000,0),3),"")</f>
        <v/>
      </c>
      <c r="AD1143" s="20">
        <f t="shared" si="52"/>
        <v>1.44720804672625</v>
      </c>
      <c r="AE1143" s="25">
        <f t="shared" si="53"/>
        <v>0.66558308692777168</v>
      </c>
    </row>
    <row r="1144" spans="1:31" x14ac:dyDescent="0.2">
      <c r="A1144" s="1" t="s">
        <v>383</v>
      </c>
      <c r="B1144" s="1" t="s">
        <v>2896</v>
      </c>
      <c r="C1144" s="1">
        <v>3456</v>
      </c>
      <c r="D1144" s="1" t="s">
        <v>2905</v>
      </c>
      <c r="F1144" s="1">
        <v>2023</v>
      </c>
      <c r="G1144" s="5">
        <v>6939</v>
      </c>
      <c r="H1144" s="5">
        <v>6932.49</v>
      </c>
      <c r="I1144" s="5">
        <v>686717.84</v>
      </c>
      <c r="K1144" s="5">
        <v>1.6519999999999999</v>
      </c>
      <c r="L1144" s="5">
        <v>1E-3</v>
      </c>
      <c r="M1144" s="5">
        <v>327267.34499999997</v>
      </c>
      <c r="N1144" s="6">
        <v>5.8999999999999997E-2</v>
      </c>
      <c r="O1144" s="5">
        <v>25.2</v>
      </c>
      <c r="P1144" s="6">
        <v>9.2999999999999992E-3</v>
      </c>
      <c r="Q1144" s="5">
        <v>5506874.3059999999</v>
      </c>
      <c r="R1144" s="1" t="s">
        <v>44</v>
      </c>
      <c r="T1144" s="1" t="s">
        <v>71</v>
      </c>
      <c r="V1144" s="1" t="s">
        <v>140</v>
      </c>
      <c r="Y1144" s="1" t="s">
        <v>346</v>
      </c>
      <c r="Z1144" s="1" t="str">
        <f t="shared" si="51"/>
        <v>3456 GT-6A</v>
      </c>
      <c r="AA1144" s="3">
        <f>IF(INDEX('CAMD Facility Data 2023'!$AA$2:$AE$10000,MATCH(Z1144,'CAMD Facility Data 2023'!$AE$2:$AE$10000,0),1)&gt;0,INDEX('CAMD Facility Data 2023'!$AA$2:$AE$10000,MATCH(Z1144,'CAMD Facility Data 2023'!$AE$2:$AE$10000,0),1),"")</f>
        <v>39940</v>
      </c>
      <c r="AB1144" s="5">
        <f>IF(INDEX('CAMD Facility Data 2023'!$AC$2:$AE$10000,MATCH(Z1144,'CAMD Facility Data 2023'!$AE$2:$AE$10000,0),1)&gt;0,INDEX('CAMD Facility Data 2023'!$AC$2:$AE$10000,MATCH(Z1144,'CAMD Facility Data 2023'!$AE$2:$AE$10000,0),1),"")</f>
        <v>1120</v>
      </c>
      <c r="AC1144" s="1" t="str">
        <f>IF(INDEX('CAMD Facility Data 2023'!$AE$2:$AG$10000,MATCH(Z1144,'CAMD Facility Data 2023'!$AE$2:$AE$10000,0),3)&gt;0,INDEX('CAMD Facility Data 2023'!$AE$2:$AG$10000,MATCH(Z1144,'CAMD Facility Data 2023'!$AE$2:$AE$10000,0),3),"")</f>
        <v/>
      </c>
      <c r="AD1144" s="20">
        <f t="shared" si="52"/>
        <v>7.3392588723193791E-2</v>
      </c>
      <c r="AE1144" s="25">
        <f t="shared" si="53"/>
        <v>0.56128448161285061</v>
      </c>
    </row>
    <row r="1145" spans="1:31" x14ac:dyDescent="0.2">
      <c r="A1145" s="1" t="s">
        <v>383</v>
      </c>
      <c r="B1145" s="1" t="s">
        <v>2896</v>
      </c>
      <c r="C1145" s="1">
        <v>3456</v>
      </c>
      <c r="D1145" s="1" t="s">
        <v>2907</v>
      </c>
      <c r="F1145" s="1">
        <v>2023</v>
      </c>
      <c r="G1145" s="5">
        <v>6956</v>
      </c>
      <c r="H1145" s="5">
        <v>6949.18</v>
      </c>
      <c r="I1145" s="5">
        <v>680463.15</v>
      </c>
      <c r="K1145" s="5">
        <v>1.653</v>
      </c>
      <c r="L1145" s="5">
        <v>1E-3</v>
      </c>
      <c r="M1145" s="5">
        <v>327362.61800000002</v>
      </c>
      <c r="N1145" s="6">
        <v>5.8999999999999997E-2</v>
      </c>
      <c r="O1145" s="5">
        <v>25.076000000000001</v>
      </c>
      <c r="P1145" s="6">
        <v>9.1999999999999998E-3</v>
      </c>
      <c r="Q1145" s="5">
        <v>5508530.5860000001</v>
      </c>
      <c r="R1145" s="1" t="s">
        <v>44</v>
      </c>
      <c r="T1145" s="1" t="s">
        <v>71</v>
      </c>
      <c r="V1145" s="1" t="s">
        <v>140</v>
      </c>
      <c r="Y1145" s="1" t="s">
        <v>346</v>
      </c>
      <c r="Z1145" s="1" t="str">
        <f t="shared" si="51"/>
        <v>3456 GT-6B</v>
      </c>
      <c r="AA1145" s="3">
        <f>IF(INDEX('CAMD Facility Data 2023'!$AA$2:$AE$10000,MATCH(Z1145,'CAMD Facility Data 2023'!$AE$2:$AE$10000,0),1)&gt;0,INDEX('CAMD Facility Data 2023'!$AA$2:$AE$10000,MATCH(Z1145,'CAMD Facility Data 2023'!$AE$2:$AE$10000,0),1),"")</f>
        <v>39949</v>
      </c>
      <c r="AB1145" s="5">
        <f>IF(INDEX('CAMD Facility Data 2023'!$AC$2:$AE$10000,MATCH(Z1145,'CAMD Facility Data 2023'!$AE$2:$AE$10000,0),1)&gt;0,INDEX('CAMD Facility Data 2023'!$AC$2:$AE$10000,MATCH(Z1145,'CAMD Facility Data 2023'!$AE$2:$AE$10000,0),1),"")</f>
        <v>1120</v>
      </c>
      <c r="AC1145" s="1" t="str">
        <f>IF(INDEX('CAMD Facility Data 2023'!$AE$2:$AG$10000,MATCH(Z1145,'CAMD Facility Data 2023'!$AE$2:$AE$10000,0),3)&gt;0,INDEX('CAMD Facility Data 2023'!$AE$2:$AG$10000,MATCH(Z1145,'CAMD Facility Data 2023'!$AE$2:$AE$10000,0),3),"")</f>
        <v/>
      </c>
      <c r="AD1145" s="20">
        <f t="shared" si="52"/>
        <v>7.3702742022106554E-2</v>
      </c>
      <c r="AE1145" s="25">
        <f t="shared" si="53"/>
        <v>0.56145329684442269</v>
      </c>
    </row>
    <row r="1146" spans="1:31" x14ac:dyDescent="0.2">
      <c r="A1146" s="1" t="s">
        <v>383</v>
      </c>
      <c r="B1146" s="1" t="s">
        <v>2909</v>
      </c>
      <c r="C1146" s="1">
        <v>3457</v>
      </c>
      <c r="D1146" s="1">
        <v>1</v>
      </c>
      <c r="F1146" s="1">
        <v>2023</v>
      </c>
      <c r="G1146" s="5">
        <v>4900</v>
      </c>
      <c r="H1146" s="5">
        <v>4896.3100000000004</v>
      </c>
      <c r="I1146" s="5">
        <v>861725.06</v>
      </c>
      <c r="K1146" s="5">
        <v>2.5760000000000001</v>
      </c>
      <c r="L1146" s="5">
        <v>1E-3</v>
      </c>
      <c r="M1146" s="5">
        <v>510224.701</v>
      </c>
      <c r="N1146" s="6">
        <v>5.8999999999999997E-2</v>
      </c>
      <c r="O1146" s="5">
        <v>111.504</v>
      </c>
      <c r="P1146" s="6">
        <v>2.6100000000000002E-2</v>
      </c>
      <c r="Q1146" s="5">
        <v>8585512.6109999996</v>
      </c>
      <c r="R1146" s="1" t="s">
        <v>44</v>
      </c>
      <c r="T1146" s="1" t="s">
        <v>89</v>
      </c>
      <c r="V1146" s="1" t="s">
        <v>223</v>
      </c>
      <c r="Y1146" s="1" t="s">
        <v>346</v>
      </c>
      <c r="Z1146" s="1" t="str">
        <f t="shared" si="51"/>
        <v>3457 1</v>
      </c>
      <c r="AA1146" s="3">
        <f>IF(INDEX('CAMD Facility Data 2023'!$AA$2:$AE$10000,MATCH(Z1146,'CAMD Facility Data 2023'!$AE$2:$AE$10000,0),1)&gt;0,INDEX('CAMD Facility Data 2023'!$AA$2:$AE$10000,MATCH(Z1146,'CAMD Facility Data 2023'!$AE$2:$AE$10000,0),1),"")</f>
        <v>25916</v>
      </c>
      <c r="AB1146" s="5">
        <f>IF(INDEX('CAMD Facility Data 2023'!$AC$2:$AE$10000,MATCH(Z1146,'CAMD Facility Data 2023'!$AE$2:$AE$10000,0),1)&gt;0,INDEX('CAMD Facility Data 2023'!$AC$2:$AE$10000,MATCH(Z1146,'CAMD Facility Data 2023'!$AE$2:$AE$10000,0),1),"")</f>
        <v>2730</v>
      </c>
      <c r="AC1146" s="1" t="str">
        <f>IF(INDEX('CAMD Facility Data 2023'!$AE$2:$AG$10000,MATCH(Z1146,'CAMD Facility Data 2023'!$AE$2:$AE$10000,0),3)&gt;0,INDEX('CAMD Facility Data 2023'!$AE$2:$AG$10000,MATCH(Z1146,'CAMD Facility Data 2023'!$AE$2:$AE$10000,0),3),"")</f>
        <v>Y</v>
      </c>
      <c r="AD1146" s="20">
        <f t="shared" si="52"/>
        <v>0.25879252020360183</v>
      </c>
      <c r="AE1146" s="25">
        <f t="shared" si="53"/>
        <v>0.35900415688193082</v>
      </c>
    </row>
    <row r="1147" spans="1:31" x14ac:dyDescent="0.2">
      <c r="A1147" s="1" t="s">
        <v>383</v>
      </c>
      <c r="B1147" s="1" t="s">
        <v>2909</v>
      </c>
      <c r="C1147" s="1">
        <v>3457</v>
      </c>
      <c r="D1147" s="1">
        <v>2</v>
      </c>
      <c r="F1147" s="1">
        <v>2023</v>
      </c>
      <c r="G1147" s="5">
        <v>5727</v>
      </c>
      <c r="H1147" s="5">
        <v>5718.48</v>
      </c>
      <c r="I1147" s="5">
        <v>971196.67</v>
      </c>
      <c r="K1147" s="5">
        <v>3.0019999999999998</v>
      </c>
      <c r="L1147" s="5">
        <v>1E-3</v>
      </c>
      <c r="M1147" s="5">
        <v>594681.57999999996</v>
      </c>
      <c r="N1147" s="6">
        <v>5.8999999999999997E-2</v>
      </c>
      <c r="O1147" s="5">
        <v>135.97999999999999</v>
      </c>
      <c r="P1147" s="6">
        <v>2.64E-2</v>
      </c>
      <c r="Q1147" s="5">
        <v>10006613.327</v>
      </c>
      <c r="R1147" s="1" t="s">
        <v>44</v>
      </c>
      <c r="T1147" s="1" t="s">
        <v>89</v>
      </c>
      <c r="V1147" s="1" t="s">
        <v>223</v>
      </c>
      <c r="Y1147" s="1" t="s">
        <v>346</v>
      </c>
      <c r="Z1147" s="1" t="str">
        <f t="shared" si="51"/>
        <v>3457 2</v>
      </c>
      <c r="AA1147" s="3">
        <f>IF(INDEX('CAMD Facility Data 2023'!$AA$2:$AE$10000,MATCH(Z1147,'CAMD Facility Data 2023'!$AE$2:$AE$10000,0),1)&gt;0,INDEX('CAMD Facility Data 2023'!$AA$2:$AE$10000,MATCH(Z1147,'CAMD Facility Data 2023'!$AE$2:$AE$10000,0),1),"")</f>
        <v>26064</v>
      </c>
      <c r="AB1147" s="5">
        <f>IF(INDEX('CAMD Facility Data 2023'!$AC$2:$AE$10000,MATCH(Z1147,'CAMD Facility Data 2023'!$AE$2:$AE$10000,0),1)&gt;0,INDEX('CAMD Facility Data 2023'!$AC$2:$AE$10000,MATCH(Z1147,'CAMD Facility Data 2023'!$AE$2:$AE$10000,0),1),"")</f>
        <v>3050</v>
      </c>
      <c r="AC1147" s="1" t="str">
        <f>IF(INDEX('CAMD Facility Data 2023'!$AE$2:$AG$10000,MATCH(Z1147,'CAMD Facility Data 2023'!$AE$2:$AE$10000,0),3)&gt;0,INDEX('CAMD Facility Data 2023'!$AE$2:$AG$10000,MATCH(Z1147,'CAMD Facility Data 2023'!$AE$2:$AE$10000,0),3),"")</f>
        <v>Y</v>
      </c>
      <c r="AD1147" s="20">
        <f t="shared" si="52"/>
        <v>0.28002567183431548</v>
      </c>
      <c r="AE1147" s="25">
        <f t="shared" si="53"/>
        <v>0.37452703521970204</v>
      </c>
    </row>
    <row r="1148" spans="1:31" x14ac:dyDescent="0.2">
      <c r="A1148" s="1" t="s">
        <v>383</v>
      </c>
      <c r="B1148" s="1" t="s">
        <v>2913</v>
      </c>
      <c r="C1148" s="1">
        <v>3459</v>
      </c>
      <c r="D1148" s="1">
        <v>1</v>
      </c>
      <c r="F1148" s="1">
        <v>2023</v>
      </c>
      <c r="G1148" s="5">
        <v>4091</v>
      </c>
      <c r="H1148" s="5">
        <v>4066.03</v>
      </c>
      <c r="I1148" s="5">
        <v>474703.64</v>
      </c>
      <c r="K1148" s="5">
        <v>1.448</v>
      </c>
      <c r="L1148" s="5">
        <v>1E-3</v>
      </c>
      <c r="M1148" s="5">
        <v>286827.37</v>
      </c>
      <c r="N1148" s="6">
        <v>5.91E-2</v>
      </c>
      <c r="O1148" s="5">
        <v>342.39299999999997</v>
      </c>
      <c r="P1148" s="6">
        <v>0.13639999999999999</v>
      </c>
      <c r="Q1148" s="5">
        <v>4826143.0470000003</v>
      </c>
      <c r="R1148" s="1" t="s">
        <v>44</v>
      </c>
      <c r="T1148" s="1" t="s">
        <v>43</v>
      </c>
      <c r="Y1148" s="1" t="s">
        <v>346</v>
      </c>
      <c r="Z1148" s="1" t="str">
        <f t="shared" si="51"/>
        <v>3459 1</v>
      </c>
      <c r="AA1148" s="3">
        <f>IF(INDEX('CAMD Facility Data 2023'!$AA$2:$AE$10000,MATCH(Z1148,'CAMD Facility Data 2023'!$AE$2:$AE$10000,0),1)&gt;0,INDEX('CAMD Facility Data 2023'!$AA$2:$AE$10000,MATCH(Z1148,'CAMD Facility Data 2023'!$AE$2:$AE$10000,0),1),"")</f>
        <v>22647</v>
      </c>
      <c r="AB1148" s="5">
        <f>IF(INDEX('CAMD Facility Data 2023'!$AC$2:$AE$10000,MATCH(Z1148,'CAMD Facility Data 2023'!$AE$2:$AE$10000,0),1)&gt;0,INDEX('CAMD Facility Data 2023'!$AC$2:$AE$10000,MATCH(Z1148,'CAMD Facility Data 2023'!$AE$2:$AE$10000,0),1),"")</f>
        <v>2300</v>
      </c>
      <c r="AC1148" s="1" t="str">
        <f>IF(INDEX('CAMD Facility Data 2023'!$AE$2:$AG$10000,MATCH(Z1148,'CAMD Facility Data 2023'!$AE$2:$AE$10000,0),3)&gt;0,INDEX('CAMD Facility Data 2023'!$AE$2:$AG$10000,MATCH(Z1148,'CAMD Facility Data 2023'!$AE$2:$AE$10000,0),3),"")</f>
        <v/>
      </c>
      <c r="AD1148" s="20">
        <f t="shared" si="52"/>
        <v>1.4425547695400018</v>
      </c>
      <c r="AE1148" s="25">
        <f t="shared" si="53"/>
        <v>0.23953459633710544</v>
      </c>
    </row>
    <row r="1149" spans="1:31" x14ac:dyDescent="0.2">
      <c r="A1149" s="1" t="s">
        <v>383</v>
      </c>
      <c r="B1149" s="1" t="s">
        <v>2913</v>
      </c>
      <c r="C1149" s="1">
        <v>3459</v>
      </c>
      <c r="D1149" s="1">
        <v>3</v>
      </c>
      <c r="F1149" s="1">
        <v>2023</v>
      </c>
      <c r="G1149" s="5">
        <v>4328</v>
      </c>
      <c r="H1149" s="5">
        <v>4310.41</v>
      </c>
      <c r="I1149" s="5">
        <v>815786.2</v>
      </c>
      <c r="K1149" s="5">
        <v>2.5299999999999998</v>
      </c>
      <c r="L1149" s="5">
        <v>1E-3</v>
      </c>
      <c r="M1149" s="5">
        <v>501079.33100000001</v>
      </c>
      <c r="N1149" s="6">
        <v>5.8999999999999997E-2</v>
      </c>
      <c r="O1149" s="5">
        <v>328.38799999999998</v>
      </c>
      <c r="P1149" s="6">
        <v>7.9399999999999998E-2</v>
      </c>
      <c r="Q1149" s="5">
        <v>8431590.6850000005</v>
      </c>
      <c r="R1149" s="1" t="s">
        <v>44</v>
      </c>
      <c r="T1149" s="1" t="s">
        <v>43</v>
      </c>
      <c r="V1149" s="1" t="s">
        <v>242</v>
      </c>
      <c r="Y1149" s="1" t="s">
        <v>346</v>
      </c>
      <c r="Z1149" s="1" t="str">
        <f t="shared" si="51"/>
        <v>3459 3</v>
      </c>
      <c r="AA1149" s="3">
        <f>IF(INDEX('CAMD Facility Data 2023'!$AA$2:$AE$10000,MATCH(Z1149,'CAMD Facility Data 2023'!$AE$2:$AE$10000,0),1)&gt;0,INDEX('CAMD Facility Data 2023'!$AA$2:$AE$10000,MATCH(Z1149,'CAMD Facility Data 2023'!$AE$2:$AE$10000,0),1),"")</f>
        <v>24442</v>
      </c>
      <c r="AB1149" s="5">
        <f>IF(INDEX('CAMD Facility Data 2023'!$AC$2:$AE$10000,MATCH(Z1149,'CAMD Facility Data 2023'!$AE$2:$AE$10000,0),1)&gt;0,INDEX('CAMD Facility Data 2023'!$AC$2:$AE$10000,MATCH(Z1149,'CAMD Facility Data 2023'!$AE$2:$AE$10000,0),1),"")</f>
        <v>4750</v>
      </c>
      <c r="AC1149" s="1" t="str">
        <f>IF(INDEX('CAMD Facility Data 2023'!$AE$2:$AG$10000,MATCH(Z1149,'CAMD Facility Data 2023'!$AE$2:$AE$10000,0),3)&gt;0,INDEX('CAMD Facility Data 2023'!$AE$2:$AG$10000,MATCH(Z1149,'CAMD Facility Data 2023'!$AE$2:$AE$10000,0),3),"")</f>
        <v/>
      </c>
      <c r="AD1149" s="20">
        <f t="shared" si="52"/>
        <v>0.80508348878664537</v>
      </c>
      <c r="AE1149" s="25">
        <f t="shared" si="53"/>
        <v>0.20263375835135786</v>
      </c>
    </row>
    <row r="1150" spans="1:31" x14ac:dyDescent="0.2">
      <c r="A1150" s="1" t="s">
        <v>383</v>
      </c>
      <c r="B1150" s="1" t="s">
        <v>2913</v>
      </c>
      <c r="C1150" s="1">
        <v>3459</v>
      </c>
      <c r="D1150" s="1">
        <v>4</v>
      </c>
      <c r="F1150" s="1">
        <v>2023</v>
      </c>
      <c r="G1150" s="5">
        <v>5979</v>
      </c>
      <c r="H1150" s="5">
        <v>5972.76</v>
      </c>
      <c r="I1150" s="5">
        <v>1937971.07</v>
      </c>
      <c r="K1150" s="5">
        <v>5.7839999999999998</v>
      </c>
      <c r="L1150" s="5">
        <v>1E-3</v>
      </c>
      <c r="M1150" s="5">
        <v>1145726.237</v>
      </c>
      <c r="N1150" s="6">
        <v>5.8999999999999997E-2</v>
      </c>
      <c r="O1150" s="5">
        <v>1732.79</v>
      </c>
      <c r="P1150" s="6">
        <v>0.16109999999999999</v>
      </c>
      <c r="Q1150" s="5">
        <v>19279027.41</v>
      </c>
      <c r="R1150" s="1" t="s">
        <v>44</v>
      </c>
      <c r="T1150" s="1" t="s">
        <v>89</v>
      </c>
      <c r="V1150" s="1" t="s">
        <v>1460</v>
      </c>
      <c r="Y1150" s="1" t="s">
        <v>346</v>
      </c>
      <c r="Z1150" s="1" t="str">
        <f t="shared" si="51"/>
        <v>3459 4</v>
      </c>
      <c r="AA1150" s="3">
        <f>IF(INDEX('CAMD Facility Data 2023'!$AA$2:$AE$10000,MATCH(Z1150,'CAMD Facility Data 2023'!$AE$2:$AE$10000,0),1)&gt;0,INDEX('CAMD Facility Data 2023'!$AA$2:$AE$10000,MATCH(Z1150,'CAMD Facility Data 2023'!$AE$2:$AE$10000,0),1),"")</f>
        <v>27242</v>
      </c>
      <c r="AB1150" s="5">
        <f>IF(INDEX('CAMD Facility Data 2023'!$AC$2:$AE$10000,MATCH(Z1150,'CAMD Facility Data 2023'!$AE$2:$AE$10000,0),1)&gt;0,INDEX('CAMD Facility Data 2023'!$AC$2:$AE$10000,MATCH(Z1150,'CAMD Facility Data 2023'!$AE$2:$AE$10000,0),1),"")</f>
        <v>6500</v>
      </c>
      <c r="AC1150" s="1" t="str">
        <f>IF(INDEX('CAMD Facility Data 2023'!$AE$2:$AG$10000,MATCH(Z1150,'CAMD Facility Data 2023'!$AE$2:$AE$10000,0),3)&gt;0,INDEX('CAMD Facility Data 2023'!$AE$2:$AG$10000,MATCH(Z1150,'CAMD Facility Data 2023'!$AE$2:$AE$10000,0),3),"")</f>
        <v/>
      </c>
      <c r="AD1150" s="20">
        <f t="shared" si="52"/>
        <v>1.788251668792971</v>
      </c>
      <c r="AE1150" s="25">
        <f t="shared" si="53"/>
        <v>0.33858495626975765</v>
      </c>
    </row>
    <row r="1151" spans="1:31" x14ac:dyDescent="0.2">
      <c r="A1151" s="1" t="s">
        <v>383</v>
      </c>
      <c r="B1151" s="1" t="s">
        <v>2913</v>
      </c>
      <c r="C1151" s="1">
        <v>3459</v>
      </c>
      <c r="D1151" s="1">
        <v>5</v>
      </c>
      <c r="F1151" s="1">
        <v>2023</v>
      </c>
      <c r="G1151" s="5">
        <v>2731</v>
      </c>
      <c r="H1151" s="5">
        <v>2719.48</v>
      </c>
      <c r="I1151" s="5">
        <v>680224.73</v>
      </c>
      <c r="K1151" s="5">
        <v>2.1230000000000002</v>
      </c>
      <c r="L1151" s="5">
        <v>1E-3</v>
      </c>
      <c r="M1151" s="5">
        <v>420542.89399999997</v>
      </c>
      <c r="N1151" s="6">
        <v>5.91E-2</v>
      </c>
      <c r="O1151" s="5">
        <v>334.08600000000001</v>
      </c>
      <c r="P1151" s="6">
        <v>7.9699999999999993E-2</v>
      </c>
      <c r="Q1151" s="5">
        <v>7076368.9620000003</v>
      </c>
      <c r="R1151" s="1" t="s">
        <v>44</v>
      </c>
      <c r="T1151" s="1" t="s">
        <v>43</v>
      </c>
      <c r="V1151" s="1" t="s">
        <v>1233</v>
      </c>
      <c r="Y1151" s="1" t="s">
        <v>346</v>
      </c>
      <c r="Z1151" s="1" t="str">
        <f t="shared" si="51"/>
        <v>3459 5</v>
      </c>
      <c r="AA1151" s="3">
        <f>IF(INDEX('CAMD Facility Data 2023'!$AA$2:$AE$10000,MATCH(Z1151,'CAMD Facility Data 2023'!$AE$2:$AE$10000,0),1)&gt;0,INDEX('CAMD Facility Data 2023'!$AA$2:$AE$10000,MATCH(Z1151,'CAMD Facility Data 2023'!$AE$2:$AE$10000,0),1),"")</f>
        <v>29210</v>
      </c>
      <c r="AB1151" s="5">
        <f>IF(INDEX('CAMD Facility Data 2023'!$AC$2:$AE$10000,MATCH(Z1151,'CAMD Facility Data 2023'!$AE$2:$AE$10000,0),1)&gt;0,INDEX('CAMD Facility Data 2023'!$AC$2:$AE$10000,MATCH(Z1151,'CAMD Facility Data 2023'!$AE$2:$AE$10000,0),1),"")</f>
        <v>5400</v>
      </c>
      <c r="AC1151" s="1" t="str">
        <f>IF(INDEX('CAMD Facility Data 2023'!$AE$2:$AG$10000,MATCH(Z1151,'CAMD Facility Data 2023'!$AE$2:$AE$10000,0),3)&gt;0,INDEX('CAMD Facility Data 2023'!$AE$2:$AG$10000,MATCH(Z1151,'CAMD Facility Data 2023'!$AE$2:$AE$10000,0),3),"")</f>
        <v/>
      </c>
      <c r="AD1151" s="20">
        <f t="shared" si="52"/>
        <v>0.98228125284418877</v>
      </c>
      <c r="AE1151" s="25">
        <f t="shared" si="53"/>
        <v>0.1495934585235921</v>
      </c>
    </row>
    <row r="1152" spans="1:31" x14ac:dyDescent="0.2">
      <c r="A1152" s="1" t="s">
        <v>383</v>
      </c>
      <c r="B1152" s="1" t="s">
        <v>2919</v>
      </c>
      <c r="C1152" s="1">
        <v>3460</v>
      </c>
      <c r="D1152" s="1" t="s">
        <v>2920</v>
      </c>
      <c r="F1152" s="1">
        <v>2023</v>
      </c>
      <c r="G1152" s="5">
        <v>4074</v>
      </c>
      <c r="H1152" s="5">
        <v>4063.8</v>
      </c>
      <c r="I1152" s="5">
        <v>1642668.44</v>
      </c>
      <c r="K1152" s="5">
        <v>5.0759999999999996</v>
      </c>
      <c r="L1152" s="5">
        <v>1E-3</v>
      </c>
      <c r="M1152" s="5">
        <v>1005433.273</v>
      </c>
      <c r="N1152" s="6">
        <v>5.8999999999999997E-2</v>
      </c>
      <c r="O1152" s="5">
        <v>625.13599999999997</v>
      </c>
      <c r="P1152" s="6">
        <v>5.9700000000000003E-2</v>
      </c>
      <c r="Q1152" s="5">
        <v>16918375.783</v>
      </c>
      <c r="R1152" s="1" t="s">
        <v>44</v>
      </c>
      <c r="T1152" s="1" t="s">
        <v>89</v>
      </c>
      <c r="V1152" s="1" t="s">
        <v>223</v>
      </c>
      <c r="Y1152" s="1" t="s">
        <v>346</v>
      </c>
      <c r="Z1152" s="1" t="str">
        <f t="shared" si="51"/>
        <v>3460 CBY1</v>
      </c>
      <c r="AA1152" s="3">
        <f>IF(INDEX('CAMD Facility Data 2023'!$AA$2:$AE$10000,MATCH(Z1152,'CAMD Facility Data 2023'!$AE$2:$AE$10000,0),1)&gt;0,INDEX('CAMD Facility Data 2023'!$AA$2:$AE$10000,MATCH(Z1152,'CAMD Facility Data 2023'!$AE$2:$AE$10000,0),1),"")</f>
        <v>25913</v>
      </c>
      <c r="AB1152" s="5">
        <f>IF(INDEX('CAMD Facility Data 2023'!$AC$2:$AE$10000,MATCH(Z1152,'CAMD Facility Data 2023'!$AE$2:$AE$10000,0),1)&gt;0,INDEX('CAMD Facility Data 2023'!$AC$2:$AE$10000,MATCH(Z1152,'CAMD Facility Data 2023'!$AE$2:$AE$10000,0),1),"")</f>
        <v>8187</v>
      </c>
      <c r="AC1152" s="1" t="str">
        <f>IF(INDEX('CAMD Facility Data 2023'!$AE$2:$AG$10000,MATCH(Z1152,'CAMD Facility Data 2023'!$AE$2:$AE$10000,0),3)&gt;0,INDEX('CAMD Facility Data 2023'!$AE$2:$AG$10000,MATCH(Z1152,'CAMD Facility Data 2023'!$AE$2:$AE$10000,0),3),"")</f>
        <v>Y</v>
      </c>
      <c r="AD1152" s="20">
        <f t="shared" si="52"/>
        <v>0.76112255495698211</v>
      </c>
      <c r="AE1152" s="25">
        <f t="shared" si="53"/>
        <v>0.2359009938213662</v>
      </c>
    </row>
    <row r="1153" spans="1:31" x14ac:dyDescent="0.2">
      <c r="A1153" s="1" t="s">
        <v>383</v>
      </c>
      <c r="B1153" s="1" t="s">
        <v>2919</v>
      </c>
      <c r="C1153" s="1">
        <v>3460</v>
      </c>
      <c r="D1153" s="1" t="s">
        <v>2924</v>
      </c>
      <c r="F1153" s="1">
        <v>2023</v>
      </c>
      <c r="G1153" s="5">
        <v>4159</v>
      </c>
      <c r="H1153" s="5">
        <v>4147.74</v>
      </c>
      <c r="I1153" s="5">
        <v>1432772.9</v>
      </c>
      <c r="K1153" s="5">
        <v>4.3719999999999999</v>
      </c>
      <c r="L1153" s="5">
        <v>1E-3</v>
      </c>
      <c r="M1153" s="5">
        <v>866125.772</v>
      </c>
      <c r="N1153" s="6">
        <v>5.8999999999999997E-2</v>
      </c>
      <c r="O1153" s="5">
        <v>482.61099999999999</v>
      </c>
      <c r="P1153" s="6">
        <v>5.5500000000000001E-2</v>
      </c>
      <c r="Q1153" s="5">
        <v>14574260.942</v>
      </c>
      <c r="R1153" s="1" t="s">
        <v>44</v>
      </c>
      <c r="T1153" s="1" t="s">
        <v>89</v>
      </c>
      <c r="V1153" s="1" t="s">
        <v>223</v>
      </c>
      <c r="Y1153" s="1" t="s">
        <v>346</v>
      </c>
      <c r="Z1153" s="1" t="str">
        <f t="shared" si="51"/>
        <v>3460 CBY2</v>
      </c>
      <c r="AA1153" s="3">
        <f>IF(INDEX('CAMD Facility Data 2023'!$AA$2:$AE$10000,MATCH(Z1153,'CAMD Facility Data 2023'!$AE$2:$AE$10000,0),1)&gt;0,INDEX('CAMD Facility Data 2023'!$AA$2:$AE$10000,MATCH(Z1153,'CAMD Facility Data 2023'!$AE$2:$AE$10000,0),1),"")</f>
        <v>26373</v>
      </c>
      <c r="AB1153" s="5">
        <f>IF(INDEX('CAMD Facility Data 2023'!$AC$2:$AE$10000,MATCH(Z1153,'CAMD Facility Data 2023'!$AE$2:$AE$10000,0),1)&gt;0,INDEX('CAMD Facility Data 2023'!$AC$2:$AE$10000,MATCH(Z1153,'CAMD Facility Data 2023'!$AE$2:$AE$10000,0),1),"")</f>
        <v>8179</v>
      </c>
      <c r="AC1153" s="1" t="str">
        <f>IF(INDEX('CAMD Facility Data 2023'!$AE$2:$AG$10000,MATCH(Z1153,'CAMD Facility Data 2023'!$AE$2:$AE$10000,0),3)&gt;0,INDEX('CAMD Facility Data 2023'!$AE$2:$AG$10000,MATCH(Z1153,'CAMD Facility Data 2023'!$AE$2:$AE$10000,0),3),"")</f>
        <v>Y</v>
      </c>
      <c r="AD1153" s="20">
        <f t="shared" si="52"/>
        <v>0.67367410424918006</v>
      </c>
      <c r="AE1153" s="25">
        <f t="shared" si="53"/>
        <v>0.20341464947261642</v>
      </c>
    </row>
    <row r="1154" spans="1:31" x14ac:dyDescent="0.2">
      <c r="A1154" s="1" t="s">
        <v>383</v>
      </c>
      <c r="B1154" s="1" t="s">
        <v>2926</v>
      </c>
      <c r="C1154" s="1">
        <v>3470</v>
      </c>
      <c r="D1154" s="1" t="s">
        <v>2927</v>
      </c>
      <c r="F1154" s="1">
        <v>2023</v>
      </c>
      <c r="G1154" s="5">
        <v>1811</v>
      </c>
      <c r="H1154" s="5">
        <v>1763.7</v>
      </c>
      <c r="I1154" s="5">
        <v>155809.12</v>
      </c>
      <c r="K1154" s="5">
        <v>0.54100000000000004</v>
      </c>
      <c r="L1154" s="5">
        <v>1E-3</v>
      </c>
      <c r="M1154" s="5">
        <v>107178.29700000001</v>
      </c>
      <c r="N1154" s="6">
        <v>5.91E-2</v>
      </c>
      <c r="O1154" s="5">
        <v>208.16800000000001</v>
      </c>
      <c r="P1154" s="6">
        <v>0.19950000000000001</v>
      </c>
      <c r="Q1154" s="5">
        <v>1803483.8430000001</v>
      </c>
      <c r="R1154" s="1" t="s">
        <v>44</v>
      </c>
      <c r="T1154" s="1" t="s">
        <v>89</v>
      </c>
      <c r="V1154" s="1" t="s">
        <v>220</v>
      </c>
      <c r="Y1154" s="1" t="s">
        <v>346</v>
      </c>
      <c r="Z1154" s="1" t="str">
        <f t="shared" si="51"/>
        <v>3470 WAP1</v>
      </c>
      <c r="AA1154" s="3">
        <f>IF(INDEX('CAMD Facility Data 2023'!$AA$2:$AE$10000,MATCH(Z1154,'CAMD Facility Data 2023'!$AE$2:$AE$10000,0),1)&gt;0,INDEX('CAMD Facility Data 2023'!$AA$2:$AE$10000,MATCH(Z1154,'CAMD Facility Data 2023'!$AE$2:$AE$10000,0),1),"")</f>
        <v>21337</v>
      </c>
      <c r="AB1154" s="5">
        <f>IF(INDEX('CAMD Facility Data 2023'!$AC$2:$AE$10000,MATCH(Z1154,'CAMD Facility Data 2023'!$AE$2:$AE$10000,0),1)&gt;0,INDEX('CAMD Facility Data 2023'!$AC$2:$AE$10000,MATCH(Z1154,'CAMD Facility Data 2023'!$AE$2:$AE$10000,0),1),"")</f>
        <v>2047</v>
      </c>
      <c r="AC1154" s="1" t="str">
        <f>IF(INDEX('CAMD Facility Data 2023'!$AE$2:$AG$10000,MATCH(Z1154,'CAMD Facility Data 2023'!$AE$2:$AE$10000,0),3)&gt;0,INDEX('CAMD Facility Data 2023'!$AE$2:$AG$10000,MATCH(Z1154,'CAMD Facility Data 2023'!$AE$2:$AE$10000,0),3),"")</f>
        <v/>
      </c>
      <c r="AD1154" s="20">
        <f t="shared" si="52"/>
        <v>2.6720900548055213</v>
      </c>
      <c r="AE1154" s="25">
        <f t="shared" si="53"/>
        <v>0.10057506156687702</v>
      </c>
    </row>
    <row r="1155" spans="1:31" x14ac:dyDescent="0.2">
      <c r="A1155" s="1" t="s">
        <v>383</v>
      </c>
      <c r="B1155" s="1" t="s">
        <v>2926</v>
      </c>
      <c r="C1155" s="1">
        <v>3470</v>
      </c>
      <c r="D1155" s="1" t="s">
        <v>2931</v>
      </c>
      <c r="F1155" s="1">
        <v>2023</v>
      </c>
      <c r="G1155" s="5">
        <v>2696</v>
      </c>
      <c r="H1155" s="5">
        <v>2628.39</v>
      </c>
      <c r="I1155" s="5">
        <v>186850.63</v>
      </c>
      <c r="K1155" s="5">
        <v>0.67900000000000005</v>
      </c>
      <c r="L1155" s="5">
        <v>1E-3</v>
      </c>
      <c r="M1155" s="5">
        <v>134490.62599999999</v>
      </c>
      <c r="N1155" s="6">
        <v>5.91E-2</v>
      </c>
      <c r="O1155" s="5">
        <v>146.03399999999999</v>
      </c>
      <c r="P1155" s="6">
        <v>0.1103</v>
      </c>
      <c r="Q1155" s="5">
        <v>2263084.4870000002</v>
      </c>
      <c r="R1155" s="1" t="s">
        <v>44</v>
      </c>
      <c r="T1155" s="1" t="s">
        <v>89</v>
      </c>
      <c r="V1155" s="1" t="s">
        <v>220</v>
      </c>
      <c r="Y1155" s="1" t="s">
        <v>346</v>
      </c>
      <c r="Z1155" s="1" t="str">
        <f t="shared" ref="Z1155:Z1218" si="54">C1155&amp;" "&amp;D1155</f>
        <v>3470 WAP2</v>
      </c>
      <c r="AA1155" s="3">
        <f>IF(INDEX('CAMD Facility Data 2023'!$AA$2:$AE$10000,MATCH(Z1155,'CAMD Facility Data 2023'!$AE$2:$AE$10000,0),1)&gt;0,INDEX('CAMD Facility Data 2023'!$AA$2:$AE$10000,MATCH(Z1155,'CAMD Facility Data 2023'!$AE$2:$AE$10000,0),1),"")</f>
        <v>21539</v>
      </c>
      <c r="AB1155" s="5">
        <f>IF(INDEX('CAMD Facility Data 2023'!$AC$2:$AE$10000,MATCH(Z1155,'CAMD Facility Data 2023'!$AE$2:$AE$10000,0),1)&gt;0,INDEX('CAMD Facility Data 2023'!$AC$2:$AE$10000,MATCH(Z1155,'CAMD Facility Data 2023'!$AE$2:$AE$10000,0),1),"")</f>
        <v>1968</v>
      </c>
      <c r="AC1155" s="1" t="str">
        <f>IF(INDEX('CAMD Facility Data 2023'!$AE$2:$AG$10000,MATCH(Z1155,'CAMD Facility Data 2023'!$AE$2:$AE$10000,0),3)&gt;0,INDEX('CAMD Facility Data 2023'!$AE$2:$AG$10000,MATCH(Z1155,'CAMD Facility Data 2023'!$AE$2:$AE$10000,0),3),"")</f>
        <v/>
      </c>
      <c r="AD1155" s="20">
        <f t="shared" ref="AD1155:AD1218" si="55">IF(ISNUMBER(O1155*2000/I1155),O1155*2000/I1155,"")</f>
        <v>1.5631095276478328</v>
      </c>
      <c r="AE1155" s="25">
        <f t="shared" ref="AE1155:AE1218" si="56">Q1155/(AB1155*8760)</f>
        <v>0.13127183839839257</v>
      </c>
    </row>
    <row r="1156" spans="1:31" x14ac:dyDescent="0.2">
      <c r="A1156" s="1" t="s">
        <v>383</v>
      </c>
      <c r="B1156" s="1" t="s">
        <v>2926</v>
      </c>
      <c r="C1156" s="1">
        <v>3470</v>
      </c>
      <c r="D1156" s="1" t="s">
        <v>2933</v>
      </c>
      <c r="F1156" s="1">
        <v>2023</v>
      </c>
      <c r="G1156" s="5">
        <v>3001</v>
      </c>
      <c r="H1156" s="5">
        <v>2953.92</v>
      </c>
      <c r="I1156" s="5">
        <v>385961.1</v>
      </c>
      <c r="K1156" s="5">
        <v>1.23</v>
      </c>
      <c r="L1156" s="5">
        <v>1E-3</v>
      </c>
      <c r="M1156" s="5">
        <v>243708.94699999999</v>
      </c>
      <c r="N1156" s="6">
        <v>5.8999999999999997E-2</v>
      </c>
      <c r="O1156" s="5">
        <v>544.41200000000003</v>
      </c>
      <c r="P1156" s="6">
        <v>0.20369999999999999</v>
      </c>
      <c r="Q1156" s="5">
        <v>4100916.6660000002</v>
      </c>
      <c r="R1156" s="1" t="s">
        <v>44</v>
      </c>
      <c r="T1156" s="1" t="s">
        <v>89</v>
      </c>
      <c r="V1156" s="1" t="s">
        <v>220</v>
      </c>
      <c r="Y1156" s="1" t="s">
        <v>346</v>
      </c>
      <c r="Z1156" s="1" t="str">
        <f t="shared" si="54"/>
        <v>3470 WAP3</v>
      </c>
      <c r="AA1156" s="3">
        <f>IF(INDEX('CAMD Facility Data 2023'!$AA$2:$AE$10000,MATCH(Z1156,'CAMD Facility Data 2023'!$AE$2:$AE$10000,0),1)&gt;0,INDEX('CAMD Facility Data 2023'!$AA$2:$AE$10000,MATCH(Z1156,'CAMD Facility Data 2023'!$AE$2:$AE$10000,0),1),"")</f>
        <v>22355</v>
      </c>
      <c r="AB1156" s="5">
        <f>IF(INDEX('CAMD Facility Data 2023'!$AC$2:$AE$10000,MATCH(Z1156,'CAMD Facility Data 2023'!$AE$2:$AE$10000,0),1)&gt;0,INDEX('CAMD Facility Data 2023'!$AC$2:$AE$10000,MATCH(Z1156,'CAMD Facility Data 2023'!$AE$2:$AE$10000,0),1),"")</f>
        <v>3003</v>
      </c>
      <c r="AC1156" s="1" t="str">
        <f>IF(INDEX('CAMD Facility Data 2023'!$AE$2:$AG$10000,MATCH(Z1156,'CAMD Facility Data 2023'!$AE$2:$AE$10000,0),3)&gt;0,INDEX('CAMD Facility Data 2023'!$AE$2:$AG$10000,MATCH(Z1156,'CAMD Facility Data 2023'!$AE$2:$AE$10000,0),3),"")</f>
        <v/>
      </c>
      <c r="AD1156" s="20">
        <f t="shared" si="55"/>
        <v>2.8210718644961892</v>
      </c>
      <c r="AE1156" s="25">
        <f t="shared" si="56"/>
        <v>0.15589116613979628</v>
      </c>
    </row>
    <row r="1157" spans="1:31" x14ac:dyDescent="0.2">
      <c r="A1157" s="1" t="s">
        <v>383</v>
      </c>
      <c r="B1157" s="1" t="s">
        <v>2926</v>
      </c>
      <c r="C1157" s="1">
        <v>3470</v>
      </c>
      <c r="D1157" s="1" t="s">
        <v>2935</v>
      </c>
      <c r="F1157" s="1">
        <v>2023</v>
      </c>
      <c r="G1157" s="5">
        <v>2233</v>
      </c>
      <c r="H1157" s="5">
        <v>2178.19</v>
      </c>
      <c r="I1157" s="5">
        <v>591688.52</v>
      </c>
      <c r="K1157" s="5">
        <v>1.956</v>
      </c>
      <c r="L1157" s="5">
        <v>1E-3</v>
      </c>
      <c r="M1157" s="5">
        <v>387454.62099999998</v>
      </c>
      <c r="N1157" s="6">
        <v>5.8999999999999997E-2</v>
      </c>
      <c r="O1157" s="5">
        <v>513.774</v>
      </c>
      <c r="P1157" s="6">
        <v>0.12909999999999999</v>
      </c>
      <c r="Q1157" s="5">
        <v>6519643.0949999997</v>
      </c>
      <c r="R1157" s="1" t="s">
        <v>44</v>
      </c>
      <c r="T1157" s="1" t="s">
        <v>43</v>
      </c>
      <c r="V1157" s="1" t="s">
        <v>220</v>
      </c>
      <c r="Y1157" s="1" t="s">
        <v>2899</v>
      </c>
      <c r="Z1157" s="1" t="str">
        <f t="shared" si="54"/>
        <v>3470 WAP4</v>
      </c>
      <c r="AA1157" s="3">
        <f>IF(INDEX('CAMD Facility Data 2023'!$AA$2:$AE$10000,MATCH(Z1157,'CAMD Facility Data 2023'!$AE$2:$AE$10000,0),1)&gt;0,INDEX('CAMD Facility Data 2023'!$AA$2:$AE$10000,MATCH(Z1157,'CAMD Facility Data 2023'!$AE$2:$AE$10000,0),1),"")</f>
        <v>24990</v>
      </c>
      <c r="AB1157" s="5">
        <f>IF(INDEX('CAMD Facility Data 2023'!$AC$2:$AE$10000,MATCH(Z1157,'CAMD Facility Data 2023'!$AE$2:$AE$10000,0),1)&gt;0,INDEX('CAMD Facility Data 2023'!$AC$2:$AE$10000,MATCH(Z1157,'CAMD Facility Data 2023'!$AE$2:$AE$10000,0),1),"")</f>
        <v>5950</v>
      </c>
      <c r="AC1157" s="1" t="str">
        <f>IF(INDEX('CAMD Facility Data 2023'!$AE$2:$AG$10000,MATCH(Z1157,'CAMD Facility Data 2023'!$AE$2:$AE$10000,0),3)&gt;0,INDEX('CAMD Facility Data 2023'!$AE$2:$AG$10000,MATCH(Z1157,'CAMD Facility Data 2023'!$AE$2:$AE$10000,0),3),"")</f>
        <v/>
      </c>
      <c r="AD1157" s="20">
        <f t="shared" si="55"/>
        <v>1.736636702026938</v>
      </c>
      <c r="AE1157" s="25">
        <f t="shared" si="56"/>
        <v>0.12508428485092668</v>
      </c>
    </row>
    <row r="1158" spans="1:31" x14ac:dyDescent="0.2">
      <c r="A1158" s="1" t="s">
        <v>383</v>
      </c>
      <c r="B1158" s="1" t="s">
        <v>2926</v>
      </c>
      <c r="C1158" s="1">
        <v>3470</v>
      </c>
      <c r="D1158" s="1" t="s">
        <v>2937</v>
      </c>
      <c r="F1158" s="1">
        <v>2023</v>
      </c>
      <c r="G1158" s="5">
        <v>7633</v>
      </c>
      <c r="H1158" s="5">
        <v>7624.76</v>
      </c>
      <c r="I1158" s="5">
        <v>3127356.58</v>
      </c>
      <c r="K1158" s="5">
        <v>9518.5869999999995</v>
      </c>
      <c r="L1158" s="5">
        <v>0.61950000000000005</v>
      </c>
      <c r="M1158" s="5">
        <v>3132104.7549999999</v>
      </c>
      <c r="N1158" s="6">
        <v>0.1037</v>
      </c>
      <c r="O1158" s="5">
        <v>994.95500000000004</v>
      </c>
      <c r="P1158" s="6">
        <v>6.2199999999999998E-2</v>
      </c>
      <c r="Q1158" s="5">
        <v>30216025.713</v>
      </c>
      <c r="R1158" s="1" t="s">
        <v>55</v>
      </c>
      <c r="S1158" s="1" t="s">
        <v>44</v>
      </c>
      <c r="T1158" s="1" t="s">
        <v>89</v>
      </c>
      <c r="V1158" s="1" t="s">
        <v>223</v>
      </c>
      <c r="W1158" s="1" t="s">
        <v>232</v>
      </c>
      <c r="X1158" s="1" t="s">
        <v>214</v>
      </c>
      <c r="Y1158" s="1" t="s">
        <v>386</v>
      </c>
      <c r="Z1158" s="1" t="str">
        <f t="shared" si="54"/>
        <v>3470 WAP5</v>
      </c>
      <c r="AA1158" s="3">
        <f>IF(INDEX('CAMD Facility Data 2023'!$AA$2:$AE$10000,MATCH(Z1158,'CAMD Facility Data 2023'!$AE$2:$AE$10000,0),1)&gt;0,INDEX('CAMD Facility Data 2023'!$AA$2:$AE$10000,MATCH(Z1158,'CAMD Facility Data 2023'!$AE$2:$AE$10000,0),1),"")</f>
        <v>28486</v>
      </c>
      <c r="AB1158" s="5">
        <f>IF(INDEX('CAMD Facility Data 2023'!$AC$2:$AE$10000,MATCH(Z1158,'CAMD Facility Data 2023'!$AE$2:$AE$10000,0),1)&gt;0,INDEX('CAMD Facility Data 2023'!$AC$2:$AE$10000,MATCH(Z1158,'CAMD Facility Data 2023'!$AE$2:$AE$10000,0),1),"")</f>
        <v>8545</v>
      </c>
      <c r="AC1158" s="1" t="str">
        <f>IF(INDEX('CAMD Facility Data 2023'!$AE$2:$AG$10000,MATCH(Z1158,'CAMD Facility Data 2023'!$AE$2:$AE$10000,0),3)&gt;0,INDEX('CAMD Facility Data 2023'!$AE$2:$AG$10000,MATCH(Z1158,'CAMD Facility Data 2023'!$AE$2:$AE$10000,0),3),"")</f>
        <v>Y</v>
      </c>
      <c r="AD1158" s="20">
        <f t="shared" si="55"/>
        <v>0.63629136911531847</v>
      </c>
      <c r="AE1158" s="25">
        <f t="shared" si="56"/>
        <v>0.40366506773167038</v>
      </c>
    </row>
    <row r="1159" spans="1:31" x14ac:dyDescent="0.2">
      <c r="A1159" s="1" t="s">
        <v>383</v>
      </c>
      <c r="B1159" s="1" t="s">
        <v>2926</v>
      </c>
      <c r="C1159" s="1">
        <v>3470</v>
      </c>
      <c r="D1159" s="1" t="s">
        <v>2939</v>
      </c>
      <c r="F1159" s="1">
        <v>2023</v>
      </c>
      <c r="G1159" s="5">
        <v>7453</v>
      </c>
      <c r="H1159" s="5">
        <v>7443.13</v>
      </c>
      <c r="I1159" s="5">
        <v>2886659.74</v>
      </c>
      <c r="K1159" s="5">
        <v>10025.995000000001</v>
      </c>
      <c r="L1159" s="5">
        <v>0.63549999999999995</v>
      </c>
      <c r="M1159" s="5">
        <v>3193890.307</v>
      </c>
      <c r="N1159" s="6">
        <v>0.1028</v>
      </c>
      <c r="O1159" s="5">
        <v>1145.72</v>
      </c>
      <c r="P1159" s="6">
        <v>6.8699999999999997E-2</v>
      </c>
      <c r="Q1159" s="5">
        <v>31041414.958000001</v>
      </c>
      <c r="R1159" s="1" t="s">
        <v>55</v>
      </c>
      <c r="S1159" s="1" t="s">
        <v>44</v>
      </c>
      <c r="T1159" s="1" t="s">
        <v>89</v>
      </c>
      <c r="V1159" s="1" t="s">
        <v>223</v>
      </c>
      <c r="W1159" s="1" t="s">
        <v>232</v>
      </c>
      <c r="X1159" s="1" t="s">
        <v>214</v>
      </c>
      <c r="Y1159" s="1" t="s">
        <v>386</v>
      </c>
      <c r="Z1159" s="1" t="str">
        <f t="shared" si="54"/>
        <v>3470 WAP6</v>
      </c>
      <c r="AA1159" s="3">
        <f>IF(INDEX('CAMD Facility Data 2023'!$AA$2:$AE$10000,MATCH(Z1159,'CAMD Facility Data 2023'!$AE$2:$AE$10000,0),1)&gt;0,INDEX('CAMD Facility Data 2023'!$AA$2:$AE$10000,MATCH(Z1159,'CAMD Facility Data 2023'!$AE$2:$AE$10000,0),1),"")</f>
        <v>28851</v>
      </c>
      <c r="AB1159" s="5">
        <f>IF(INDEX('CAMD Facility Data 2023'!$AC$2:$AE$10000,MATCH(Z1159,'CAMD Facility Data 2023'!$AE$2:$AE$10000,0),1)&gt;0,INDEX('CAMD Facility Data 2023'!$AC$2:$AE$10000,MATCH(Z1159,'CAMD Facility Data 2023'!$AE$2:$AE$10000,0),1),"")</f>
        <v>10860</v>
      </c>
      <c r="AC1159" s="1" t="str">
        <f>IF(INDEX('CAMD Facility Data 2023'!$AE$2:$AG$10000,MATCH(Z1159,'CAMD Facility Data 2023'!$AE$2:$AE$10000,0),3)&gt;0,INDEX('CAMD Facility Data 2023'!$AE$2:$AG$10000,MATCH(Z1159,'CAMD Facility Data 2023'!$AE$2:$AE$10000,0),3),"")</f>
        <v>Y</v>
      </c>
      <c r="AD1159" s="20">
        <f t="shared" si="55"/>
        <v>0.7938032904425375</v>
      </c>
      <c r="AE1159" s="25">
        <f t="shared" si="56"/>
        <v>0.32629286559112658</v>
      </c>
    </row>
    <row r="1160" spans="1:31" x14ac:dyDescent="0.2">
      <c r="A1160" s="1" t="s">
        <v>383</v>
      </c>
      <c r="B1160" s="1" t="s">
        <v>2926</v>
      </c>
      <c r="C1160" s="1">
        <v>3470</v>
      </c>
      <c r="D1160" s="1" t="s">
        <v>2941</v>
      </c>
      <c r="F1160" s="1">
        <v>2023</v>
      </c>
      <c r="G1160" s="5">
        <v>7694</v>
      </c>
      <c r="H1160" s="5">
        <v>7678.99</v>
      </c>
      <c r="I1160" s="5">
        <v>3021391.32</v>
      </c>
      <c r="K1160" s="5">
        <v>8406.2170000000006</v>
      </c>
      <c r="L1160" s="5">
        <v>0.61629999999999996</v>
      </c>
      <c r="M1160" s="5">
        <v>2788147.79</v>
      </c>
      <c r="N1160" s="6">
        <v>0.10390000000000001</v>
      </c>
      <c r="O1160" s="5">
        <v>985.30799999999999</v>
      </c>
      <c r="P1160" s="6">
        <v>7.2800000000000004E-2</v>
      </c>
      <c r="Q1160" s="5">
        <v>26688633.149</v>
      </c>
      <c r="R1160" s="1" t="s">
        <v>55</v>
      </c>
      <c r="S1160" s="1" t="s">
        <v>44</v>
      </c>
      <c r="T1160" s="1" t="s">
        <v>43</v>
      </c>
      <c r="V1160" s="1" t="s">
        <v>223</v>
      </c>
      <c r="W1160" s="1" t="s">
        <v>232</v>
      </c>
      <c r="X1160" s="1" t="s">
        <v>214</v>
      </c>
      <c r="Y1160" s="1" t="s">
        <v>386</v>
      </c>
      <c r="Z1160" s="1" t="str">
        <f t="shared" si="54"/>
        <v>3470 WAP7</v>
      </c>
      <c r="AA1160" s="3">
        <f>IF(INDEX('CAMD Facility Data 2023'!$AA$2:$AE$10000,MATCH(Z1160,'CAMD Facility Data 2023'!$AE$2:$AE$10000,0),1)&gt;0,INDEX('CAMD Facility Data 2023'!$AA$2:$AE$10000,MATCH(Z1160,'CAMD Facility Data 2023'!$AE$2:$AE$10000,0),1),"")</f>
        <v>29374</v>
      </c>
      <c r="AB1160" s="5">
        <f>IF(INDEX('CAMD Facility Data 2023'!$AC$2:$AE$10000,MATCH(Z1160,'CAMD Facility Data 2023'!$AE$2:$AE$10000,0),1)&gt;0,INDEX('CAMD Facility Data 2023'!$AC$2:$AE$10000,MATCH(Z1160,'CAMD Facility Data 2023'!$AE$2:$AE$10000,0),1),"")</f>
        <v>8351</v>
      </c>
      <c r="AC1160" s="1" t="str">
        <f>IF(INDEX('CAMD Facility Data 2023'!$AE$2:$AG$10000,MATCH(Z1160,'CAMD Facility Data 2023'!$AE$2:$AE$10000,0),3)&gt;0,INDEX('CAMD Facility Data 2023'!$AE$2:$AG$10000,MATCH(Z1160,'CAMD Facility Data 2023'!$AE$2:$AE$10000,0),3),"")</f>
        <v>Y</v>
      </c>
      <c r="AD1160" s="20">
        <f t="shared" si="55"/>
        <v>0.65222137462154361</v>
      </c>
      <c r="AE1160" s="25">
        <f t="shared" si="56"/>
        <v>0.36482428688167384</v>
      </c>
    </row>
    <row r="1161" spans="1:31" x14ac:dyDescent="0.2">
      <c r="A1161" s="1" t="s">
        <v>383</v>
      </c>
      <c r="B1161" s="1" t="s">
        <v>2926</v>
      </c>
      <c r="C1161" s="1">
        <v>3470</v>
      </c>
      <c r="D1161" s="1" t="s">
        <v>2943</v>
      </c>
      <c r="E1161" s="1" t="s">
        <v>2944</v>
      </c>
      <c r="F1161" s="1">
        <v>2023</v>
      </c>
      <c r="G1161" s="5">
        <v>3091</v>
      </c>
      <c r="H1161" s="5">
        <v>3082.44</v>
      </c>
      <c r="I1161" s="5">
        <v>1252742.3600000001</v>
      </c>
      <c r="K1161" s="5">
        <v>542.61400000000003</v>
      </c>
      <c r="L1161" s="5">
        <v>8.1299999999999997E-2</v>
      </c>
      <c r="M1161" s="5">
        <v>929643.52899999998</v>
      </c>
      <c r="N1161" s="6">
        <v>7.2400000000000006E-2</v>
      </c>
      <c r="O1161" s="5">
        <v>457.15600000000001</v>
      </c>
      <c r="P1161" s="6">
        <v>7.0099999999999996E-2</v>
      </c>
      <c r="Q1161" s="5">
        <v>12975504.726</v>
      </c>
      <c r="R1161" s="1" t="s">
        <v>55</v>
      </c>
      <c r="S1161" s="1" t="s">
        <v>44</v>
      </c>
      <c r="T1161" s="1" t="s">
        <v>43</v>
      </c>
      <c r="U1161" s="1" t="s">
        <v>2945</v>
      </c>
      <c r="V1161" s="1" t="s">
        <v>2946</v>
      </c>
      <c r="W1161" s="1" t="s">
        <v>232</v>
      </c>
      <c r="X1161" s="1" t="s">
        <v>214</v>
      </c>
      <c r="Y1161" s="1" t="s">
        <v>337</v>
      </c>
      <c r="Z1161" s="1" t="str">
        <f t="shared" si="54"/>
        <v>3470 WAP8</v>
      </c>
      <c r="AA1161" s="3">
        <f>IF(INDEX('CAMD Facility Data 2023'!$AA$2:$AE$10000,MATCH(Z1161,'CAMD Facility Data 2023'!$AE$2:$AE$10000,0),1)&gt;0,INDEX('CAMD Facility Data 2023'!$AA$2:$AE$10000,MATCH(Z1161,'CAMD Facility Data 2023'!$AE$2:$AE$10000,0),1),"")</f>
        <v>30286</v>
      </c>
      <c r="AB1161" s="5">
        <f>IF(INDEX('CAMD Facility Data 2023'!$AC$2:$AE$10000,MATCH(Z1161,'CAMD Facility Data 2023'!$AE$2:$AE$10000,0),1)&gt;0,INDEX('CAMD Facility Data 2023'!$AC$2:$AE$10000,MATCH(Z1161,'CAMD Facility Data 2023'!$AE$2:$AE$10000,0),1),"")</f>
        <v>9650</v>
      </c>
      <c r="AC1161" s="1" t="str">
        <f>IF(INDEX('CAMD Facility Data 2023'!$AE$2:$AG$10000,MATCH(Z1161,'CAMD Facility Data 2023'!$AE$2:$AE$10000,0),3)&gt;0,INDEX('CAMD Facility Data 2023'!$AE$2:$AG$10000,MATCH(Z1161,'CAMD Facility Data 2023'!$AE$2:$AE$10000,0),3),"")</f>
        <v>Y</v>
      </c>
      <c r="AD1161" s="20">
        <f t="shared" si="55"/>
        <v>0.72984839436578164</v>
      </c>
      <c r="AE1161" s="25">
        <f t="shared" si="56"/>
        <v>0.15349450784299809</v>
      </c>
    </row>
    <row r="1162" spans="1:31" x14ac:dyDescent="0.2">
      <c r="A1162" s="1" t="s">
        <v>383</v>
      </c>
      <c r="B1162" s="1" t="s">
        <v>2948</v>
      </c>
      <c r="C1162" s="1">
        <v>3476</v>
      </c>
      <c r="D1162" s="1">
        <v>5</v>
      </c>
      <c r="F1162" s="1">
        <v>2023</v>
      </c>
      <c r="G1162" s="5">
        <v>3918</v>
      </c>
      <c r="H1162" s="5">
        <v>3892.67</v>
      </c>
      <c r="I1162" s="5">
        <v>501603.96</v>
      </c>
      <c r="K1162" s="5">
        <v>1.522</v>
      </c>
      <c r="L1162" s="5">
        <v>1E-3</v>
      </c>
      <c r="M1162" s="5">
        <v>301381.902</v>
      </c>
      <c r="N1162" s="6">
        <v>5.8999999999999997E-2</v>
      </c>
      <c r="O1162" s="5">
        <v>374.358</v>
      </c>
      <c r="P1162" s="6">
        <v>0.12529999999999999</v>
      </c>
      <c r="Q1162" s="5">
        <v>5071367.3909999998</v>
      </c>
      <c r="R1162" s="1" t="s">
        <v>44</v>
      </c>
      <c r="T1162" s="1" t="s">
        <v>43</v>
      </c>
      <c r="Y1162" s="1" t="s">
        <v>346</v>
      </c>
      <c r="Z1162" s="1" t="str">
        <f t="shared" si="54"/>
        <v>3476 5</v>
      </c>
      <c r="AA1162" s="3">
        <f>IF(INDEX('CAMD Facility Data 2023'!$AA$2:$AE$10000,MATCH(Z1162,'CAMD Facility Data 2023'!$AE$2:$AE$10000,0),1)&gt;0,INDEX('CAMD Facility Data 2023'!$AA$2:$AE$10000,MATCH(Z1162,'CAMD Facility Data 2023'!$AE$2:$AE$10000,0),1),"")</f>
        <v>27144</v>
      </c>
      <c r="AB1162" s="5">
        <f>IF(INDEX('CAMD Facility Data 2023'!$AC$2:$AE$10000,MATCH(Z1162,'CAMD Facility Data 2023'!$AE$2:$AE$10000,0),1)&gt;0,INDEX('CAMD Facility Data 2023'!$AC$2:$AE$10000,MATCH(Z1162,'CAMD Facility Data 2023'!$AE$2:$AE$10000,0),1),"")</f>
        <v>3368</v>
      </c>
      <c r="AC1162" s="1" t="str">
        <f>IF(INDEX('CAMD Facility Data 2023'!$AE$2:$AG$10000,MATCH(Z1162,'CAMD Facility Data 2023'!$AE$2:$AE$10000,0),3)&gt;0,INDEX('CAMD Facility Data 2023'!$AE$2:$AG$10000,MATCH(Z1162,'CAMD Facility Data 2023'!$AE$2:$AE$10000,0),3),"")</f>
        <v/>
      </c>
      <c r="AD1162" s="20">
        <f t="shared" si="55"/>
        <v>1.492643718362989</v>
      </c>
      <c r="AE1162" s="25">
        <f t="shared" si="56"/>
        <v>0.17188931655305373</v>
      </c>
    </row>
    <row r="1163" spans="1:31" x14ac:dyDescent="0.2">
      <c r="A1163" s="1" t="s">
        <v>383</v>
      </c>
      <c r="B1163" s="1" t="s">
        <v>2952</v>
      </c>
      <c r="C1163" s="1">
        <v>3478</v>
      </c>
      <c r="D1163" s="1">
        <v>1</v>
      </c>
      <c r="F1163" s="1">
        <v>2023</v>
      </c>
      <c r="G1163" s="5">
        <v>2978</v>
      </c>
      <c r="H1163" s="5">
        <v>2945.03</v>
      </c>
      <c r="I1163" s="5">
        <v>141910.94</v>
      </c>
      <c r="K1163" s="5">
        <v>0.51600000000000001</v>
      </c>
      <c r="L1163" s="5">
        <v>1E-3</v>
      </c>
      <c r="M1163" s="5">
        <v>102266.836</v>
      </c>
      <c r="N1163" s="6">
        <v>5.91E-2</v>
      </c>
      <c r="O1163" s="5">
        <v>119.669</v>
      </c>
      <c r="P1163" s="6">
        <v>0.1263</v>
      </c>
      <c r="Q1163" s="5">
        <v>1720805.02</v>
      </c>
      <c r="R1163" s="1" t="s">
        <v>44</v>
      </c>
      <c r="S1163" s="1" t="s">
        <v>1292</v>
      </c>
      <c r="T1163" s="1" t="s">
        <v>43</v>
      </c>
      <c r="V1163" s="1" t="s">
        <v>1460</v>
      </c>
      <c r="Y1163" s="1" t="s">
        <v>2899</v>
      </c>
      <c r="Z1163" s="1" t="str">
        <f t="shared" si="54"/>
        <v>3478 1</v>
      </c>
      <c r="AA1163" s="3">
        <f>IF(INDEX('CAMD Facility Data 2023'!$AA$2:$AE$10000,MATCH(Z1163,'CAMD Facility Data 2023'!$AE$2:$AE$10000,0),1)&gt;0,INDEX('CAMD Facility Data 2023'!$AA$2:$AE$10000,MATCH(Z1163,'CAMD Facility Data 2023'!$AE$2:$AE$10000,0),1),"")</f>
        <v>23437</v>
      </c>
      <c r="AB1163" s="5">
        <f>IF(INDEX('CAMD Facility Data 2023'!$AC$2:$AE$10000,MATCH(Z1163,'CAMD Facility Data 2023'!$AE$2:$AE$10000,0),1)&gt;0,INDEX('CAMD Facility Data 2023'!$AC$2:$AE$10000,MATCH(Z1163,'CAMD Facility Data 2023'!$AE$2:$AE$10000,0),1),"")</f>
        <v>1562</v>
      </c>
      <c r="AC1163" s="1" t="str">
        <f>IF(INDEX('CAMD Facility Data 2023'!$AE$2:$AG$10000,MATCH(Z1163,'CAMD Facility Data 2023'!$AE$2:$AE$10000,0),3)&gt;0,INDEX('CAMD Facility Data 2023'!$AE$2:$AG$10000,MATCH(Z1163,'CAMD Facility Data 2023'!$AE$2:$AE$10000,0),3),"")</f>
        <v/>
      </c>
      <c r="AD1163" s="20">
        <f t="shared" si="55"/>
        <v>1.6865366405155233</v>
      </c>
      <c r="AE1163" s="25">
        <f t="shared" si="56"/>
        <v>0.12576115827384399</v>
      </c>
    </row>
    <row r="1164" spans="1:31" x14ac:dyDescent="0.2">
      <c r="A1164" s="1" t="s">
        <v>383</v>
      </c>
      <c r="B1164" s="1" t="s">
        <v>2952</v>
      </c>
      <c r="C1164" s="1">
        <v>3478</v>
      </c>
      <c r="D1164" s="1">
        <v>2</v>
      </c>
      <c r="F1164" s="1">
        <v>2023</v>
      </c>
      <c r="G1164" s="5">
        <v>3840</v>
      </c>
      <c r="H1164" s="5">
        <v>3822.71</v>
      </c>
      <c r="I1164" s="5">
        <v>448012.98</v>
      </c>
      <c r="K1164" s="5">
        <v>1.417</v>
      </c>
      <c r="L1164" s="5">
        <v>1E-3</v>
      </c>
      <c r="M1164" s="5">
        <v>280660.76500000001</v>
      </c>
      <c r="N1164" s="6">
        <v>5.9200000000000003E-2</v>
      </c>
      <c r="O1164" s="5">
        <v>399.78300000000002</v>
      </c>
      <c r="P1164" s="6">
        <v>0.13439999999999999</v>
      </c>
      <c r="Q1164" s="5">
        <v>4722671.3099999996</v>
      </c>
      <c r="R1164" s="1" t="s">
        <v>44</v>
      </c>
      <c r="T1164" s="1" t="s">
        <v>89</v>
      </c>
      <c r="V1164" s="1" t="s">
        <v>90</v>
      </c>
      <c r="Y1164" s="1" t="s">
        <v>2899</v>
      </c>
      <c r="Z1164" s="1" t="str">
        <f t="shared" si="54"/>
        <v>3478 2</v>
      </c>
      <c r="AA1164" s="3">
        <f>IF(INDEX('CAMD Facility Data 2023'!$AA$2:$AE$10000,MATCH(Z1164,'CAMD Facility Data 2023'!$AE$2:$AE$10000,0),1)&gt;0,INDEX('CAMD Facility Data 2023'!$AA$2:$AE$10000,MATCH(Z1164,'CAMD Facility Data 2023'!$AE$2:$AE$10000,0),1),"")</f>
        <v>25628</v>
      </c>
      <c r="AB1164" s="5">
        <f>IF(INDEX('CAMD Facility Data 2023'!$AC$2:$AE$10000,MATCH(Z1164,'CAMD Facility Data 2023'!$AE$2:$AE$10000,0),1)&gt;0,INDEX('CAMD Facility Data 2023'!$AC$2:$AE$10000,MATCH(Z1164,'CAMD Facility Data 2023'!$AE$2:$AE$10000,0),1),"")</f>
        <v>3052</v>
      </c>
      <c r="AC1164" s="1" t="str">
        <f>IF(INDEX('CAMD Facility Data 2023'!$AE$2:$AG$10000,MATCH(Z1164,'CAMD Facility Data 2023'!$AE$2:$AE$10000,0),3)&gt;0,INDEX('CAMD Facility Data 2023'!$AE$2:$AG$10000,MATCH(Z1164,'CAMD Facility Data 2023'!$AE$2:$AE$10000,0),3),"")</f>
        <v/>
      </c>
      <c r="AD1164" s="20">
        <f t="shared" si="55"/>
        <v>1.7846938273975903</v>
      </c>
      <c r="AE1164" s="25">
        <f t="shared" si="56"/>
        <v>0.17664407911273092</v>
      </c>
    </row>
    <row r="1165" spans="1:31" x14ac:dyDescent="0.2">
      <c r="A1165" s="1" t="s">
        <v>383</v>
      </c>
      <c r="B1165" s="1" t="s">
        <v>2952</v>
      </c>
      <c r="C1165" s="1">
        <v>3478</v>
      </c>
      <c r="D1165" s="1">
        <v>3</v>
      </c>
      <c r="F1165" s="1">
        <v>2023</v>
      </c>
      <c r="G1165" s="5">
        <v>4756</v>
      </c>
      <c r="H1165" s="5">
        <v>4736.1499999999996</v>
      </c>
      <c r="I1165" s="5">
        <v>601496.47</v>
      </c>
      <c r="K1165" s="5">
        <v>1.77</v>
      </c>
      <c r="L1165" s="5">
        <v>1E-3</v>
      </c>
      <c r="M1165" s="5">
        <v>350527.10600000003</v>
      </c>
      <c r="N1165" s="6">
        <v>5.91E-2</v>
      </c>
      <c r="O1165" s="5">
        <v>411.08300000000003</v>
      </c>
      <c r="P1165" s="6">
        <v>0.1067</v>
      </c>
      <c r="Q1165" s="5">
        <v>5898240.2510000002</v>
      </c>
      <c r="R1165" s="1" t="s">
        <v>44</v>
      </c>
      <c r="T1165" s="1" t="s">
        <v>89</v>
      </c>
      <c r="V1165" s="1" t="s">
        <v>90</v>
      </c>
      <c r="Y1165" s="1" t="s">
        <v>2899</v>
      </c>
      <c r="Z1165" s="1" t="str">
        <f t="shared" si="54"/>
        <v>3478 3</v>
      </c>
      <c r="AA1165" s="3">
        <f>IF(INDEX('CAMD Facility Data 2023'!$AA$2:$AE$10000,MATCH(Z1165,'CAMD Facility Data 2023'!$AE$2:$AE$10000,0),1)&gt;0,INDEX('CAMD Facility Data 2023'!$AA$2:$AE$10000,MATCH(Z1165,'CAMD Facility Data 2023'!$AE$2:$AE$10000,0),1),"")</f>
        <v>26177</v>
      </c>
      <c r="AB1165" s="5">
        <f>IF(INDEX('CAMD Facility Data 2023'!$AC$2:$AE$10000,MATCH(Z1165,'CAMD Facility Data 2023'!$AE$2:$AE$10000,0),1)&gt;0,INDEX('CAMD Facility Data 2023'!$AC$2:$AE$10000,MATCH(Z1165,'CAMD Facility Data 2023'!$AE$2:$AE$10000,0),1),"")</f>
        <v>3052</v>
      </c>
      <c r="AC1165" s="1" t="str">
        <f>IF(INDEX('CAMD Facility Data 2023'!$AE$2:$AG$10000,MATCH(Z1165,'CAMD Facility Data 2023'!$AE$2:$AE$10000,0),3)&gt;0,INDEX('CAMD Facility Data 2023'!$AE$2:$AG$10000,MATCH(Z1165,'CAMD Facility Data 2023'!$AE$2:$AE$10000,0),3),"")</f>
        <v/>
      </c>
      <c r="AD1165" s="20">
        <f t="shared" si="55"/>
        <v>1.3668675395551366</v>
      </c>
      <c r="AE1165" s="25">
        <f t="shared" si="56"/>
        <v>0.22061438307539932</v>
      </c>
    </row>
    <row r="1166" spans="1:31" x14ac:dyDescent="0.2">
      <c r="A1166" s="1" t="s">
        <v>383</v>
      </c>
      <c r="B1166" s="1" t="s">
        <v>2957</v>
      </c>
      <c r="C1166" s="1">
        <v>3482</v>
      </c>
      <c r="D1166" s="1" t="s">
        <v>2958</v>
      </c>
      <c r="F1166" s="1">
        <v>2023</v>
      </c>
      <c r="G1166" s="5">
        <v>6436</v>
      </c>
      <c r="H1166" s="5">
        <v>6391.43</v>
      </c>
      <c r="I1166" s="5">
        <v>814209.57</v>
      </c>
      <c r="K1166" s="5">
        <v>2.452</v>
      </c>
      <c r="L1166" s="5">
        <v>1E-3</v>
      </c>
      <c r="M1166" s="5">
        <v>484926.36900000001</v>
      </c>
      <c r="N1166" s="6">
        <v>5.8999999999999997E-2</v>
      </c>
      <c r="O1166" s="5">
        <v>455.75599999999997</v>
      </c>
      <c r="P1166" s="6">
        <v>9.98E-2</v>
      </c>
      <c r="Q1166" s="5">
        <v>8157508.682</v>
      </c>
      <c r="R1166" s="1" t="s">
        <v>44</v>
      </c>
      <c r="S1166" s="1" t="s">
        <v>94</v>
      </c>
      <c r="T1166" s="1" t="s">
        <v>43</v>
      </c>
      <c r="V1166" s="1" t="s">
        <v>220</v>
      </c>
      <c r="Y1166" s="1" t="s">
        <v>346</v>
      </c>
      <c r="Z1166" s="1" t="str">
        <f t="shared" si="54"/>
        <v>3482 151B</v>
      </c>
      <c r="AA1166" s="3">
        <f>IF(INDEX('CAMD Facility Data 2023'!$AA$2:$AE$10000,MATCH(Z1166,'CAMD Facility Data 2023'!$AE$2:$AE$10000,0),1)&gt;0,INDEX('CAMD Facility Data 2023'!$AA$2:$AE$10000,MATCH(Z1166,'CAMD Facility Data 2023'!$AE$2:$AE$10000,0),1),"")</f>
        <v>26115</v>
      </c>
      <c r="AB1166" s="5">
        <f>IF(INDEX('CAMD Facility Data 2023'!$AC$2:$AE$10000,MATCH(Z1166,'CAMD Facility Data 2023'!$AE$2:$AE$10000,0),1)&gt;0,INDEX('CAMD Facility Data 2023'!$AC$2:$AE$10000,MATCH(Z1166,'CAMD Facility Data 2023'!$AE$2:$AE$10000,0),1),"")</f>
        <v>3053</v>
      </c>
      <c r="AC1166" s="1" t="str">
        <f>IF(INDEX('CAMD Facility Data 2023'!$AE$2:$AG$10000,MATCH(Z1166,'CAMD Facility Data 2023'!$AE$2:$AE$10000,0),3)&gt;0,INDEX('CAMD Facility Data 2023'!$AE$2:$AG$10000,MATCH(Z1166,'CAMD Facility Data 2023'!$AE$2:$AE$10000,0),3),"")</f>
        <v/>
      </c>
      <c r="AD1166" s="20">
        <f t="shared" si="55"/>
        <v>1.119505387292365</v>
      </c>
      <c r="AE1166" s="25">
        <f t="shared" si="56"/>
        <v>0.30501881830432526</v>
      </c>
    </row>
    <row r="1167" spans="1:31" x14ac:dyDescent="0.2">
      <c r="A1167" s="1" t="s">
        <v>383</v>
      </c>
      <c r="B1167" s="1" t="s">
        <v>2957</v>
      </c>
      <c r="C1167" s="1">
        <v>3482</v>
      </c>
      <c r="D1167" s="1" t="s">
        <v>2962</v>
      </c>
      <c r="F1167" s="1">
        <v>2023</v>
      </c>
      <c r="G1167" s="5">
        <v>5227</v>
      </c>
      <c r="H1167" s="5">
        <v>5183.71</v>
      </c>
      <c r="I1167" s="5">
        <v>606436.48</v>
      </c>
      <c r="K1167" s="5">
        <v>1.8839999999999999</v>
      </c>
      <c r="L1167" s="5">
        <v>1E-3</v>
      </c>
      <c r="M1167" s="5">
        <v>373029.53600000002</v>
      </c>
      <c r="N1167" s="6">
        <v>5.8999999999999997E-2</v>
      </c>
      <c r="O1167" s="5">
        <v>308.28500000000003</v>
      </c>
      <c r="P1167" s="6">
        <v>9.6199999999999994E-2</v>
      </c>
      <c r="Q1167" s="5">
        <v>6275633.0319999997</v>
      </c>
      <c r="R1167" s="1" t="s">
        <v>44</v>
      </c>
      <c r="S1167" s="1" t="s">
        <v>2963</v>
      </c>
      <c r="T1167" s="1" t="s">
        <v>43</v>
      </c>
      <c r="V1167" s="1" t="s">
        <v>242</v>
      </c>
      <c r="Y1167" s="1" t="s">
        <v>346</v>
      </c>
      <c r="Z1167" s="1" t="str">
        <f t="shared" si="54"/>
        <v>3482 152B</v>
      </c>
      <c r="AA1167" s="3">
        <f>IF(INDEX('CAMD Facility Data 2023'!$AA$2:$AE$10000,MATCH(Z1167,'CAMD Facility Data 2023'!$AE$2:$AE$10000,0),1)&gt;0,INDEX('CAMD Facility Data 2023'!$AA$2:$AE$10000,MATCH(Z1167,'CAMD Facility Data 2023'!$AE$2:$AE$10000,0),1),"")</f>
        <v>27181</v>
      </c>
      <c r="AB1167" s="5">
        <f>IF(INDEX('CAMD Facility Data 2023'!$AC$2:$AE$10000,MATCH(Z1167,'CAMD Facility Data 2023'!$AE$2:$AE$10000,0),1)&gt;0,INDEX('CAMD Facility Data 2023'!$AC$2:$AE$10000,MATCH(Z1167,'CAMD Facility Data 2023'!$AE$2:$AE$10000,0),1),"")</f>
        <v>3377</v>
      </c>
      <c r="AC1167" s="1" t="str">
        <f>IF(INDEX('CAMD Facility Data 2023'!$AE$2:$AG$10000,MATCH(Z1167,'CAMD Facility Data 2023'!$AE$2:$AE$10000,0),3)&gt;0,INDEX('CAMD Facility Data 2023'!$AE$2:$AG$10000,MATCH(Z1167,'CAMD Facility Data 2023'!$AE$2:$AE$10000,0),3),"")</f>
        <v/>
      </c>
      <c r="AD1167" s="20">
        <f t="shared" si="55"/>
        <v>1.0167099446260226</v>
      </c>
      <c r="AE1167" s="25">
        <f t="shared" si="56"/>
        <v>0.2121399066746173</v>
      </c>
    </row>
    <row r="1168" spans="1:31" x14ac:dyDescent="0.2">
      <c r="A1168" s="1" t="s">
        <v>383</v>
      </c>
      <c r="B1168" s="1" t="s">
        <v>2957</v>
      </c>
      <c r="C1168" s="1">
        <v>3482</v>
      </c>
      <c r="D1168" s="1" t="s">
        <v>2965</v>
      </c>
      <c r="F1168" s="1">
        <v>2023</v>
      </c>
      <c r="G1168" s="5">
        <v>2184</v>
      </c>
      <c r="H1168" s="5">
        <v>2005.37</v>
      </c>
      <c r="I1168" s="5">
        <v>261162.68</v>
      </c>
      <c r="K1168" s="5">
        <v>0.85899999999999999</v>
      </c>
      <c r="L1168" s="5">
        <v>1E-3</v>
      </c>
      <c r="M1168" s="5">
        <v>170098.87400000001</v>
      </c>
      <c r="N1168" s="6">
        <v>5.8999999999999997E-2</v>
      </c>
      <c r="O1168" s="5">
        <v>44.116</v>
      </c>
      <c r="P1168" s="6">
        <v>3.5999999999999997E-2</v>
      </c>
      <c r="Q1168" s="5">
        <v>2862258.7259999998</v>
      </c>
      <c r="R1168" s="1" t="s">
        <v>44</v>
      </c>
      <c r="T1168" s="1" t="s">
        <v>93</v>
      </c>
      <c r="V1168" s="1" t="s">
        <v>140</v>
      </c>
      <c r="Y1168" s="1" t="s">
        <v>346</v>
      </c>
      <c r="Z1168" s="1" t="str">
        <f t="shared" si="54"/>
        <v>3482 153T</v>
      </c>
      <c r="AA1168" s="3">
        <f>IF(INDEX('CAMD Facility Data 2023'!$AA$2:$AE$10000,MATCH(Z1168,'CAMD Facility Data 2023'!$AE$2:$AE$10000,0),1)&gt;0,INDEX('CAMD Facility Data 2023'!$AA$2:$AE$10000,MATCH(Z1168,'CAMD Facility Data 2023'!$AE$2:$AE$10000,0),1),"")</f>
        <v>40712</v>
      </c>
      <c r="AB1168" s="5">
        <f>IF(INDEX('CAMD Facility Data 2023'!$AC$2:$AE$10000,MATCH(Z1168,'CAMD Facility Data 2023'!$AE$2:$AE$10000,0),1)&gt;0,INDEX('CAMD Facility Data 2023'!$AC$2:$AE$10000,MATCH(Z1168,'CAMD Facility Data 2023'!$AE$2:$AE$10000,0),1),"")</f>
        <v>2099</v>
      </c>
      <c r="AC1168" s="1" t="str">
        <f>IF(INDEX('CAMD Facility Data 2023'!$AE$2:$AG$10000,MATCH(Z1168,'CAMD Facility Data 2023'!$AE$2:$AE$10000,0),3)&gt;0,INDEX('CAMD Facility Data 2023'!$AE$2:$AG$10000,MATCH(Z1168,'CAMD Facility Data 2023'!$AE$2:$AE$10000,0),3),"")</f>
        <v/>
      </c>
      <c r="AD1168" s="20">
        <f t="shared" si="55"/>
        <v>0.3378430639477279</v>
      </c>
      <c r="AE1168" s="25">
        <f t="shared" si="56"/>
        <v>0.15566549008986666</v>
      </c>
    </row>
    <row r="1169" spans="1:31" x14ac:dyDescent="0.2">
      <c r="A1169" s="1" t="s">
        <v>383</v>
      </c>
      <c r="B1169" s="1" t="s">
        <v>2957</v>
      </c>
      <c r="C1169" s="1">
        <v>3482</v>
      </c>
      <c r="D1169" s="1" t="s">
        <v>2967</v>
      </c>
      <c r="F1169" s="1">
        <v>2023</v>
      </c>
      <c r="G1169" s="5">
        <v>1972</v>
      </c>
      <c r="H1169" s="5">
        <v>1789.92</v>
      </c>
      <c r="I1169" s="5">
        <v>242802.31</v>
      </c>
      <c r="K1169" s="5">
        <v>0.79</v>
      </c>
      <c r="L1169" s="5">
        <v>1E-3</v>
      </c>
      <c r="M1169" s="5">
        <v>156396.296</v>
      </c>
      <c r="N1169" s="6">
        <v>5.8999999999999997E-2</v>
      </c>
      <c r="O1169" s="5">
        <v>41.073</v>
      </c>
      <c r="P1169" s="6">
        <v>3.6999999999999998E-2</v>
      </c>
      <c r="Q1169" s="5">
        <v>2631684.0830000001</v>
      </c>
      <c r="R1169" s="1" t="s">
        <v>44</v>
      </c>
      <c r="T1169" s="1" t="s">
        <v>93</v>
      </c>
      <c r="V1169" s="1" t="s">
        <v>140</v>
      </c>
      <c r="Y1169" s="1" t="s">
        <v>346</v>
      </c>
      <c r="Z1169" s="1" t="str">
        <f t="shared" si="54"/>
        <v>3482 154T</v>
      </c>
      <c r="AA1169" s="3">
        <f>IF(INDEX('CAMD Facility Data 2023'!$AA$2:$AE$10000,MATCH(Z1169,'CAMD Facility Data 2023'!$AE$2:$AE$10000,0),1)&gt;0,INDEX('CAMD Facility Data 2023'!$AA$2:$AE$10000,MATCH(Z1169,'CAMD Facility Data 2023'!$AE$2:$AE$10000,0),1),"")</f>
        <v>41374</v>
      </c>
      <c r="AB1169" s="5">
        <f>IF(INDEX('CAMD Facility Data 2023'!$AC$2:$AE$10000,MATCH(Z1169,'CAMD Facility Data 2023'!$AE$2:$AE$10000,0),1)&gt;0,INDEX('CAMD Facility Data 2023'!$AC$2:$AE$10000,MATCH(Z1169,'CAMD Facility Data 2023'!$AE$2:$AE$10000,0),1),"")</f>
        <v>2099</v>
      </c>
      <c r="AC1169" s="1" t="str">
        <f>IF(INDEX('CAMD Facility Data 2023'!$AE$2:$AG$10000,MATCH(Z1169,'CAMD Facility Data 2023'!$AE$2:$AE$10000,0),3)&gt;0,INDEX('CAMD Facility Data 2023'!$AE$2:$AG$10000,MATCH(Z1169,'CAMD Facility Data 2023'!$AE$2:$AE$10000,0),3),"")</f>
        <v/>
      </c>
      <c r="AD1169" s="20">
        <f t="shared" si="55"/>
        <v>0.33832462302356187</v>
      </c>
      <c r="AE1169" s="25">
        <f t="shared" si="56"/>
        <v>0.14312556332543655</v>
      </c>
    </row>
    <row r="1170" spans="1:31" x14ac:dyDescent="0.2">
      <c r="A1170" s="1" t="s">
        <v>383</v>
      </c>
      <c r="B1170" s="1" t="s">
        <v>2969</v>
      </c>
      <c r="C1170" s="1">
        <v>3484</v>
      </c>
      <c r="D1170" s="1" t="s">
        <v>2970</v>
      </c>
      <c r="F1170" s="1">
        <v>2023</v>
      </c>
      <c r="G1170" s="5">
        <v>6755</v>
      </c>
      <c r="H1170" s="5">
        <v>6718.77</v>
      </c>
      <c r="I1170" s="5">
        <v>337332.49</v>
      </c>
      <c r="K1170" s="5">
        <v>0.98399999999999999</v>
      </c>
      <c r="L1170" s="5">
        <v>1E-3</v>
      </c>
      <c r="M1170" s="5">
        <v>194763.617</v>
      </c>
      <c r="N1170" s="6">
        <v>5.9200000000000003E-2</v>
      </c>
      <c r="O1170" s="5">
        <v>162.68199999999999</v>
      </c>
      <c r="P1170" s="6">
        <v>9.3700000000000006E-2</v>
      </c>
      <c r="Q1170" s="5">
        <v>3277292.3029999998</v>
      </c>
      <c r="R1170" s="1" t="s">
        <v>44</v>
      </c>
      <c r="T1170" s="1" t="s">
        <v>43</v>
      </c>
      <c r="V1170" s="1" t="s">
        <v>220</v>
      </c>
      <c r="Y1170" s="1" t="s">
        <v>346</v>
      </c>
      <c r="Z1170" s="1" t="str">
        <f t="shared" si="54"/>
        <v>3484 141B</v>
      </c>
      <c r="AA1170" s="3">
        <f>IF(INDEX('CAMD Facility Data 2023'!$AA$2:$AE$10000,MATCH(Z1170,'CAMD Facility Data 2023'!$AE$2:$AE$10000,0),1)&gt;0,INDEX('CAMD Facility Data 2023'!$AA$2:$AE$10000,MATCH(Z1170,'CAMD Facility Data 2023'!$AE$2:$AE$10000,0),1),"")</f>
        <v>22098</v>
      </c>
      <c r="AB1170" s="5">
        <f>IF(INDEX('CAMD Facility Data 2023'!$AC$2:$AE$10000,MATCH(Z1170,'CAMD Facility Data 2023'!$AE$2:$AE$10000,0),1)&gt;0,INDEX('CAMD Facility Data 2023'!$AC$2:$AE$10000,MATCH(Z1170,'CAMD Facility Data 2023'!$AE$2:$AE$10000,0),1),"")</f>
        <v>1122</v>
      </c>
      <c r="AC1170" s="1" t="str">
        <f>IF(INDEX('CAMD Facility Data 2023'!$AE$2:$AG$10000,MATCH(Z1170,'CAMD Facility Data 2023'!$AE$2:$AE$10000,0),3)&gt;0,INDEX('CAMD Facility Data 2023'!$AE$2:$AG$10000,MATCH(Z1170,'CAMD Facility Data 2023'!$AE$2:$AE$10000,0),3),"")</f>
        <v/>
      </c>
      <c r="AD1170" s="20">
        <f t="shared" si="55"/>
        <v>0.96452019786175947</v>
      </c>
      <c r="AE1170" s="25">
        <f t="shared" si="56"/>
        <v>0.33344039742713188</v>
      </c>
    </row>
    <row r="1171" spans="1:31" x14ac:dyDescent="0.2">
      <c r="A1171" s="1" t="s">
        <v>383</v>
      </c>
      <c r="B1171" s="1" t="s">
        <v>2969</v>
      </c>
      <c r="C1171" s="1">
        <v>3484</v>
      </c>
      <c r="D1171" s="1" t="s">
        <v>2973</v>
      </c>
      <c r="F1171" s="1">
        <v>2023</v>
      </c>
      <c r="G1171" s="5">
        <v>7141</v>
      </c>
      <c r="H1171" s="5">
        <v>7100.11</v>
      </c>
      <c r="I1171" s="5">
        <v>338661.2</v>
      </c>
      <c r="K1171" s="5">
        <v>1.1259999999999999</v>
      </c>
      <c r="L1171" s="5">
        <v>1E-3</v>
      </c>
      <c r="M1171" s="5">
        <v>220656.44699999999</v>
      </c>
      <c r="N1171" s="6">
        <v>5.9200000000000003E-2</v>
      </c>
      <c r="O1171" s="5">
        <v>218.946</v>
      </c>
      <c r="P1171" s="6">
        <v>9.6500000000000002E-2</v>
      </c>
      <c r="Q1171" s="5">
        <v>3712983.7960000001</v>
      </c>
      <c r="R1171" s="1" t="s">
        <v>44</v>
      </c>
      <c r="T1171" s="1" t="s">
        <v>43</v>
      </c>
      <c r="V1171" s="1" t="s">
        <v>220</v>
      </c>
      <c r="Y1171" s="1" t="s">
        <v>346</v>
      </c>
      <c r="Z1171" s="1" t="str">
        <f t="shared" si="54"/>
        <v>3484 142B</v>
      </c>
      <c r="AA1171" s="3">
        <f>IF(INDEX('CAMD Facility Data 2023'!$AA$2:$AE$10000,MATCH(Z1171,'CAMD Facility Data 2023'!$AE$2:$AE$10000,0),1)&gt;0,INDEX('CAMD Facility Data 2023'!$AA$2:$AE$10000,MATCH(Z1171,'CAMD Facility Data 2023'!$AE$2:$AE$10000,0),1),"")</f>
        <v>22828</v>
      </c>
      <c r="AB1171" s="5">
        <f>IF(INDEX('CAMD Facility Data 2023'!$AC$2:$AE$10000,MATCH(Z1171,'CAMD Facility Data 2023'!$AE$2:$AE$10000,0),1)&gt;0,INDEX('CAMD Facility Data 2023'!$AC$2:$AE$10000,MATCH(Z1171,'CAMD Facility Data 2023'!$AE$2:$AE$10000,0),1),"")</f>
        <v>1166</v>
      </c>
      <c r="AC1171" s="1" t="str">
        <f>IF(INDEX('CAMD Facility Data 2023'!$AE$2:$AG$10000,MATCH(Z1171,'CAMD Facility Data 2023'!$AE$2:$AE$10000,0),3)&gt;0,INDEX('CAMD Facility Data 2023'!$AE$2:$AG$10000,MATCH(Z1171,'CAMD Facility Data 2023'!$AE$2:$AE$10000,0),3),"")</f>
        <v/>
      </c>
      <c r="AD1171" s="20">
        <f t="shared" si="55"/>
        <v>1.2930090603824707</v>
      </c>
      <c r="AE1171" s="25">
        <f t="shared" si="56"/>
        <v>0.36351337711569037</v>
      </c>
    </row>
    <row r="1172" spans="1:31" x14ac:dyDescent="0.2">
      <c r="A1172" s="1" t="s">
        <v>383</v>
      </c>
      <c r="B1172" s="1" t="s">
        <v>2969</v>
      </c>
      <c r="C1172" s="1">
        <v>3484</v>
      </c>
      <c r="D1172" s="1" t="s">
        <v>2975</v>
      </c>
      <c r="F1172" s="1">
        <v>2023</v>
      </c>
      <c r="G1172" s="5">
        <v>6977</v>
      </c>
      <c r="H1172" s="5">
        <v>6918.54</v>
      </c>
      <c r="I1172" s="5">
        <v>631463.93999999994</v>
      </c>
      <c r="K1172" s="5">
        <v>2.0209999999999999</v>
      </c>
      <c r="L1172" s="5">
        <v>1E-3</v>
      </c>
      <c r="M1172" s="5">
        <v>400237.64600000001</v>
      </c>
      <c r="N1172" s="6">
        <v>5.9200000000000003E-2</v>
      </c>
      <c r="O1172" s="5">
        <v>402.61900000000003</v>
      </c>
      <c r="P1172" s="6">
        <v>0.11020000000000001</v>
      </c>
      <c r="Q1172" s="5">
        <v>6734684.341</v>
      </c>
      <c r="R1172" s="1" t="s">
        <v>44</v>
      </c>
      <c r="T1172" s="1" t="s">
        <v>43</v>
      </c>
      <c r="V1172" s="1" t="s">
        <v>220</v>
      </c>
      <c r="Y1172" s="1" t="s">
        <v>346</v>
      </c>
      <c r="Z1172" s="1" t="str">
        <f t="shared" si="54"/>
        <v>3484 143B</v>
      </c>
      <c r="AA1172" s="3">
        <f>IF(INDEX('CAMD Facility Data 2023'!$AA$2:$AE$10000,MATCH(Z1172,'CAMD Facility Data 2023'!$AE$2:$AE$10000,0),1)&gt;0,INDEX('CAMD Facility Data 2023'!$AA$2:$AE$10000,MATCH(Z1172,'CAMD Facility Data 2023'!$AE$2:$AE$10000,0),1),"")</f>
        <v>25052</v>
      </c>
      <c r="AB1172" s="5">
        <f>IF(INDEX('CAMD Facility Data 2023'!$AC$2:$AE$10000,MATCH(Z1172,'CAMD Facility Data 2023'!$AE$2:$AE$10000,0),1)&gt;0,INDEX('CAMD Facility Data 2023'!$AC$2:$AE$10000,MATCH(Z1172,'CAMD Facility Data 2023'!$AE$2:$AE$10000,0),1),"")</f>
        <v>2982</v>
      </c>
      <c r="AC1172" s="1" t="str">
        <f>IF(INDEX('CAMD Facility Data 2023'!$AE$2:$AG$10000,MATCH(Z1172,'CAMD Facility Data 2023'!$AE$2:$AE$10000,0),3)&gt;0,INDEX('CAMD Facility Data 2023'!$AE$2:$AG$10000,MATCH(Z1172,'CAMD Facility Data 2023'!$AE$2:$AE$10000,0),3),"")</f>
        <v/>
      </c>
      <c r="AD1172" s="20">
        <f t="shared" si="55"/>
        <v>1.2751923728217958</v>
      </c>
      <c r="AE1172" s="25">
        <f t="shared" si="56"/>
        <v>0.25781340788260765</v>
      </c>
    </row>
    <row r="1173" spans="1:31" x14ac:dyDescent="0.2">
      <c r="A1173" s="1" t="s">
        <v>383</v>
      </c>
      <c r="B1173" s="1" t="s">
        <v>2977</v>
      </c>
      <c r="C1173" s="1">
        <v>3485</v>
      </c>
      <c r="D1173" s="1" t="s">
        <v>2978</v>
      </c>
      <c r="F1173" s="1">
        <v>2023</v>
      </c>
      <c r="G1173" s="5">
        <v>0</v>
      </c>
      <c r="H1173" s="5">
        <v>0</v>
      </c>
      <c r="R1173" s="1" t="s">
        <v>44</v>
      </c>
      <c r="S1173" s="1" t="s">
        <v>94</v>
      </c>
      <c r="T1173" s="1" t="s">
        <v>89</v>
      </c>
      <c r="Y1173" s="1" t="s">
        <v>346</v>
      </c>
      <c r="Z1173" s="1" t="str">
        <f t="shared" si="54"/>
        <v>3485 111B</v>
      </c>
      <c r="AA1173" s="3">
        <f>IF(INDEX('CAMD Facility Data 2023'!$AA$2:$AE$10000,MATCH(Z1173,'CAMD Facility Data 2023'!$AE$2:$AE$10000,0),1)&gt;0,INDEX('CAMD Facility Data 2023'!$AA$2:$AE$10000,MATCH(Z1173,'CAMD Facility Data 2023'!$AE$2:$AE$10000,0),1),"")</f>
        <v>19115</v>
      </c>
      <c r="AB1173" s="5">
        <f>IF(INDEX('CAMD Facility Data 2023'!$AC$2:$AE$10000,MATCH(Z1173,'CAMD Facility Data 2023'!$AE$2:$AE$10000,0),1)&gt;0,INDEX('CAMD Facility Data 2023'!$AC$2:$AE$10000,MATCH(Z1173,'CAMD Facility Data 2023'!$AE$2:$AE$10000,0),1),"")</f>
        <v>616</v>
      </c>
      <c r="AC1173" s="1" t="str">
        <f>IF(INDEX('CAMD Facility Data 2023'!$AE$2:$AG$10000,MATCH(Z1173,'CAMD Facility Data 2023'!$AE$2:$AE$10000,0),3)&gt;0,INDEX('CAMD Facility Data 2023'!$AE$2:$AG$10000,MATCH(Z1173,'CAMD Facility Data 2023'!$AE$2:$AE$10000,0),3),"")</f>
        <v/>
      </c>
      <c r="AD1173" s="20" t="str">
        <f t="shared" si="55"/>
        <v/>
      </c>
      <c r="AE1173" s="25">
        <f t="shared" si="56"/>
        <v>0</v>
      </c>
    </row>
    <row r="1174" spans="1:31" x14ac:dyDescent="0.2">
      <c r="A1174" s="1" t="s">
        <v>383</v>
      </c>
      <c r="B1174" s="1" t="s">
        <v>2977</v>
      </c>
      <c r="C1174" s="1">
        <v>3485</v>
      </c>
      <c r="D1174" s="1" t="s">
        <v>2982</v>
      </c>
      <c r="F1174" s="1">
        <v>2023</v>
      </c>
      <c r="G1174" s="5">
        <v>0</v>
      </c>
      <c r="H1174" s="5">
        <v>0</v>
      </c>
      <c r="R1174" s="1" t="s">
        <v>44</v>
      </c>
      <c r="S1174" s="1" t="s">
        <v>94</v>
      </c>
      <c r="T1174" s="1" t="s">
        <v>43</v>
      </c>
      <c r="Y1174" s="1" t="s">
        <v>346</v>
      </c>
      <c r="Z1174" s="1" t="str">
        <f t="shared" si="54"/>
        <v>3485 112B</v>
      </c>
      <c r="AA1174" s="3">
        <f>IF(INDEX('CAMD Facility Data 2023'!$AA$2:$AE$10000,MATCH(Z1174,'CAMD Facility Data 2023'!$AE$2:$AE$10000,0),1)&gt;0,INDEX('CAMD Facility Data 2023'!$AA$2:$AE$10000,MATCH(Z1174,'CAMD Facility Data 2023'!$AE$2:$AE$10000,0),1),"")</f>
        <v>19572</v>
      </c>
      <c r="AB1174" s="5">
        <f>IF(INDEX('CAMD Facility Data 2023'!$AC$2:$AE$10000,MATCH(Z1174,'CAMD Facility Data 2023'!$AE$2:$AE$10000,0),1)&gt;0,INDEX('CAMD Facility Data 2023'!$AC$2:$AE$10000,MATCH(Z1174,'CAMD Facility Data 2023'!$AE$2:$AE$10000,0),1),"")</f>
        <v>1276</v>
      </c>
      <c r="AC1174" s="1" t="str">
        <f>IF(INDEX('CAMD Facility Data 2023'!$AE$2:$AG$10000,MATCH(Z1174,'CAMD Facility Data 2023'!$AE$2:$AE$10000,0),3)&gt;0,INDEX('CAMD Facility Data 2023'!$AE$2:$AG$10000,MATCH(Z1174,'CAMD Facility Data 2023'!$AE$2:$AE$10000,0),3),"")</f>
        <v/>
      </c>
      <c r="AD1174" s="20" t="str">
        <f t="shared" si="55"/>
        <v/>
      </c>
      <c r="AE1174" s="25">
        <f t="shared" si="56"/>
        <v>0</v>
      </c>
    </row>
    <row r="1175" spans="1:31" x14ac:dyDescent="0.2">
      <c r="A1175" s="1" t="s">
        <v>383</v>
      </c>
      <c r="B1175" s="1" t="s">
        <v>2977</v>
      </c>
      <c r="C1175" s="1">
        <v>3485</v>
      </c>
      <c r="D1175" s="1" t="s">
        <v>2984</v>
      </c>
      <c r="F1175" s="1">
        <v>2023</v>
      </c>
      <c r="G1175" s="5">
        <v>6319</v>
      </c>
      <c r="H1175" s="5">
        <v>6281.03</v>
      </c>
      <c r="I1175" s="5">
        <v>690767.61</v>
      </c>
      <c r="K1175" s="5">
        <v>2.133</v>
      </c>
      <c r="L1175" s="5">
        <v>1E-3</v>
      </c>
      <c r="M1175" s="5">
        <v>422481.125</v>
      </c>
      <c r="N1175" s="6">
        <v>5.8999999999999997E-2</v>
      </c>
      <c r="O1175" s="5">
        <v>459.59699999999998</v>
      </c>
      <c r="P1175" s="6">
        <v>0.1095</v>
      </c>
      <c r="Q1175" s="5">
        <v>7108288.6529999999</v>
      </c>
      <c r="R1175" s="1" t="s">
        <v>44</v>
      </c>
      <c r="S1175" s="1" t="s">
        <v>2963</v>
      </c>
      <c r="T1175" s="1" t="s">
        <v>43</v>
      </c>
      <c r="V1175" s="1" t="s">
        <v>220</v>
      </c>
      <c r="Y1175" s="1" t="s">
        <v>346</v>
      </c>
      <c r="Z1175" s="1" t="str">
        <f t="shared" si="54"/>
        <v>3485 114B</v>
      </c>
      <c r="AA1175" s="3">
        <f>IF(INDEX('CAMD Facility Data 2023'!$AA$2:$AE$10000,MATCH(Z1175,'CAMD Facility Data 2023'!$AE$2:$AE$10000,0),1)&gt;0,INDEX('CAMD Facility Data 2023'!$AA$2:$AE$10000,MATCH(Z1175,'CAMD Facility Data 2023'!$AE$2:$AE$10000,0),1),"")</f>
        <v>23559</v>
      </c>
      <c r="AB1175" s="5">
        <f>IF(INDEX('CAMD Facility Data 2023'!$AC$2:$AE$10000,MATCH(Z1175,'CAMD Facility Data 2023'!$AE$2:$AE$10000,0),1)&gt;0,INDEX('CAMD Facility Data 2023'!$AC$2:$AE$10000,MATCH(Z1175,'CAMD Facility Data 2023'!$AE$2:$AE$10000,0),1),"")</f>
        <v>2375</v>
      </c>
      <c r="AC1175" s="1" t="str">
        <f>IF(INDEX('CAMD Facility Data 2023'!$AE$2:$AG$10000,MATCH(Z1175,'CAMD Facility Data 2023'!$AE$2:$AE$10000,0),3)&gt;0,INDEX('CAMD Facility Data 2023'!$AE$2:$AG$10000,MATCH(Z1175,'CAMD Facility Data 2023'!$AE$2:$AE$10000,0),3),"")</f>
        <v/>
      </c>
      <c r="AD1175" s="20">
        <f t="shared" si="55"/>
        <v>1.3306848594131391</v>
      </c>
      <c r="AE1175" s="25">
        <f t="shared" si="56"/>
        <v>0.34166251636625811</v>
      </c>
    </row>
    <row r="1176" spans="1:31" x14ac:dyDescent="0.2">
      <c r="A1176" s="1" t="s">
        <v>383</v>
      </c>
      <c r="B1176" s="1" t="s">
        <v>2986</v>
      </c>
      <c r="C1176" s="1">
        <v>3490</v>
      </c>
      <c r="D1176" s="1">
        <v>1</v>
      </c>
      <c r="F1176" s="1">
        <v>2023</v>
      </c>
      <c r="G1176" s="5">
        <v>3176</v>
      </c>
      <c r="H1176" s="5">
        <v>3097.59</v>
      </c>
      <c r="I1176" s="5">
        <v>527098.68000000005</v>
      </c>
      <c r="K1176" s="5">
        <v>1.474</v>
      </c>
      <c r="L1176" s="5">
        <v>1E-3</v>
      </c>
      <c r="M1176" s="5">
        <v>291944.54499999998</v>
      </c>
      <c r="N1176" s="6">
        <v>5.8999999999999997E-2</v>
      </c>
      <c r="O1176" s="5">
        <v>930.77599999999995</v>
      </c>
      <c r="P1176" s="6">
        <v>0.3221</v>
      </c>
      <c r="Q1176" s="5">
        <v>4912442.2939999998</v>
      </c>
      <c r="R1176" s="1" t="s">
        <v>44</v>
      </c>
      <c r="S1176" s="1" t="s">
        <v>94</v>
      </c>
      <c r="T1176" s="1" t="s">
        <v>89</v>
      </c>
      <c r="V1176" s="1" t="s">
        <v>1460</v>
      </c>
      <c r="Y1176" s="1" t="s">
        <v>346</v>
      </c>
      <c r="Z1176" s="1" t="str">
        <f t="shared" si="54"/>
        <v>3490 1</v>
      </c>
      <c r="AA1176" s="3">
        <f>IF(INDEX('CAMD Facility Data 2023'!$AA$2:$AE$10000,MATCH(Z1176,'CAMD Facility Data 2023'!$AE$2:$AE$10000,0),1)&gt;0,INDEX('CAMD Facility Data 2023'!$AA$2:$AE$10000,MATCH(Z1176,'CAMD Facility Data 2023'!$AE$2:$AE$10000,0),1),"")</f>
        <v>22269</v>
      </c>
      <c r="AB1176" s="5">
        <f>IF(INDEX('CAMD Facility Data 2023'!$AC$2:$AE$10000,MATCH(Z1176,'CAMD Facility Data 2023'!$AE$2:$AE$10000,0),1)&gt;0,INDEX('CAMD Facility Data 2023'!$AC$2:$AE$10000,MATCH(Z1176,'CAMD Facility Data 2023'!$AE$2:$AE$10000,0),1),"")</f>
        <v>2601</v>
      </c>
      <c r="AC1176" s="1" t="str">
        <f>IF(INDEX('CAMD Facility Data 2023'!$AE$2:$AG$10000,MATCH(Z1176,'CAMD Facility Data 2023'!$AE$2:$AE$10000,0),3)&gt;0,INDEX('CAMD Facility Data 2023'!$AE$2:$AG$10000,MATCH(Z1176,'CAMD Facility Data 2023'!$AE$2:$AE$10000,0),3),"")</f>
        <v/>
      </c>
      <c r="AD1176" s="20">
        <f t="shared" si="55"/>
        <v>3.531695431299505</v>
      </c>
      <c r="AE1176" s="25">
        <f t="shared" si="56"/>
        <v>0.21560210833908278</v>
      </c>
    </row>
    <row r="1177" spans="1:31" x14ac:dyDescent="0.2">
      <c r="A1177" s="1" t="s">
        <v>383</v>
      </c>
      <c r="B1177" s="1" t="s">
        <v>2986</v>
      </c>
      <c r="C1177" s="1">
        <v>3490</v>
      </c>
      <c r="D1177" s="1">
        <v>2</v>
      </c>
      <c r="F1177" s="1">
        <v>2023</v>
      </c>
      <c r="G1177" s="5">
        <v>2983</v>
      </c>
      <c r="H1177" s="5">
        <v>2876.72</v>
      </c>
      <c r="I1177" s="5">
        <v>673661.87</v>
      </c>
      <c r="K1177" s="5">
        <v>2.036</v>
      </c>
      <c r="L1177" s="5">
        <v>1E-3</v>
      </c>
      <c r="M1177" s="5">
        <v>403337.93400000001</v>
      </c>
      <c r="N1177" s="6">
        <v>5.8999999999999997E-2</v>
      </c>
      <c r="O1177" s="5">
        <v>1425.2249999999999</v>
      </c>
      <c r="P1177" s="6">
        <v>0.29870000000000002</v>
      </c>
      <c r="Q1177" s="5">
        <v>6786700.6550000003</v>
      </c>
      <c r="R1177" s="1" t="s">
        <v>44</v>
      </c>
      <c r="S1177" s="1" t="s">
        <v>94</v>
      </c>
      <c r="T1177" s="1" t="s">
        <v>89</v>
      </c>
      <c r="V1177" s="1" t="s">
        <v>2990</v>
      </c>
      <c r="Y1177" s="1" t="s">
        <v>2899</v>
      </c>
      <c r="Z1177" s="1" t="str">
        <f t="shared" si="54"/>
        <v>3490 2</v>
      </c>
      <c r="AA1177" s="3">
        <f>IF(INDEX('CAMD Facility Data 2023'!$AA$2:$AE$10000,MATCH(Z1177,'CAMD Facility Data 2023'!$AE$2:$AE$10000,0),1)&gt;0,INDEX('CAMD Facility Data 2023'!$AA$2:$AE$10000,MATCH(Z1177,'CAMD Facility Data 2023'!$AE$2:$AE$10000,0),1),"")</f>
        <v>25359</v>
      </c>
      <c r="AB1177" s="5">
        <f>IF(INDEX('CAMD Facility Data 2023'!$AC$2:$AE$10000,MATCH(Z1177,'CAMD Facility Data 2023'!$AE$2:$AE$10000,0),1)&gt;0,INDEX('CAMD Facility Data 2023'!$AC$2:$AE$10000,MATCH(Z1177,'CAMD Facility Data 2023'!$AE$2:$AE$10000,0),1),"")</f>
        <v>4970</v>
      </c>
      <c r="AC1177" s="1" t="str">
        <f>IF(INDEX('CAMD Facility Data 2023'!$AE$2:$AG$10000,MATCH(Z1177,'CAMD Facility Data 2023'!$AE$2:$AE$10000,0),3)&gt;0,INDEX('CAMD Facility Data 2023'!$AE$2:$AG$10000,MATCH(Z1177,'CAMD Facility Data 2023'!$AE$2:$AE$10000,0),3),"")</f>
        <v/>
      </c>
      <c r="AD1177" s="20">
        <f t="shared" si="55"/>
        <v>4.2312770351689935</v>
      </c>
      <c r="AE1177" s="25">
        <f t="shared" si="56"/>
        <v>0.15588280034085794</v>
      </c>
    </row>
    <row r="1178" spans="1:31" x14ac:dyDescent="0.2">
      <c r="A1178" s="1" t="s">
        <v>383</v>
      </c>
      <c r="B1178" s="1" t="s">
        <v>2991</v>
      </c>
      <c r="C1178" s="1">
        <v>3491</v>
      </c>
      <c r="D1178" s="1">
        <v>3</v>
      </c>
      <c r="F1178" s="1">
        <v>2023</v>
      </c>
      <c r="G1178" s="5">
        <v>3317</v>
      </c>
      <c r="H1178" s="5">
        <v>3290.79</v>
      </c>
      <c r="I1178" s="5">
        <v>559981.41</v>
      </c>
      <c r="K1178" s="5">
        <v>1.9</v>
      </c>
      <c r="L1178" s="5">
        <v>1E-3</v>
      </c>
      <c r="M1178" s="5">
        <v>376322.59700000001</v>
      </c>
      <c r="N1178" s="6">
        <v>5.8999999999999997E-2</v>
      </c>
      <c r="O1178" s="5">
        <v>74.313999999999993</v>
      </c>
      <c r="P1178" s="6">
        <v>1.9199999999999998E-2</v>
      </c>
      <c r="Q1178" s="5">
        <v>6332379.449</v>
      </c>
      <c r="R1178" s="1" t="s">
        <v>44</v>
      </c>
      <c r="T1178" s="1" t="s">
        <v>89</v>
      </c>
      <c r="V1178" s="1" t="s">
        <v>2996</v>
      </c>
      <c r="Y1178" s="1" t="s">
        <v>346</v>
      </c>
      <c r="Z1178" s="1" t="str">
        <f t="shared" si="54"/>
        <v>3491 3</v>
      </c>
      <c r="AA1178" s="3">
        <f>IF(INDEX('CAMD Facility Data 2023'!$AA$2:$AE$10000,MATCH(Z1178,'CAMD Facility Data 2023'!$AE$2:$AE$10000,0),1)&gt;0,INDEX('CAMD Facility Data 2023'!$AA$2:$AE$10000,MATCH(Z1178,'CAMD Facility Data 2023'!$AE$2:$AE$10000,0),1),"")</f>
        <v>23218</v>
      </c>
      <c r="AB1178" s="5">
        <f>IF(INDEX('CAMD Facility Data 2023'!$AC$2:$AE$10000,MATCH(Z1178,'CAMD Facility Data 2023'!$AE$2:$AE$10000,0),1)&gt;0,INDEX('CAMD Facility Data 2023'!$AC$2:$AE$10000,MATCH(Z1178,'CAMD Facility Data 2023'!$AE$2:$AE$10000,0),1),"")</f>
        <v>3991</v>
      </c>
      <c r="AC1178" s="1" t="str">
        <f>IF(INDEX('CAMD Facility Data 2023'!$AE$2:$AG$10000,MATCH(Z1178,'CAMD Facility Data 2023'!$AE$2:$AE$10000,0),3)&gt;0,INDEX('CAMD Facility Data 2023'!$AE$2:$AG$10000,MATCH(Z1178,'CAMD Facility Data 2023'!$AE$2:$AE$10000,0),3),"")</f>
        <v>Y</v>
      </c>
      <c r="AD1178" s="20">
        <f t="shared" si="55"/>
        <v>0.26541595371889221</v>
      </c>
      <c r="AE1178" s="25">
        <f t="shared" si="56"/>
        <v>0.18112612536311723</v>
      </c>
    </row>
    <row r="1179" spans="1:31" x14ac:dyDescent="0.2">
      <c r="A1179" s="1" t="s">
        <v>383</v>
      </c>
      <c r="B1179" s="1" t="s">
        <v>2991</v>
      </c>
      <c r="C1179" s="1">
        <v>3491</v>
      </c>
      <c r="D1179" s="1">
        <v>4</v>
      </c>
      <c r="F1179" s="1">
        <v>2023</v>
      </c>
      <c r="G1179" s="5">
        <v>2858</v>
      </c>
      <c r="H1179" s="5">
        <v>2745.83</v>
      </c>
      <c r="I1179" s="5">
        <v>568933.52</v>
      </c>
      <c r="K1179" s="5">
        <v>1.9970000000000001</v>
      </c>
      <c r="L1179" s="5">
        <v>1E-3</v>
      </c>
      <c r="M1179" s="5">
        <v>395501.33399999997</v>
      </c>
      <c r="N1179" s="6">
        <v>5.8999999999999997E-2</v>
      </c>
      <c r="O1179" s="5">
        <v>36.774000000000001</v>
      </c>
      <c r="P1179" s="6">
        <v>1.52E-2</v>
      </c>
      <c r="Q1179" s="5">
        <v>6655072.949</v>
      </c>
      <c r="R1179" s="1" t="s">
        <v>44</v>
      </c>
      <c r="T1179" s="1" t="s">
        <v>89</v>
      </c>
      <c r="V1179" s="1" t="s">
        <v>223</v>
      </c>
      <c r="Y1179" s="1" t="s">
        <v>346</v>
      </c>
      <c r="Z1179" s="1" t="str">
        <f t="shared" si="54"/>
        <v>3491 4</v>
      </c>
      <c r="AA1179" s="3">
        <f>IF(INDEX('CAMD Facility Data 2023'!$AA$2:$AE$10000,MATCH(Z1179,'CAMD Facility Data 2023'!$AE$2:$AE$10000,0),1)&gt;0,INDEX('CAMD Facility Data 2023'!$AA$2:$AE$10000,MATCH(Z1179,'CAMD Facility Data 2023'!$AE$2:$AE$10000,0),1),"")</f>
        <v>28059</v>
      </c>
      <c r="AB1179" s="5">
        <f>IF(INDEX('CAMD Facility Data 2023'!$AC$2:$AE$10000,MATCH(Z1179,'CAMD Facility Data 2023'!$AE$2:$AE$10000,0),1)&gt;0,INDEX('CAMD Facility Data 2023'!$AC$2:$AE$10000,MATCH(Z1179,'CAMD Facility Data 2023'!$AE$2:$AE$10000,0),1),"")</f>
        <v>5500</v>
      </c>
      <c r="AC1179" s="1" t="str">
        <f>IF(INDEX('CAMD Facility Data 2023'!$AE$2:$AG$10000,MATCH(Z1179,'CAMD Facility Data 2023'!$AE$2:$AE$10000,0),3)&gt;0,INDEX('CAMD Facility Data 2023'!$AE$2:$AG$10000,MATCH(Z1179,'CAMD Facility Data 2023'!$AE$2:$AE$10000,0),3),"")</f>
        <v>Y</v>
      </c>
      <c r="AD1179" s="20">
        <f t="shared" si="55"/>
        <v>0.12927345184372332</v>
      </c>
      <c r="AE1179" s="25">
        <f t="shared" si="56"/>
        <v>0.13812936797426317</v>
      </c>
    </row>
    <row r="1180" spans="1:31" x14ac:dyDescent="0.2">
      <c r="A1180" s="1" t="s">
        <v>383</v>
      </c>
      <c r="B1180" s="1" t="s">
        <v>2991</v>
      </c>
      <c r="C1180" s="1">
        <v>3491</v>
      </c>
      <c r="D1180" s="1">
        <v>5</v>
      </c>
      <c r="F1180" s="1">
        <v>2023</v>
      </c>
      <c r="G1180" s="5">
        <v>2553</v>
      </c>
      <c r="H1180" s="5">
        <v>2447.7600000000002</v>
      </c>
      <c r="I1180" s="5">
        <v>498643.65</v>
      </c>
      <c r="K1180" s="5">
        <v>1.835</v>
      </c>
      <c r="L1180" s="5">
        <v>1E-3</v>
      </c>
      <c r="M1180" s="5">
        <v>363462.973</v>
      </c>
      <c r="N1180" s="6">
        <v>5.8999999999999997E-2</v>
      </c>
      <c r="O1180" s="5">
        <v>42.695</v>
      </c>
      <c r="P1180" s="6">
        <v>1.95E-2</v>
      </c>
      <c r="Q1180" s="5">
        <v>6115976.4759999998</v>
      </c>
      <c r="R1180" s="1" t="s">
        <v>44</v>
      </c>
      <c r="T1180" s="1" t="s">
        <v>89</v>
      </c>
      <c r="V1180" s="1" t="s">
        <v>223</v>
      </c>
      <c r="Y1180" s="1" t="s">
        <v>346</v>
      </c>
      <c r="Z1180" s="1" t="str">
        <f t="shared" si="54"/>
        <v>3491 5</v>
      </c>
      <c r="AA1180" s="3">
        <f>IF(INDEX('CAMD Facility Data 2023'!$AA$2:$AE$10000,MATCH(Z1180,'CAMD Facility Data 2023'!$AE$2:$AE$10000,0),1)&gt;0,INDEX('CAMD Facility Data 2023'!$AA$2:$AE$10000,MATCH(Z1180,'CAMD Facility Data 2023'!$AE$2:$AE$10000,0),1),"")</f>
        <v>28422</v>
      </c>
      <c r="AB1180" s="5">
        <f>IF(INDEX('CAMD Facility Data 2023'!$AC$2:$AE$10000,MATCH(Z1180,'CAMD Facility Data 2023'!$AE$2:$AE$10000,0),1)&gt;0,INDEX('CAMD Facility Data 2023'!$AC$2:$AE$10000,MATCH(Z1180,'CAMD Facility Data 2023'!$AE$2:$AE$10000,0),1),"")</f>
        <v>5634</v>
      </c>
      <c r="AC1180" s="1" t="str">
        <f>IF(INDEX('CAMD Facility Data 2023'!$AE$2:$AG$10000,MATCH(Z1180,'CAMD Facility Data 2023'!$AE$2:$AE$10000,0),3)&gt;0,INDEX('CAMD Facility Data 2023'!$AE$2:$AG$10000,MATCH(Z1180,'CAMD Facility Data 2023'!$AE$2:$AE$10000,0),3),"")</f>
        <v>Y</v>
      </c>
      <c r="AD1180" s="20">
        <f t="shared" si="55"/>
        <v>0.17124453505023074</v>
      </c>
      <c r="AE1180" s="25">
        <f t="shared" si="56"/>
        <v>0.12392098519588343</v>
      </c>
    </row>
    <row r="1181" spans="1:31" x14ac:dyDescent="0.2">
      <c r="A1181" s="1" t="s">
        <v>383</v>
      </c>
      <c r="B1181" s="1" t="s">
        <v>3000</v>
      </c>
      <c r="C1181" s="1">
        <v>3504</v>
      </c>
      <c r="D1181" s="1">
        <v>1</v>
      </c>
      <c r="F1181" s="1">
        <v>2023</v>
      </c>
      <c r="G1181" s="5">
        <v>2797</v>
      </c>
      <c r="H1181" s="5">
        <v>2718.79</v>
      </c>
      <c r="I1181" s="5">
        <v>235613.25</v>
      </c>
      <c r="K1181" s="5">
        <v>0.81899999999999995</v>
      </c>
      <c r="L1181" s="5">
        <v>1E-3</v>
      </c>
      <c r="M1181" s="5">
        <v>162171.522</v>
      </c>
      <c r="N1181" s="6">
        <v>5.91E-2</v>
      </c>
      <c r="O1181" s="5">
        <v>287.02499999999998</v>
      </c>
      <c r="P1181" s="6">
        <v>0.16289999999999999</v>
      </c>
      <c r="Q1181" s="5">
        <v>2728829.719</v>
      </c>
      <c r="R1181" s="1" t="s">
        <v>44</v>
      </c>
      <c r="S1181" s="1" t="s">
        <v>94</v>
      </c>
      <c r="T1181" s="1" t="s">
        <v>89</v>
      </c>
      <c r="V1181" s="1" t="s">
        <v>90</v>
      </c>
      <c r="Y1181" s="1" t="s">
        <v>346</v>
      </c>
      <c r="Z1181" s="1" t="str">
        <f t="shared" si="54"/>
        <v>3504 1</v>
      </c>
      <c r="AA1181" s="3">
        <f>IF(INDEX('CAMD Facility Data 2023'!$AA$2:$AE$10000,MATCH(Z1181,'CAMD Facility Data 2023'!$AE$2:$AE$10000,0),1)&gt;0,INDEX('CAMD Facility Data 2023'!$AA$2:$AE$10000,MATCH(Z1181,'CAMD Facility Data 2023'!$AE$2:$AE$10000,0),1),"")</f>
        <v>21362</v>
      </c>
      <c r="AB1181" s="5">
        <f>IF(INDEX('CAMD Facility Data 2023'!$AC$2:$AE$10000,MATCH(Z1181,'CAMD Facility Data 2023'!$AE$2:$AE$10000,0),1)&gt;0,INDEX('CAMD Facility Data 2023'!$AC$2:$AE$10000,MATCH(Z1181,'CAMD Facility Data 2023'!$AE$2:$AE$10000,0),1),"")</f>
        <v>2081</v>
      </c>
      <c r="AC1181" s="1" t="str">
        <f>IF(INDEX('CAMD Facility Data 2023'!$AE$2:$AG$10000,MATCH(Z1181,'CAMD Facility Data 2023'!$AE$2:$AE$10000,0),3)&gt;0,INDEX('CAMD Facility Data 2023'!$AE$2:$AG$10000,MATCH(Z1181,'CAMD Facility Data 2023'!$AE$2:$AE$10000,0),3),"")</f>
        <v/>
      </c>
      <c r="AD1181" s="20">
        <f t="shared" si="55"/>
        <v>2.4364079694159817</v>
      </c>
      <c r="AE1181" s="25">
        <f t="shared" si="56"/>
        <v>0.14969257178999384</v>
      </c>
    </row>
    <row r="1182" spans="1:31" x14ac:dyDescent="0.2">
      <c r="A1182" s="1" t="s">
        <v>383</v>
      </c>
      <c r="B1182" s="1" t="s">
        <v>3000</v>
      </c>
      <c r="C1182" s="1">
        <v>3504</v>
      </c>
      <c r="D1182" s="1">
        <v>2</v>
      </c>
      <c r="F1182" s="1">
        <v>2023</v>
      </c>
      <c r="G1182" s="5">
        <v>3543</v>
      </c>
      <c r="H1182" s="5">
        <v>3409.74</v>
      </c>
      <c r="I1182" s="5">
        <v>869696.5</v>
      </c>
      <c r="K1182" s="5">
        <v>2.742</v>
      </c>
      <c r="L1182" s="5">
        <v>1E-3</v>
      </c>
      <c r="M1182" s="5">
        <v>543186.92099999997</v>
      </c>
      <c r="N1182" s="6">
        <v>5.8999999999999997E-2</v>
      </c>
      <c r="O1182" s="5">
        <v>427.851</v>
      </c>
      <c r="P1182" s="6">
        <v>8.09E-2</v>
      </c>
      <c r="Q1182" s="5">
        <v>9140094.5979999993</v>
      </c>
      <c r="R1182" s="1" t="s">
        <v>44</v>
      </c>
      <c r="S1182" s="1" t="s">
        <v>94</v>
      </c>
      <c r="T1182" s="1" t="s">
        <v>43</v>
      </c>
      <c r="V1182" s="1" t="s">
        <v>242</v>
      </c>
      <c r="Y1182" s="1" t="s">
        <v>2899</v>
      </c>
      <c r="Z1182" s="1" t="str">
        <f t="shared" si="54"/>
        <v>3504 2</v>
      </c>
      <c r="AA1182" s="3">
        <f>IF(INDEX('CAMD Facility Data 2023'!$AA$2:$AE$10000,MATCH(Z1182,'CAMD Facility Data 2023'!$AE$2:$AE$10000,0),1)&gt;0,INDEX('CAMD Facility Data 2023'!$AA$2:$AE$10000,MATCH(Z1182,'CAMD Facility Data 2023'!$AE$2:$AE$10000,0),1),"")</f>
        <v>24097</v>
      </c>
      <c r="AB1182" s="5">
        <f>IF(INDEX('CAMD Facility Data 2023'!$AC$2:$AE$10000,MATCH(Z1182,'CAMD Facility Data 2023'!$AE$2:$AE$10000,0),1)&gt;0,INDEX('CAMD Facility Data 2023'!$AC$2:$AE$10000,MATCH(Z1182,'CAMD Facility Data 2023'!$AE$2:$AE$10000,0),1),"")</f>
        <v>5472</v>
      </c>
      <c r="AC1182" s="1" t="str">
        <f>IF(INDEX('CAMD Facility Data 2023'!$AE$2:$AG$10000,MATCH(Z1182,'CAMD Facility Data 2023'!$AE$2:$AE$10000,0),3)&gt;0,INDEX('CAMD Facility Data 2023'!$AE$2:$AG$10000,MATCH(Z1182,'CAMD Facility Data 2023'!$AE$2:$AE$10000,0),3),"")</f>
        <v/>
      </c>
      <c r="AD1182" s="20">
        <f t="shared" si="55"/>
        <v>0.98390875437580816</v>
      </c>
      <c r="AE1182" s="25">
        <f t="shared" si="56"/>
        <v>0.19067795948323052</v>
      </c>
    </row>
    <row r="1183" spans="1:31" x14ac:dyDescent="0.2">
      <c r="A1183" s="1" t="s">
        <v>383</v>
      </c>
      <c r="B1183" s="1" t="s">
        <v>3004</v>
      </c>
      <c r="C1183" s="1">
        <v>3507</v>
      </c>
      <c r="D1183" s="1">
        <v>9</v>
      </c>
      <c r="F1183" s="1">
        <v>2023</v>
      </c>
      <c r="G1183" s="5">
        <v>2389</v>
      </c>
      <c r="H1183" s="5">
        <v>2323.1799999999998</v>
      </c>
      <c r="I1183" s="5">
        <v>339322.11</v>
      </c>
      <c r="K1183" s="5">
        <v>1.2689999999999999</v>
      </c>
      <c r="L1183" s="5">
        <v>1E-3</v>
      </c>
      <c r="M1183" s="5">
        <v>251395.38500000001</v>
      </c>
      <c r="N1183" s="6">
        <v>5.8999999999999997E-2</v>
      </c>
      <c r="O1183" s="5">
        <v>518.46299999999997</v>
      </c>
      <c r="P1183" s="6">
        <v>0.2056</v>
      </c>
      <c r="Q1183" s="5">
        <v>4230250.784</v>
      </c>
      <c r="R1183" s="1" t="s">
        <v>44</v>
      </c>
      <c r="S1183" s="1" t="s">
        <v>173</v>
      </c>
      <c r="T1183" s="1" t="s">
        <v>43</v>
      </c>
      <c r="Y1183" s="1" t="s">
        <v>346</v>
      </c>
      <c r="Z1183" s="1" t="str">
        <f t="shared" si="54"/>
        <v>3507 9</v>
      </c>
      <c r="AA1183" s="3">
        <f>IF(INDEX('CAMD Facility Data 2023'!$AA$2:$AE$10000,MATCH(Z1183,'CAMD Facility Data 2023'!$AE$2:$AE$10000,0),1)&gt;0,INDEX('CAMD Facility Data 2023'!$AA$2:$AE$10000,MATCH(Z1183,'CAMD Facility Data 2023'!$AE$2:$AE$10000,0),1),"")</f>
        <v>23888</v>
      </c>
      <c r="AB1183" s="5">
        <f>IF(INDEX('CAMD Facility Data 2023'!$AC$2:$AE$10000,MATCH(Z1183,'CAMD Facility Data 2023'!$AE$2:$AE$10000,0),1)&gt;0,INDEX('CAMD Facility Data 2023'!$AC$2:$AE$10000,MATCH(Z1183,'CAMD Facility Data 2023'!$AE$2:$AE$10000,0),1),"")</f>
        <v>2764.3</v>
      </c>
      <c r="AC1183" s="1" t="str">
        <f>IF(INDEX('CAMD Facility Data 2023'!$AE$2:$AG$10000,MATCH(Z1183,'CAMD Facility Data 2023'!$AE$2:$AE$10000,0),3)&gt;0,INDEX('CAMD Facility Data 2023'!$AE$2:$AG$10000,MATCH(Z1183,'CAMD Facility Data 2023'!$AE$2:$AE$10000,0),3),"")</f>
        <v/>
      </c>
      <c r="AD1183" s="20">
        <f t="shared" si="55"/>
        <v>3.0558751388172141</v>
      </c>
      <c r="AE1183" s="25">
        <f t="shared" si="56"/>
        <v>0.17469353566518447</v>
      </c>
    </row>
    <row r="1184" spans="1:31" x14ac:dyDescent="0.2">
      <c r="A1184" s="1" t="s">
        <v>383</v>
      </c>
      <c r="B1184" s="1" t="s">
        <v>3008</v>
      </c>
      <c r="C1184" s="1">
        <v>3559</v>
      </c>
      <c r="D1184" s="1">
        <v>10</v>
      </c>
      <c r="F1184" s="1">
        <v>2023</v>
      </c>
      <c r="G1184" s="5">
        <v>2288</v>
      </c>
      <c r="H1184" s="5">
        <v>2004.63</v>
      </c>
      <c r="I1184" s="5">
        <v>51542.559999999998</v>
      </c>
      <c r="K1184" s="5">
        <v>0.16500000000000001</v>
      </c>
      <c r="L1184" s="5">
        <v>8.9999999999999998E-4</v>
      </c>
      <c r="M1184" s="5">
        <v>32713.562000000002</v>
      </c>
      <c r="N1184" s="6">
        <v>6.3E-2</v>
      </c>
      <c r="O1184" s="5">
        <v>2.9950000000000001</v>
      </c>
      <c r="P1184" s="6">
        <v>1.7600000000000001E-2</v>
      </c>
      <c r="Q1184" s="5">
        <v>550527.755</v>
      </c>
      <c r="R1184" s="1" t="s">
        <v>44</v>
      </c>
      <c r="T1184" s="1" t="s">
        <v>93</v>
      </c>
      <c r="V1184" s="1" t="s">
        <v>223</v>
      </c>
      <c r="Y1184" s="1" t="s">
        <v>346</v>
      </c>
      <c r="Z1184" s="1" t="str">
        <f t="shared" si="54"/>
        <v>3559 10</v>
      </c>
      <c r="AA1184" s="3">
        <f>IF(INDEX('CAMD Facility Data 2023'!$AA$2:$AE$10000,MATCH(Z1184,'CAMD Facility Data 2023'!$AE$2:$AE$10000,0),1)&gt;0,INDEX('CAMD Facility Data 2023'!$AA$2:$AE$10000,MATCH(Z1184,'CAMD Facility Data 2023'!$AE$2:$AE$10000,0),1),"")</f>
        <v>38294</v>
      </c>
      <c r="AB1184" s="5">
        <f>IF(INDEX('CAMD Facility Data 2023'!$AC$2:$AE$10000,MATCH(Z1184,'CAMD Facility Data 2023'!$AE$2:$AE$10000,0),1)&gt;0,INDEX('CAMD Facility Data 2023'!$AC$2:$AE$10000,MATCH(Z1184,'CAMD Facility Data 2023'!$AE$2:$AE$10000,0),1),"")</f>
        <v>478.5</v>
      </c>
      <c r="AC1184" s="1" t="str">
        <f>IF(INDEX('CAMD Facility Data 2023'!$AE$2:$AG$10000,MATCH(Z1184,'CAMD Facility Data 2023'!$AE$2:$AE$10000,0),3)&gt;0,INDEX('CAMD Facility Data 2023'!$AE$2:$AG$10000,MATCH(Z1184,'CAMD Facility Data 2023'!$AE$2:$AE$10000,0),3),"")</f>
        <v>Y</v>
      </c>
      <c r="AD1184" s="20">
        <f t="shared" si="55"/>
        <v>0.11621463893139961</v>
      </c>
      <c r="AE1184" s="25">
        <f t="shared" si="56"/>
        <v>0.1313388383122677</v>
      </c>
    </row>
    <row r="1185" spans="1:31" x14ac:dyDescent="0.2">
      <c r="A1185" s="1" t="s">
        <v>383</v>
      </c>
      <c r="B1185" s="1" t="s">
        <v>3008</v>
      </c>
      <c r="C1185" s="1">
        <v>3559</v>
      </c>
      <c r="D1185" s="1">
        <v>9</v>
      </c>
      <c r="F1185" s="1">
        <v>2023</v>
      </c>
      <c r="G1185" s="5">
        <v>2202</v>
      </c>
      <c r="H1185" s="5">
        <v>1965.94</v>
      </c>
      <c r="I1185" s="5">
        <v>66336.31</v>
      </c>
      <c r="K1185" s="5">
        <v>0.3</v>
      </c>
      <c r="L1185" s="5">
        <v>1E-3</v>
      </c>
      <c r="M1185" s="5">
        <v>59468.385999999999</v>
      </c>
      <c r="N1185" s="6">
        <v>5.9200000000000003E-2</v>
      </c>
      <c r="O1185" s="5">
        <v>32.744999999999997</v>
      </c>
      <c r="P1185" s="6">
        <v>7.1199999999999999E-2</v>
      </c>
      <c r="Q1185" s="5">
        <v>1000660.123</v>
      </c>
      <c r="R1185" s="1" t="s">
        <v>44</v>
      </c>
      <c r="S1185" s="1" t="s">
        <v>94</v>
      </c>
      <c r="T1185" s="1" t="s">
        <v>71</v>
      </c>
      <c r="V1185" s="1" t="s">
        <v>140</v>
      </c>
      <c r="Y1185" s="1" t="s">
        <v>346</v>
      </c>
      <c r="Z1185" s="1" t="str">
        <f t="shared" si="54"/>
        <v>3559 9</v>
      </c>
      <c r="AA1185" s="3">
        <f>IF(INDEX('CAMD Facility Data 2023'!$AA$2:$AE$10000,MATCH(Z1185,'CAMD Facility Data 2023'!$AE$2:$AE$10000,0),1)&gt;0,INDEX('CAMD Facility Data 2023'!$AA$2:$AE$10000,MATCH(Z1185,'CAMD Facility Data 2023'!$AE$2:$AE$10000,0),1),"")</f>
        <v>35400</v>
      </c>
      <c r="AB1185" s="5">
        <f>IF(INDEX('CAMD Facility Data 2023'!$AC$2:$AE$10000,MATCH(Z1185,'CAMD Facility Data 2023'!$AE$2:$AE$10000,0),1)&gt;0,INDEX('CAMD Facility Data 2023'!$AC$2:$AE$10000,MATCH(Z1185,'CAMD Facility Data 2023'!$AE$2:$AE$10000,0),1),"")</f>
        <v>674.1</v>
      </c>
      <c r="AC1185" s="1" t="str">
        <f>IF(INDEX('CAMD Facility Data 2023'!$AE$2:$AG$10000,MATCH(Z1185,'CAMD Facility Data 2023'!$AE$2:$AE$10000,0),3)&gt;0,INDEX('CAMD Facility Data 2023'!$AE$2:$AG$10000,MATCH(Z1185,'CAMD Facility Data 2023'!$AE$2:$AE$10000,0),3),"")</f>
        <v/>
      </c>
      <c r="AD1185" s="20">
        <f t="shared" si="55"/>
        <v>0.98724213029033414</v>
      </c>
      <c r="AE1185" s="25">
        <f t="shared" si="56"/>
        <v>0.16945647181190004</v>
      </c>
    </row>
    <row r="1186" spans="1:31" x14ac:dyDescent="0.2">
      <c r="A1186" s="1" t="s">
        <v>383</v>
      </c>
      <c r="B1186" s="1" t="s">
        <v>3014</v>
      </c>
      <c r="C1186" s="1">
        <v>3576</v>
      </c>
      <c r="D1186" s="1" t="s">
        <v>3015</v>
      </c>
      <c r="F1186" s="1">
        <v>2023</v>
      </c>
      <c r="G1186" s="5">
        <v>2211</v>
      </c>
      <c r="H1186" s="5">
        <v>2058.5</v>
      </c>
      <c r="I1186" s="5">
        <v>36240.75</v>
      </c>
      <c r="K1186" s="5">
        <v>0.13700000000000001</v>
      </c>
      <c r="L1186" s="5">
        <v>1E-3</v>
      </c>
      <c r="M1186" s="5">
        <v>27175.525000000001</v>
      </c>
      <c r="N1186" s="6">
        <v>5.9400000000000001E-2</v>
      </c>
      <c r="O1186" s="5">
        <v>14.544</v>
      </c>
      <c r="P1186" s="6">
        <v>4.3900000000000002E-2</v>
      </c>
      <c r="Q1186" s="5">
        <v>457287.5</v>
      </c>
      <c r="R1186" s="1" t="s">
        <v>44</v>
      </c>
      <c r="T1186" s="1" t="s">
        <v>89</v>
      </c>
      <c r="V1186" s="1" t="s">
        <v>220</v>
      </c>
      <c r="Y1186" s="1" t="s">
        <v>346</v>
      </c>
      <c r="Z1186" s="1" t="str">
        <f t="shared" si="54"/>
        <v>3576 BW2</v>
      </c>
      <c r="AA1186" s="3">
        <f>IF(INDEX('CAMD Facility Data 2023'!$AA$2:$AE$10000,MATCH(Z1186,'CAMD Facility Data 2023'!$AE$2:$AE$10000,0),1)&gt;0,INDEX('CAMD Facility Data 2023'!$AA$2:$AE$10000,MATCH(Z1186,'CAMD Facility Data 2023'!$AE$2:$AE$10000,0),1),"")</f>
        <v>25842</v>
      </c>
      <c r="AB1186" s="5">
        <f>IF(INDEX('CAMD Facility Data 2023'!$AC$2:$AE$10000,MATCH(Z1186,'CAMD Facility Data 2023'!$AE$2:$AE$10000,0),1)&gt;0,INDEX('CAMD Facility Data 2023'!$AC$2:$AE$10000,MATCH(Z1186,'CAMD Facility Data 2023'!$AE$2:$AE$10000,0),1),"")</f>
        <v>1300</v>
      </c>
      <c r="AC1186" s="1" t="str">
        <f>IF(INDEX('CAMD Facility Data 2023'!$AE$2:$AG$10000,MATCH(Z1186,'CAMD Facility Data 2023'!$AE$2:$AE$10000,0),3)&gt;0,INDEX('CAMD Facility Data 2023'!$AE$2:$AG$10000,MATCH(Z1186,'CAMD Facility Data 2023'!$AE$2:$AE$10000,0),3),"")</f>
        <v/>
      </c>
      <c r="AD1186" s="20">
        <f t="shared" si="55"/>
        <v>0.80263239585273483</v>
      </c>
      <c r="AE1186" s="25">
        <f t="shared" si="56"/>
        <v>4.0155207235686691E-2</v>
      </c>
    </row>
    <row r="1187" spans="1:31" x14ac:dyDescent="0.2">
      <c r="A1187" s="1" t="s">
        <v>383</v>
      </c>
      <c r="B1187" s="1" t="s">
        <v>3014</v>
      </c>
      <c r="C1187" s="1">
        <v>3576</v>
      </c>
      <c r="D1187" s="1" t="s">
        <v>3020</v>
      </c>
      <c r="F1187" s="1">
        <v>2023</v>
      </c>
      <c r="G1187" s="5">
        <v>2364</v>
      </c>
      <c r="H1187" s="5">
        <v>2214.5</v>
      </c>
      <c r="I1187" s="5">
        <v>57015.25</v>
      </c>
      <c r="K1187" s="5">
        <v>0.16</v>
      </c>
      <c r="L1187" s="5">
        <v>1E-3</v>
      </c>
      <c r="M1187" s="5">
        <v>31647.674999999999</v>
      </c>
      <c r="N1187" s="6">
        <v>5.8000000000000003E-2</v>
      </c>
      <c r="O1187" s="5">
        <v>20.658999999999999</v>
      </c>
      <c r="P1187" s="6">
        <v>6.2600000000000003E-2</v>
      </c>
      <c r="Q1187" s="5">
        <v>533228.80000000005</v>
      </c>
      <c r="R1187" s="1" t="s">
        <v>44</v>
      </c>
      <c r="T1187" s="1" t="s">
        <v>89</v>
      </c>
      <c r="V1187" s="1" t="s">
        <v>289</v>
      </c>
      <c r="Y1187" s="1" t="s">
        <v>346</v>
      </c>
      <c r="Z1187" s="1" t="str">
        <f t="shared" si="54"/>
        <v>3576 BW3</v>
      </c>
      <c r="AA1187" s="3">
        <f>IF(INDEX('CAMD Facility Data 2023'!$AA$2:$AE$10000,MATCH(Z1187,'CAMD Facility Data 2023'!$AE$2:$AE$10000,0),1)&gt;0,INDEX('CAMD Facility Data 2023'!$AA$2:$AE$10000,MATCH(Z1187,'CAMD Facility Data 2023'!$AE$2:$AE$10000,0),1),"")</f>
        <v>27820</v>
      </c>
      <c r="AB1187" s="5">
        <f>IF(INDEX('CAMD Facility Data 2023'!$AC$2:$AE$10000,MATCH(Z1187,'CAMD Facility Data 2023'!$AE$2:$AE$10000,0),1)&gt;0,INDEX('CAMD Facility Data 2023'!$AC$2:$AE$10000,MATCH(Z1187,'CAMD Facility Data 2023'!$AE$2:$AE$10000,0),1),"")</f>
        <v>1519</v>
      </c>
      <c r="AC1187" s="1" t="str">
        <f>IF(INDEX('CAMD Facility Data 2023'!$AE$2:$AG$10000,MATCH(Z1187,'CAMD Facility Data 2023'!$AE$2:$AE$10000,0),3)&gt;0,INDEX('CAMD Facility Data 2023'!$AE$2:$AG$10000,MATCH(Z1187,'CAMD Facility Data 2023'!$AE$2:$AE$10000,0),3),"")</f>
        <v/>
      </c>
      <c r="AD1187" s="20">
        <f t="shared" si="55"/>
        <v>0.72468330841310002</v>
      </c>
      <c r="AE1187" s="25">
        <f t="shared" si="56"/>
        <v>4.0072987215213088E-2</v>
      </c>
    </row>
    <row r="1188" spans="1:31" x14ac:dyDescent="0.2">
      <c r="A1188" s="1" t="s">
        <v>383</v>
      </c>
      <c r="B1188" s="1" t="s">
        <v>3014</v>
      </c>
      <c r="C1188" s="1">
        <v>3576</v>
      </c>
      <c r="D1188" s="1" t="s">
        <v>3022</v>
      </c>
      <c r="F1188" s="1">
        <v>2023</v>
      </c>
      <c r="G1188" s="5">
        <v>0</v>
      </c>
      <c r="H1188" s="5">
        <v>0</v>
      </c>
      <c r="R1188" s="1" t="s">
        <v>44</v>
      </c>
      <c r="T1188" s="1" t="s">
        <v>43</v>
      </c>
      <c r="V1188" s="1" t="s">
        <v>242</v>
      </c>
      <c r="Y1188" s="1" t="s">
        <v>346</v>
      </c>
      <c r="Z1188" s="1" t="str">
        <f t="shared" si="54"/>
        <v>3576 CE1</v>
      </c>
      <c r="AA1188" s="3">
        <f>IF(INDEX('CAMD Facility Data 2023'!$AA$2:$AE$10000,MATCH(Z1188,'CAMD Facility Data 2023'!$AE$2:$AE$10000,0),1)&gt;0,INDEX('CAMD Facility Data 2023'!$AA$2:$AE$10000,MATCH(Z1188,'CAMD Facility Data 2023'!$AE$2:$AE$10000,0),1),"")</f>
        <v>24593</v>
      </c>
      <c r="AB1188" s="5">
        <f>IF(INDEX('CAMD Facility Data 2023'!$AC$2:$AE$10000,MATCH(Z1188,'CAMD Facility Data 2023'!$AE$2:$AE$10000,0),1)&gt;0,INDEX('CAMD Facility Data 2023'!$AC$2:$AE$10000,MATCH(Z1188,'CAMD Facility Data 2023'!$AE$2:$AE$10000,0),1),"")</f>
        <v>888</v>
      </c>
      <c r="AC1188" s="1" t="str">
        <f>IF(INDEX('CAMD Facility Data 2023'!$AE$2:$AG$10000,MATCH(Z1188,'CAMD Facility Data 2023'!$AE$2:$AE$10000,0),3)&gt;0,INDEX('CAMD Facility Data 2023'!$AE$2:$AG$10000,MATCH(Z1188,'CAMD Facility Data 2023'!$AE$2:$AE$10000,0),3),"")</f>
        <v/>
      </c>
      <c r="AD1188" s="20" t="str">
        <f t="shared" si="55"/>
        <v/>
      </c>
      <c r="AE1188" s="25">
        <f t="shared" si="56"/>
        <v>0</v>
      </c>
    </row>
    <row r="1189" spans="1:31" x14ac:dyDescent="0.2">
      <c r="A1189" s="1" t="s">
        <v>383</v>
      </c>
      <c r="B1189" s="1" t="s">
        <v>3014</v>
      </c>
      <c r="C1189" s="1">
        <v>3576</v>
      </c>
      <c r="D1189" s="1" t="s">
        <v>3023</v>
      </c>
      <c r="F1189" s="1">
        <v>2023</v>
      </c>
      <c r="G1189" s="5">
        <v>651</v>
      </c>
      <c r="H1189" s="5">
        <v>570</v>
      </c>
      <c r="I1189" s="5">
        <v>33189.5</v>
      </c>
      <c r="K1189" s="5">
        <v>0.12</v>
      </c>
      <c r="L1189" s="5">
        <v>1E-3</v>
      </c>
      <c r="M1189" s="5">
        <v>23678.224999999999</v>
      </c>
      <c r="N1189" s="6">
        <v>5.9200000000000003E-2</v>
      </c>
      <c r="O1189" s="5">
        <v>5.7450000000000001</v>
      </c>
      <c r="P1189" s="6">
        <v>4.0500000000000001E-2</v>
      </c>
      <c r="Q1189" s="5">
        <v>398415.22499999998</v>
      </c>
      <c r="R1189" s="1" t="s">
        <v>44</v>
      </c>
      <c r="T1189" s="1" t="s">
        <v>93</v>
      </c>
      <c r="V1189" s="1" t="s">
        <v>140</v>
      </c>
      <c r="Y1189" s="1" t="s">
        <v>346</v>
      </c>
      <c r="Z1189" s="1" t="str">
        <f t="shared" si="54"/>
        <v>3576 GE4</v>
      </c>
      <c r="AA1189" s="3">
        <f>IF(INDEX('CAMD Facility Data 2023'!$AA$2:$AE$10000,MATCH(Z1189,'CAMD Facility Data 2023'!$AE$2:$AE$10000,0),1)&gt;0,INDEX('CAMD Facility Data 2023'!$AA$2:$AE$10000,MATCH(Z1189,'CAMD Facility Data 2023'!$AE$2:$AE$10000,0),1),"")</f>
        <v>37106</v>
      </c>
      <c r="AB1189" s="5">
        <f>IF(INDEX('CAMD Facility Data 2023'!$AC$2:$AE$10000,MATCH(Z1189,'CAMD Facility Data 2023'!$AE$2:$AE$10000,0),1)&gt;0,INDEX('CAMD Facility Data 2023'!$AC$2:$AE$10000,MATCH(Z1189,'CAMD Facility Data 2023'!$AE$2:$AE$10000,0),1),"")</f>
        <v>1050</v>
      </c>
      <c r="AC1189" s="1" t="str">
        <f>IF(INDEX('CAMD Facility Data 2023'!$AE$2:$AG$10000,MATCH(Z1189,'CAMD Facility Data 2023'!$AE$2:$AE$10000,0),3)&gt;0,INDEX('CAMD Facility Data 2023'!$AE$2:$AG$10000,MATCH(Z1189,'CAMD Facility Data 2023'!$AE$2:$AE$10000,0),3),"")</f>
        <v/>
      </c>
      <c r="AD1189" s="20">
        <f t="shared" si="55"/>
        <v>0.34619382636074664</v>
      </c>
      <c r="AE1189" s="25">
        <f t="shared" si="56"/>
        <v>4.3315419112850619E-2</v>
      </c>
    </row>
    <row r="1190" spans="1:31" x14ac:dyDescent="0.2">
      <c r="A1190" s="1" t="s">
        <v>383</v>
      </c>
      <c r="B1190" s="1" t="s">
        <v>3025</v>
      </c>
      <c r="C1190" s="1">
        <v>3601</v>
      </c>
      <c r="D1190" s="1">
        <v>1</v>
      </c>
      <c r="F1190" s="1">
        <v>2023</v>
      </c>
      <c r="G1190" s="5">
        <v>3635</v>
      </c>
      <c r="H1190" s="5">
        <v>3607.78</v>
      </c>
      <c r="I1190" s="5">
        <v>243103.48</v>
      </c>
      <c r="K1190" s="5">
        <v>0.752</v>
      </c>
      <c r="L1190" s="5">
        <v>1E-3</v>
      </c>
      <c r="M1190" s="5">
        <v>149024.32800000001</v>
      </c>
      <c r="N1190" s="6">
        <v>5.91E-2</v>
      </c>
      <c r="O1190" s="5">
        <v>174.56700000000001</v>
      </c>
      <c r="P1190" s="6">
        <v>0.1202</v>
      </c>
      <c r="Q1190" s="5">
        <v>2507639.1970000002</v>
      </c>
      <c r="R1190" s="1" t="s">
        <v>44</v>
      </c>
      <c r="S1190" s="1" t="s">
        <v>94</v>
      </c>
      <c r="T1190" s="1" t="s">
        <v>89</v>
      </c>
      <c r="V1190" s="1" t="s">
        <v>1793</v>
      </c>
      <c r="Y1190" s="1" t="s">
        <v>346</v>
      </c>
      <c r="Z1190" s="1" t="str">
        <f t="shared" si="54"/>
        <v>3601 1</v>
      </c>
      <c r="AA1190" s="3">
        <f>IF(INDEX('CAMD Facility Data 2023'!$AA$2:$AE$10000,MATCH(Z1190,'CAMD Facility Data 2023'!$AE$2:$AE$10000,0),1)&gt;0,INDEX('CAMD Facility Data 2023'!$AA$2:$AE$10000,MATCH(Z1190,'CAMD Facility Data 2023'!$AE$2:$AE$10000,0),1),"")</f>
        <v>23877</v>
      </c>
      <c r="AB1190" s="5">
        <f>IF(INDEX('CAMD Facility Data 2023'!$AC$2:$AE$10000,MATCH(Z1190,'CAMD Facility Data 2023'!$AE$2:$AE$10000,0),1)&gt;0,INDEX('CAMD Facility Data 2023'!$AC$2:$AE$10000,MATCH(Z1190,'CAMD Facility Data 2023'!$AE$2:$AE$10000,0),1),"")</f>
        <v>1447</v>
      </c>
      <c r="AC1190" s="1" t="str">
        <f>IF(INDEX('CAMD Facility Data 2023'!$AE$2:$AG$10000,MATCH(Z1190,'CAMD Facility Data 2023'!$AE$2:$AE$10000,0),3)&gt;0,INDEX('CAMD Facility Data 2023'!$AE$2:$AG$10000,MATCH(Z1190,'CAMD Facility Data 2023'!$AE$2:$AE$10000,0),3),"")</f>
        <v/>
      </c>
      <c r="AD1190" s="20">
        <f t="shared" si="55"/>
        <v>1.436153855140206</v>
      </c>
      <c r="AE1190" s="25">
        <f t="shared" si="56"/>
        <v>0.19783011907804843</v>
      </c>
    </row>
    <row r="1191" spans="1:31" x14ac:dyDescent="0.2">
      <c r="A1191" s="1" t="s">
        <v>383</v>
      </c>
      <c r="B1191" s="1" t="s">
        <v>3025</v>
      </c>
      <c r="C1191" s="1">
        <v>3601</v>
      </c>
      <c r="D1191" s="1">
        <v>2</v>
      </c>
      <c r="F1191" s="1">
        <v>2023</v>
      </c>
      <c r="G1191" s="5">
        <v>4373</v>
      </c>
      <c r="H1191" s="5">
        <v>4341.1899999999996</v>
      </c>
      <c r="I1191" s="5">
        <v>305142.5</v>
      </c>
      <c r="K1191" s="5">
        <v>0.89300000000000002</v>
      </c>
      <c r="L1191" s="5">
        <v>1E-3</v>
      </c>
      <c r="M1191" s="5">
        <v>176878.68299999999</v>
      </c>
      <c r="N1191" s="6">
        <v>5.91E-2</v>
      </c>
      <c r="O1191" s="5">
        <v>222.81800000000001</v>
      </c>
      <c r="P1191" s="6">
        <v>0.13239999999999999</v>
      </c>
      <c r="Q1191" s="5">
        <v>2976251.253</v>
      </c>
      <c r="R1191" s="1" t="s">
        <v>44</v>
      </c>
      <c r="S1191" s="1" t="s">
        <v>94</v>
      </c>
      <c r="T1191" s="1" t="s">
        <v>89</v>
      </c>
      <c r="V1191" s="1" t="s">
        <v>1793</v>
      </c>
      <c r="Y1191" s="1" t="s">
        <v>346</v>
      </c>
      <c r="Z1191" s="1" t="str">
        <f t="shared" si="54"/>
        <v>3601 2</v>
      </c>
      <c r="AA1191" s="3">
        <f>IF(INDEX('CAMD Facility Data 2023'!$AA$2:$AE$10000,MATCH(Z1191,'CAMD Facility Data 2023'!$AE$2:$AE$10000,0),1)&gt;0,INDEX('CAMD Facility Data 2023'!$AA$2:$AE$10000,MATCH(Z1191,'CAMD Facility Data 2023'!$AE$2:$AE$10000,0),1),"")</f>
        <v>24852</v>
      </c>
      <c r="AB1191" s="5">
        <f>IF(INDEX('CAMD Facility Data 2023'!$AC$2:$AE$10000,MATCH(Z1191,'CAMD Facility Data 2023'!$AE$2:$AE$10000,0),1)&gt;0,INDEX('CAMD Facility Data 2023'!$AC$2:$AE$10000,MATCH(Z1191,'CAMD Facility Data 2023'!$AE$2:$AE$10000,0),1),"")</f>
        <v>1462</v>
      </c>
      <c r="AC1191" s="1" t="str">
        <f>IF(INDEX('CAMD Facility Data 2023'!$AE$2:$AG$10000,MATCH(Z1191,'CAMD Facility Data 2023'!$AE$2:$AE$10000,0),3)&gt;0,INDEX('CAMD Facility Data 2023'!$AE$2:$AG$10000,MATCH(Z1191,'CAMD Facility Data 2023'!$AE$2:$AE$10000,0),3),"")</f>
        <v/>
      </c>
      <c r="AD1191" s="20">
        <f t="shared" si="55"/>
        <v>1.460419312288521</v>
      </c>
      <c r="AE1191" s="25">
        <f t="shared" si="56"/>
        <v>0.23239036200176152</v>
      </c>
    </row>
    <row r="1192" spans="1:31" x14ac:dyDescent="0.2">
      <c r="A1192" s="1" t="s">
        <v>383</v>
      </c>
      <c r="B1192" s="1" t="s">
        <v>3025</v>
      </c>
      <c r="C1192" s="1">
        <v>3601</v>
      </c>
      <c r="D1192" s="1">
        <v>3</v>
      </c>
      <c r="F1192" s="1">
        <v>2023</v>
      </c>
      <c r="G1192" s="5">
        <v>4447</v>
      </c>
      <c r="H1192" s="5">
        <v>4399.32</v>
      </c>
      <c r="I1192" s="5">
        <v>717874.6</v>
      </c>
      <c r="K1192" s="5">
        <v>2.2639999999999998</v>
      </c>
      <c r="L1192" s="5">
        <v>1E-3</v>
      </c>
      <c r="M1192" s="5">
        <v>448471.897</v>
      </c>
      <c r="N1192" s="6">
        <v>5.8999999999999997E-2</v>
      </c>
      <c r="O1192" s="5">
        <v>502.774</v>
      </c>
      <c r="P1192" s="6">
        <v>0.1142</v>
      </c>
      <c r="Q1192" s="5">
        <v>7546445.7089999998</v>
      </c>
      <c r="R1192" s="1" t="s">
        <v>44</v>
      </c>
      <c r="S1192" s="1" t="s">
        <v>94</v>
      </c>
      <c r="T1192" s="1" t="s">
        <v>43</v>
      </c>
      <c r="V1192" s="1" t="s">
        <v>2990</v>
      </c>
      <c r="Y1192" s="1" t="s">
        <v>346</v>
      </c>
      <c r="Z1192" s="1" t="str">
        <f t="shared" si="54"/>
        <v>3601 3</v>
      </c>
      <c r="AA1192" s="3">
        <f>IF(INDEX('CAMD Facility Data 2023'!$AA$2:$AE$10000,MATCH(Z1192,'CAMD Facility Data 2023'!$AE$2:$AE$10000,0),1)&gt;0,INDEX('CAMD Facility Data 2023'!$AA$2:$AE$10000,MATCH(Z1192,'CAMD Facility Data 2023'!$AE$2:$AE$10000,0),1),"")</f>
        <v>26390</v>
      </c>
      <c r="AB1192" s="5">
        <f>IF(INDEX('CAMD Facility Data 2023'!$AC$2:$AE$10000,MATCH(Z1192,'CAMD Facility Data 2023'!$AE$2:$AE$10000,0),1)&gt;0,INDEX('CAMD Facility Data 2023'!$AC$2:$AE$10000,MATCH(Z1192,'CAMD Facility Data 2023'!$AE$2:$AE$10000,0),1),"")</f>
        <v>3434</v>
      </c>
      <c r="AC1192" s="1" t="str">
        <f>IF(INDEX('CAMD Facility Data 2023'!$AE$2:$AG$10000,MATCH(Z1192,'CAMD Facility Data 2023'!$AE$2:$AE$10000,0),3)&gt;0,INDEX('CAMD Facility Data 2023'!$AE$2:$AG$10000,MATCH(Z1192,'CAMD Facility Data 2023'!$AE$2:$AE$10000,0),3),"")</f>
        <v/>
      </c>
      <c r="AD1192" s="20">
        <f t="shared" si="55"/>
        <v>1.4007293195775419</v>
      </c>
      <c r="AE1192" s="25">
        <f t="shared" si="56"/>
        <v>0.25086383376149862</v>
      </c>
    </row>
    <row r="1193" spans="1:31" x14ac:dyDescent="0.2">
      <c r="A1193" s="1" t="s">
        <v>383</v>
      </c>
      <c r="B1193" s="1" t="s">
        <v>3031</v>
      </c>
      <c r="C1193" s="1">
        <v>3604</v>
      </c>
      <c r="D1193" s="1" t="s">
        <v>280</v>
      </c>
      <c r="F1193" s="1">
        <v>2023</v>
      </c>
      <c r="G1193" s="5">
        <v>1048</v>
      </c>
      <c r="H1193" s="5">
        <v>920.74</v>
      </c>
      <c r="I1193" s="5">
        <v>36797.57</v>
      </c>
      <c r="K1193" s="5">
        <v>9.5000000000000001E-2</v>
      </c>
      <c r="L1193" s="5">
        <v>8.9999999999999998E-4</v>
      </c>
      <c r="M1193" s="5">
        <v>18814.584999999999</v>
      </c>
      <c r="N1193" s="6">
        <v>5.9299999999999999E-2</v>
      </c>
      <c r="O1193" s="5">
        <v>6.1559999999999997</v>
      </c>
      <c r="P1193" s="6">
        <v>4.3799999999999999E-2</v>
      </c>
      <c r="Q1193" s="5">
        <v>316573.81699999998</v>
      </c>
      <c r="R1193" s="1" t="s">
        <v>44</v>
      </c>
      <c r="T1193" s="1" t="s">
        <v>71</v>
      </c>
      <c r="V1193" s="1" t="s">
        <v>223</v>
      </c>
      <c r="Y1193" s="1" t="s">
        <v>346</v>
      </c>
      <c r="Z1193" s="1" t="str">
        <f t="shared" si="54"/>
        <v>3604 GT1</v>
      </c>
      <c r="AA1193" s="3">
        <f>IF(INDEX('CAMD Facility Data 2023'!$AA$2:$AE$10000,MATCH(Z1193,'CAMD Facility Data 2023'!$AE$2:$AE$10000,0),1)&gt;0,INDEX('CAMD Facility Data 2023'!$AA$2:$AE$10000,MATCH(Z1193,'CAMD Facility Data 2023'!$AE$2:$AE$10000,0),1),"")</f>
        <v>36777</v>
      </c>
      <c r="AB1193" s="5">
        <f>IF(INDEX('CAMD Facility Data 2023'!$AC$2:$AE$10000,MATCH(Z1193,'CAMD Facility Data 2023'!$AE$2:$AE$10000,0),1)&gt;0,INDEX('CAMD Facility Data 2023'!$AC$2:$AE$10000,MATCH(Z1193,'CAMD Facility Data 2023'!$AE$2:$AE$10000,0),1),"")</f>
        <v>492</v>
      </c>
      <c r="AC1193" s="1" t="str">
        <f>IF(INDEX('CAMD Facility Data 2023'!$AE$2:$AG$10000,MATCH(Z1193,'CAMD Facility Data 2023'!$AE$2:$AE$10000,0),3)&gt;0,INDEX('CAMD Facility Data 2023'!$AE$2:$AG$10000,MATCH(Z1193,'CAMD Facility Data 2023'!$AE$2:$AE$10000,0),3),"")</f>
        <v>Y</v>
      </c>
      <c r="AD1193" s="20">
        <f t="shared" si="55"/>
        <v>0.3345873110642904</v>
      </c>
      <c r="AE1193" s="25">
        <f t="shared" si="56"/>
        <v>7.3452365009095286E-2</v>
      </c>
    </row>
    <row r="1194" spans="1:31" x14ac:dyDescent="0.2">
      <c r="A1194" s="1" t="s">
        <v>383</v>
      </c>
      <c r="B1194" s="1" t="s">
        <v>3034</v>
      </c>
      <c r="C1194" s="1">
        <v>3609</v>
      </c>
      <c r="D1194" s="1" t="s">
        <v>3035</v>
      </c>
      <c r="F1194" s="1">
        <v>2023</v>
      </c>
      <c r="G1194" s="5">
        <v>1511</v>
      </c>
      <c r="H1194" s="5">
        <v>1307.06</v>
      </c>
      <c r="I1194" s="5">
        <v>57416.75</v>
      </c>
      <c r="K1194" s="5">
        <v>0.16700000000000001</v>
      </c>
      <c r="L1194" s="5">
        <v>1E-3</v>
      </c>
      <c r="M1194" s="5">
        <v>33096.319000000003</v>
      </c>
      <c r="N1194" s="6">
        <v>5.9200000000000003E-2</v>
      </c>
      <c r="O1194" s="5">
        <v>4.3120000000000003</v>
      </c>
      <c r="P1194" s="6">
        <v>2.76E-2</v>
      </c>
      <c r="Q1194" s="5">
        <v>556905.17500000005</v>
      </c>
      <c r="R1194" s="1" t="s">
        <v>44</v>
      </c>
      <c r="T1194" s="1" t="s">
        <v>93</v>
      </c>
      <c r="V1194" s="1" t="s">
        <v>223</v>
      </c>
      <c r="Y1194" s="1" t="s">
        <v>346</v>
      </c>
      <c r="Z1194" s="1" t="str">
        <f t="shared" si="54"/>
        <v>3609 CGT1</v>
      </c>
      <c r="AA1194" s="3">
        <f>IF(INDEX('CAMD Facility Data 2023'!$AA$2:$AE$10000,MATCH(Z1194,'CAMD Facility Data 2023'!$AE$2:$AE$10000,0),1)&gt;0,INDEX('CAMD Facility Data 2023'!$AA$2:$AE$10000,MATCH(Z1194,'CAMD Facility Data 2023'!$AE$2:$AE$10000,0),1),"")</f>
        <v>38122</v>
      </c>
      <c r="AB1194" s="5">
        <f>IF(INDEX('CAMD Facility Data 2023'!$AC$2:$AE$10000,MATCH(Z1194,'CAMD Facility Data 2023'!$AE$2:$AE$10000,0),1)&gt;0,INDEX('CAMD Facility Data 2023'!$AC$2:$AE$10000,MATCH(Z1194,'CAMD Facility Data 2023'!$AE$2:$AE$10000,0),1),"")</f>
        <v>530</v>
      </c>
      <c r="AC1194" s="1" t="str">
        <f>IF(INDEX('CAMD Facility Data 2023'!$AE$2:$AG$10000,MATCH(Z1194,'CAMD Facility Data 2023'!$AE$2:$AE$10000,0),3)&gt;0,INDEX('CAMD Facility Data 2023'!$AE$2:$AG$10000,MATCH(Z1194,'CAMD Facility Data 2023'!$AE$2:$AE$10000,0),3),"")</f>
        <v>Y</v>
      </c>
      <c r="AD1194" s="20">
        <f t="shared" si="55"/>
        <v>0.15020007227855983</v>
      </c>
      <c r="AE1194" s="25">
        <f t="shared" si="56"/>
        <v>0.1199502832342552</v>
      </c>
    </row>
    <row r="1195" spans="1:31" x14ac:dyDescent="0.2">
      <c r="A1195" s="1" t="s">
        <v>383</v>
      </c>
      <c r="B1195" s="1" t="s">
        <v>3034</v>
      </c>
      <c r="C1195" s="1">
        <v>3609</v>
      </c>
      <c r="D1195" s="1" t="s">
        <v>3040</v>
      </c>
      <c r="F1195" s="1">
        <v>2023</v>
      </c>
      <c r="G1195" s="5">
        <v>1556</v>
      </c>
      <c r="H1195" s="5">
        <v>1341.14</v>
      </c>
      <c r="I1195" s="5">
        <v>57560.58</v>
      </c>
      <c r="K1195" s="5">
        <v>0.17</v>
      </c>
      <c r="L1195" s="5">
        <v>1E-3</v>
      </c>
      <c r="M1195" s="5">
        <v>33605.875999999997</v>
      </c>
      <c r="N1195" s="6">
        <v>5.9200000000000003E-2</v>
      </c>
      <c r="O1195" s="5">
        <v>4.4409999999999998</v>
      </c>
      <c r="P1195" s="6">
        <v>3.2500000000000001E-2</v>
      </c>
      <c r="Q1195" s="5">
        <v>565495.38</v>
      </c>
      <c r="R1195" s="1" t="s">
        <v>44</v>
      </c>
      <c r="T1195" s="1" t="s">
        <v>93</v>
      </c>
      <c r="V1195" s="1" t="s">
        <v>223</v>
      </c>
      <c r="Y1195" s="1" t="s">
        <v>346</v>
      </c>
      <c r="Z1195" s="1" t="str">
        <f t="shared" si="54"/>
        <v>3609 CGT2</v>
      </c>
      <c r="AA1195" s="3">
        <f>IF(INDEX('CAMD Facility Data 2023'!$AA$2:$AE$10000,MATCH(Z1195,'CAMD Facility Data 2023'!$AE$2:$AE$10000,0),1)&gt;0,INDEX('CAMD Facility Data 2023'!$AA$2:$AE$10000,MATCH(Z1195,'CAMD Facility Data 2023'!$AE$2:$AE$10000,0),1),"")</f>
        <v>38122</v>
      </c>
      <c r="AB1195" s="5">
        <f>IF(INDEX('CAMD Facility Data 2023'!$AC$2:$AE$10000,MATCH(Z1195,'CAMD Facility Data 2023'!$AE$2:$AE$10000,0),1)&gt;0,INDEX('CAMD Facility Data 2023'!$AC$2:$AE$10000,MATCH(Z1195,'CAMD Facility Data 2023'!$AE$2:$AE$10000,0),1),"")</f>
        <v>498.5</v>
      </c>
      <c r="AC1195" s="1" t="str">
        <f>IF(INDEX('CAMD Facility Data 2023'!$AE$2:$AG$10000,MATCH(Z1195,'CAMD Facility Data 2023'!$AE$2:$AE$10000,0),3)&gt;0,INDEX('CAMD Facility Data 2023'!$AE$2:$AG$10000,MATCH(Z1195,'CAMD Facility Data 2023'!$AE$2:$AE$10000,0),3),"")</f>
        <v>Y</v>
      </c>
      <c r="AD1195" s="20">
        <f t="shared" si="55"/>
        <v>0.15430699273704329</v>
      </c>
      <c r="AE1195" s="25">
        <f t="shared" si="56"/>
        <v>0.12949702532254298</v>
      </c>
    </row>
    <row r="1196" spans="1:31" x14ac:dyDescent="0.2">
      <c r="A1196" s="1" t="s">
        <v>383</v>
      </c>
      <c r="B1196" s="1" t="s">
        <v>3034</v>
      </c>
      <c r="C1196" s="1">
        <v>3609</v>
      </c>
      <c r="D1196" s="1" t="s">
        <v>3042</v>
      </c>
      <c r="F1196" s="1">
        <v>2023</v>
      </c>
      <c r="G1196" s="5">
        <v>1481</v>
      </c>
      <c r="H1196" s="5">
        <v>1286.1500000000001</v>
      </c>
      <c r="I1196" s="5">
        <v>57690.41</v>
      </c>
      <c r="K1196" s="5">
        <v>0.16700000000000001</v>
      </c>
      <c r="L1196" s="5">
        <v>1E-3</v>
      </c>
      <c r="M1196" s="5">
        <v>33169.267999999996</v>
      </c>
      <c r="N1196" s="6">
        <v>5.9200000000000003E-2</v>
      </c>
      <c r="O1196" s="5">
        <v>4.34</v>
      </c>
      <c r="P1196" s="6">
        <v>2.75E-2</v>
      </c>
      <c r="Q1196" s="5">
        <v>558159.32799999998</v>
      </c>
      <c r="R1196" s="1" t="s">
        <v>44</v>
      </c>
      <c r="T1196" s="1" t="s">
        <v>93</v>
      </c>
      <c r="V1196" s="1" t="s">
        <v>223</v>
      </c>
      <c r="Y1196" s="1" t="s">
        <v>346</v>
      </c>
      <c r="Z1196" s="1" t="str">
        <f t="shared" si="54"/>
        <v>3609 CGT3</v>
      </c>
      <c r="AA1196" s="3">
        <f>IF(INDEX('CAMD Facility Data 2023'!$AA$2:$AE$10000,MATCH(Z1196,'CAMD Facility Data 2023'!$AE$2:$AE$10000,0),1)&gt;0,INDEX('CAMD Facility Data 2023'!$AA$2:$AE$10000,MATCH(Z1196,'CAMD Facility Data 2023'!$AE$2:$AE$10000,0),1),"")</f>
        <v>38122</v>
      </c>
      <c r="AB1196" s="5">
        <f>IF(INDEX('CAMD Facility Data 2023'!$AC$2:$AE$10000,MATCH(Z1196,'CAMD Facility Data 2023'!$AE$2:$AE$10000,0),1)&gt;0,INDEX('CAMD Facility Data 2023'!$AC$2:$AE$10000,MATCH(Z1196,'CAMD Facility Data 2023'!$AE$2:$AE$10000,0),1),"")</f>
        <v>498.5</v>
      </c>
      <c r="AC1196" s="1" t="str">
        <f>IF(INDEX('CAMD Facility Data 2023'!$AE$2:$AG$10000,MATCH(Z1196,'CAMD Facility Data 2023'!$AE$2:$AE$10000,0),3)&gt;0,INDEX('CAMD Facility Data 2023'!$AE$2:$AG$10000,MATCH(Z1196,'CAMD Facility Data 2023'!$AE$2:$AE$10000,0),3),"")</f>
        <v>Y</v>
      </c>
      <c r="AD1196" s="20">
        <f t="shared" si="55"/>
        <v>0.15045828240776932</v>
      </c>
      <c r="AE1196" s="25">
        <f t="shared" si="56"/>
        <v>0.12781708779305953</v>
      </c>
    </row>
    <row r="1197" spans="1:31" x14ac:dyDescent="0.2">
      <c r="A1197" s="1" t="s">
        <v>383</v>
      </c>
      <c r="B1197" s="1" t="s">
        <v>3034</v>
      </c>
      <c r="C1197" s="1">
        <v>3609</v>
      </c>
      <c r="D1197" s="1" t="s">
        <v>3044</v>
      </c>
      <c r="F1197" s="1">
        <v>2023</v>
      </c>
      <c r="G1197" s="5">
        <v>1616</v>
      </c>
      <c r="H1197" s="5">
        <v>1400.16</v>
      </c>
      <c r="I1197" s="5">
        <v>62124.63</v>
      </c>
      <c r="K1197" s="5">
        <v>0.18099999999999999</v>
      </c>
      <c r="L1197" s="5">
        <v>1E-3</v>
      </c>
      <c r="M1197" s="5">
        <v>35856.364999999998</v>
      </c>
      <c r="N1197" s="6">
        <v>5.9200000000000003E-2</v>
      </c>
      <c r="O1197" s="5">
        <v>4.9349999999999996</v>
      </c>
      <c r="P1197" s="6">
        <v>3.09E-2</v>
      </c>
      <c r="Q1197" s="5">
        <v>603346.576</v>
      </c>
      <c r="R1197" s="1" t="s">
        <v>44</v>
      </c>
      <c r="T1197" s="1" t="s">
        <v>93</v>
      </c>
      <c r="V1197" s="1" t="s">
        <v>223</v>
      </c>
      <c r="Y1197" s="1" t="s">
        <v>346</v>
      </c>
      <c r="Z1197" s="1" t="str">
        <f t="shared" si="54"/>
        <v>3609 CGT4</v>
      </c>
      <c r="AA1197" s="3">
        <f>IF(INDEX('CAMD Facility Data 2023'!$AA$2:$AE$10000,MATCH(Z1197,'CAMD Facility Data 2023'!$AE$2:$AE$10000,0),1)&gt;0,INDEX('CAMD Facility Data 2023'!$AA$2:$AE$10000,MATCH(Z1197,'CAMD Facility Data 2023'!$AE$2:$AE$10000,0),1),"")</f>
        <v>38122</v>
      </c>
      <c r="AB1197" s="5">
        <f>IF(INDEX('CAMD Facility Data 2023'!$AC$2:$AE$10000,MATCH(Z1197,'CAMD Facility Data 2023'!$AE$2:$AE$10000,0),1)&gt;0,INDEX('CAMD Facility Data 2023'!$AC$2:$AE$10000,MATCH(Z1197,'CAMD Facility Data 2023'!$AE$2:$AE$10000,0),1),"")</f>
        <v>498.5</v>
      </c>
      <c r="AC1197" s="1" t="str">
        <f>IF(INDEX('CAMD Facility Data 2023'!$AE$2:$AG$10000,MATCH(Z1197,'CAMD Facility Data 2023'!$AE$2:$AE$10000,0),3)&gt;0,INDEX('CAMD Facility Data 2023'!$AE$2:$AG$10000,MATCH(Z1197,'CAMD Facility Data 2023'!$AE$2:$AE$10000,0),3),"")</f>
        <v>Y</v>
      </c>
      <c r="AD1197" s="20">
        <f t="shared" si="55"/>
        <v>0.15887418564907349</v>
      </c>
      <c r="AE1197" s="25">
        <f t="shared" si="56"/>
        <v>0.13816485438049309</v>
      </c>
    </row>
    <row r="1198" spans="1:31" x14ac:dyDescent="0.2">
      <c r="A1198" s="1" t="s">
        <v>383</v>
      </c>
      <c r="B1198" s="1" t="s">
        <v>3046</v>
      </c>
      <c r="C1198" s="1">
        <v>3611</v>
      </c>
      <c r="D1198" s="1">
        <v>1</v>
      </c>
      <c r="F1198" s="1">
        <v>2023</v>
      </c>
      <c r="G1198" s="5">
        <v>5128</v>
      </c>
      <c r="H1198" s="5">
        <v>5095.26</v>
      </c>
      <c r="I1198" s="5">
        <v>1153499.33</v>
      </c>
      <c r="K1198" s="5">
        <v>3.556</v>
      </c>
      <c r="L1198" s="5">
        <v>1E-3</v>
      </c>
      <c r="M1198" s="5">
        <v>704448.28099999996</v>
      </c>
      <c r="N1198" s="6">
        <v>5.91E-2</v>
      </c>
      <c r="O1198" s="5">
        <v>1005.433</v>
      </c>
      <c r="P1198" s="6">
        <v>0.15090000000000001</v>
      </c>
      <c r="Q1198" s="5">
        <v>11853703.102</v>
      </c>
      <c r="R1198" s="1" t="s">
        <v>44</v>
      </c>
      <c r="S1198" s="1" t="s">
        <v>94</v>
      </c>
      <c r="T1198" s="1" t="s">
        <v>43</v>
      </c>
      <c r="Y1198" s="1" t="s">
        <v>2899</v>
      </c>
      <c r="Z1198" s="1" t="str">
        <f t="shared" si="54"/>
        <v>3611 1</v>
      </c>
      <c r="AA1198" s="3">
        <f>IF(INDEX('CAMD Facility Data 2023'!$AA$2:$AE$10000,MATCH(Z1198,'CAMD Facility Data 2023'!$AE$2:$AE$10000,0),1)&gt;0,INDEX('CAMD Facility Data 2023'!$AA$2:$AE$10000,MATCH(Z1198,'CAMD Facility Data 2023'!$AE$2:$AE$10000,0),1),"")</f>
        <v>26456</v>
      </c>
      <c r="AB1198" s="5">
        <f>IF(INDEX('CAMD Facility Data 2023'!$AC$2:$AE$10000,MATCH(Z1198,'CAMD Facility Data 2023'!$AE$2:$AE$10000,0),1)&gt;0,INDEX('CAMD Facility Data 2023'!$AC$2:$AE$10000,MATCH(Z1198,'CAMD Facility Data 2023'!$AE$2:$AE$10000,0),1),"")</f>
        <v>5830.1</v>
      </c>
      <c r="AC1198" s="1" t="str">
        <f>IF(INDEX('CAMD Facility Data 2023'!$AE$2:$AG$10000,MATCH(Z1198,'CAMD Facility Data 2023'!$AE$2:$AE$10000,0),3)&gt;0,INDEX('CAMD Facility Data 2023'!$AE$2:$AG$10000,MATCH(Z1198,'CAMD Facility Data 2023'!$AE$2:$AE$10000,0),3),"")</f>
        <v/>
      </c>
      <c r="AD1198" s="20">
        <f t="shared" si="55"/>
        <v>1.7432745279531283</v>
      </c>
      <c r="AE1198" s="25">
        <f t="shared" si="56"/>
        <v>0.23209935585430955</v>
      </c>
    </row>
    <row r="1199" spans="1:31" x14ac:dyDescent="0.2">
      <c r="A1199" s="1" t="s">
        <v>383</v>
      </c>
      <c r="B1199" s="1" t="s">
        <v>3046</v>
      </c>
      <c r="C1199" s="1">
        <v>3611</v>
      </c>
      <c r="D1199" s="1">
        <v>2</v>
      </c>
      <c r="F1199" s="1">
        <v>2023</v>
      </c>
      <c r="G1199" s="5">
        <v>4297</v>
      </c>
      <c r="H1199" s="5">
        <v>4243.68</v>
      </c>
      <c r="I1199" s="5">
        <v>821446.22</v>
      </c>
      <c r="K1199" s="5">
        <v>2.7120000000000002</v>
      </c>
      <c r="L1199" s="5">
        <v>1E-3</v>
      </c>
      <c r="M1199" s="5">
        <v>537245.42200000002</v>
      </c>
      <c r="N1199" s="6">
        <v>5.8900000000000001E-2</v>
      </c>
      <c r="O1199" s="5">
        <v>572.28</v>
      </c>
      <c r="P1199" s="6">
        <v>0.11269999999999999</v>
      </c>
      <c r="Q1199" s="5">
        <v>9040192.5490000006</v>
      </c>
      <c r="R1199" s="1" t="s">
        <v>44</v>
      </c>
      <c r="S1199" s="1" t="s">
        <v>94</v>
      </c>
      <c r="T1199" s="1" t="s">
        <v>43</v>
      </c>
      <c r="Y1199" s="1" t="s">
        <v>2899</v>
      </c>
      <c r="Z1199" s="1" t="str">
        <f t="shared" si="54"/>
        <v>3611 2</v>
      </c>
      <c r="AA1199" s="3">
        <f>IF(INDEX('CAMD Facility Data 2023'!$AA$2:$AE$10000,MATCH(Z1199,'CAMD Facility Data 2023'!$AE$2:$AE$10000,0),1)&gt;0,INDEX('CAMD Facility Data 2023'!$AA$2:$AE$10000,MATCH(Z1199,'CAMD Facility Data 2023'!$AE$2:$AE$10000,0),1),"")</f>
        <v>27108</v>
      </c>
      <c r="AB1199" s="5">
        <f>IF(INDEX('CAMD Facility Data 2023'!$AC$2:$AE$10000,MATCH(Z1199,'CAMD Facility Data 2023'!$AE$2:$AE$10000,0),1)&gt;0,INDEX('CAMD Facility Data 2023'!$AC$2:$AE$10000,MATCH(Z1199,'CAMD Facility Data 2023'!$AE$2:$AE$10000,0),1),"")</f>
        <v>4904.6000000000004</v>
      </c>
      <c r="AC1199" s="1" t="str">
        <f>IF(INDEX('CAMD Facility Data 2023'!$AE$2:$AG$10000,MATCH(Z1199,'CAMD Facility Data 2023'!$AE$2:$AE$10000,0),3)&gt;0,INDEX('CAMD Facility Data 2023'!$AE$2:$AG$10000,MATCH(Z1199,'CAMD Facility Data 2023'!$AE$2:$AE$10000,0),3),"")</f>
        <v/>
      </c>
      <c r="AD1199" s="20">
        <f t="shared" si="55"/>
        <v>1.3933474549313771</v>
      </c>
      <c r="AE1199" s="25">
        <f t="shared" si="56"/>
        <v>0.2104117462788172</v>
      </c>
    </row>
    <row r="1200" spans="1:31" x14ac:dyDescent="0.2">
      <c r="A1200" s="1" t="s">
        <v>383</v>
      </c>
      <c r="B1200" s="1" t="s">
        <v>3049</v>
      </c>
      <c r="C1200" s="1">
        <v>3612</v>
      </c>
      <c r="D1200" s="1">
        <v>1</v>
      </c>
      <c r="F1200" s="1">
        <v>2023</v>
      </c>
      <c r="G1200" s="5">
        <v>3265</v>
      </c>
      <c r="H1200" s="5">
        <v>3169.33</v>
      </c>
      <c r="I1200" s="5">
        <v>408368.57</v>
      </c>
      <c r="K1200" s="5">
        <v>1.145</v>
      </c>
      <c r="L1200" s="5">
        <v>1E-3</v>
      </c>
      <c r="M1200" s="5">
        <v>226846.49</v>
      </c>
      <c r="N1200" s="6">
        <v>5.91E-2</v>
      </c>
      <c r="O1200" s="5">
        <v>414.49599999999998</v>
      </c>
      <c r="P1200" s="6">
        <v>0.17249999999999999</v>
      </c>
      <c r="Q1200" s="5">
        <v>3817101.97</v>
      </c>
      <c r="R1200" s="1" t="s">
        <v>44</v>
      </c>
      <c r="S1200" s="1" t="s">
        <v>94</v>
      </c>
      <c r="T1200" s="1" t="s">
        <v>43</v>
      </c>
      <c r="Y1200" s="1" t="s">
        <v>346</v>
      </c>
      <c r="Z1200" s="1" t="str">
        <f t="shared" si="54"/>
        <v>3612 1</v>
      </c>
      <c r="AA1200" s="3">
        <f>IF(INDEX('CAMD Facility Data 2023'!$AA$2:$AE$10000,MATCH(Z1200,'CAMD Facility Data 2023'!$AE$2:$AE$10000,0),1)&gt;0,INDEX('CAMD Facility Data 2023'!$AA$2:$AE$10000,MATCH(Z1200,'CAMD Facility Data 2023'!$AE$2:$AE$10000,0),1),"")</f>
        <v>24260</v>
      </c>
      <c r="AB1200" s="5">
        <f>IF(INDEX('CAMD Facility Data 2023'!$AC$2:$AE$10000,MATCH(Z1200,'CAMD Facility Data 2023'!$AE$2:$AE$10000,0),1)&gt;0,INDEX('CAMD Facility Data 2023'!$AC$2:$AE$10000,MATCH(Z1200,'CAMD Facility Data 2023'!$AE$2:$AE$10000,0),1),"")</f>
        <v>2292.1999999999998</v>
      </c>
      <c r="AC1200" s="1" t="str">
        <f>IF(INDEX('CAMD Facility Data 2023'!$AE$2:$AG$10000,MATCH(Z1200,'CAMD Facility Data 2023'!$AE$2:$AE$10000,0),3)&gt;0,INDEX('CAMD Facility Data 2023'!$AE$2:$AG$10000,MATCH(Z1200,'CAMD Facility Data 2023'!$AE$2:$AE$10000,0),3),"")</f>
        <v/>
      </c>
      <c r="AD1200" s="20">
        <f t="shared" si="55"/>
        <v>2.0300093124208849</v>
      </c>
      <c r="AE1200" s="25">
        <f t="shared" si="56"/>
        <v>0.1900978248051064</v>
      </c>
    </row>
    <row r="1201" spans="1:31" x14ac:dyDescent="0.2">
      <c r="A1201" s="1" t="s">
        <v>383</v>
      </c>
      <c r="B1201" s="1" t="s">
        <v>3049</v>
      </c>
      <c r="C1201" s="1">
        <v>3612</v>
      </c>
      <c r="D1201" s="1">
        <v>2</v>
      </c>
      <c r="F1201" s="1">
        <v>2023</v>
      </c>
      <c r="G1201" s="5">
        <v>2159</v>
      </c>
      <c r="H1201" s="5">
        <v>2039.96</v>
      </c>
      <c r="I1201" s="5">
        <v>181787.98</v>
      </c>
      <c r="K1201" s="5">
        <v>0.60099999999999998</v>
      </c>
      <c r="L1201" s="5">
        <v>1E-3</v>
      </c>
      <c r="M1201" s="5">
        <v>119085.39200000001</v>
      </c>
      <c r="N1201" s="6">
        <v>5.91E-2</v>
      </c>
      <c r="O1201" s="5">
        <v>144.101</v>
      </c>
      <c r="P1201" s="6">
        <v>0.1186</v>
      </c>
      <c r="Q1201" s="5">
        <v>2003829.077</v>
      </c>
      <c r="R1201" s="1" t="s">
        <v>44</v>
      </c>
      <c r="S1201" s="1" t="s">
        <v>94</v>
      </c>
      <c r="T1201" s="1" t="s">
        <v>43</v>
      </c>
      <c r="Y1201" s="1" t="s">
        <v>346</v>
      </c>
      <c r="Z1201" s="1" t="str">
        <f t="shared" si="54"/>
        <v>3612 2</v>
      </c>
      <c r="AA1201" s="3">
        <f>IF(INDEX('CAMD Facility Data 2023'!$AA$2:$AE$10000,MATCH(Z1201,'CAMD Facility Data 2023'!$AE$2:$AE$10000,0),1)&gt;0,INDEX('CAMD Facility Data 2023'!$AA$2:$AE$10000,MATCH(Z1201,'CAMD Facility Data 2023'!$AE$2:$AE$10000,0),1),"")</f>
        <v>24961</v>
      </c>
      <c r="AB1201" s="5">
        <f>IF(INDEX('CAMD Facility Data 2023'!$AC$2:$AE$10000,MATCH(Z1201,'CAMD Facility Data 2023'!$AE$2:$AE$10000,0),1)&gt;0,INDEX('CAMD Facility Data 2023'!$AC$2:$AE$10000,MATCH(Z1201,'CAMD Facility Data 2023'!$AE$2:$AE$10000,0),1),"")</f>
        <v>2458.5</v>
      </c>
      <c r="AC1201" s="1" t="str">
        <f>IF(INDEX('CAMD Facility Data 2023'!$AE$2:$AG$10000,MATCH(Z1201,'CAMD Facility Data 2023'!$AE$2:$AE$10000,0),3)&gt;0,INDEX('CAMD Facility Data 2023'!$AE$2:$AG$10000,MATCH(Z1201,'CAMD Facility Data 2023'!$AE$2:$AE$10000,0),3),"")</f>
        <v/>
      </c>
      <c r="AD1201" s="20">
        <f t="shared" si="55"/>
        <v>1.5853743465327024</v>
      </c>
      <c r="AE1201" s="25">
        <f t="shared" si="56"/>
        <v>9.3043567837982663E-2</v>
      </c>
    </row>
    <row r="1202" spans="1:31" x14ac:dyDescent="0.2">
      <c r="A1202" s="1" t="s">
        <v>383</v>
      </c>
      <c r="B1202" s="1" t="s">
        <v>3049</v>
      </c>
      <c r="C1202" s="1">
        <v>3612</v>
      </c>
      <c r="D1202" s="1">
        <v>3</v>
      </c>
      <c r="F1202" s="1">
        <v>2023</v>
      </c>
      <c r="G1202" s="5">
        <v>4856</v>
      </c>
      <c r="H1202" s="5">
        <v>4821.21</v>
      </c>
      <c r="I1202" s="5">
        <v>977484.91</v>
      </c>
      <c r="K1202" s="5">
        <v>3.161</v>
      </c>
      <c r="L1202" s="5">
        <v>1E-3</v>
      </c>
      <c r="M1202" s="5">
        <v>626075.31700000004</v>
      </c>
      <c r="N1202" s="6">
        <v>5.8999999999999997E-2</v>
      </c>
      <c r="O1202" s="5">
        <v>876.5</v>
      </c>
      <c r="P1202" s="6">
        <v>0.14399999999999999</v>
      </c>
      <c r="Q1202" s="5">
        <v>10534889.299000001</v>
      </c>
      <c r="R1202" s="1" t="s">
        <v>44</v>
      </c>
      <c r="S1202" s="1" t="s">
        <v>94</v>
      </c>
      <c r="T1202" s="1" t="s">
        <v>43</v>
      </c>
      <c r="Y1202" s="1" t="s">
        <v>346</v>
      </c>
      <c r="Z1202" s="1" t="str">
        <f t="shared" si="54"/>
        <v>3612 3</v>
      </c>
      <c r="AA1202" s="3">
        <f>IF(INDEX('CAMD Facility Data 2023'!$AA$2:$AE$10000,MATCH(Z1202,'CAMD Facility Data 2023'!$AE$2:$AE$10000,0),1)&gt;0,INDEX('CAMD Facility Data 2023'!$AA$2:$AE$10000,MATCH(Z1202,'CAMD Facility Data 2023'!$AE$2:$AE$10000,0),1),"")</f>
        <v>25781</v>
      </c>
      <c r="AB1202" s="5">
        <f>IF(INDEX('CAMD Facility Data 2023'!$AC$2:$AE$10000,MATCH(Z1202,'CAMD Facility Data 2023'!$AE$2:$AE$10000,0),1)&gt;0,INDEX('CAMD Facility Data 2023'!$AC$2:$AE$10000,MATCH(Z1202,'CAMD Facility Data 2023'!$AE$2:$AE$10000,0),1),"")</f>
        <v>4563.1000000000004</v>
      </c>
      <c r="AC1202" s="1" t="str">
        <f>IF(INDEX('CAMD Facility Data 2023'!$AE$2:$AG$10000,MATCH(Z1202,'CAMD Facility Data 2023'!$AE$2:$AE$10000,0),3)&gt;0,INDEX('CAMD Facility Data 2023'!$AE$2:$AG$10000,MATCH(Z1202,'CAMD Facility Data 2023'!$AE$2:$AE$10000,0),3),"")</f>
        <v/>
      </c>
      <c r="AD1202" s="20">
        <f t="shared" si="55"/>
        <v>1.7933780686189824</v>
      </c>
      <c r="AE1202" s="25">
        <f t="shared" si="56"/>
        <v>0.26355173756345446</v>
      </c>
    </row>
    <row r="1203" spans="1:31" x14ac:dyDescent="0.2">
      <c r="A1203" s="1" t="s">
        <v>383</v>
      </c>
      <c r="B1203" s="1" t="s">
        <v>3049</v>
      </c>
      <c r="C1203" s="1">
        <v>3612</v>
      </c>
      <c r="D1203" s="1" t="s">
        <v>3053</v>
      </c>
      <c r="F1203" s="1">
        <v>2023</v>
      </c>
      <c r="G1203" s="5">
        <v>1583</v>
      </c>
      <c r="H1203" s="5">
        <v>1349.35</v>
      </c>
      <c r="I1203" s="5">
        <v>59428.92</v>
      </c>
      <c r="K1203" s="5">
        <v>0.188</v>
      </c>
      <c r="L1203" s="5">
        <v>8.9999999999999998E-4</v>
      </c>
      <c r="M1203" s="5">
        <v>34860.447</v>
      </c>
      <c r="N1203" s="6">
        <v>5.9499999999999997E-2</v>
      </c>
      <c r="O1203" s="5">
        <v>4.1029999999999998</v>
      </c>
      <c r="P1203" s="6">
        <v>2.2599999999999999E-2</v>
      </c>
      <c r="Q1203" s="5">
        <v>585690.84199999995</v>
      </c>
      <c r="R1203" s="1" t="s">
        <v>44</v>
      </c>
      <c r="S1203" s="1" t="s">
        <v>94</v>
      </c>
      <c r="T1203" s="1" t="s">
        <v>93</v>
      </c>
      <c r="V1203" s="1" t="s">
        <v>223</v>
      </c>
      <c r="Y1203" s="1" t="s">
        <v>346</v>
      </c>
      <c r="Z1203" s="1" t="str">
        <f t="shared" si="54"/>
        <v>3612 CGT5</v>
      </c>
      <c r="AA1203" s="3">
        <f>IF(INDEX('CAMD Facility Data 2023'!$AA$2:$AE$10000,MATCH(Z1203,'CAMD Facility Data 2023'!$AE$2:$AE$10000,0),1)&gt;0,INDEX('CAMD Facility Data 2023'!$AA$2:$AE$10000,MATCH(Z1203,'CAMD Facility Data 2023'!$AE$2:$AE$10000,0),1),"")</f>
        <v>40290</v>
      </c>
      <c r="AB1203" s="5">
        <f>IF(INDEX('CAMD Facility Data 2023'!$AC$2:$AE$10000,MATCH(Z1203,'CAMD Facility Data 2023'!$AE$2:$AE$10000,0),1)&gt;0,INDEX('CAMD Facility Data 2023'!$AC$2:$AE$10000,MATCH(Z1203,'CAMD Facility Data 2023'!$AE$2:$AE$10000,0),1),"")</f>
        <v>486</v>
      </c>
      <c r="AC1203" s="1" t="str">
        <f>IF(INDEX('CAMD Facility Data 2023'!$AE$2:$AG$10000,MATCH(Z1203,'CAMD Facility Data 2023'!$AE$2:$AE$10000,0),3)&gt;0,INDEX('CAMD Facility Data 2023'!$AE$2:$AG$10000,MATCH(Z1203,'CAMD Facility Data 2023'!$AE$2:$AE$10000,0),3),"")</f>
        <v>Y</v>
      </c>
      <c r="AD1203" s="20">
        <f t="shared" si="55"/>
        <v>0.13808092087152182</v>
      </c>
      <c r="AE1203" s="25">
        <f t="shared" si="56"/>
        <v>0.13757136864159947</v>
      </c>
    </row>
    <row r="1204" spans="1:31" x14ac:dyDescent="0.2">
      <c r="A1204" s="1" t="s">
        <v>383</v>
      </c>
      <c r="B1204" s="1" t="s">
        <v>3049</v>
      </c>
      <c r="C1204" s="1">
        <v>3612</v>
      </c>
      <c r="D1204" s="1" t="s">
        <v>3055</v>
      </c>
      <c r="F1204" s="1">
        <v>2023</v>
      </c>
      <c r="G1204" s="5">
        <v>1590</v>
      </c>
      <c r="H1204" s="5">
        <v>1360.73</v>
      </c>
      <c r="I1204" s="5">
        <v>59811.09</v>
      </c>
      <c r="K1204" s="5">
        <v>0.189</v>
      </c>
      <c r="L1204" s="5">
        <v>8.9999999999999998E-4</v>
      </c>
      <c r="M1204" s="5">
        <v>35182.300999999999</v>
      </c>
      <c r="N1204" s="6">
        <v>5.9400000000000001E-2</v>
      </c>
      <c r="O1204" s="5">
        <v>4.1219999999999999</v>
      </c>
      <c r="P1204" s="6">
        <v>2.35E-2</v>
      </c>
      <c r="Q1204" s="5">
        <v>591001.94299999997</v>
      </c>
      <c r="R1204" s="1" t="s">
        <v>44</v>
      </c>
      <c r="S1204" s="1" t="s">
        <v>94</v>
      </c>
      <c r="T1204" s="1" t="s">
        <v>93</v>
      </c>
      <c r="V1204" s="1" t="s">
        <v>223</v>
      </c>
      <c r="Y1204" s="1" t="s">
        <v>346</v>
      </c>
      <c r="Z1204" s="1" t="str">
        <f t="shared" si="54"/>
        <v>3612 CGT6</v>
      </c>
      <c r="AA1204" s="3">
        <f>IF(INDEX('CAMD Facility Data 2023'!$AA$2:$AE$10000,MATCH(Z1204,'CAMD Facility Data 2023'!$AE$2:$AE$10000,0),1)&gt;0,INDEX('CAMD Facility Data 2023'!$AA$2:$AE$10000,MATCH(Z1204,'CAMD Facility Data 2023'!$AE$2:$AE$10000,0),1),"")</f>
        <v>40296</v>
      </c>
      <c r="AB1204" s="5">
        <f>IF(INDEX('CAMD Facility Data 2023'!$AC$2:$AE$10000,MATCH(Z1204,'CAMD Facility Data 2023'!$AE$2:$AE$10000,0),1)&gt;0,INDEX('CAMD Facility Data 2023'!$AC$2:$AE$10000,MATCH(Z1204,'CAMD Facility Data 2023'!$AE$2:$AE$10000,0),1),"")</f>
        <v>486</v>
      </c>
      <c r="AC1204" s="1" t="str">
        <f>IF(INDEX('CAMD Facility Data 2023'!$AE$2:$AG$10000,MATCH(Z1204,'CAMD Facility Data 2023'!$AE$2:$AE$10000,0),3)&gt;0,INDEX('CAMD Facility Data 2023'!$AE$2:$AG$10000,MATCH(Z1204,'CAMD Facility Data 2023'!$AE$2:$AE$10000,0),3),"")</f>
        <v>Y</v>
      </c>
      <c r="AD1204" s="20">
        <f t="shared" si="55"/>
        <v>0.13783397025534896</v>
      </c>
      <c r="AE1204" s="25">
        <f t="shared" si="56"/>
        <v>0.13881887907059773</v>
      </c>
    </row>
    <row r="1205" spans="1:31" x14ac:dyDescent="0.2">
      <c r="A1205" s="1" t="s">
        <v>383</v>
      </c>
      <c r="B1205" s="1" t="s">
        <v>3049</v>
      </c>
      <c r="C1205" s="1">
        <v>3612</v>
      </c>
      <c r="D1205" s="1" t="s">
        <v>3057</v>
      </c>
      <c r="F1205" s="1">
        <v>2023</v>
      </c>
      <c r="G1205" s="5">
        <v>1475</v>
      </c>
      <c r="H1205" s="5">
        <v>1278.03</v>
      </c>
      <c r="I1205" s="5">
        <v>56232.95</v>
      </c>
      <c r="K1205" s="5">
        <v>0.17799999999999999</v>
      </c>
      <c r="L1205" s="5">
        <v>8.9999999999999998E-4</v>
      </c>
      <c r="M1205" s="5">
        <v>32514.708999999999</v>
      </c>
      <c r="N1205" s="6">
        <v>5.9499999999999997E-2</v>
      </c>
      <c r="O1205" s="5">
        <v>4.1470000000000002</v>
      </c>
      <c r="P1205" s="6">
        <v>2.3800000000000002E-2</v>
      </c>
      <c r="Q1205" s="5">
        <v>545718.402</v>
      </c>
      <c r="R1205" s="1" t="s">
        <v>44</v>
      </c>
      <c r="S1205" s="1" t="s">
        <v>94</v>
      </c>
      <c r="T1205" s="1" t="s">
        <v>93</v>
      </c>
      <c r="V1205" s="1" t="s">
        <v>223</v>
      </c>
      <c r="Y1205" s="1" t="s">
        <v>346</v>
      </c>
      <c r="Z1205" s="1" t="str">
        <f t="shared" si="54"/>
        <v>3612 CGT7</v>
      </c>
      <c r="AA1205" s="3">
        <f>IF(INDEX('CAMD Facility Data 2023'!$AA$2:$AE$10000,MATCH(Z1205,'CAMD Facility Data 2023'!$AE$2:$AE$10000,0),1)&gt;0,INDEX('CAMD Facility Data 2023'!$AA$2:$AE$10000,MATCH(Z1205,'CAMD Facility Data 2023'!$AE$2:$AE$10000,0),1),"")</f>
        <v>40305</v>
      </c>
      <c r="AB1205" s="5">
        <f>IF(INDEX('CAMD Facility Data 2023'!$AC$2:$AE$10000,MATCH(Z1205,'CAMD Facility Data 2023'!$AE$2:$AE$10000,0),1)&gt;0,INDEX('CAMD Facility Data 2023'!$AC$2:$AE$10000,MATCH(Z1205,'CAMD Facility Data 2023'!$AE$2:$AE$10000,0),1),"")</f>
        <v>486</v>
      </c>
      <c r="AC1205" s="1" t="str">
        <f>IF(INDEX('CAMD Facility Data 2023'!$AE$2:$AG$10000,MATCH(Z1205,'CAMD Facility Data 2023'!$AE$2:$AE$10000,0),3)&gt;0,INDEX('CAMD Facility Data 2023'!$AE$2:$AG$10000,MATCH(Z1205,'CAMD Facility Data 2023'!$AE$2:$AE$10000,0),3),"")</f>
        <v>Y</v>
      </c>
      <c r="AD1205" s="20">
        <f t="shared" si="55"/>
        <v>0.14749359583660471</v>
      </c>
      <c r="AE1205" s="25">
        <f t="shared" si="56"/>
        <v>0.12818234821579572</v>
      </c>
    </row>
    <row r="1206" spans="1:31" x14ac:dyDescent="0.2">
      <c r="A1206" s="1" t="s">
        <v>383</v>
      </c>
      <c r="B1206" s="1" t="s">
        <v>3049</v>
      </c>
      <c r="C1206" s="1">
        <v>3612</v>
      </c>
      <c r="D1206" s="1" t="s">
        <v>3059</v>
      </c>
      <c r="F1206" s="1">
        <v>2023</v>
      </c>
      <c r="G1206" s="5">
        <v>1508</v>
      </c>
      <c r="H1206" s="5">
        <v>1303.22</v>
      </c>
      <c r="I1206" s="5">
        <v>56520.55</v>
      </c>
      <c r="K1206" s="5">
        <v>0.18099999999999999</v>
      </c>
      <c r="L1206" s="5">
        <v>8.9999999999999998E-4</v>
      </c>
      <c r="M1206" s="5">
        <v>32977.510999999999</v>
      </c>
      <c r="N1206" s="6">
        <v>5.9499999999999997E-2</v>
      </c>
      <c r="O1206" s="5">
        <v>3.74</v>
      </c>
      <c r="P1206" s="6">
        <v>1.9699999999999999E-2</v>
      </c>
      <c r="Q1206" s="5">
        <v>553875.25</v>
      </c>
      <c r="R1206" s="1" t="s">
        <v>44</v>
      </c>
      <c r="S1206" s="1" t="s">
        <v>94</v>
      </c>
      <c r="T1206" s="1" t="s">
        <v>93</v>
      </c>
      <c r="V1206" s="1" t="s">
        <v>223</v>
      </c>
      <c r="Y1206" s="1" t="s">
        <v>346</v>
      </c>
      <c r="Z1206" s="1" t="str">
        <f t="shared" si="54"/>
        <v>3612 CGT8</v>
      </c>
      <c r="AA1206" s="3">
        <f>IF(INDEX('CAMD Facility Data 2023'!$AA$2:$AE$10000,MATCH(Z1206,'CAMD Facility Data 2023'!$AE$2:$AE$10000,0),1)&gt;0,INDEX('CAMD Facility Data 2023'!$AA$2:$AE$10000,MATCH(Z1206,'CAMD Facility Data 2023'!$AE$2:$AE$10000,0),1),"")</f>
        <v>40310</v>
      </c>
      <c r="AB1206" s="5">
        <f>IF(INDEX('CAMD Facility Data 2023'!$AC$2:$AE$10000,MATCH(Z1206,'CAMD Facility Data 2023'!$AE$2:$AE$10000,0),1)&gt;0,INDEX('CAMD Facility Data 2023'!$AC$2:$AE$10000,MATCH(Z1206,'CAMD Facility Data 2023'!$AE$2:$AE$10000,0),1),"")</f>
        <v>486</v>
      </c>
      <c r="AC1206" s="1" t="str">
        <f>IF(INDEX('CAMD Facility Data 2023'!$AE$2:$AG$10000,MATCH(Z1206,'CAMD Facility Data 2023'!$AE$2:$AE$10000,0),3)&gt;0,INDEX('CAMD Facility Data 2023'!$AE$2:$AG$10000,MATCH(Z1206,'CAMD Facility Data 2023'!$AE$2:$AE$10000,0),3),"")</f>
        <v>Y</v>
      </c>
      <c r="AD1206" s="20">
        <f t="shared" si="55"/>
        <v>0.13234124579467113</v>
      </c>
      <c r="AE1206" s="25">
        <f t="shared" si="56"/>
        <v>0.13009828861078226</v>
      </c>
    </row>
    <row r="1207" spans="1:31" x14ac:dyDescent="0.2">
      <c r="A1207" s="1" t="s">
        <v>383</v>
      </c>
      <c r="B1207" s="1" t="s">
        <v>3049</v>
      </c>
      <c r="C1207" s="1">
        <v>3612</v>
      </c>
      <c r="D1207" s="1" t="s">
        <v>993</v>
      </c>
      <c r="E1207" s="1" t="s">
        <v>3061</v>
      </c>
      <c r="F1207" s="1">
        <v>2023</v>
      </c>
      <c r="G1207" s="5">
        <v>5754</v>
      </c>
      <c r="H1207" s="5">
        <v>5731.87</v>
      </c>
      <c r="I1207" s="5">
        <v>1322618.5</v>
      </c>
      <c r="K1207" s="5">
        <v>2.6850000000000001</v>
      </c>
      <c r="L1207" s="5">
        <v>1E-3</v>
      </c>
      <c r="M1207" s="5">
        <v>531792.01500000001</v>
      </c>
      <c r="N1207" s="6">
        <v>5.8999999999999997E-2</v>
      </c>
      <c r="O1207" s="5">
        <v>97.566000000000003</v>
      </c>
      <c r="P1207" s="6">
        <v>2.23E-2</v>
      </c>
      <c r="Q1207" s="5">
        <v>8948374.2510000002</v>
      </c>
      <c r="R1207" s="1" t="s">
        <v>44</v>
      </c>
      <c r="T1207" s="1" t="s">
        <v>71</v>
      </c>
      <c r="V1207" s="1" t="s">
        <v>64</v>
      </c>
      <c r="Y1207" s="1" t="s">
        <v>346</v>
      </c>
      <c r="Z1207" s="1" t="str">
        <f t="shared" si="54"/>
        <v>3612 CT01</v>
      </c>
      <c r="AA1207" s="3">
        <f>IF(INDEX('CAMD Facility Data 2023'!$AA$2:$AE$10000,MATCH(Z1207,'CAMD Facility Data 2023'!$AE$2:$AE$10000,0),1)&gt;0,INDEX('CAMD Facility Data 2023'!$AA$2:$AE$10000,MATCH(Z1207,'CAMD Facility Data 2023'!$AE$2:$AE$10000,0),1),"")</f>
        <v>36596</v>
      </c>
      <c r="AB1207" s="5">
        <f>IF(INDEX('CAMD Facility Data 2023'!$AC$2:$AE$10000,MATCH(Z1207,'CAMD Facility Data 2023'!$AE$2:$AE$10000,0),1)&gt;0,INDEX('CAMD Facility Data 2023'!$AC$2:$AE$10000,MATCH(Z1207,'CAMD Facility Data 2023'!$AE$2:$AE$10000,0),1),"")</f>
        <v>1975</v>
      </c>
      <c r="AC1207" s="1" t="str">
        <f>IF(INDEX('CAMD Facility Data 2023'!$AE$2:$AG$10000,MATCH(Z1207,'CAMD Facility Data 2023'!$AE$2:$AE$10000,0),3)&gt;0,INDEX('CAMD Facility Data 2023'!$AE$2:$AG$10000,MATCH(Z1207,'CAMD Facility Data 2023'!$AE$2:$AE$10000,0),3),"")</f>
        <v>Y</v>
      </c>
      <c r="AD1207" s="20">
        <f t="shared" si="55"/>
        <v>0.1475346065399811</v>
      </c>
      <c r="AE1207" s="25">
        <f t="shared" si="56"/>
        <v>0.51721716958557307</v>
      </c>
    </row>
    <row r="1208" spans="1:31" x14ac:dyDescent="0.2">
      <c r="A1208" s="1" t="s">
        <v>383</v>
      </c>
      <c r="B1208" s="1" t="s">
        <v>3049</v>
      </c>
      <c r="C1208" s="1">
        <v>3612</v>
      </c>
      <c r="D1208" s="1" t="s">
        <v>998</v>
      </c>
      <c r="E1208" s="1" t="s">
        <v>3061</v>
      </c>
      <c r="F1208" s="1">
        <v>2023</v>
      </c>
      <c r="G1208" s="5">
        <v>6862</v>
      </c>
      <c r="H1208" s="5">
        <v>6846.8</v>
      </c>
      <c r="I1208" s="5">
        <v>1588852.96</v>
      </c>
      <c r="K1208" s="5">
        <v>3.2669999999999999</v>
      </c>
      <c r="L1208" s="5">
        <v>1E-3</v>
      </c>
      <c r="M1208" s="5">
        <v>647160.95299999998</v>
      </c>
      <c r="N1208" s="6">
        <v>5.8999999999999997E-2</v>
      </c>
      <c r="O1208" s="5">
        <v>127.738</v>
      </c>
      <c r="P1208" s="6">
        <v>2.3800000000000002E-2</v>
      </c>
      <c r="Q1208" s="5">
        <v>10889504.719000001</v>
      </c>
      <c r="R1208" s="1" t="s">
        <v>44</v>
      </c>
      <c r="T1208" s="1" t="s">
        <v>71</v>
      </c>
      <c r="V1208" s="1" t="s">
        <v>64</v>
      </c>
      <c r="Y1208" s="1" t="s">
        <v>346</v>
      </c>
      <c r="Z1208" s="1" t="str">
        <f t="shared" si="54"/>
        <v>3612 CT02</v>
      </c>
      <c r="AA1208" s="3">
        <f>IF(INDEX('CAMD Facility Data 2023'!$AA$2:$AE$10000,MATCH(Z1208,'CAMD Facility Data 2023'!$AE$2:$AE$10000,0),1)&gt;0,INDEX('CAMD Facility Data 2023'!$AA$2:$AE$10000,MATCH(Z1208,'CAMD Facility Data 2023'!$AE$2:$AE$10000,0),1),"")</f>
        <v>36608</v>
      </c>
      <c r="AB1208" s="5">
        <f>IF(INDEX('CAMD Facility Data 2023'!$AC$2:$AE$10000,MATCH(Z1208,'CAMD Facility Data 2023'!$AE$2:$AE$10000,0),1)&gt;0,INDEX('CAMD Facility Data 2023'!$AC$2:$AE$10000,MATCH(Z1208,'CAMD Facility Data 2023'!$AE$2:$AE$10000,0),1),"")</f>
        <v>1975</v>
      </c>
      <c r="AC1208" s="1" t="str">
        <f>IF(INDEX('CAMD Facility Data 2023'!$AE$2:$AG$10000,MATCH(Z1208,'CAMD Facility Data 2023'!$AE$2:$AE$10000,0),3)&gt;0,INDEX('CAMD Facility Data 2023'!$AE$2:$AG$10000,MATCH(Z1208,'CAMD Facility Data 2023'!$AE$2:$AE$10000,0),3),"")</f>
        <v>Y</v>
      </c>
      <c r="AD1208" s="20">
        <f t="shared" si="55"/>
        <v>0.16079272684868209</v>
      </c>
      <c r="AE1208" s="25">
        <f t="shared" si="56"/>
        <v>0.62941475747066644</v>
      </c>
    </row>
    <row r="1209" spans="1:31" x14ac:dyDescent="0.2">
      <c r="A1209" s="1" t="s">
        <v>383</v>
      </c>
      <c r="B1209" s="1" t="s">
        <v>3064</v>
      </c>
      <c r="C1209" s="1">
        <v>3628</v>
      </c>
      <c r="D1209" s="1">
        <v>1</v>
      </c>
      <c r="F1209" s="1">
        <v>2023</v>
      </c>
      <c r="G1209" s="5">
        <v>0</v>
      </c>
      <c r="H1209" s="5">
        <v>0</v>
      </c>
      <c r="R1209" s="1" t="s">
        <v>44</v>
      </c>
      <c r="T1209" s="1" t="s">
        <v>89</v>
      </c>
      <c r="Y1209" s="1" t="s">
        <v>346</v>
      </c>
      <c r="Z1209" s="1" t="str">
        <f t="shared" si="54"/>
        <v>3628 1</v>
      </c>
      <c r="AA1209" s="3">
        <f>IF(INDEX('CAMD Facility Data 2023'!$AA$2:$AE$10000,MATCH(Z1209,'CAMD Facility Data 2023'!$AE$2:$AE$10000,0),1)&gt;0,INDEX('CAMD Facility Data 2023'!$AA$2:$AE$10000,MATCH(Z1209,'CAMD Facility Data 2023'!$AE$2:$AE$10000,0),1),"")</f>
        <v>25112</v>
      </c>
      <c r="AB1209" s="5">
        <f>IF(INDEX('CAMD Facility Data 2023'!$AC$2:$AE$10000,MATCH(Z1209,'CAMD Facility Data 2023'!$AE$2:$AE$10000,0),1)&gt;0,INDEX('CAMD Facility Data 2023'!$AC$2:$AE$10000,MATCH(Z1209,'CAMD Facility Data 2023'!$AE$2:$AE$10000,0),1),"")</f>
        <v>920</v>
      </c>
      <c r="AC1209" s="1" t="str">
        <f>IF(INDEX('CAMD Facility Data 2023'!$AE$2:$AG$10000,MATCH(Z1209,'CAMD Facility Data 2023'!$AE$2:$AE$10000,0),3)&gt;0,INDEX('CAMD Facility Data 2023'!$AE$2:$AG$10000,MATCH(Z1209,'CAMD Facility Data 2023'!$AE$2:$AE$10000,0),3),"")</f>
        <v/>
      </c>
      <c r="AD1209" s="20" t="str">
        <f t="shared" si="55"/>
        <v/>
      </c>
      <c r="AE1209" s="25">
        <f t="shared" si="56"/>
        <v>0</v>
      </c>
    </row>
    <row r="1210" spans="1:31" x14ac:dyDescent="0.2">
      <c r="A1210" s="1" t="s">
        <v>383</v>
      </c>
      <c r="B1210" s="1" t="s">
        <v>3064</v>
      </c>
      <c r="C1210" s="1">
        <v>3628</v>
      </c>
      <c r="D1210" s="1">
        <v>2</v>
      </c>
      <c r="F1210" s="1">
        <v>2023</v>
      </c>
      <c r="G1210" s="5">
        <v>3147</v>
      </c>
      <c r="H1210" s="5">
        <v>3114.81</v>
      </c>
      <c r="I1210" s="5">
        <v>160863.01</v>
      </c>
      <c r="K1210" s="5">
        <v>1.923</v>
      </c>
      <c r="L1210" s="5">
        <v>2.5000000000000001E-3</v>
      </c>
      <c r="M1210" s="5">
        <v>113479.601</v>
      </c>
      <c r="N1210" s="6">
        <v>5.9299999999999999E-2</v>
      </c>
      <c r="O1210" s="5">
        <v>295.91699999999997</v>
      </c>
      <c r="P1210" s="6">
        <v>0.26740000000000003</v>
      </c>
      <c r="Q1210" s="5">
        <v>1903792.5249999999</v>
      </c>
      <c r="R1210" s="1" t="s">
        <v>44</v>
      </c>
      <c r="S1210" s="1" t="s">
        <v>94</v>
      </c>
      <c r="T1210" s="1" t="s">
        <v>89</v>
      </c>
      <c r="Y1210" s="1" t="s">
        <v>346</v>
      </c>
      <c r="Z1210" s="1" t="str">
        <f t="shared" si="54"/>
        <v>3628 2</v>
      </c>
      <c r="AA1210" s="3">
        <f>IF(INDEX('CAMD Facility Data 2023'!$AA$2:$AE$10000,MATCH(Z1210,'CAMD Facility Data 2023'!$AE$2:$AE$10000,0),1)&gt;0,INDEX('CAMD Facility Data 2023'!$AA$2:$AE$10000,MATCH(Z1210,'CAMD Facility Data 2023'!$AE$2:$AE$10000,0),1),"")</f>
        <v>26382</v>
      </c>
      <c r="AB1210" s="5">
        <f>IF(INDEX('CAMD Facility Data 2023'!$AC$2:$AE$10000,MATCH(Z1210,'CAMD Facility Data 2023'!$AE$2:$AE$10000,0),1)&gt;0,INDEX('CAMD Facility Data 2023'!$AC$2:$AE$10000,MATCH(Z1210,'CAMD Facility Data 2023'!$AE$2:$AE$10000,0),1),"")</f>
        <v>1360</v>
      </c>
      <c r="AC1210" s="1" t="str">
        <f>IF(INDEX('CAMD Facility Data 2023'!$AE$2:$AG$10000,MATCH(Z1210,'CAMD Facility Data 2023'!$AE$2:$AE$10000,0),3)&gt;0,INDEX('CAMD Facility Data 2023'!$AE$2:$AG$10000,MATCH(Z1210,'CAMD Facility Data 2023'!$AE$2:$AE$10000,0),3),"")</f>
        <v/>
      </c>
      <c r="AD1210" s="20">
        <f t="shared" si="55"/>
        <v>3.6791180271959352</v>
      </c>
      <c r="AE1210" s="25">
        <f t="shared" si="56"/>
        <v>0.15979993662704808</v>
      </c>
    </row>
    <row r="1211" spans="1:31" x14ac:dyDescent="0.2">
      <c r="A1211" s="1" t="s">
        <v>383</v>
      </c>
      <c r="B1211" s="1" t="s">
        <v>3064</v>
      </c>
      <c r="C1211" s="1">
        <v>3628</v>
      </c>
      <c r="D1211" s="1">
        <v>3</v>
      </c>
      <c r="F1211" s="1">
        <v>2023</v>
      </c>
      <c r="G1211" s="5">
        <v>3296</v>
      </c>
      <c r="H1211" s="5">
        <v>3275.13</v>
      </c>
      <c r="I1211" s="5">
        <v>243982.85</v>
      </c>
      <c r="K1211" s="5">
        <v>0.82699999999999996</v>
      </c>
      <c r="L1211" s="5">
        <v>1.1000000000000001E-3</v>
      </c>
      <c r="M1211" s="5">
        <v>150114.486</v>
      </c>
      <c r="N1211" s="6">
        <v>5.9200000000000003E-2</v>
      </c>
      <c r="O1211" s="5">
        <v>172.66200000000001</v>
      </c>
      <c r="P1211" s="6">
        <v>0.1168</v>
      </c>
      <c r="Q1211" s="5">
        <v>2525591.2370000002</v>
      </c>
      <c r="R1211" s="1" t="s">
        <v>44</v>
      </c>
      <c r="S1211" s="1" t="s">
        <v>94</v>
      </c>
      <c r="T1211" s="1" t="s">
        <v>89</v>
      </c>
      <c r="V1211" s="1" t="s">
        <v>1460</v>
      </c>
      <c r="Y1211" s="1" t="s">
        <v>346</v>
      </c>
      <c r="Z1211" s="1" t="str">
        <f t="shared" si="54"/>
        <v>3628 3</v>
      </c>
      <c r="AA1211" s="3">
        <f>IF(INDEX('CAMD Facility Data 2023'!$AA$2:$AE$10000,MATCH(Z1211,'CAMD Facility Data 2023'!$AE$2:$AE$10000,0),1)&gt;0,INDEX('CAMD Facility Data 2023'!$AA$2:$AE$10000,MATCH(Z1211,'CAMD Facility Data 2023'!$AE$2:$AE$10000,0),1),"")</f>
        <v>27560</v>
      </c>
      <c r="AB1211" s="5">
        <f>IF(INDEX('CAMD Facility Data 2023'!$AC$2:$AE$10000,MATCH(Z1211,'CAMD Facility Data 2023'!$AE$2:$AE$10000,0),1)&gt;0,INDEX('CAMD Facility Data 2023'!$AC$2:$AE$10000,MATCH(Z1211,'CAMD Facility Data 2023'!$AE$2:$AE$10000,0),1),"")</f>
        <v>2510</v>
      </c>
      <c r="AC1211" s="1" t="str">
        <f>IF(INDEX('CAMD Facility Data 2023'!$AE$2:$AG$10000,MATCH(Z1211,'CAMD Facility Data 2023'!$AE$2:$AE$10000,0),3)&gt;0,INDEX('CAMD Facility Data 2023'!$AE$2:$AG$10000,MATCH(Z1211,'CAMD Facility Data 2023'!$AE$2:$AE$10000,0),3),"")</f>
        <v/>
      </c>
      <c r="AD1211" s="20">
        <f t="shared" si="55"/>
        <v>1.4153617764527302</v>
      </c>
      <c r="AE1211" s="25">
        <f t="shared" si="56"/>
        <v>0.11486434340264513</v>
      </c>
    </row>
    <row r="1212" spans="1:31" x14ac:dyDescent="0.2">
      <c r="A1212" s="1" t="s">
        <v>383</v>
      </c>
      <c r="B1212" s="1" t="s">
        <v>3064</v>
      </c>
      <c r="C1212" s="1">
        <v>3628</v>
      </c>
      <c r="D1212" s="1" t="s">
        <v>569</v>
      </c>
      <c r="F1212" s="1">
        <v>2023</v>
      </c>
      <c r="G1212" s="5">
        <v>846</v>
      </c>
      <c r="H1212" s="5">
        <v>732.33</v>
      </c>
      <c r="I1212" s="5">
        <v>51072.2</v>
      </c>
      <c r="K1212" s="5">
        <v>0.378</v>
      </c>
      <c r="L1212" s="5">
        <v>2.2000000000000001E-3</v>
      </c>
      <c r="M1212" s="5">
        <v>39684.375999999997</v>
      </c>
      <c r="N1212" s="6">
        <v>0.06</v>
      </c>
      <c r="O1212" s="5">
        <v>30.196000000000002</v>
      </c>
      <c r="P1212" s="6">
        <v>0.108</v>
      </c>
      <c r="Q1212" s="5">
        <v>663195.80000000005</v>
      </c>
      <c r="R1212" s="1" t="s">
        <v>44</v>
      </c>
      <c r="S1212" s="1" t="s">
        <v>94</v>
      </c>
      <c r="T1212" s="1" t="s">
        <v>93</v>
      </c>
      <c r="V1212" s="1" t="s">
        <v>95</v>
      </c>
      <c r="Y1212" s="1" t="s">
        <v>346</v>
      </c>
      <c r="Z1212" s="1" t="str">
        <f t="shared" si="54"/>
        <v>3628 **4</v>
      </c>
      <c r="AA1212" s="3">
        <f>IF(INDEX('CAMD Facility Data 2023'!$AA$2:$AE$10000,MATCH(Z1212,'CAMD Facility Data 2023'!$AE$2:$AE$10000,0),1)&gt;0,INDEX('CAMD Facility Data 2023'!$AA$2:$AE$10000,MATCH(Z1212,'CAMD Facility Data 2023'!$AE$2:$AE$10000,0),1),"")</f>
        <v>34547</v>
      </c>
      <c r="AB1212" s="5">
        <f>IF(INDEX('CAMD Facility Data 2023'!$AC$2:$AE$10000,MATCH(Z1212,'CAMD Facility Data 2023'!$AE$2:$AE$10000,0),1)&gt;0,INDEX('CAMD Facility Data 2023'!$AC$2:$AE$10000,MATCH(Z1212,'CAMD Facility Data 2023'!$AE$2:$AE$10000,0),1),"")</f>
        <v>1510</v>
      </c>
      <c r="AC1212" s="1" t="str">
        <f>IF(INDEX('CAMD Facility Data 2023'!$AE$2:$AG$10000,MATCH(Z1212,'CAMD Facility Data 2023'!$AE$2:$AE$10000,0),3)&gt;0,INDEX('CAMD Facility Data 2023'!$AE$2:$AG$10000,MATCH(Z1212,'CAMD Facility Data 2023'!$AE$2:$AE$10000,0),3),"")</f>
        <v/>
      </c>
      <c r="AD1212" s="20">
        <f t="shared" si="55"/>
        <v>1.1824828380214678</v>
      </c>
      <c r="AE1212" s="25">
        <f t="shared" si="56"/>
        <v>5.0137273579485324E-2</v>
      </c>
    </row>
    <row r="1213" spans="1:31" x14ac:dyDescent="0.2">
      <c r="A1213" s="1" t="s">
        <v>383</v>
      </c>
      <c r="B1213" s="1" t="s">
        <v>3064</v>
      </c>
      <c r="C1213" s="1">
        <v>3628</v>
      </c>
      <c r="D1213" s="1" t="s">
        <v>2903</v>
      </c>
      <c r="F1213" s="1">
        <v>2023</v>
      </c>
      <c r="G1213" s="5">
        <v>915</v>
      </c>
      <c r="H1213" s="5">
        <v>794.68</v>
      </c>
      <c r="I1213" s="5">
        <v>53430.84</v>
      </c>
      <c r="K1213" s="5">
        <v>0.57199999999999995</v>
      </c>
      <c r="L1213" s="5">
        <v>2.3999999999999998E-3</v>
      </c>
      <c r="M1213" s="5">
        <v>43907.341999999997</v>
      </c>
      <c r="N1213" s="6">
        <v>6.0199999999999997E-2</v>
      </c>
      <c r="O1213" s="5">
        <v>38.682000000000002</v>
      </c>
      <c r="P1213" s="6">
        <v>0.12720000000000001</v>
      </c>
      <c r="Q1213" s="5">
        <v>729815.38699999999</v>
      </c>
      <c r="R1213" s="1" t="s">
        <v>44</v>
      </c>
      <c r="S1213" s="1" t="s">
        <v>94</v>
      </c>
      <c r="T1213" s="1" t="s">
        <v>93</v>
      </c>
      <c r="V1213" s="1" t="s">
        <v>95</v>
      </c>
      <c r="Y1213" s="1" t="s">
        <v>346</v>
      </c>
      <c r="Z1213" s="1" t="str">
        <f t="shared" si="54"/>
        <v>3628 **5</v>
      </c>
      <c r="AA1213" s="3">
        <f>IF(INDEX('CAMD Facility Data 2023'!$AA$2:$AE$10000,MATCH(Z1213,'CAMD Facility Data 2023'!$AE$2:$AE$10000,0),1)&gt;0,INDEX('CAMD Facility Data 2023'!$AA$2:$AE$10000,MATCH(Z1213,'CAMD Facility Data 2023'!$AE$2:$AE$10000,0),1),"")</f>
        <v>34547</v>
      </c>
      <c r="AB1213" s="5">
        <f>IF(INDEX('CAMD Facility Data 2023'!$AC$2:$AE$10000,MATCH(Z1213,'CAMD Facility Data 2023'!$AE$2:$AE$10000,0),1)&gt;0,INDEX('CAMD Facility Data 2023'!$AC$2:$AE$10000,MATCH(Z1213,'CAMD Facility Data 2023'!$AE$2:$AE$10000,0),1),"")</f>
        <v>1800</v>
      </c>
      <c r="AC1213" s="1" t="str">
        <f>IF(INDEX('CAMD Facility Data 2023'!$AE$2:$AG$10000,MATCH(Z1213,'CAMD Facility Data 2023'!$AE$2:$AE$10000,0),3)&gt;0,INDEX('CAMD Facility Data 2023'!$AE$2:$AG$10000,MATCH(Z1213,'CAMD Facility Data 2023'!$AE$2:$AE$10000,0),3),"")</f>
        <v/>
      </c>
      <c r="AD1213" s="20">
        <f t="shared" si="55"/>
        <v>1.447927825952203</v>
      </c>
      <c r="AE1213" s="25">
        <f t="shared" si="56"/>
        <v>4.6284588216641297E-2</v>
      </c>
    </row>
    <row r="1214" spans="1:31" x14ac:dyDescent="0.2">
      <c r="A1214" s="1" t="s">
        <v>383</v>
      </c>
      <c r="B1214" s="1" t="s">
        <v>3071</v>
      </c>
      <c r="C1214" s="1">
        <v>3631</v>
      </c>
      <c r="D1214" s="1" t="s">
        <v>109</v>
      </c>
      <c r="F1214" s="1">
        <v>2023</v>
      </c>
      <c r="G1214" s="5">
        <v>3345</v>
      </c>
      <c r="H1214" s="5">
        <v>3100.87</v>
      </c>
      <c r="I1214" s="5">
        <v>90778.76</v>
      </c>
      <c r="K1214" s="5">
        <v>0.28799999999999998</v>
      </c>
      <c r="L1214" s="5">
        <v>1E-3</v>
      </c>
      <c r="M1214" s="5">
        <v>55364.66</v>
      </c>
      <c r="N1214" s="6">
        <v>6.0999999999999999E-2</v>
      </c>
      <c r="O1214" s="5">
        <v>8.3450000000000006</v>
      </c>
      <c r="P1214" s="6">
        <v>2.6700000000000002E-2</v>
      </c>
      <c r="Q1214" s="5">
        <v>906939.21299999999</v>
      </c>
      <c r="R1214" s="1" t="s">
        <v>44</v>
      </c>
      <c r="S1214" s="1" t="s">
        <v>94</v>
      </c>
      <c r="T1214" s="1" t="s">
        <v>71</v>
      </c>
      <c r="V1214" s="1" t="s">
        <v>64</v>
      </c>
      <c r="Y1214" s="1" t="s">
        <v>346</v>
      </c>
      <c r="Z1214" s="1" t="str">
        <f t="shared" si="54"/>
        <v>3631 CT7</v>
      </c>
      <c r="AA1214" s="3">
        <f>IF(INDEX('CAMD Facility Data 2023'!$AA$2:$AE$10000,MATCH(Z1214,'CAMD Facility Data 2023'!$AE$2:$AE$10000,0),1)&gt;0,INDEX('CAMD Facility Data 2023'!$AA$2:$AE$10000,MATCH(Z1214,'CAMD Facility Data 2023'!$AE$2:$AE$10000,0),1),"")</f>
        <v>37904</v>
      </c>
      <c r="AB1214" s="5">
        <f>IF(INDEX('CAMD Facility Data 2023'!$AC$2:$AE$10000,MATCH(Z1214,'CAMD Facility Data 2023'!$AE$2:$AE$10000,0),1)&gt;0,INDEX('CAMD Facility Data 2023'!$AC$2:$AE$10000,MATCH(Z1214,'CAMD Facility Data 2023'!$AE$2:$AE$10000,0),1),"")</f>
        <v>505</v>
      </c>
      <c r="AC1214" s="1" t="str">
        <f>IF(INDEX('CAMD Facility Data 2023'!$AE$2:$AG$10000,MATCH(Z1214,'CAMD Facility Data 2023'!$AE$2:$AE$10000,0),3)&gt;0,INDEX('CAMD Facility Data 2023'!$AE$2:$AG$10000,MATCH(Z1214,'CAMD Facility Data 2023'!$AE$2:$AE$10000,0),3),"")</f>
        <v>Y</v>
      </c>
      <c r="AD1214" s="20">
        <f t="shared" si="55"/>
        <v>0.18385357984621073</v>
      </c>
      <c r="AE1214" s="25">
        <f t="shared" si="56"/>
        <v>0.20501361114878611</v>
      </c>
    </row>
    <row r="1215" spans="1:31" x14ac:dyDescent="0.2">
      <c r="A1215" s="1" t="s">
        <v>383</v>
      </c>
      <c r="B1215" s="1" t="s">
        <v>3071</v>
      </c>
      <c r="C1215" s="1">
        <v>3631</v>
      </c>
      <c r="D1215" s="1" t="s">
        <v>111</v>
      </c>
      <c r="F1215" s="1">
        <v>2023</v>
      </c>
      <c r="G1215" s="5">
        <v>3087</v>
      </c>
      <c r="H1215" s="5">
        <v>2830.74</v>
      </c>
      <c r="I1215" s="5">
        <v>81492.570000000007</v>
      </c>
      <c r="K1215" s="5">
        <v>0.26300000000000001</v>
      </c>
      <c r="L1215" s="5">
        <v>1E-3</v>
      </c>
      <c r="M1215" s="5">
        <v>50058.322</v>
      </c>
      <c r="N1215" s="6">
        <v>6.0999999999999999E-2</v>
      </c>
      <c r="O1215" s="5">
        <v>7.8479999999999999</v>
      </c>
      <c r="P1215" s="6">
        <v>2.5499999999999998E-2</v>
      </c>
      <c r="Q1215" s="5">
        <v>819942.22499999998</v>
      </c>
      <c r="R1215" s="1" t="s">
        <v>44</v>
      </c>
      <c r="S1215" s="1" t="s">
        <v>94</v>
      </c>
      <c r="T1215" s="1" t="s">
        <v>71</v>
      </c>
      <c r="V1215" s="1" t="s">
        <v>64</v>
      </c>
      <c r="Y1215" s="1" t="s">
        <v>346</v>
      </c>
      <c r="Z1215" s="1" t="str">
        <f t="shared" si="54"/>
        <v>3631 CT8</v>
      </c>
      <c r="AA1215" s="3">
        <f>IF(INDEX('CAMD Facility Data 2023'!$AA$2:$AE$10000,MATCH(Z1215,'CAMD Facility Data 2023'!$AE$2:$AE$10000,0),1)&gt;0,INDEX('CAMD Facility Data 2023'!$AA$2:$AE$10000,MATCH(Z1215,'CAMD Facility Data 2023'!$AE$2:$AE$10000,0),1),"")</f>
        <v>37904</v>
      </c>
      <c r="AB1215" s="5">
        <f>IF(INDEX('CAMD Facility Data 2023'!$AC$2:$AE$10000,MATCH(Z1215,'CAMD Facility Data 2023'!$AE$2:$AE$10000,0),1)&gt;0,INDEX('CAMD Facility Data 2023'!$AC$2:$AE$10000,MATCH(Z1215,'CAMD Facility Data 2023'!$AE$2:$AE$10000,0),1),"")</f>
        <v>491</v>
      </c>
      <c r="AC1215" s="1" t="str">
        <f>IF(INDEX('CAMD Facility Data 2023'!$AE$2:$AG$10000,MATCH(Z1215,'CAMD Facility Data 2023'!$AE$2:$AE$10000,0),3)&gt;0,INDEX('CAMD Facility Data 2023'!$AE$2:$AG$10000,MATCH(Z1215,'CAMD Facility Data 2023'!$AE$2:$AE$10000,0),3),"")</f>
        <v>Y</v>
      </c>
      <c r="AD1215" s="20">
        <f t="shared" si="55"/>
        <v>0.19260651615233143</v>
      </c>
      <c r="AE1215" s="25">
        <f t="shared" si="56"/>
        <v>0.19063281184610661</v>
      </c>
    </row>
    <row r="1216" spans="1:31" x14ac:dyDescent="0.2">
      <c r="A1216" s="1" t="s">
        <v>383</v>
      </c>
      <c r="B1216" s="1" t="s">
        <v>3071</v>
      </c>
      <c r="C1216" s="1">
        <v>3631</v>
      </c>
      <c r="D1216" s="1" t="s">
        <v>113</v>
      </c>
      <c r="F1216" s="1">
        <v>2023</v>
      </c>
      <c r="G1216" s="5">
        <v>3357</v>
      </c>
      <c r="H1216" s="5">
        <v>3084.88</v>
      </c>
      <c r="I1216" s="5">
        <v>92442.240000000005</v>
      </c>
      <c r="K1216" s="5">
        <v>0.28100000000000003</v>
      </c>
      <c r="L1216" s="5">
        <v>1.1000000000000001E-3</v>
      </c>
      <c r="M1216" s="5">
        <v>53020.046999999999</v>
      </c>
      <c r="N1216" s="6">
        <v>6.0999999999999999E-2</v>
      </c>
      <c r="O1216" s="5">
        <v>9.4169999999999998</v>
      </c>
      <c r="P1216" s="6">
        <v>3.27E-2</v>
      </c>
      <c r="Q1216" s="5">
        <v>868021.37699999998</v>
      </c>
      <c r="R1216" s="1" t="s">
        <v>44</v>
      </c>
      <c r="S1216" s="1" t="s">
        <v>94</v>
      </c>
      <c r="T1216" s="1" t="s">
        <v>71</v>
      </c>
      <c r="V1216" s="1" t="s">
        <v>64</v>
      </c>
      <c r="Y1216" s="1" t="s">
        <v>346</v>
      </c>
      <c r="Z1216" s="1" t="str">
        <f t="shared" si="54"/>
        <v>3631 CT9</v>
      </c>
      <c r="AA1216" s="3">
        <f>IF(INDEX('CAMD Facility Data 2023'!$AA$2:$AE$10000,MATCH(Z1216,'CAMD Facility Data 2023'!$AE$2:$AE$10000,0),1)&gt;0,INDEX('CAMD Facility Data 2023'!$AA$2:$AE$10000,MATCH(Z1216,'CAMD Facility Data 2023'!$AE$2:$AE$10000,0),1),"")</f>
        <v>37904</v>
      </c>
      <c r="AB1216" s="5">
        <f>IF(INDEX('CAMD Facility Data 2023'!$AC$2:$AE$10000,MATCH(Z1216,'CAMD Facility Data 2023'!$AE$2:$AE$10000,0),1)&gt;0,INDEX('CAMD Facility Data 2023'!$AC$2:$AE$10000,MATCH(Z1216,'CAMD Facility Data 2023'!$AE$2:$AE$10000,0),1),"")</f>
        <v>492.3</v>
      </c>
      <c r="AC1216" s="1" t="str">
        <f>IF(INDEX('CAMD Facility Data 2023'!$AE$2:$AG$10000,MATCH(Z1216,'CAMD Facility Data 2023'!$AE$2:$AE$10000,0),3)&gt;0,INDEX('CAMD Facility Data 2023'!$AE$2:$AG$10000,MATCH(Z1216,'CAMD Facility Data 2023'!$AE$2:$AE$10000,0),3),"")</f>
        <v>Y</v>
      </c>
      <c r="AD1216" s="20">
        <f t="shared" si="55"/>
        <v>0.20373803144536523</v>
      </c>
      <c r="AE1216" s="25">
        <f t="shared" si="56"/>
        <v>0.20127807899181643</v>
      </c>
    </row>
    <row r="1217" spans="1:31" x14ac:dyDescent="0.2">
      <c r="A1217" s="1" t="s">
        <v>3076</v>
      </c>
      <c r="B1217" s="1" t="s">
        <v>3077</v>
      </c>
      <c r="C1217" s="1">
        <v>3648</v>
      </c>
      <c r="D1217" s="1">
        <v>1</v>
      </c>
      <c r="F1217" s="1">
        <v>2023</v>
      </c>
      <c r="G1217" s="5">
        <v>2380</v>
      </c>
      <c r="H1217" s="5">
        <v>2144.0700000000002</v>
      </c>
      <c r="I1217" s="5">
        <v>50918.69</v>
      </c>
      <c r="K1217" s="5">
        <v>0.26200000000000001</v>
      </c>
      <c r="L1217" s="5">
        <v>1E-3</v>
      </c>
      <c r="M1217" s="5">
        <v>51848.817999999999</v>
      </c>
      <c r="N1217" s="6">
        <v>5.9299999999999999E-2</v>
      </c>
      <c r="O1217" s="5">
        <v>47.728000000000002</v>
      </c>
      <c r="P1217" s="6">
        <v>8.09E-2</v>
      </c>
      <c r="Q1217" s="5">
        <v>872477.85100000002</v>
      </c>
      <c r="R1217" s="1" t="s">
        <v>44</v>
      </c>
      <c r="T1217" s="1" t="s">
        <v>89</v>
      </c>
      <c r="V1217" s="1" t="s">
        <v>90</v>
      </c>
      <c r="Y1217" s="1" t="s">
        <v>247</v>
      </c>
      <c r="Z1217" s="1" t="str">
        <f t="shared" si="54"/>
        <v>3648 1</v>
      </c>
      <c r="AA1217" s="3">
        <f>IF(INDEX('CAMD Facility Data 2023'!$AA$2:$AE$10000,MATCH(Z1217,'CAMD Facility Data 2023'!$AE$2:$AE$10000,0),1)&gt;0,INDEX('CAMD Facility Data 2023'!$AA$2:$AE$10000,MATCH(Z1217,'CAMD Facility Data 2023'!$AE$2:$AE$10000,0),1),"")</f>
        <v>18889</v>
      </c>
      <c r="AB1217" s="5">
        <f>IF(INDEX('CAMD Facility Data 2023'!$AC$2:$AE$10000,MATCH(Z1217,'CAMD Facility Data 2023'!$AE$2:$AE$10000,0),1)&gt;0,INDEX('CAMD Facility Data 2023'!$AC$2:$AE$10000,MATCH(Z1217,'CAMD Facility Data 2023'!$AE$2:$AE$10000,0),1),"")</f>
        <v>890</v>
      </c>
      <c r="AC1217" s="1" t="str">
        <f>IF(INDEX('CAMD Facility Data 2023'!$AE$2:$AG$10000,MATCH(Z1217,'CAMD Facility Data 2023'!$AE$2:$AE$10000,0),3)&gt;0,INDEX('CAMD Facility Data 2023'!$AE$2:$AG$10000,MATCH(Z1217,'CAMD Facility Data 2023'!$AE$2:$AE$10000,0),3),"")</f>
        <v/>
      </c>
      <c r="AD1217" s="20">
        <f t="shared" si="55"/>
        <v>1.874675094744189</v>
      </c>
      <c r="AE1217" s="25">
        <f t="shared" si="56"/>
        <v>0.11190778449027756</v>
      </c>
    </row>
    <row r="1218" spans="1:31" x14ac:dyDescent="0.2">
      <c r="A1218" s="1" t="s">
        <v>3076</v>
      </c>
      <c r="B1218" s="1" t="s">
        <v>3077</v>
      </c>
      <c r="C1218" s="1">
        <v>3648</v>
      </c>
      <c r="D1218" s="1">
        <v>2</v>
      </c>
      <c r="F1218" s="1">
        <v>2023</v>
      </c>
      <c r="G1218" s="5">
        <v>2550</v>
      </c>
      <c r="H1218" s="5">
        <v>2321.19</v>
      </c>
      <c r="I1218" s="5">
        <v>65481.98</v>
      </c>
      <c r="K1218" s="5">
        <v>0.29199999999999998</v>
      </c>
      <c r="L1218" s="5">
        <v>1E-3</v>
      </c>
      <c r="M1218" s="5">
        <v>57893.41</v>
      </c>
      <c r="N1218" s="6">
        <v>5.9200000000000003E-2</v>
      </c>
      <c r="O1218" s="5">
        <v>54.74</v>
      </c>
      <c r="P1218" s="6">
        <v>9.0999999999999998E-2</v>
      </c>
      <c r="Q1218" s="5">
        <v>974150.95400000003</v>
      </c>
      <c r="R1218" s="1" t="s">
        <v>44</v>
      </c>
      <c r="T1218" s="1" t="s">
        <v>89</v>
      </c>
      <c r="V1218" s="1" t="s">
        <v>90</v>
      </c>
      <c r="Y1218" s="1" t="s">
        <v>247</v>
      </c>
      <c r="Z1218" s="1" t="str">
        <f t="shared" si="54"/>
        <v>3648 2</v>
      </c>
      <c r="AA1218" s="3">
        <f>IF(INDEX('CAMD Facility Data 2023'!$AA$2:$AE$10000,MATCH(Z1218,'CAMD Facility Data 2023'!$AE$2:$AE$10000,0),1)&gt;0,INDEX('CAMD Facility Data 2023'!$AA$2:$AE$10000,MATCH(Z1218,'CAMD Facility Data 2023'!$AE$2:$AE$10000,0),1),"")</f>
        <v>19354</v>
      </c>
      <c r="AB1218" s="5">
        <f>IF(INDEX('CAMD Facility Data 2023'!$AC$2:$AE$10000,MATCH(Z1218,'CAMD Facility Data 2023'!$AE$2:$AE$10000,0),1)&gt;0,INDEX('CAMD Facility Data 2023'!$AC$2:$AE$10000,MATCH(Z1218,'CAMD Facility Data 2023'!$AE$2:$AE$10000,0),1),"")</f>
        <v>850</v>
      </c>
      <c r="AC1218" s="1" t="str">
        <f>IF(INDEX('CAMD Facility Data 2023'!$AE$2:$AG$10000,MATCH(Z1218,'CAMD Facility Data 2023'!$AE$2:$AE$10000,0),3)&gt;0,INDEX('CAMD Facility Data 2023'!$AE$2:$AG$10000,MATCH(Z1218,'CAMD Facility Data 2023'!$AE$2:$AE$10000,0),3),"")</f>
        <v/>
      </c>
      <c r="AD1218" s="20">
        <f t="shared" si="55"/>
        <v>1.6719103484653335</v>
      </c>
      <c r="AE1218" s="25">
        <f t="shared" si="56"/>
        <v>0.13082876094547408</v>
      </c>
    </row>
    <row r="1219" spans="1:31" x14ac:dyDescent="0.2">
      <c r="A1219" s="1" t="s">
        <v>3076</v>
      </c>
      <c r="B1219" s="1" t="s">
        <v>3077</v>
      </c>
      <c r="C1219" s="1">
        <v>3648</v>
      </c>
      <c r="D1219" s="1">
        <v>3</v>
      </c>
      <c r="F1219" s="1">
        <v>2023</v>
      </c>
      <c r="G1219" s="5">
        <v>4458</v>
      </c>
      <c r="H1219" s="5">
        <v>4088.55</v>
      </c>
      <c r="I1219" s="5">
        <v>160147.14000000001</v>
      </c>
      <c r="K1219" s="5">
        <v>0.56999999999999995</v>
      </c>
      <c r="L1219" s="5">
        <v>1E-3</v>
      </c>
      <c r="M1219" s="5">
        <v>112879.239</v>
      </c>
      <c r="N1219" s="6">
        <v>5.9200000000000003E-2</v>
      </c>
      <c r="O1219" s="5">
        <v>84.382000000000005</v>
      </c>
      <c r="P1219" s="6">
        <v>8.8700000000000001E-2</v>
      </c>
      <c r="Q1219" s="5">
        <v>1899426.0360000001</v>
      </c>
      <c r="R1219" s="1" t="s">
        <v>44</v>
      </c>
      <c r="T1219" s="1" t="s">
        <v>43</v>
      </c>
      <c r="Y1219" s="1" t="s">
        <v>247</v>
      </c>
      <c r="Z1219" s="1" t="str">
        <f t="shared" ref="Z1219:Z1282" si="57">C1219&amp;" "&amp;D1219</f>
        <v>3648 3</v>
      </c>
      <c r="AA1219" s="3">
        <f>IF(INDEX('CAMD Facility Data 2023'!$AA$2:$AE$10000,MATCH(Z1219,'CAMD Facility Data 2023'!$AE$2:$AE$10000,0),1)&gt;0,INDEX('CAMD Facility Data 2023'!$AA$2:$AE$10000,MATCH(Z1219,'CAMD Facility Data 2023'!$AE$2:$AE$10000,0),1),"")</f>
        <v>20241</v>
      </c>
      <c r="AB1219" s="5">
        <f>IF(INDEX('CAMD Facility Data 2023'!$AC$2:$AE$10000,MATCH(Z1219,'CAMD Facility Data 2023'!$AE$2:$AE$10000,0),1)&gt;0,INDEX('CAMD Facility Data 2023'!$AC$2:$AE$10000,MATCH(Z1219,'CAMD Facility Data 2023'!$AE$2:$AE$10000,0),1),"")</f>
        <v>1200</v>
      </c>
      <c r="AC1219" s="1" t="str">
        <f>IF(INDEX('CAMD Facility Data 2023'!$AE$2:$AG$10000,MATCH(Z1219,'CAMD Facility Data 2023'!$AE$2:$AE$10000,0),3)&gt;0,INDEX('CAMD Facility Data 2023'!$AE$2:$AG$10000,MATCH(Z1219,'CAMD Facility Data 2023'!$AE$2:$AE$10000,0),3),"")</f>
        <v/>
      </c>
      <c r="AD1219" s="20">
        <f t="shared" ref="AD1219:AD1282" si="58">IF(ISNUMBER(O1219*2000/I1219),O1219*2000/I1219,"")</f>
        <v>1.0538058937549555</v>
      </c>
      <c r="AE1219" s="25">
        <f t="shared" ref="AE1219:AE1282" si="59">Q1219/(AB1219*8760)</f>
        <v>0.18069121347031963</v>
      </c>
    </row>
    <row r="1220" spans="1:31" x14ac:dyDescent="0.2">
      <c r="A1220" s="1" t="s">
        <v>3076</v>
      </c>
      <c r="B1220" s="1" t="s">
        <v>3077</v>
      </c>
      <c r="C1220" s="1">
        <v>3648</v>
      </c>
      <c r="D1220" s="1">
        <v>4</v>
      </c>
      <c r="F1220" s="1">
        <v>2023</v>
      </c>
      <c r="G1220" s="5">
        <v>212</v>
      </c>
      <c r="H1220" s="5">
        <v>126.68</v>
      </c>
      <c r="I1220" s="5">
        <v>1888.51</v>
      </c>
      <c r="K1220" s="5">
        <v>7.0000000000000001E-3</v>
      </c>
      <c r="L1220" s="5">
        <v>1E-3</v>
      </c>
      <c r="M1220" s="5">
        <v>1369.6030000000001</v>
      </c>
      <c r="N1220" s="6">
        <v>5.91E-2</v>
      </c>
      <c r="O1220" s="5">
        <v>0.623</v>
      </c>
      <c r="P1220" s="6">
        <v>6.7799999999999999E-2</v>
      </c>
      <c r="Q1220" s="5">
        <v>23049.65</v>
      </c>
      <c r="R1220" s="1" t="s">
        <v>44</v>
      </c>
      <c r="T1220" s="1" t="s">
        <v>93</v>
      </c>
      <c r="V1220" s="1" t="s">
        <v>176</v>
      </c>
      <c r="Y1220" s="1" t="s">
        <v>247</v>
      </c>
      <c r="Z1220" s="1" t="str">
        <f t="shared" si="57"/>
        <v>3648 4</v>
      </c>
      <c r="AA1220" s="3">
        <f>IF(INDEX('CAMD Facility Data 2023'!$AA$2:$AE$10000,MATCH(Z1220,'CAMD Facility Data 2023'!$AE$2:$AE$10000,0),1)&gt;0,INDEX('CAMD Facility Data 2023'!$AA$2:$AE$10000,MATCH(Z1220,'CAMD Facility Data 2023'!$AE$2:$AE$10000,0),1),"")</f>
        <v>37447</v>
      </c>
      <c r="AB1220" s="5">
        <f>IF(INDEX('CAMD Facility Data 2023'!$AC$2:$AE$10000,MATCH(Z1220,'CAMD Facility Data 2023'!$AE$2:$AE$10000,0),1)&gt;0,INDEX('CAMD Facility Data 2023'!$AC$2:$AE$10000,MATCH(Z1220,'CAMD Facility Data 2023'!$AE$2:$AE$10000,0),1),"")</f>
        <v>400</v>
      </c>
      <c r="AC1220" s="1" t="str">
        <f>IF(INDEX('CAMD Facility Data 2023'!$AE$2:$AG$10000,MATCH(Z1220,'CAMD Facility Data 2023'!$AE$2:$AE$10000,0),3)&gt;0,INDEX('CAMD Facility Data 2023'!$AE$2:$AG$10000,MATCH(Z1220,'CAMD Facility Data 2023'!$AE$2:$AE$10000,0),3),"")</f>
        <v>Y</v>
      </c>
      <c r="AD1220" s="20">
        <f t="shared" si="58"/>
        <v>0.65977940280962244</v>
      </c>
      <c r="AE1220" s="25">
        <f t="shared" si="59"/>
        <v>6.5780964611872154E-3</v>
      </c>
    </row>
    <row r="1221" spans="1:31" x14ac:dyDescent="0.2">
      <c r="A1221" s="1" t="s">
        <v>3076</v>
      </c>
      <c r="B1221" s="1" t="s">
        <v>3077</v>
      </c>
      <c r="C1221" s="1">
        <v>3648</v>
      </c>
      <c r="D1221" s="1">
        <v>5</v>
      </c>
      <c r="F1221" s="1">
        <v>2023</v>
      </c>
      <c r="G1221" s="5">
        <v>217</v>
      </c>
      <c r="H1221" s="5">
        <v>125.98</v>
      </c>
      <c r="I1221" s="5">
        <v>1906.75</v>
      </c>
      <c r="K1221" s="5">
        <v>7.0000000000000001E-3</v>
      </c>
      <c r="L1221" s="5">
        <v>1E-3</v>
      </c>
      <c r="M1221" s="5">
        <v>1463.999</v>
      </c>
      <c r="N1221" s="6">
        <v>5.8799999999999998E-2</v>
      </c>
      <c r="O1221" s="5">
        <v>0.51600000000000001</v>
      </c>
      <c r="P1221" s="6">
        <v>5.16E-2</v>
      </c>
      <c r="Q1221" s="5">
        <v>24633.100999999999</v>
      </c>
      <c r="R1221" s="1" t="s">
        <v>44</v>
      </c>
      <c r="T1221" s="1" t="s">
        <v>93</v>
      </c>
      <c r="V1221" s="1" t="s">
        <v>176</v>
      </c>
      <c r="Y1221" s="1" t="s">
        <v>247</v>
      </c>
      <c r="Z1221" s="1" t="str">
        <f t="shared" si="57"/>
        <v>3648 5</v>
      </c>
      <c r="AA1221" s="3">
        <f>IF(INDEX('CAMD Facility Data 2023'!$AA$2:$AE$10000,MATCH(Z1221,'CAMD Facility Data 2023'!$AE$2:$AE$10000,0),1)&gt;0,INDEX('CAMD Facility Data 2023'!$AA$2:$AE$10000,MATCH(Z1221,'CAMD Facility Data 2023'!$AE$2:$AE$10000,0),1),"")</f>
        <v>37450</v>
      </c>
      <c r="AB1221" s="5">
        <f>IF(INDEX('CAMD Facility Data 2023'!$AC$2:$AE$10000,MATCH(Z1221,'CAMD Facility Data 2023'!$AE$2:$AE$10000,0),1)&gt;0,INDEX('CAMD Facility Data 2023'!$AC$2:$AE$10000,MATCH(Z1221,'CAMD Facility Data 2023'!$AE$2:$AE$10000,0),1),"")</f>
        <v>425</v>
      </c>
      <c r="AC1221" s="1" t="str">
        <f>IF(INDEX('CAMD Facility Data 2023'!$AE$2:$AG$10000,MATCH(Z1221,'CAMD Facility Data 2023'!$AE$2:$AE$10000,0),3)&gt;0,INDEX('CAMD Facility Data 2023'!$AE$2:$AG$10000,MATCH(Z1221,'CAMD Facility Data 2023'!$AE$2:$AE$10000,0),3),"")</f>
        <v>Y</v>
      </c>
      <c r="AD1221" s="20">
        <f t="shared" si="58"/>
        <v>0.54123508587911362</v>
      </c>
      <c r="AE1221" s="25">
        <f t="shared" si="59"/>
        <v>6.6164654848240665E-3</v>
      </c>
    </row>
    <row r="1222" spans="1:31" x14ac:dyDescent="0.2">
      <c r="A1222" s="1" t="s">
        <v>3076</v>
      </c>
      <c r="B1222" s="1" t="s">
        <v>3077</v>
      </c>
      <c r="C1222" s="1">
        <v>3648</v>
      </c>
      <c r="D1222" s="1">
        <v>6</v>
      </c>
      <c r="F1222" s="1">
        <v>2023</v>
      </c>
      <c r="G1222" s="5">
        <v>235</v>
      </c>
      <c r="H1222" s="5">
        <v>139.46</v>
      </c>
      <c r="I1222" s="5">
        <v>2095.33</v>
      </c>
      <c r="K1222" s="5">
        <v>8.0000000000000002E-3</v>
      </c>
      <c r="L1222" s="5">
        <v>1E-3</v>
      </c>
      <c r="M1222" s="5">
        <v>1570.7819999999999</v>
      </c>
      <c r="N1222" s="6">
        <v>5.91E-2</v>
      </c>
      <c r="O1222" s="5">
        <v>0.69599999999999995</v>
      </c>
      <c r="P1222" s="6">
        <v>6.2899999999999998E-2</v>
      </c>
      <c r="Q1222" s="5">
        <v>26429.021000000001</v>
      </c>
      <c r="R1222" s="1" t="s">
        <v>44</v>
      </c>
      <c r="T1222" s="1" t="s">
        <v>93</v>
      </c>
      <c r="V1222" s="1" t="s">
        <v>176</v>
      </c>
      <c r="Y1222" s="1" t="s">
        <v>247</v>
      </c>
      <c r="Z1222" s="1" t="str">
        <f t="shared" si="57"/>
        <v>3648 6</v>
      </c>
      <c r="AA1222" s="3">
        <f>IF(INDEX('CAMD Facility Data 2023'!$AA$2:$AE$10000,MATCH(Z1222,'CAMD Facility Data 2023'!$AE$2:$AE$10000,0),1)&gt;0,INDEX('CAMD Facility Data 2023'!$AA$2:$AE$10000,MATCH(Z1222,'CAMD Facility Data 2023'!$AE$2:$AE$10000,0),1),"")</f>
        <v>37466</v>
      </c>
      <c r="AB1222" s="5">
        <f>IF(INDEX('CAMD Facility Data 2023'!$AC$2:$AE$10000,MATCH(Z1222,'CAMD Facility Data 2023'!$AE$2:$AE$10000,0),1)&gt;0,INDEX('CAMD Facility Data 2023'!$AC$2:$AE$10000,MATCH(Z1222,'CAMD Facility Data 2023'!$AE$2:$AE$10000,0),1),"")</f>
        <v>425</v>
      </c>
      <c r="AC1222" s="1" t="str">
        <f>IF(INDEX('CAMD Facility Data 2023'!$AE$2:$AG$10000,MATCH(Z1222,'CAMD Facility Data 2023'!$AE$2:$AE$10000,0),3)&gt;0,INDEX('CAMD Facility Data 2023'!$AE$2:$AG$10000,MATCH(Z1222,'CAMD Facility Data 2023'!$AE$2:$AE$10000,0),3),"")</f>
        <v>Y</v>
      </c>
      <c r="AD1222" s="20">
        <f t="shared" si="58"/>
        <v>0.66433449623686969</v>
      </c>
      <c r="AE1222" s="25">
        <f t="shared" si="59"/>
        <v>7.0988506580714483E-3</v>
      </c>
    </row>
    <row r="1223" spans="1:31" x14ac:dyDescent="0.2">
      <c r="A1223" s="1" t="s">
        <v>651</v>
      </c>
      <c r="B1223" s="1" t="s">
        <v>3086</v>
      </c>
      <c r="C1223" s="1">
        <v>3734</v>
      </c>
      <c r="D1223" s="1" t="s">
        <v>3087</v>
      </c>
      <c r="F1223" s="1">
        <v>2023</v>
      </c>
      <c r="G1223" s="5">
        <v>37</v>
      </c>
      <c r="H1223" s="5">
        <v>34.200000000000003</v>
      </c>
      <c r="M1223" s="5">
        <v>765.3</v>
      </c>
      <c r="N1223" s="6">
        <v>8.1000000000000003E-2</v>
      </c>
      <c r="Q1223" s="5">
        <v>9456.6</v>
      </c>
      <c r="R1223" s="1" t="s">
        <v>94</v>
      </c>
      <c r="T1223" s="1" t="s">
        <v>93</v>
      </c>
      <c r="Y1223" s="1" t="s">
        <v>2309</v>
      </c>
      <c r="Z1223" s="1" t="str">
        <f t="shared" si="57"/>
        <v>3734 A</v>
      </c>
      <c r="AA1223" s="3">
        <f>IF(INDEX('CAMD Facility Data 2023'!$AA$2:$AE$10000,MATCH(Z1223,'CAMD Facility Data 2023'!$AE$2:$AE$10000,0),1)&gt;0,INDEX('CAMD Facility Data 2023'!$AA$2:$AE$10000,MATCH(Z1223,'CAMD Facility Data 2023'!$AE$2:$AE$10000,0),1),"")</f>
        <v>26451</v>
      </c>
      <c r="AB1223" s="5">
        <f>IF(INDEX('CAMD Facility Data 2023'!$AC$2:$AE$10000,MATCH(Z1223,'CAMD Facility Data 2023'!$AE$2:$AE$10000,0),1)&gt;0,INDEX('CAMD Facility Data 2023'!$AC$2:$AE$10000,MATCH(Z1223,'CAMD Facility Data 2023'!$AE$2:$AE$10000,0),1),"")</f>
        <v>385.1</v>
      </c>
      <c r="AC1223" s="1" t="str">
        <f>IF(INDEX('CAMD Facility Data 2023'!$AE$2:$AG$10000,MATCH(Z1223,'CAMD Facility Data 2023'!$AE$2:$AE$10000,0),3)&gt;0,INDEX('CAMD Facility Data 2023'!$AE$2:$AG$10000,MATCH(Z1223,'CAMD Facility Data 2023'!$AE$2:$AE$10000,0),3),"")</f>
        <v/>
      </c>
      <c r="AD1223" s="20" t="str">
        <f t="shared" si="58"/>
        <v/>
      </c>
      <c r="AE1223" s="25">
        <f t="shared" si="59"/>
        <v>2.8032213657367059E-3</v>
      </c>
    </row>
    <row r="1224" spans="1:31" x14ac:dyDescent="0.2">
      <c r="A1224" s="1" t="s">
        <v>651</v>
      </c>
      <c r="B1224" s="1" t="s">
        <v>3086</v>
      </c>
      <c r="C1224" s="1">
        <v>3734</v>
      </c>
      <c r="D1224" s="1" t="s">
        <v>3091</v>
      </c>
      <c r="F1224" s="1">
        <v>2023</v>
      </c>
      <c r="G1224" s="5">
        <v>37</v>
      </c>
      <c r="H1224" s="5">
        <v>34.200000000000003</v>
      </c>
      <c r="M1224" s="5">
        <v>477.7</v>
      </c>
      <c r="N1224" s="6">
        <v>8.1000000000000003E-2</v>
      </c>
      <c r="Q1224" s="5">
        <v>5894.9</v>
      </c>
      <c r="R1224" s="1" t="s">
        <v>94</v>
      </c>
      <c r="T1224" s="1" t="s">
        <v>93</v>
      </c>
      <c r="Y1224" s="1" t="s">
        <v>2309</v>
      </c>
      <c r="Z1224" s="1" t="str">
        <f t="shared" si="57"/>
        <v>3734 B</v>
      </c>
      <c r="AA1224" s="3">
        <f>IF(INDEX('CAMD Facility Data 2023'!$AA$2:$AE$10000,MATCH(Z1224,'CAMD Facility Data 2023'!$AE$2:$AE$10000,0),1)&gt;0,INDEX('CAMD Facility Data 2023'!$AA$2:$AE$10000,MATCH(Z1224,'CAMD Facility Data 2023'!$AE$2:$AE$10000,0),1),"")</f>
        <v>26451</v>
      </c>
      <c r="AB1224" s="5">
        <f>IF(INDEX('CAMD Facility Data 2023'!$AC$2:$AE$10000,MATCH(Z1224,'CAMD Facility Data 2023'!$AE$2:$AE$10000,0),1)&gt;0,INDEX('CAMD Facility Data 2023'!$AC$2:$AE$10000,MATCH(Z1224,'CAMD Facility Data 2023'!$AE$2:$AE$10000,0),1),"")</f>
        <v>355.5</v>
      </c>
      <c r="AC1224" s="1" t="str">
        <f>IF(INDEX('CAMD Facility Data 2023'!$AE$2:$AG$10000,MATCH(Z1224,'CAMD Facility Data 2023'!$AE$2:$AE$10000,0),3)&gt;0,INDEX('CAMD Facility Data 2023'!$AE$2:$AG$10000,MATCH(Z1224,'CAMD Facility Data 2023'!$AE$2:$AE$10000,0),3),"")</f>
        <v/>
      </c>
      <c r="AD1224" s="20" t="str">
        <f t="shared" si="58"/>
        <v/>
      </c>
      <c r="AE1224" s="25">
        <f t="shared" si="59"/>
        <v>1.8929220533174061E-3</v>
      </c>
    </row>
    <row r="1225" spans="1:31" x14ac:dyDescent="0.2">
      <c r="A1225" s="1" t="s">
        <v>651</v>
      </c>
      <c r="B1225" s="1" t="s">
        <v>3092</v>
      </c>
      <c r="C1225" s="1">
        <v>3754</v>
      </c>
      <c r="D1225" s="1" t="s">
        <v>311</v>
      </c>
      <c r="F1225" s="1">
        <v>2023</v>
      </c>
      <c r="G1225" s="5">
        <v>53</v>
      </c>
      <c r="H1225" s="5">
        <v>39.5</v>
      </c>
      <c r="M1225" s="5">
        <v>405.7</v>
      </c>
      <c r="N1225" s="6">
        <v>8.1100000000000005E-2</v>
      </c>
      <c r="Q1225" s="5">
        <v>5009.5</v>
      </c>
      <c r="R1225" s="1" t="s">
        <v>94</v>
      </c>
      <c r="T1225" s="1" t="s">
        <v>93</v>
      </c>
      <c r="Y1225" s="1" t="s">
        <v>2309</v>
      </c>
      <c r="Z1225" s="1" t="str">
        <f t="shared" si="57"/>
        <v>3754 CT1</v>
      </c>
      <c r="AA1225" s="3">
        <f>IF(INDEX('CAMD Facility Data 2023'!$AA$2:$AE$10000,MATCH(Z1225,'CAMD Facility Data 2023'!$AE$2:$AE$10000,0),1)&gt;0,INDEX('CAMD Facility Data 2023'!$AA$2:$AE$10000,MATCH(Z1225,'CAMD Facility Data 2023'!$AE$2:$AE$10000,0),1),"")</f>
        <v>26201</v>
      </c>
      <c r="AB1225" s="5">
        <f>IF(INDEX('CAMD Facility Data 2023'!$AC$2:$AE$10000,MATCH(Z1225,'CAMD Facility Data 2023'!$AE$2:$AE$10000,0),1)&gt;0,INDEX('CAMD Facility Data 2023'!$AC$2:$AE$10000,MATCH(Z1225,'CAMD Facility Data 2023'!$AE$2:$AE$10000,0),1),"")</f>
        <v>180.7</v>
      </c>
      <c r="AC1225" s="1" t="str">
        <f>IF(INDEX('CAMD Facility Data 2023'!$AE$2:$AG$10000,MATCH(Z1225,'CAMD Facility Data 2023'!$AE$2:$AE$10000,0),3)&gt;0,INDEX('CAMD Facility Data 2023'!$AE$2:$AG$10000,MATCH(Z1225,'CAMD Facility Data 2023'!$AE$2:$AE$10000,0),3),"")</f>
        <v/>
      </c>
      <c r="AD1225" s="20" t="str">
        <f t="shared" si="58"/>
        <v/>
      </c>
      <c r="AE1225" s="25">
        <f t="shared" si="59"/>
        <v>3.164696904225829E-3</v>
      </c>
    </row>
    <row r="1226" spans="1:31" x14ac:dyDescent="0.2">
      <c r="A1226" s="1" t="s">
        <v>651</v>
      </c>
      <c r="B1226" s="1" t="s">
        <v>3092</v>
      </c>
      <c r="C1226" s="1">
        <v>3754</v>
      </c>
      <c r="D1226" s="1" t="s">
        <v>98</v>
      </c>
      <c r="F1226" s="1">
        <v>2023</v>
      </c>
      <c r="G1226" s="5">
        <v>53</v>
      </c>
      <c r="H1226" s="5">
        <v>39</v>
      </c>
      <c r="M1226" s="5">
        <v>417.2</v>
      </c>
      <c r="N1226" s="6">
        <v>8.1199999999999994E-2</v>
      </c>
      <c r="Q1226" s="5">
        <v>5158.8999999999996</v>
      </c>
      <c r="R1226" s="1" t="s">
        <v>94</v>
      </c>
      <c r="T1226" s="1" t="s">
        <v>93</v>
      </c>
      <c r="Y1226" s="1" t="s">
        <v>2309</v>
      </c>
      <c r="Z1226" s="1" t="str">
        <f t="shared" si="57"/>
        <v>3754 CT2</v>
      </c>
      <c r="AA1226" s="3">
        <f>IF(INDEX('CAMD Facility Data 2023'!$AA$2:$AE$10000,MATCH(Z1226,'CAMD Facility Data 2023'!$AE$2:$AE$10000,0),1)&gt;0,INDEX('CAMD Facility Data 2023'!$AA$2:$AE$10000,MATCH(Z1226,'CAMD Facility Data 2023'!$AE$2:$AE$10000,0),1),"")</f>
        <v>26201</v>
      </c>
      <c r="AB1226" s="5">
        <f>IF(INDEX('CAMD Facility Data 2023'!$AC$2:$AE$10000,MATCH(Z1226,'CAMD Facility Data 2023'!$AE$2:$AE$10000,0),1)&gt;0,INDEX('CAMD Facility Data 2023'!$AC$2:$AE$10000,MATCH(Z1226,'CAMD Facility Data 2023'!$AE$2:$AE$10000,0),1),"")</f>
        <v>180.7</v>
      </c>
      <c r="AC1226" s="1" t="str">
        <f>IF(INDEX('CAMD Facility Data 2023'!$AE$2:$AG$10000,MATCH(Z1226,'CAMD Facility Data 2023'!$AE$2:$AE$10000,0),3)&gt;0,INDEX('CAMD Facility Data 2023'!$AE$2:$AG$10000,MATCH(Z1226,'CAMD Facility Data 2023'!$AE$2:$AE$10000,0),3),"")</f>
        <v/>
      </c>
      <c r="AD1226" s="20" t="str">
        <f t="shared" si="58"/>
        <v/>
      </c>
      <c r="AE1226" s="25">
        <f t="shared" si="59"/>
        <v>3.2590787222698129E-3</v>
      </c>
    </row>
    <row r="1227" spans="1:31" x14ac:dyDescent="0.2">
      <c r="A1227" s="1" t="s">
        <v>3095</v>
      </c>
      <c r="B1227" s="1" t="s">
        <v>3096</v>
      </c>
      <c r="C1227" s="1">
        <v>3775</v>
      </c>
      <c r="D1227" s="1">
        <v>1</v>
      </c>
      <c r="E1227" s="1" t="s">
        <v>3097</v>
      </c>
      <c r="F1227" s="1">
        <v>2023</v>
      </c>
      <c r="G1227" s="5">
        <v>546</v>
      </c>
      <c r="H1227" s="5">
        <v>538.14</v>
      </c>
      <c r="I1227" s="5">
        <v>44378.5</v>
      </c>
      <c r="K1227" s="5">
        <v>13.957000000000001</v>
      </c>
      <c r="L1227" s="5">
        <v>5.1700000000000003E-2</v>
      </c>
      <c r="M1227" s="5">
        <v>32209.808000000001</v>
      </c>
      <c r="N1227" s="6">
        <v>5.8999999999999997E-2</v>
      </c>
      <c r="O1227" s="5">
        <v>35.191000000000003</v>
      </c>
      <c r="P1227" s="6">
        <v>0.1144</v>
      </c>
      <c r="Q1227" s="5">
        <v>542003.47</v>
      </c>
      <c r="R1227" s="1" t="s">
        <v>284</v>
      </c>
      <c r="T1227" s="1" t="s">
        <v>3101</v>
      </c>
      <c r="V1227" s="1" t="s">
        <v>1516</v>
      </c>
      <c r="Y1227" s="1" t="s">
        <v>1515</v>
      </c>
      <c r="Z1227" s="1" t="str">
        <f t="shared" si="57"/>
        <v>3775 1</v>
      </c>
      <c r="AA1227" s="3">
        <f>IF(INDEX('CAMD Facility Data 2023'!$AA$2:$AE$10000,MATCH(Z1227,'CAMD Facility Data 2023'!$AE$2:$AE$10000,0),1)&gt;0,INDEX('CAMD Facility Data 2023'!$AA$2:$AE$10000,MATCH(Z1227,'CAMD Facility Data 2023'!$AE$2:$AE$10000,0),1),"")</f>
        <v>21458</v>
      </c>
      <c r="AB1227" s="5">
        <f>IF(INDEX('CAMD Facility Data 2023'!$AC$2:$AE$10000,MATCH(Z1227,'CAMD Facility Data 2023'!$AE$2:$AE$10000,0),1)&gt;0,INDEX('CAMD Facility Data 2023'!$AC$2:$AE$10000,MATCH(Z1227,'CAMD Facility Data 2023'!$AE$2:$AE$10000,0),1),"")</f>
        <v>2550</v>
      </c>
      <c r="AC1227" s="1" t="str">
        <f>IF(INDEX('CAMD Facility Data 2023'!$AE$2:$AG$10000,MATCH(Z1227,'CAMD Facility Data 2023'!$AE$2:$AE$10000,0),3)&gt;0,INDEX('CAMD Facility Data 2023'!$AE$2:$AG$10000,MATCH(Z1227,'CAMD Facility Data 2023'!$AE$2:$AE$10000,0),3),"")</f>
        <v>Y</v>
      </c>
      <c r="AD1227" s="20">
        <f t="shared" si="58"/>
        <v>1.5859481505684059</v>
      </c>
      <c r="AE1227" s="25">
        <f t="shared" si="59"/>
        <v>2.4263742053899185E-2</v>
      </c>
    </row>
    <row r="1228" spans="1:31" x14ac:dyDescent="0.2">
      <c r="A1228" s="1" t="s">
        <v>3095</v>
      </c>
      <c r="B1228" s="1" t="s">
        <v>3096</v>
      </c>
      <c r="C1228" s="1">
        <v>3775</v>
      </c>
      <c r="D1228" s="1">
        <v>2</v>
      </c>
      <c r="E1228" s="1" t="s">
        <v>3097</v>
      </c>
      <c r="F1228" s="1">
        <v>2023</v>
      </c>
      <c r="G1228" s="5">
        <v>674</v>
      </c>
      <c r="H1228" s="5">
        <v>662.73</v>
      </c>
      <c r="I1228" s="5">
        <v>48451.7</v>
      </c>
      <c r="K1228" s="5">
        <v>14.981</v>
      </c>
      <c r="L1228" s="5">
        <v>5.1700000000000003E-2</v>
      </c>
      <c r="M1228" s="5">
        <v>34575.084000000003</v>
      </c>
      <c r="N1228" s="6">
        <v>5.8999999999999997E-2</v>
      </c>
      <c r="O1228" s="5">
        <v>37.411999999999999</v>
      </c>
      <c r="P1228" s="6">
        <v>0.1138</v>
      </c>
      <c r="Q1228" s="5">
        <v>581797.41500000004</v>
      </c>
      <c r="R1228" s="1" t="s">
        <v>284</v>
      </c>
      <c r="T1228" s="1" t="s">
        <v>3101</v>
      </c>
      <c r="V1228" s="1" t="s">
        <v>1516</v>
      </c>
      <c r="Y1228" s="1" t="s">
        <v>1515</v>
      </c>
      <c r="Z1228" s="1" t="str">
        <f t="shared" si="57"/>
        <v>3775 2</v>
      </c>
      <c r="AA1228" s="3">
        <f>IF(INDEX('CAMD Facility Data 2023'!$AA$2:$AE$10000,MATCH(Z1228,'CAMD Facility Data 2023'!$AE$2:$AE$10000,0),1)&gt;0,INDEX('CAMD Facility Data 2023'!$AA$2:$AE$10000,MATCH(Z1228,'CAMD Facility Data 2023'!$AE$2:$AE$10000,0),1),"")</f>
        <v>21550</v>
      </c>
      <c r="AB1228" s="5">
        <f>IF(INDEX('CAMD Facility Data 2023'!$AC$2:$AE$10000,MATCH(Z1228,'CAMD Facility Data 2023'!$AE$2:$AE$10000,0),1)&gt;0,INDEX('CAMD Facility Data 2023'!$AC$2:$AE$10000,MATCH(Z1228,'CAMD Facility Data 2023'!$AE$2:$AE$10000,0),1),"")</f>
        <v>2550</v>
      </c>
      <c r="AC1228" s="1" t="str">
        <f>IF(INDEX('CAMD Facility Data 2023'!$AE$2:$AG$10000,MATCH(Z1228,'CAMD Facility Data 2023'!$AE$2:$AE$10000,0),3)&gt;0,INDEX('CAMD Facility Data 2023'!$AE$2:$AG$10000,MATCH(Z1228,'CAMD Facility Data 2023'!$AE$2:$AE$10000,0),3),"")</f>
        <v>Y</v>
      </c>
      <c r="AD1228" s="20">
        <f t="shared" si="58"/>
        <v>1.5443008191663039</v>
      </c>
      <c r="AE1228" s="25">
        <f t="shared" si="59"/>
        <v>2.6045188244247473E-2</v>
      </c>
    </row>
    <row r="1229" spans="1:31" x14ac:dyDescent="0.2">
      <c r="A1229" s="1" t="s">
        <v>3095</v>
      </c>
      <c r="B1229" s="1" t="s">
        <v>3104</v>
      </c>
      <c r="C1229" s="1">
        <v>3785</v>
      </c>
      <c r="D1229" s="1" t="s">
        <v>3105</v>
      </c>
      <c r="F1229" s="1">
        <v>2023</v>
      </c>
      <c r="G1229" s="5">
        <v>115</v>
      </c>
      <c r="H1229" s="5">
        <v>115</v>
      </c>
      <c r="I1229" s="5">
        <v>2360</v>
      </c>
      <c r="K1229" s="5">
        <v>0.58099999999999996</v>
      </c>
      <c r="L1229" s="5">
        <v>2.1000000000000001E-2</v>
      </c>
      <c r="M1229" s="5">
        <v>4427.5</v>
      </c>
      <c r="N1229" s="6">
        <v>8.1000000000000003E-2</v>
      </c>
      <c r="O1229" s="5">
        <v>32.746000000000002</v>
      </c>
      <c r="P1229" s="6">
        <v>1.2</v>
      </c>
      <c r="Q1229" s="5">
        <v>54579</v>
      </c>
      <c r="R1229" s="1" t="s">
        <v>94</v>
      </c>
      <c r="T1229" s="1" t="s">
        <v>93</v>
      </c>
      <c r="Y1229" s="1" t="s">
        <v>1528</v>
      </c>
      <c r="Z1229" s="1" t="str">
        <f t="shared" si="57"/>
        <v>3785 TA10</v>
      </c>
      <c r="AA1229" s="3">
        <f>IF(INDEX('CAMD Facility Data 2023'!$AA$2:$AE$10000,MATCH(Z1229,'CAMD Facility Data 2023'!$AE$2:$AE$10000,0),1)&gt;0,INDEX('CAMD Facility Data 2023'!$AA$2:$AE$10000,MATCH(Z1229,'CAMD Facility Data 2023'!$AE$2:$AE$10000,0),1),"")</f>
        <v>26451</v>
      </c>
      <c r="AB1229" s="5">
        <f>IF(INDEX('CAMD Facility Data 2023'!$AC$2:$AE$10000,MATCH(Z1229,'CAMD Facility Data 2023'!$AE$2:$AE$10000,0),1)&gt;0,INDEX('CAMD Facility Data 2023'!$AC$2:$AE$10000,MATCH(Z1229,'CAMD Facility Data 2023'!$AE$2:$AE$10000,0),1),"")</f>
        <v>480</v>
      </c>
      <c r="AC1229" s="1" t="str">
        <f>IF(INDEX('CAMD Facility Data 2023'!$AE$2:$AG$10000,MATCH(Z1229,'CAMD Facility Data 2023'!$AE$2:$AE$10000,0),3)&gt;0,INDEX('CAMD Facility Data 2023'!$AE$2:$AG$10000,MATCH(Z1229,'CAMD Facility Data 2023'!$AE$2:$AE$10000,0),3),"")</f>
        <v/>
      </c>
      <c r="AD1229" s="20">
        <f t="shared" si="58"/>
        <v>27.75084745762712</v>
      </c>
      <c r="AE1229" s="25">
        <f t="shared" si="59"/>
        <v>1.2980165525114155E-2</v>
      </c>
    </row>
    <row r="1230" spans="1:31" x14ac:dyDescent="0.2">
      <c r="A1230" s="1" t="s">
        <v>3095</v>
      </c>
      <c r="B1230" s="1" t="s">
        <v>3109</v>
      </c>
      <c r="C1230" s="1">
        <v>3797</v>
      </c>
      <c r="D1230" s="1">
        <v>5</v>
      </c>
      <c r="F1230" s="1">
        <v>2023</v>
      </c>
      <c r="G1230" s="5">
        <v>684</v>
      </c>
      <c r="H1230" s="5">
        <v>679.92</v>
      </c>
      <c r="I1230" s="5">
        <v>127267.23</v>
      </c>
      <c r="K1230" s="5">
        <v>53.37</v>
      </c>
      <c r="L1230" s="5">
        <v>7.7499999999999999E-2</v>
      </c>
      <c r="M1230" s="5">
        <v>130562.29700000001</v>
      </c>
      <c r="N1230" s="6">
        <v>0.10299999999999999</v>
      </c>
      <c r="O1230" s="5">
        <v>29.254000000000001</v>
      </c>
      <c r="P1230" s="6">
        <v>4.7100000000000003E-2</v>
      </c>
      <c r="Q1230" s="5">
        <v>1272521.469</v>
      </c>
      <c r="R1230" s="1" t="s">
        <v>55</v>
      </c>
      <c r="T1230" s="1" t="s">
        <v>43</v>
      </c>
      <c r="U1230" s="1" t="s">
        <v>3113</v>
      </c>
      <c r="V1230" s="1" t="s">
        <v>3114</v>
      </c>
      <c r="W1230" s="1" t="s">
        <v>3115</v>
      </c>
      <c r="Y1230" s="1" t="s">
        <v>682</v>
      </c>
      <c r="Z1230" s="1" t="str">
        <f t="shared" si="57"/>
        <v>3797 5</v>
      </c>
      <c r="AA1230" s="3">
        <f>IF(INDEX('CAMD Facility Data 2023'!$AA$2:$AE$10000,MATCH(Z1230,'CAMD Facility Data 2023'!$AE$2:$AE$10000,0),1)&gt;0,INDEX('CAMD Facility Data 2023'!$AA$2:$AE$10000,MATCH(Z1230,'CAMD Facility Data 2023'!$AE$2:$AE$10000,0),1),"")</f>
        <v>23549</v>
      </c>
      <c r="AB1230" s="5">
        <f>IF(INDEX('CAMD Facility Data 2023'!$AC$2:$AE$10000,MATCH(Z1230,'CAMD Facility Data 2023'!$AE$2:$AE$10000,0),1)&gt;0,INDEX('CAMD Facility Data 2023'!$AC$2:$AE$10000,MATCH(Z1230,'CAMD Facility Data 2023'!$AE$2:$AE$10000,0),1),"")</f>
        <v>3604</v>
      </c>
      <c r="AC1230" s="1" t="str">
        <f>IF(INDEX('CAMD Facility Data 2023'!$AE$2:$AG$10000,MATCH(Z1230,'CAMD Facility Data 2023'!$AE$2:$AE$10000,0),3)&gt;0,INDEX('CAMD Facility Data 2023'!$AE$2:$AG$10000,MATCH(Z1230,'CAMD Facility Data 2023'!$AE$2:$AE$10000,0),3),"")</f>
        <v>Y</v>
      </c>
      <c r="AD1230" s="20">
        <f t="shared" si="58"/>
        <v>0.45972557114663376</v>
      </c>
      <c r="AE1230" s="25">
        <f t="shared" si="59"/>
        <v>4.0306605959132165E-2</v>
      </c>
    </row>
    <row r="1231" spans="1:31" x14ac:dyDescent="0.2">
      <c r="A1231" s="1" t="s">
        <v>3095</v>
      </c>
      <c r="B1231" s="1" t="s">
        <v>3109</v>
      </c>
      <c r="C1231" s="1">
        <v>3797</v>
      </c>
      <c r="D1231" s="1">
        <v>6</v>
      </c>
      <c r="F1231" s="1">
        <v>2023</v>
      </c>
      <c r="G1231" s="5">
        <v>766</v>
      </c>
      <c r="H1231" s="5">
        <v>763.11</v>
      </c>
      <c r="I1231" s="5">
        <v>332650.76</v>
      </c>
      <c r="K1231" s="5">
        <v>129.93600000000001</v>
      </c>
      <c r="L1231" s="5">
        <v>6.8699999999999997E-2</v>
      </c>
      <c r="M1231" s="5">
        <v>371579.47399999999</v>
      </c>
      <c r="N1231" s="6">
        <v>0.10299999999999999</v>
      </c>
      <c r="O1231" s="5">
        <v>105.08799999999999</v>
      </c>
      <c r="P1231" s="6">
        <v>6.2E-2</v>
      </c>
      <c r="Q1231" s="5">
        <v>3621627.3960000002</v>
      </c>
      <c r="R1231" s="1" t="s">
        <v>55</v>
      </c>
      <c r="T1231" s="1" t="s">
        <v>43</v>
      </c>
      <c r="U1231" s="1" t="s">
        <v>3117</v>
      </c>
      <c r="V1231" s="1" t="s">
        <v>3118</v>
      </c>
      <c r="W1231" s="1" t="s">
        <v>3119</v>
      </c>
      <c r="Y1231" s="1" t="s">
        <v>682</v>
      </c>
      <c r="Z1231" s="1" t="str">
        <f t="shared" si="57"/>
        <v>3797 6</v>
      </c>
      <c r="AA1231" s="3">
        <f>IF(INDEX('CAMD Facility Data 2023'!$AA$2:$AE$10000,MATCH(Z1231,'CAMD Facility Data 2023'!$AE$2:$AE$10000,0),1)&gt;0,INDEX('CAMD Facility Data 2023'!$AA$2:$AE$10000,MATCH(Z1231,'CAMD Facility Data 2023'!$AE$2:$AE$10000,0),1),"")</f>
        <v>25326</v>
      </c>
      <c r="AB1231" s="5">
        <f>IF(INDEX('CAMD Facility Data 2023'!$AC$2:$AE$10000,MATCH(Z1231,'CAMD Facility Data 2023'!$AE$2:$AE$10000,0),1)&gt;0,INDEX('CAMD Facility Data 2023'!$AC$2:$AE$10000,MATCH(Z1231,'CAMD Facility Data 2023'!$AE$2:$AE$10000,0),1),"")</f>
        <v>7550</v>
      </c>
      <c r="AC1231" s="1" t="str">
        <f>IF(INDEX('CAMD Facility Data 2023'!$AE$2:$AG$10000,MATCH(Z1231,'CAMD Facility Data 2023'!$AE$2:$AE$10000,0),3)&gt;0,INDEX('CAMD Facility Data 2023'!$AE$2:$AG$10000,MATCH(Z1231,'CAMD Facility Data 2023'!$AE$2:$AE$10000,0),3),"")</f>
        <v>Y</v>
      </c>
      <c r="AD1231" s="20">
        <f t="shared" si="58"/>
        <v>0.63182179412426409</v>
      </c>
      <c r="AE1231" s="25">
        <f t="shared" si="59"/>
        <v>5.4758647010795615E-2</v>
      </c>
    </row>
    <row r="1232" spans="1:31" x14ac:dyDescent="0.2">
      <c r="A1232" s="1" t="s">
        <v>3095</v>
      </c>
      <c r="B1232" s="1" t="s">
        <v>3109</v>
      </c>
      <c r="C1232" s="1">
        <v>3797</v>
      </c>
      <c r="D1232" s="1">
        <v>7</v>
      </c>
      <c r="F1232" s="1">
        <v>2023</v>
      </c>
      <c r="G1232" s="5">
        <v>5482</v>
      </c>
      <c r="H1232" s="5">
        <v>5466.27</v>
      </c>
      <c r="I1232" s="5">
        <v>954206.3</v>
      </c>
      <c r="K1232" s="5">
        <v>2.1779999999999999</v>
      </c>
      <c r="L1232" s="5">
        <v>1E-3</v>
      </c>
      <c r="M1232" s="5">
        <v>431441.174</v>
      </c>
      <c r="N1232" s="6">
        <v>5.8999999999999997E-2</v>
      </c>
      <c r="O1232" s="5">
        <v>463.67399999999998</v>
      </c>
      <c r="P1232" s="6">
        <v>0.128</v>
      </c>
      <c r="Q1232" s="5">
        <v>7259778.523</v>
      </c>
      <c r="R1232" s="1" t="s">
        <v>44</v>
      </c>
      <c r="S1232" s="1" t="s">
        <v>94</v>
      </c>
      <c r="T1232" s="1" t="s">
        <v>71</v>
      </c>
      <c r="V1232" s="1" t="s">
        <v>1606</v>
      </c>
      <c r="Y1232" s="1" t="s">
        <v>1528</v>
      </c>
      <c r="Z1232" s="1" t="str">
        <f t="shared" si="57"/>
        <v>3797 7</v>
      </c>
      <c r="AA1232" s="3">
        <f>IF(INDEX('CAMD Facility Data 2023'!$AA$2:$AE$10000,MATCH(Z1232,'CAMD Facility Data 2023'!$AE$2:$AE$10000,0),1)&gt;0,INDEX('CAMD Facility Data 2023'!$AA$2:$AE$10000,MATCH(Z1232,'CAMD Facility Data 2023'!$AE$2:$AE$10000,0),1),"")</f>
        <v>33037</v>
      </c>
      <c r="AB1232" s="5">
        <f>IF(INDEX('CAMD Facility Data 2023'!$AC$2:$AE$10000,MATCH(Z1232,'CAMD Facility Data 2023'!$AE$2:$AE$10000,0),1)&gt;0,INDEX('CAMD Facility Data 2023'!$AC$2:$AE$10000,MATCH(Z1232,'CAMD Facility Data 2023'!$AE$2:$AE$10000,0),1),"")</f>
        <v>1980</v>
      </c>
      <c r="AC1232" s="1" t="str">
        <f>IF(INDEX('CAMD Facility Data 2023'!$AE$2:$AG$10000,MATCH(Z1232,'CAMD Facility Data 2023'!$AE$2:$AE$10000,0),3)&gt;0,INDEX('CAMD Facility Data 2023'!$AE$2:$AG$10000,MATCH(Z1232,'CAMD Facility Data 2023'!$AE$2:$AE$10000,0),3),"")</f>
        <v/>
      </c>
      <c r="AD1232" s="20">
        <f t="shared" si="58"/>
        <v>0.97185273247514714</v>
      </c>
      <c r="AE1232" s="25">
        <f t="shared" si="59"/>
        <v>0.41855648511369403</v>
      </c>
    </row>
    <row r="1233" spans="1:31" x14ac:dyDescent="0.2">
      <c r="A1233" s="1" t="s">
        <v>3095</v>
      </c>
      <c r="B1233" s="1" t="s">
        <v>3109</v>
      </c>
      <c r="C1233" s="1">
        <v>3797</v>
      </c>
      <c r="D1233" s="1" t="s">
        <v>3122</v>
      </c>
      <c r="F1233" s="1">
        <v>2023</v>
      </c>
      <c r="G1233" s="5">
        <v>6247</v>
      </c>
      <c r="H1233" s="5">
        <v>6238.48</v>
      </c>
      <c r="I1233" s="5">
        <v>1099050.8600000001</v>
      </c>
      <c r="K1233" s="5">
        <v>2.464</v>
      </c>
      <c r="L1233" s="5">
        <v>1E-3</v>
      </c>
      <c r="M1233" s="5">
        <v>485474.766</v>
      </c>
      <c r="N1233" s="6">
        <v>5.8999999999999997E-2</v>
      </c>
      <c r="O1233" s="5">
        <v>517.95600000000002</v>
      </c>
      <c r="P1233" s="6">
        <v>0.12379999999999999</v>
      </c>
      <c r="Q1233" s="5">
        <v>8168909.9639999997</v>
      </c>
      <c r="R1233" s="1" t="s">
        <v>44</v>
      </c>
      <c r="S1233" s="1" t="s">
        <v>94</v>
      </c>
      <c r="T1233" s="1" t="s">
        <v>71</v>
      </c>
      <c r="V1233" s="1" t="s">
        <v>1606</v>
      </c>
      <c r="Y1233" s="1" t="s">
        <v>1515</v>
      </c>
      <c r="Z1233" s="1" t="str">
        <f t="shared" si="57"/>
        <v>3797 **8A</v>
      </c>
      <c r="AA1233" s="3">
        <f>IF(INDEX('CAMD Facility Data 2023'!$AA$2:$AE$10000,MATCH(Z1233,'CAMD Facility Data 2023'!$AE$2:$AE$10000,0),1)&gt;0,INDEX('CAMD Facility Data 2023'!$AA$2:$AE$10000,MATCH(Z1233,'CAMD Facility Data 2023'!$AE$2:$AE$10000,0),1),"")</f>
        <v>33755</v>
      </c>
      <c r="AB1233" s="5">
        <f>IF(INDEX('CAMD Facility Data 2023'!$AC$2:$AE$10000,MATCH(Z1233,'CAMD Facility Data 2023'!$AE$2:$AE$10000,0),1)&gt;0,INDEX('CAMD Facility Data 2023'!$AC$2:$AE$10000,MATCH(Z1233,'CAMD Facility Data 2023'!$AE$2:$AE$10000,0),1),"")</f>
        <v>1980</v>
      </c>
      <c r="AC1233" s="1" t="str">
        <f>IF(INDEX('CAMD Facility Data 2023'!$AE$2:$AG$10000,MATCH(Z1233,'CAMD Facility Data 2023'!$AE$2:$AE$10000,0),3)&gt;0,INDEX('CAMD Facility Data 2023'!$AE$2:$AG$10000,MATCH(Z1233,'CAMD Facility Data 2023'!$AE$2:$AE$10000,0),3),"")</f>
        <v/>
      </c>
      <c r="AD1233" s="20">
        <f t="shared" si="58"/>
        <v>0.94255146663549305</v>
      </c>
      <c r="AE1233" s="25">
        <f t="shared" si="59"/>
        <v>0.47097170125916699</v>
      </c>
    </row>
    <row r="1234" spans="1:31" x14ac:dyDescent="0.2">
      <c r="A1234" s="1" t="s">
        <v>3095</v>
      </c>
      <c r="B1234" s="1" t="s">
        <v>3124</v>
      </c>
      <c r="C1234" s="1">
        <v>3804</v>
      </c>
      <c r="D1234" s="1" t="s">
        <v>70</v>
      </c>
      <c r="F1234" s="1">
        <v>2023</v>
      </c>
      <c r="G1234" s="5">
        <v>4505</v>
      </c>
      <c r="H1234" s="5">
        <v>4493.63</v>
      </c>
      <c r="I1234" s="5">
        <v>940520.65</v>
      </c>
      <c r="K1234" s="5">
        <v>2.004</v>
      </c>
      <c r="L1234" s="5">
        <v>1E-3</v>
      </c>
      <c r="M1234" s="5">
        <v>397002.96399999998</v>
      </c>
      <c r="N1234" s="6">
        <v>5.8999999999999997E-2</v>
      </c>
      <c r="O1234" s="5">
        <v>32.884999999999998</v>
      </c>
      <c r="P1234" s="6">
        <v>1.1599999999999999E-2</v>
      </c>
      <c r="Q1234" s="5">
        <v>6680290.3310000002</v>
      </c>
      <c r="R1234" s="1" t="s">
        <v>44</v>
      </c>
      <c r="S1234" s="1" t="s">
        <v>94</v>
      </c>
      <c r="T1234" s="1" t="s">
        <v>71</v>
      </c>
      <c r="V1234" s="1" t="s">
        <v>643</v>
      </c>
      <c r="Y1234" s="1" t="s">
        <v>1515</v>
      </c>
      <c r="Z1234" s="1" t="str">
        <f t="shared" si="57"/>
        <v>3804 6A</v>
      </c>
      <c r="AA1234" s="3">
        <f>IF(INDEX('CAMD Facility Data 2023'!$AA$2:$AE$10000,MATCH(Z1234,'CAMD Facility Data 2023'!$AE$2:$AE$10000,0),1)&gt;0,INDEX('CAMD Facility Data 2023'!$AA$2:$AE$10000,MATCH(Z1234,'CAMD Facility Data 2023'!$AE$2:$AE$10000,0),1),"")</f>
        <v>37736</v>
      </c>
      <c r="AB1234" s="5">
        <f>IF(INDEX('CAMD Facility Data 2023'!$AC$2:$AE$10000,MATCH(Z1234,'CAMD Facility Data 2023'!$AE$2:$AE$10000,0),1)&gt;0,INDEX('CAMD Facility Data 2023'!$AC$2:$AE$10000,MATCH(Z1234,'CAMD Facility Data 2023'!$AE$2:$AE$10000,0),1),"")</f>
        <v>2408</v>
      </c>
      <c r="AC1234" s="1" t="str">
        <f>IF(INDEX('CAMD Facility Data 2023'!$AE$2:$AG$10000,MATCH(Z1234,'CAMD Facility Data 2023'!$AE$2:$AE$10000,0),3)&gt;0,INDEX('CAMD Facility Data 2023'!$AE$2:$AG$10000,MATCH(Z1234,'CAMD Facility Data 2023'!$AE$2:$AE$10000,0),3),"")</f>
        <v>Y</v>
      </c>
      <c r="AD1234" s="20">
        <f t="shared" si="58"/>
        <v>6.9929352428359765E-2</v>
      </c>
      <c r="AE1234" s="25">
        <f t="shared" si="59"/>
        <v>0.31669029087781975</v>
      </c>
    </row>
    <row r="1235" spans="1:31" x14ac:dyDescent="0.2">
      <c r="A1235" s="1" t="s">
        <v>3095</v>
      </c>
      <c r="B1235" s="1" t="s">
        <v>3124</v>
      </c>
      <c r="C1235" s="1">
        <v>3804</v>
      </c>
      <c r="D1235" s="1" t="s">
        <v>73</v>
      </c>
      <c r="F1235" s="1">
        <v>2023</v>
      </c>
      <c r="G1235" s="5">
        <v>4745</v>
      </c>
      <c r="H1235" s="5">
        <v>4728.3900000000003</v>
      </c>
      <c r="I1235" s="5">
        <v>991730.61</v>
      </c>
      <c r="K1235" s="5">
        <v>2.1019999999999999</v>
      </c>
      <c r="L1235" s="5">
        <v>1E-3</v>
      </c>
      <c r="M1235" s="5">
        <v>416387.03</v>
      </c>
      <c r="N1235" s="6">
        <v>5.8999999999999997E-2</v>
      </c>
      <c r="O1235" s="5">
        <v>32.933999999999997</v>
      </c>
      <c r="P1235" s="6">
        <v>1.09E-2</v>
      </c>
      <c r="Q1235" s="5">
        <v>7006481.2510000002</v>
      </c>
      <c r="R1235" s="1" t="s">
        <v>44</v>
      </c>
      <c r="S1235" s="1" t="s">
        <v>94</v>
      </c>
      <c r="T1235" s="1" t="s">
        <v>71</v>
      </c>
      <c r="V1235" s="1" t="s">
        <v>643</v>
      </c>
      <c r="Y1235" s="1" t="s">
        <v>1515</v>
      </c>
      <c r="Z1235" s="1" t="str">
        <f t="shared" si="57"/>
        <v>3804 6B</v>
      </c>
      <c r="AA1235" s="3">
        <f>IF(INDEX('CAMD Facility Data 2023'!$AA$2:$AE$10000,MATCH(Z1235,'CAMD Facility Data 2023'!$AE$2:$AE$10000,0),1)&gt;0,INDEX('CAMD Facility Data 2023'!$AA$2:$AE$10000,MATCH(Z1235,'CAMD Facility Data 2023'!$AE$2:$AE$10000,0),1),"")</f>
        <v>37731</v>
      </c>
      <c r="AB1235" s="5">
        <f>IF(INDEX('CAMD Facility Data 2023'!$AC$2:$AE$10000,MATCH(Z1235,'CAMD Facility Data 2023'!$AE$2:$AE$10000,0),1)&gt;0,INDEX('CAMD Facility Data 2023'!$AC$2:$AE$10000,MATCH(Z1235,'CAMD Facility Data 2023'!$AE$2:$AE$10000,0),1),"")</f>
        <v>2408</v>
      </c>
      <c r="AC1235" s="1" t="str">
        <f>IF(INDEX('CAMD Facility Data 2023'!$AE$2:$AG$10000,MATCH(Z1235,'CAMD Facility Data 2023'!$AE$2:$AE$10000,0),3)&gt;0,INDEX('CAMD Facility Data 2023'!$AE$2:$AG$10000,MATCH(Z1235,'CAMD Facility Data 2023'!$AE$2:$AE$10000,0),3),"")</f>
        <v>Y</v>
      </c>
      <c r="AD1235" s="20">
        <f t="shared" si="58"/>
        <v>6.6417229977402834E-2</v>
      </c>
      <c r="AE1235" s="25">
        <f t="shared" si="59"/>
        <v>0.33215391479505152</v>
      </c>
    </row>
    <row r="1236" spans="1:31" x14ac:dyDescent="0.2">
      <c r="A1236" s="1" t="s">
        <v>3095</v>
      </c>
      <c r="B1236" s="1" t="s">
        <v>3129</v>
      </c>
      <c r="C1236" s="1">
        <v>3809</v>
      </c>
      <c r="D1236" s="1">
        <v>3</v>
      </c>
      <c r="F1236" s="1">
        <v>2023</v>
      </c>
      <c r="G1236" s="5">
        <v>160</v>
      </c>
      <c r="H1236" s="5">
        <v>157.25</v>
      </c>
      <c r="I1236" s="5">
        <v>0</v>
      </c>
      <c r="K1236" s="5">
        <v>0.75</v>
      </c>
      <c r="L1236" s="5">
        <v>2.2149000000000001</v>
      </c>
      <c r="M1236" s="5">
        <v>1624.5889999999999</v>
      </c>
      <c r="N1236" s="6">
        <v>6.7799999999999999E-2</v>
      </c>
      <c r="O1236" s="5">
        <v>0.218</v>
      </c>
      <c r="P1236" s="6">
        <v>1.7999999999999999E-2</v>
      </c>
      <c r="Q1236" s="5">
        <v>20095.829000000002</v>
      </c>
      <c r="R1236" s="1" t="s">
        <v>173</v>
      </c>
      <c r="S1236" s="1" t="s">
        <v>341</v>
      </c>
      <c r="T1236" s="1" t="s">
        <v>43</v>
      </c>
      <c r="V1236" s="1" t="s">
        <v>3131</v>
      </c>
      <c r="W1236" s="1" t="s">
        <v>3131</v>
      </c>
      <c r="Y1236" s="1" t="s">
        <v>682</v>
      </c>
      <c r="Z1236" s="1" t="str">
        <f t="shared" si="57"/>
        <v>3809 3</v>
      </c>
      <c r="AA1236" s="3">
        <f>IF(INDEX('CAMD Facility Data 2023'!$AA$2:$AE$10000,MATCH(Z1236,'CAMD Facility Data 2023'!$AE$2:$AE$10000,0),1)&gt;0,INDEX('CAMD Facility Data 2023'!$AA$2:$AE$10000,MATCH(Z1236,'CAMD Facility Data 2023'!$AE$2:$AE$10000,0),1),"")</f>
        <v>27339</v>
      </c>
      <c r="AB1236" s="5">
        <f>IF(INDEX('CAMD Facility Data 2023'!$AC$2:$AE$10000,MATCH(Z1236,'CAMD Facility Data 2023'!$AE$2:$AE$10000,0),1)&gt;0,INDEX('CAMD Facility Data 2023'!$AC$2:$AE$10000,MATCH(Z1236,'CAMD Facility Data 2023'!$AE$2:$AE$10000,0),1),"")</f>
        <v>8500</v>
      </c>
      <c r="AC1236" s="1" t="str">
        <f>IF(INDEX('CAMD Facility Data 2023'!$AE$2:$AG$10000,MATCH(Z1236,'CAMD Facility Data 2023'!$AE$2:$AE$10000,0),3)&gt;0,INDEX('CAMD Facility Data 2023'!$AE$2:$AG$10000,MATCH(Z1236,'CAMD Facility Data 2023'!$AE$2:$AE$10000,0),3),"")</f>
        <v/>
      </c>
      <c r="AD1236" s="20" t="str">
        <f t="shared" si="58"/>
        <v/>
      </c>
      <c r="AE1236" s="25">
        <f t="shared" si="59"/>
        <v>2.698875772226699E-4</v>
      </c>
    </row>
    <row r="1237" spans="1:31" x14ac:dyDescent="0.2">
      <c r="A1237" s="1" t="s">
        <v>690</v>
      </c>
      <c r="B1237" s="1" t="s">
        <v>3133</v>
      </c>
      <c r="C1237" s="1">
        <v>3845</v>
      </c>
      <c r="D1237" s="1" t="s">
        <v>3134</v>
      </c>
      <c r="F1237" s="1">
        <v>2023</v>
      </c>
      <c r="G1237" s="5">
        <v>7155</v>
      </c>
      <c r="H1237" s="5">
        <v>7145.59</v>
      </c>
      <c r="I1237" s="5">
        <v>4436384.54</v>
      </c>
      <c r="K1237" s="5">
        <v>1161.2370000000001</v>
      </c>
      <c r="L1237" s="5">
        <v>5.3699999999999998E-2</v>
      </c>
      <c r="M1237" s="5">
        <v>4960494.358</v>
      </c>
      <c r="N1237" s="6">
        <v>0.105</v>
      </c>
      <c r="O1237" s="5">
        <v>4107.8220000000001</v>
      </c>
      <c r="P1237" s="6">
        <v>0.17430000000000001</v>
      </c>
      <c r="Q1237" s="5">
        <v>47296886.614</v>
      </c>
      <c r="R1237" s="1" t="s">
        <v>55</v>
      </c>
      <c r="T1237" s="1" t="s">
        <v>43</v>
      </c>
      <c r="U1237" s="1" t="s">
        <v>56</v>
      </c>
      <c r="V1237" s="1" t="s">
        <v>213</v>
      </c>
      <c r="W1237" s="1" t="s">
        <v>800</v>
      </c>
      <c r="Y1237" s="1" t="s">
        <v>236</v>
      </c>
      <c r="Z1237" s="1" t="str">
        <f t="shared" si="57"/>
        <v>3845 BW22</v>
      </c>
      <c r="AA1237" s="3">
        <f>IF(INDEX('CAMD Facility Data 2023'!$AA$2:$AE$10000,MATCH(Z1237,'CAMD Facility Data 2023'!$AE$2:$AE$10000,0),1)&gt;0,INDEX('CAMD Facility Data 2023'!$AA$2:$AE$10000,MATCH(Z1237,'CAMD Facility Data 2023'!$AE$2:$AE$10000,0),1),"")</f>
        <v>26856</v>
      </c>
      <c r="AB1237" s="5">
        <f>IF(INDEX('CAMD Facility Data 2023'!$AC$2:$AE$10000,MATCH(Z1237,'CAMD Facility Data 2023'!$AE$2:$AE$10000,0),1)&gt;0,INDEX('CAMD Facility Data 2023'!$AC$2:$AE$10000,MATCH(Z1237,'CAMD Facility Data 2023'!$AE$2:$AE$10000,0),1),"")</f>
        <v>9770</v>
      </c>
      <c r="AC1237" s="1" t="str">
        <f>IF(INDEX('CAMD Facility Data 2023'!$AE$2:$AG$10000,MATCH(Z1237,'CAMD Facility Data 2023'!$AE$2:$AE$10000,0),3)&gt;0,INDEX('CAMD Facility Data 2023'!$AE$2:$AG$10000,MATCH(Z1237,'CAMD Facility Data 2023'!$AE$2:$AE$10000,0),3),"")</f>
        <v/>
      </c>
      <c r="AD1237" s="20">
        <f t="shared" si="58"/>
        <v>1.8518782413753521</v>
      </c>
      <c r="AE1237" s="25">
        <f t="shared" si="59"/>
        <v>0.55262927017755403</v>
      </c>
    </row>
    <row r="1238" spans="1:31" x14ac:dyDescent="0.2">
      <c r="A1238" s="1" t="s">
        <v>3140</v>
      </c>
      <c r="B1238" s="1" t="s">
        <v>3141</v>
      </c>
      <c r="C1238" s="1">
        <v>3935</v>
      </c>
      <c r="D1238" s="1">
        <v>1</v>
      </c>
      <c r="F1238" s="1">
        <v>2023</v>
      </c>
      <c r="G1238" s="5">
        <v>5580</v>
      </c>
      <c r="H1238" s="5">
        <v>5566.45</v>
      </c>
      <c r="I1238" s="5">
        <v>2069367.97</v>
      </c>
      <c r="K1238" s="5">
        <v>705.43700000000001</v>
      </c>
      <c r="L1238" s="5">
        <v>6.2700000000000006E-2</v>
      </c>
      <c r="M1238" s="5">
        <v>2190566.585</v>
      </c>
      <c r="N1238" s="6">
        <v>0.10299999999999999</v>
      </c>
      <c r="O1238" s="5">
        <v>969.41200000000003</v>
      </c>
      <c r="P1238" s="6">
        <v>9.5699999999999993E-2</v>
      </c>
      <c r="Q1238" s="5">
        <v>21350563.971000001</v>
      </c>
      <c r="R1238" s="1" t="s">
        <v>55</v>
      </c>
      <c r="T1238" s="1" t="s">
        <v>89</v>
      </c>
      <c r="U1238" s="1" t="s">
        <v>56</v>
      </c>
      <c r="V1238" s="1" t="s">
        <v>639</v>
      </c>
      <c r="W1238" s="1" t="s">
        <v>58</v>
      </c>
      <c r="Y1238" s="1" t="s">
        <v>1353</v>
      </c>
      <c r="Z1238" s="1" t="str">
        <f t="shared" si="57"/>
        <v>3935 1</v>
      </c>
      <c r="AA1238" s="3">
        <f>IF(INDEX('CAMD Facility Data 2023'!$AA$2:$AE$10000,MATCH(Z1238,'CAMD Facility Data 2023'!$AE$2:$AE$10000,0),1)&gt;0,INDEX('CAMD Facility Data 2023'!$AA$2:$AE$10000,MATCH(Z1238,'CAMD Facility Data 2023'!$AE$2:$AE$10000,0),1),"")</f>
        <v>26177</v>
      </c>
      <c r="AB1238" s="5">
        <f>IF(INDEX('CAMD Facility Data 2023'!$AC$2:$AE$10000,MATCH(Z1238,'CAMD Facility Data 2023'!$AE$2:$AE$10000,0),1)&gt;0,INDEX('CAMD Facility Data 2023'!$AC$2:$AE$10000,MATCH(Z1238,'CAMD Facility Data 2023'!$AE$2:$AE$10000,0),1),"")</f>
        <v>7020</v>
      </c>
      <c r="AC1238" s="1" t="str">
        <f>IF(INDEX('CAMD Facility Data 2023'!$AE$2:$AG$10000,MATCH(Z1238,'CAMD Facility Data 2023'!$AE$2:$AE$10000,0),3)&gt;0,INDEX('CAMD Facility Data 2023'!$AE$2:$AG$10000,MATCH(Z1238,'CAMD Facility Data 2023'!$AE$2:$AE$10000,0),3),"")</f>
        <v>Y</v>
      </c>
      <c r="AD1238" s="20">
        <f t="shared" si="58"/>
        <v>0.9369160188557476</v>
      </c>
      <c r="AE1238" s="25">
        <f t="shared" si="59"/>
        <v>0.34719073961870195</v>
      </c>
    </row>
    <row r="1239" spans="1:31" x14ac:dyDescent="0.2">
      <c r="A1239" s="1" t="s">
        <v>3140</v>
      </c>
      <c r="B1239" s="1" t="s">
        <v>3141</v>
      </c>
      <c r="C1239" s="1">
        <v>3935</v>
      </c>
      <c r="D1239" s="1">
        <v>2</v>
      </c>
      <c r="F1239" s="1">
        <v>2023</v>
      </c>
      <c r="G1239" s="5">
        <v>5857</v>
      </c>
      <c r="H1239" s="5">
        <v>5838.26</v>
      </c>
      <c r="I1239" s="5">
        <v>2405417.2000000002</v>
      </c>
      <c r="K1239" s="5">
        <v>903.30600000000004</v>
      </c>
      <c r="L1239" s="5">
        <v>9.2200000000000004E-2</v>
      </c>
      <c r="M1239" s="5">
        <v>2452007.2409999999</v>
      </c>
      <c r="N1239" s="6">
        <v>0.10299999999999999</v>
      </c>
      <c r="O1239" s="5">
        <v>1035.519</v>
      </c>
      <c r="P1239" s="6">
        <v>9.2799999999999994E-2</v>
      </c>
      <c r="Q1239" s="5">
        <v>23898716.627999999</v>
      </c>
      <c r="R1239" s="1" t="s">
        <v>55</v>
      </c>
      <c r="T1239" s="1" t="s">
        <v>89</v>
      </c>
      <c r="U1239" s="1" t="s">
        <v>56</v>
      </c>
      <c r="V1239" s="1" t="s">
        <v>639</v>
      </c>
      <c r="W1239" s="1" t="s">
        <v>58</v>
      </c>
      <c r="Y1239" s="1" t="s">
        <v>1353</v>
      </c>
      <c r="Z1239" s="1" t="str">
        <f t="shared" si="57"/>
        <v>3935 2</v>
      </c>
      <c r="AA1239" s="3">
        <f>IF(INDEX('CAMD Facility Data 2023'!$AA$2:$AE$10000,MATCH(Z1239,'CAMD Facility Data 2023'!$AE$2:$AE$10000,0),1)&gt;0,INDEX('CAMD Facility Data 2023'!$AA$2:$AE$10000,MATCH(Z1239,'CAMD Facility Data 2023'!$AE$2:$AE$10000,0),1),"")</f>
        <v>26456</v>
      </c>
      <c r="AB1239" s="5">
        <f>IF(INDEX('CAMD Facility Data 2023'!$AC$2:$AE$10000,MATCH(Z1239,'CAMD Facility Data 2023'!$AE$2:$AE$10000,0),1)&gt;0,INDEX('CAMD Facility Data 2023'!$AC$2:$AE$10000,MATCH(Z1239,'CAMD Facility Data 2023'!$AE$2:$AE$10000,0),1),"")</f>
        <v>7020</v>
      </c>
      <c r="AC1239" s="1" t="str">
        <f>IF(INDEX('CAMD Facility Data 2023'!$AE$2:$AG$10000,MATCH(Z1239,'CAMD Facility Data 2023'!$AE$2:$AE$10000,0),3)&gt;0,INDEX('CAMD Facility Data 2023'!$AE$2:$AG$10000,MATCH(Z1239,'CAMD Facility Data 2023'!$AE$2:$AE$10000,0),3),"")</f>
        <v>Y</v>
      </c>
      <c r="AD1239" s="20">
        <f t="shared" si="58"/>
        <v>0.86098910409387608</v>
      </c>
      <c r="AE1239" s="25">
        <f t="shared" si="59"/>
        <v>0.38862735023221323</v>
      </c>
    </row>
    <row r="1240" spans="1:31" x14ac:dyDescent="0.2">
      <c r="A1240" s="1" t="s">
        <v>3140</v>
      </c>
      <c r="B1240" s="1" t="s">
        <v>3141</v>
      </c>
      <c r="C1240" s="1">
        <v>3935</v>
      </c>
      <c r="D1240" s="1">
        <v>3</v>
      </c>
      <c r="F1240" s="1">
        <v>2023</v>
      </c>
      <c r="G1240" s="5">
        <v>5990</v>
      </c>
      <c r="H1240" s="5">
        <v>5982.99</v>
      </c>
      <c r="I1240" s="5">
        <v>4713846.7300000004</v>
      </c>
      <c r="K1240" s="5">
        <v>2928.0390000000002</v>
      </c>
      <c r="L1240" s="5">
        <v>0.1371</v>
      </c>
      <c r="M1240" s="5">
        <v>4915175.7949999999</v>
      </c>
      <c r="N1240" s="6">
        <v>0.10299999999999999</v>
      </c>
      <c r="O1240" s="5">
        <v>2426.7310000000002</v>
      </c>
      <c r="P1240" s="6">
        <v>0.1012</v>
      </c>
      <c r="Q1240" s="5">
        <v>47906174.241999999</v>
      </c>
      <c r="R1240" s="1" t="s">
        <v>55</v>
      </c>
      <c r="T1240" s="1" t="s">
        <v>86</v>
      </c>
      <c r="U1240" s="1" t="s">
        <v>56</v>
      </c>
      <c r="V1240" s="1" t="s">
        <v>1633</v>
      </c>
      <c r="W1240" s="1" t="s">
        <v>58</v>
      </c>
      <c r="Y1240" s="1" t="s">
        <v>1353</v>
      </c>
      <c r="Z1240" s="1" t="str">
        <f t="shared" si="57"/>
        <v>3935 3</v>
      </c>
      <c r="AA1240" s="3">
        <f>IF(INDEX('CAMD Facility Data 2023'!$AA$2:$AE$10000,MATCH(Z1240,'CAMD Facility Data 2023'!$AE$2:$AE$10000,0),1)&gt;0,INDEX('CAMD Facility Data 2023'!$AA$2:$AE$10000,MATCH(Z1240,'CAMD Facility Data 2023'!$AE$2:$AE$10000,0),1),"")</f>
        <v>26959</v>
      </c>
      <c r="AB1240" s="5">
        <f>IF(INDEX('CAMD Facility Data 2023'!$AC$2:$AE$10000,MATCH(Z1240,'CAMD Facility Data 2023'!$AE$2:$AE$10000,0),1)&gt;0,INDEX('CAMD Facility Data 2023'!$AC$2:$AE$10000,MATCH(Z1240,'CAMD Facility Data 2023'!$AE$2:$AE$10000,0),1),"")</f>
        <v>11900</v>
      </c>
      <c r="AC1240" s="1" t="str">
        <f>IF(INDEX('CAMD Facility Data 2023'!$AE$2:$AG$10000,MATCH(Z1240,'CAMD Facility Data 2023'!$AE$2:$AE$10000,0),3)&gt;0,INDEX('CAMD Facility Data 2023'!$AE$2:$AG$10000,MATCH(Z1240,'CAMD Facility Data 2023'!$AE$2:$AE$10000,0),3),"")</f>
        <v>Y</v>
      </c>
      <c r="AD1240" s="20">
        <f t="shared" si="58"/>
        <v>1.029618118279378</v>
      </c>
      <c r="AE1240" s="25">
        <f t="shared" si="59"/>
        <v>0.45955809679214149</v>
      </c>
    </row>
    <row r="1241" spans="1:31" x14ac:dyDescent="0.2">
      <c r="A1241" s="1" t="s">
        <v>3140</v>
      </c>
      <c r="B1241" s="1" t="s">
        <v>3146</v>
      </c>
      <c r="C1241" s="1">
        <v>3943</v>
      </c>
      <c r="D1241" s="1">
        <v>1</v>
      </c>
      <c r="F1241" s="1">
        <v>2023</v>
      </c>
      <c r="G1241" s="5">
        <v>5507</v>
      </c>
      <c r="H1241" s="5">
        <v>5486.31</v>
      </c>
      <c r="I1241" s="5">
        <v>2028915.64</v>
      </c>
      <c r="K1241" s="5">
        <v>972.97900000000004</v>
      </c>
      <c r="L1241" s="5">
        <v>0.11609999999999999</v>
      </c>
      <c r="M1241" s="5">
        <v>1843186.7379999999</v>
      </c>
      <c r="N1241" s="6">
        <v>0.1026</v>
      </c>
      <c r="O1241" s="5">
        <v>2236.3960000000002</v>
      </c>
      <c r="P1241" s="6">
        <v>0.23530000000000001</v>
      </c>
      <c r="Q1241" s="5">
        <v>17964767.217</v>
      </c>
      <c r="R1241" s="1" t="s">
        <v>55</v>
      </c>
      <c r="T1241" s="1" t="s">
        <v>43</v>
      </c>
      <c r="U1241" s="1" t="s">
        <v>241</v>
      </c>
      <c r="V1241" s="1" t="s">
        <v>1233</v>
      </c>
      <c r="W1241" s="1" t="s">
        <v>58</v>
      </c>
      <c r="X1241" s="1" t="s">
        <v>59</v>
      </c>
      <c r="Y1241" s="1" t="s">
        <v>1353</v>
      </c>
      <c r="Z1241" s="1" t="str">
        <f t="shared" si="57"/>
        <v>3943 1</v>
      </c>
      <c r="AA1241" s="3">
        <f>IF(INDEX('CAMD Facility Data 2023'!$AA$2:$AE$10000,MATCH(Z1241,'CAMD Facility Data 2023'!$AE$2:$AE$10000,0),1)&gt;0,INDEX('CAMD Facility Data 2023'!$AA$2:$AE$10000,MATCH(Z1241,'CAMD Facility Data 2023'!$AE$2:$AE$10000,0),1),"")</f>
        <v>24473</v>
      </c>
      <c r="AB1241" s="5">
        <f>IF(INDEX('CAMD Facility Data 2023'!$AC$2:$AE$10000,MATCH(Z1241,'CAMD Facility Data 2023'!$AE$2:$AE$10000,0),1)&gt;0,INDEX('CAMD Facility Data 2023'!$AC$2:$AE$10000,MATCH(Z1241,'CAMD Facility Data 2023'!$AE$2:$AE$10000,0),1),"")</f>
        <v>6617</v>
      </c>
      <c r="AC1241" s="1" t="str">
        <f>IF(INDEX('CAMD Facility Data 2023'!$AE$2:$AG$10000,MATCH(Z1241,'CAMD Facility Data 2023'!$AE$2:$AE$10000,0),3)&gt;0,INDEX('CAMD Facility Data 2023'!$AE$2:$AG$10000,MATCH(Z1241,'CAMD Facility Data 2023'!$AE$2:$AE$10000,0),3),"")</f>
        <v/>
      </c>
      <c r="AD1241" s="20">
        <f t="shared" si="58"/>
        <v>2.2045233975326841</v>
      </c>
      <c r="AE1241" s="25">
        <f t="shared" si="59"/>
        <v>0.30992481688924955</v>
      </c>
    </row>
    <row r="1242" spans="1:31" x14ac:dyDescent="0.2">
      <c r="A1242" s="1" t="s">
        <v>3140</v>
      </c>
      <c r="B1242" s="1" t="s">
        <v>3146</v>
      </c>
      <c r="C1242" s="1">
        <v>3943</v>
      </c>
      <c r="D1242" s="1">
        <v>2</v>
      </c>
      <c r="F1242" s="1">
        <v>2023</v>
      </c>
      <c r="G1242" s="5">
        <v>7053</v>
      </c>
      <c r="H1242" s="5">
        <v>7036.49</v>
      </c>
      <c r="I1242" s="5">
        <v>2793096.22</v>
      </c>
      <c r="K1242" s="5">
        <v>1399.576</v>
      </c>
      <c r="L1242" s="5">
        <v>0.1041</v>
      </c>
      <c r="M1242" s="5">
        <v>2630304.7689999999</v>
      </c>
      <c r="N1242" s="6">
        <v>0.1023</v>
      </c>
      <c r="O1242" s="5">
        <v>3025.0169999999998</v>
      </c>
      <c r="P1242" s="6">
        <v>0.2233</v>
      </c>
      <c r="Q1242" s="5">
        <v>25636491.434999999</v>
      </c>
      <c r="R1242" s="1" t="s">
        <v>55</v>
      </c>
      <c r="T1242" s="1" t="s">
        <v>86</v>
      </c>
      <c r="U1242" s="1" t="s">
        <v>241</v>
      </c>
      <c r="V1242" s="1" t="s">
        <v>87</v>
      </c>
      <c r="W1242" s="1" t="s">
        <v>58</v>
      </c>
      <c r="X1242" s="1" t="s">
        <v>59</v>
      </c>
      <c r="Y1242" s="1" t="s">
        <v>1353</v>
      </c>
      <c r="Z1242" s="1" t="str">
        <f t="shared" si="57"/>
        <v>3943 2</v>
      </c>
      <c r="AA1242" s="3">
        <f>IF(INDEX('CAMD Facility Data 2023'!$AA$2:$AE$10000,MATCH(Z1242,'CAMD Facility Data 2023'!$AE$2:$AE$10000,0),1)&gt;0,INDEX('CAMD Facility Data 2023'!$AA$2:$AE$10000,MATCH(Z1242,'CAMD Facility Data 2023'!$AE$2:$AE$10000,0),1),"")</f>
        <v>24838</v>
      </c>
      <c r="AB1242" s="5">
        <f>IF(INDEX('CAMD Facility Data 2023'!$AC$2:$AE$10000,MATCH(Z1242,'CAMD Facility Data 2023'!$AE$2:$AE$10000,0),1)&gt;0,INDEX('CAMD Facility Data 2023'!$AC$2:$AE$10000,MATCH(Z1242,'CAMD Facility Data 2023'!$AE$2:$AE$10000,0),1),"")</f>
        <v>6037</v>
      </c>
      <c r="AC1242" s="1" t="str">
        <f>IF(INDEX('CAMD Facility Data 2023'!$AE$2:$AG$10000,MATCH(Z1242,'CAMD Facility Data 2023'!$AE$2:$AE$10000,0),3)&gt;0,INDEX('CAMD Facility Data 2023'!$AE$2:$AG$10000,MATCH(Z1242,'CAMD Facility Data 2023'!$AE$2:$AE$10000,0),3),"")</f>
        <v/>
      </c>
      <c r="AD1242" s="20">
        <f t="shared" si="58"/>
        <v>2.1660671611234359</v>
      </c>
      <c r="AE1242" s="25">
        <f t="shared" si="59"/>
        <v>0.48476728808194214</v>
      </c>
    </row>
    <row r="1243" spans="1:31" x14ac:dyDescent="0.2">
      <c r="A1243" s="1" t="s">
        <v>3140</v>
      </c>
      <c r="B1243" s="1" t="s">
        <v>3152</v>
      </c>
      <c r="C1243" s="1">
        <v>3944</v>
      </c>
      <c r="D1243" s="1">
        <v>1</v>
      </c>
      <c r="F1243" s="1">
        <v>2023</v>
      </c>
      <c r="G1243" s="5">
        <v>7212</v>
      </c>
      <c r="H1243" s="5">
        <v>7197.85</v>
      </c>
      <c r="I1243" s="5">
        <v>4377431.28</v>
      </c>
      <c r="K1243" s="5">
        <v>5368.1360000000004</v>
      </c>
      <c r="L1243" s="5">
        <v>0.28739999999999999</v>
      </c>
      <c r="M1243" s="5">
        <v>4388063.04</v>
      </c>
      <c r="N1243" s="6">
        <v>0.10299999999999999</v>
      </c>
      <c r="O1243" s="5">
        <v>1792.943</v>
      </c>
      <c r="P1243" s="6">
        <v>8.6800000000000002E-2</v>
      </c>
      <c r="Q1243" s="5">
        <v>42768692.644000001</v>
      </c>
      <c r="R1243" s="1" t="s">
        <v>55</v>
      </c>
      <c r="T1243" s="1" t="s">
        <v>89</v>
      </c>
      <c r="U1243" s="1" t="s">
        <v>241</v>
      </c>
      <c r="V1243" s="1" t="s">
        <v>639</v>
      </c>
      <c r="W1243" s="1" t="s">
        <v>58</v>
      </c>
      <c r="Y1243" s="1" t="s">
        <v>1353</v>
      </c>
      <c r="Z1243" s="1" t="str">
        <f t="shared" si="57"/>
        <v>3944 1</v>
      </c>
      <c r="AA1243" s="3">
        <f>IF(INDEX('CAMD Facility Data 2023'!$AA$2:$AE$10000,MATCH(Z1243,'CAMD Facility Data 2023'!$AE$2:$AE$10000,0),1)&gt;0,INDEX('CAMD Facility Data 2023'!$AA$2:$AE$10000,MATCH(Z1243,'CAMD Facility Data 2023'!$AE$2:$AE$10000,0),1),"")</f>
        <v>26299</v>
      </c>
      <c r="AB1243" s="5">
        <f>IF(INDEX('CAMD Facility Data 2023'!$AC$2:$AE$10000,MATCH(Z1243,'CAMD Facility Data 2023'!$AE$2:$AE$10000,0),1)&gt;0,INDEX('CAMD Facility Data 2023'!$AC$2:$AE$10000,MATCH(Z1243,'CAMD Facility Data 2023'!$AE$2:$AE$10000,0),1),"")</f>
        <v>7999</v>
      </c>
      <c r="AC1243" s="1" t="str">
        <f>IF(INDEX('CAMD Facility Data 2023'!$AE$2:$AG$10000,MATCH(Z1243,'CAMD Facility Data 2023'!$AE$2:$AE$10000,0),3)&gt;0,INDEX('CAMD Facility Data 2023'!$AE$2:$AG$10000,MATCH(Z1243,'CAMD Facility Data 2023'!$AE$2:$AE$10000,0),3),"")</f>
        <v>Y</v>
      </c>
      <c r="AD1243" s="20">
        <f t="shared" si="58"/>
        <v>0.81917585237340373</v>
      </c>
      <c r="AE1243" s="25">
        <f t="shared" si="59"/>
        <v>0.61036015124036624</v>
      </c>
    </row>
    <row r="1244" spans="1:31" x14ac:dyDescent="0.2">
      <c r="A1244" s="1" t="s">
        <v>3140</v>
      </c>
      <c r="B1244" s="1" t="s">
        <v>3152</v>
      </c>
      <c r="C1244" s="1">
        <v>3944</v>
      </c>
      <c r="D1244" s="1">
        <v>2</v>
      </c>
      <c r="F1244" s="1">
        <v>2023</v>
      </c>
      <c r="G1244" s="5">
        <v>7627</v>
      </c>
      <c r="H1244" s="5">
        <v>7613.7</v>
      </c>
      <c r="I1244" s="5">
        <v>4662894.43</v>
      </c>
      <c r="K1244" s="5">
        <v>5438.518</v>
      </c>
      <c r="L1244" s="5">
        <v>46.420699999999997</v>
      </c>
      <c r="M1244" s="5">
        <v>4459713.034</v>
      </c>
      <c r="N1244" s="6">
        <v>0.1028</v>
      </c>
      <c r="O1244" s="5">
        <v>1411.72</v>
      </c>
      <c r="P1244" s="6">
        <v>7.3099999999999998E-2</v>
      </c>
      <c r="Q1244" s="5">
        <v>43466988.049000002</v>
      </c>
      <c r="R1244" s="1" t="s">
        <v>55</v>
      </c>
      <c r="T1244" s="1" t="s">
        <v>89</v>
      </c>
      <c r="U1244" s="1" t="s">
        <v>241</v>
      </c>
      <c r="V1244" s="1" t="s">
        <v>639</v>
      </c>
      <c r="W1244" s="1" t="s">
        <v>58</v>
      </c>
      <c r="Y1244" s="1" t="s">
        <v>1353</v>
      </c>
      <c r="Z1244" s="1" t="str">
        <f t="shared" si="57"/>
        <v>3944 2</v>
      </c>
      <c r="AA1244" s="3">
        <f>IF(INDEX('CAMD Facility Data 2023'!$AA$2:$AE$10000,MATCH(Z1244,'CAMD Facility Data 2023'!$AE$2:$AE$10000,0),1)&gt;0,INDEX('CAMD Facility Data 2023'!$AA$2:$AE$10000,MATCH(Z1244,'CAMD Facility Data 2023'!$AE$2:$AE$10000,0),1),"")</f>
        <v>26665</v>
      </c>
      <c r="AB1244" s="5">
        <f>IF(INDEX('CAMD Facility Data 2023'!$AC$2:$AE$10000,MATCH(Z1244,'CAMD Facility Data 2023'!$AE$2:$AE$10000,0),1)&gt;0,INDEX('CAMD Facility Data 2023'!$AC$2:$AE$10000,MATCH(Z1244,'CAMD Facility Data 2023'!$AE$2:$AE$10000,0),1),"")</f>
        <v>7950</v>
      </c>
      <c r="AC1244" s="1" t="str">
        <f>IF(INDEX('CAMD Facility Data 2023'!$AE$2:$AG$10000,MATCH(Z1244,'CAMD Facility Data 2023'!$AE$2:$AE$10000,0),3)&gt;0,INDEX('CAMD Facility Data 2023'!$AE$2:$AG$10000,MATCH(Z1244,'CAMD Facility Data 2023'!$AE$2:$AE$10000,0),3),"")</f>
        <v>Y</v>
      </c>
      <c r="AD1244" s="20">
        <f t="shared" si="58"/>
        <v>0.60551231480486256</v>
      </c>
      <c r="AE1244" s="25">
        <f t="shared" si="59"/>
        <v>0.62414904869188137</v>
      </c>
    </row>
    <row r="1245" spans="1:31" x14ac:dyDescent="0.2">
      <c r="A1245" s="1" t="s">
        <v>3140</v>
      </c>
      <c r="B1245" s="1" t="s">
        <v>3152</v>
      </c>
      <c r="C1245" s="1">
        <v>3944</v>
      </c>
      <c r="D1245" s="1">
        <v>3</v>
      </c>
      <c r="F1245" s="1">
        <v>2023</v>
      </c>
      <c r="G1245" s="5">
        <v>5481</v>
      </c>
      <c r="H1245" s="5">
        <v>5470.02</v>
      </c>
      <c r="I1245" s="5">
        <v>3090272.89</v>
      </c>
      <c r="K1245" s="5">
        <v>4844.5640000000003</v>
      </c>
      <c r="L1245" s="5">
        <v>1.0206</v>
      </c>
      <c r="M1245" s="5">
        <v>3377121.6919999998</v>
      </c>
      <c r="N1245" s="6">
        <v>0.10299999999999999</v>
      </c>
      <c r="O1245" s="5">
        <v>1557.722</v>
      </c>
      <c r="P1245" s="6">
        <v>0.1051</v>
      </c>
      <c r="Q1245" s="5">
        <v>32915413.859000001</v>
      </c>
      <c r="R1245" s="1" t="s">
        <v>55</v>
      </c>
      <c r="T1245" s="1" t="s">
        <v>89</v>
      </c>
      <c r="U1245" s="1" t="s">
        <v>241</v>
      </c>
      <c r="V1245" s="1" t="s">
        <v>639</v>
      </c>
      <c r="W1245" s="1" t="s">
        <v>58</v>
      </c>
      <c r="Y1245" s="1" t="s">
        <v>1353</v>
      </c>
      <c r="Z1245" s="1" t="str">
        <f t="shared" si="57"/>
        <v>3944 3</v>
      </c>
      <c r="AA1245" s="3">
        <f>IF(INDEX('CAMD Facility Data 2023'!$AA$2:$AE$10000,MATCH(Z1245,'CAMD Facility Data 2023'!$AE$2:$AE$10000,0),1)&gt;0,INDEX('CAMD Facility Data 2023'!$AA$2:$AE$10000,MATCH(Z1245,'CAMD Facility Data 2023'!$AE$2:$AE$10000,0),1),"")</f>
        <v>27030</v>
      </c>
      <c r="AB1245" s="5">
        <f>IF(INDEX('CAMD Facility Data 2023'!$AC$2:$AE$10000,MATCH(Z1245,'CAMD Facility Data 2023'!$AE$2:$AE$10000,0),1)&gt;0,INDEX('CAMD Facility Data 2023'!$AC$2:$AE$10000,MATCH(Z1245,'CAMD Facility Data 2023'!$AE$2:$AE$10000,0),1),"")</f>
        <v>8300</v>
      </c>
      <c r="AC1245" s="1" t="str">
        <f>IF(INDEX('CAMD Facility Data 2023'!$AE$2:$AG$10000,MATCH(Z1245,'CAMD Facility Data 2023'!$AE$2:$AE$10000,0),3)&gt;0,INDEX('CAMD Facility Data 2023'!$AE$2:$AG$10000,MATCH(Z1245,'CAMD Facility Data 2023'!$AE$2:$AE$10000,0),3),"")</f>
        <v>Y</v>
      </c>
      <c r="AD1245" s="20">
        <f t="shared" si="58"/>
        <v>1.0081452709504888</v>
      </c>
      <c r="AE1245" s="25">
        <f t="shared" si="59"/>
        <v>0.45270690789184137</v>
      </c>
    </row>
    <row r="1246" spans="1:31" x14ac:dyDescent="0.2">
      <c r="A1246" s="1" t="s">
        <v>3140</v>
      </c>
      <c r="B1246" s="1" t="s">
        <v>3157</v>
      </c>
      <c r="C1246" s="1">
        <v>3948</v>
      </c>
      <c r="D1246" s="1">
        <v>1</v>
      </c>
      <c r="F1246" s="1">
        <v>2023</v>
      </c>
      <c r="G1246" s="5">
        <v>3970</v>
      </c>
      <c r="H1246" s="5">
        <v>3956</v>
      </c>
      <c r="I1246" s="5">
        <v>1483392.77</v>
      </c>
      <c r="K1246" s="5">
        <v>653.44100000000003</v>
      </c>
      <c r="L1246" s="5">
        <v>8.5000000000000006E-2</v>
      </c>
      <c r="M1246" s="5">
        <v>1629678.25</v>
      </c>
      <c r="N1246" s="6">
        <v>0.10290000000000001</v>
      </c>
      <c r="O1246" s="5">
        <v>692.09799999999996</v>
      </c>
      <c r="P1246" s="6">
        <v>9.3799999999999994E-2</v>
      </c>
      <c r="Q1246" s="5">
        <v>15883813.869000001</v>
      </c>
      <c r="R1246" s="1" t="s">
        <v>55</v>
      </c>
      <c r="T1246" s="1" t="s">
        <v>89</v>
      </c>
      <c r="U1246" s="1" t="s">
        <v>56</v>
      </c>
      <c r="V1246" s="1" t="s">
        <v>639</v>
      </c>
      <c r="W1246" s="1" t="s">
        <v>58</v>
      </c>
      <c r="Y1246" s="1" t="s">
        <v>1353</v>
      </c>
      <c r="Z1246" s="1" t="str">
        <f t="shared" si="57"/>
        <v>3948 1</v>
      </c>
      <c r="AA1246" s="3">
        <f>IF(INDEX('CAMD Facility Data 2023'!$AA$2:$AE$10000,MATCH(Z1246,'CAMD Facility Data 2023'!$AE$2:$AE$10000,0),1)&gt;0,INDEX('CAMD Facility Data 2023'!$AA$2:$AE$10000,MATCH(Z1246,'CAMD Facility Data 2023'!$AE$2:$AE$10000,0),1),"")</f>
        <v>26084</v>
      </c>
      <c r="AB1246" s="5">
        <f>IF(INDEX('CAMD Facility Data 2023'!$AC$2:$AE$10000,MATCH(Z1246,'CAMD Facility Data 2023'!$AE$2:$AE$10000,0),1)&gt;0,INDEX('CAMD Facility Data 2023'!$AC$2:$AE$10000,MATCH(Z1246,'CAMD Facility Data 2023'!$AE$2:$AE$10000,0),1),"")</f>
        <v>7020</v>
      </c>
      <c r="AC1246" s="1" t="str">
        <f>IF(INDEX('CAMD Facility Data 2023'!$AE$2:$AG$10000,MATCH(Z1246,'CAMD Facility Data 2023'!$AE$2:$AE$10000,0),3)&gt;0,INDEX('CAMD Facility Data 2023'!$AE$2:$AG$10000,MATCH(Z1246,'CAMD Facility Data 2023'!$AE$2:$AE$10000,0),3),"")</f>
        <v>Y</v>
      </c>
      <c r="AD1246" s="20">
        <f t="shared" si="58"/>
        <v>0.93312845255407306</v>
      </c>
      <c r="AE1246" s="25">
        <f t="shared" si="59"/>
        <v>0.25829355574093588</v>
      </c>
    </row>
    <row r="1247" spans="1:31" x14ac:dyDescent="0.2">
      <c r="A1247" s="1" t="s">
        <v>3140</v>
      </c>
      <c r="B1247" s="1" t="s">
        <v>3157</v>
      </c>
      <c r="C1247" s="1">
        <v>3948</v>
      </c>
      <c r="D1247" s="1">
        <v>2</v>
      </c>
      <c r="F1247" s="1">
        <v>2023</v>
      </c>
      <c r="G1247" s="5">
        <v>4980</v>
      </c>
      <c r="H1247" s="5">
        <v>4974.88</v>
      </c>
      <c r="I1247" s="5">
        <v>2192417.9</v>
      </c>
      <c r="K1247" s="5">
        <v>539.62400000000002</v>
      </c>
      <c r="L1247" s="5">
        <v>5.1299999999999998E-2</v>
      </c>
      <c r="M1247" s="5">
        <v>2278849.3709999998</v>
      </c>
      <c r="N1247" s="6">
        <v>0.10299999999999999</v>
      </c>
      <c r="O1247" s="5">
        <v>888.98199999999997</v>
      </c>
      <c r="P1247" s="6">
        <v>8.4099999999999994E-2</v>
      </c>
      <c r="Q1247" s="5">
        <v>22211049.581999999</v>
      </c>
      <c r="R1247" s="1" t="s">
        <v>55</v>
      </c>
      <c r="T1247" s="1" t="s">
        <v>89</v>
      </c>
      <c r="U1247" s="1" t="s">
        <v>56</v>
      </c>
      <c r="V1247" s="1" t="s">
        <v>639</v>
      </c>
      <c r="W1247" s="1" t="s">
        <v>58</v>
      </c>
      <c r="Y1247" s="1" t="s">
        <v>1353</v>
      </c>
      <c r="Z1247" s="1" t="str">
        <f t="shared" si="57"/>
        <v>3948 2</v>
      </c>
      <c r="AA1247" s="3">
        <f>IF(INDEX('CAMD Facility Data 2023'!$AA$2:$AE$10000,MATCH(Z1247,'CAMD Facility Data 2023'!$AE$2:$AE$10000,0),1)&gt;0,INDEX('CAMD Facility Data 2023'!$AA$2:$AE$10000,MATCH(Z1247,'CAMD Facility Data 2023'!$AE$2:$AE$10000,0),1),"")</f>
        <v>26084</v>
      </c>
      <c r="AB1247" s="5">
        <f>IF(INDEX('CAMD Facility Data 2023'!$AC$2:$AE$10000,MATCH(Z1247,'CAMD Facility Data 2023'!$AE$2:$AE$10000,0),1)&gt;0,INDEX('CAMD Facility Data 2023'!$AC$2:$AE$10000,MATCH(Z1247,'CAMD Facility Data 2023'!$AE$2:$AE$10000,0),1),"")</f>
        <v>7020</v>
      </c>
      <c r="AC1247" s="1" t="str">
        <f>IF(INDEX('CAMD Facility Data 2023'!$AE$2:$AG$10000,MATCH(Z1247,'CAMD Facility Data 2023'!$AE$2:$AE$10000,0),3)&gt;0,INDEX('CAMD Facility Data 2023'!$AE$2:$AG$10000,MATCH(Z1247,'CAMD Facility Data 2023'!$AE$2:$AE$10000,0),3),"")</f>
        <v>Y</v>
      </c>
      <c r="AD1247" s="20">
        <f t="shared" si="58"/>
        <v>0.81096035568766345</v>
      </c>
      <c r="AE1247" s="25">
        <f t="shared" si="59"/>
        <v>0.36118346768528276</v>
      </c>
    </row>
    <row r="1248" spans="1:31" x14ac:dyDescent="0.2">
      <c r="A1248" s="1" t="s">
        <v>3140</v>
      </c>
      <c r="B1248" s="1" t="s">
        <v>3160</v>
      </c>
      <c r="C1248" s="1">
        <v>3954</v>
      </c>
      <c r="D1248" s="1">
        <v>1</v>
      </c>
      <c r="E1248" s="1" t="s">
        <v>3161</v>
      </c>
      <c r="F1248" s="1">
        <v>2023</v>
      </c>
      <c r="G1248" s="5">
        <v>3010</v>
      </c>
      <c r="H1248" s="5">
        <v>2985.4</v>
      </c>
      <c r="I1248" s="5">
        <v>1071378.08</v>
      </c>
      <c r="K1248" s="5">
        <v>496.16500000000002</v>
      </c>
      <c r="L1248" s="5">
        <v>8.3099999999999993E-2</v>
      </c>
      <c r="M1248" s="5">
        <v>1108130.912</v>
      </c>
      <c r="N1248" s="6">
        <v>0.10290000000000001</v>
      </c>
      <c r="O1248" s="5">
        <v>450.267</v>
      </c>
      <c r="P1248" s="6">
        <v>8.8599999999999998E-2</v>
      </c>
      <c r="Q1248" s="5">
        <v>10800505.595000001</v>
      </c>
      <c r="R1248" s="1" t="s">
        <v>55</v>
      </c>
      <c r="T1248" s="1" t="s">
        <v>43</v>
      </c>
      <c r="U1248" s="1" t="s">
        <v>56</v>
      </c>
      <c r="V1248" s="1" t="s">
        <v>2278</v>
      </c>
      <c r="W1248" s="1" t="s">
        <v>331</v>
      </c>
      <c r="Y1248" s="1" t="s">
        <v>1353</v>
      </c>
      <c r="Z1248" s="1" t="str">
        <f t="shared" si="57"/>
        <v>3954 1</v>
      </c>
      <c r="AA1248" s="3">
        <f>IF(INDEX('CAMD Facility Data 2023'!$AA$2:$AE$10000,MATCH(Z1248,'CAMD Facility Data 2023'!$AE$2:$AE$10000,0),1)&gt;0,INDEX('CAMD Facility Data 2023'!$AA$2:$AE$10000,MATCH(Z1248,'CAMD Facility Data 2023'!$AE$2:$AE$10000,0),1),"")</f>
        <v>24005</v>
      </c>
      <c r="AB1248" s="5">
        <f>IF(INDEX('CAMD Facility Data 2023'!$AC$2:$AE$10000,MATCH(Z1248,'CAMD Facility Data 2023'!$AE$2:$AE$10000,0),1)&gt;0,INDEX('CAMD Facility Data 2023'!$AC$2:$AE$10000,MATCH(Z1248,'CAMD Facility Data 2023'!$AE$2:$AE$10000,0),1),"")</f>
        <v>8500</v>
      </c>
      <c r="AC1248" s="1" t="str">
        <f>IF(INDEX('CAMD Facility Data 2023'!$AE$2:$AG$10000,MATCH(Z1248,'CAMD Facility Data 2023'!$AE$2:$AE$10000,0),3)&gt;0,INDEX('CAMD Facility Data 2023'!$AE$2:$AG$10000,MATCH(Z1248,'CAMD Facility Data 2023'!$AE$2:$AE$10000,0),3),"")</f>
        <v>Y</v>
      </c>
      <c r="AD1248" s="20">
        <f t="shared" si="58"/>
        <v>0.84053801063393041</v>
      </c>
      <c r="AE1248" s="25">
        <f t="shared" si="59"/>
        <v>0.14505110925329037</v>
      </c>
    </row>
    <row r="1249" spans="1:31" x14ac:dyDescent="0.2">
      <c r="A1249" s="1" t="s">
        <v>3140</v>
      </c>
      <c r="B1249" s="1" t="s">
        <v>3160</v>
      </c>
      <c r="C1249" s="1">
        <v>3954</v>
      </c>
      <c r="D1249" s="1">
        <v>2</v>
      </c>
      <c r="E1249" s="1" t="s">
        <v>3161</v>
      </c>
      <c r="F1249" s="1">
        <v>2023</v>
      </c>
      <c r="G1249" s="5">
        <v>3475</v>
      </c>
      <c r="H1249" s="5">
        <v>3463.09</v>
      </c>
      <c r="I1249" s="5">
        <v>1292948.18</v>
      </c>
      <c r="K1249" s="5">
        <v>726.26599999999996</v>
      </c>
      <c r="L1249" s="5">
        <v>0.1</v>
      </c>
      <c r="M1249" s="5">
        <v>1351552.4790000001</v>
      </c>
      <c r="N1249" s="6">
        <v>0.10290000000000001</v>
      </c>
      <c r="O1249" s="5">
        <v>447.971</v>
      </c>
      <c r="P1249" s="6">
        <v>6.6600000000000006E-2</v>
      </c>
      <c r="Q1249" s="5">
        <v>13173040.352</v>
      </c>
      <c r="R1249" s="1" t="s">
        <v>55</v>
      </c>
      <c r="T1249" s="1" t="s">
        <v>43</v>
      </c>
      <c r="U1249" s="1" t="s">
        <v>56</v>
      </c>
      <c r="V1249" s="1" t="s">
        <v>2278</v>
      </c>
      <c r="W1249" s="1" t="s">
        <v>331</v>
      </c>
      <c r="Y1249" s="1" t="s">
        <v>1353</v>
      </c>
      <c r="Z1249" s="1" t="str">
        <f t="shared" si="57"/>
        <v>3954 2</v>
      </c>
      <c r="AA1249" s="3">
        <f>IF(INDEX('CAMD Facility Data 2023'!$AA$2:$AE$10000,MATCH(Z1249,'CAMD Facility Data 2023'!$AE$2:$AE$10000,0),1)&gt;0,INDEX('CAMD Facility Data 2023'!$AA$2:$AE$10000,MATCH(Z1249,'CAMD Facility Data 2023'!$AE$2:$AE$10000,0),1),"")</f>
        <v>24282</v>
      </c>
      <c r="AB1249" s="5">
        <f>IF(INDEX('CAMD Facility Data 2023'!$AC$2:$AE$10000,MATCH(Z1249,'CAMD Facility Data 2023'!$AE$2:$AE$10000,0),1)&gt;0,INDEX('CAMD Facility Data 2023'!$AC$2:$AE$10000,MATCH(Z1249,'CAMD Facility Data 2023'!$AE$2:$AE$10000,0),1),"")</f>
        <v>8500</v>
      </c>
      <c r="AC1249" s="1" t="str">
        <f>IF(INDEX('CAMD Facility Data 2023'!$AE$2:$AG$10000,MATCH(Z1249,'CAMD Facility Data 2023'!$AE$2:$AE$10000,0),3)&gt;0,INDEX('CAMD Facility Data 2023'!$AE$2:$AG$10000,MATCH(Z1249,'CAMD Facility Data 2023'!$AE$2:$AE$10000,0),3),"")</f>
        <v>Y</v>
      </c>
      <c r="AD1249" s="20">
        <f t="shared" si="58"/>
        <v>0.69294501810583009</v>
      </c>
      <c r="AE1249" s="25">
        <f t="shared" si="59"/>
        <v>0.17691432113886651</v>
      </c>
    </row>
    <row r="1250" spans="1:31" x14ac:dyDescent="0.2">
      <c r="A1250" s="1" t="s">
        <v>3140</v>
      </c>
      <c r="B1250" s="1" t="s">
        <v>3160</v>
      </c>
      <c r="C1250" s="1">
        <v>3954</v>
      </c>
      <c r="D1250" s="1">
        <v>3</v>
      </c>
      <c r="F1250" s="1">
        <v>2023</v>
      </c>
      <c r="G1250" s="5">
        <v>3525</v>
      </c>
      <c r="H1250" s="5">
        <v>3513.75</v>
      </c>
      <c r="I1250" s="5">
        <v>1438971.3</v>
      </c>
      <c r="K1250" s="5">
        <v>834.19500000000005</v>
      </c>
      <c r="L1250" s="5">
        <v>0.1152</v>
      </c>
      <c r="M1250" s="5">
        <v>1431207.9850000001</v>
      </c>
      <c r="N1250" s="6">
        <v>0.10299999999999999</v>
      </c>
      <c r="O1250" s="5">
        <v>477.49900000000002</v>
      </c>
      <c r="P1250" s="6">
        <v>6.8599999999999994E-2</v>
      </c>
      <c r="Q1250" s="5">
        <v>13949408.629000001</v>
      </c>
      <c r="R1250" s="1" t="s">
        <v>55</v>
      </c>
      <c r="T1250" s="1" t="s">
        <v>43</v>
      </c>
      <c r="U1250" s="1" t="s">
        <v>56</v>
      </c>
      <c r="V1250" s="1" t="s">
        <v>2278</v>
      </c>
      <c r="W1250" s="1" t="s">
        <v>800</v>
      </c>
      <c r="Y1250" s="1" t="s">
        <v>1353</v>
      </c>
      <c r="Z1250" s="1" t="str">
        <f t="shared" si="57"/>
        <v>3954 3</v>
      </c>
      <c r="AA1250" s="3">
        <f>IF(INDEX('CAMD Facility Data 2023'!$AA$2:$AE$10000,MATCH(Z1250,'CAMD Facility Data 2023'!$AE$2:$AE$10000,0),1)&gt;0,INDEX('CAMD Facility Data 2023'!$AA$2:$AE$10000,MATCH(Z1250,'CAMD Facility Data 2023'!$AE$2:$AE$10000,0),1),"")</f>
        <v>27006</v>
      </c>
      <c r="AB1250" s="5">
        <f>IF(INDEX('CAMD Facility Data 2023'!$AC$2:$AE$10000,MATCH(Z1250,'CAMD Facility Data 2023'!$AE$2:$AE$10000,0),1)&gt;0,INDEX('CAMD Facility Data 2023'!$AC$2:$AE$10000,MATCH(Z1250,'CAMD Facility Data 2023'!$AE$2:$AE$10000,0),1),"")</f>
        <v>6005</v>
      </c>
      <c r="AC1250" s="1" t="str">
        <f>IF(INDEX('CAMD Facility Data 2023'!$AE$2:$AG$10000,MATCH(Z1250,'CAMD Facility Data 2023'!$AE$2:$AE$10000,0),3)&gt;0,INDEX('CAMD Facility Data 2023'!$AE$2:$AG$10000,MATCH(Z1250,'CAMD Facility Data 2023'!$AE$2:$AE$10000,0),3),"")</f>
        <v>Y</v>
      </c>
      <c r="AD1250" s="20">
        <f t="shared" si="58"/>
        <v>0.66366716278497007</v>
      </c>
      <c r="AE1250" s="25">
        <f t="shared" si="59"/>
        <v>0.26517872528220399</v>
      </c>
    </row>
    <row r="1251" spans="1:31" x14ac:dyDescent="0.2">
      <c r="A1251" s="1" t="s">
        <v>3167</v>
      </c>
      <c r="B1251" s="1" t="s">
        <v>3168</v>
      </c>
      <c r="C1251" s="1">
        <v>3982</v>
      </c>
      <c r="D1251" s="1">
        <v>1</v>
      </c>
      <c r="F1251" s="1">
        <v>2023</v>
      </c>
      <c r="G1251" s="5">
        <v>6633</v>
      </c>
      <c r="H1251" s="5">
        <v>6627.51</v>
      </c>
      <c r="I1251" s="5">
        <v>83186.820000000007</v>
      </c>
      <c r="K1251" s="5">
        <v>25.965</v>
      </c>
      <c r="L1251" s="5">
        <v>3.6499999999999998E-2</v>
      </c>
      <c r="M1251" s="5">
        <v>148649.285</v>
      </c>
      <c r="N1251" s="6">
        <v>0.1038</v>
      </c>
      <c r="O1251" s="5">
        <v>123.258</v>
      </c>
      <c r="P1251" s="6">
        <v>0.1716</v>
      </c>
      <c r="Q1251" s="5">
        <v>1425764.5220000001</v>
      </c>
      <c r="R1251" s="1" t="s">
        <v>657</v>
      </c>
      <c r="S1251" s="1" t="s">
        <v>1977</v>
      </c>
      <c r="T1251" s="1" t="s">
        <v>1660</v>
      </c>
      <c r="V1251" s="1" t="s">
        <v>3171</v>
      </c>
      <c r="W1251" s="1" t="s">
        <v>232</v>
      </c>
      <c r="Y1251" s="1" t="s">
        <v>461</v>
      </c>
      <c r="Z1251" s="1" t="str">
        <f t="shared" si="57"/>
        <v>3982 1</v>
      </c>
      <c r="AA1251" s="3">
        <f>IF(INDEX('CAMD Facility Data 2023'!$AA$2:$AE$10000,MATCH(Z1251,'CAMD Facility Data 2023'!$AE$2:$AE$10000,0),1)&gt;0,INDEX('CAMD Facility Data 2023'!$AA$2:$AE$10000,MATCH(Z1251,'CAMD Facility Data 2023'!$AE$2:$AE$10000,0),1),"")</f>
        <v>19906</v>
      </c>
      <c r="AB1251" s="5">
        <f>IF(INDEX('CAMD Facility Data 2023'!$AC$2:$AE$10000,MATCH(Z1251,'CAMD Facility Data 2023'!$AE$2:$AE$10000,0),1)&gt;0,INDEX('CAMD Facility Data 2023'!$AC$2:$AE$10000,MATCH(Z1251,'CAMD Facility Data 2023'!$AE$2:$AE$10000,0),1),"")</f>
        <v>350</v>
      </c>
      <c r="AC1251" s="1" t="str">
        <f>IF(INDEX('CAMD Facility Data 2023'!$AE$2:$AG$10000,MATCH(Z1251,'CAMD Facility Data 2023'!$AE$2:$AE$10000,0),3)&gt;0,INDEX('CAMD Facility Data 2023'!$AE$2:$AG$10000,MATCH(Z1251,'CAMD Facility Data 2023'!$AE$2:$AE$10000,0),3),"")</f>
        <v>Y</v>
      </c>
      <c r="AD1251" s="20">
        <f t="shared" si="58"/>
        <v>2.9634021350978434</v>
      </c>
      <c r="AE1251" s="25">
        <f t="shared" si="59"/>
        <v>0.46502430593607308</v>
      </c>
    </row>
    <row r="1252" spans="1:31" x14ac:dyDescent="0.2">
      <c r="A1252" s="1" t="s">
        <v>3167</v>
      </c>
      <c r="B1252" s="1" t="s">
        <v>3168</v>
      </c>
      <c r="C1252" s="1">
        <v>3982</v>
      </c>
      <c r="D1252" s="1">
        <v>2</v>
      </c>
      <c r="F1252" s="1">
        <v>2023</v>
      </c>
      <c r="G1252" s="5">
        <v>6388</v>
      </c>
      <c r="H1252" s="5">
        <v>6382.6</v>
      </c>
      <c r="I1252" s="5">
        <v>76735.149999999994</v>
      </c>
      <c r="K1252" s="5">
        <v>28.091999999999999</v>
      </c>
      <c r="L1252" s="5">
        <v>4.0500000000000001E-2</v>
      </c>
      <c r="M1252" s="5">
        <v>144288.87899999999</v>
      </c>
      <c r="N1252" s="6">
        <v>0.1038</v>
      </c>
      <c r="O1252" s="5">
        <v>120.28</v>
      </c>
      <c r="P1252" s="6">
        <v>0.17280000000000001</v>
      </c>
      <c r="Q1252" s="5">
        <v>1384233.6939999999</v>
      </c>
      <c r="R1252" s="1" t="s">
        <v>657</v>
      </c>
      <c r="S1252" s="1" t="s">
        <v>1977</v>
      </c>
      <c r="T1252" s="1" t="s">
        <v>1660</v>
      </c>
      <c r="V1252" s="1" t="s">
        <v>3171</v>
      </c>
      <c r="W1252" s="1" t="s">
        <v>232</v>
      </c>
      <c r="X1252" s="1" t="s">
        <v>214</v>
      </c>
      <c r="Y1252" s="1" t="s">
        <v>461</v>
      </c>
      <c r="Z1252" s="1" t="str">
        <f t="shared" si="57"/>
        <v>3982 2</v>
      </c>
      <c r="AA1252" s="3">
        <f>IF(INDEX('CAMD Facility Data 2023'!$AA$2:$AE$10000,MATCH(Z1252,'CAMD Facility Data 2023'!$AE$2:$AE$10000,0),1)&gt;0,INDEX('CAMD Facility Data 2023'!$AA$2:$AE$10000,MATCH(Z1252,'CAMD Facility Data 2023'!$AE$2:$AE$10000,0),1),"")</f>
        <v>19176</v>
      </c>
      <c r="AB1252" s="5">
        <f>IF(INDEX('CAMD Facility Data 2023'!$AC$2:$AE$10000,MATCH(Z1252,'CAMD Facility Data 2023'!$AE$2:$AE$10000,0),1)&gt;0,INDEX('CAMD Facility Data 2023'!$AC$2:$AE$10000,MATCH(Z1252,'CAMD Facility Data 2023'!$AE$2:$AE$10000,0),1),"")</f>
        <v>342</v>
      </c>
      <c r="AC1252" s="1" t="str">
        <f>IF(INDEX('CAMD Facility Data 2023'!$AE$2:$AG$10000,MATCH(Z1252,'CAMD Facility Data 2023'!$AE$2:$AE$10000,0),3)&gt;0,INDEX('CAMD Facility Data 2023'!$AE$2:$AG$10000,MATCH(Z1252,'CAMD Facility Data 2023'!$AE$2:$AE$10000,0),3),"")</f>
        <v>Y</v>
      </c>
      <c r="AD1252" s="20">
        <f t="shared" si="58"/>
        <v>3.1349388122653048</v>
      </c>
      <c r="AE1252" s="25">
        <f t="shared" si="59"/>
        <v>0.46203960519640042</v>
      </c>
    </row>
    <row r="1253" spans="1:31" x14ac:dyDescent="0.2">
      <c r="A1253" s="1" t="s">
        <v>3167</v>
      </c>
      <c r="B1253" s="1" t="s">
        <v>3174</v>
      </c>
      <c r="C1253" s="1">
        <v>3991</v>
      </c>
      <c r="D1253" s="1">
        <v>1</v>
      </c>
      <c r="F1253" s="1">
        <v>2023</v>
      </c>
      <c r="G1253" s="5">
        <v>17</v>
      </c>
      <c r="H1253" s="5">
        <v>10.63</v>
      </c>
      <c r="I1253" s="5">
        <v>106.68</v>
      </c>
      <c r="K1253" s="5">
        <v>1E-3</v>
      </c>
      <c r="L1253" s="5">
        <v>8.0000000000000004E-4</v>
      </c>
      <c r="O1253" s="5">
        <v>1.361</v>
      </c>
      <c r="P1253" s="6">
        <v>0.70009999999999994</v>
      </c>
      <c r="Q1253" s="5">
        <v>3889.4</v>
      </c>
      <c r="R1253" s="1" t="s">
        <v>44</v>
      </c>
      <c r="T1253" s="1" t="s">
        <v>93</v>
      </c>
      <c r="Y1253" s="1" t="s">
        <v>1020</v>
      </c>
      <c r="Z1253" s="1" t="str">
        <f t="shared" si="57"/>
        <v>3991 1</v>
      </c>
      <c r="AA1253" s="3">
        <f>IF(INDEX('CAMD Facility Data 2023'!$AA$2:$AE$10000,MATCH(Z1253,'CAMD Facility Data 2023'!$AE$2:$AE$10000,0),1)&gt;0,INDEX('CAMD Facility Data 2023'!$AA$2:$AE$10000,MATCH(Z1253,'CAMD Facility Data 2023'!$AE$2:$AE$10000,0),1),"")</f>
        <v>26785</v>
      </c>
      <c r="AB1253" s="5">
        <f>IF(INDEX('CAMD Facility Data 2023'!$AC$2:$AE$10000,MATCH(Z1253,'CAMD Facility Data 2023'!$AE$2:$AE$10000,0),1)&gt;0,INDEX('CAMD Facility Data 2023'!$AC$2:$AE$10000,MATCH(Z1253,'CAMD Facility Data 2023'!$AE$2:$AE$10000,0),1),"")</f>
        <v>365.9</v>
      </c>
      <c r="AC1253" s="1" t="str">
        <f>IF(INDEX('CAMD Facility Data 2023'!$AE$2:$AG$10000,MATCH(Z1253,'CAMD Facility Data 2023'!$AE$2:$AE$10000,0),3)&gt;0,INDEX('CAMD Facility Data 2023'!$AE$2:$AG$10000,MATCH(Z1253,'CAMD Facility Data 2023'!$AE$2:$AE$10000,0),3),"")</f>
        <v/>
      </c>
      <c r="AD1253" s="20">
        <f t="shared" si="58"/>
        <v>25.515560554930634</v>
      </c>
      <c r="AE1253" s="25">
        <f t="shared" si="59"/>
        <v>1.2134338174090034E-3</v>
      </c>
    </row>
    <row r="1254" spans="1:31" x14ac:dyDescent="0.2">
      <c r="A1254" s="1" t="s">
        <v>3167</v>
      </c>
      <c r="B1254" s="1" t="s">
        <v>3174</v>
      </c>
      <c r="C1254" s="1">
        <v>3991</v>
      </c>
      <c r="D1254" s="1">
        <v>2</v>
      </c>
      <c r="F1254" s="1">
        <v>2023</v>
      </c>
      <c r="G1254" s="5">
        <v>12</v>
      </c>
      <c r="H1254" s="5">
        <v>7.16</v>
      </c>
      <c r="I1254" s="5">
        <v>97.15</v>
      </c>
      <c r="K1254" s="5">
        <v>1E-3</v>
      </c>
      <c r="L1254" s="5">
        <v>6.9999999999999999E-4</v>
      </c>
      <c r="O1254" s="5">
        <v>0.91700000000000004</v>
      </c>
      <c r="P1254" s="6">
        <v>0.69989999999999997</v>
      </c>
      <c r="Q1254" s="5">
        <v>2619.9</v>
      </c>
      <c r="R1254" s="1" t="s">
        <v>44</v>
      </c>
      <c r="T1254" s="1" t="s">
        <v>93</v>
      </c>
      <c r="Y1254" s="1" t="s">
        <v>1020</v>
      </c>
      <c r="Z1254" s="1" t="str">
        <f t="shared" si="57"/>
        <v>3991 2</v>
      </c>
      <c r="AA1254" s="3">
        <f>IF(INDEX('CAMD Facility Data 2023'!$AA$2:$AE$10000,MATCH(Z1254,'CAMD Facility Data 2023'!$AE$2:$AE$10000,0),1)&gt;0,INDEX('CAMD Facility Data 2023'!$AA$2:$AE$10000,MATCH(Z1254,'CAMD Facility Data 2023'!$AE$2:$AE$10000,0),1),"")</f>
        <v>26785</v>
      </c>
      <c r="AB1254" s="5">
        <f>IF(INDEX('CAMD Facility Data 2023'!$AC$2:$AE$10000,MATCH(Z1254,'CAMD Facility Data 2023'!$AE$2:$AE$10000,0),1)&gt;0,INDEX('CAMD Facility Data 2023'!$AC$2:$AE$10000,MATCH(Z1254,'CAMD Facility Data 2023'!$AE$2:$AE$10000,0),1),"")</f>
        <v>365.9</v>
      </c>
      <c r="AC1254" s="1" t="str">
        <f>IF(INDEX('CAMD Facility Data 2023'!$AE$2:$AG$10000,MATCH(Z1254,'CAMD Facility Data 2023'!$AE$2:$AE$10000,0),3)&gt;0,INDEX('CAMD Facility Data 2023'!$AE$2:$AG$10000,MATCH(Z1254,'CAMD Facility Data 2023'!$AE$2:$AE$10000,0),3),"")</f>
        <v/>
      </c>
      <c r="AD1254" s="20">
        <f t="shared" si="58"/>
        <v>18.8780236747298</v>
      </c>
      <c r="AE1254" s="25">
        <f t="shared" si="59"/>
        <v>8.1736906932427828E-4</v>
      </c>
    </row>
    <row r="1255" spans="1:31" x14ac:dyDescent="0.2">
      <c r="A1255" s="1" t="s">
        <v>3167</v>
      </c>
      <c r="B1255" s="1" t="s">
        <v>3178</v>
      </c>
      <c r="C1255" s="1">
        <v>3992</v>
      </c>
      <c r="D1255" s="1">
        <v>8</v>
      </c>
      <c r="F1255" s="1">
        <v>2023</v>
      </c>
      <c r="G1255" s="5">
        <v>1448</v>
      </c>
      <c r="H1255" s="5">
        <v>1352.39</v>
      </c>
      <c r="I1255" s="5">
        <v>13527.03</v>
      </c>
      <c r="K1255" s="5">
        <v>8.3000000000000004E-2</v>
      </c>
      <c r="L1255" s="5">
        <v>1E-3</v>
      </c>
      <c r="M1255" s="5">
        <v>11566.556</v>
      </c>
      <c r="N1255" s="6">
        <v>5.9499999999999997E-2</v>
      </c>
      <c r="O1255" s="5">
        <v>20.094000000000001</v>
      </c>
      <c r="P1255" s="6">
        <v>0.214</v>
      </c>
      <c r="Q1255" s="5">
        <v>194580.05300000001</v>
      </c>
      <c r="R1255" s="1" t="s">
        <v>284</v>
      </c>
      <c r="T1255" s="1" t="s">
        <v>89</v>
      </c>
      <c r="Y1255" s="1" t="s">
        <v>461</v>
      </c>
      <c r="Z1255" s="1" t="str">
        <f t="shared" si="57"/>
        <v>3992 8</v>
      </c>
      <c r="AA1255" s="3">
        <f>IF(INDEX('CAMD Facility Data 2023'!$AA$2:$AE$10000,MATCH(Z1255,'CAMD Facility Data 2023'!$AE$2:$AE$10000,0),1)&gt;0,INDEX('CAMD Facility Data 2023'!$AA$2:$AE$10000,MATCH(Z1255,'CAMD Facility Data 2023'!$AE$2:$AE$10000,0),1),"")</f>
        <v>20972</v>
      </c>
      <c r="AB1255" s="5">
        <f>IF(INDEX('CAMD Facility Data 2023'!$AC$2:$AE$10000,MATCH(Z1255,'CAMD Facility Data 2023'!$AE$2:$AE$10000,0),1)&gt;0,INDEX('CAMD Facility Data 2023'!$AC$2:$AE$10000,MATCH(Z1255,'CAMD Facility Data 2023'!$AE$2:$AE$10000,0),1),"")</f>
        <v>675</v>
      </c>
      <c r="AC1255" s="1" t="str">
        <f>IF(INDEX('CAMD Facility Data 2023'!$AE$2:$AG$10000,MATCH(Z1255,'CAMD Facility Data 2023'!$AE$2:$AE$10000,0),3)&gt;0,INDEX('CAMD Facility Data 2023'!$AE$2:$AG$10000,MATCH(Z1255,'CAMD Facility Data 2023'!$AE$2:$AE$10000,0),3),"")</f>
        <v/>
      </c>
      <c r="AD1255" s="20">
        <f t="shared" si="58"/>
        <v>2.9709404059871236</v>
      </c>
      <c r="AE1255" s="25">
        <f t="shared" si="59"/>
        <v>3.2907162692372739E-2</v>
      </c>
    </row>
    <row r="1256" spans="1:31" x14ac:dyDescent="0.2">
      <c r="A1256" s="1" t="s">
        <v>3167</v>
      </c>
      <c r="B1256" s="1" t="s">
        <v>3178</v>
      </c>
      <c r="C1256" s="1">
        <v>3992</v>
      </c>
      <c r="D1256" s="1">
        <v>9</v>
      </c>
      <c r="F1256" s="1">
        <v>2023</v>
      </c>
      <c r="G1256" s="5">
        <v>103</v>
      </c>
      <c r="H1256" s="5">
        <v>92.01</v>
      </c>
      <c r="I1256" s="5">
        <v>524</v>
      </c>
      <c r="K1256" s="5">
        <v>5.0000000000000001E-3</v>
      </c>
      <c r="L1256" s="5">
        <v>1E-3</v>
      </c>
      <c r="M1256" s="5">
        <v>640.57600000000002</v>
      </c>
      <c r="N1256" s="6">
        <v>5.9299999999999999E-2</v>
      </c>
      <c r="O1256" s="5">
        <v>1.5960000000000001</v>
      </c>
      <c r="P1256" s="6">
        <v>0.25629999999999997</v>
      </c>
      <c r="Q1256" s="5">
        <v>10784.909</v>
      </c>
      <c r="R1256" s="1" t="s">
        <v>284</v>
      </c>
      <c r="T1256" s="1" t="s">
        <v>89</v>
      </c>
      <c r="V1256" s="1" t="s">
        <v>454</v>
      </c>
      <c r="Y1256" s="1" t="s">
        <v>461</v>
      </c>
      <c r="Z1256" s="1" t="str">
        <f t="shared" si="57"/>
        <v>3992 9</v>
      </c>
      <c r="AA1256" s="3">
        <f>IF(INDEX('CAMD Facility Data 2023'!$AA$2:$AE$10000,MATCH(Z1256,'CAMD Facility Data 2023'!$AE$2:$AE$10000,0),1)&gt;0,INDEX('CAMD Facility Data 2023'!$AA$2:$AE$10000,MATCH(Z1256,'CAMD Facility Data 2023'!$AE$2:$AE$10000,0),1),"")</f>
        <v>22463</v>
      </c>
      <c r="AB1256" s="5">
        <f>IF(INDEX('CAMD Facility Data 2023'!$AC$2:$AE$10000,MATCH(Z1256,'CAMD Facility Data 2023'!$AE$2:$AE$10000,0),1)&gt;0,INDEX('CAMD Facility Data 2023'!$AC$2:$AE$10000,MATCH(Z1256,'CAMD Facility Data 2023'!$AE$2:$AE$10000,0),1),"")</f>
        <v>688</v>
      </c>
      <c r="AC1256" s="1" t="str">
        <f>IF(INDEX('CAMD Facility Data 2023'!$AE$2:$AG$10000,MATCH(Z1256,'CAMD Facility Data 2023'!$AE$2:$AE$10000,0),3)&gt;0,INDEX('CAMD Facility Data 2023'!$AE$2:$AG$10000,MATCH(Z1256,'CAMD Facility Data 2023'!$AE$2:$AE$10000,0),3),"")</f>
        <v/>
      </c>
      <c r="AD1256" s="20">
        <f t="shared" si="58"/>
        <v>6.0916030534351142</v>
      </c>
      <c r="AE1256" s="25">
        <f t="shared" si="59"/>
        <v>1.7894680166188808E-3</v>
      </c>
    </row>
    <row r="1257" spans="1:31" x14ac:dyDescent="0.2">
      <c r="A1257" s="1" t="s">
        <v>3167</v>
      </c>
      <c r="B1257" s="1" t="s">
        <v>3179</v>
      </c>
      <c r="C1257" s="1">
        <v>4005</v>
      </c>
      <c r="D1257" s="1">
        <v>3</v>
      </c>
      <c r="F1257" s="1">
        <v>2023</v>
      </c>
      <c r="G1257" s="5">
        <v>2</v>
      </c>
      <c r="H1257" s="5">
        <v>0.5</v>
      </c>
      <c r="I1257" s="5">
        <v>9.5399999999999991</v>
      </c>
      <c r="K1257" s="5">
        <v>3.7999999999999999E-2</v>
      </c>
      <c r="L1257" s="5">
        <v>0.5</v>
      </c>
      <c r="O1257" s="5">
        <v>9.0999999999999998E-2</v>
      </c>
      <c r="P1257" s="6">
        <v>1.1995</v>
      </c>
      <c r="Q1257" s="5">
        <v>152</v>
      </c>
      <c r="R1257" s="1" t="s">
        <v>94</v>
      </c>
      <c r="T1257" s="1" t="s">
        <v>93</v>
      </c>
      <c r="Y1257" s="1" t="s">
        <v>1020</v>
      </c>
      <c r="Z1257" s="1" t="str">
        <f t="shared" si="57"/>
        <v>4005 3</v>
      </c>
      <c r="AA1257" s="3">
        <f>IF(INDEX('CAMD Facility Data 2023'!$AA$2:$AE$10000,MATCH(Z1257,'CAMD Facility Data 2023'!$AE$2:$AE$10000,0),1)&gt;0,INDEX('CAMD Facility Data 2023'!$AA$2:$AE$10000,MATCH(Z1257,'CAMD Facility Data 2023'!$AE$2:$AE$10000,0),1),"")</f>
        <v>27030</v>
      </c>
      <c r="AB1257" s="5">
        <f>IF(INDEX('CAMD Facility Data 2023'!$AC$2:$AE$10000,MATCH(Z1257,'CAMD Facility Data 2023'!$AE$2:$AE$10000,0),1)&gt;0,INDEX('CAMD Facility Data 2023'!$AC$2:$AE$10000,MATCH(Z1257,'CAMD Facility Data 2023'!$AE$2:$AE$10000,0),1),"")</f>
        <v>1087</v>
      </c>
      <c r="AC1257" s="1" t="str">
        <f>IF(INDEX('CAMD Facility Data 2023'!$AE$2:$AG$10000,MATCH(Z1257,'CAMD Facility Data 2023'!$AE$2:$AE$10000,0),3)&gt;0,INDEX('CAMD Facility Data 2023'!$AE$2:$AG$10000,MATCH(Z1257,'CAMD Facility Data 2023'!$AE$2:$AE$10000,0),3),"")</f>
        <v/>
      </c>
      <c r="AD1257" s="20">
        <f t="shared" si="58"/>
        <v>19.077568134171909</v>
      </c>
      <c r="AE1257" s="25">
        <f t="shared" si="59"/>
        <v>1.5962831806362447E-5</v>
      </c>
    </row>
    <row r="1258" spans="1:31" x14ac:dyDescent="0.2">
      <c r="A1258" s="1" t="s">
        <v>3167</v>
      </c>
      <c r="B1258" s="1" t="s">
        <v>3179</v>
      </c>
      <c r="C1258" s="1">
        <v>4005</v>
      </c>
      <c r="D1258" s="1">
        <v>4</v>
      </c>
      <c r="F1258" s="1">
        <v>2023</v>
      </c>
      <c r="G1258" s="5">
        <v>7</v>
      </c>
      <c r="H1258" s="5">
        <v>5.52</v>
      </c>
      <c r="I1258" s="5">
        <v>135.24</v>
      </c>
      <c r="K1258" s="5">
        <v>0.13500000000000001</v>
      </c>
      <c r="L1258" s="5">
        <v>0.50009999999999999</v>
      </c>
      <c r="O1258" s="5">
        <v>0.32400000000000001</v>
      </c>
      <c r="P1258" s="6">
        <v>1.1987000000000001</v>
      </c>
      <c r="Q1258" s="5">
        <v>539.9</v>
      </c>
      <c r="R1258" s="1" t="s">
        <v>94</v>
      </c>
      <c r="T1258" s="1" t="s">
        <v>93</v>
      </c>
      <c r="Y1258" s="1" t="s">
        <v>1020</v>
      </c>
      <c r="Z1258" s="1" t="str">
        <f t="shared" si="57"/>
        <v>4005 4</v>
      </c>
      <c r="AA1258" s="3">
        <f>IF(INDEX('CAMD Facility Data 2023'!$AA$2:$AE$10000,MATCH(Z1258,'CAMD Facility Data 2023'!$AE$2:$AE$10000,0),1)&gt;0,INDEX('CAMD Facility Data 2023'!$AA$2:$AE$10000,MATCH(Z1258,'CAMD Facility Data 2023'!$AE$2:$AE$10000,0),1),"")</f>
        <v>27030</v>
      </c>
      <c r="AB1258" s="5">
        <f>IF(INDEX('CAMD Facility Data 2023'!$AC$2:$AE$10000,MATCH(Z1258,'CAMD Facility Data 2023'!$AE$2:$AE$10000,0),1)&gt;0,INDEX('CAMD Facility Data 2023'!$AC$2:$AE$10000,MATCH(Z1258,'CAMD Facility Data 2023'!$AE$2:$AE$10000,0),1),"")</f>
        <v>1012.9</v>
      </c>
      <c r="AC1258" s="1" t="str">
        <f>IF(INDEX('CAMD Facility Data 2023'!$AE$2:$AG$10000,MATCH(Z1258,'CAMD Facility Data 2023'!$AE$2:$AE$10000,0),3)&gt;0,INDEX('CAMD Facility Data 2023'!$AE$2:$AG$10000,MATCH(Z1258,'CAMD Facility Data 2023'!$AE$2:$AE$10000,0),3),"")</f>
        <v/>
      </c>
      <c r="AD1258" s="20">
        <f t="shared" si="58"/>
        <v>4.79148181011535</v>
      </c>
      <c r="AE1258" s="25">
        <f t="shared" si="59"/>
        <v>6.0847487502541416E-5</v>
      </c>
    </row>
    <row r="1259" spans="1:31" x14ac:dyDescent="0.2">
      <c r="A1259" s="1" t="s">
        <v>3167</v>
      </c>
      <c r="B1259" s="1" t="s">
        <v>3184</v>
      </c>
      <c r="C1259" s="1">
        <v>4014</v>
      </c>
      <c r="D1259" s="1">
        <v>1</v>
      </c>
      <c r="F1259" s="1">
        <v>2023</v>
      </c>
      <c r="G1259" s="5">
        <v>279</v>
      </c>
      <c r="H1259" s="5">
        <v>242</v>
      </c>
      <c r="I1259" s="5">
        <v>7194.88</v>
      </c>
      <c r="K1259" s="5">
        <v>3.2000000000000001E-2</v>
      </c>
      <c r="L1259" s="5">
        <v>8.9999999999999998E-4</v>
      </c>
      <c r="O1259" s="5">
        <v>13.651999999999999</v>
      </c>
      <c r="P1259" s="6">
        <v>0.2162</v>
      </c>
      <c r="Q1259" s="5">
        <v>108223.145</v>
      </c>
      <c r="R1259" s="1" t="s">
        <v>44</v>
      </c>
      <c r="S1259" s="1" t="s">
        <v>94</v>
      </c>
      <c r="T1259" s="1" t="s">
        <v>93</v>
      </c>
      <c r="Y1259" s="1" t="s">
        <v>1020</v>
      </c>
      <c r="Z1259" s="1" t="str">
        <f t="shared" si="57"/>
        <v>4014 1</v>
      </c>
      <c r="AA1259" s="3">
        <f>IF(INDEX('CAMD Facility Data 2023'!$AA$2:$AE$10000,MATCH(Z1259,'CAMD Facility Data 2023'!$AE$2:$AE$10000,0),1)&gt;0,INDEX('CAMD Facility Data 2023'!$AA$2:$AE$10000,MATCH(Z1259,'CAMD Facility Data 2023'!$AE$2:$AE$10000,0),1),"")</f>
        <v>26299</v>
      </c>
      <c r="AB1259" s="5">
        <f>IF(INDEX('CAMD Facility Data 2023'!$AC$2:$AE$10000,MATCH(Z1259,'CAMD Facility Data 2023'!$AE$2:$AE$10000,0),1)&gt;0,INDEX('CAMD Facility Data 2023'!$AC$2:$AE$10000,MATCH(Z1259,'CAMD Facility Data 2023'!$AE$2:$AE$10000,0),1),"")</f>
        <v>867</v>
      </c>
      <c r="AC1259" s="1" t="str">
        <f>IF(INDEX('CAMD Facility Data 2023'!$AE$2:$AG$10000,MATCH(Z1259,'CAMD Facility Data 2023'!$AE$2:$AE$10000,0),3)&gt;0,INDEX('CAMD Facility Data 2023'!$AE$2:$AG$10000,MATCH(Z1259,'CAMD Facility Data 2023'!$AE$2:$AE$10000,0),3),"")</f>
        <v/>
      </c>
      <c r="AD1259" s="20">
        <f t="shared" si="58"/>
        <v>3.7949208325920654</v>
      </c>
      <c r="AE1259" s="25">
        <f t="shared" si="59"/>
        <v>1.424941210703997E-2</v>
      </c>
    </row>
    <row r="1260" spans="1:31" x14ac:dyDescent="0.2">
      <c r="A1260" s="1" t="s">
        <v>3167</v>
      </c>
      <c r="B1260" s="1" t="s">
        <v>3184</v>
      </c>
      <c r="C1260" s="1">
        <v>4014</v>
      </c>
      <c r="D1260" s="1">
        <v>2</v>
      </c>
      <c r="F1260" s="1">
        <v>2023</v>
      </c>
      <c r="G1260" s="5">
        <v>360</v>
      </c>
      <c r="H1260" s="5">
        <v>317.77999999999997</v>
      </c>
      <c r="I1260" s="5">
        <v>9659.9599999999991</v>
      </c>
      <c r="K1260" s="5">
        <v>4.2999999999999997E-2</v>
      </c>
      <c r="L1260" s="5">
        <v>1E-3</v>
      </c>
      <c r="O1260" s="5">
        <v>19.166</v>
      </c>
      <c r="P1260" s="6">
        <v>0.22800000000000001</v>
      </c>
      <c r="Q1260" s="5">
        <v>143981.11600000001</v>
      </c>
      <c r="R1260" s="1" t="s">
        <v>44</v>
      </c>
      <c r="S1260" s="1" t="s">
        <v>94</v>
      </c>
      <c r="T1260" s="1" t="s">
        <v>93</v>
      </c>
      <c r="Y1260" s="1" t="s">
        <v>1020</v>
      </c>
      <c r="Z1260" s="1" t="str">
        <f t="shared" si="57"/>
        <v>4014 2</v>
      </c>
      <c r="AA1260" s="3">
        <f>IF(INDEX('CAMD Facility Data 2023'!$AA$2:$AE$10000,MATCH(Z1260,'CAMD Facility Data 2023'!$AE$2:$AE$10000,0),1)&gt;0,INDEX('CAMD Facility Data 2023'!$AA$2:$AE$10000,MATCH(Z1260,'CAMD Facility Data 2023'!$AE$2:$AE$10000,0),1),"")</f>
        <v>26299</v>
      </c>
      <c r="AB1260" s="5">
        <f>IF(INDEX('CAMD Facility Data 2023'!$AC$2:$AE$10000,MATCH(Z1260,'CAMD Facility Data 2023'!$AE$2:$AE$10000,0),1)&gt;0,INDEX('CAMD Facility Data 2023'!$AC$2:$AE$10000,MATCH(Z1260,'CAMD Facility Data 2023'!$AE$2:$AE$10000,0),1),"")</f>
        <v>867</v>
      </c>
      <c r="AC1260" s="1" t="str">
        <f>IF(INDEX('CAMD Facility Data 2023'!$AE$2:$AG$10000,MATCH(Z1260,'CAMD Facility Data 2023'!$AE$2:$AE$10000,0),3)&gt;0,INDEX('CAMD Facility Data 2023'!$AE$2:$AG$10000,MATCH(Z1260,'CAMD Facility Data 2023'!$AE$2:$AE$10000,0),3),"")</f>
        <v/>
      </c>
      <c r="AD1260" s="20">
        <f t="shared" si="58"/>
        <v>3.9681323732189373</v>
      </c>
      <c r="AE1260" s="25">
        <f t="shared" si="59"/>
        <v>1.8957555313288358E-2</v>
      </c>
    </row>
    <row r="1261" spans="1:31" x14ac:dyDescent="0.2">
      <c r="A1261" s="1" t="s">
        <v>3167</v>
      </c>
      <c r="B1261" s="1" t="s">
        <v>3184</v>
      </c>
      <c r="C1261" s="1">
        <v>4014</v>
      </c>
      <c r="D1261" s="1">
        <v>3</v>
      </c>
      <c r="F1261" s="1">
        <v>2023</v>
      </c>
      <c r="G1261" s="5">
        <v>348</v>
      </c>
      <c r="H1261" s="5">
        <v>306.91000000000003</v>
      </c>
      <c r="I1261" s="5">
        <v>8616.89</v>
      </c>
      <c r="K1261" s="5">
        <v>0.04</v>
      </c>
      <c r="L1261" s="5">
        <v>1E-3</v>
      </c>
      <c r="O1261" s="5">
        <v>16.370999999999999</v>
      </c>
      <c r="P1261" s="6">
        <v>0.22339999999999999</v>
      </c>
      <c r="Q1261" s="5">
        <v>132277.16899999999</v>
      </c>
      <c r="R1261" s="1" t="s">
        <v>44</v>
      </c>
      <c r="S1261" s="1" t="s">
        <v>94</v>
      </c>
      <c r="T1261" s="1" t="s">
        <v>93</v>
      </c>
      <c r="Y1261" s="1" t="s">
        <v>1020</v>
      </c>
      <c r="Z1261" s="1" t="str">
        <f t="shared" si="57"/>
        <v>4014 3</v>
      </c>
      <c r="AA1261" s="3">
        <f>IF(INDEX('CAMD Facility Data 2023'!$AA$2:$AE$10000,MATCH(Z1261,'CAMD Facility Data 2023'!$AE$2:$AE$10000,0),1)&gt;0,INDEX('CAMD Facility Data 2023'!$AA$2:$AE$10000,MATCH(Z1261,'CAMD Facility Data 2023'!$AE$2:$AE$10000,0),1),"")</f>
        <v>26299</v>
      </c>
      <c r="AB1261" s="5">
        <f>IF(INDEX('CAMD Facility Data 2023'!$AC$2:$AE$10000,MATCH(Z1261,'CAMD Facility Data 2023'!$AE$2:$AE$10000,0),1)&gt;0,INDEX('CAMD Facility Data 2023'!$AC$2:$AE$10000,MATCH(Z1261,'CAMD Facility Data 2023'!$AE$2:$AE$10000,0),1),"")</f>
        <v>867</v>
      </c>
      <c r="AC1261" s="1" t="str">
        <f>IF(INDEX('CAMD Facility Data 2023'!$AE$2:$AG$10000,MATCH(Z1261,'CAMD Facility Data 2023'!$AE$2:$AE$10000,0),3)&gt;0,INDEX('CAMD Facility Data 2023'!$AE$2:$AG$10000,MATCH(Z1261,'CAMD Facility Data 2023'!$AE$2:$AE$10000,0),3),"")</f>
        <v/>
      </c>
      <c r="AD1261" s="20">
        <f t="shared" si="58"/>
        <v>3.7997467763891613</v>
      </c>
      <c r="AE1261" s="25">
        <f t="shared" si="59"/>
        <v>1.7416532234704248E-2</v>
      </c>
    </row>
    <row r="1262" spans="1:31" x14ac:dyDescent="0.2">
      <c r="A1262" s="1" t="s">
        <v>3167</v>
      </c>
      <c r="B1262" s="1" t="s">
        <v>3184</v>
      </c>
      <c r="C1262" s="1">
        <v>4014</v>
      </c>
      <c r="D1262" s="1">
        <v>4</v>
      </c>
      <c r="F1262" s="1">
        <v>2023</v>
      </c>
      <c r="G1262" s="5">
        <v>313</v>
      </c>
      <c r="H1262" s="5">
        <v>273.31</v>
      </c>
      <c r="I1262" s="5">
        <v>7747.41</v>
      </c>
      <c r="K1262" s="5">
        <v>3.5000000000000003E-2</v>
      </c>
      <c r="L1262" s="5">
        <v>1E-3</v>
      </c>
      <c r="O1262" s="5">
        <v>14.808999999999999</v>
      </c>
      <c r="P1262" s="6">
        <v>0.23019999999999999</v>
      </c>
      <c r="Q1262" s="5">
        <v>115950.231</v>
      </c>
      <c r="R1262" s="1" t="s">
        <v>44</v>
      </c>
      <c r="S1262" s="1" t="s">
        <v>94</v>
      </c>
      <c r="T1262" s="1" t="s">
        <v>93</v>
      </c>
      <c r="Y1262" s="1" t="s">
        <v>1020</v>
      </c>
      <c r="Z1262" s="1" t="str">
        <f t="shared" si="57"/>
        <v>4014 4</v>
      </c>
      <c r="AA1262" s="3">
        <f>IF(INDEX('CAMD Facility Data 2023'!$AA$2:$AE$10000,MATCH(Z1262,'CAMD Facility Data 2023'!$AE$2:$AE$10000,0),1)&gt;0,INDEX('CAMD Facility Data 2023'!$AA$2:$AE$10000,MATCH(Z1262,'CAMD Facility Data 2023'!$AE$2:$AE$10000,0),1),"")</f>
        <v>26299</v>
      </c>
      <c r="AB1262" s="5">
        <f>IF(INDEX('CAMD Facility Data 2023'!$AC$2:$AE$10000,MATCH(Z1262,'CAMD Facility Data 2023'!$AE$2:$AE$10000,0),1)&gt;0,INDEX('CAMD Facility Data 2023'!$AC$2:$AE$10000,MATCH(Z1262,'CAMD Facility Data 2023'!$AE$2:$AE$10000,0),1),"")</f>
        <v>867</v>
      </c>
      <c r="AC1262" s="1" t="str">
        <f>IF(INDEX('CAMD Facility Data 2023'!$AE$2:$AG$10000,MATCH(Z1262,'CAMD Facility Data 2023'!$AE$2:$AE$10000,0),3)&gt;0,INDEX('CAMD Facility Data 2023'!$AE$2:$AG$10000,MATCH(Z1262,'CAMD Facility Data 2023'!$AE$2:$AE$10000,0),3),"")</f>
        <v/>
      </c>
      <c r="AD1262" s="20">
        <f t="shared" si="58"/>
        <v>3.8229550262603889</v>
      </c>
      <c r="AE1262" s="25">
        <f t="shared" si="59"/>
        <v>1.5266814001990805E-2</v>
      </c>
    </row>
    <row r="1263" spans="1:31" x14ac:dyDescent="0.2">
      <c r="A1263" s="1" t="s">
        <v>3167</v>
      </c>
      <c r="B1263" s="1" t="s">
        <v>3184</v>
      </c>
      <c r="C1263" s="1">
        <v>4014</v>
      </c>
      <c r="D1263" s="1">
        <v>5</v>
      </c>
      <c r="F1263" s="1">
        <v>2023</v>
      </c>
      <c r="G1263" s="5">
        <v>0</v>
      </c>
      <c r="H1263" s="5">
        <v>0</v>
      </c>
      <c r="R1263" s="1" t="s">
        <v>94</v>
      </c>
      <c r="T1263" s="1" t="s">
        <v>93</v>
      </c>
      <c r="Y1263" s="1" t="s">
        <v>1020</v>
      </c>
      <c r="Z1263" s="1" t="str">
        <f t="shared" si="57"/>
        <v>4014 5</v>
      </c>
      <c r="AA1263" s="3">
        <f>IF(INDEX('CAMD Facility Data 2023'!$AA$2:$AE$10000,MATCH(Z1263,'CAMD Facility Data 2023'!$AE$2:$AE$10000,0),1)&gt;0,INDEX('CAMD Facility Data 2023'!$AA$2:$AE$10000,MATCH(Z1263,'CAMD Facility Data 2023'!$AE$2:$AE$10000,0),1),"")</f>
        <v>26299</v>
      </c>
      <c r="AB1263" s="5">
        <f>IF(INDEX('CAMD Facility Data 2023'!$AC$2:$AE$10000,MATCH(Z1263,'CAMD Facility Data 2023'!$AE$2:$AE$10000,0),1)&gt;0,INDEX('CAMD Facility Data 2023'!$AC$2:$AE$10000,MATCH(Z1263,'CAMD Facility Data 2023'!$AE$2:$AE$10000,0),1),"")</f>
        <v>910</v>
      </c>
      <c r="AC1263" s="1" t="str">
        <f>IF(INDEX('CAMD Facility Data 2023'!$AE$2:$AG$10000,MATCH(Z1263,'CAMD Facility Data 2023'!$AE$2:$AE$10000,0),3)&gt;0,INDEX('CAMD Facility Data 2023'!$AE$2:$AG$10000,MATCH(Z1263,'CAMD Facility Data 2023'!$AE$2:$AE$10000,0),3),"")</f>
        <v/>
      </c>
      <c r="AD1263" s="20" t="str">
        <f t="shared" si="58"/>
        <v/>
      </c>
      <c r="AE1263" s="25">
        <f t="shared" si="59"/>
        <v>0</v>
      </c>
    </row>
    <row r="1264" spans="1:31" x14ac:dyDescent="0.2">
      <c r="A1264" s="1" t="s">
        <v>3167</v>
      </c>
      <c r="B1264" s="1" t="s">
        <v>3184</v>
      </c>
      <c r="C1264" s="1">
        <v>4014</v>
      </c>
      <c r="D1264" s="1">
        <v>6</v>
      </c>
      <c r="F1264" s="1">
        <v>2023</v>
      </c>
      <c r="G1264" s="5">
        <v>15</v>
      </c>
      <c r="H1264" s="5">
        <v>10.3</v>
      </c>
      <c r="I1264" s="5">
        <v>314.10000000000002</v>
      </c>
      <c r="K1264" s="5">
        <v>1.2110000000000001</v>
      </c>
      <c r="L1264" s="5">
        <v>0.50049999999999994</v>
      </c>
      <c r="O1264" s="5">
        <v>2.907</v>
      </c>
      <c r="P1264" s="6">
        <v>1.2</v>
      </c>
      <c r="Q1264" s="5">
        <v>4845.1000000000004</v>
      </c>
      <c r="R1264" s="1" t="s">
        <v>94</v>
      </c>
      <c r="T1264" s="1" t="s">
        <v>93</v>
      </c>
      <c r="Y1264" s="1" t="s">
        <v>1020</v>
      </c>
      <c r="Z1264" s="1" t="str">
        <f t="shared" si="57"/>
        <v>4014 6</v>
      </c>
      <c r="AA1264" s="3">
        <f>IF(INDEX('CAMD Facility Data 2023'!$AA$2:$AE$10000,MATCH(Z1264,'CAMD Facility Data 2023'!$AE$2:$AE$10000,0),1)&gt;0,INDEX('CAMD Facility Data 2023'!$AA$2:$AE$10000,MATCH(Z1264,'CAMD Facility Data 2023'!$AE$2:$AE$10000,0),1),"")</f>
        <v>26299</v>
      </c>
      <c r="AB1264" s="5">
        <f>IF(INDEX('CAMD Facility Data 2023'!$AC$2:$AE$10000,MATCH(Z1264,'CAMD Facility Data 2023'!$AE$2:$AE$10000,0),1)&gt;0,INDEX('CAMD Facility Data 2023'!$AC$2:$AE$10000,MATCH(Z1264,'CAMD Facility Data 2023'!$AE$2:$AE$10000,0),1),"")</f>
        <v>910</v>
      </c>
      <c r="AC1264" s="1" t="str">
        <f>IF(INDEX('CAMD Facility Data 2023'!$AE$2:$AG$10000,MATCH(Z1264,'CAMD Facility Data 2023'!$AE$2:$AE$10000,0),3)&gt;0,INDEX('CAMD Facility Data 2023'!$AE$2:$AG$10000,MATCH(Z1264,'CAMD Facility Data 2023'!$AE$2:$AE$10000,0),3),"")</f>
        <v/>
      </c>
      <c r="AD1264" s="20">
        <f t="shared" si="58"/>
        <v>18.510028653295127</v>
      </c>
      <c r="AE1264" s="25">
        <f t="shared" si="59"/>
        <v>6.0779517286366604E-4</v>
      </c>
    </row>
    <row r="1265" spans="1:31" x14ac:dyDescent="0.2">
      <c r="A1265" s="1" t="s">
        <v>3167</v>
      </c>
      <c r="B1265" s="1" t="s">
        <v>3192</v>
      </c>
      <c r="C1265" s="1">
        <v>4040</v>
      </c>
      <c r="D1265" s="1">
        <v>11</v>
      </c>
      <c r="F1265" s="1">
        <v>2023</v>
      </c>
      <c r="G1265" s="5">
        <v>7920</v>
      </c>
      <c r="H1265" s="5">
        <v>7826.95</v>
      </c>
      <c r="I1265" s="5">
        <v>2176022.4</v>
      </c>
      <c r="K1265" s="5">
        <v>4.407</v>
      </c>
      <c r="L1265" s="5">
        <v>1E-3</v>
      </c>
      <c r="M1265" s="5">
        <v>872937.52800000005</v>
      </c>
      <c r="N1265" s="6">
        <v>5.8999999999999997E-2</v>
      </c>
      <c r="O1265" s="5">
        <v>73.756</v>
      </c>
      <c r="P1265" s="6">
        <v>1.1900000000000001E-2</v>
      </c>
      <c r="Q1265" s="5">
        <v>14688848.784</v>
      </c>
      <c r="R1265" s="1" t="s">
        <v>44</v>
      </c>
      <c r="T1265" s="1" t="s">
        <v>71</v>
      </c>
      <c r="V1265" s="1" t="s">
        <v>64</v>
      </c>
      <c r="Y1265" s="1" t="s">
        <v>461</v>
      </c>
      <c r="Z1265" s="1" t="str">
        <f t="shared" si="57"/>
        <v>4040 11</v>
      </c>
      <c r="AA1265" s="3">
        <f>IF(INDEX('CAMD Facility Data 2023'!$AA$2:$AE$10000,MATCH(Z1265,'CAMD Facility Data 2023'!$AE$2:$AE$10000,0),1)&gt;0,INDEX('CAMD Facility Data 2023'!$AA$2:$AE$10000,MATCH(Z1265,'CAMD Facility Data 2023'!$AE$2:$AE$10000,0),1),"")</f>
        <v>39510</v>
      </c>
      <c r="AB1265" s="5">
        <f>IF(INDEX('CAMD Facility Data 2023'!$AC$2:$AE$10000,MATCH(Z1265,'CAMD Facility Data 2023'!$AE$2:$AE$10000,0),1)&gt;0,INDEX('CAMD Facility Data 2023'!$AC$2:$AE$10000,MATCH(Z1265,'CAMD Facility Data 2023'!$AE$2:$AE$10000,0),1),"")</f>
        <v>2400</v>
      </c>
      <c r="AC1265" s="1" t="str">
        <f>IF(INDEX('CAMD Facility Data 2023'!$AE$2:$AG$10000,MATCH(Z1265,'CAMD Facility Data 2023'!$AE$2:$AE$10000,0),3)&gt;0,INDEX('CAMD Facility Data 2023'!$AE$2:$AG$10000,MATCH(Z1265,'CAMD Facility Data 2023'!$AE$2:$AE$10000,0),3),"")</f>
        <v>Y</v>
      </c>
      <c r="AD1265" s="20">
        <f t="shared" si="58"/>
        <v>6.7789743340877381E-2</v>
      </c>
      <c r="AE1265" s="25">
        <f t="shared" si="59"/>
        <v>0.69867050913242013</v>
      </c>
    </row>
    <row r="1266" spans="1:31" x14ac:dyDescent="0.2">
      <c r="A1266" s="1" t="s">
        <v>3167</v>
      </c>
      <c r="B1266" s="1" t="s">
        <v>3192</v>
      </c>
      <c r="C1266" s="1">
        <v>4040</v>
      </c>
      <c r="D1266" s="1">
        <v>12</v>
      </c>
      <c r="F1266" s="1">
        <v>2023</v>
      </c>
      <c r="G1266" s="5">
        <v>8071</v>
      </c>
      <c r="H1266" s="5">
        <v>8013.43</v>
      </c>
      <c r="I1266" s="5">
        <v>2222680.2799999998</v>
      </c>
      <c r="K1266" s="5">
        <v>4.5049999999999999</v>
      </c>
      <c r="L1266" s="5">
        <v>1E-3</v>
      </c>
      <c r="M1266" s="5">
        <v>892366.24399999995</v>
      </c>
      <c r="N1266" s="6">
        <v>5.8999999999999997E-2</v>
      </c>
      <c r="O1266" s="5">
        <v>71.070999999999998</v>
      </c>
      <c r="P1266" s="6">
        <v>1.09E-2</v>
      </c>
      <c r="Q1266" s="5">
        <v>15015752.407</v>
      </c>
      <c r="R1266" s="1" t="s">
        <v>44</v>
      </c>
      <c r="T1266" s="1" t="s">
        <v>71</v>
      </c>
      <c r="V1266" s="1" t="s">
        <v>64</v>
      </c>
      <c r="Y1266" s="1" t="s">
        <v>461</v>
      </c>
      <c r="Z1266" s="1" t="str">
        <f t="shared" si="57"/>
        <v>4040 12</v>
      </c>
      <c r="AA1266" s="3">
        <f>IF(INDEX('CAMD Facility Data 2023'!$AA$2:$AE$10000,MATCH(Z1266,'CAMD Facility Data 2023'!$AE$2:$AE$10000,0),1)&gt;0,INDEX('CAMD Facility Data 2023'!$AA$2:$AE$10000,MATCH(Z1266,'CAMD Facility Data 2023'!$AE$2:$AE$10000,0),1),"")</f>
        <v>39511</v>
      </c>
      <c r="AB1266" s="5">
        <f>IF(INDEX('CAMD Facility Data 2023'!$AC$2:$AE$10000,MATCH(Z1266,'CAMD Facility Data 2023'!$AE$2:$AE$10000,0),1)&gt;0,INDEX('CAMD Facility Data 2023'!$AC$2:$AE$10000,MATCH(Z1266,'CAMD Facility Data 2023'!$AE$2:$AE$10000,0),1),"")</f>
        <v>2400</v>
      </c>
      <c r="AC1266" s="1" t="str">
        <f>IF(INDEX('CAMD Facility Data 2023'!$AE$2:$AG$10000,MATCH(Z1266,'CAMD Facility Data 2023'!$AE$2:$AE$10000,0),3)&gt;0,INDEX('CAMD Facility Data 2023'!$AE$2:$AG$10000,MATCH(Z1266,'CAMD Facility Data 2023'!$AE$2:$AE$10000,0),3),"")</f>
        <v>Y</v>
      </c>
      <c r="AD1266" s="20">
        <f t="shared" si="58"/>
        <v>6.39507180942821E-2</v>
      </c>
      <c r="AE1266" s="25">
        <f t="shared" si="59"/>
        <v>0.71421957795852353</v>
      </c>
    </row>
    <row r="1267" spans="1:31" x14ac:dyDescent="0.2">
      <c r="A1267" s="1" t="s">
        <v>3167</v>
      </c>
      <c r="B1267" s="1" t="s">
        <v>3192</v>
      </c>
      <c r="C1267" s="1">
        <v>4040</v>
      </c>
      <c r="D1267" s="1">
        <v>21</v>
      </c>
      <c r="F1267" s="1">
        <v>2023</v>
      </c>
      <c r="G1267" s="5">
        <v>7854</v>
      </c>
      <c r="H1267" s="5">
        <v>7778.62</v>
      </c>
      <c r="I1267" s="5">
        <v>2144048.2799999998</v>
      </c>
      <c r="K1267" s="5">
        <v>4.3369999999999997</v>
      </c>
      <c r="L1267" s="5">
        <v>1E-3</v>
      </c>
      <c r="M1267" s="5">
        <v>859148.75600000005</v>
      </c>
      <c r="N1267" s="6">
        <v>5.8999999999999997E-2</v>
      </c>
      <c r="O1267" s="5">
        <v>69.965999999999994</v>
      </c>
      <c r="P1267" s="6">
        <v>1.12E-2</v>
      </c>
      <c r="Q1267" s="5">
        <v>14456857.669</v>
      </c>
      <c r="R1267" s="1" t="s">
        <v>44</v>
      </c>
      <c r="T1267" s="1" t="s">
        <v>71</v>
      </c>
      <c r="V1267" s="1" t="s">
        <v>64</v>
      </c>
      <c r="Y1267" s="1" t="s">
        <v>461</v>
      </c>
      <c r="Z1267" s="1" t="str">
        <f t="shared" si="57"/>
        <v>4040 21</v>
      </c>
      <c r="AA1267" s="3">
        <f>IF(INDEX('CAMD Facility Data 2023'!$AA$2:$AE$10000,MATCH(Z1267,'CAMD Facility Data 2023'!$AE$2:$AE$10000,0),1)&gt;0,INDEX('CAMD Facility Data 2023'!$AA$2:$AE$10000,MATCH(Z1267,'CAMD Facility Data 2023'!$AE$2:$AE$10000,0),1),"")</f>
        <v>38534</v>
      </c>
      <c r="AB1267" s="5">
        <f>IF(INDEX('CAMD Facility Data 2023'!$AC$2:$AE$10000,MATCH(Z1267,'CAMD Facility Data 2023'!$AE$2:$AE$10000,0),1)&gt;0,INDEX('CAMD Facility Data 2023'!$AC$2:$AE$10000,MATCH(Z1267,'CAMD Facility Data 2023'!$AE$2:$AE$10000,0),1),"")</f>
        <v>2400</v>
      </c>
      <c r="AC1267" s="1" t="str">
        <f>IF(INDEX('CAMD Facility Data 2023'!$AE$2:$AG$10000,MATCH(Z1267,'CAMD Facility Data 2023'!$AE$2:$AE$10000,0),3)&gt;0,INDEX('CAMD Facility Data 2023'!$AE$2:$AG$10000,MATCH(Z1267,'CAMD Facility Data 2023'!$AE$2:$AE$10000,0),3),"")</f>
        <v>Y</v>
      </c>
      <c r="AD1267" s="20">
        <f t="shared" si="58"/>
        <v>6.5265321357408992E-2</v>
      </c>
      <c r="AE1267" s="25">
        <f t="shared" si="59"/>
        <v>0.68763592413432262</v>
      </c>
    </row>
    <row r="1268" spans="1:31" x14ac:dyDescent="0.2">
      <c r="A1268" s="1" t="s">
        <v>3167</v>
      </c>
      <c r="B1268" s="1" t="s">
        <v>3192</v>
      </c>
      <c r="C1268" s="1">
        <v>4040</v>
      </c>
      <c r="D1268" s="1">
        <v>22</v>
      </c>
      <c r="F1268" s="1">
        <v>2023</v>
      </c>
      <c r="G1268" s="5">
        <v>7722</v>
      </c>
      <c r="H1268" s="5">
        <v>7646.77</v>
      </c>
      <c r="I1268" s="5">
        <v>2113113.42</v>
      </c>
      <c r="K1268" s="5">
        <v>4.28</v>
      </c>
      <c r="L1268" s="5">
        <v>1E-3</v>
      </c>
      <c r="M1268" s="5">
        <v>847746.21499999997</v>
      </c>
      <c r="N1268" s="6">
        <v>5.8999999999999997E-2</v>
      </c>
      <c r="O1268" s="5">
        <v>70.281000000000006</v>
      </c>
      <c r="P1268" s="6">
        <v>1.1599999999999999E-2</v>
      </c>
      <c r="Q1268" s="5">
        <v>14265029.877</v>
      </c>
      <c r="R1268" s="1" t="s">
        <v>44</v>
      </c>
      <c r="T1268" s="1" t="s">
        <v>71</v>
      </c>
      <c r="V1268" s="1" t="s">
        <v>64</v>
      </c>
      <c r="Y1268" s="1" t="s">
        <v>461</v>
      </c>
      <c r="Z1268" s="1" t="str">
        <f t="shared" si="57"/>
        <v>4040 22</v>
      </c>
      <c r="AA1268" s="3">
        <f>IF(INDEX('CAMD Facility Data 2023'!$AA$2:$AE$10000,MATCH(Z1268,'CAMD Facility Data 2023'!$AE$2:$AE$10000,0),1)&gt;0,INDEX('CAMD Facility Data 2023'!$AA$2:$AE$10000,MATCH(Z1268,'CAMD Facility Data 2023'!$AE$2:$AE$10000,0),1),"")</f>
        <v>38534</v>
      </c>
      <c r="AB1268" s="5">
        <f>IF(INDEX('CAMD Facility Data 2023'!$AC$2:$AE$10000,MATCH(Z1268,'CAMD Facility Data 2023'!$AE$2:$AE$10000,0),1)&gt;0,INDEX('CAMD Facility Data 2023'!$AC$2:$AE$10000,MATCH(Z1268,'CAMD Facility Data 2023'!$AE$2:$AE$10000,0),1),"")</f>
        <v>2400</v>
      </c>
      <c r="AC1268" s="1" t="str">
        <f>IF(INDEX('CAMD Facility Data 2023'!$AE$2:$AG$10000,MATCH(Z1268,'CAMD Facility Data 2023'!$AE$2:$AE$10000,0),3)&gt;0,INDEX('CAMD Facility Data 2023'!$AE$2:$AG$10000,MATCH(Z1268,'CAMD Facility Data 2023'!$AE$2:$AE$10000,0),3),"")</f>
        <v>Y</v>
      </c>
      <c r="AD1268" s="20">
        <f t="shared" si="58"/>
        <v>6.6518909335212123E-2</v>
      </c>
      <c r="AE1268" s="25">
        <f t="shared" si="59"/>
        <v>0.67851169506278541</v>
      </c>
    </row>
    <row r="1269" spans="1:31" x14ac:dyDescent="0.2">
      <c r="A1269" s="1" t="s">
        <v>3167</v>
      </c>
      <c r="B1269" s="1" t="s">
        <v>3201</v>
      </c>
      <c r="C1269" s="1">
        <v>4041</v>
      </c>
      <c r="D1269" s="1">
        <v>5</v>
      </c>
      <c r="E1269" s="1" t="s">
        <v>1421</v>
      </c>
      <c r="F1269" s="1">
        <v>2023</v>
      </c>
      <c r="G1269" s="5">
        <v>3756</v>
      </c>
      <c r="H1269" s="5">
        <v>3745.1</v>
      </c>
      <c r="I1269" s="5">
        <v>671544.75</v>
      </c>
      <c r="K1269" s="5">
        <v>4.952</v>
      </c>
      <c r="L1269" s="5">
        <v>2.0999999999999999E-3</v>
      </c>
      <c r="M1269" s="5">
        <v>751819.34499999997</v>
      </c>
      <c r="N1269" s="6">
        <v>0.1045</v>
      </c>
      <c r="O1269" s="5">
        <v>235.11799999999999</v>
      </c>
      <c r="P1269" s="6">
        <v>6.6400000000000001E-2</v>
      </c>
      <c r="Q1269" s="5">
        <v>7170407.2379999999</v>
      </c>
      <c r="R1269" s="1" t="s">
        <v>55</v>
      </c>
      <c r="S1269" s="1" t="s">
        <v>44</v>
      </c>
      <c r="T1269" s="1" t="s">
        <v>89</v>
      </c>
      <c r="U1269" s="1" t="s">
        <v>56</v>
      </c>
      <c r="V1269" s="1" t="s">
        <v>223</v>
      </c>
      <c r="W1269" s="1" t="s">
        <v>331</v>
      </c>
      <c r="Y1269" s="1" t="s">
        <v>1005</v>
      </c>
      <c r="Z1269" s="1" t="str">
        <f t="shared" si="57"/>
        <v>4041 5</v>
      </c>
      <c r="AA1269" s="3">
        <f>IF(INDEX('CAMD Facility Data 2023'!$AA$2:$AE$10000,MATCH(Z1269,'CAMD Facility Data 2023'!$AE$2:$AE$10000,0),1)&gt;0,INDEX('CAMD Facility Data 2023'!$AA$2:$AE$10000,MATCH(Z1269,'CAMD Facility Data 2023'!$AE$2:$AE$10000,0),1),"")</f>
        <v>21885</v>
      </c>
      <c r="AB1269" s="5">
        <f>IF(INDEX('CAMD Facility Data 2023'!$AC$2:$AE$10000,MATCH(Z1269,'CAMD Facility Data 2023'!$AE$2:$AE$10000,0),1)&gt;0,INDEX('CAMD Facility Data 2023'!$AC$2:$AE$10000,MATCH(Z1269,'CAMD Facility Data 2023'!$AE$2:$AE$10000,0),1),"")</f>
        <v>3661</v>
      </c>
      <c r="AC1269" s="1" t="str">
        <f>IF(INDEX('CAMD Facility Data 2023'!$AE$2:$AG$10000,MATCH(Z1269,'CAMD Facility Data 2023'!$AE$2:$AE$10000,0),3)&gt;0,INDEX('CAMD Facility Data 2023'!$AE$2:$AG$10000,MATCH(Z1269,'CAMD Facility Data 2023'!$AE$2:$AE$10000,0),3),"")</f>
        <v>Y</v>
      </c>
      <c r="AD1269" s="20">
        <f t="shared" si="58"/>
        <v>0.70023032716732581</v>
      </c>
      <c r="AE1269" s="25">
        <f t="shared" si="59"/>
        <v>0.22358362169928869</v>
      </c>
    </row>
    <row r="1270" spans="1:31" x14ac:dyDescent="0.2">
      <c r="A1270" s="1" t="s">
        <v>3167</v>
      </c>
      <c r="B1270" s="1" t="s">
        <v>3201</v>
      </c>
      <c r="C1270" s="1">
        <v>4041</v>
      </c>
      <c r="D1270" s="1">
        <v>6</v>
      </c>
      <c r="E1270" s="1" t="s">
        <v>1421</v>
      </c>
      <c r="F1270" s="1">
        <v>2023</v>
      </c>
      <c r="G1270" s="5">
        <v>5053</v>
      </c>
      <c r="H1270" s="5">
        <v>5031.17</v>
      </c>
      <c r="I1270" s="5">
        <v>825356.67</v>
      </c>
      <c r="K1270" s="5">
        <v>6.7119999999999997</v>
      </c>
      <c r="L1270" s="5">
        <v>5.0000000000000001E-3</v>
      </c>
      <c r="M1270" s="5">
        <v>928242.19700000004</v>
      </c>
      <c r="N1270" s="6">
        <v>0.1033</v>
      </c>
      <c r="O1270" s="5">
        <v>307.77100000000002</v>
      </c>
      <c r="P1270" s="6">
        <v>6.8599999999999994E-2</v>
      </c>
      <c r="Q1270" s="5">
        <v>8862365.1119999997</v>
      </c>
      <c r="R1270" s="1" t="s">
        <v>55</v>
      </c>
      <c r="S1270" s="1" t="s">
        <v>44</v>
      </c>
      <c r="T1270" s="1" t="s">
        <v>89</v>
      </c>
      <c r="U1270" s="1" t="s">
        <v>56</v>
      </c>
      <c r="V1270" s="1" t="s">
        <v>223</v>
      </c>
      <c r="W1270" s="1" t="s">
        <v>331</v>
      </c>
      <c r="Y1270" s="1" t="s">
        <v>1005</v>
      </c>
      <c r="Z1270" s="1" t="str">
        <f t="shared" si="57"/>
        <v>4041 6</v>
      </c>
      <c r="AA1270" s="3">
        <f>IF(INDEX('CAMD Facility Data 2023'!$AA$2:$AE$10000,MATCH(Z1270,'CAMD Facility Data 2023'!$AE$2:$AE$10000,0),1)&gt;0,INDEX('CAMD Facility Data 2023'!$AA$2:$AE$10000,MATCH(Z1270,'CAMD Facility Data 2023'!$AE$2:$AE$10000,0),1),"")</f>
        <v>22586</v>
      </c>
      <c r="AB1270" s="5">
        <f>IF(INDEX('CAMD Facility Data 2023'!$AC$2:$AE$10000,MATCH(Z1270,'CAMD Facility Data 2023'!$AE$2:$AE$10000,0),1)&gt;0,INDEX('CAMD Facility Data 2023'!$AC$2:$AE$10000,MATCH(Z1270,'CAMD Facility Data 2023'!$AE$2:$AE$10000,0),1),"")</f>
        <v>2965</v>
      </c>
      <c r="AC1270" s="1" t="str">
        <f>IF(INDEX('CAMD Facility Data 2023'!$AE$2:$AG$10000,MATCH(Z1270,'CAMD Facility Data 2023'!$AE$2:$AE$10000,0),3)&gt;0,INDEX('CAMD Facility Data 2023'!$AE$2:$AG$10000,MATCH(Z1270,'CAMD Facility Data 2023'!$AE$2:$AE$10000,0),3),"")</f>
        <v>Y</v>
      </c>
      <c r="AD1270" s="20">
        <f t="shared" si="58"/>
        <v>0.74578909018812434</v>
      </c>
      <c r="AE1270" s="25">
        <f t="shared" si="59"/>
        <v>0.34120927995564693</v>
      </c>
    </row>
    <row r="1271" spans="1:31" x14ac:dyDescent="0.2">
      <c r="A1271" s="1" t="s">
        <v>3167</v>
      </c>
      <c r="B1271" s="1" t="s">
        <v>3201</v>
      </c>
      <c r="C1271" s="1">
        <v>4041</v>
      </c>
      <c r="D1271" s="1">
        <v>7</v>
      </c>
      <c r="E1271" s="1" t="s">
        <v>3206</v>
      </c>
      <c r="F1271" s="1">
        <v>2023</v>
      </c>
      <c r="G1271" s="5">
        <v>5832</v>
      </c>
      <c r="H1271" s="5">
        <v>5825.65</v>
      </c>
      <c r="I1271" s="5">
        <v>1357712.77</v>
      </c>
      <c r="K1271" s="5">
        <v>55.04</v>
      </c>
      <c r="L1271" s="5">
        <v>3.0800000000000001E-2</v>
      </c>
      <c r="M1271" s="5">
        <v>1438442.206</v>
      </c>
      <c r="N1271" s="6">
        <v>0.10440000000000001</v>
      </c>
      <c r="O1271" s="5">
        <v>434.73200000000003</v>
      </c>
      <c r="P1271" s="6">
        <v>6.3299999999999995E-2</v>
      </c>
      <c r="Q1271" s="5">
        <v>13717505.895</v>
      </c>
      <c r="R1271" s="1" t="s">
        <v>55</v>
      </c>
      <c r="S1271" s="1" t="s">
        <v>44</v>
      </c>
      <c r="T1271" s="1" t="s">
        <v>43</v>
      </c>
      <c r="U1271" s="1" t="s">
        <v>56</v>
      </c>
      <c r="V1271" s="1" t="s">
        <v>301</v>
      </c>
      <c r="W1271" s="1" t="s">
        <v>331</v>
      </c>
      <c r="Y1271" s="1" t="s">
        <v>1005</v>
      </c>
      <c r="Z1271" s="1" t="str">
        <f t="shared" si="57"/>
        <v>4041 7</v>
      </c>
      <c r="AA1271" s="3">
        <f>IF(INDEX('CAMD Facility Data 2023'!$AA$2:$AE$10000,MATCH(Z1271,'CAMD Facility Data 2023'!$AE$2:$AE$10000,0),1)&gt;0,INDEX('CAMD Facility Data 2023'!$AA$2:$AE$10000,MATCH(Z1271,'CAMD Facility Data 2023'!$AE$2:$AE$10000,0),1),"")</f>
        <v>23802</v>
      </c>
      <c r="AB1271" s="5">
        <f>IF(INDEX('CAMD Facility Data 2023'!$AC$2:$AE$10000,MATCH(Z1271,'CAMD Facility Data 2023'!$AE$2:$AE$10000,0),1)&gt;0,INDEX('CAMD Facility Data 2023'!$AC$2:$AE$10000,MATCH(Z1271,'CAMD Facility Data 2023'!$AE$2:$AE$10000,0),1),"")</f>
        <v>4311</v>
      </c>
      <c r="AC1271" s="1" t="str">
        <f>IF(INDEX('CAMD Facility Data 2023'!$AE$2:$AG$10000,MATCH(Z1271,'CAMD Facility Data 2023'!$AE$2:$AE$10000,0),3)&gt;0,INDEX('CAMD Facility Data 2023'!$AE$2:$AG$10000,MATCH(Z1271,'CAMD Facility Data 2023'!$AE$2:$AE$10000,0),3),"")</f>
        <v>Y</v>
      </c>
      <c r="AD1271" s="20">
        <f t="shared" si="58"/>
        <v>0.64038876205016471</v>
      </c>
      <c r="AE1271" s="25">
        <f t="shared" si="59"/>
        <v>0.3632394642726634</v>
      </c>
    </row>
    <row r="1272" spans="1:31" x14ac:dyDescent="0.2">
      <c r="A1272" s="1" t="s">
        <v>3167</v>
      </c>
      <c r="B1272" s="1" t="s">
        <v>3201</v>
      </c>
      <c r="C1272" s="1">
        <v>4041</v>
      </c>
      <c r="D1272" s="1">
        <v>8</v>
      </c>
      <c r="E1272" s="1" t="s">
        <v>3206</v>
      </c>
      <c r="F1272" s="1">
        <v>2023</v>
      </c>
      <c r="G1272" s="5">
        <v>4891</v>
      </c>
      <c r="H1272" s="5">
        <v>4880.7</v>
      </c>
      <c r="I1272" s="5">
        <v>1152134.71</v>
      </c>
      <c r="K1272" s="5">
        <v>49.387</v>
      </c>
      <c r="L1272" s="5">
        <v>1.49E-2</v>
      </c>
      <c r="M1272" s="5">
        <v>1214662.135</v>
      </c>
      <c r="N1272" s="6">
        <v>0.1043</v>
      </c>
      <c r="O1272" s="5">
        <v>368.512</v>
      </c>
      <c r="P1272" s="6">
        <v>6.3500000000000001E-2</v>
      </c>
      <c r="Q1272" s="5">
        <v>11585106.759</v>
      </c>
      <c r="R1272" s="1" t="s">
        <v>55</v>
      </c>
      <c r="S1272" s="1" t="s">
        <v>44</v>
      </c>
      <c r="T1272" s="1" t="s">
        <v>43</v>
      </c>
      <c r="U1272" s="1" t="s">
        <v>56</v>
      </c>
      <c r="V1272" s="1" t="s">
        <v>301</v>
      </c>
      <c r="W1272" s="1" t="s">
        <v>331</v>
      </c>
      <c r="Y1272" s="1" t="s">
        <v>1005</v>
      </c>
      <c r="Z1272" s="1" t="str">
        <f t="shared" si="57"/>
        <v>4041 8</v>
      </c>
      <c r="AA1272" s="3">
        <f>IF(INDEX('CAMD Facility Data 2023'!$AA$2:$AE$10000,MATCH(Z1272,'CAMD Facility Data 2023'!$AE$2:$AE$10000,0),1)&gt;0,INDEX('CAMD Facility Data 2023'!$AA$2:$AE$10000,MATCH(Z1272,'CAMD Facility Data 2023'!$AE$2:$AE$10000,0),1),"")</f>
        <v>24746</v>
      </c>
      <c r="AB1272" s="5">
        <f>IF(INDEX('CAMD Facility Data 2023'!$AC$2:$AE$10000,MATCH(Z1272,'CAMD Facility Data 2023'!$AE$2:$AE$10000,0),1)&gt;0,INDEX('CAMD Facility Data 2023'!$AC$2:$AE$10000,MATCH(Z1272,'CAMD Facility Data 2023'!$AE$2:$AE$10000,0),1),"")</f>
        <v>4014</v>
      </c>
      <c r="AC1272" s="1" t="str">
        <f>IF(INDEX('CAMD Facility Data 2023'!$AE$2:$AG$10000,MATCH(Z1272,'CAMD Facility Data 2023'!$AE$2:$AE$10000,0),3)&gt;0,INDEX('CAMD Facility Data 2023'!$AE$2:$AG$10000,MATCH(Z1272,'CAMD Facility Data 2023'!$AE$2:$AE$10000,0),3),"")</f>
        <v>Y</v>
      </c>
      <c r="AD1272" s="20">
        <f t="shared" si="58"/>
        <v>0.63970297362189532</v>
      </c>
      <c r="AE1272" s="25">
        <f t="shared" si="59"/>
        <v>0.3294720407512064</v>
      </c>
    </row>
    <row r="1273" spans="1:31" x14ac:dyDescent="0.2">
      <c r="A1273" s="1" t="s">
        <v>3167</v>
      </c>
      <c r="B1273" s="1" t="s">
        <v>3209</v>
      </c>
      <c r="C1273" s="1">
        <v>4042</v>
      </c>
      <c r="D1273" s="1">
        <v>1</v>
      </c>
      <c r="E1273" s="1" t="s">
        <v>1421</v>
      </c>
      <c r="F1273" s="1">
        <v>2023</v>
      </c>
      <c r="G1273" s="5">
        <v>6393</v>
      </c>
      <c r="H1273" s="5">
        <v>6379.57</v>
      </c>
      <c r="J1273" s="5">
        <v>1856856.11</v>
      </c>
      <c r="K1273" s="5">
        <v>0.71399999999999997</v>
      </c>
      <c r="L1273" s="5">
        <v>1E-3</v>
      </c>
      <c r="M1273" s="5">
        <v>139985.69399999999</v>
      </c>
      <c r="N1273" s="6">
        <v>5.8999999999999997E-2</v>
      </c>
      <c r="O1273" s="5">
        <v>74.992000000000004</v>
      </c>
      <c r="P1273" s="6">
        <v>6.2799999999999995E-2</v>
      </c>
      <c r="Q1273" s="5">
        <v>2361451.69</v>
      </c>
      <c r="R1273" s="1" t="s">
        <v>44</v>
      </c>
      <c r="T1273" s="1" t="s">
        <v>89</v>
      </c>
      <c r="V1273" s="1" t="s">
        <v>90</v>
      </c>
      <c r="Y1273" s="1" t="s">
        <v>461</v>
      </c>
      <c r="Z1273" s="1" t="str">
        <f t="shared" si="57"/>
        <v>4042 1</v>
      </c>
      <c r="AA1273" s="3">
        <f>IF(INDEX('CAMD Facility Data 2023'!$AA$2:$AE$10000,MATCH(Z1273,'CAMD Facility Data 2023'!$AE$2:$AE$10000,0),1)&gt;0,INDEX('CAMD Facility Data 2023'!$AA$2:$AE$10000,MATCH(Z1273,'CAMD Facility Data 2023'!$AE$2:$AE$10000,0),1),"")</f>
        <v>24990</v>
      </c>
      <c r="AB1273" s="5">
        <f>IF(INDEX('CAMD Facility Data 2023'!$AC$2:$AE$10000,MATCH(Z1273,'CAMD Facility Data 2023'!$AE$2:$AE$10000,0),1)&gt;0,INDEX('CAMD Facility Data 2023'!$AC$2:$AE$10000,MATCH(Z1273,'CAMD Facility Data 2023'!$AE$2:$AE$10000,0),1),"")</f>
        <v>1000</v>
      </c>
      <c r="AC1273" s="1" t="str">
        <f>IF(INDEX('CAMD Facility Data 2023'!$AE$2:$AG$10000,MATCH(Z1273,'CAMD Facility Data 2023'!$AE$2:$AE$10000,0),3)&gt;0,INDEX('CAMD Facility Data 2023'!$AE$2:$AG$10000,MATCH(Z1273,'CAMD Facility Data 2023'!$AE$2:$AE$10000,0),3),"")</f>
        <v/>
      </c>
      <c r="AD1273" s="20" t="str">
        <f t="shared" si="58"/>
        <v/>
      </c>
      <c r="AE1273" s="25">
        <f t="shared" si="59"/>
        <v>0.26957211073059362</v>
      </c>
    </row>
    <row r="1274" spans="1:31" x14ac:dyDescent="0.2">
      <c r="A1274" s="1" t="s">
        <v>3167</v>
      </c>
      <c r="B1274" s="1" t="s">
        <v>3209</v>
      </c>
      <c r="C1274" s="1">
        <v>4042</v>
      </c>
      <c r="D1274" s="1">
        <v>2</v>
      </c>
      <c r="E1274" s="1" t="s">
        <v>1421</v>
      </c>
      <c r="F1274" s="1">
        <v>2023</v>
      </c>
      <c r="G1274" s="5">
        <v>6786</v>
      </c>
      <c r="H1274" s="5">
        <v>6777.12</v>
      </c>
      <c r="J1274" s="5">
        <v>1996293.49</v>
      </c>
      <c r="K1274" s="5">
        <v>0.76500000000000001</v>
      </c>
      <c r="L1274" s="5">
        <v>1E-3</v>
      </c>
      <c r="M1274" s="5">
        <v>149974.60699999999</v>
      </c>
      <c r="N1274" s="6">
        <v>5.8999999999999997E-2</v>
      </c>
      <c r="O1274" s="5">
        <v>80.697999999999993</v>
      </c>
      <c r="P1274" s="6">
        <v>6.3100000000000003E-2</v>
      </c>
      <c r="Q1274" s="5">
        <v>2529942.659</v>
      </c>
      <c r="R1274" s="1" t="s">
        <v>44</v>
      </c>
      <c r="T1274" s="1" t="s">
        <v>89</v>
      </c>
      <c r="V1274" s="1" t="s">
        <v>90</v>
      </c>
      <c r="Y1274" s="1" t="s">
        <v>461</v>
      </c>
      <c r="Z1274" s="1" t="str">
        <f t="shared" si="57"/>
        <v>4042 2</v>
      </c>
      <c r="AA1274" s="3">
        <f>IF(INDEX('CAMD Facility Data 2023'!$AA$2:$AE$10000,MATCH(Z1274,'CAMD Facility Data 2023'!$AE$2:$AE$10000,0),1)&gt;0,INDEX('CAMD Facility Data 2023'!$AA$2:$AE$10000,MATCH(Z1274,'CAMD Facility Data 2023'!$AE$2:$AE$10000,0),1),"")</f>
        <v>24990</v>
      </c>
      <c r="AB1274" s="5">
        <f>IF(INDEX('CAMD Facility Data 2023'!$AC$2:$AE$10000,MATCH(Z1274,'CAMD Facility Data 2023'!$AE$2:$AE$10000,0),1)&gt;0,INDEX('CAMD Facility Data 2023'!$AC$2:$AE$10000,MATCH(Z1274,'CAMD Facility Data 2023'!$AE$2:$AE$10000,0),1),"")</f>
        <v>959</v>
      </c>
      <c r="AC1274" s="1" t="str">
        <f>IF(INDEX('CAMD Facility Data 2023'!$AE$2:$AG$10000,MATCH(Z1274,'CAMD Facility Data 2023'!$AE$2:$AE$10000,0),3)&gt;0,INDEX('CAMD Facility Data 2023'!$AE$2:$AG$10000,MATCH(Z1274,'CAMD Facility Data 2023'!$AE$2:$AE$10000,0),3),"")</f>
        <v/>
      </c>
      <c r="AD1274" s="20" t="str">
        <f t="shared" si="58"/>
        <v/>
      </c>
      <c r="AE1274" s="25">
        <f t="shared" si="59"/>
        <v>0.30115353452749966</v>
      </c>
    </row>
    <row r="1275" spans="1:31" x14ac:dyDescent="0.2">
      <c r="A1275" s="1" t="s">
        <v>3167</v>
      </c>
      <c r="B1275" s="1" t="s">
        <v>3209</v>
      </c>
      <c r="C1275" s="1">
        <v>4042</v>
      </c>
      <c r="D1275" s="1">
        <v>3</v>
      </c>
      <c r="E1275" s="1" t="s">
        <v>3206</v>
      </c>
      <c r="F1275" s="1">
        <v>2023</v>
      </c>
      <c r="G1275" s="5">
        <v>3326</v>
      </c>
      <c r="H1275" s="5">
        <v>3304.95</v>
      </c>
      <c r="J1275" s="5">
        <v>1004596.52</v>
      </c>
      <c r="K1275" s="5">
        <v>0.41499999999999998</v>
      </c>
      <c r="L1275" s="5">
        <v>1E-3</v>
      </c>
      <c r="M1275" s="5">
        <v>82337.475999999995</v>
      </c>
      <c r="N1275" s="6">
        <v>5.8999999999999997E-2</v>
      </c>
      <c r="O1275" s="5">
        <v>42.936</v>
      </c>
      <c r="P1275" s="6">
        <v>6.0199999999999997E-2</v>
      </c>
      <c r="Q1275" s="5">
        <v>1388970.598</v>
      </c>
      <c r="R1275" s="1" t="s">
        <v>44</v>
      </c>
      <c r="T1275" s="1" t="s">
        <v>89</v>
      </c>
      <c r="V1275" s="1" t="s">
        <v>90</v>
      </c>
      <c r="Y1275" s="1" t="s">
        <v>461</v>
      </c>
      <c r="Z1275" s="1" t="str">
        <f t="shared" si="57"/>
        <v>4042 3</v>
      </c>
      <c r="AA1275" s="3">
        <f>IF(INDEX('CAMD Facility Data 2023'!$AA$2:$AE$10000,MATCH(Z1275,'CAMD Facility Data 2023'!$AE$2:$AE$10000,0),1)&gt;0,INDEX('CAMD Facility Data 2023'!$AA$2:$AE$10000,MATCH(Z1275,'CAMD Facility Data 2023'!$AE$2:$AE$10000,0),1),"")</f>
        <v>25263</v>
      </c>
      <c r="AB1275" s="5">
        <f>IF(INDEX('CAMD Facility Data 2023'!$AC$2:$AE$10000,MATCH(Z1275,'CAMD Facility Data 2023'!$AE$2:$AE$10000,0),1)&gt;0,INDEX('CAMD Facility Data 2023'!$AC$2:$AE$10000,MATCH(Z1275,'CAMD Facility Data 2023'!$AE$2:$AE$10000,0),1),"")</f>
        <v>1192</v>
      </c>
      <c r="AC1275" s="1" t="str">
        <f>IF(INDEX('CAMD Facility Data 2023'!$AE$2:$AG$10000,MATCH(Z1275,'CAMD Facility Data 2023'!$AE$2:$AE$10000,0),3)&gt;0,INDEX('CAMD Facility Data 2023'!$AE$2:$AG$10000,MATCH(Z1275,'CAMD Facility Data 2023'!$AE$2:$AE$10000,0),3),"")</f>
        <v/>
      </c>
      <c r="AD1275" s="20" t="str">
        <f t="shared" si="58"/>
        <v/>
      </c>
      <c r="AE1275" s="25">
        <f t="shared" si="59"/>
        <v>0.13301869751923018</v>
      </c>
    </row>
    <row r="1276" spans="1:31" x14ac:dyDescent="0.2">
      <c r="A1276" s="1" t="s">
        <v>3167</v>
      </c>
      <c r="B1276" s="1" t="s">
        <v>3209</v>
      </c>
      <c r="C1276" s="1">
        <v>4042</v>
      </c>
      <c r="D1276" s="1">
        <v>4</v>
      </c>
      <c r="E1276" s="1" t="s">
        <v>3206</v>
      </c>
      <c r="F1276" s="1">
        <v>2023</v>
      </c>
      <c r="G1276" s="5">
        <v>3514</v>
      </c>
      <c r="H1276" s="5">
        <v>3496.14</v>
      </c>
      <c r="J1276" s="5">
        <v>1049466.99</v>
      </c>
      <c r="K1276" s="5">
        <v>0.438</v>
      </c>
      <c r="L1276" s="5">
        <v>1E-3</v>
      </c>
      <c r="M1276" s="5">
        <v>86853.384000000005</v>
      </c>
      <c r="N1276" s="6">
        <v>5.8999999999999997E-2</v>
      </c>
      <c r="O1276" s="5">
        <v>45.265999999999998</v>
      </c>
      <c r="P1276" s="6">
        <v>6.0199999999999997E-2</v>
      </c>
      <c r="Q1276" s="5">
        <v>1465149.615</v>
      </c>
      <c r="R1276" s="1" t="s">
        <v>44</v>
      </c>
      <c r="T1276" s="1" t="s">
        <v>89</v>
      </c>
      <c r="V1276" s="1" t="s">
        <v>90</v>
      </c>
      <c r="Y1276" s="1" t="s">
        <v>461</v>
      </c>
      <c r="Z1276" s="1" t="str">
        <f t="shared" si="57"/>
        <v>4042 4</v>
      </c>
      <c r="AA1276" s="3">
        <f>IF(INDEX('CAMD Facility Data 2023'!$AA$2:$AE$10000,MATCH(Z1276,'CAMD Facility Data 2023'!$AE$2:$AE$10000,0),1)&gt;0,INDEX('CAMD Facility Data 2023'!$AA$2:$AE$10000,MATCH(Z1276,'CAMD Facility Data 2023'!$AE$2:$AE$10000,0),1),"")</f>
        <v>25263</v>
      </c>
      <c r="AB1276" s="5">
        <f>IF(INDEX('CAMD Facility Data 2023'!$AC$2:$AE$10000,MATCH(Z1276,'CAMD Facility Data 2023'!$AE$2:$AE$10000,0),1)&gt;0,INDEX('CAMD Facility Data 2023'!$AC$2:$AE$10000,MATCH(Z1276,'CAMD Facility Data 2023'!$AE$2:$AE$10000,0),1),"")</f>
        <v>1013</v>
      </c>
      <c r="AC1276" s="1" t="str">
        <f>IF(INDEX('CAMD Facility Data 2023'!$AE$2:$AG$10000,MATCH(Z1276,'CAMD Facility Data 2023'!$AE$2:$AE$10000,0),3)&gt;0,INDEX('CAMD Facility Data 2023'!$AE$2:$AG$10000,MATCH(Z1276,'CAMD Facility Data 2023'!$AE$2:$AE$10000,0),3),"")</f>
        <v/>
      </c>
      <c r="AD1276" s="20" t="str">
        <f t="shared" si="58"/>
        <v/>
      </c>
      <c r="AE1276" s="25">
        <f t="shared" si="59"/>
        <v>0.16510811674261991</v>
      </c>
    </row>
    <row r="1277" spans="1:31" x14ac:dyDescent="0.2">
      <c r="A1277" s="1" t="s">
        <v>3167</v>
      </c>
      <c r="B1277" s="1" t="s">
        <v>3211</v>
      </c>
      <c r="C1277" s="1">
        <v>4050</v>
      </c>
      <c r="D1277" s="1">
        <v>5</v>
      </c>
      <c r="F1277" s="1">
        <v>2023</v>
      </c>
      <c r="G1277" s="5">
        <v>7328</v>
      </c>
      <c r="H1277" s="5">
        <v>7312.02</v>
      </c>
      <c r="I1277" s="5">
        <v>2077014.05</v>
      </c>
      <c r="K1277" s="5">
        <v>390.70499999999998</v>
      </c>
      <c r="L1277" s="5">
        <v>3.4599999999999999E-2</v>
      </c>
      <c r="M1277" s="5">
        <v>2288176.0660000001</v>
      </c>
      <c r="N1277" s="6">
        <v>0.105</v>
      </c>
      <c r="O1277" s="5">
        <v>535.68899999999996</v>
      </c>
      <c r="P1277" s="6">
        <v>4.8300000000000003E-2</v>
      </c>
      <c r="Q1277" s="5">
        <v>21817056.431000002</v>
      </c>
      <c r="R1277" s="1" t="s">
        <v>55</v>
      </c>
      <c r="T1277" s="1" t="s">
        <v>89</v>
      </c>
      <c r="U1277" s="1" t="s">
        <v>212</v>
      </c>
      <c r="V1277" s="1" t="s">
        <v>563</v>
      </c>
      <c r="W1277" s="1" t="s">
        <v>1182</v>
      </c>
      <c r="X1277" s="1" t="s">
        <v>937</v>
      </c>
      <c r="Y1277" s="1" t="s">
        <v>1005</v>
      </c>
      <c r="Z1277" s="1" t="str">
        <f t="shared" si="57"/>
        <v>4050 5</v>
      </c>
      <c r="AA1277" s="3">
        <f>IF(INDEX('CAMD Facility Data 2023'!$AA$2:$AE$10000,MATCH(Z1277,'CAMD Facility Data 2023'!$AE$2:$AE$10000,0),1)&gt;0,INDEX('CAMD Facility Data 2023'!$AA$2:$AE$10000,MATCH(Z1277,'CAMD Facility Data 2023'!$AE$2:$AE$10000,0),1),"")</f>
        <v>31107</v>
      </c>
      <c r="AB1277" s="5">
        <f>IF(INDEX('CAMD Facility Data 2023'!$AC$2:$AE$10000,MATCH(Z1277,'CAMD Facility Data 2023'!$AE$2:$AE$10000,0),1)&gt;0,INDEX('CAMD Facility Data 2023'!$AC$2:$AE$10000,MATCH(Z1277,'CAMD Facility Data 2023'!$AE$2:$AE$10000,0),1),"")</f>
        <v>5424</v>
      </c>
      <c r="AC1277" s="1" t="str">
        <f>IF(INDEX('CAMD Facility Data 2023'!$AE$2:$AG$10000,MATCH(Z1277,'CAMD Facility Data 2023'!$AE$2:$AE$10000,0),3)&gt;0,INDEX('CAMD Facility Data 2023'!$AE$2:$AG$10000,MATCH(Z1277,'CAMD Facility Data 2023'!$AE$2:$AE$10000,0),3),"")</f>
        <v>Y</v>
      </c>
      <c r="AD1277" s="20">
        <f t="shared" si="58"/>
        <v>0.51582607252945645</v>
      </c>
      <c r="AE1277" s="25">
        <f t="shared" si="59"/>
        <v>0.45916879720690051</v>
      </c>
    </row>
    <row r="1278" spans="1:31" x14ac:dyDescent="0.2">
      <c r="A1278" s="1" t="s">
        <v>3167</v>
      </c>
      <c r="B1278" s="1" t="s">
        <v>3216</v>
      </c>
      <c r="C1278" s="1">
        <v>4072</v>
      </c>
      <c r="D1278" s="1">
        <v>32</v>
      </c>
      <c r="F1278" s="1">
        <v>2023</v>
      </c>
      <c r="G1278" s="5">
        <v>1600</v>
      </c>
      <c r="H1278" s="5">
        <v>1465.66</v>
      </c>
      <c r="I1278" s="5">
        <v>109037.28</v>
      </c>
      <c r="K1278" s="5">
        <v>0.39300000000000002</v>
      </c>
      <c r="L1278" s="5">
        <v>1E-3</v>
      </c>
      <c r="M1278" s="5">
        <v>77796.239000000001</v>
      </c>
      <c r="N1278" s="6">
        <v>5.91E-2</v>
      </c>
      <c r="O1278" s="5">
        <v>17.91</v>
      </c>
      <c r="P1278" s="6">
        <v>3.1199999999999999E-2</v>
      </c>
      <c r="Q1278" s="5">
        <v>1309039.713</v>
      </c>
      <c r="R1278" s="1" t="s">
        <v>44</v>
      </c>
      <c r="T1278" s="1" t="s">
        <v>93</v>
      </c>
      <c r="V1278" s="1" t="s">
        <v>140</v>
      </c>
      <c r="Y1278" s="1" t="s">
        <v>461</v>
      </c>
      <c r="Z1278" s="1" t="str">
        <f t="shared" si="57"/>
        <v>4072 32</v>
      </c>
      <c r="AA1278" s="3">
        <f>IF(INDEX('CAMD Facility Data 2023'!$AA$2:$AE$10000,MATCH(Z1278,'CAMD Facility Data 2023'!$AE$2:$AE$10000,0),1)&gt;0,INDEX('CAMD Facility Data 2023'!$AA$2:$AE$10000,MATCH(Z1278,'CAMD Facility Data 2023'!$AE$2:$AE$10000,0),1),"")</f>
        <v>37742</v>
      </c>
      <c r="AB1278" s="5">
        <f>IF(INDEX('CAMD Facility Data 2023'!$AC$2:$AE$10000,MATCH(Z1278,'CAMD Facility Data 2023'!$AE$2:$AE$10000,0),1)&gt;0,INDEX('CAMD Facility Data 2023'!$AC$2:$AE$10000,MATCH(Z1278,'CAMD Facility Data 2023'!$AE$2:$AE$10000,0),1),"")</f>
        <v>1241</v>
      </c>
      <c r="AC1278" s="1" t="str">
        <f>IF(INDEX('CAMD Facility Data 2023'!$AE$2:$AG$10000,MATCH(Z1278,'CAMD Facility Data 2023'!$AE$2:$AE$10000,0),3)&gt;0,INDEX('CAMD Facility Data 2023'!$AE$2:$AG$10000,MATCH(Z1278,'CAMD Facility Data 2023'!$AE$2:$AE$10000,0),3),"")</f>
        <v/>
      </c>
      <c r="AD1278" s="20">
        <f t="shared" si="58"/>
        <v>0.32851149625155729</v>
      </c>
      <c r="AE1278" s="25">
        <f t="shared" si="59"/>
        <v>0.12041398645590719</v>
      </c>
    </row>
    <row r="1279" spans="1:31" x14ac:dyDescent="0.2">
      <c r="A1279" s="1" t="s">
        <v>3167</v>
      </c>
      <c r="B1279" s="1" t="s">
        <v>3220</v>
      </c>
      <c r="C1279" s="1">
        <v>4076</v>
      </c>
      <c r="D1279" s="1" t="s">
        <v>3228</v>
      </c>
      <c r="F1279" s="1">
        <v>2023</v>
      </c>
      <c r="G1279" s="5">
        <v>484</v>
      </c>
      <c r="H1279" s="5">
        <v>436.57</v>
      </c>
      <c r="I1279" s="5">
        <v>6760.03</v>
      </c>
      <c r="K1279" s="5">
        <v>3.1E-2</v>
      </c>
      <c r="L1279" s="5">
        <v>1E-3</v>
      </c>
      <c r="M1279" s="5">
        <v>6192.5820000000003</v>
      </c>
      <c r="N1279" s="6">
        <v>5.9299999999999999E-2</v>
      </c>
      <c r="O1279" s="5">
        <v>21.693000000000001</v>
      </c>
      <c r="P1279" s="6">
        <v>0.39</v>
      </c>
      <c r="Q1279" s="5">
        <v>104205.05499999999</v>
      </c>
      <c r="R1279" s="1" t="s">
        <v>44</v>
      </c>
      <c r="T1279" s="1" t="s">
        <v>93</v>
      </c>
      <c r="Y1279" s="1" t="s">
        <v>1020</v>
      </c>
      <c r="Z1279" s="1" t="str">
        <f t="shared" si="57"/>
        <v>4076 31A</v>
      </c>
      <c r="AA1279" s="3">
        <f>IF(INDEX('CAMD Facility Data 2023'!$AA$2:$AE$10000,MATCH(Z1279,'CAMD Facility Data 2023'!$AE$2:$AE$10000,0),1)&gt;0,INDEX('CAMD Facility Data 2023'!$AA$2:$AE$10000,MATCH(Z1279,'CAMD Facility Data 2023'!$AE$2:$AE$10000,0),1),"")</f>
        <v>26080</v>
      </c>
      <c r="AB1279" s="5">
        <f>IF(INDEX('CAMD Facility Data 2023'!$AC$2:$AE$10000,MATCH(Z1279,'CAMD Facility Data 2023'!$AE$2:$AE$10000,0),1)&gt;0,INDEX('CAMD Facility Data 2023'!$AC$2:$AE$10000,MATCH(Z1279,'CAMD Facility Data 2023'!$AE$2:$AE$10000,0),1),"")</f>
        <v>353</v>
      </c>
      <c r="AC1279" s="1" t="str">
        <f>IF(INDEX('CAMD Facility Data 2023'!$AE$2:$AG$10000,MATCH(Z1279,'CAMD Facility Data 2023'!$AE$2:$AE$10000,0),3)&gt;0,INDEX('CAMD Facility Data 2023'!$AE$2:$AG$10000,MATCH(Z1279,'CAMD Facility Data 2023'!$AE$2:$AE$10000,0),3),"")</f>
        <v/>
      </c>
      <c r="AD1279" s="20">
        <f t="shared" si="58"/>
        <v>6.4180188549459105</v>
      </c>
      <c r="AE1279" s="25">
        <f t="shared" si="59"/>
        <v>3.3698453891626887E-2</v>
      </c>
    </row>
    <row r="1280" spans="1:31" x14ac:dyDescent="0.2">
      <c r="A1280" s="1" t="s">
        <v>3167</v>
      </c>
      <c r="B1280" s="1" t="s">
        <v>3220</v>
      </c>
      <c r="C1280" s="1">
        <v>4076</v>
      </c>
      <c r="D1280" s="1" t="s">
        <v>3230</v>
      </c>
      <c r="F1280" s="1">
        <v>2023</v>
      </c>
      <c r="G1280" s="5">
        <v>484</v>
      </c>
      <c r="H1280" s="5">
        <v>436.63</v>
      </c>
      <c r="I1280" s="5">
        <v>6595.69</v>
      </c>
      <c r="K1280" s="5">
        <v>3.1E-2</v>
      </c>
      <c r="L1280" s="5">
        <v>1E-3</v>
      </c>
      <c r="M1280" s="5">
        <v>6053.933</v>
      </c>
      <c r="N1280" s="6">
        <v>5.9299999999999999E-2</v>
      </c>
      <c r="O1280" s="5">
        <v>17.800999999999998</v>
      </c>
      <c r="P1280" s="6">
        <v>0.32600000000000001</v>
      </c>
      <c r="Q1280" s="5">
        <v>101872.674</v>
      </c>
      <c r="R1280" s="1" t="s">
        <v>44</v>
      </c>
      <c r="T1280" s="1" t="s">
        <v>93</v>
      </c>
      <c r="Y1280" s="1" t="s">
        <v>1020</v>
      </c>
      <c r="Z1280" s="1" t="str">
        <f t="shared" si="57"/>
        <v>4076 31B</v>
      </c>
      <c r="AA1280" s="3">
        <f>IF(INDEX('CAMD Facility Data 2023'!$AA$2:$AE$10000,MATCH(Z1280,'CAMD Facility Data 2023'!$AE$2:$AE$10000,0),1)&gt;0,INDEX('CAMD Facility Data 2023'!$AA$2:$AE$10000,MATCH(Z1280,'CAMD Facility Data 2023'!$AE$2:$AE$10000,0),1),"")</f>
        <v>26080</v>
      </c>
      <c r="AB1280" s="5">
        <f>IF(INDEX('CAMD Facility Data 2023'!$AC$2:$AE$10000,MATCH(Z1280,'CAMD Facility Data 2023'!$AE$2:$AE$10000,0),1)&gt;0,INDEX('CAMD Facility Data 2023'!$AC$2:$AE$10000,MATCH(Z1280,'CAMD Facility Data 2023'!$AE$2:$AE$10000,0),1),"")</f>
        <v>353</v>
      </c>
      <c r="AC1280" s="1" t="str">
        <f>IF(INDEX('CAMD Facility Data 2023'!$AE$2:$AG$10000,MATCH(Z1280,'CAMD Facility Data 2023'!$AE$2:$AE$10000,0),3)&gt;0,INDEX('CAMD Facility Data 2023'!$AE$2:$AG$10000,MATCH(Z1280,'CAMD Facility Data 2023'!$AE$2:$AE$10000,0),3),"")</f>
        <v/>
      </c>
      <c r="AD1280" s="20">
        <f t="shared" si="58"/>
        <v>5.3977673298775413</v>
      </c>
      <c r="AE1280" s="25">
        <f t="shared" si="59"/>
        <v>3.2944194574876788E-2</v>
      </c>
    </row>
    <row r="1281" spans="1:31" x14ac:dyDescent="0.2">
      <c r="A1281" s="1" t="s">
        <v>3167</v>
      </c>
      <c r="B1281" s="1" t="s">
        <v>3220</v>
      </c>
      <c r="C1281" s="1">
        <v>4076</v>
      </c>
      <c r="D1281" s="1" t="s">
        <v>3231</v>
      </c>
      <c r="F1281" s="1">
        <v>2023</v>
      </c>
      <c r="G1281" s="5">
        <v>564</v>
      </c>
      <c r="H1281" s="5">
        <v>506.94</v>
      </c>
      <c r="I1281" s="5">
        <v>7948.32</v>
      </c>
      <c r="K1281" s="5">
        <v>3.6999999999999998E-2</v>
      </c>
      <c r="L1281" s="5">
        <v>1E-3</v>
      </c>
      <c r="M1281" s="5">
        <v>7227.7539999999999</v>
      </c>
      <c r="N1281" s="6">
        <v>5.9299999999999999E-2</v>
      </c>
      <c r="O1281" s="5">
        <v>23.443000000000001</v>
      </c>
      <c r="P1281" s="6">
        <v>0.35749999999999998</v>
      </c>
      <c r="Q1281" s="5">
        <v>121632.423</v>
      </c>
      <c r="R1281" s="1" t="s">
        <v>44</v>
      </c>
      <c r="T1281" s="1" t="s">
        <v>93</v>
      </c>
      <c r="Y1281" s="1" t="s">
        <v>1020</v>
      </c>
      <c r="Z1281" s="1" t="str">
        <f t="shared" si="57"/>
        <v>4076 32A</v>
      </c>
      <c r="AA1281" s="3">
        <f>IF(INDEX('CAMD Facility Data 2023'!$AA$2:$AE$10000,MATCH(Z1281,'CAMD Facility Data 2023'!$AE$2:$AE$10000,0),1)&gt;0,INDEX('CAMD Facility Data 2023'!$AA$2:$AE$10000,MATCH(Z1281,'CAMD Facility Data 2023'!$AE$2:$AE$10000,0),1),"")</f>
        <v>26757</v>
      </c>
      <c r="AB1281" s="5">
        <f>IF(INDEX('CAMD Facility Data 2023'!$AC$2:$AE$10000,MATCH(Z1281,'CAMD Facility Data 2023'!$AE$2:$AE$10000,0),1)&gt;0,INDEX('CAMD Facility Data 2023'!$AC$2:$AE$10000,MATCH(Z1281,'CAMD Facility Data 2023'!$AE$2:$AE$10000,0),1),"")</f>
        <v>353</v>
      </c>
      <c r="AC1281" s="1" t="str">
        <f>IF(INDEX('CAMD Facility Data 2023'!$AE$2:$AG$10000,MATCH(Z1281,'CAMD Facility Data 2023'!$AE$2:$AE$10000,0),3)&gt;0,INDEX('CAMD Facility Data 2023'!$AE$2:$AG$10000,MATCH(Z1281,'CAMD Facility Data 2023'!$AE$2:$AE$10000,0),3),"")</f>
        <v/>
      </c>
      <c r="AD1281" s="20">
        <f t="shared" si="58"/>
        <v>5.8988566137246616</v>
      </c>
      <c r="AE1281" s="25">
        <f t="shared" si="59"/>
        <v>3.933422038107804E-2</v>
      </c>
    </row>
    <row r="1282" spans="1:31" x14ac:dyDescent="0.2">
      <c r="A1282" s="1" t="s">
        <v>3167</v>
      </c>
      <c r="B1282" s="1" t="s">
        <v>3220</v>
      </c>
      <c r="C1282" s="1">
        <v>4076</v>
      </c>
      <c r="D1282" s="1" t="s">
        <v>3233</v>
      </c>
      <c r="F1282" s="1">
        <v>2023</v>
      </c>
      <c r="G1282" s="5">
        <v>519</v>
      </c>
      <c r="H1282" s="5">
        <v>465.65</v>
      </c>
      <c r="I1282" s="5">
        <v>7009.79</v>
      </c>
      <c r="K1282" s="5">
        <v>3.2000000000000001E-2</v>
      </c>
      <c r="L1282" s="5">
        <v>1E-3</v>
      </c>
      <c r="M1282" s="5">
        <v>6416.1409999999996</v>
      </c>
      <c r="N1282" s="6">
        <v>5.9299999999999999E-2</v>
      </c>
      <c r="O1282" s="5">
        <v>22.134</v>
      </c>
      <c r="P1282" s="6">
        <v>0.38529999999999998</v>
      </c>
      <c r="Q1282" s="5">
        <v>107976.304</v>
      </c>
      <c r="R1282" s="1" t="s">
        <v>44</v>
      </c>
      <c r="T1282" s="1" t="s">
        <v>93</v>
      </c>
      <c r="Y1282" s="1" t="s">
        <v>1020</v>
      </c>
      <c r="Z1282" s="1" t="str">
        <f t="shared" si="57"/>
        <v>4076 32B</v>
      </c>
      <c r="AA1282" s="3">
        <f>IF(INDEX('CAMD Facility Data 2023'!$AA$2:$AE$10000,MATCH(Z1282,'CAMD Facility Data 2023'!$AE$2:$AE$10000,0),1)&gt;0,INDEX('CAMD Facility Data 2023'!$AA$2:$AE$10000,MATCH(Z1282,'CAMD Facility Data 2023'!$AE$2:$AE$10000,0),1),"")</f>
        <v>26757</v>
      </c>
      <c r="AB1282" s="5">
        <f>IF(INDEX('CAMD Facility Data 2023'!$AC$2:$AE$10000,MATCH(Z1282,'CAMD Facility Data 2023'!$AE$2:$AE$10000,0),1)&gt;0,INDEX('CAMD Facility Data 2023'!$AC$2:$AE$10000,MATCH(Z1282,'CAMD Facility Data 2023'!$AE$2:$AE$10000,0),1),"")</f>
        <v>353</v>
      </c>
      <c r="AC1282" s="1" t="str">
        <f>IF(INDEX('CAMD Facility Data 2023'!$AE$2:$AG$10000,MATCH(Z1282,'CAMD Facility Data 2023'!$AE$2:$AE$10000,0),3)&gt;0,INDEX('CAMD Facility Data 2023'!$AE$2:$AG$10000,MATCH(Z1282,'CAMD Facility Data 2023'!$AE$2:$AE$10000,0),3),"")</f>
        <v/>
      </c>
      <c r="AD1282" s="20">
        <f t="shared" si="58"/>
        <v>6.3151677867667937</v>
      </c>
      <c r="AE1282" s="25">
        <f t="shared" si="59"/>
        <v>3.4918022947469179E-2</v>
      </c>
    </row>
    <row r="1283" spans="1:31" x14ac:dyDescent="0.2">
      <c r="A1283" s="1" t="s">
        <v>3167</v>
      </c>
      <c r="B1283" s="1" t="s">
        <v>3220</v>
      </c>
      <c r="C1283" s="1">
        <v>4076</v>
      </c>
      <c r="D1283" s="1" t="s">
        <v>3221</v>
      </c>
      <c r="F1283" s="1">
        <v>2023</v>
      </c>
      <c r="G1283" s="5">
        <v>1272</v>
      </c>
      <c r="H1283" s="5">
        <v>1158.22</v>
      </c>
      <c r="I1283" s="5">
        <v>77349.78</v>
      </c>
      <c r="K1283" s="5">
        <v>0.28199999999999997</v>
      </c>
      <c r="L1283" s="5">
        <v>1E-3</v>
      </c>
      <c r="M1283" s="5">
        <v>55937.374000000003</v>
      </c>
      <c r="N1283" s="6">
        <v>5.8999999999999997E-2</v>
      </c>
      <c r="O1283" s="5">
        <v>60.914000000000001</v>
      </c>
      <c r="P1283" s="6">
        <v>0.1278</v>
      </c>
      <c r="Q1283" s="5">
        <v>941238.52</v>
      </c>
      <c r="R1283" s="1" t="s">
        <v>44</v>
      </c>
      <c r="T1283" s="1" t="s">
        <v>93</v>
      </c>
      <c r="V1283" s="1" t="s">
        <v>95</v>
      </c>
      <c r="Y1283" s="1" t="s">
        <v>461</v>
      </c>
      <c r="Z1283" s="1" t="str">
        <f t="shared" ref="Z1283:Z1346" si="60">C1283&amp;" "&amp;D1283</f>
        <v>4076 **33</v>
      </c>
      <c r="AA1283" s="3">
        <f>IF(INDEX('CAMD Facility Data 2023'!$AA$2:$AE$10000,MATCH(Z1283,'CAMD Facility Data 2023'!$AE$2:$AE$10000,0),1)&gt;0,INDEX('CAMD Facility Data 2023'!$AA$2:$AE$10000,MATCH(Z1283,'CAMD Facility Data 2023'!$AE$2:$AE$10000,0),1),"")</f>
        <v>34060</v>
      </c>
      <c r="AB1283" s="5">
        <f>IF(INDEX('CAMD Facility Data 2023'!$AC$2:$AE$10000,MATCH(Z1283,'CAMD Facility Data 2023'!$AE$2:$AE$10000,0),1)&gt;0,INDEX('CAMD Facility Data 2023'!$AC$2:$AE$10000,MATCH(Z1283,'CAMD Facility Data 2023'!$AE$2:$AE$10000,0),1),"")</f>
        <v>1274.3</v>
      </c>
      <c r="AC1283" s="1" t="str">
        <f>IF(INDEX('CAMD Facility Data 2023'!$AE$2:$AG$10000,MATCH(Z1283,'CAMD Facility Data 2023'!$AE$2:$AE$10000,0),3)&gt;0,INDEX('CAMD Facility Data 2023'!$AE$2:$AG$10000,MATCH(Z1283,'CAMD Facility Data 2023'!$AE$2:$AE$10000,0),3),"")</f>
        <v/>
      </c>
      <c r="AD1283" s="20">
        <f t="shared" ref="AD1283:AD1346" si="61">IF(ISNUMBER(O1283*2000/I1283),O1283*2000/I1283,"")</f>
        <v>1.5750271041494883</v>
      </c>
      <c r="AE1283" s="25">
        <f t="shared" ref="AE1283:AE1346" si="62">Q1283/(AB1283*8760)</f>
        <v>8.431870017633461E-2</v>
      </c>
    </row>
    <row r="1284" spans="1:31" x14ac:dyDescent="0.2">
      <c r="A1284" s="1" t="s">
        <v>3167</v>
      </c>
      <c r="B1284" s="1" t="s">
        <v>3220</v>
      </c>
      <c r="C1284" s="1">
        <v>4076</v>
      </c>
      <c r="D1284" s="1" t="s">
        <v>3225</v>
      </c>
      <c r="F1284" s="1">
        <v>2023</v>
      </c>
      <c r="G1284" s="5">
        <v>1515</v>
      </c>
      <c r="H1284" s="5">
        <v>1374.22</v>
      </c>
      <c r="I1284" s="5">
        <v>83699.94</v>
      </c>
      <c r="K1284" s="5">
        <v>0.34499999999999997</v>
      </c>
      <c r="L1284" s="5">
        <v>8.9999999999999998E-4</v>
      </c>
      <c r="M1284" s="5">
        <v>67893.2</v>
      </c>
      <c r="N1284" s="6">
        <v>5.8999999999999997E-2</v>
      </c>
      <c r="O1284" s="5">
        <v>28.366</v>
      </c>
      <c r="P1284" s="6">
        <v>0.1255</v>
      </c>
      <c r="Q1284" s="5">
        <v>1150598.6000000001</v>
      </c>
      <c r="R1284" s="1" t="s">
        <v>44</v>
      </c>
      <c r="S1284" s="1" t="s">
        <v>94</v>
      </c>
      <c r="T1284" s="1" t="s">
        <v>93</v>
      </c>
      <c r="V1284" s="1" t="s">
        <v>183</v>
      </c>
      <c r="Y1284" s="1" t="s">
        <v>461</v>
      </c>
      <c r="Z1284" s="1" t="str">
        <f t="shared" si="60"/>
        <v>4076 **34</v>
      </c>
      <c r="AA1284" s="3">
        <f>IF(INDEX('CAMD Facility Data 2023'!$AA$2:$AE$10000,MATCH(Z1284,'CAMD Facility Data 2023'!$AE$2:$AE$10000,0),1)&gt;0,INDEX('CAMD Facility Data 2023'!$AA$2:$AE$10000,MATCH(Z1284,'CAMD Facility Data 2023'!$AE$2:$AE$10000,0),1),"")</f>
        <v>36642</v>
      </c>
      <c r="AB1284" s="5">
        <f>IF(INDEX('CAMD Facility Data 2023'!$AC$2:$AE$10000,MATCH(Z1284,'CAMD Facility Data 2023'!$AE$2:$AE$10000,0),1)&gt;0,INDEX('CAMD Facility Data 2023'!$AC$2:$AE$10000,MATCH(Z1284,'CAMD Facility Data 2023'!$AE$2:$AE$10000,0),1),"")</f>
        <v>1231.8</v>
      </c>
      <c r="AC1284" s="1" t="str">
        <f>IF(INDEX('CAMD Facility Data 2023'!$AE$2:$AG$10000,MATCH(Z1284,'CAMD Facility Data 2023'!$AE$2:$AE$10000,0),3)&gt;0,INDEX('CAMD Facility Data 2023'!$AE$2:$AG$10000,MATCH(Z1284,'CAMD Facility Data 2023'!$AE$2:$AE$10000,0),3),"")</f>
        <v/>
      </c>
      <c r="AD1284" s="20">
        <f t="shared" si="61"/>
        <v>0.67780215852006587</v>
      </c>
      <c r="AE1284" s="25">
        <f t="shared" si="62"/>
        <v>0.10663003096778595</v>
      </c>
    </row>
    <row r="1285" spans="1:31" x14ac:dyDescent="0.2">
      <c r="A1285" s="1" t="s">
        <v>3167</v>
      </c>
      <c r="B1285" s="1" t="s">
        <v>3234</v>
      </c>
      <c r="C1285" s="1">
        <v>4078</v>
      </c>
      <c r="D1285" s="1">
        <v>2</v>
      </c>
      <c r="F1285" s="1">
        <v>2023</v>
      </c>
      <c r="G1285" s="5">
        <v>0</v>
      </c>
      <c r="H1285" s="5">
        <v>0</v>
      </c>
      <c r="R1285" s="1" t="s">
        <v>44</v>
      </c>
      <c r="T1285" s="1" t="s">
        <v>89</v>
      </c>
      <c r="V1285" s="1" t="s">
        <v>220</v>
      </c>
      <c r="W1285" s="1" t="s">
        <v>58</v>
      </c>
      <c r="Y1285" s="1" t="s">
        <v>2326</v>
      </c>
      <c r="Z1285" s="1" t="str">
        <f t="shared" si="60"/>
        <v>4078 2</v>
      </c>
      <c r="AA1285" s="3">
        <f>IF(INDEX('CAMD Facility Data 2023'!$AA$2:$AE$10000,MATCH(Z1285,'CAMD Facility Data 2023'!$AE$2:$AE$10000,0),1)&gt;0,INDEX('CAMD Facility Data 2023'!$AA$2:$AE$10000,MATCH(Z1285,'CAMD Facility Data 2023'!$AE$2:$AE$10000,0),1),"")</f>
        <v>21916</v>
      </c>
      <c r="AB1285" s="5">
        <f>IF(INDEX('CAMD Facility Data 2023'!$AC$2:$AE$10000,MATCH(Z1285,'CAMD Facility Data 2023'!$AE$2:$AE$10000,0),1)&gt;0,INDEX('CAMD Facility Data 2023'!$AC$2:$AE$10000,MATCH(Z1285,'CAMD Facility Data 2023'!$AE$2:$AE$10000,0),1),"")</f>
        <v>1319</v>
      </c>
      <c r="AC1285" s="1" t="str">
        <f>IF(INDEX('CAMD Facility Data 2023'!$AE$2:$AG$10000,MATCH(Z1285,'CAMD Facility Data 2023'!$AE$2:$AE$10000,0),3)&gt;0,INDEX('CAMD Facility Data 2023'!$AE$2:$AG$10000,MATCH(Z1285,'CAMD Facility Data 2023'!$AE$2:$AE$10000,0),3),"")</f>
        <v/>
      </c>
      <c r="AD1285" s="20" t="str">
        <f t="shared" si="61"/>
        <v/>
      </c>
      <c r="AE1285" s="25">
        <f t="shared" si="62"/>
        <v>0</v>
      </c>
    </row>
    <row r="1286" spans="1:31" x14ac:dyDescent="0.2">
      <c r="A1286" s="1" t="s">
        <v>3167</v>
      </c>
      <c r="B1286" s="1" t="s">
        <v>3234</v>
      </c>
      <c r="C1286" s="1">
        <v>4078</v>
      </c>
      <c r="D1286" s="1">
        <v>3</v>
      </c>
      <c r="F1286" s="1">
        <v>2023</v>
      </c>
      <c r="G1286" s="5">
        <v>2838</v>
      </c>
      <c r="H1286" s="5">
        <v>2830</v>
      </c>
      <c r="I1286" s="5">
        <v>670722.41</v>
      </c>
      <c r="K1286" s="5">
        <v>69.88</v>
      </c>
      <c r="L1286" s="5">
        <v>2.47E-2</v>
      </c>
      <c r="M1286" s="5">
        <v>589805.56400000001</v>
      </c>
      <c r="N1286" s="6">
        <v>0.1023</v>
      </c>
      <c r="O1286" s="5">
        <v>220.548</v>
      </c>
      <c r="P1286" s="6">
        <v>7.1599999999999997E-2</v>
      </c>
      <c r="Q1286" s="5">
        <v>5647931.6849999996</v>
      </c>
      <c r="R1286" s="1" t="s">
        <v>55</v>
      </c>
      <c r="S1286" s="1" t="s">
        <v>284</v>
      </c>
      <c r="T1286" s="1" t="s">
        <v>43</v>
      </c>
      <c r="U1286" s="1" t="s">
        <v>454</v>
      </c>
      <c r="V1286" s="1" t="s">
        <v>3239</v>
      </c>
      <c r="W1286" s="1" t="s">
        <v>232</v>
      </c>
      <c r="X1286" s="1" t="s">
        <v>3240</v>
      </c>
      <c r="Y1286" s="1" t="s">
        <v>1005</v>
      </c>
      <c r="Z1286" s="1" t="str">
        <f t="shared" si="60"/>
        <v>4078 3</v>
      </c>
      <c r="AA1286" s="3">
        <f>IF(INDEX('CAMD Facility Data 2023'!$AA$2:$AE$10000,MATCH(Z1286,'CAMD Facility Data 2023'!$AE$2:$AE$10000,0),1)&gt;0,INDEX('CAMD Facility Data 2023'!$AA$2:$AE$10000,MATCH(Z1286,'CAMD Facility Data 2023'!$AE$2:$AE$10000,0),1),"")</f>
        <v>29943</v>
      </c>
      <c r="AB1286" s="5">
        <f>IF(INDEX('CAMD Facility Data 2023'!$AC$2:$AE$10000,MATCH(Z1286,'CAMD Facility Data 2023'!$AE$2:$AE$10000,0),1)&gt;0,INDEX('CAMD Facility Data 2023'!$AC$2:$AE$10000,MATCH(Z1286,'CAMD Facility Data 2023'!$AE$2:$AE$10000,0),1),"")</f>
        <v>4509</v>
      </c>
      <c r="AC1286" s="1" t="str">
        <f>IF(INDEX('CAMD Facility Data 2023'!$AE$2:$AG$10000,MATCH(Z1286,'CAMD Facility Data 2023'!$AE$2:$AE$10000,0),3)&gt;0,INDEX('CAMD Facility Data 2023'!$AE$2:$AG$10000,MATCH(Z1286,'CAMD Facility Data 2023'!$AE$2:$AE$10000,0),3),"")</f>
        <v/>
      </c>
      <c r="AD1286" s="20">
        <f t="shared" si="61"/>
        <v>0.65764315225429848</v>
      </c>
      <c r="AE1286" s="25">
        <f t="shared" si="62"/>
        <v>0.14298981147294451</v>
      </c>
    </row>
    <row r="1287" spans="1:31" x14ac:dyDescent="0.2">
      <c r="A1287" s="1" t="s">
        <v>3167</v>
      </c>
      <c r="B1287" s="1" t="s">
        <v>3234</v>
      </c>
      <c r="C1287" s="1">
        <v>4078</v>
      </c>
      <c r="D1287" s="1" t="s">
        <v>3231</v>
      </c>
      <c r="F1287" s="1">
        <v>2023</v>
      </c>
      <c r="G1287" s="5">
        <v>20</v>
      </c>
      <c r="H1287" s="5">
        <v>15.41</v>
      </c>
      <c r="I1287" s="5">
        <v>319.12</v>
      </c>
      <c r="K1287" s="5">
        <v>1E-3</v>
      </c>
      <c r="L1287" s="5">
        <v>8.9999999999999998E-4</v>
      </c>
      <c r="M1287" s="5">
        <v>276.38799999999998</v>
      </c>
      <c r="N1287" s="6">
        <v>5.62E-2</v>
      </c>
      <c r="O1287" s="5">
        <v>1.093</v>
      </c>
      <c r="P1287" s="6">
        <v>0.47</v>
      </c>
      <c r="Q1287" s="5">
        <v>4649.8919999999998</v>
      </c>
      <c r="R1287" s="1" t="s">
        <v>44</v>
      </c>
      <c r="T1287" s="1" t="s">
        <v>93</v>
      </c>
      <c r="Y1287" s="1" t="s">
        <v>1020</v>
      </c>
      <c r="Z1287" s="1" t="str">
        <f t="shared" si="60"/>
        <v>4078 32A</v>
      </c>
      <c r="AA1287" s="3">
        <f>IF(INDEX('CAMD Facility Data 2023'!$AA$2:$AE$10000,MATCH(Z1287,'CAMD Facility Data 2023'!$AE$2:$AE$10000,0),1)&gt;0,INDEX('CAMD Facility Data 2023'!$AA$2:$AE$10000,MATCH(Z1287,'CAMD Facility Data 2023'!$AE$2:$AE$10000,0),1),"")</f>
        <v>26809</v>
      </c>
      <c r="AB1287" s="5">
        <f>IF(INDEX('CAMD Facility Data 2023'!$AC$2:$AE$10000,MATCH(Z1287,'CAMD Facility Data 2023'!$AE$2:$AE$10000,0),1)&gt;0,INDEX('CAMD Facility Data 2023'!$AC$2:$AE$10000,MATCH(Z1287,'CAMD Facility Data 2023'!$AE$2:$AE$10000,0),1),"")</f>
        <v>434</v>
      </c>
      <c r="AC1287" s="1" t="str">
        <f>IF(INDEX('CAMD Facility Data 2023'!$AE$2:$AG$10000,MATCH(Z1287,'CAMD Facility Data 2023'!$AE$2:$AE$10000,0),3)&gt;0,INDEX('CAMD Facility Data 2023'!$AE$2:$AG$10000,MATCH(Z1287,'CAMD Facility Data 2023'!$AE$2:$AE$10000,0),3),"")</f>
        <v/>
      </c>
      <c r="AD1287" s="20">
        <f t="shared" si="61"/>
        <v>6.8500877412885437</v>
      </c>
      <c r="AE1287" s="25">
        <f t="shared" si="62"/>
        <v>1.2230635692191149E-3</v>
      </c>
    </row>
    <row r="1288" spans="1:31" x14ac:dyDescent="0.2">
      <c r="A1288" s="1" t="s">
        <v>3167</v>
      </c>
      <c r="B1288" s="1" t="s">
        <v>3234</v>
      </c>
      <c r="C1288" s="1">
        <v>4078</v>
      </c>
      <c r="D1288" s="1" t="s">
        <v>3233</v>
      </c>
      <c r="F1288" s="1">
        <v>2023</v>
      </c>
      <c r="G1288" s="5">
        <v>0</v>
      </c>
      <c r="H1288" s="5">
        <v>0</v>
      </c>
      <c r="R1288" s="1" t="s">
        <v>44</v>
      </c>
      <c r="T1288" s="1" t="s">
        <v>93</v>
      </c>
      <c r="Y1288" s="1" t="s">
        <v>1020</v>
      </c>
      <c r="Z1288" s="1" t="str">
        <f t="shared" si="60"/>
        <v>4078 32B</v>
      </c>
      <c r="AA1288" s="3">
        <f>IF(INDEX('CAMD Facility Data 2023'!$AA$2:$AE$10000,MATCH(Z1288,'CAMD Facility Data 2023'!$AE$2:$AE$10000,0),1)&gt;0,INDEX('CAMD Facility Data 2023'!$AA$2:$AE$10000,MATCH(Z1288,'CAMD Facility Data 2023'!$AE$2:$AE$10000,0),1),"")</f>
        <v>26809</v>
      </c>
      <c r="AB1288" s="5">
        <f>IF(INDEX('CAMD Facility Data 2023'!$AC$2:$AE$10000,MATCH(Z1288,'CAMD Facility Data 2023'!$AE$2:$AE$10000,0),1)&gt;0,INDEX('CAMD Facility Data 2023'!$AC$2:$AE$10000,MATCH(Z1288,'CAMD Facility Data 2023'!$AE$2:$AE$10000,0),1),"")</f>
        <v>434</v>
      </c>
      <c r="AC1288" s="1" t="str">
        <f>IF(INDEX('CAMD Facility Data 2023'!$AE$2:$AG$10000,MATCH(Z1288,'CAMD Facility Data 2023'!$AE$2:$AE$10000,0),3)&gt;0,INDEX('CAMD Facility Data 2023'!$AE$2:$AG$10000,MATCH(Z1288,'CAMD Facility Data 2023'!$AE$2:$AE$10000,0),3),"")</f>
        <v/>
      </c>
      <c r="AD1288" s="20" t="str">
        <f t="shared" si="61"/>
        <v/>
      </c>
      <c r="AE1288" s="25">
        <f t="shared" si="62"/>
        <v>0</v>
      </c>
    </row>
    <row r="1289" spans="1:31" x14ac:dyDescent="0.2">
      <c r="A1289" s="1" t="s">
        <v>3167</v>
      </c>
      <c r="B1289" s="1" t="s">
        <v>3234</v>
      </c>
      <c r="C1289" s="1">
        <v>4078</v>
      </c>
      <c r="D1289" s="1">
        <v>4</v>
      </c>
      <c r="F1289" s="1">
        <v>2023</v>
      </c>
      <c r="G1289" s="5">
        <v>6645</v>
      </c>
      <c r="H1289" s="5">
        <v>6637.4</v>
      </c>
      <c r="I1289" s="5">
        <v>3133483.24</v>
      </c>
      <c r="K1289" s="5">
        <v>458.63600000000002</v>
      </c>
      <c r="L1289" s="5">
        <v>3.6900000000000002E-2</v>
      </c>
      <c r="M1289" s="5">
        <v>2672447.1340000001</v>
      </c>
      <c r="N1289" s="6">
        <v>0.10440000000000001</v>
      </c>
      <c r="O1289" s="5">
        <v>693.60299999999995</v>
      </c>
      <c r="P1289" s="6">
        <v>5.4800000000000001E-2</v>
      </c>
      <c r="Q1289" s="5">
        <v>25495799.300999999</v>
      </c>
      <c r="R1289" s="1" t="s">
        <v>55</v>
      </c>
      <c r="S1289" s="1" t="s">
        <v>284</v>
      </c>
      <c r="T1289" s="1" t="s">
        <v>89</v>
      </c>
      <c r="U1289" s="1" t="s">
        <v>212</v>
      </c>
      <c r="V1289" s="1" t="s">
        <v>223</v>
      </c>
      <c r="W1289" s="1" t="s">
        <v>232</v>
      </c>
      <c r="X1289" s="1" t="s">
        <v>1109</v>
      </c>
      <c r="Y1289" s="1" t="s">
        <v>1005</v>
      </c>
      <c r="Z1289" s="1" t="str">
        <f t="shared" si="60"/>
        <v>4078 4</v>
      </c>
      <c r="AA1289" s="3">
        <f>IF(INDEX('CAMD Facility Data 2023'!$AA$2:$AE$10000,MATCH(Z1289,'CAMD Facility Data 2023'!$AE$2:$AE$10000,0),1)&gt;0,INDEX('CAMD Facility Data 2023'!$AA$2:$AE$10000,MATCH(Z1289,'CAMD Facility Data 2023'!$AE$2:$AE$10000,0),1),"")</f>
        <v>39527</v>
      </c>
      <c r="AB1289" s="5">
        <f>IF(INDEX('CAMD Facility Data 2023'!$AC$2:$AE$10000,MATCH(Z1289,'CAMD Facility Data 2023'!$AE$2:$AE$10000,0),1)&gt;0,INDEX('CAMD Facility Data 2023'!$AC$2:$AE$10000,MATCH(Z1289,'CAMD Facility Data 2023'!$AE$2:$AE$10000,0),1),"")</f>
        <v>5217</v>
      </c>
      <c r="AC1289" s="1" t="str">
        <f>IF(INDEX('CAMD Facility Data 2023'!$AE$2:$AG$10000,MATCH(Z1289,'CAMD Facility Data 2023'!$AE$2:$AE$10000,0),3)&gt;0,INDEX('CAMD Facility Data 2023'!$AE$2:$AG$10000,MATCH(Z1289,'CAMD Facility Data 2023'!$AE$2:$AE$10000,0),3),"")</f>
        <v>Y</v>
      </c>
      <c r="AD1289" s="20">
        <f t="shared" si="61"/>
        <v>0.44270413905261541</v>
      </c>
      <c r="AE1289" s="25">
        <f t="shared" si="62"/>
        <v>0.55788372096229133</v>
      </c>
    </row>
    <row r="1290" spans="1:31" x14ac:dyDescent="0.2">
      <c r="A1290" s="1" t="s">
        <v>3167</v>
      </c>
      <c r="B1290" s="1" t="s">
        <v>3246</v>
      </c>
      <c r="C1290" s="1">
        <v>4125</v>
      </c>
      <c r="D1290" s="1">
        <v>8</v>
      </c>
      <c r="F1290" s="1">
        <v>2023</v>
      </c>
      <c r="G1290" s="5">
        <v>5678</v>
      </c>
      <c r="H1290" s="5">
        <v>5671.41</v>
      </c>
      <c r="J1290" s="5">
        <v>910325.21</v>
      </c>
      <c r="K1290" s="5">
        <v>5.1369999999999996</v>
      </c>
      <c r="L1290" s="5">
        <v>1.0699999999999999E-2</v>
      </c>
      <c r="M1290" s="5">
        <v>96781.623999999996</v>
      </c>
      <c r="N1290" s="6">
        <v>0.10199999999999999</v>
      </c>
      <c r="O1290" s="5">
        <v>57.067999999999998</v>
      </c>
      <c r="P1290" s="6">
        <v>0.1203</v>
      </c>
      <c r="Q1290" s="5">
        <v>948342.61899999995</v>
      </c>
      <c r="R1290" s="1" t="s">
        <v>2492</v>
      </c>
      <c r="S1290" s="1" t="s">
        <v>3250</v>
      </c>
      <c r="T1290" s="1" t="s">
        <v>885</v>
      </c>
      <c r="U1290" s="1" t="s">
        <v>1069</v>
      </c>
      <c r="W1290" s="1" t="s">
        <v>232</v>
      </c>
      <c r="Y1290" s="1" t="s">
        <v>461</v>
      </c>
      <c r="Z1290" s="1" t="str">
        <f t="shared" si="60"/>
        <v>4125 8</v>
      </c>
      <c r="AA1290" s="3">
        <f>IF(INDEX('CAMD Facility Data 2023'!$AA$2:$AE$10000,MATCH(Z1290,'CAMD Facility Data 2023'!$AE$2:$AE$10000,0),1)&gt;0,INDEX('CAMD Facility Data 2023'!$AA$2:$AE$10000,MATCH(Z1290,'CAMD Facility Data 2023'!$AE$2:$AE$10000,0),1),"")</f>
        <v>33068</v>
      </c>
      <c r="AB1290" s="5">
        <f>IF(INDEX('CAMD Facility Data 2023'!$AC$2:$AE$10000,MATCH(Z1290,'CAMD Facility Data 2023'!$AE$2:$AE$10000,0),1)&gt;0,INDEX('CAMD Facility Data 2023'!$AC$2:$AE$10000,MATCH(Z1290,'CAMD Facility Data 2023'!$AE$2:$AE$10000,0),1),"")</f>
        <v>320.8</v>
      </c>
      <c r="AC1290" s="1" t="str">
        <f>IF(INDEX('CAMD Facility Data 2023'!$AE$2:$AG$10000,MATCH(Z1290,'CAMD Facility Data 2023'!$AE$2:$AE$10000,0),3)&gt;0,INDEX('CAMD Facility Data 2023'!$AE$2:$AG$10000,MATCH(Z1290,'CAMD Facility Data 2023'!$AE$2:$AE$10000,0),3),"")</f>
        <v/>
      </c>
      <c r="AD1290" s="20" t="str">
        <f t="shared" si="61"/>
        <v/>
      </c>
      <c r="AE1290" s="25">
        <f t="shared" si="62"/>
        <v>0.33746349700805062</v>
      </c>
    </row>
    <row r="1291" spans="1:31" x14ac:dyDescent="0.2">
      <c r="A1291" s="1" t="s">
        <v>3167</v>
      </c>
      <c r="B1291" s="1" t="s">
        <v>3246</v>
      </c>
      <c r="C1291" s="1">
        <v>4125</v>
      </c>
      <c r="D1291" s="1">
        <v>9</v>
      </c>
      <c r="F1291" s="1">
        <v>2023</v>
      </c>
      <c r="G1291" s="5">
        <v>4514</v>
      </c>
      <c r="H1291" s="5">
        <v>4501.83</v>
      </c>
      <c r="J1291" s="5">
        <v>957835.24</v>
      </c>
      <c r="K1291" s="5">
        <v>99.710999999999999</v>
      </c>
      <c r="L1291" s="5">
        <v>0.14879999999999999</v>
      </c>
      <c r="M1291" s="5">
        <v>141283.68</v>
      </c>
      <c r="N1291" s="6">
        <v>0.1038</v>
      </c>
      <c r="O1291" s="5">
        <v>49.701999999999998</v>
      </c>
      <c r="P1291" s="6">
        <v>7.3499999999999996E-2</v>
      </c>
      <c r="Q1291" s="5">
        <v>1361115.0789999999</v>
      </c>
      <c r="R1291" s="1" t="s">
        <v>2492</v>
      </c>
      <c r="S1291" s="1" t="s">
        <v>55</v>
      </c>
      <c r="T1291" s="1" t="s">
        <v>885</v>
      </c>
      <c r="U1291" s="1" t="s">
        <v>1069</v>
      </c>
      <c r="V1291" s="1" t="s">
        <v>669</v>
      </c>
      <c r="W1291" s="1" t="s">
        <v>232</v>
      </c>
      <c r="Y1291" s="1" t="s">
        <v>1005</v>
      </c>
      <c r="Z1291" s="1" t="str">
        <f t="shared" si="60"/>
        <v>4125 9</v>
      </c>
      <c r="AA1291" s="3">
        <f>IF(INDEX('CAMD Facility Data 2023'!$AA$2:$AE$10000,MATCH(Z1291,'CAMD Facility Data 2023'!$AE$2:$AE$10000,0),1)&gt;0,INDEX('CAMD Facility Data 2023'!$AA$2:$AE$10000,MATCH(Z1291,'CAMD Facility Data 2023'!$AE$2:$AE$10000,0),1),"")</f>
        <v>38605</v>
      </c>
      <c r="AB1291" s="5">
        <f>IF(INDEX('CAMD Facility Data 2023'!$AC$2:$AE$10000,MATCH(Z1291,'CAMD Facility Data 2023'!$AE$2:$AE$10000,0),1)&gt;0,INDEX('CAMD Facility Data 2023'!$AC$2:$AE$10000,MATCH(Z1291,'CAMD Facility Data 2023'!$AE$2:$AE$10000,0),1),"")</f>
        <v>764</v>
      </c>
      <c r="AC1291" s="1" t="str">
        <f>IF(INDEX('CAMD Facility Data 2023'!$AE$2:$AG$10000,MATCH(Z1291,'CAMD Facility Data 2023'!$AE$2:$AE$10000,0),3)&gt;0,INDEX('CAMD Facility Data 2023'!$AE$2:$AG$10000,MATCH(Z1291,'CAMD Facility Data 2023'!$AE$2:$AE$10000,0),3),"")</f>
        <v>Y</v>
      </c>
      <c r="AD1291" s="20" t="str">
        <f t="shared" si="61"/>
        <v/>
      </c>
      <c r="AE1291" s="25">
        <f t="shared" si="62"/>
        <v>0.20337491318821868</v>
      </c>
    </row>
    <row r="1292" spans="1:31" x14ac:dyDescent="0.2">
      <c r="A1292" s="1" t="s">
        <v>3253</v>
      </c>
      <c r="B1292" s="1" t="s">
        <v>3254</v>
      </c>
      <c r="C1292" s="1">
        <v>4158</v>
      </c>
      <c r="D1292" s="1" t="s">
        <v>3255</v>
      </c>
      <c r="F1292" s="1">
        <v>2023</v>
      </c>
      <c r="G1292" s="5">
        <v>8217</v>
      </c>
      <c r="H1292" s="5">
        <v>8207.86</v>
      </c>
      <c r="I1292" s="5">
        <v>516647.01</v>
      </c>
      <c r="K1292" s="5">
        <v>1905.4880000000001</v>
      </c>
      <c r="L1292" s="5">
        <v>0.68520000000000003</v>
      </c>
      <c r="M1292" s="5">
        <v>577404.29299999995</v>
      </c>
      <c r="N1292" s="6">
        <v>0.105</v>
      </c>
      <c r="O1292" s="5">
        <v>830.78</v>
      </c>
      <c r="P1292" s="6">
        <v>0.29430000000000001</v>
      </c>
      <c r="Q1292" s="5">
        <v>5505401.858</v>
      </c>
      <c r="R1292" s="1" t="s">
        <v>55</v>
      </c>
      <c r="T1292" s="1" t="s">
        <v>89</v>
      </c>
      <c r="W1292" s="1" t="s">
        <v>58</v>
      </c>
      <c r="X1292" s="1" t="s">
        <v>214</v>
      </c>
      <c r="Y1292" s="1" t="s">
        <v>236</v>
      </c>
      <c r="Z1292" s="1" t="str">
        <f t="shared" si="60"/>
        <v>4158 BW41</v>
      </c>
      <c r="AA1292" s="3">
        <f>IF(INDEX('CAMD Facility Data 2023'!$AA$2:$AE$10000,MATCH(Z1292,'CAMD Facility Data 2023'!$AE$2:$AE$10000,0),1)&gt;0,INDEX('CAMD Facility Data 2023'!$AA$2:$AE$10000,MATCH(Z1292,'CAMD Facility Data 2023'!$AE$2:$AE$10000,0),1),"")</f>
        <v>21497</v>
      </c>
      <c r="AB1292" s="5">
        <f>IF(INDEX('CAMD Facility Data 2023'!$AC$2:$AE$10000,MATCH(Z1292,'CAMD Facility Data 2023'!$AE$2:$AE$10000,0),1)&gt;0,INDEX('CAMD Facility Data 2023'!$AC$2:$AE$10000,MATCH(Z1292,'CAMD Facility Data 2023'!$AE$2:$AE$10000,0),1),"")</f>
        <v>1674</v>
      </c>
      <c r="AC1292" s="1" t="str">
        <f>IF(INDEX('CAMD Facility Data 2023'!$AE$2:$AG$10000,MATCH(Z1292,'CAMD Facility Data 2023'!$AE$2:$AE$10000,0),3)&gt;0,INDEX('CAMD Facility Data 2023'!$AE$2:$AG$10000,MATCH(Z1292,'CAMD Facility Data 2023'!$AE$2:$AE$10000,0),3),"")</f>
        <v/>
      </c>
      <c r="AD1292" s="20">
        <f t="shared" si="61"/>
        <v>3.2160449355934526</v>
      </c>
      <c r="AE1292" s="25">
        <f t="shared" si="62"/>
        <v>0.37543042517034636</v>
      </c>
    </row>
    <row r="1293" spans="1:31" x14ac:dyDescent="0.2">
      <c r="A1293" s="1" t="s">
        <v>3253</v>
      </c>
      <c r="B1293" s="1" t="s">
        <v>3254</v>
      </c>
      <c r="C1293" s="1">
        <v>4158</v>
      </c>
      <c r="D1293" s="1" t="s">
        <v>3260</v>
      </c>
      <c r="F1293" s="1">
        <v>2023</v>
      </c>
      <c r="G1293" s="5">
        <v>6707</v>
      </c>
      <c r="H1293" s="5">
        <v>6654.62</v>
      </c>
      <c r="I1293" s="5">
        <v>437924.93</v>
      </c>
      <c r="K1293" s="5">
        <v>1664.9190000000001</v>
      </c>
      <c r="L1293" s="5">
        <v>0.67930000000000001</v>
      </c>
      <c r="M1293" s="5">
        <v>496581.13400000002</v>
      </c>
      <c r="N1293" s="6">
        <v>0.105</v>
      </c>
      <c r="O1293" s="5">
        <v>740.43600000000004</v>
      </c>
      <c r="P1293" s="6">
        <v>0.2903</v>
      </c>
      <c r="Q1293" s="5">
        <v>4734774.54</v>
      </c>
      <c r="R1293" s="1" t="s">
        <v>55</v>
      </c>
      <c r="T1293" s="1" t="s">
        <v>89</v>
      </c>
      <c r="W1293" s="1" t="s">
        <v>58</v>
      </c>
      <c r="X1293" s="1" t="s">
        <v>214</v>
      </c>
      <c r="Y1293" s="1" t="s">
        <v>236</v>
      </c>
      <c r="Z1293" s="1" t="str">
        <f t="shared" si="60"/>
        <v>4158 BW42</v>
      </c>
      <c r="AA1293" s="3">
        <f>IF(INDEX('CAMD Facility Data 2023'!$AA$2:$AE$10000,MATCH(Z1293,'CAMD Facility Data 2023'!$AE$2:$AE$10000,0),1)&gt;0,INDEX('CAMD Facility Data 2023'!$AA$2:$AE$10000,MATCH(Z1293,'CAMD Facility Data 2023'!$AE$2:$AE$10000,0),1),"")</f>
        <v>22190</v>
      </c>
      <c r="AB1293" s="5">
        <f>IF(INDEX('CAMD Facility Data 2023'!$AC$2:$AE$10000,MATCH(Z1293,'CAMD Facility Data 2023'!$AE$2:$AE$10000,0),1)&gt;0,INDEX('CAMD Facility Data 2023'!$AC$2:$AE$10000,MATCH(Z1293,'CAMD Facility Data 2023'!$AE$2:$AE$10000,0),1),"")</f>
        <v>1672</v>
      </c>
      <c r="AC1293" s="1" t="str">
        <f>IF(INDEX('CAMD Facility Data 2023'!$AE$2:$AG$10000,MATCH(Z1293,'CAMD Facility Data 2023'!$AE$2:$AE$10000,0),3)&gt;0,INDEX('CAMD Facility Data 2023'!$AE$2:$AG$10000,MATCH(Z1293,'CAMD Facility Data 2023'!$AE$2:$AE$10000,0),3),"")</f>
        <v/>
      </c>
      <c r="AD1293" s="20">
        <f t="shared" si="61"/>
        <v>3.3815658770556865</v>
      </c>
      <c r="AE1293" s="25">
        <f t="shared" si="62"/>
        <v>0.32326517745952676</v>
      </c>
    </row>
    <row r="1294" spans="1:31" x14ac:dyDescent="0.2">
      <c r="A1294" s="1" t="s">
        <v>3253</v>
      </c>
      <c r="B1294" s="1" t="s">
        <v>3254</v>
      </c>
      <c r="C1294" s="1">
        <v>4158</v>
      </c>
      <c r="D1294" s="1" t="s">
        <v>3262</v>
      </c>
      <c r="F1294" s="1">
        <v>2023</v>
      </c>
      <c r="G1294" s="5">
        <v>7763</v>
      </c>
      <c r="H1294" s="5">
        <v>7739.76</v>
      </c>
      <c r="I1294" s="5">
        <v>1172509.48</v>
      </c>
      <c r="K1294" s="5">
        <v>693.14700000000005</v>
      </c>
      <c r="L1294" s="5">
        <v>0.1033</v>
      </c>
      <c r="M1294" s="5">
        <v>1366950.1440000001</v>
      </c>
      <c r="N1294" s="6">
        <v>0.10489999999999999</v>
      </c>
      <c r="O1294" s="5">
        <v>1398.1079999999999</v>
      </c>
      <c r="P1294" s="6">
        <v>0.2092</v>
      </c>
      <c r="Q1294" s="5">
        <v>13033490.07</v>
      </c>
      <c r="R1294" s="1" t="s">
        <v>55</v>
      </c>
      <c r="T1294" s="1" t="s">
        <v>89</v>
      </c>
      <c r="U1294" s="1" t="s">
        <v>212</v>
      </c>
      <c r="V1294" s="1" t="s">
        <v>289</v>
      </c>
      <c r="W1294" s="1" t="s">
        <v>232</v>
      </c>
      <c r="X1294" s="1" t="s">
        <v>1109</v>
      </c>
      <c r="Y1294" s="1" t="s">
        <v>236</v>
      </c>
      <c r="Z1294" s="1" t="str">
        <f t="shared" si="60"/>
        <v>4158 BW43</v>
      </c>
      <c r="AA1294" s="3">
        <f>IF(INDEX('CAMD Facility Data 2023'!$AA$2:$AE$10000,MATCH(Z1294,'CAMD Facility Data 2023'!$AE$2:$AE$10000,0),1)&gt;0,INDEX('CAMD Facility Data 2023'!$AA$2:$AE$10000,MATCH(Z1294,'CAMD Facility Data 2023'!$AE$2:$AE$10000,0),1),"")</f>
        <v>23632</v>
      </c>
      <c r="AB1294" s="5">
        <f>IF(INDEX('CAMD Facility Data 2023'!$AC$2:$AE$10000,MATCH(Z1294,'CAMD Facility Data 2023'!$AE$2:$AE$10000,0),1)&gt;0,INDEX('CAMD Facility Data 2023'!$AC$2:$AE$10000,MATCH(Z1294,'CAMD Facility Data 2023'!$AE$2:$AE$10000,0),1),"")</f>
        <v>3349</v>
      </c>
      <c r="AC1294" s="1" t="str">
        <f>IF(INDEX('CAMD Facility Data 2023'!$AE$2:$AG$10000,MATCH(Z1294,'CAMD Facility Data 2023'!$AE$2:$AE$10000,0),3)&gt;0,INDEX('CAMD Facility Data 2023'!$AE$2:$AG$10000,MATCH(Z1294,'CAMD Facility Data 2023'!$AE$2:$AE$10000,0),3),"")</f>
        <v/>
      </c>
      <c r="AD1294" s="20">
        <f t="shared" si="61"/>
        <v>2.3848131274810673</v>
      </c>
      <c r="AE1294" s="25">
        <f t="shared" si="62"/>
        <v>0.44426435717879392</v>
      </c>
    </row>
    <row r="1295" spans="1:31" x14ac:dyDescent="0.2">
      <c r="A1295" s="1" t="s">
        <v>3253</v>
      </c>
      <c r="B1295" s="1" t="s">
        <v>3254</v>
      </c>
      <c r="C1295" s="1">
        <v>4158</v>
      </c>
      <c r="D1295" s="1" t="s">
        <v>3264</v>
      </c>
      <c r="F1295" s="1">
        <v>2023</v>
      </c>
      <c r="G1295" s="5">
        <v>8050</v>
      </c>
      <c r="H1295" s="5">
        <v>8033.97</v>
      </c>
      <c r="I1295" s="5">
        <v>1815392.28</v>
      </c>
      <c r="K1295" s="5">
        <v>1236.8720000000001</v>
      </c>
      <c r="L1295" s="5">
        <v>0.1211</v>
      </c>
      <c r="M1295" s="5">
        <v>2116050.298</v>
      </c>
      <c r="N1295" s="6">
        <v>0.105</v>
      </c>
      <c r="O1295" s="5">
        <v>1367.2529999999999</v>
      </c>
      <c r="P1295" s="6">
        <v>0.13370000000000001</v>
      </c>
      <c r="Q1295" s="5">
        <v>20175938.081999999</v>
      </c>
      <c r="R1295" s="1" t="s">
        <v>55</v>
      </c>
      <c r="T1295" s="1" t="s">
        <v>43</v>
      </c>
      <c r="U1295" s="1" t="s">
        <v>212</v>
      </c>
      <c r="V1295" s="1" t="s">
        <v>242</v>
      </c>
      <c r="W1295" s="1" t="s">
        <v>232</v>
      </c>
      <c r="X1295" s="1" t="s">
        <v>1109</v>
      </c>
      <c r="Y1295" s="1" t="s">
        <v>236</v>
      </c>
      <c r="Z1295" s="1" t="str">
        <f t="shared" si="60"/>
        <v>4158 BW44</v>
      </c>
      <c r="AA1295" s="3">
        <f>IF(INDEX('CAMD Facility Data 2023'!$AA$2:$AE$10000,MATCH(Z1295,'CAMD Facility Data 2023'!$AE$2:$AE$10000,0),1)&gt;0,INDEX('CAMD Facility Data 2023'!$AA$2:$AE$10000,MATCH(Z1295,'CAMD Facility Data 2023'!$AE$2:$AE$10000,0),1),"")</f>
        <v>26299</v>
      </c>
      <c r="AB1295" s="5">
        <f>IF(INDEX('CAMD Facility Data 2023'!$AC$2:$AE$10000,MATCH(Z1295,'CAMD Facility Data 2023'!$AE$2:$AE$10000,0),1)&gt;0,INDEX('CAMD Facility Data 2023'!$AC$2:$AE$10000,MATCH(Z1295,'CAMD Facility Data 2023'!$AE$2:$AE$10000,0),1),"")</f>
        <v>4700</v>
      </c>
      <c r="AC1295" s="1" t="str">
        <f>IF(INDEX('CAMD Facility Data 2023'!$AE$2:$AG$10000,MATCH(Z1295,'CAMD Facility Data 2023'!$AE$2:$AE$10000,0),3)&gt;0,INDEX('CAMD Facility Data 2023'!$AE$2:$AG$10000,MATCH(Z1295,'CAMD Facility Data 2023'!$AE$2:$AE$10000,0),3),"")</f>
        <v/>
      </c>
      <c r="AD1295" s="20">
        <f t="shared" si="61"/>
        <v>1.5062893183615389</v>
      </c>
      <c r="AE1295" s="25">
        <f t="shared" si="62"/>
        <v>0.49004027207811129</v>
      </c>
    </row>
    <row r="1296" spans="1:31" x14ac:dyDescent="0.2">
      <c r="A1296" s="1" t="s">
        <v>3253</v>
      </c>
      <c r="B1296" s="1" t="s">
        <v>3266</v>
      </c>
      <c r="C1296" s="1">
        <v>4162</v>
      </c>
      <c r="D1296" s="1">
        <v>1</v>
      </c>
      <c r="F1296" s="1">
        <v>2023</v>
      </c>
      <c r="G1296" s="5">
        <v>7980</v>
      </c>
      <c r="H1296" s="5">
        <v>7960.16</v>
      </c>
      <c r="I1296" s="5">
        <v>1018836.61</v>
      </c>
      <c r="K1296" s="5">
        <v>734.29700000000003</v>
      </c>
      <c r="L1296" s="5">
        <v>0.1225</v>
      </c>
      <c r="M1296" s="5">
        <v>1139196.5549999999</v>
      </c>
      <c r="N1296" s="6">
        <v>0.1036</v>
      </c>
      <c r="O1296" s="5">
        <v>1133.4469999999999</v>
      </c>
      <c r="P1296" s="6">
        <v>0.2084</v>
      </c>
      <c r="Q1296" s="5">
        <v>10880225.482999999</v>
      </c>
      <c r="R1296" s="1" t="s">
        <v>55</v>
      </c>
      <c r="S1296" s="1" t="s">
        <v>44</v>
      </c>
      <c r="T1296" s="1" t="s">
        <v>43</v>
      </c>
      <c r="U1296" s="1" t="s">
        <v>1151</v>
      </c>
      <c r="V1296" s="1" t="s">
        <v>242</v>
      </c>
      <c r="W1296" s="1" t="s">
        <v>58</v>
      </c>
      <c r="X1296" s="1" t="s">
        <v>937</v>
      </c>
      <c r="Y1296" s="1" t="s">
        <v>236</v>
      </c>
      <c r="Z1296" s="1" t="str">
        <f t="shared" si="60"/>
        <v>4162 1</v>
      </c>
      <c r="AA1296" s="3">
        <f>IF(INDEX('CAMD Facility Data 2023'!$AA$2:$AE$10000,MATCH(Z1296,'CAMD Facility Data 2023'!$AE$2:$AE$10000,0),1)&gt;0,INDEX('CAMD Facility Data 2023'!$AA$2:$AE$10000,MATCH(Z1296,'CAMD Facility Data 2023'!$AE$2:$AE$10000,0),1),"")</f>
        <v>23146</v>
      </c>
      <c r="AB1296" s="5">
        <f>IF(INDEX('CAMD Facility Data 2023'!$AC$2:$AE$10000,MATCH(Z1296,'CAMD Facility Data 2023'!$AE$2:$AE$10000,0),1)&gt;0,INDEX('CAMD Facility Data 2023'!$AC$2:$AE$10000,MATCH(Z1296,'CAMD Facility Data 2023'!$AE$2:$AE$10000,0),1),"")</f>
        <v>2958</v>
      </c>
      <c r="AC1296" s="1" t="str">
        <f>IF(INDEX('CAMD Facility Data 2023'!$AE$2:$AG$10000,MATCH(Z1296,'CAMD Facility Data 2023'!$AE$2:$AE$10000,0),3)&gt;0,INDEX('CAMD Facility Data 2023'!$AE$2:$AG$10000,MATCH(Z1296,'CAMD Facility Data 2023'!$AE$2:$AE$10000,0),3),"")</f>
        <v/>
      </c>
      <c r="AD1296" s="20">
        <f t="shared" si="61"/>
        <v>2.2249828655057851</v>
      </c>
      <c r="AE1296" s="25">
        <f t="shared" si="62"/>
        <v>0.41989008535787165</v>
      </c>
    </row>
    <row r="1297" spans="1:31" x14ac:dyDescent="0.2">
      <c r="A1297" s="1" t="s">
        <v>3253</v>
      </c>
      <c r="B1297" s="1" t="s">
        <v>3266</v>
      </c>
      <c r="C1297" s="1">
        <v>4162</v>
      </c>
      <c r="D1297" s="1">
        <v>2</v>
      </c>
      <c r="F1297" s="1">
        <v>2023</v>
      </c>
      <c r="G1297" s="5">
        <v>6636</v>
      </c>
      <c r="H1297" s="5">
        <v>6593.53</v>
      </c>
      <c r="I1297" s="5">
        <v>1053534.94</v>
      </c>
      <c r="K1297" s="5">
        <v>700.02599999999995</v>
      </c>
      <c r="L1297" s="5">
        <v>0.1196</v>
      </c>
      <c r="M1297" s="5">
        <v>1159655.4029999999</v>
      </c>
      <c r="N1297" s="6">
        <v>0.10290000000000001</v>
      </c>
      <c r="O1297" s="5">
        <v>1113.5450000000001</v>
      </c>
      <c r="P1297" s="6">
        <v>0.19700000000000001</v>
      </c>
      <c r="Q1297" s="5">
        <v>11087153.721999999</v>
      </c>
      <c r="R1297" s="1" t="s">
        <v>55</v>
      </c>
      <c r="S1297" s="1" t="s">
        <v>44</v>
      </c>
      <c r="T1297" s="1" t="s">
        <v>43</v>
      </c>
      <c r="U1297" s="1" t="s">
        <v>1151</v>
      </c>
      <c r="V1297" s="1" t="s">
        <v>242</v>
      </c>
      <c r="W1297" s="1" t="s">
        <v>58</v>
      </c>
      <c r="X1297" s="1" t="s">
        <v>937</v>
      </c>
      <c r="Y1297" s="1" t="s">
        <v>236</v>
      </c>
      <c r="Z1297" s="1" t="str">
        <f t="shared" si="60"/>
        <v>4162 2</v>
      </c>
      <c r="AA1297" s="3">
        <f>IF(INDEX('CAMD Facility Data 2023'!$AA$2:$AE$10000,MATCH(Z1297,'CAMD Facility Data 2023'!$AE$2:$AE$10000,0),1)&gt;0,INDEX('CAMD Facility Data 2023'!$AA$2:$AE$10000,MATCH(Z1297,'CAMD Facility Data 2023'!$AE$2:$AE$10000,0),1),"")</f>
        <v>25126</v>
      </c>
      <c r="AB1297" s="5">
        <f>IF(INDEX('CAMD Facility Data 2023'!$AC$2:$AE$10000,MATCH(Z1297,'CAMD Facility Data 2023'!$AE$2:$AE$10000,0),1)&gt;0,INDEX('CAMD Facility Data 2023'!$AC$2:$AE$10000,MATCH(Z1297,'CAMD Facility Data 2023'!$AE$2:$AE$10000,0),1),"")</f>
        <v>2852</v>
      </c>
      <c r="AC1297" s="1" t="str">
        <f>IF(INDEX('CAMD Facility Data 2023'!$AE$2:$AG$10000,MATCH(Z1297,'CAMD Facility Data 2023'!$AE$2:$AE$10000,0),3)&gt;0,INDEX('CAMD Facility Data 2023'!$AE$2:$AG$10000,MATCH(Z1297,'CAMD Facility Data 2023'!$AE$2:$AE$10000,0),3),"")</f>
        <v/>
      </c>
      <c r="AD1297" s="20">
        <f t="shared" si="61"/>
        <v>2.1139213474970275</v>
      </c>
      <c r="AE1297" s="25">
        <f t="shared" si="62"/>
        <v>0.44377868779099178</v>
      </c>
    </row>
    <row r="1298" spans="1:31" x14ac:dyDescent="0.2">
      <c r="A1298" s="1" t="s">
        <v>3253</v>
      </c>
      <c r="B1298" s="1" t="s">
        <v>3266</v>
      </c>
      <c r="C1298" s="1">
        <v>4162</v>
      </c>
      <c r="D1298" s="1">
        <v>3</v>
      </c>
      <c r="F1298" s="1">
        <v>2023</v>
      </c>
      <c r="G1298" s="5">
        <v>7549</v>
      </c>
      <c r="H1298" s="5">
        <v>7488.75</v>
      </c>
      <c r="I1298" s="5">
        <v>977903.85</v>
      </c>
      <c r="K1298" s="5">
        <v>3.0459999999999998</v>
      </c>
      <c r="L1298" s="5">
        <v>1E-3</v>
      </c>
      <c r="M1298" s="5">
        <v>603284.81900000002</v>
      </c>
      <c r="N1298" s="6">
        <v>5.8999999999999997E-2</v>
      </c>
      <c r="O1298" s="5">
        <v>320.43200000000002</v>
      </c>
      <c r="P1298" s="6">
        <v>5.9799999999999999E-2</v>
      </c>
      <c r="Q1298" s="5">
        <v>10151467.9</v>
      </c>
      <c r="R1298" s="1" t="s">
        <v>44</v>
      </c>
      <c r="T1298" s="1" t="s">
        <v>43</v>
      </c>
      <c r="V1298" s="1" t="s">
        <v>242</v>
      </c>
      <c r="Y1298" s="1" t="s">
        <v>247</v>
      </c>
      <c r="Z1298" s="1" t="str">
        <f t="shared" si="60"/>
        <v>4162 3</v>
      </c>
      <c r="AA1298" s="3">
        <f>IF(INDEX('CAMD Facility Data 2023'!$AA$2:$AE$10000,MATCH(Z1298,'CAMD Facility Data 2023'!$AE$2:$AE$10000,0),1)&gt;0,INDEX('CAMD Facility Data 2023'!$AA$2:$AE$10000,MATCH(Z1298,'CAMD Facility Data 2023'!$AE$2:$AE$10000,0),1),"")</f>
        <v>26207</v>
      </c>
      <c r="AB1298" s="5">
        <f>IF(INDEX('CAMD Facility Data 2023'!$AC$2:$AE$10000,MATCH(Z1298,'CAMD Facility Data 2023'!$AE$2:$AE$10000,0),1)&gt;0,INDEX('CAMD Facility Data 2023'!$AC$2:$AE$10000,MATCH(Z1298,'CAMD Facility Data 2023'!$AE$2:$AE$10000,0),1),"")</f>
        <v>3250</v>
      </c>
      <c r="AC1298" s="1" t="str">
        <f>IF(INDEX('CAMD Facility Data 2023'!$AE$2:$AG$10000,MATCH(Z1298,'CAMD Facility Data 2023'!$AE$2:$AE$10000,0),3)&gt;0,INDEX('CAMD Facility Data 2023'!$AE$2:$AG$10000,MATCH(Z1298,'CAMD Facility Data 2023'!$AE$2:$AE$10000,0),3),"")</f>
        <v/>
      </c>
      <c r="AD1298" s="20">
        <f t="shared" si="61"/>
        <v>0.65534459241570631</v>
      </c>
      <c r="AE1298" s="25">
        <f t="shared" si="62"/>
        <v>0.35656719002458731</v>
      </c>
    </row>
    <row r="1299" spans="1:31" x14ac:dyDescent="0.2">
      <c r="A1299" s="1" t="s">
        <v>383</v>
      </c>
      <c r="B1299" s="1" t="s">
        <v>3271</v>
      </c>
      <c r="C1299" s="1">
        <v>4195</v>
      </c>
      <c r="D1299" s="1">
        <v>2</v>
      </c>
      <c r="F1299" s="1">
        <v>2023</v>
      </c>
      <c r="G1299" s="5">
        <v>1848</v>
      </c>
      <c r="H1299" s="5">
        <v>1558.5</v>
      </c>
      <c r="I1299" s="5">
        <v>12993.25</v>
      </c>
      <c r="K1299" s="5">
        <v>0.129</v>
      </c>
      <c r="L1299" s="5">
        <v>1.2999999999999999E-3</v>
      </c>
      <c r="M1299" s="5">
        <v>11037.75</v>
      </c>
      <c r="N1299" s="6">
        <v>6.0600000000000001E-2</v>
      </c>
      <c r="O1299" s="5">
        <v>19.940000000000001</v>
      </c>
      <c r="P1299" s="6">
        <v>0.2258</v>
      </c>
      <c r="Q1299" s="5">
        <v>179826.55</v>
      </c>
      <c r="R1299" s="1" t="s">
        <v>44</v>
      </c>
      <c r="S1299" s="1" t="s">
        <v>94</v>
      </c>
      <c r="T1299" s="1" t="s">
        <v>89</v>
      </c>
      <c r="Y1299" s="1" t="s">
        <v>346</v>
      </c>
      <c r="Z1299" s="1" t="str">
        <f t="shared" si="60"/>
        <v>4195 2</v>
      </c>
      <c r="AA1299" s="3">
        <f>IF(INDEX('CAMD Facility Data 2023'!$AA$2:$AE$10000,MATCH(Z1299,'CAMD Facility Data 2023'!$AE$2:$AE$10000,0),1)&gt;0,INDEX('CAMD Facility Data 2023'!$AA$2:$AE$10000,MATCH(Z1299,'CAMD Facility Data 2023'!$AE$2:$AE$10000,0),1),"")</f>
        <v>25204</v>
      </c>
      <c r="AB1299" s="5">
        <f>IF(INDEX('CAMD Facility Data 2023'!$AC$2:$AE$10000,MATCH(Z1299,'CAMD Facility Data 2023'!$AE$2:$AE$10000,0),1)&gt;0,INDEX('CAMD Facility Data 2023'!$AC$2:$AE$10000,MATCH(Z1299,'CAMD Facility Data 2023'!$AE$2:$AE$10000,0),1),"")</f>
        <v>324</v>
      </c>
      <c r="AC1299" s="1" t="str">
        <f>IF(INDEX('CAMD Facility Data 2023'!$AE$2:$AG$10000,MATCH(Z1299,'CAMD Facility Data 2023'!$AE$2:$AE$10000,0),3)&gt;0,INDEX('CAMD Facility Data 2023'!$AE$2:$AG$10000,MATCH(Z1299,'CAMD Facility Data 2023'!$AE$2:$AE$10000,0),3),"")</f>
        <v/>
      </c>
      <c r="AD1299" s="20">
        <f t="shared" si="61"/>
        <v>3.0692859754103092</v>
      </c>
      <c r="AE1299" s="25">
        <f t="shared" si="62"/>
        <v>6.335847215175601E-2</v>
      </c>
    </row>
    <row r="1300" spans="1:31" x14ac:dyDescent="0.2">
      <c r="A1300" s="1" t="s">
        <v>383</v>
      </c>
      <c r="B1300" s="1" t="s">
        <v>3271</v>
      </c>
      <c r="C1300" s="1">
        <v>4195</v>
      </c>
      <c r="D1300" s="1">
        <v>3</v>
      </c>
      <c r="F1300" s="1">
        <v>2023</v>
      </c>
      <c r="G1300" s="5">
        <v>1977</v>
      </c>
      <c r="H1300" s="5">
        <v>1719.75</v>
      </c>
      <c r="I1300" s="5">
        <v>23461.5</v>
      </c>
      <c r="K1300" s="5">
        <v>0.438</v>
      </c>
      <c r="L1300" s="5">
        <v>2.2000000000000001E-3</v>
      </c>
      <c r="M1300" s="5">
        <v>17669.25</v>
      </c>
      <c r="N1300" s="6">
        <v>6.0100000000000001E-2</v>
      </c>
      <c r="O1300" s="5">
        <v>27.748999999999999</v>
      </c>
      <c r="P1300" s="6">
        <v>0.17649999999999999</v>
      </c>
      <c r="Q1300" s="5">
        <v>290353.7</v>
      </c>
      <c r="R1300" s="1" t="s">
        <v>44</v>
      </c>
      <c r="S1300" s="1" t="s">
        <v>94</v>
      </c>
      <c r="T1300" s="1" t="s">
        <v>89</v>
      </c>
      <c r="Y1300" s="1" t="s">
        <v>346</v>
      </c>
      <c r="Z1300" s="1" t="str">
        <f t="shared" si="60"/>
        <v>4195 3</v>
      </c>
      <c r="AA1300" s="3">
        <f>IF(INDEX('CAMD Facility Data 2023'!$AA$2:$AE$10000,MATCH(Z1300,'CAMD Facility Data 2023'!$AE$2:$AE$10000,0),1)&gt;0,INDEX('CAMD Facility Data 2023'!$AA$2:$AE$10000,MATCH(Z1300,'CAMD Facility Data 2023'!$AE$2:$AE$10000,0),1),"")</f>
        <v>28246</v>
      </c>
      <c r="AB1300" s="5">
        <f>IF(INDEX('CAMD Facility Data 2023'!$AC$2:$AE$10000,MATCH(Z1300,'CAMD Facility Data 2023'!$AE$2:$AE$10000,0),1)&gt;0,INDEX('CAMD Facility Data 2023'!$AC$2:$AE$10000,MATCH(Z1300,'CAMD Facility Data 2023'!$AE$2:$AE$10000,0),1),"")</f>
        <v>493</v>
      </c>
      <c r="AC1300" s="1" t="str">
        <f>IF(INDEX('CAMD Facility Data 2023'!$AE$2:$AG$10000,MATCH(Z1300,'CAMD Facility Data 2023'!$AE$2:$AE$10000,0),3)&gt;0,INDEX('CAMD Facility Data 2023'!$AE$2:$AG$10000,MATCH(Z1300,'CAMD Facility Data 2023'!$AE$2:$AE$10000,0),3),"")</f>
        <v/>
      </c>
      <c r="AD1300" s="20">
        <f t="shared" si="61"/>
        <v>2.3654924024465616</v>
      </c>
      <c r="AE1300" s="25">
        <f t="shared" si="62"/>
        <v>6.7232047755332647E-2</v>
      </c>
    </row>
    <row r="1301" spans="1:31" x14ac:dyDescent="0.2">
      <c r="A1301" s="1" t="s">
        <v>383</v>
      </c>
      <c r="B1301" s="1" t="s">
        <v>3277</v>
      </c>
      <c r="C1301" s="1">
        <v>4266</v>
      </c>
      <c r="D1301" s="1">
        <v>4</v>
      </c>
      <c r="F1301" s="1">
        <v>2023</v>
      </c>
      <c r="G1301" s="5">
        <v>1465</v>
      </c>
      <c r="H1301" s="5">
        <v>1367</v>
      </c>
      <c r="I1301" s="5">
        <v>23655.5</v>
      </c>
      <c r="K1301" s="5">
        <v>8.4000000000000005E-2</v>
      </c>
      <c r="L1301" s="5">
        <v>1E-3</v>
      </c>
      <c r="M1301" s="5">
        <v>16665.3</v>
      </c>
      <c r="N1301" s="6">
        <v>5.9400000000000001E-2</v>
      </c>
      <c r="O1301" s="5">
        <v>10.404</v>
      </c>
      <c r="P1301" s="6">
        <v>7.1300000000000002E-2</v>
      </c>
      <c r="Q1301" s="5">
        <v>280410.02500000002</v>
      </c>
      <c r="R1301" s="1" t="s">
        <v>44</v>
      </c>
      <c r="T1301" s="1" t="s">
        <v>89</v>
      </c>
      <c r="V1301" s="1" t="s">
        <v>90</v>
      </c>
      <c r="Y1301" s="1" t="s">
        <v>346</v>
      </c>
      <c r="Z1301" s="1" t="str">
        <f t="shared" si="60"/>
        <v>4266 4</v>
      </c>
      <c r="AA1301" s="3">
        <f>IF(INDEX('CAMD Facility Data 2023'!$AA$2:$AE$10000,MATCH(Z1301,'CAMD Facility Data 2023'!$AE$2:$AE$10000,0),1)&gt;0,INDEX('CAMD Facility Data 2023'!$AA$2:$AE$10000,MATCH(Z1301,'CAMD Facility Data 2023'!$AE$2:$AE$10000,0),1),"")</f>
        <v>24198</v>
      </c>
      <c r="AB1301" s="5">
        <f>IF(INDEX('CAMD Facility Data 2023'!$AC$2:$AE$10000,MATCH(Z1301,'CAMD Facility Data 2023'!$AE$2:$AE$10000,0),1)&gt;0,INDEX('CAMD Facility Data 2023'!$AC$2:$AE$10000,MATCH(Z1301,'CAMD Facility Data 2023'!$AE$2:$AE$10000,0),1),"")</f>
        <v>800</v>
      </c>
      <c r="AC1301" s="1" t="str">
        <f>IF(INDEX('CAMD Facility Data 2023'!$AE$2:$AG$10000,MATCH(Z1301,'CAMD Facility Data 2023'!$AE$2:$AE$10000,0),3)&gt;0,INDEX('CAMD Facility Data 2023'!$AE$2:$AG$10000,MATCH(Z1301,'CAMD Facility Data 2023'!$AE$2:$AE$10000,0),3),"")</f>
        <v/>
      </c>
      <c r="AD1301" s="20">
        <f t="shared" si="61"/>
        <v>0.87962630255120378</v>
      </c>
      <c r="AE1301" s="25">
        <f t="shared" si="62"/>
        <v>4.0012846033105023E-2</v>
      </c>
    </row>
    <row r="1302" spans="1:31" x14ac:dyDescent="0.2">
      <c r="A1302" s="1" t="s">
        <v>383</v>
      </c>
      <c r="B1302" s="1" t="s">
        <v>3277</v>
      </c>
      <c r="C1302" s="1">
        <v>4266</v>
      </c>
      <c r="D1302" s="1">
        <v>5</v>
      </c>
      <c r="F1302" s="1">
        <v>2023</v>
      </c>
      <c r="G1302" s="5">
        <v>1520</v>
      </c>
      <c r="H1302" s="5">
        <v>1416.75</v>
      </c>
      <c r="I1302" s="5">
        <v>31041.5</v>
      </c>
      <c r="K1302" s="5">
        <v>0.104</v>
      </c>
      <c r="L1302" s="5">
        <v>1E-3</v>
      </c>
      <c r="M1302" s="5">
        <v>20583.825000000001</v>
      </c>
      <c r="N1302" s="6">
        <v>5.9299999999999999E-2</v>
      </c>
      <c r="O1302" s="5">
        <v>11.83</v>
      </c>
      <c r="P1302" s="6">
        <v>6.25E-2</v>
      </c>
      <c r="Q1302" s="5">
        <v>346355.3</v>
      </c>
      <c r="R1302" s="1" t="s">
        <v>44</v>
      </c>
      <c r="T1302" s="1" t="s">
        <v>89</v>
      </c>
      <c r="V1302" s="1" t="s">
        <v>90</v>
      </c>
      <c r="Y1302" s="1" t="s">
        <v>346</v>
      </c>
      <c r="Z1302" s="1" t="str">
        <f t="shared" si="60"/>
        <v>4266 5</v>
      </c>
      <c r="AA1302" s="3">
        <f>IF(INDEX('CAMD Facility Data 2023'!$AA$2:$AE$10000,MATCH(Z1302,'CAMD Facility Data 2023'!$AE$2:$AE$10000,0),1)&gt;0,INDEX('CAMD Facility Data 2023'!$AA$2:$AE$10000,MATCH(Z1302,'CAMD Facility Data 2023'!$AE$2:$AE$10000,0),1),"")</f>
        <v>26696</v>
      </c>
      <c r="AB1302" s="5">
        <f>IF(INDEX('CAMD Facility Data 2023'!$AC$2:$AE$10000,MATCH(Z1302,'CAMD Facility Data 2023'!$AE$2:$AE$10000,0),1)&gt;0,INDEX('CAMD Facility Data 2023'!$AC$2:$AE$10000,MATCH(Z1302,'CAMD Facility Data 2023'!$AE$2:$AE$10000,0),1),"")</f>
        <v>800</v>
      </c>
      <c r="AC1302" s="1" t="str">
        <f>IF(INDEX('CAMD Facility Data 2023'!$AE$2:$AG$10000,MATCH(Z1302,'CAMD Facility Data 2023'!$AE$2:$AE$10000,0),3)&gt;0,INDEX('CAMD Facility Data 2023'!$AE$2:$AG$10000,MATCH(Z1302,'CAMD Facility Data 2023'!$AE$2:$AE$10000,0),3),"")</f>
        <v/>
      </c>
      <c r="AD1302" s="20">
        <f t="shared" si="61"/>
        <v>0.76220543466005186</v>
      </c>
      <c r="AE1302" s="25">
        <f t="shared" si="62"/>
        <v>4.9422845319634701E-2</v>
      </c>
    </row>
    <row r="1303" spans="1:31" x14ac:dyDescent="0.2">
      <c r="A1303" s="1" t="s">
        <v>3167</v>
      </c>
      <c r="B1303" s="1" t="s">
        <v>3281</v>
      </c>
      <c r="C1303" s="1">
        <v>4271</v>
      </c>
      <c r="D1303" s="1" t="s">
        <v>866</v>
      </c>
      <c r="F1303" s="1">
        <v>2023</v>
      </c>
      <c r="G1303" s="5">
        <v>6914</v>
      </c>
      <c r="H1303" s="5">
        <v>6907.71</v>
      </c>
      <c r="I1303" s="5">
        <v>1378716.86</v>
      </c>
      <c r="K1303" s="5">
        <v>651.92499999999995</v>
      </c>
      <c r="L1303" s="5">
        <v>7.9899999999999999E-2</v>
      </c>
      <c r="M1303" s="5">
        <v>1695122.3419999999</v>
      </c>
      <c r="N1303" s="6">
        <v>0.105</v>
      </c>
      <c r="O1303" s="5">
        <v>617.57500000000005</v>
      </c>
      <c r="P1303" s="6">
        <v>7.4499999999999997E-2</v>
      </c>
      <c r="Q1303" s="5">
        <v>16162517.869000001</v>
      </c>
      <c r="R1303" s="1" t="s">
        <v>55</v>
      </c>
      <c r="T1303" s="1" t="s">
        <v>319</v>
      </c>
      <c r="U1303" s="1" t="s">
        <v>1009</v>
      </c>
      <c r="V1303" s="1" t="s">
        <v>639</v>
      </c>
      <c r="W1303" s="1" t="s">
        <v>123</v>
      </c>
      <c r="X1303" s="1" t="s">
        <v>214</v>
      </c>
      <c r="Y1303" s="1" t="s">
        <v>1005</v>
      </c>
      <c r="Z1303" s="1" t="str">
        <f t="shared" si="60"/>
        <v>4271 B1</v>
      </c>
      <c r="AA1303" s="3">
        <f>IF(INDEX('CAMD Facility Data 2023'!$AA$2:$AE$10000,MATCH(Z1303,'CAMD Facility Data 2023'!$AE$2:$AE$10000,0),1)&gt;0,INDEX('CAMD Facility Data 2023'!$AA$2:$AE$10000,MATCH(Z1303,'CAMD Facility Data 2023'!$AE$2:$AE$10000,0),1),"")</f>
        <v>29184</v>
      </c>
      <c r="AB1303" s="5">
        <f>IF(INDEX('CAMD Facility Data 2023'!$AC$2:$AE$10000,MATCH(Z1303,'CAMD Facility Data 2023'!$AE$2:$AE$10000,0),1)&gt;0,INDEX('CAMD Facility Data 2023'!$AC$2:$AE$10000,MATCH(Z1303,'CAMD Facility Data 2023'!$AE$2:$AE$10000,0),1),"")</f>
        <v>4983.2</v>
      </c>
      <c r="AC1303" s="1" t="str">
        <f>IF(INDEX('CAMD Facility Data 2023'!$AE$2:$AG$10000,MATCH(Z1303,'CAMD Facility Data 2023'!$AE$2:$AE$10000,0),3)&gt;0,INDEX('CAMD Facility Data 2023'!$AE$2:$AG$10000,MATCH(Z1303,'CAMD Facility Data 2023'!$AE$2:$AE$10000,0),3),"")</f>
        <v>Y</v>
      </c>
      <c r="AD1303" s="20">
        <f t="shared" si="61"/>
        <v>0.89586922147307313</v>
      </c>
      <c r="AE1303" s="25">
        <f t="shared" si="62"/>
        <v>0.37025130165667147</v>
      </c>
    </row>
    <row r="1304" spans="1:31" x14ac:dyDescent="0.2">
      <c r="A1304" s="1" t="s">
        <v>383</v>
      </c>
      <c r="B1304" s="1" t="s">
        <v>3285</v>
      </c>
      <c r="C1304" s="1">
        <v>4937</v>
      </c>
      <c r="D1304" s="1" t="s">
        <v>1296</v>
      </c>
      <c r="F1304" s="1">
        <v>2023</v>
      </c>
      <c r="G1304" s="5">
        <v>7829</v>
      </c>
      <c r="H1304" s="5">
        <v>7786.55</v>
      </c>
      <c r="I1304" s="5">
        <v>1259863.55</v>
      </c>
      <c r="K1304" s="5">
        <v>3.883</v>
      </c>
      <c r="L1304" s="5">
        <v>1E-3</v>
      </c>
      <c r="M1304" s="5">
        <v>769113.98800000001</v>
      </c>
      <c r="N1304" s="6">
        <v>5.8999999999999997E-2</v>
      </c>
      <c r="O1304" s="5">
        <v>35.064999999999998</v>
      </c>
      <c r="P1304" s="6">
        <v>6.4000000000000003E-3</v>
      </c>
      <c r="Q1304" s="5">
        <v>12941903.945</v>
      </c>
      <c r="R1304" s="1" t="s">
        <v>44</v>
      </c>
      <c r="T1304" s="1" t="s">
        <v>71</v>
      </c>
      <c r="V1304" s="1" t="s">
        <v>442</v>
      </c>
      <c r="Y1304" s="1" t="s">
        <v>346</v>
      </c>
      <c r="Z1304" s="1" t="str">
        <f t="shared" si="60"/>
        <v>4937 CT-1</v>
      </c>
      <c r="AA1304" s="3">
        <f>IF(INDEX('CAMD Facility Data 2023'!$AA$2:$AE$10000,MATCH(Z1304,'CAMD Facility Data 2023'!$AE$2:$AE$10000,0),1)&gt;0,INDEX('CAMD Facility Data 2023'!$AA$2:$AE$10000,MATCH(Z1304,'CAMD Facility Data 2023'!$AE$2:$AE$10000,0),1),"")</f>
        <v>41727</v>
      </c>
      <c r="AB1304" s="5">
        <f>IF(INDEX('CAMD Facility Data 2023'!$AC$2:$AE$10000,MATCH(Z1304,'CAMD Facility Data 2023'!$AE$2:$AE$10000,0),1)&gt;0,INDEX('CAMD Facility Data 2023'!$AC$2:$AE$10000,MATCH(Z1304,'CAMD Facility Data 2023'!$AE$2:$AE$10000,0),1),"")</f>
        <v>2320</v>
      </c>
      <c r="AC1304" s="1" t="str">
        <f>IF(INDEX('CAMD Facility Data 2023'!$AE$2:$AG$10000,MATCH(Z1304,'CAMD Facility Data 2023'!$AE$2:$AE$10000,0),3)&gt;0,INDEX('CAMD Facility Data 2023'!$AE$2:$AG$10000,MATCH(Z1304,'CAMD Facility Data 2023'!$AE$2:$AE$10000,0),3),"")</f>
        <v>Y</v>
      </c>
      <c r="AD1304" s="20">
        <f t="shared" si="61"/>
        <v>5.5664758298626861E-2</v>
      </c>
      <c r="AE1304" s="25">
        <f t="shared" si="62"/>
        <v>0.63680443753936389</v>
      </c>
    </row>
    <row r="1305" spans="1:31" x14ac:dyDescent="0.2">
      <c r="A1305" s="1" t="s">
        <v>383</v>
      </c>
      <c r="B1305" s="1" t="s">
        <v>3285</v>
      </c>
      <c r="C1305" s="1">
        <v>4937</v>
      </c>
      <c r="D1305" s="1" t="s">
        <v>1300</v>
      </c>
      <c r="F1305" s="1">
        <v>2023</v>
      </c>
      <c r="G1305" s="5">
        <v>7449</v>
      </c>
      <c r="H1305" s="5">
        <v>7406.05</v>
      </c>
      <c r="I1305" s="5">
        <v>1202640.23</v>
      </c>
      <c r="K1305" s="5">
        <v>3.6589999999999998</v>
      </c>
      <c r="L1305" s="5">
        <v>1E-3</v>
      </c>
      <c r="M1305" s="5">
        <v>724848.86399999994</v>
      </c>
      <c r="N1305" s="6">
        <v>5.8999999999999997E-2</v>
      </c>
      <c r="O1305" s="5">
        <v>34.545999999999999</v>
      </c>
      <c r="P1305" s="6">
        <v>6.6E-3</v>
      </c>
      <c r="Q1305" s="5">
        <v>12196974.257999999</v>
      </c>
      <c r="R1305" s="1" t="s">
        <v>44</v>
      </c>
      <c r="T1305" s="1" t="s">
        <v>71</v>
      </c>
      <c r="V1305" s="1" t="s">
        <v>442</v>
      </c>
      <c r="Y1305" s="1" t="s">
        <v>346</v>
      </c>
      <c r="Z1305" s="1" t="str">
        <f t="shared" si="60"/>
        <v>4937 CT-2</v>
      </c>
      <c r="AA1305" s="3">
        <f>IF(INDEX('CAMD Facility Data 2023'!$AA$2:$AE$10000,MATCH(Z1305,'CAMD Facility Data 2023'!$AE$2:$AE$10000,0),1)&gt;0,INDEX('CAMD Facility Data 2023'!$AA$2:$AE$10000,MATCH(Z1305,'CAMD Facility Data 2023'!$AE$2:$AE$10000,0),1),"")</f>
        <v>41714</v>
      </c>
      <c r="AB1305" s="5">
        <f>IF(INDEX('CAMD Facility Data 2023'!$AC$2:$AE$10000,MATCH(Z1305,'CAMD Facility Data 2023'!$AE$2:$AE$10000,0),1)&gt;0,INDEX('CAMD Facility Data 2023'!$AC$2:$AE$10000,MATCH(Z1305,'CAMD Facility Data 2023'!$AE$2:$AE$10000,0),1),"")</f>
        <v>2000</v>
      </c>
      <c r="AC1305" s="1" t="str">
        <f>IF(INDEX('CAMD Facility Data 2023'!$AE$2:$AG$10000,MATCH(Z1305,'CAMD Facility Data 2023'!$AE$2:$AE$10000,0),3)&gt;0,INDEX('CAMD Facility Data 2023'!$AE$2:$AG$10000,MATCH(Z1305,'CAMD Facility Data 2023'!$AE$2:$AE$10000,0),3),"")</f>
        <v>Y</v>
      </c>
      <c r="AD1305" s="20">
        <f t="shared" si="61"/>
        <v>5.7450265072207005E-2</v>
      </c>
      <c r="AE1305" s="25">
        <f t="shared" si="62"/>
        <v>0.69617432979452054</v>
      </c>
    </row>
    <row r="1306" spans="1:31" x14ac:dyDescent="0.2">
      <c r="A1306" s="1" t="s">
        <v>383</v>
      </c>
      <c r="B1306" s="1" t="s">
        <v>3290</v>
      </c>
      <c r="C1306" s="1">
        <v>4939</v>
      </c>
      <c r="D1306" s="1">
        <v>1</v>
      </c>
      <c r="F1306" s="1">
        <v>2023</v>
      </c>
      <c r="G1306" s="5">
        <v>2234</v>
      </c>
      <c r="H1306" s="5">
        <v>2202.5100000000002</v>
      </c>
      <c r="I1306" s="5">
        <v>192936.88</v>
      </c>
      <c r="K1306" s="5">
        <v>0.69699999999999995</v>
      </c>
      <c r="L1306" s="5">
        <v>1E-3</v>
      </c>
      <c r="M1306" s="5">
        <v>137990.09</v>
      </c>
      <c r="N1306" s="6">
        <v>5.8999999999999997E-2</v>
      </c>
      <c r="O1306" s="5">
        <v>139.93600000000001</v>
      </c>
      <c r="P1306" s="6">
        <v>9.5799999999999996E-2</v>
      </c>
      <c r="Q1306" s="5">
        <v>2321938.2549999999</v>
      </c>
      <c r="R1306" s="1" t="s">
        <v>44</v>
      </c>
      <c r="T1306" s="1" t="s">
        <v>43</v>
      </c>
      <c r="Y1306" s="1" t="s">
        <v>346</v>
      </c>
      <c r="Z1306" s="1" t="str">
        <f t="shared" si="60"/>
        <v>4939 1</v>
      </c>
      <c r="AA1306" s="3">
        <f>IF(INDEX('CAMD Facility Data 2023'!$AA$2:$AE$10000,MATCH(Z1306,'CAMD Facility Data 2023'!$AE$2:$AE$10000,0),1)&gt;0,INDEX('CAMD Facility Data 2023'!$AA$2:$AE$10000,MATCH(Z1306,'CAMD Facility Data 2023'!$AE$2:$AE$10000,0),1),"")</f>
        <v>27210</v>
      </c>
      <c r="AB1306" s="5">
        <f>IF(INDEX('CAMD Facility Data 2023'!$AC$2:$AE$10000,MATCH(Z1306,'CAMD Facility Data 2023'!$AE$2:$AE$10000,0),1)&gt;0,INDEX('CAMD Facility Data 2023'!$AC$2:$AE$10000,MATCH(Z1306,'CAMD Facility Data 2023'!$AE$2:$AE$10000,0),1),"")</f>
        <v>3800</v>
      </c>
      <c r="AC1306" s="1" t="str">
        <f>IF(INDEX('CAMD Facility Data 2023'!$AE$2:$AG$10000,MATCH(Z1306,'CAMD Facility Data 2023'!$AE$2:$AE$10000,0),3)&gt;0,INDEX('CAMD Facility Data 2023'!$AE$2:$AG$10000,MATCH(Z1306,'CAMD Facility Data 2023'!$AE$2:$AE$10000,0),3),"")</f>
        <v/>
      </c>
      <c r="AD1306" s="20">
        <f t="shared" si="61"/>
        <v>1.4505883996880222</v>
      </c>
      <c r="AE1306" s="25">
        <f t="shared" si="62"/>
        <v>6.9753011745974522E-2</v>
      </c>
    </row>
    <row r="1307" spans="1:31" x14ac:dyDescent="0.2">
      <c r="A1307" s="1" t="s">
        <v>383</v>
      </c>
      <c r="B1307" s="1" t="s">
        <v>3290</v>
      </c>
      <c r="C1307" s="1">
        <v>4939</v>
      </c>
      <c r="D1307" s="1">
        <v>3</v>
      </c>
      <c r="F1307" s="1">
        <v>2023</v>
      </c>
      <c r="G1307" s="5">
        <v>3926</v>
      </c>
      <c r="H1307" s="5">
        <v>3716.73</v>
      </c>
      <c r="I1307" s="5">
        <v>704542.71</v>
      </c>
      <c r="K1307" s="5">
        <v>1.6439999999999999</v>
      </c>
      <c r="L1307" s="5">
        <v>1E-3</v>
      </c>
      <c r="M1307" s="5">
        <v>325732.01199999999</v>
      </c>
      <c r="N1307" s="6">
        <v>5.8999999999999997E-2</v>
      </c>
      <c r="O1307" s="5">
        <v>48.915999999999997</v>
      </c>
      <c r="P1307" s="6">
        <v>2.9600000000000001E-2</v>
      </c>
      <c r="Q1307" s="5">
        <v>5481008.6359999999</v>
      </c>
      <c r="R1307" s="1" t="s">
        <v>44</v>
      </c>
      <c r="T1307" s="1" t="s">
        <v>71</v>
      </c>
      <c r="V1307" s="1" t="s">
        <v>223</v>
      </c>
      <c r="Y1307" s="1" t="s">
        <v>346</v>
      </c>
      <c r="Z1307" s="1" t="str">
        <f t="shared" si="60"/>
        <v>4939 3</v>
      </c>
      <c r="AA1307" s="3">
        <f>IF(INDEX('CAMD Facility Data 2023'!$AA$2:$AE$10000,MATCH(Z1307,'CAMD Facility Data 2023'!$AE$2:$AE$10000,0),1)&gt;0,INDEX('CAMD Facility Data 2023'!$AA$2:$AE$10000,MATCH(Z1307,'CAMD Facility Data 2023'!$AE$2:$AE$10000,0),1),"")</f>
        <v>40108</v>
      </c>
      <c r="AB1307" s="5">
        <f>IF(INDEX('CAMD Facility Data 2023'!$AC$2:$AE$10000,MATCH(Z1307,'CAMD Facility Data 2023'!$AE$2:$AE$10000,0),1)&gt;0,INDEX('CAMD Facility Data 2023'!$AC$2:$AE$10000,MATCH(Z1307,'CAMD Facility Data 2023'!$AE$2:$AE$10000,0),1),"")</f>
        <v>2606</v>
      </c>
      <c r="AC1307" s="1" t="str">
        <f>IF(INDEX('CAMD Facility Data 2023'!$AE$2:$AG$10000,MATCH(Z1307,'CAMD Facility Data 2023'!$AE$2:$AE$10000,0),3)&gt;0,INDEX('CAMD Facility Data 2023'!$AE$2:$AG$10000,MATCH(Z1307,'CAMD Facility Data 2023'!$AE$2:$AE$10000,0),3),"")</f>
        <v>Y</v>
      </c>
      <c r="AD1307" s="20">
        <f t="shared" si="61"/>
        <v>0.13885886350310828</v>
      </c>
      <c r="AE1307" s="25">
        <f t="shared" si="62"/>
        <v>0.24009436582946975</v>
      </c>
    </row>
    <row r="1308" spans="1:31" x14ac:dyDescent="0.2">
      <c r="A1308" s="1" t="s">
        <v>383</v>
      </c>
      <c r="B1308" s="1" t="s">
        <v>3290</v>
      </c>
      <c r="C1308" s="1">
        <v>4939</v>
      </c>
      <c r="D1308" s="1">
        <v>4</v>
      </c>
      <c r="F1308" s="1">
        <v>2023</v>
      </c>
      <c r="G1308" s="5">
        <v>3906</v>
      </c>
      <c r="H1308" s="5">
        <v>3683.61</v>
      </c>
      <c r="I1308" s="5">
        <v>711465.3</v>
      </c>
      <c r="K1308" s="5">
        <v>1.6459999999999999</v>
      </c>
      <c r="L1308" s="5">
        <v>1E-3</v>
      </c>
      <c r="M1308" s="5">
        <v>325974.07500000001</v>
      </c>
      <c r="N1308" s="6">
        <v>5.8999999999999997E-2</v>
      </c>
      <c r="O1308" s="5">
        <v>45.622</v>
      </c>
      <c r="P1308" s="6">
        <v>2.7E-2</v>
      </c>
      <c r="Q1308" s="5">
        <v>5485138.6100000003</v>
      </c>
      <c r="R1308" s="1" t="s">
        <v>44</v>
      </c>
      <c r="T1308" s="1" t="s">
        <v>71</v>
      </c>
      <c r="V1308" s="1" t="s">
        <v>223</v>
      </c>
      <c r="Y1308" s="1" t="s">
        <v>346</v>
      </c>
      <c r="Z1308" s="1" t="str">
        <f t="shared" si="60"/>
        <v>4939 4</v>
      </c>
      <c r="AA1308" s="3">
        <f>IF(INDEX('CAMD Facility Data 2023'!$AA$2:$AE$10000,MATCH(Z1308,'CAMD Facility Data 2023'!$AE$2:$AE$10000,0),1)&gt;0,INDEX('CAMD Facility Data 2023'!$AA$2:$AE$10000,MATCH(Z1308,'CAMD Facility Data 2023'!$AE$2:$AE$10000,0),1),"")</f>
        <v>40121</v>
      </c>
      <c r="AB1308" s="5">
        <f>IF(INDEX('CAMD Facility Data 2023'!$AC$2:$AE$10000,MATCH(Z1308,'CAMD Facility Data 2023'!$AE$2:$AE$10000,0),1)&gt;0,INDEX('CAMD Facility Data 2023'!$AC$2:$AE$10000,MATCH(Z1308,'CAMD Facility Data 2023'!$AE$2:$AE$10000,0),1),"")</f>
        <v>4494.3</v>
      </c>
      <c r="AC1308" s="1" t="str">
        <f>IF(INDEX('CAMD Facility Data 2023'!$AE$2:$AG$10000,MATCH(Z1308,'CAMD Facility Data 2023'!$AE$2:$AE$10000,0),3)&gt;0,INDEX('CAMD Facility Data 2023'!$AE$2:$AG$10000,MATCH(Z1308,'CAMD Facility Data 2023'!$AE$2:$AE$10000,0),3),"")</f>
        <v>Y</v>
      </c>
      <c r="AD1308" s="20">
        <f t="shared" si="61"/>
        <v>0.12824799747788121</v>
      </c>
      <c r="AE1308" s="25">
        <f t="shared" si="62"/>
        <v>0.13932255870119403</v>
      </c>
    </row>
    <row r="1309" spans="1:31" x14ac:dyDescent="0.2">
      <c r="A1309" s="1" t="s">
        <v>335</v>
      </c>
      <c r="B1309" s="1" t="s">
        <v>3295</v>
      </c>
      <c r="C1309" s="1">
        <v>4940</v>
      </c>
      <c r="D1309" s="1">
        <v>1501</v>
      </c>
      <c r="F1309" s="1">
        <v>2023</v>
      </c>
      <c r="G1309" s="5">
        <v>3157</v>
      </c>
      <c r="H1309" s="5">
        <v>3150.42</v>
      </c>
      <c r="I1309" s="5">
        <v>614910.03</v>
      </c>
      <c r="K1309" s="5">
        <v>2.19</v>
      </c>
      <c r="L1309" s="5">
        <v>1E-3</v>
      </c>
      <c r="M1309" s="5">
        <v>433846.55300000001</v>
      </c>
      <c r="N1309" s="6">
        <v>5.8999999999999997E-2</v>
      </c>
      <c r="O1309" s="5">
        <v>888.29200000000003</v>
      </c>
      <c r="P1309" s="6">
        <v>0.22620000000000001</v>
      </c>
      <c r="Q1309" s="5">
        <v>7300295.148</v>
      </c>
      <c r="R1309" s="1" t="s">
        <v>44</v>
      </c>
      <c r="T1309" s="1" t="s">
        <v>89</v>
      </c>
      <c r="Y1309" s="1" t="s">
        <v>346</v>
      </c>
      <c r="Z1309" s="1" t="str">
        <f t="shared" si="60"/>
        <v>4940 1501</v>
      </c>
      <c r="AA1309" s="3">
        <f>IF(INDEX('CAMD Facility Data 2023'!$AA$2:$AE$10000,MATCH(Z1309,'CAMD Facility Data 2023'!$AE$2:$AE$10000,0),1)&gt;0,INDEX('CAMD Facility Data 2023'!$AA$2:$AE$10000,MATCH(Z1309,'CAMD Facility Data 2023'!$AE$2:$AE$10000,0),1),"")</f>
        <v>27210</v>
      </c>
      <c r="AB1309" s="5">
        <f>IF(INDEX('CAMD Facility Data 2023'!$AC$2:$AE$10000,MATCH(Z1309,'CAMD Facility Data 2023'!$AE$2:$AE$10000,0),1)&gt;0,INDEX('CAMD Facility Data 2023'!$AC$2:$AE$10000,MATCH(Z1309,'CAMD Facility Data 2023'!$AE$2:$AE$10000,0),1),"")</f>
        <v>4684</v>
      </c>
      <c r="AC1309" s="1" t="str">
        <f>IF(INDEX('CAMD Facility Data 2023'!$AE$2:$AG$10000,MATCH(Z1309,'CAMD Facility Data 2023'!$AE$2:$AE$10000,0),3)&gt;0,INDEX('CAMD Facility Data 2023'!$AE$2:$AG$10000,MATCH(Z1309,'CAMD Facility Data 2023'!$AE$2:$AE$10000,0),3),"")</f>
        <v/>
      </c>
      <c r="AD1309" s="20">
        <f t="shared" si="61"/>
        <v>2.8891771370195407</v>
      </c>
      <c r="AE1309" s="25">
        <f t="shared" si="62"/>
        <v>0.17791781085128036</v>
      </c>
    </row>
    <row r="1310" spans="1:31" x14ac:dyDescent="0.2">
      <c r="A1310" s="1" t="s">
        <v>335</v>
      </c>
      <c r="B1310" s="1" t="s">
        <v>3295</v>
      </c>
      <c r="C1310" s="1">
        <v>4940</v>
      </c>
      <c r="D1310" s="1">
        <v>1502</v>
      </c>
      <c r="F1310" s="1">
        <v>2023</v>
      </c>
      <c r="G1310" s="5">
        <v>3275</v>
      </c>
      <c r="H1310" s="5">
        <v>3254.39</v>
      </c>
      <c r="I1310" s="5">
        <v>556342.09</v>
      </c>
      <c r="K1310" s="5">
        <v>2.0049999999999999</v>
      </c>
      <c r="L1310" s="5">
        <v>1E-3</v>
      </c>
      <c r="M1310" s="5">
        <v>397085.82199999999</v>
      </c>
      <c r="N1310" s="6">
        <v>5.8999999999999997E-2</v>
      </c>
      <c r="O1310" s="5">
        <v>822.07299999999998</v>
      </c>
      <c r="P1310" s="6">
        <v>0.2243</v>
      </c>
      <c r="Q1310" s="5">
        <v>6681788.9850000003</v>
      </c>
      <c r="R1310" s="1" t="s">
        <v>44</v>
      </c>
      <c r="T1310" s="1" t="s">
        <v>89</v>
      </c>
      <c r="Y1310" s="1" t="s">
        <v>346</v>
      </c>
      <c r="Z1310" s="1" t="str">
        <f t="shared" si="60"/>
        <v>4940 1502</v>
      </c>
      <c r="AA1310" s="3">
        <f>IF(INDEX('CAMD Facility Data 2023'!$AA$2:$AE$10000,MATCH(Z1310,'CAMD Facility Data 2023'!$AE$2:$AE$10000,0),1)&gt;0,INDEX('CAMD Facility Data 2023'!$AA$2:$AE$10000,MATCH(Z1310,'CAMD Facility Data 2023'!$AE$2:$AE$10000,0),1),"")</f>
        <v>27941</v>
      </c>
      <c r="AB1310" s="5">
        <f>IF(INDEX('CAMD Facility Data 2023'!$AC$2:$AE$10000,MATCH(Z1310,'CAMD Facility Data 2023'!$AE$2:$AE$10000,0),1)&gt;0,INDEX('CAMD Facility Data 2023'!$AC$2:$AE$10000,MATCH(Z1310,'CAMD Facility Data 2023'!$AE$2:$AE$10000,0),1),"")</f>
        <v>4766</v>
      </c>
      <c r="AC1310" s="1" t="str">
        <f>IF(INDEX('CAMD Facility Data 2023'!$AE$2:$AG$10000,MATCH(Z1310,'CAMD Facility Data 2023'!$AE$2:$AE$10000,0),3)&gt;0,INDEX('CAMD Facility Data 2023'!$AE$2:$AG$10000,MATCH(Z1310,'CAMD Facility Data 2023'!$AE$2:$AE$10000,0),3),"")</f>
        <v/>
      </c>
      <c r="AD1310" s="20">
        <f t="shared" si="61"/>
        <v>2.9552788285351554</v>
      </c>
      <c r="AE1310" s="25">
        <f t="shared" si="62"/>
        <v>0.16004223660460223</v>
      </c>
    </row>
    <row r="1311" spans="1:31" x14ac:dyDescent="0.2">
      <c r="A1311" s="1" t="s">
        <v>335</v>
      </c>
      <c r="B1311" s="1" t="s">
        <v>3295</v>
      </c>
      <c r="C1311" s="1">
        <v>4940</v>
      </c>
      <c r="D1311" s="1">
        <v>1503</v>
      </c>
      <c r="F1311" s="1">
        <v>2023</v>
      </c>
      <c r="G1311" s="5">
        <v>815</v>
      </c>
      <c r="H1311" s="5">
        <v>700.22</v>
      </c>
      <c r="I1311" s="5">
        <v>47999.38</v>
      </c>
      <c r="K1311" s="5">
        <v>0.184</v>
      </c>
      <c r="L1311" s="5">
        <v>8.9999999999999998E-4</v>
      </c>
      <c r="M1311" s="5">
        <v>35835.300000000003</v>
      </c>
      <c r="N1311" s="6">
        <v>5.9499999999999997E-2</v>
      </c>
      <c r="O1311" s="5">
        <v>47.762</v>
      </c>
      <c r="P1311" s="6">
        <v>0.2666</v>
      </c>
      <c r="Q1311" s="5">
        <v>607236.9</v>
      </c>
      <c r="R1311" s="1" t="s">
        <v>44</v>
      </c>
      <c r="T1311" s="1" t="s">
        <v>93</v>
      </c>
      <c r="V1311" s="1" t="s">
        <v>1460</v>
      </c>
      <c r="Y1311" s="1" t="s">
        <v>346</v>
      </c>
      <c r="Z1311" s="1" t="str">
        <f t="shared" si="60"/>
        <v>4940 1503</v>
      </c>
      <c r="AA1311" s="3">
        <f>IF(INDEX('CAMD Facility Data 2023'!$AA$2:$AE$10000,MATCH(Z1311,'CAMD Facility Data 2023'!$AE$2:$AE$10000,0),1)&gt;0,INDEX('CAMD Facility Data 2023'!$AA$2:$AE$10000,MATCH(Z1311,'CAMD Facility Data 2023'!$AE$2:$AE$10000,0),1),"")</f>
        <v>39519</v>
      </c>
      <c r="AB1311" s="5">
        <f>IF(INDEX('CAMD Facility Data 2023'!$AC$2:$AE$10000,MATCH(Z1311,'CAMD Facility Data 2023'!$AE$2:$AE$10000,0),1)&gt;0,INDEX('CAMD Facility Data 2023'!$AC$2:$AE$10000,MATCH(Z1311,'CAMD Facility Data 2023'!$AE$2:$AE$10000,0),1),"")</f>
        <v>1150</v>
      </c>
      <c r="AC1311" s="1" t="str">
        <f>IF(INDEX('CAMD Facility Data 2023'!$AE$2:$AG$10000,MATCH(Z1311,'CAMD Facility Data 2023'!$AE$2:$AE$10000,0),3)&gt;0,INDEX('CAMD Facility Data 2023'!$AE$2:$AG$10000,MATCH(Z1311,'CAMD Facility Data 2023'!$AE$2:$AE$10000,0),3),"")</f>
        <v/>
      </c>
      <c r="AD1311" s="20">
        <f t="shared" si="61"/>
        <v>1.9901090389084193</v>
      </c>
      <c r="AE1311" s="25">
        <f t="shared" si="62"/>
        <v>6.0277635497319834E-2</v>
      </c>
    </row>
    <row r="1312" spans="1:31" x14ac:dyDescent="0.2">
      <c r="A1312" s="1" t="s">
        <v>335</v>
      </c>
      <c r="B1312" s="1" t="s">
        <v>3295</v>
      </c>
      <c r="C1312" s="1">
        <v>4940</v>
      </c>
      <c r="D1312" s="1">
        <v>1504</v>
      </c>
      <c r="F1312" s="1">
        <v>2023</v>
      </c>
      <c r="G1312" s="5">
        <v>783</v>
      </c>
      <c r="H1312" s="5">
        <v>670.19</v>
      </c>
      <c r="I1312" s="5">
        <v>46699.09</v>
      </c>
      <c r="K1312" s="5">
        <v>0.183</v>
      </c>
      <c r="L1312" s="5">
        <v>8.9999999999999998E-4</v>
      </c>
      <c r="M1312" s="5">
        <v>35140.800000000003</v>
      </c>
      <c r="N1312" s="6">
        <v>5.9700000000000003E-2</v>
      </c>
      <c r="O1312" s="5">
        <v>46.968000000000004</v>
      </c>
      <c r="P1312" s="6">
        <v>0.27160000000000001</v>
      </c>
      <c r="Q1312" s="5">
        <v>595666.9</v>
      </c>
      <c r="R1312" s="1" t="s">
        <v>44</v>
      </c>
      <c r="T1312" s="1" t="s">
        <v>93</v>
      </c>
      <c r="V1312" s="1" t="s">
        <v>1460</v>
      </c>
      <c r="Y1312" s="1" t="s">
        <v>346</v>
      </c>
      <c r="Z1312" s="1" t="str">
        <f t="shared" si="60"/>
        <v>4940 1504</v>
      </c>
      <c r="AA1312" s="3">
        <f>IF(INDEX('CAMD Facility Data 2023'!$AA$2:$AE$10000,MATCH(Z1312,'CAMD Facility Data 2023'!$AE$2:$AE$10000,0),1)&gt;0,INDEX('CAMD Facility Data 2023'!$AA$2:$AE$10000,MATCH(Z1312,'CAMD Facility Data 2023'!$AE$2:$AE$10000,0),1),"")</f>
        <v>39506</v>
      </c>
      <c r="AB1312" s="5">
        <f>IF(INDEX('CAMD Facility Data 2023'!$AC$2:$AE$10000,MATCH(Z1312,'CAMD Facility Data 2023'!$AE$2:$AE$10000,0),1)&gt;0,INDEX('CAMD Facility Data 2023'!$AC$2:$AE$10000,MATCH(Z1312,'CAMD Facility Data 2023'!$AE$2:$AE$10000,0),1),"")</f>
        <v>1150</v>
      </c>
      <c r="AC1312" s="1" t="str">
        <f>IF(INDEX('CAMD Facility Data 2023'!$AE$2:$AG$10000,MATCH(Z1312,'CAMD Facility Data 2023'!$AE$2:$AE$10000,0),3)&gt;0,INDEX('CAMD Facility Data 2023'!$AE$2:$AG$10000,MATCH(Z1312,'CAMD Facility Data 2023'!$AE$2:$AE$10000,0),3),"")</f>
        <v/>
      </c>
      <c r="AD1312" s="20">
        <f t="shared" si="61"/>
        <v>2.011516712638298</v>
      </c>
      <c r="AE1312" s="25">
        <f t="shared" si="62"/>
        <v>5.912913440540004E-2</v>
      </c>
    </row>
    <row r="1313" spans="1:31" x14ac:dyDescent="0.2">
      <c r="A1313" s="1" t="s">
        <v>1980</v>
      </c>
      <c r="B1313" s="1" t="s">
        <v>3299</v>
      </c>
      <c r="C1313" s="1">
        <v>5083</v>
      </c>
      <c r="D1313" s="1">
        <v>4001</v>
      </c>
      <c r="F1313" s="1">
        <v>2023</v>
      </c>
      <c r="G1313" s="5">
        <v>199</v>
      </c>
      <c r="H1313" s="5">
        <v>152.56</v>
      </c>
      <c r="I1313" s="5">
        <v>9914.85</v>
      </c>
      <c r="K1313" s="5">
        <v>4.2999999999999997E-2</v>
      </c>
      <c r="L1313" s="5">
        <v>1E-3</v>
      </c>
      <c r="M1313" s="5">
        <v>8530.4889999999996</v>
      </c>
      <c r="N1313" s="6">
        <v>5.9400000000000001E-2</v>
      </c>
      <c r="O1313" s="5">
        <v>4.891</v>
      </c>
      <c r="P1313" s="6">
        <v>6.7400000000000002E-2</v>
      </c>
      <c r="Q1313" s="5">
        <v>143154.024</v>
      </c>
      <c r="R1313" s="1" t="s">
        <v>44</v>
      </c>
      <c r="S1313" s="1" t="s">
        <v>94</v>
      </c>
      <c r="T1313" s="1" t="s">
        <v>93</v>
      </c>
      <c r="V1313" s="1" t="s">
        <v>95</v>
      </c>
      <c r="Y1313" s="1" t="s">
        <v>1528</v>
      </c>
      <c r="Z1313" s="1" t="str">
        <f t="shared" si="60"/>
        <v>5083 4001</v>
      </c>
      <c r="AA1313" s="3">
        <f>IF(INDEX('CAMD Facility Data 2023'!$AA$2:$AE$10000,MATCH(Z1313,'CAMD Facility Data 2023'!$AE$2:$AE$10000,0),1)&gt;0,INDEX('CAMD Facility Data 2023'!$AA$2:$AE$10000,MATCH(Z1313,'CAMD Facility Data 2023'!$AE$2:$AE$10000,0),1),"")</f>
        <v>33024</v>
      </c>
      <c r="AB1313" s="5">
        <f>IF(INDEX('CAMD Facility Data 2023'!$AC$2:$AE$10000,MATCH(Z1313,'CAMD Facility Data 2023'!$AE$2:$AE$10000,0),1)&gt;0,INDEX('CAMD Facility Data 2023'!$AC$2:$AE$10000,MATCH(Z1313,'CAMD Facility Data 2023'!$AE$2:$AE$10000,0),1),"")</f>
        <v>1214</v>
      </c>
      <c r="AC1313" s="1" t="str">
        <f>IF(INDEX('CAMD Facility Data 2023'!$AE$2:$AG$10000,MATCH(Z1313,'CAMD Facility Data 2023'!$AE$2:$AE$10000,0),3)&gt;0,INDEX('CAMD Facility Data 2023'!$AE$2:$AG$10000,MATCH(Z1313,'CAMD Facility Data 2023'!$AE$2:$AE$10000,0),3),"")</f>
        <v/>
      </c>
      <c r="AD1313" s="20">
        <f t="shared" si="61"/>
        <v>0.98660090672072698</v>
      </c>
      <c r="AE1313" s="25">
        <f t="shared" si="62"/>
        <v>1.3461106722935615E-2</v>
      </c>
    </row>
    <row r="1314" spans="1:31" x14ac:dyDescent="0.2">
      <c r="A1314" s="1" t="s">
        <v>1980</v>
      </c>
      <c r="B1314" s="1" t="s">
        <v>3299</v>
      </c>
      <c r="C1314" s="1">
        <v>5083</v>
      </c>
      <c r="D1314" s="1">
        <v>5001</v>
      </c>
      <c r="F1314" s="1">
        <v>2023</v>
      </c>
      <c r="G1314" s="5">
        <v>799</v>
      </c>
      <c r="H1314" s="5">
        <v>667.43</v>
      </c>
      <c r="I1314" s="5">
        <v>58685.19</v>
      </c>
      <c r="K1314" s="5">
        <v>0.16200000000000001</v>
      </c>
      <c r="L1314" s="5">
        <v>1E-3</v>
      </c>
      <c r="M1314" s="5">
        <v>32078.882000000001</v>
      </c>
      <c r="N1314" s="6">
        <v>5.9299999999999999E-2</v>
      </c>
      <c r="O1314" s="5">
        <v>2.8370000000000002</v>
      </c>
      <c r="P1314" s="6">
        <v>1.6500000000000001E-2</v>
      </c>
      <c r="Q1314" s="5">
        <v>539225.87300000002</v>
      </c>
      <c r="R1314" s="1" t="s">
        <v>44</v>
      </c>
      <c r="S1314" s="1" t="s">
        <v>94</v>
      </c>
      <c r="T1314" s="1" t="s">
        <v>93</v>
      </c>
      <c r="V1314" s="1" t="s">
        <v>176</v>
      </c>
      <c r="Y1314" s="1" t="s">
        <v>1515</v>
      </c>
      <c r="Z1314" s="1" t="str">
        <f t="shared" si="60"/>
        <v>5083 5001</v>
      </c>
      <c r="AA1314" s="3">
        <f>IF(INDEX('CAMD Facility Data 2023'!$AA$2:$AE$10000,MATCH(Z1314,'CAMD Facility Data 2023'!$AE$2:$AE$10000,0),1)&gt;0,INDEX('CAMD Facility Data 2023'!$AA$2:$AE$10000,MATCH(Z1314,'CAMD Facility Data 2023'!$AE$2:$AE$10000,0),1),"")</f>
        <v>39940</v>
      </c>
      <c r="AB1314" s="5">
        <f>IF(INDEX('CAMD Facility Data 2023'!$AC$2:$AE$10000,MATCH(Z1314,'CAMD Facility Data 2023'!$AE$2:$AE$10000,0),1)&gt;0,INDEX('CAMD Facility Data 2023'!$AC$2:$AE$10000,MATCH(Z1314,'CAMD Facility Data 2023'!$AE$2:$AE$10000,0),1),"")</f>
        <v>1150</v>
      </c>
      <c r="AC1314" s="1" t="str">
        <f>IF(INDEX('CAMD Facility Data 2023'!$AE$2:$AG$10000,MATCH(Z1314,'CAMD Facility Data 2023'!$AE$2:$AE$10000,0),3)&gt;0,INDEX('CAMD Facility Data 2023'!$AE$2:$AG$10000,MATCH(Z1314,'CAMD Facility Data 2023'!$AE$2:$AE$10000,0),3),"")</f>
        <v>Y</v>
      </c>
      <c r="AD1314" s="20">
        <f t="shared" si="61"/>
        <v>9.6685381780309471E-2</v>
      </c>
      <c r="AE1314" s="25">
        <f t="shared" si="62"/>
        <v>5.3526491264641651E-2</v>
      </c>
    </row>
    <row r="1315" spans="1:31" x14ac:dyDescent="0.2">
      <c r="A1315" s="1" t="s">
        <v>32</v>
      </c>
      <c r="B1315" s="1" t="s">
        <v>3303</v>
      </c>
      <c r="C1315" s="1">
        <v>6002</v>
      </c>
      <c r="D1315" s="1">
        <v>1</v>
      </c>
      <c r="F1315" s="1">
        <v>2023</v>
      </c>
      <c r="G1315" s="5">
        <v>7231</v>
      </c>
      <c r="H1315" s="5">
        <v>7226.75</v>
      </c>
      <c r="I1315" s="5">
        <v>3671968</v>
      </c>
      <c r="K1315" s="5">
        <v>212.10300000000001</v>
      </c>
      <c r="L1315" s="5">
        <v>1.6E-2</v>
      </c>
      <c r="M1315" s="5">
        <v>3894002.7749999999</v>
      </c>
      <c r="N1315" s="6">
        <v>0.105</v>
      </c>
      <c r="O1315" s="5">
        <v>1239.2470000000001</v>
      </c>
      <c r="P1315" s="6">
        <v>6.6100000000000006E-2</v>
      </c>
      <c r="Q1315" s="5">
        <v>37128191.125</v>
      </c>
      <c r="R1315" s="1" t="s">
        <v>55</v>
      </c>
      <c r="S1315" s="1" t="s">
        <v>341</v>
      </c>
      <c r="T1315" s="1" t="s">
        <v>89</v>
      </c>
      <c r="U1315" s="1" t="s">
        <v>56</v>
      </c>
      <c r="V1315" s="1" t="s">
        <v>3306</v>
      </c>
      <c r="W1315" s="1" t="s">
        <v>58</v>
      </c>
      <c r="X1315" s="1" t="s">
        <v>59</v>
      </c>
      <c r="Y1315" s="1" t="s">
        <v>54</v>
      </c>
      <c r="Z1315" s="1" t="str">
        <f t="shared" si="60"/>
        <v>6002 1</v>
      </c>
      <c r="AA1315" s="3">
        <f>IF(INDEX('CAMD Facility Data 2023'!$AA$2:$AE$10000,MATCH(Z1315,'CAMD Facility Data 2023'!$AE$2:$AE$10000,0),1)&gt;0,INDEX('CAMD Facility Data 2023'!$AA$2:$AE$10000,MATCH(Z1315,'CAMD Facility Data 2023'!$AE$2:$AE$10000,0),1),"")</f>
        <v>28775</v>
      </c>
      <c r="AB1315" s="5">
        <f>IF(INDEX('CAMD Facility Data 2023'!$AC$2:$AE$10000,MATCH(Z1315,'CAMD Facility Data 2023'!$AE$2:$AE$10000,0),1)&gt;0,INDEX('CAMD Facility Data 2023'!$AC$2:$AE$10000,MATCH(Z1315,'CAMD Facility Data 2023'!$AE$2:$AE$10000,0),1),"")</f>
        <v>11845</v>
      </c>
      <c r="AC1315" s="1" t="str">
        <f>IF(INDEX('CAMD Facility Data 2023'!$AE$2:$AG$10000,MATCH(Z1315,'CAMD Facility Data 2023'!$AE$2:$AE$10000,0),3)&gt;0,INDEX('CAMD Facility Data 2023'!$AE$2:$AG$10000,MATCH(Z1315,'CAMD Facility Data 2023'!$AE$2:$AE$10000,0),3),"")</f>
        <v>Y</v>
      </c>
      <c r="AD1315" s="20">
        <f t="shared" si="61"/>
        <v>0.6749770150502401</v>
      </c>
      <c r="AE1315" s="25">
        <f t="shared" si="62"/>
        <v>0.35782000694858052</v>
      </c>
    </row>
    <row r="1316" spans="1:31" x14ac:dyDescent="0.2">
      <c r="A1316" s="1" t="s">
        <v>32</v>
      </c>
      <c r="B1316" s="1" t="s">
        <v>3303</v>
      </c>
      <c r="C1316" s="1">
        <v>6002</v>
      </c>
      <c r="D1316" s="1">
        <v>2</v>
      </c>
      <c r="F1316" s="1">
        <v>2023</v>
      </c>
      <c r="G1316" s="5">
        <v>7147</v>
      </c>
      <c r="H1316" s="5">
        <v>7139.75</v>
      </c>
      <c r="I1316" s="5">
        <v>3779352.25</v>
      </c>
      <c r="K1316" s="5">
        <v>142.86199999999999</v>
      </c>
      <c r="L1316" s="5">
        <v>1.29E-2</v>
      </c>
      <c r="M1316" s="5">
        <v>4039641.95</v>
      </c>
      <c r="N1316" s="6">
        <v>0.105</v>
      </c>
      <c r="O1316" s="5">
        <v>1282.0419999999999</v>
      </c>
      <c r="P1316" s="6">
        <v>6.6799999999999998E-2</v>
      </c>
      <c r="Q1316" s="5">
        <v>38516811.975000001</v>
      </c>
      <c r="R1316" s="1" t="s">
        <v>55</v>
      </c>
      <c r="S1316" s="1" t="s">
        <v>341</v>
      </c>
      <c r="T1316" s="1" t="s">
        <v>89</v>
      </c>
      <c r="U1316" s="1" t="s">
        <v>56</v>
      </c>
      <c r="V1316" s="1" t="s">
        <v>3306</v>
      </c>
      <c r="W1316" s="1" t="s">
        <v>58</v>
      </c>
      <c r="X1316" s="1" t="s">
        <v>59</v>
      </c>
      <c r="Y1316" s="1" t="s">
        <v>54</v>
      </c>
      <c r="Z1316" s="1" t="str">
        <f t="shared" si="60"/>
        <v>6002 2</v>
      </c>
      <c r="AA1316" s="3">
        <f>IF(INDEX('CAMD Facility Data 2023'!$AA$2:$AE$10000,MATCH(Z1316,'CAMD Facility Data 2023'!$AE$2:$AE$10000,0),1)&gt;0,INDEX('CAMD Facility Data 2023'!$AA$2:$AE$10000,MATCH(Z1316,'CAMD Facility Data 2023'!$AE$2:$AE$10000,0),1),"")</f>
        <v>31168</v>
      </c>
      <c r="AB1316" s="5">
        <f>IF(INDEX('CAMD Facility Data 2023'!$AC$2:$AE$10000,MATCH(Z1316,'CAMD Facility Data 2023'!$AE$2:$AE$10000,0),1)&gt;0,INDEX('CAMD Facility Data 2023'!$AC$2:$AE$10000,MATCH(Z1316,'CAMD Facility Data 2023'!$AE$2:$AE$10000,0),1),"")</f>
        <v>10117</v>
      </c>
      <c r="AC1316" s="1" t="str">
        <f>IF(INDEX('CAMD Facility Data 2023'!$AE$2:$AG$10000,MATCH(Z1316,'CAMD Facility Data 2023'!$AE$2:$AE$10000,0),3)&gt;0,INDEX('CAMD Facility Data 2023'!$AE$2:$AG$10000,MATCH(Z1316,'CAMD Facility Data 2023'!$AE$2:$AE$10000,0),3),"")</f>
        <v>Y</v>
      </c>
      <c r="AD1316" s="20">
        <f t="shared" si="61"/>
        <v>0.67844536057733174</v>
      </c>
      <c r="AE1316" s="25">
        <f t="shared" si="62"/>
        <v>0.43460475874054388</v>
      </c>
    </row>
    <row r="1317" spans="1:31" x14ac:dyDescent="0.2">
      <c r="A1317" s="1" t="s">
        <v>32</v>
      </c>
      <c r="B1317" s="1" t="s">
        <v>3303</v>
      </c>
      <c r="C1317" s="1">
        <v>6002</v>
      </c>
      <c r="D1317" s="1">
        <v>3</v>
      </c>
      <c r="F1317" s="1">
        <v>2023</v>
      </c>
      <c r="G1317" s="5">
        <v>8721</v>
      </c>
      <c r="H1317" s="5">
        <v>8718.5</v>
      </c>
      <c r="I1317" s="5">
        <v>4781800.5</v>
      </c>
      <c r="K1317" s="5">
        <v>226.44399999999999</v>
      </c>
      <c r="L1317" s="5">
        <v>9.1999999999999998E-3</v>
      </c>
      <c r="M1317" s="5">
        <v>5112281.875</v>
      </c>
      <c r="N1317" s="6">
        <v>0.105</v>
      </c>
      <c r="O1317" s="5">
        <v>1562.154</v>
      </c>
      <c r="P1317" s="6">
        <v>6.3399999999999998E-2</v>
      </c>
      <c r="Q1317" s="5">
        <v>48744083.649999999</v>
      </c>
      <c r="R1317" s="1" t="s">
        <v>55</v>
      </c>
      <c r="S1317" s="1" t="s">
        <v>341</v>
      </c>
      <c r="T1317" s="1" t="s">
        <v>89</v>
      </c>
      <c r="U1317" s="1" t="s">
        <v>56</v>
      </c>
      <c r="V1317" s="1" t="s">
        <v>3306</v>
      </c>
      <c r="W1317" s="1" t="s">
        <v>58</v>
      </c>
      <c r="X1317" s="1" t="s">
        <v>59</v>
      </c>
      <c r="Y1317" s="1" t="s">
        <v>54</v>
      </c>
      <c r="Z1317" s="1" t="str">
        <f t="shared" si="60"/>
        <v>6002 3</v>
      </c>
      <c r="AA1317" s="3">
        <f>IF(INDEX('CAMD Facility Data 2023'!$AA$2:$AE$10000,MATCH(Z1317,'CAMD Facility Data 2023'!$AE$2:$AE$10000,0),1)&gt;0,INDEX('CAMD Facility Data 2023'!$AA$2:$AE$10000,MATCH(Z1317,'CAMD Facility Data 2023'!$AE$2:$AE$10000,0),1),"")</f>
        <v>32629</v>
      </c>
      <c r="AB1317" s="5">
        <f>IF(INDEX('CAMD Facility Data 2023'!$AC$2:$AE$10000,MATCH(Z1317,'CAMD Facility Data 2023'!$AE$2:$AE$10000,0),1)&gt;0,INDEX('CAMD Facility Data 2023'!$AC$2:$AE$10000,MATCH(Z1317,'CAMD Facility Data 2023'!$AE$2:$AE$10000,0),1),"")</f>
        <v>10975</v>
      </c>
      <c r="AC1317" s="1" t="str">
        <f>IF(INDEX('CAMD Facility Data 2023'!$AE$2:$AG$10000,MATCH(Z1317,'CAMD Facility Data 2023'!$AE$2:$AE$10000,0),3)&gt;0,INDEX('CAMD Facility Data 2023'!$AE$2:$AG$10000,MATCH(Z1317,'CAMD Facility Data 2023'!$AE$2:$AE$10000,0),3),"")</f>
        <v>Y</v>
      </c>
      <c r="AD1317" s="20">
        <f t="shared" si="61"/>
        <v>0.65337481143347576</v>
      </c>
      <c r="AE1317" s="25">
        <f t="shared" si="62"/>
        <v>0.50700620598912016</v>
      </c>
    </row>
    <row r="1318" spans="1:31" x14ac:dyDescent="0.2">
      <c r="A1318" s="1" t="s">
        <v>32</v>
      </c>
      <c r="B1318" s="1" t="s">
        <v>3303</v>
      </c>
      <c r="C1318" s="1">
        <v>6002</v>
      </c>
      <c r="D1318" s="1">
        <v>4</v>
      </c>
      <c r="F1318" s="1">
        <v>2023</v>
      </c>
      <c r="G1318" s="5">
        <v>8690</v>
      </c>
      <c r="H1318" s="5">
        <v>8686.75</v>
      </c>
      <c r="I1318" s="5">
        <v>4759583.75</v>
      </c>
      <c r="K1318" s="5">
        <v>195.792</v>
      </c>
      <c r="L1318" s="5">
        <v>8.2000000000000007E-3</v>
      </c>
      <c r="M1318" s="5">
        <v>5063251.7</v>
      </c>
      <c r="N1318" s="6">
        <v>0.105</v>
      </c>
      <c r="O1318" s="5">
        <v>1594.9169999999999</v>
      </c>
      <c r="P1318" s="6">
        <v>6.6199999999999995E-2</v>
      </c>
      <c r="Q1318" s="5">
        <v>48276618.674999997</v>
      </c>
      <c r="R1318" s="1" t="s">
        <v>55</v>
      </c>
      <c r="S1318" s="1" t="s">
        <v>341</v>
      </c>
      <c r="T1318" s="1" t="s">
        <v>89</v>
      </c>
      <c r="U1318" s="1" t="s">
        <v>56</v>
      </c>
      <c r="V1318" s="1" t="s">
        <v>3306</v>
      </c>
      <c r="W1318" s="1" t="s">
        <v>58</v>
      </c>
      <c r="X1318" s="1" t="s">
        <v>59</v>
      </c>
      <c r="Y1318" s="1" t="s">
        <v>54</v>
      </c>
      <c r="Z1318" s="1" t="str">
        <f t="shared" si="60"/>
        <v>6002 4</v>
      </c>
      <c r="AA1318" s="3">
        <f>IF(INDEX('CAMD Facility Data 2023'!$AA$2:$AE$10000,MATCH(Z1318,'CAMD Facility Data 2023'!$AE$2:$AE$10000,0),1)&gt;0,INDEX('CAMD Facility Data 2023'!$AA$2:$AE$10000,MATCH(Z1318,'CAMD Facility Data 2023'!$AE$2:$AE$10000,0),1),"")</f>
        <v>33302</v>
      </c>
      <c r="AB1318" s="5">
        <f>IF(INDEX('CAMD Facility Data 2023'!$AC$2:$AE$10000,MATCH(Z1318,'CAMD Facility Data 2023'!$AE$2:$AE$10000,0),1)&gt;0,INDEX('CAMD Facility Data 2023'!$AC$2:$AE$10000,MATCH(Z1318,'CAMD Facility Data 2023'!$AE$2:$AE$10000,0),1),"")</f>
        <v>11520</v>
      </c>
      <c r="AC1318" s="1" t="str">
        <f>IF(INDEX('CAMD Facility Data 2023'!$AE$2:$AG$10000,MATCH(Z1318,'CAMD Facility Data 2023'!$AE$2:$AE$10000,0),3)&gt;0,INDEX('CAMD Facility Data 2023'!$AE$2:$AG$10000,MATCH(Z1318,'CAMD Facility Data 2023'!$AE$2:$AE$10000,0),3),"")</f>
        <v>Y</v>
      </c>
      <c r="AD1318" s="20">
        <f t="shared" si="61"/>
        <v>0.67019179986064958</v>
      </c>
      <c r="AE1318" s="25">
        <f t="shared" si="62"/>
        <v>0.4783879799574296</v>
      </c>
    </row>
    <row r="1319" spans="1:31" x14ac:dyDescent="0.2">
      <c r="A1319" s="1" t="s">
        <v>3140</v>
      </c>
      <c r="B1319" s="1" t="s">
        <v>3311</v>
      </c>
      <c r="C1319" s="1">
        <v>6004</v>
      </c>
      <c r="D1319" s="1">
        <v>1</v>
      </c>
      <c r="F1319" s="1">
        <v>2023</v>
      </c>
      <c r="G1319" s="5">
        <v>4439</v>
      </c>
      <c r="H1319" s="5">
        <v>4421.67</v>
      </c>
      <c r="I1319" s="5">
        <v>2488663.31</v>
      </c>
      <c r="K1319" s="5">
        <v>3054.5610000000001</v>
      </c>
      <c r="L1319" s="5">
        <v>0.28699999999999998</v>
      </c>
      <c r="M1319" s="5">
        <v>2395474.068</v>
      </c>
      <c r="N1319" s="6">
        <v>0.10290000000000001</v>
      </c>
      <c r="O1319" s="5">
        <v>2294.277</v>
      </c>
      <c r="P1319" s="6">
        <v>0.193</v>
      </c>
      <c r="Q1319" s="5">
        <v>23347712.537</v>
      </c>
      <c r="R1319" s="1" t="s">
        <v>55</v>
      </c>
      <c r="T1319" s="1" t="s">
        <v>89</v>
      </c>
      <c r="U1319" s="1" t="s">
        <v>241</v>
      </c>
      <c r="V1319" s="1" t="s">
        <v>639</v>
      </c>
      <c r="W1319" s="1" t="s">
        <v>58</v>
      </c>
      <c r="Y1319" s="1" t="s">
        <v>1353</v>
      </c>
      <c r="Z1319" s="1" t="str">
        <f t="shared" si="60"/>
        <v>6004 1</v>
      </c>
      <c r="AA1319" s="3">
        <f>IF(INDEX('CAMD Facility Data 2023'!$AA$2:$AE$10000,MATCH(Z1319,'CAMD Facility Data 2023'!$AE$2:$AE$10000,0),1)&gt;0,INDEX('CAMD Facility Data 2023'!$AA$2:$AE$10000,MATCH(Z1319,'CAMD Facility Data 2023'!$AE$2:$AE$10000,0),1),"")</f>
        <v>28856</v>
      </c>
      <c r="AB1319" s="5">
        <f>IF(INDEX('CAMD Facility Data 2023'!$AC$2:$AE$10000,MATCH(Z1319,'CAMD Facility Data 2023'!$AE$2:$AE$10000,0),1)&gt;0,INDEX('CAMD Facility Data 2023'!$AC$2:$AE$10000,MATCH(Z1319,'CAMD Facility Data 2023'!$AE$2:$AE$10000,0),1),"")</f>
        <v>8055</v>
      </c>
      <c r="AC1319" s="1" t="str">
        <f>IF(INDEX('CAMD Facility Data 2023'!$AE$2:$AG$10000,MATCH(Z1319,'CAMD Facility Data 2023'!$AE$2:$AE$10000,0),3)&gt;0,INDEX('CAMD Facility Data 2023'!$AE$2:$AG$10000,MATCH(Z1319,'CAMD Facility Data 2023'!$AE$2:$AE$10000,0),3),"")</f>
        <v>Y</v>
      </c>
      <c r="AD1319" s="20">
        <f t="shared" si="61"/>
        <v>1.8437825565082164</v>
      </c>
      <c r="AE1319" s="25">
        <f t="shared" si="62"/>
        <v>0.33088317669050393</v>
      </c>
    </row>
    <row r="1320" spans="1:31" x14ac:dyDescent="0.2">
      <c r="A1320" s="1" t="s">
        <v>3140</v>
      </c>
      <c r="B1320" s="1" t="s">
        <v>3311</v>
      </c>
      <c r="C1320" s="1">
        <v>6004</v>
      </c>
      <c r="D1320" s="1">
        <v>2</v>
      </c>
      <c r="F1320" s="1">
        <v>2023</v>
      </c>
      <c r="G1320" s="5">
        <v>4788</v>
      </c>
      <c r="H1320" s="5">
        <v>4771.8999999999996</v>
      </c>
      <c r="I1320" s="5">
        <v>2625491.48</v>
      </c>
      <c r="K1320" s="5">
        <v>3932.9409999999998</v>
      </c>
      <c r="L1320" s="5">
        <v>0.30990000000000001</v>
      </c>
      <c r="M1320" s="5">
        <v>2612093.5419999999</v>
      </c>
      <c r="N1320" s="6">
        <v>0.10290000000000001</v>
      </c>
      <c r="O1320" s="5">
        <v>2266.2829999999999</v>
      </c>
      <c r="P1320" s="6">
        <v>0.1759</v>
      </c>
      <c r="Q1320" s="5">
        <v>25459002.963</v>
      </c>
      <c r="R1320" s="1" t="s">
        <v>55</v>
      </c>
      <c r="T1320" s="1" t="s">
        <v>89</v>
      </c>
      <c r="U1320" s="1" t="s">
        <v>241</v>
      </c>
      <c r="V1320" s="1" t="s">
        <v>639</v>
      </c>
      <c r="W1320" s="1" t="s">
        <v>58</v>
      </c>
      <c r="Y1320" s="1" t="s">
        <v>1353</v>
      </c>
      <c r="Z1320" s="1" t="str">
        <f t="shared" si="60"/>
        <v>6004 2</v>
      </c>
      <c r="AA1320" s="3">
        <f>IF(INDEX('CAMD Facility Data 2023'!$AA$2:$AE$10000,MATCH(Z1320,'CAMD Facility Data 2023'!$AE$2:$AE$10000,0),1)&gt;0,INDEX('CAMD Facility Data 2023'!$AA$2:$AE$10000,MATCH(Z1320,'CAMD Facility Data 2023'!$AE$2:$AE$10000,0),1),"")</f>
        <v>29221</v>
      </c>
      <c r="AB1320" s="5">
        <f>IF(INDEX('CAMD Facility Data 2023'!$AC$2:$AE$10000,MATCH(Z1320,'CAMD Facility Data 2023'!$AE$2:$AE$10000,0),1)&gt;0,INDEX('CAMD Facility Data 2023'!$AC$2:$AE$10000,MATCH(Z1320,'CAMD Facility Data 2023'!$AE$2:$AE$10000,0),1),"")</f>
        <v>8800</v>
      </c>
      <c r="AC1320" s="1" t="str">
        <f>IF(INDEX('CAMD Facility Data 2023'!$AE$2:$AG$10000,MATCH(Z1320,'CAMD Facility Data 2023'!$AE$2:$AE$10000,0),3)&gt;0,INDEX('CAMD Facility Data 2023'!$AE$2:$AG$10000,MATCH(Z1320,'CAMD Facility Data 2023'!$AE$2:$AE$10000,0),3),"")</f>
        <v>Y</v>
      </c>
      <c r="AD1320" s="20">
        <f t="shared" si="61"/>
        <v>1.7263685807123625</v>
      </c>
      <c r="AE1320" s="25">
        <f t="shared" si="62"/>
        <v>0.3302589633016812</v>
      </c>
    </row>
    <row r="1321" spans="1:31" x14ac:dyDescent="0.2">
      <c r="A1321" s="1" t="s">
        <v>348</v>
      </c>
      <c r="B1321" s="1" t="s">
        <v>3316</v>
      </c>
      <c r="C1321" s="1">
        <v>6009</v>
      </c>
      <c r="D1321" s="1">
        <v>1</v>
      </c>
      <c r="F1321" s="1">
        <v>2023</v>
      </c>
      <c r="G1321" s="5">
        <v>3049</v>
      </c>
      <c r="H1321" s="5">
        <v>3043.03</v>
      </c>
      <c r="I1321" s="5">
        <v>1321699.3600000001</v>
      </c>
      <c r="K1321" s="5">
        <v>3480.7660000000001</v>
      </c>
      <c r="L1321" s="5">
        <v>0.4355</v>
      </c>
      <c r="M1321" s="5">
        <v>1602500.3689999999</v>
      </c>
      <c r="N1321" s="6">
        <v>0.1043</v>
      </c>
      <c r="O1321" s="5">
        <v>1164.838</v>
      </c>
      <c r="P1321" s="6">
        <v>0.15529999999999999</v>
      </c>
      <c r="Q1321" s="5">
        <v>15287807.089</v>
      </c>
      <c r="R1321" s="1" t="s">
        <v>55</v>
      </c>
      <c r="S1321" s="1" t="s">
        <v>173</v>
      </c>
      <c r="T1321" s="1" t="s">
        <v>43</v>
      </c>
      <c r="V1321" s="1" t="s">
        <v>242</v>
      </c>
      <c r="W1321" s="1" t="s">
        <v>58</v>
      </c>
      <c r="X1321" s="1" t="s">
        <v>937</v>
      </c>
      <c r="Y1321" s="1" t="s">
        <v>337</v>
      </c>
      <c r="Z1321" s="1" t="str">
        <f t="shared" si="60"/>
        <v>6009 1</v>
      </c>
      <c r="AA1321" s="3">
        <f>IF(INDEX('CAMD Facility Data 2023'!$AA$2:$AE$10000,MATCH(Z1321,'CAMD Facility Data 2023'!$AE$2:$AE$10000,0),1)&gt;0,INDEX('CAMD Facility Data 2023'!$AA$2:$AE$10000,MATCH(Z1321,'CAMD Facility Data 2023'!$AE$2:$AE$10000,0),1),"")</f>
        <v>29455</v>
      </c>
      <c r="AB1321" s="5">
        <f>IF(INDEX('CAMD Facility Data 2023'!$AC$2:$AE$10000,MATCH(Z1321,'CAMD Facility Data 2023'!$AE$2:$AE$10000,0),1)&gt;0,INDEX('CAMD Facility Data 2023'!$AC$2:$AE$10000,MATCH(Z1321,'CAMD Facility Data 2023'!$AE$2:$AE$10000,0),1),"")</f>
        <v>9950</v>
      </c>
      <c r="AC1321" s="1" t="str">
        <f>IF(INDEX('CAMD Facility Data 2023'!$AE$2:$AG$10000,MATCH(Z1321,'CAMD Facility Data 2023'!$AE$2:$AE$10000,0),3)&gt;0,INDEX('CAMD Facility Data 2023'!$AE$2:$AG$10000,MATCH(Z1321,'CAMD Facility Data 2023'!$AE$2:$AE$10000,0),3),"")</f>
        <v/>
      </c>
      <c r="AD1321" s="20">
        <f t="shared" si="61"/>
        <v>1.7626368526046647</v>
      </c>
      <c r="AE1321" s="25">
        <f t="shared" si="62"/>
        <v>0.17539532237672381</v>
      </c>
    </row>
    <row r="1322" spans="1:31" x14ac:dyDescent="0.2">
      <c r="A1322" s="1" t="s">
        <v>348</v>
      </c>
      <c r="B1322" s="1" t="s">
        <v>3316</v>
      </c>
      <c r="C1322" s="1">
        <v>6009</v>
      </c>
      <c r="D1322" s="1">
        <v>2</v>
      </c>
      <c r="F1322" s="1">
        <v>2023</v>
      </c>
      <c r="G1322" s="5">
        <v>5425</v>
      </c>
      <c r="H1322" s="5">
        <v>5415.96</v>
      </c>
      <c r="I1322" s="5">
        <v>2433095.4900000002</v>
      </c>
      <c r="K1322" s="5">
        <v>6036.4669999999996</v>
      </c>
      <c r="L1322" s="5">
        <v>0.44409999999999999</v>
      </c>
      <c r="M1322" s="5">
        <v>2747399.47</v>
      </c>
      <c r="N1322" s="6">
        <v>0.1046</v>
      </c>
      <c r="O1322" s="5">
        <v>2021.1590000000001</v>
      </c>
      <c r="P1322" s="6">
        <v>0.1668</v>
      </c>
      <c r="Q1322" s="5">
        <v>26204433.230999999</v>
      </c>
      <c r="R1322" s="1" t="s">
        <v>55</v>
      </c>
      <c r="S1322" s="1" t="s">
        <v>173</v>
      </c>
      <c r="T1322" s="1" t="s">
        <v>43</v>
      </c>
      <c r="V1322" s="1" t="s">
        <v>242</v>
      </c>
      <c r="W1322" s="1" t="s">
        <v>58</v>
      </c>
      <c r="X1322" s="1" t="s">
        <v>937</v>
      </c>
      <c r="Y1322" s="1" t="s">
        <v>337</v>
      </c>
      <c r="Z1322" s="1" t="str">
        <f t="shared" si="60"/>
        <v>6009 2</v>
      </c>
      <c r="AA1322" s="3">
        <f>IF(INDEX('CAMD Facility Data 2023'!$AA$2:$AE$10000,MATCH(Z1322,'CAMD Facility Data 2023'!$AE$2:$AE$10000,0),1)&gt;0,INDEX('CAMD Facility Data 2023'!$AA$2:$AE$10000,MATCH(Z1322,'CAMD Facility Data 2023'!$AE$2:$AE$10000,0),1),"")</f>
        <v>29790</v>
      </c>
      <c r="AB1322" s="5">
        <f>IF(INDEX('CAMD Facility Data 2023'!$AC$2:$AE$10000,MATCH(Z1322,'CAMD Facility Data 2023'!$AE$2:$AE$10000,0),1)&gt;0,INDEX('CAMD Facility Data 2023'!$AC$2:$AE$10000,MATCH(Z1322,'CAMD Facility Data 2023'!$AE$2:$AE$10000,0),1),"")</f>
        <v>10016</v>
      </c>
      <c r="AC1322" s="1" t="str">
        <f>IF(INDEX('CAMD Facility Data 2023'!$AE$2:$AG$10000,MATCH(Z1322,'CAMD Facility Data 2023'!$AE$2:$AE$10000,0),3)&gt;0,INDEX('CAMD Facility Data 2023'!$AE$2:$AG$10000,MATCH(Z1322,'CAMD Facility Data 2023'!$AE$2:$AE$10000,0),3),"")</f>
        <v/>
      </c>
      <c r="AD1322" s="20">
        <f t="shared" si="61"/>
        <v>1.6613889658724408</v>
      </c>
      <c r="AE1322" s="25">
        <f t="shared" si="62"/>
        <v>0.29865951043399053</v>
      </c>
    </row>
    <row r="1323" spans="1:31" x14ac:dyDescent="0.2">
      <c r="A1323" s="1" t="s">
        <v>370</v>
      </c>
      <c r="B1323" s="1" t="s">
        <v>3321</v>
      </c>
      <c r="C1323" s="1">
        <v>6013</v>
      </c>
      <c r="D1323" s="1">
        <v>1</v>
      </c>
      <c r="F1323" s="1">
        <v>2023</v>
      </c>
      <c r="G1323" s="5">
        <v>0</v>
      </c>
      <c r="H1323" s="5">
        <v>0</v>
      </c>
      <c r="R1323" s="1" t="s">
        <v>44</v>
      </c>
      <c r="T1323" s="1" t="s">
        <v>89</v>
      </c>
      <c r="V1323" s="1" t="s">
        <v>639</v>
      </c>
      <c r="Y1323" s="1" t="s">
        <v>247</v>
      </c>
      <c r="Z1323" s="1" t="str">
        <f t="shared" si="60"/>
        <v>6013 1</v>
      </c>
      <c r="AA1323" s="3">
        <f>IF(INDEX('CAMD Facility Data 2023'!$AA$2:$AE$10000,MATCH(Z1323,'CAMD Facility Data 2023'!$AE$2:$AE$10000,0),1)&gt;0,INDEX('CAMD Facility Data 2023'!$AA$2:$AE$10000,MATCH(Z1323,'CAMD Facility Data 2023'!$AE$2:$AE$10000,0),1),"")</f>
        <v>21186</v>
      </c>
      <c r="AB1323" s="5">
        <f>IF(INDEX('CAMD Facility Data 2023'!$AC$2:$AE$10000,MATCH(Z1323,'CAMD Facility Data 2023'!$AE$2:$AE$10000,0),1)&gt;0,INDEX('CAMD Facility Data 2023'!$AC$2:$AE$10000,MATCH(Z1323,'CAMD Facility Data 2023'!$AE$2:$AE$10000,0),1),"")</f>
        <v>552</v>
      </c>
      <c r="AC1323" s="1" t="str">
        <f>IF(INDEX('CAMD Facility Data 2023'!$AE$2:$AG$10000,MATCH(Z1323,'CAMD Facility Data 2023'!$AE$2:$AE$10000,0),3)&gt;0,INDEX('CAMD Facility Data 2023'!$AE$2:$AG$10000,MATCH(Z1323,'CAMD Facility Data 2023'!$AE$2:$AE$10000,0),3),"")</f>
        <v>Y</v>
      </c>
      <c r="AD1323" s="20" t="str">
        <f t="shared" si="61"/>
        <v/>
      </c>
      <c r="AE1323" s="25">
        <f t="shared" si="62"/>
        <v>0</v>
      </c>
    </row>
    <row r="1324" spans="1:31" x14ac:dyDescent="0.2">
      <c r="A1324" s="1" t="s">
        <v>370</v>
      </c>
      <c r="B1324" s="1" t="s">
        <v>3321</v>
      </c>
      <c r="C1324" s="1">
        <v>6013</v>
      </c>
      <c r="D1324" s="1">
        <v>2</v>
      </c>
      <c r="F1324" s="1">
        <v>2023</v>
      </c>
      <c r="G1324" s="5">
        <v>0</v>
      </c>
      <c r="H1324" s="5">
        <v>0</v>
      </c>
      <c r="R1324" s="1" t="s">
        <v>44</v>
      </c>
      <c r="T1324" s="1" t="s">
        <v>89</v>
      </c>
      <c r="V1324" s="1" t="s">
        <v>2996</v>
      </c>
      <c r="Y1324" s="1" t="s">
        <v>247</v>
      </c>
      <c r="Z1324" s="1" t="str">
        <f t="shared" si="60"/>
        <v>6013 2</v>
      </c>
      <c r="AA1324" s="3">
        <f>IF(INDEX('CAMD Facility Data 2023'!$AA$2:$AE$10000,MATCH(Z1324,'CAMD Facility Data 2023'!$AE$2:$AE$10000,0),1)&gt;0,INDEX('CAMD Facility Data 2023'!$AA$2:$AE$10000,MATCH(Z1324,'CAMD Facility Data 2023'!$AE$2:$AE$10000,0),1),"")</f>
        <v>23377</v>
      </c>
      <c r="AB1324" s="5">
        <f>IF(INDEX('CAMD Facility Data 2023'!$AC$2:$AE$10000,MATCH(Z1324,'CAMD Facility Data 2023'!$AE$2:$AE$10000,0),1)&gt;0,INDEX('CAMD Facility Data 2023'!$AC$2:$AE$10000,MATCH(Z1324,'CAMD Facility Data 2023'!$AE$2:$AE$10000,0),1),"")</f>
        <v>605</v>
      </c>
      <c r="AC1324" s="1" t="str">
        <f>IF(INDEX('CAMD Facility Data 2023'!$AE$2:$AG$10000,MATCH(Z1324,'CAMD Facility Data 2023'!$AE$2:$AE$10000,0),3)&gt;0,INDEX('CAMD Facility Data 2023'!$AE$2:$AG$10000,MATCH(Z1324,'CAMD Facility Data 2023'!$AE$2:$AE$10000,0),3),"")</f>
        <v>Y</v>
      </c>
      <c r="AD1324" s="20" t="str">
        <f t="shared" si="61"/>
        <v/>
      </c>
      <c r="AE1324" s="25">
        <f t="shared" si="62"/>
        <v>0</v>
      </c>
    </row>
    <row r="1325" spans="1:31" x14ac:dyDescent="0.2">
      <c r="A1325" s="1" t="s">
        <v>458</v>
      </c>
      <c r="B1325" s="1" t="s">
        <v>3325</v>
      </c>
      <c r="C1325" s="1">
        <v>6017</v>
      </c>
      <c r="D1325" s="1">
        <v>1</v>
      </c>
      <c r="F1325" s="1">
        <v>2023</v>
      </c>
      <c r="G1325" s="5">
        <v>7899</v>
      </c>
      <c r="H1325" s="5">
        <v>7888.1</v>
      </c>
      <c r="I1325" s="5">
        <v>3375064.06</v>
      </c>
      <c r="K1325" s="5">
        <v>7421.6180000000004</v>
      </c>
      <c r="L1325" s="5">
        <v>0.52149999999999996</v>
      </c>
      <c r="M1325" s="5">
        <v>3794291.5780000002</v>
      </c>
      <c r="N1325" s="6">
        <v>0.10489999999999999</v>
      </c>
      <c r="O1325" s="5">
        <v>2090.7530000000002</v>
      </c>
      <c r="P1325" s="6">
        <v>0.11550000000000001</v>
      </c>
      <c r="Q1325" s="5">
        <v>36177452.825000003</v>
      </c>
      <c r="R1325" s="1" t="s">
        <v>55</v>
      </c>
      <c r="T1325" s="1" t="s">
        <v>43</v>
      </c>
      <c r="V1325" s="1" t="s">
        <v>3329</v>
      </c>
      <c r="W1325" s="1" t="s">
        <v>58</v>
      </c>
      <c r="Y1325" s="1" t="s">
        <v>1005</v>
      </c>
      <c r="Z1325" s="1" t="str">
        <f t="shared" si="60"/>
        <v>6017 1</v>
      </c>
      <c r="AA1325" s="3">
        <f>IF(INDEX('CAMD Facility Data 2023'!$AA$2:$AE$10000,MATCH(Z1325,'CAMD Facility Data 2023'!$AE$2:$AE$10000,0),1)&gt;0,INDEX('CAMD Facility Data 2023'!$AA$2:$AE$10000,MATCH(Z1325,'CAMD Facility Data 2023'!$AE$2:$AE$10000,0),1),"")</f>
        <v>28447</v>
      </c>
      <c r="AB1325" s="5">
        <f>IF(INDEX('CAMD Facility Data 2023'!$AC$2:$AE$10000,MATCH(Z1325,'CAMD Facility Data 2023'!$AE$2:$AE$10000,0),1)&gt;0,INDEX('CAMD Facility Data 2023'!$AC$2:$AE$10000,MATCH(Z1325,'CAMD Facility Data 2023'!$AE$2:$AE$10000,0),1),"")</f>
        <v>7449</v>
      </c>
      <c r="AC1325" s="1" t="str">
        <f>IF(INDEX('CAMD Facility Data 2023'!$AE$2:$AG$10000,MATCH(Z1325,'CAMD Facility Data 2023'!$AE$2:$AE$10000,0),3)&gt;0,INDEX('CAMD Facility Data 2023'!$AE$2:$AG$10000,MATCH(Z1325,'CAMD Facility Data 2023'!$AE$2:$AE$10000,0),3),"")</f>
        <v/>
      </c>
      <c r="AD1325" s="20">
        <f t="shared" si="61"/>
        <v>1.2389412247185614</v>
      </c>
      <c r="AE1325" s="25">
        <f t="shared" si="62"/>
        <v>0.55441619182434476</v>
      </c>
    </row>
    <row r="1326" spans="1:31" x14ac:dyDescent="0.2">
      <c r="A1326" s="1" t="s">
        <v>165</v>
      </c>
      <c r="B1326" s="1" t="s">
        <v>3331</v>
      </c>
      <c r="C1326" s="1">
        <v>6018</v>
      </c>
      <c r="D1326" s="1">
        <v>2</v>
      </c>
      <c r="F1326" s="1">
        <v>2023</v>
      </c>
      <c r="G1326" s="5">
        <v>5960</v>
      </c>
      <c r="H1326" s="5">
        <v>5949</v>
      </c>
      <c r="I1326" s="5">
        <v>2456362.62</v>
      </c>
      <c r="K1326" s="5">
        <v>1562.3140000000001</v>
      </c>
      <c r="L1326" s="5">
        <v>0.1147</v>
      </c>
      <c r="M1326" s="5">
        <v>2727244.9019999998</v>
      </c>
      <c r="N1326" s="6">
        <v>0.10299999999999999</v>
      </c>
      <c r="O1326" s="5">
        <v>1410.0150000000001</v>
      </c>
      <c r="P1326" s="6">
        <v>0.1069</v>
      </c>
      <c r="Q1326" s="5">
        <v>26581377.568</v>
      </c>
      <c r="R1326" s="1" t="s">
        <v>55</v>
      </c>
      <c r="T1326" s="1" t="s">
        <v>89</v>
      </c>
      <c r="U1326" s="1" t="s">
        <v>241</v>
      </c>
      <c r="V1326" s="1" t="s">
        <v>872</v>
      </c>
      <c r="W1326" s="1" t="s">
        <v>331</v>
      </c>
      <c r="Y1326" s="1" t="s">
        <v>1353</v>
      </c>
      <c r="Z1326" s="1" t="str">
        <f t="shared" si="60"/>
        <v>6018 2</v>
      </c>
      <c r="AA1326" s="3">
        <f>IF(INDEX('CAMD Facility Data 2023'!$AA$2:$AE$10000,MATCH(Z1326,'CAMD Facility Data 2023'!$AE$2:$AE$10000,0),1)&gt;0,INDEX('CAMD Facility Data 2023'!$AA$2:$AE$10000,MATCH(Z1326,'CAMD Facility Data 2023'!$AE$2:$AE$10000,0),1),"")</f>
        <v>29669</v>
      </c>
      <c r="AB1326" s="5">
        <f>IF(INDEX('CAMD Facility Data 2023'!$AC$2:$AE$10000,MATCH(Z1326,'CAMD Facility Data 2023'!$AE$2:$AE$10000,0),1)&gt;0,INDEX('CAMD Facility Data 2023'!$AC$2:$AE$10000,MATCH(Z1326,'CAMD Facility Data 2023'!$AE$2:$AE$10000,0),1),"")</f>
        <v>7886</v>
      </c>
      <c r="AC1326" s="1" t="str">
        <f>IF(INDEX('CAMD Facility Data 2023'!$AE$2:$AG$10000,MATCH(Z1326,'CAMD Facility Data 2023'!$AE$2:$AE$10000,0),3)&gt;0,INDEX('CAMD Facility Data 2023'!$AE$2:$AG$10000,MATCH(Z1326,'CAMD Facility Data 2023'!$AE$2:$AE$10000,0),3),"")</f>
        <v>Y</v>
      </c>
      <c r="AD1326" s="20">
        <f t="shared" si="61"/>
        <v>1.1480511782091847</v>
      </c>
      <c r="AE1326" s="25">
        <f t="shared" si="62"/>
        <v>0.38478364595022446</v>
      </c>
    </row>
    <row r="1327" spans="1:31" x14ac:dyDescent="0.2">
      <c r="A1327" s="1" t="s">
        <v>516</v>
      </c>
      <c r="B1327" s="1" t="s">
        <v>3335</v>
      </c>
      <c r="C1327" s="1">
        <v>6021</v>
      </c>
      <c r="D1327" s="1" t="s">
        <v>3336</v>
      </c>
      <c r="F1327" s="1">
        <v>2023</v>
      </c>
      <c r="G1327" s="5">
        <v>8083</v>
      </c>
      <c r="H1327" s="5">
        <v>8072.47</v>
      </c>
      <c r="I1327" s="5">
        <v>2015029.49</v>
      </c>
      <c r="K1327" s="5">
        <v>526.92600000000004</v>
      </c>
      <c r="L1327" s="5">
        <v>4.7399999999999998E-2</v>
      </c>
      <c r="M1327" s="5">
        <v>2210610.216</v>
      </c>
      <c r="N1327" s="6">
        <v>0.105</v>
      </c>
      <c r="O1327" s="5">
        <v>2518.0309999999999</v>
      </c>
      <c r="P1327" s="6">
        <v>0.23369999999999999</v>
      </c>
      <c r="Q1327" s="5">
        <v>21077513.401999999</v>
      </c>
      <c r="R1327" s="1" t="s">
        <v>55</v>
      </c>
      <c r="S1327" s="1" t="s">
        <v>44</v>
      </c>
      <c r="T1327" s="1" t="s">
        <v>89</v>
      </c>
      <c r="U1327" s="1" t="s">
        <v>56</v>
      </c>
      <c r="V1327" s="1" t="s">
        <v>289</v>
      </c>
      <c r="W1327" s="1" t="s">
        <v>232</v>
      </c>
      <c r="Y1327" s="1" t="s">
        <v>236</v>
      </c>
      <c r="Z1327" s="1" t="str">
        <f t="shared" si="60"/>
        <v>6021 C1</v>
      </c>
      <c r="AA1327" s="3">
        <f>IF(INDEX('CAMD Facility Data 2023'!$AA$2:$AE$10000,MATCH(Z1327,'CAMD Facility Data 2023'!$AE$2:$AE$10000,0),1)&gt;0,INDEX('CAMD Facility Data 2023'!$AA$2:$AE$10000,MATCH(Z1327,'CAMD Facility Data 2023'!$AE$2:$AE$10000,0),1),"")</f>
        <v>29403</v>
      </c>
      <c r="AB1327" s="5">
        <f>IF(INDEX('CAMD Facility Data 2023'!$AC$2:$AE$10000,MATCH(Z1327,'CAMD Facility Data 2023'!$AE$2:$AE$10000,0),1)&gt;0,INDEX('CAMD Facility Data 2023'!$AC$2:$AE$10000,MATCH(Z1327,'CAMD Facility Data 2023'!$AE$2:$AE$10000,0),1),"")</f>
        <v>5300</v>
      </c>
      <c r="AC1327" s="1" t="str">
        <f>IF(INDEX('CAMD Facility Data 2023'!$AE$2:$AG$10000,MATCH(Z1327,'CAMD Facility Data 2023'!$AE$2:$AE$10000,0),3)&gt;0,INDEX('CAMD Facility Data 2023'!$AE$2:$AG$10000,MATCH(Z1327,'CAMD Facility Data 2023'!$AE$2:$AE$10000,0),3),"")</f>
        <v/>
      </c>
      <c r="AD1327" s="20">
        <f t="shared" si="61"/>
        <v>2.4992497752477063</v>
      </c>
      <c r="AE1327" s="25">
        <f t="shared" si="62"/>
        <v>0.45398279921599033</v>
      </c>
    </row>
    <row r="1328" spans="1:31" x14ac:dyDescent="0.2">
      <c r="A1328" s="1" t="s">
        <v>516</v>
      </c>
      <c r="B1328" s="1" t="s">
        <v>3335</v>
      </c>
      <c r="C1328" s="1">
        <v>6021</v>
      </c>
      <c r="D1328" s="1" t="s">
        <v>3340</v>
      </c>
      <c r="F1328" s="1">
        <v>2023</v>
      </c>
      <c r="G1328" s="5">
        <v>5582</v>
      </c>
      <c r="H1328" s="5">
        <v>5573.88</v>
      </c>
      <c r="I1328" s="5">
        <v>1245370.1299999999</v>
      </c>
      <c r="K1328" s="5">
        <v>282.48</v>
      </c>
      <c r="L1328" s="5">
        <v>3.8100000000000002E-2</v>
      </c>
      <c r="M1328" s="5">
        <v>1457229.0419999999</v>
      </c>
      <c r="N1328" s="6">
        <v>0.105</v>
      </c>
      <c r="O1328" s="5">
        <v>401.375</v>
      </c>
      <c r="P1328" s="6">
        <v>5.62E-2</v>
      </c>
      <c r="Q1328" s="5">
        <v>13894277.443</v>
      </c>
      <c r="R1328" s="1" t="s">
        <v>55</v>
      </c>
      <c r="S1328" s="1" t="s">
        <v>44</v>
      </c>
      <c r="T1328" s="1" t="s">
        <v>89</v>
      </c>
      <c r="U1328" s="1" t="s">
        <v>56</v>
      </c>
      <c r="V1328" s="1" t="s">
        <v>563</v>
      </c>
      <c r="W1328" s="1" t="s">
        <v>232</v>
      </c>
      <c r="Y1328" s="1" t="s">
        <v>236</v>
      </c>
      <c r="Z1328" s="1" t="str">
        <f t="shared" si="60"/>
        <v>6021 C2</v>
      </c>
      <c r="AA1328" s="3">
        <f>IF(INDEX('CAMD Facility Data 2023'!$AA$2:$AE$10000,MATCH(Z1328,'CAMD Facility Data 2023'!$AE$2:$AE$10000,0),1)&gt;0,INDEX('CAMD Facility Data 2023'!$AA$2:$AE$10000,MATCH(Z1328,'CAMD Facility Data 2023'!$AE$2:$AE$10000,0),1),"")</f>
        <v>29160</v>
      </c>
      <c r="AB1328" s="5">
        <f>IF(INDEX('CAMD Facility Data 2023'!$AC$2:$AE$10000,MATCH(Z1328,'CAMD Facility Data 2023'!$AE$2:$AE$10000,0),1)&gt;0,INDEX('CAMD Facility Data 2023'!$AC$2:$AE$10000,MATCH(Z1328,'CAMD Facility Data 2023'!$AE$2:$AE$10000,0),1),"")</f>
        <v>5300</v>
      </c>
      <c r="AC1328" s="1" t="str">
        <f>IF(INDEX('CAMD Facility Data 2023'!$AE$2:$AG$10000,MATCH(Z1328,'CAMD Facility Data 2023'!$AE$2:$AE$10000,0),3)&gt;0,INDEX('CAMD Facility Data 2023'!$AE$2:$AG$10000,MATCH(Z1328,'CAMD Facility Data 2023'!$AE$2:$AE$10000,0),3),"")</f>
        <v>Y</v>
      </c>
      <c r="AD1328" s="20">
        <f t="shared" si="61"/>
        <v>0.64458748500736895</v>
      </c>
      <c r="AE1328" s="25">
        <f t="shared" si="62"/>
        <v>0.29926504357284395</v>
      </c>
    </row>
    <row r="1329" spans="1:31" x14ac:dyDescent="0.2">
      <c r="A1329" s="1" t="s">
        <v>516</v>
      </c>
      <c r="B1329" s="1" t="s">
        <v>3335</v>
      </c>
      <c r="C1329" s="1">
        <v>6021</v>
      </c>
      <c r="D1329" s="1" t="s">
        <v>3342</v>
      </c>
      <c r="F1329" s="1">
        <v>2023</v>
      </c>
      <c r="G1329" s="5">
        <v>7624</v>
      </c>
      <c r="H1329" s="5">
        <v>7611.42</v>
      </c>
      <c r="I1329" s="5">
        <v>1981366.4</v>
      </c>
      <c r="K1329" s="5">
        <v>1195.702</v>
      </c>
      <c r="L1329" s="5">
        <v>0.11700000000000001</v>
      </c>
      <c r="M1329" s="5">
        <v>2135790.307</v>
      </c>
      <c r="N1329" s="6">
        <v>0.105</v>
      </c>
      <c r="O1329" s="5">
        <v>2131.88</v>
      </c>
      <c r="P1329" s="6">
        <v>0.20230000000000001</v>
      </c>
      <c r="Q1329" s="5">
        <v>20364134.443999998</v>
      </c>
      <c r="R1329" s="1" t="s">
        <v>55</v>
      </c>
      <c r="S1329" s="1" t="s">
        <v>44</v>
      </c>
      <c r="T1329" s="1" t="s">
        <v>89</v>
      </c>
      <c r="U1329" s="1" t="s">
        <v>212</v>
      </c>
      <c r="V1329" s="1" t="s">
        <v>1221</v>
      </c>
      <c r="W1329" s="1" t="s">
        <v>232</v>
      </c>
      <c r="Y1329" s="1" t="s">
        <v>236</v>
      </c>
      <c r="Z1329" s="1" t="str">
        <f t="shared" si="60"/>
        <v>6021 C3</v>
      </c>
      <c r="AA1329" s="3">
        <f>IF(INDEX('CAMD Facility Data 2023'!$AA$2:$AE$10000,MATCH(Z1329,'CAMD Facility Data 2023'!$AE$2:$AE$10000,0),1)&gt;0,INDEX('CAMD Facility Data 2023'!$AA$2:$AE$10000,MATCH(Z1329,'CAMD Facility Data 2023'!$AE$2:$AE$10000,0),1),"")</f>
        <v>30956</v>
      </c>
      <c r="AB1329" s="5">
        <f>IF(INDEX('CAMD Facility Data 2023'!$AC$2:$AE$10000,MATCH(Z1329,'CAMD Facility Data 2023'!$AE$2:$AE$10000,0),1)&gt;0,INDEX('CAMD Facility Data 2023'!$AC$2:$AE$10000,MATCH(Z1329,'CAMD Facility Data 2023'!$AE$2:$AE$10000,0),1),"")</f>
        <v>5500</v>
      </c>
      <c r="AC1329" s="1" t="str">
        <f>IF(INDEX('CAMD Facility Data 2023'!$AE$2:$AG$10000,MATCH(Z1329,'CAMD Facility Data 2023'!$AE$2:$AE$10000,0),3)&gt;0,INDEX('CAMD Facility Data 2023'!$AE$2:$AG$10000,MATCH(Z1329,'CAMD Facility Data 2023'!$AE$2:$AE$10000,0),3),"")</f>
        <v>Y</v>
      </c>
      <c r="AD1329" s="20">
        <f t="shared" si="61"/>
        <v>2.1519290929734147</v>
      </c>
      <c r="AE1329" s="25">
        <f t="shared" si="62"/>
        <v>0.42266779667911991</v>
      </c>
    </row>
    <row r="1330" spans="1:31" x14ac:dyDescent="0.2">
      <c r="A1330" s="1" t="s">
        <v>2411</v>
      </c>
      <c r="B1330" s="1" t="s">
        <v>3345</v>
      </c>
      <c r="C1330" s="1">
        <v>6030</v>
      </c>
      <c r="D1330" s="1">
        <v>1</v>
      </c>
      <c r="F1330" s="1">
        <v>2023</v>
      </c>
      <c r="G1330" s="5">
        <v>6315</v>
      </c>
      <c r="H1330" s="5">
        <v>6297</v>
      </c>
      <c r="I1330" s="5">
        <v>3168080.8</v>
      </c>
      <c r="K1330" s="5">
        <v>2258.2489999999998</v>
      </c>
      <c r="L1330" s="5">
        <v>0.13900000000000001</v>
      </c>
      <c r="M1330" s="5">
        <v>3476895.8059999999</v>
      </c>
      <c r="N1330" s="6">
        <v>0.109</v>
      </c>
      <c r="O1330" s="5">
        <v>2030.8630000000001</v>
      </c>
      <c r="P1330" s="6">
        <v>0.1273</v>
      </c>
      <c r="Q1330" s="5">
        <v>31936202.147999998</v>
      </c>
      <c r="R1330" s="1" t="s">
        <v>55</v>
      </c>
      <c r="T1330" s="1" t="s">
        <v>43</v>
      </c>
      <c r="U1330" s="1" t="s">
        <v>241</v>
      </c>
      <c r="V1330" s="1" t="s">
        <v>213</v>
      </c>
      <c r="W1330" s="1" t="s">
        <v>58</v>
      </c>
      <c r="X1330" s="1" t="s">
        <v>937</v>
      </c>
      <c r="Y1330" s="1" t="s">
        <v>236</v>
      </c>
      <c r="Z1330" s="1" t="str">
        <f t="shared" si="60"/>
        <v>6030 1</v>
      </c>
      <c r="AA1330" s="3">
        <f>IF(INDEX('CAMD Facility Data 2023'!$AA$2:$AE$10000,MATCH(Z1330,'CAMD Facility Data 2023'!$AE$2:$AE$10000,0),1)&gt;0,INDEX('CAMD Facility Data 2023'!$AA$2:$AE$10000,MATCH(Z1330,'CAMD Facility Data 2023'!$AE$2:$AE$10000,0),1),"")</f>
        <v>29097</v>
      </c>
      <c r="AB1330" s="5">
        <f>IF(INDEX('CAMD Facility Data 2023'!$AC$2:$AE$10000,MATCH(Z1330,'CAMD Facility Data 2023'!$AE$2:$AE$10000,0),1)&gt;0,INDEX('CAMD Facility Data 2023'!$AC$2:$AE$10000,MATCH(Z1330,'CAMD Facility Data 2023'!$AE$2:$AE$10000,0),1),"")</f>
        <v>6238</v>
      </c>
      <c r="AC1330" s="1" t="str">
        <f>IF(INDEX('CAMD Facility Data 2023'!$AE$2:$AG$10000,MATCH(Z1330,'CAMD Facility Data 2023'!$AE$2:$AE$10000,0),3)&gt;0,INDEX('CAMD Facility Data 2023'!$AE$2:$AG$10000,MATCH(Z1330,'CAMD Facility Data 2023'!$AE$2:$AE$10000,0),3),"")</f>
        <v/>
      </c>
      <c r="AD1330" s="20">
        <f t="shared" si="61"/>
        <v>1.282077780339441</v>
      </c>
      <c r="AE1330" s="25">
        <f t="shared" si="62"/>
        <v>0.58443173720941466</v>
      </c>
    </row>
    <row r="1331" spans="1:31" x14ac:dyDescent="0.2">
      <c r="A1331" s="1" t="s">
        <v>2411</v>
      </c>
      <c r="B1331" s="1" t="s">
        <v>3345</v>
      </c>
      <c r="C1331" s="1">
        <v>6030</v>
      </c>
      <c r="D1331" s="1">
        <v>2</v>
      </c>
      <c r="F1331" s="1">
        <v>2023</v>
      </c>
      <c r="G1331" s="5">
        <v>8377</v>
      </c>
      <c r="H1331" s="5">
        <v>8367.0300000000007</v>
      </c>
      <c r="I1331" s="5">
        <v>4610647.4400000004</v>
      </c>
      <c r="K1331" s="5">
        <v>3287.971</v>
      </c>
      <c r="L1331" s="5">
        <v>0.14349999999999999</v>
      </c>
      <c r="M1331" s="5">
        <v>4963860.9950000001</v>
      </c>
      <c r="N1331" s="6">
        <v>0.109</v>
      </c>
      <c r="O1331" s="5">
        <v>2870.471</v>
      </c>
      <c r="P1331" s="6">
        <v>0.12609999999999999</v>
      </c>
      <c r="Q1331" s="5">
        <v>45594374.174000002</v>
      </c>
      <c r="R1331" s="1" t="s">
        <v>55</v>
      </c>
      <c r="T1331" s="1" t="s">
        <v>43</v>
      </c>
      <c r="U1331" s="1" t="s">
        <v>241</v>
      </c>
      <c r="V1331" s="1" t="s">
        <v>1226</v>
      </c>
      <c r="W1331" s="1" t="s">
        <v>58</v>
      </c>
      <c r="X1331" s="1" t="s">
        <v>937</v>
      </c>
      <c r="Y1331" s="1" t="s">
        <v>236</v>
      </c>
      <c r="Z1331" s="1" t="str">
        <f t="shared" si="60"/>
        <v>6030 2</v>
      </c>
      <c r="AA1331" s="3">
        <f>IF(INDEX('CAMD Facility Data 2023'!$AA$2:$AE$10000,MATCH(Z1331,'CAMD Facility Data 2023'!$AE$2:$AE$10000,0),1)&gt;0,INDEX('CAMD Facility Data 2023'!$AA$2:$AE$10000,MATCH(Z1331,'CAMD Facility Data 2023'!$AE$2:$AE$10000,0),1),"")</f>
        <v>29798</v>
      </c>
      <c r="AB1331" s="5">
        <f>IF(INDEX('CAMD Facility Data 2023'!$AC$2:$AE$10000,MATCH(Z1331,'CAMD Facility Data 2023'!$AE$2:$AE$10000,0),1)&gt;0,INDEX('CAMD Facility Data 2023'!$AC$2:$AE$10000,MATCH(Z1331,'CAMD Facility Data 2023'!$AE$2:$AE$10000,0),1),"")</f>
        <v>6364.2</v>
      </c>
      <c r="AC1331" s="1" t="str">
        <f>IF(INDEX('CAMD Facility Data 2023'!$AE$2:$AG$10000,MATCH(Z1331,'CAMD Facility Data 2023'!$AE$2:$AE$10000,0),3)&gt;0,INDEX('CAMD Facility Data 2023'!$AE$2:$AG$10000,MATCH(Z1331,'CAMD Facility Data 2023'!$AE$2:$AE$10000,0),3),"")</f>
        <v/>
      </c>
      <c r="AD1331" s="20">
        <f t="shared" si="61"/>
        <v>1.2451487724248982</v>
      </c>
      <c r="AE1331" s="25">
        <f t="shared" si="62"/>
        <v>0.81783055756809753</v>
      </c>
    </row>
    <row r="1332" spans="1:31" x14ac:dyDescent="0.2">
      <c r="A1332" s="1" t="s">
        <v>1621</v>
      </c>
      <c r="B1332" s="1" t="s">
        <v>3351</v>
      </c>
      <c r="C1332" s="1">
        <v>6034</v>
      </c>
      <c r="D1332" s="1">
        <v>1</v>
      </c>
      <c r="F1332" s="1">
        <v>2023</v>
      </c>
      <c r="G1332" s="5">
        <v>7734</v>
      </c>
      <c r="H1332" s="5">
        <v>7729.06</v>
      </c>
      <c r="I1332" s="5">
        <v>3536799.77</v>
      </c>
      <c r="K1332" s="5">
        <v>8831.1579999999994</v>
      </c>
      <c r="L1332" s="5">
        <v>0.54830000000000001</v>
      </c>
      <c r="M1332" s="5">
        <v>3322921.9369999999</v>
      </c>
      <c r="N1332" s="6">
        <v>0.105</v>
      </c>
      <c r="O1332" s="5">
        <v>3418.0059999999999</v>
      </c>
      <c r="P1332" s="6">
        <v>0.21609999999999999</v>
      </c>
      <c r="Q1332" s="5">
        <v>31683071.133000001</v>
      </c>
      <c r="R1332" s="1" t="s">
        <v>55</v>
      </c>
      <c r="S1332" s="1" t="s">
        <v>94</v>
      </c>
      <c r="T1332" s="1" t="s">
        <v>89</v>
      </c>
      <c r="V1332" s="1" t="s">
        <v>90</v>
      </c>
      <c r="W1332" s="1" t="s">
        <v>58</v>
      </c>
      <c r="X1332" s="1" t="s">
        <v>214</v>
      </c>
      <c r="Y1332" s="1" t="s">
        <v>1005</v>
      </c>
      <c r="Z1332" s="1" t="str">
        <f t="shared" si="60"/>
        <v>6034 1</v>
      </c>
      <c r="AA1332" s="3">
        <f>IF(INDEX('CAMD Facility Data 2023'!$AA$2:$AE$10000,MATCH(Z1332,'CAMD Facility Data 2023'!$AE$2:$AE$10000,0),1)&gt;0,INDEX('CAMD Facility Data 2023'!$AA$2:$AE$10000,MATCH(Z1332,'CAMD Facility Data 2023'!$AE$2:$AE$10000,0),1),"")</f>
        <v>30773</v>
      </c>
      <c r="AB1332" s="5">
        <f>IF(INDEX('CAMD Facility Data 2023'!$AC$2:$AE$10000,MATCH(Z1332,'CAMD Facility Data 2023'!$AE$2:$AE$10000,0),1)&gt;0,INDEX('CAMD Facility Data 2023'!$AC$2:$AE$10000,MATCH(Z1332,'CAMD Facility Data 2023'!$AE$2:$AE$10000,0),1),"")</f>
        <v>8100</v>
      </c>
      <c r="AC1332" s="1" t="str">
        <f>IF(INDEX('CAMD Facility Data 2023'!$AE$2:$AG$10000,MATCH(Z1332,'CAMD Facility Data 2023'!$AE$2:$AE$10000,0),3)&gt;0,INDEX('CAMD Facility Data 2023'!$AE$2:$AG$10000,MATCH(Z1332,'CAMD Facility Data 2023'!$AE$2:$AE$10000,0),3),"")</f>
        <v/>
      </c>
      <c r="AD1332" s="20">
        <f t="shared" si="61"/>
        <v>1.9328241474071346</v>
      </c>
      <c r="AE1332" s="25">
        <f t="shared" si="62"/>
        <v>0.44651715334855407</v>
      </c>
    </row>
    <row r="1333" spans="1:31" x14ac:dyDescent="0.2">
      <c r="A1333" s="1" t="s">
        <v>1621</v>
      </c>
      <c r="B1333" s="1" t="s">
        <v>3351</v>
      </c>
      <c r="C1333" s="1">
        <v>6034</v>
      </c>
      <c r="D1333" s="1">
        <v>2</v>
      </c>
      <c r="F1333" s="1">
        <v>2023</v>
      </c>
      <c r="G1333" s="5">
        <v>6593</v>
      </c>
      <c r="H1333" s="5">
        <v>6579.97</v>
      </c>
      <c r="I1333" s="5">
        <v>2812623.96</v>
      </c>
      <c r="K1333" s="5">
        <v>7961.2420000000002</v>
      </c>
      <c r="L1333" s="5">
        <v>0.56710000000000005</v>
      </c>
      <c r="M1333" s="5">
        <v>2924927.5860000001</v>
      </c>
      <c r="N1333" s="6">
        <v>0.10489999999999999</v>
      </c>
      <c r="O1333" s="5">
        <v>3142.1869999999999</v>
      </c>
      <c r="P1333" s="6">
        <v>0.22689999999999999</v>
      </c>
      <c r="Q1333" s="5">
        <v>27888305.129999999</v>
      </c>
      <c r="R1333" s="1" t="s">
        <v>55</v>
      </c>
      <c r="S1333" s="1" t="s">
        <v>94</v>
      </c>
      <c r="T1333" s="1" t="s">
        <v>89</v>
      </c>
      <c r="V1333" s="1" t="s">
        <v>90</v>
      </c>
      <c r="W1333" s="1" t="s">
        <v>58</v>
      </c>
      <c r="X1333" s="1" t="s">
        <v>214</v>
      </c>
      <c r="Y1333" s="1" t="s">
        <v>1005</v>
      </c>
      <c r="Z1333" s="1" t="str">
        <f t="shared" si="60"/>
        <v>6034 2</v>
      </c>
      <c r="AA1333" s="3">
        <f>IF(INDEX('CAMD Facility Data 2023'!$AA$2:$AE$10000,MATCH(Z1333,'CAMD Facility Data 2023'!$AE$2:$AE$10000,0),1)&gt;0,INDEX('CAMD Facility Data 2023'!$AA$2:$AE$10000,MATCH(Z1333,'CAMD Facility Data 2023'!$AE$2:$AE$10000,0),1),"")</f>
        <v>31138</v>
      </c>
      <c r="AB1333" s="5">
        <f>IF(INDEX('CAMD Facility Data 2023'!$AC$2:$AE$10000,MATCH(Z1333,'CAMD Facility Data 2023'!$AE$2:$AE$10000,0),1)&gt;0,INDEX('CAMD Facility Data 2023'!$AC$2:$AE$10000,MATCH(Z1333,'CAMD Facility Data 2023'!$AE$2:$AE$10000,0),1),"")</f>
        <v>8300</v>
      </c>
      <c r="AC1333" s="1" t="str">
        <f>IF(INDEX('CAMD Facility Data 2023'!$AE$2:$AG$10000,MATCH(Z1333,'CAMD Facility Data 2023'!$AE$2:$AE$10000,0),3)&gt;0,INDEX('CAMD Facility Data 2023'!$AE$2:$AG$10000,MATCH(Z1333,'CAMD Facility Data 2023'!$AE$2:$AE$10000,0),3),"")</f>
        <v/>
      </c>
      <c r="AD1333" s="20">
        <f t="shared" si="61"/>
        <v>2.2343456108508724</v>
      </c>
      <c r="AE1333" s="25">
        <f t="shared" si="62"/>
        <v>0.38356584048522857</v>
      </c>
    </row>
    <row r="1334" spans="1:31" x14ac:dyDescent="0.2">
      <c r="A1334" s="1" t="s">
        <v>1621</v>
      </c>
      <c r="B1334" s="1" t="s">
        <v>3351</v>
      </c>
      <c r="C1334" s="1">
        <v>6034</v>
      </c>
      <c r="D1334" s="1" t="s">
        <v>1643</v>
      </c>
      <c r="F1334" s="1">
        <v>2023</v>
      </c>
      <c r="G1334" s="5">
        <v>875</v>
      </c>
      <c r="H1334" s="5">
        <v>825.24</v>
      </c>
      <c r="I1334" s="5">
        <v>63423.62</v>
      </c>
      <c r="K1334" s="5">
        <v>0.23100000000000001</v>
      </c>
      <c r="L1334" s="5">
        <v>1E-3</v>
      </c>
      <c r="M1334" s="5">
        <v>45722.786</v>
      </c>
      <c r="N1334" s="6">
        <v>5.8900000000000001E-2</v>
      </c>
      <c r="O1334" s="5">
        <v>10.042999999999999</v>
      </c>
      <c r="P1334" s="6">
        <v>3.04E-2</v>
      </c>
      <c r="Q1334" s="5">
        <v>769378.75100000005</v>
      </c>
      <c r="R1334" s="1" t="s">
        <v>44</v>
      </c>
      <c r="T1334" s="1" t="s">
        <v>93</v>
      </c>
      <c r="V1334" s="1" t="s">
        <v>140</v>
      </c>
      <c r="Y1334" s="1" t="s">
        <v>461</v>
      </c>
      <c r="Z1334" s="1" t="str">
        <f t="shared" si="60"/>
        <v>6034 CTG121</v>
      </c>
      <c r="AA1334" s="3">
        <f>IF(INDEX('CAMD Facility Data 2023'!$AA$2:$AE$10000,MATCH(Z1334,'CAMD Facility Data 2023'!$AE$2:$AE$10000,0),1)&gt;0,INDEX('CAMD Facility Data 2023'!$AA$2:$AE$10000,MATCH(Z1334,'CAMD Facility Data 2023'!$AE$2:$AE$10000,0),1),"")</f>
        <v>36342</v>
      </c>
      <c r="AB1334" s="5">
        <f>IF(INDEX('CAMD Facility Data 2023'!$AC$2:$AE$10000,MATCH(Z1334,'CAMD Facility Data 2023'!$AE$2:$AE$10000,0),1)&gt;0,INDEX('CAMD Facility Data 2023'!$AC$2:$AE$10000,MATCH(Z1334,'CAMD Facility Data 2023'!$AE$2:$AE$10000,0),1),"")</f>
        <v>1125</v>
      </c>
      <c r="AC1334" s="1" t="str">
        <f>IF(INDEX('CAMD Facility Data 2023'!$AE$2:$AG$10000,MATCH(Z1334,'CAMD Facility Data 2023'!$AE$2:$AE$10000,0),3)&gt;0,INDEX('CAMD Facility Data 2023'!$AE$2:$AG$10000,MATCH(Z1334,'CAMD Facility Data 2023'!$AE$2:$AE$10000,0),3),"")</f>
        <v/>
      </c>
      <c r="AD1334" s="20">
        <f t="shared" si="61"/>
        <v>0.31669589342267124</v>
      </c>
      <c r="AE1334" s="25">
        <f t="shared" si="62"/>
        <v>7.8069888483003558E-2</v>
      </c>
    </row>
    <row r="1335" spans="1:31" x14ac:dyDescent="0.2">
      <c r="A1335" s="1" t="s">
        <v>1621</v>
      </c>
      <c r="B1335" s="1" t="s">
        <v>3351</v>
      </c>
      <c r="C1335" s="1">
        <v>6034</v>
      </c>
      <c r="D1335" s="1" t="s">
        <v>1649</v>
      </c>
      <c r="F1335" s="1">
        <v>2023</v>
      </c>
      <c r="G1335" s="5">
        <v>695</v>
      </c>
      <c r="H1335" s="5">
        <v>659.18</v>
      </c>
      <c r="I1335" s="5">
        <v>50458.879999999997</v>
      </c>
      <c r="K1335" s="5">
        <v>0.18099999999999999</v>
      </c>
      <c r="L1335" s="5">
        <v>1E-3</v>
      </c>
      <c r="M1335" s="5">
        <v>35781.703999999998</v>
      </c>
      <c r="N1335" s="6">
        <v>5.8999999999999997E-2</v>
      </c>
      <c r="O1335" s="5">
        <v>8.9450000000000003</v>
      </c>
      <c r="P1335" s="6">
        <v>3.3599999999999998E-2</v>
      </c>
      <c r="Q1335" s="5">
        <v>602087.87800000003</v>
      </c>
      <c r="R1335" s="1" t="s">
        <v>44</v>
      </c>
      <c r="T1335" s="1" t="s">
        <v>93</v>
      </c>
      <c r="V1335" s="1" t="s">
        <v>140</v>
      </c>
      <c r="Y1335" s="1" t="s">
        <v>461</v>
      </c>
      <c r="Z1335" s="1" t="str">
        <f t="shared" si="60"/>
        <v>6034 CTG122</v>
      </c>
      <c r="AA1335" s="3">
        <f>IF(INDEX('CAMD Facility Data 2023'!$AA$2:$AE$10000,MATCH(Z1335,'CAMD Facility Data 2023'!$AE$2:$AE$10000,0),1)&gt;0,INDEX('CAMD Facility Data 2023'!$AA$2:$AE$10000,MATCH(Z1335,'CAMD Facility Data 2023'!$AE$2:$AE$10000,0),1),"")</f>
        <v>36342</v>
      </c>
      <c r="AB1335" s="5">
        <f>IF(INDEX('CAMD Facility Data 2023'!$AC$2:$AE$10000,MATCH(Z1335,'CAMD Facility Data 2023'!$AE$2:$AE$10000,0),1)&gt;0,INDEX('CAMD Facility Data 2023'!$AC$2:$AE$10000,MATCH(Z1335,'CAMD Facility Data 2023'!$AE$2:$AE$10000,0),1),"")</f>
        <v>1110</v>
      </c>
      <c r="AC1335" s="1" t="str">
        <f>IF(INDEX('CAMD Facility Data 2023'!$AE$2:$AG$10000,MATCH(Z1335,'CAMD Facility Data 2023'!$AE$2:$AE$10000,0),3)&gt;0,INDEX('CAMD Facility Data 2023'!$AE$2:$AG$10000,MATCH(Z1335,'CAMD Facility Data 2023'!$AE$2:$AE$10000,0),3),"")</f>
        <v/>
      </c>
      <c r="AD1335" s="20">
        <f t="shared" si="61"/>
        <v>0.35454611755155885</v>
      </c>
      <c r="AE1335" s="25">
        <f t="shared" si="62"/>
        <v>6.1920263894031019E-2</v>
      </c>
    </row>
    <row r="1336" spans="1:31" x14ac:dyDescent="0.2">
      <c r="A1336" s="1" t="s">
        <v>1621</v>
      </c>
      <c r="B1336" s="1" t="s">
        <v>3351</v>
      </c>
      <c r="C1336" s="1">
        <v>6034</v>
      </c>
      <c r="D1336" s="1" t="s">
        <v>3359</v>
      </c>
      <c r="F1336" s="1">
        <v>2023</v>
      </c>
      <c r="G1336" s="5">
        <v>592</v>
      </c>
      <c r="H1336" s="5">
        <v>549.47</v>
      </c>
      <c r="I1336" s="5">
        <v>41286.58</v>
      </c>
      <c r="K1336" s="5">
        <v>0.152</v>
      </c>
      <c r="L1336" s="5">
        <v>1E-3</v>
      </c>
      <c r="M1336" s="5">
        <v>30028.300999999999</v>
      </c>
      <c r="N1336" s="6">
        <v>5.8999999999999997E-2</v>
      </c>
      <c r="O1336" s="5">
        <v>7.2009999999999996</v>
      </c>
      <c r="P1336" s="6">
        <v>3.3300000000000003E-2</v>
      </c>
      <c r="Q1336" s="5">
        <v>505296.67700000003</v>
      </c>
      <c r="R1336" s="1" t="s">
        <v>44</v>
      </c>
      <c r="T1336" s="1" t="s">
        <v>93</v>
      </c>
      <c r="V1336" s="1" t="s">
        <v>140</v>
      </c>
      <c r="Y1336" s="1" t="s">
        <v>461</v>
      </c>
      <c r="Z1336" s="1" t="str">
        <f t="shared" si="60"/>
        <v>6034 CTG131</v>
      </c>
      <c r="AA1336" s="3">
        <f>IF(INDEX('CAMD Facility Data 2023'!$AA$2:$AE$10000,MATCH(Z1336,'CAMD Facility Data 2023'!$AE$2:$AE$10000,0),1)&gt;0,INDEX('CAMD Facility Data 2023'!$AA$2:$AE$10000,MATCH(Z1336,'CAMD Facility Data 2023'!$AE$2:$AE$10000,0),1),"")</f>
        <v>36342</v>
      </c>
      <c r="AB1336" s="5">
        <f>IF(INDEX('CAMD Facility Data 2023'!$AC$2:$AE$10000,MATCH(Z1336,'CAMD Facility Data 2023'!$AE$2:$AE$10000,0),1)&gt;0,INDEX('CAMD Facility Data 2023'!$AC$2:$AE$10000,MATCH(Z1336,'CAMD Facility Data 2023'!$AE$2:$AE$10000,0),1),"")</f>
        <v>1125</v>
      </c>
      <c r="AC1336" s="1" t="str">
        <f>IF(INDEX('CAMD Facility Data 2023'!$AE$2:$AG$10000,MATCH(Z1336,'CAMD Facility Data 2023'!$AE$2:$AE$10000,0),3)&gt;0,INDEX('CAMD Facility Data 2023'!$AE$2:$AG$10000,MATCH(Z1336,'CAMD Facility Data 2023'!$AE$2:$AE$10000,0),3),"")</f>
        <v/>
      </c>
      <c r="AD1336" s="20">
        <f t="shared" si="61"/>
        <v>0.34883005567426506</v>
      </c>
      <c r="AE1336" s="25">
        <f t="shared" si="62"/>
        <v>5.1273128056823949E-2</v>
      </c>
    </row>
    <row r="1337" spans="1:31" x14ac:dyDescent="0.2">
      <c r="A1337" s="1" t="s">
        <v>1621</v>
      </c>
      <c r="B1337" s="1" t="s">
        <v>3361</v>
      </c>
      <c r="C1337" s="1">
        <v>6035</v>
      </c>
      <c r="D1337" s="1">
        <v>1</v>
      </c>
      <c r="F1337" s="1">
        <v>2023</v>
      </c>
      <c r="G1337" s="5">
        <v>3247</v>
      </c>
      <c r="H1337" s="5">
        <v>3217.45</v>
      </c>
      <c r="I1337" s="5">
        <v>970287.27</v>
      </c>
      <c r="K1337" s="5">
        <v>3.5710000000000002</v>
      </c>
      <c r="L1337" s="5">
        <v>1.1999999999999999E-3</v>
      </c>
      <c r="M1337" s="5">
        <v>585771.83600000001</v>
      </c>
      <c r="N1337" s="6">
        <v>5.8999999999999997E-2</v>
      </c>
      <c r="O1337" s="5">
        <v>692.87300000000005</v>
      </c>
      <c r="P1337" s="6">
        <v>0.11550000000000001</v>
      </c>
      <c r="Q1337" s="5">
        <v>9877552.9450000003</v>
      </c>
      <c r="R1337" s="1" t="s">
        <v>44</v>
      </c>
      <c r="S1337" s="1" t="s">
        <v>173</v>
      </c>
      <c r="T1337" s="1" t="s">
        <v>89</v>
      </c>
      <c r="Y1337" s="1" t="s">
        <v>461</v>
      </c>
      <c r="Z1337" s="1" t="str">
        <f t="shared" si="60"/>
        <v>6035 1</v>
      </c>
      <c r="AA1337" s="3">
        <f>IF(INDEX('CAMD Facility Data 2023'!$AA$2:$AE$10000,MATCH(Z1337,'CAMD Facility Data 2023'!$AE$2:$AE$10000,0),1)&gt;0,INDEX('CAMD Facility Data 2023'!$AA$2:$AE$10000,MATCH(Z1337,'CAMD Facility Data 2023'!$AE$2:$AE$10000,0),1),"")</f>
        <v>28642</v>
      </c>
      <c r="AB1337" s="5">
        <f>IF(INDEX('CAMD Facility Data 2023'!$AC$2:$AE$10000,MATCH(Z1337,'CAMD Facility Data 2023'!$AE$2:$AE$10000,0),1)&gt;0,INDEX('CAMD Facility Data 2023'!$AC$2:$AE$10000,MATCH(Z1337,'CAMD Facility Data 2023'!$AE$2:$AE$10000,0),1),"")</f>
        <v>8500</v>
      </c>
      <c r="AC1337" s="1" t="str">
        <f>IF(INDEX('CAMD Facility Data 2023'!$AE$2:$AG$10000,MATCH(Z1337,'CAMD Facility Data 2023'!$AE$2:$AE$10000,0),3)&gt;0,INDEX('CAMD Facility Data 2023'!$AE$2:$AG$10000,MATCH(Z1337,'CAMD Facility Data 2023'!$AE$2:$AE$10000,0),3),"")</f>
        <v/>
      </c>
      <c r="AD1337" s="20">
        <f t="shared" si="61"/>
        <v>1.4281811612348578</v>
      </c>
      <c r="AE1337" s="25">
        <f t="shared" si="62"/>
        <v>0.13265582789417138</v>
      </c>
    </row>
    <row r="1338" spans="1:31" x14ac:dyDescent="0.2">
      <c r="A1338" s="1" t="s">
        <v>1621</v>
      </c>
      <c r="B1338" s="1" t="s">
        <v>3361</v>
      </c>
      <c r="C1338" s="1">
        <v>6035</v>
      </c>
      <c r="D1338" s="1" t="s">
        <v>1638</v>
      </c>
      <c r="F1338" s="1">
        <v>2023</v>
      </c>
      <c r="G1338" s="5">
        <v>604</v>
      </c>
      <c r="H1338" s="5">
        <v>567.52</v>
      </c>
      <c r="I1338" s="5">
        <v>43215.96</v>
      </c>
      <c r="K1338" s="5">
        <v>0.16</v>
      </c>
      <c r="L1338" s="5">
        <v>1E-3</v>
      </c>
      <c r="M1338" s="5">
        <v>31626.796999999999</v>
      </c>
      <c r="N1338" s="6">
        <v>5.8999999999999997E-2</v>
      </c>
      <c r="O1338" s="5">
        <v>7.6319999999999997</v>
      </c>
      <c r="P1338" s="6">
        <v>2.86E-2</v>
      </c>
      <c r="Q1338" s="5">
        <v>532214.50300000003</v>
      </c>
      <c r="R1338" s="1" t="s">
        <v>44</v>
      </c>
      <c r="T1338" s="1" t="s">
        <v>93</v>
      </c>
      <c r="V1338" s="1" t="s">
        <v>140</v>
      </c>
      <c r="Y1338" s="1" t="s">
        <v>461</v>
      </c>
      <c r="Z1338" s="1" t="str">
        <f t="shared" si="60"/>
        <v>6035 CTG111</v>
      </c>
      <c r="AA1338" s="3">
        <f>IF(INDEX('CAMD Facility Data 2023'!$AA$2:$AE$10000,MATCH(Z1338,'CAMD Facility Data 2023'!$AE$2:$AE$10000,0),1)&gt;0,INDEX('CAMD Facility Data 2023'!$AA$2:$AE$10000,MATCH(Z1338,'CAMD Facility Data 2023'!$AE$2:$AE$10000,0),1),"")</f>
        <v>36342</v>
      </c>
      <c r="AB1338" s="5">
        <f>IF(INDEX('CAMD Facility Data 2023'!$AC$2:$AE$10000,MATCH(Z1338,'CAMD Facility Data 2023'!$AE$2:$AE$10000,0),1)&gt;0,INDEX('CAMD Facility Data 2023'!$AC$2:$AE$10000,MATCH(Z1338,'CAMD Facility Data 2023'!$AE$2:$AE$10000,0),1),"")</f>
        <v>1200</v>
      </c>
      <c r="AC1338" s="1" t="str">
        <f>IF(INDEX('CAMD Facility Data 2023'!$AE$2:$AG$10000,MATCH(Z1338,'CAMD Facility Data 2023'!$AE$2:$AE$10000,0),3)&gt;0,INDEX('CAMD Facility Data 2023'!$AE$2:$AG$10000,MATCH(Z1338,'CAMD Facility Data 2023'!$AE$2:$AE$10000,0),3),"")</f>
        <v/>
      </c>
      <c r="AD1338" s="20">
        <f t="shared" si="61"/>
        <v>0.3532028445046691</v>
      </c>
      <c r="AE1338" s="25">
        <f t="shared" si="62"/>
        <v>5.062923354261796E-2</v>
      </c>
    </row>
    <row r="1339" spans="1:31" x14ac:dyDescent="0.2">
      <c r="A1339" s="1" t="s">
        <v>1621</v>
      </c>
      <c r="B1339" s="1" t="s">
        <v>3361</v>
      </c>
      <c r="C1339" s="1">
        <v>6035</v>
      </c>
      <c r="D1339" s="1" t="s">
        <v>3364</v>
      </c>
      <c r="F1339" s="1">
        <v>2023</v>
      </c>
      <c r="G1339" s="5">
        <v>682</v>
      </c>
      <c r="H1339" s="5">
        <v>640.13</v>
      </c>
      <c r="I1339" s="5">
        <v>49386.66</v>
      </c>
      <c r="K1339" s="5">
        <v>0.17899999999999999</v>
      </c>
      <c r="L1339" s="5">
        <v>1E-3</v>
      </c>
      <c r="M1339" s="5">
        <v>35382.667000000001</v>
      </c>
      <c r="N1339" s="6">
        <v>5.8999999999999997E-2</v>
      </c>
      <c r="O1339" s="5">
        <v>8.423</v>
      </c>
      <c r="P1339" s="6">
        <v>2.8199999999999999E-2</v>
      </c>
      <c r="Q1339" s="5">
        <v>595385.41099999996</v>
      </c>
      <c r="R1339" s="1" t="s">
        <v>44</v>
      </c>
      <c r="T1339" s="1" t="s">
        <v>93</v>
      </c>
      <c r="V1339" s="1" t="s">
        <v>140</v>
      </c>
      <c r="Y1339" s="1" t="s">
        <v>461</v>
      </c>
      <c r="Z1339" s="1" t="str">
        <f t="shared" si="60"/>
        <v>6035 CTG112</v>
      </c>
      <c r="AA1339" s="3">
        <f>IF(INDEX('CAMD Facility Data 2023'!$AA$2:$AE$10000,MATCH(Z1339,'CAMD Facility Data 2023'!$AE$2:$AE$10000,0),1)&gt;0,INDEX('CAMD Facility Data 2023'!$AA$2:$AE$10000,MATCH(Z1339,'CAMD Facility Data 2023'!$AE$2:$AE$10000,0),1),"")</f>
        <v>36342</v>
      </c>
      <c r="AB1339" s="5">
        <f>IF(INDEX('CAMD Facility Data 2023'!$AC$2:$AE$10000,MATCH(Z1339,'CAMD Facility Data 2023'!$AE$2:$AE$10000,0),1)&gt;0,INDEX('CAMD Facility Data 2023'!$AC$2:$AE$10000,MATCH(Z1339,'CAMD Facility Data 2023'!$AE$2:$AE$10000,0),1),"")</f>
        <v>1150</v>
      </c>
      <c r="AC1339" s="1" t="str">
        <f>IF(INDEX('CAMD Facility Data 2023'!$AE$2:$AG$10000,MATCH(Z1339,'CAMD Facility Data 2023'!$AE$2:$AE$10000,0),3)&gt;0,INDEX('CAMD Facility Data 2023'!$AE$2:$AG$10000,MATCH(Z1339,'CAMD Facility Data 2023'!$AE$2:$AE$10000,0),3),"")</f>
        <v/>
      </c>
      <c r="AD1339" s="20">
        <f t="shared" si="61"/>
        <v>0.34110425770845809</v>
      </c>
      <c r="AE1339" s="25">
        <f t="shared" si="62"/>
        <v>5.9101192277149092E-2</v>
      </c>
    </row>
    <row r="1340" spans="1:31" x14ac:dyDescent="0.2">
      <c r="A1340" s="1" t="s">
        <v>1621</v>
      </c>
      <c r="B1340" s="1" t="s">
        <v>3361</v>
      </c>
      <c r="C1340" s="1">
        <v>6035</v>
      </c>
      <c r="D1340" s="1" t="s">
        <v>1643</v>
      </c>
      <c r="F1340" s="1">
        <v>2023</v>
      </c>
      <c r="G1340" s="5">
        <v>554</v>
      </c>
      <c r="H1340" s="5">
        <v>511.34</v>
      </c>
      <c r="I1340" s="5">
        <v>37832.04</v>
      </c>
      <c r="K1340" s="5">
        <v>0.13900000000000001</v>
      </c>
      <c r="L1340" s="5">
        <v>1E-3</v>
      </c>
      <c r="M1340" s="5">
        <v>27623.329000000002</v>
      </c>
      <c r="N1340" s="6">
        <v>5.8999999999999997E-2</v>
      </c>
      <c r="O1340" s="5">
        <v>5.1950000000000003</v>
      </c>
      <c r="P1340" s="6">
        <v>2.23E-2</v>
      </c>
      <c r="Q1340" s="5">
        <v>464835.07500000001</v>
      </c>
      <c r="R1340" s="1" t="s">
        <v>44</v>
      </c>
      <c r="T1340" s="1" t="s">
        <v>93</v>
      </c>
      <c r="V1340" s="1" t="s">
        <v>140</v>
      </c>
      <c r="Y1340" s="1" t="s">
        <v>461</v>
      </c>
      <c r="Z1340" s="1" t="str">
        <f t="shared" si="60"/>
        <v>6035 CTG121</v>
      </c>
      <c r="AA1340" s="3">
        <f>IF(INDEX('CAMD Facility Data 2023'!$AA$2:$AE$10000,MATCH(Z1340,'CAMD Facility Data 2023'!$AE$2:$AE$10000,0),1)&gt;0,INDEX('CAMD Facility Data 2023'!$AA$2:$AE$10000,MATCH(Z1340,'CAMD Facility Data 2023'!$AE$2:$AE$10000,0),1),"")</f>
        <v>36342</v>
      </c>
      <c r="AB1340" s="5">
        <f>IF(INDEX('CAMD Facility Data 2023'!$AC$2:$AE$10000,MATCH(Z1340,'CAMD Facility Data 2023'!$AE$2:$AE$10000,0),1)&gt;0,INDEX('CAMD Facility Data 2023'!$AC$2:$AE$10000,MATCH(Z1340,'CAMD Facility Data 2023'!$AE$2:$AE$10000,0),1),"")</f>
        <v>1150</v>
      </c>
      <c r="AC1340" s="1" t="str">
        <f>IF(INDEX('CAMD Facility Data 2023'!$AE$2:$AG$10000,MATCH(Z1340,'CAMD Facility Data 2023'!$AE$2:$AE$10000,0),3)&gt;0,INDEX('CAMD Facility Data 2023'!$AE$2:$AG$10000,MATCH(Z1340,'CAMD Facility Data 2023'!$AE$2:$AE$10000,0),3),"")</f>
        <v/>
      </c>
      <c r="AD1340" s="20">
        <f t="shared" si="61"/>
        <v>0.27463493906223402</v>
      </c>
      <c r="AE1340" s="25">
        <f t="shared" si="62"/>
        <v>4.6142056283502084E-2</v>
      </c>
    </row>
    <row r="1341" spans="1:31" x14ac:dyDescent="0.2">
      <c r="A1341" s="1" t="s">
        <v>165</v>
      </c>
      <c r="B1341" s="1" t="s">
        <v>3367</v>
      </c>
      <c r="C1341" s="1">
        <v>6041</v>
      </c>
      <c r="D1341" s="1">
        <v>1</v>
      </c>
      <c r="F1341" s="1">
        <v>2023</v>
      </c>
      <c r="G1341" s="5">
        <v>6135</v>
      </c>
      <c r="H1341" s="5">
        <v>6125.61</v>
      </c>
      <c r="I1341" s="5">
        <v>1485258.94</v>
      </c>
      <c r="K1341" s="5">
        <v>525.01800000000003</v>
      </c>
      <c r="L1341" s="5">
        <v>6.4899999999999999E-2</v>
      </c>
      <c r="M1341" s="5">
        <v>1476704.227</v>
      </c>
      <c r="N1341" s="6">
        <v>0.10299999999999999</v>
      </c>
      <c r="O1341" s="5">
        <v>603.08299999999997</v>
      </c>
      <c r="P1341" s="6">
        <v>8.4400000000000003E-2</v>
      </c>
      <c r="Q1341" s="5">
        <v>14392887.101</v>
      </c>
      <c r="R1341" s="1" t="s">
        <v>55</v>
      </c>
      <c r="T1341" s="1" t="s">
        <v>89</v>
      </c>
      <c r="U1341" s="1" t="s">
        <v>56</v>
      </c>
      <c r="V1341" s="1" t="s">
        <v>3306</v>
      </c>
      <c r="W1341" s="1" t="s">
        <v>3370</v>
      </c>
      <c r="Y1341" s="1" t="s">
        <v>1353</v>
      </c>
      <c r="Z1341" s="1" t="str">
        <f t="shared" si="60"/>
        <v>6041 1</v>
      </c>
      <c r="AA1341" s="3">
        <f>IF(INDEX('CAMD Facility Data 2023'!$AA$2:$AE$10000,MATCH(Z1341,'CAMD Facility Data 2023'!$AE$2:$AE$10000,0),1)&gt;0,INDEX('CAMD Facility Data 2023'!$AA$2:$AE$10000,MATCH(Z1341,'CAMD Facility Data 2023'!$AE$2:$AE$10000,0),1),"")</f>
        <v>28369</v>
      </c>
      <c r="AB1341" s="5">
        <f>IF(INDEX('CAMD Facility Data 2023'!$AC$2:$AE$10000,MATCH(Z1341,'CAMD Facility Data 2023'!$AE$2:$AE$10000,0),1)&gt;0,INDEX('CAMD Facility Data 2023'!$AC$2:$AE$10000,MATCH(Z1341,'CAMD Facility Data 2023'!$AE$2:$AE$10000,0),1),"")</f>
        <v>3641</v>
      </c>
      <c r="AC1341" s="1" t="str">
        <f>IF(INDEX('CAMD Facility Data 2023'!$AE$2:$AG$10000,MATCH(Z1341,'CAMD Facility Data 2023'!$AE$2:$AE$10000,0),3)&gt;0,INDEX('CAMD Facility Data 2023'!$AE$2:$AG$10000,MATCH(Z1341,'CAMD Facility Data 2023'!$AE$2:$AE$10000,0),3),"")</f>
        <v>Y</v>
      </c>
      <c r="AD1341" s="20">
        <f t="shared" si="61"/>
        <v>0.81209139195620672</v>
      </c>
      <c r="AE1341" s="25">
        <f t="shared" si="62"/>
        <v>0.4512561498672526</v>
      </c>
    </row>
    <row r="1342" spans="1:31" x14ac:dyDescent="0.2">
      <c r="A1342" s="1" t="s">
        <v>165</v>
      </c>
      <c r="B1342" s="1" t="s">
        <v>3367</v>
      </c>
      <c r="C1342" s="1">
        <v>6041</v>
      </c>
      <c r="D1342" s="1">
        <v>2</v>
      </c>
      <c r="F1342" s="1">
        <v>2023</v>
      </c>
      <c r="G1342" s="5">
        <v>7306</v>
      </c>
      <c r="H1342" s="5">
        <v>7300.08</v>
      </c>
      <c r="I1342" s="5">
        <v>3110384.4</v>
      </c>
      <c r="K1342" s="5">
        <v>1735.4469999999999</v>
      </c>
      <c r="L1342" s="5">
        <v>0.1026</v>
      </c>
      <c r="M1342" s="5">
        <v>3263558.071</v>
      </c>
      <c r="N1342" s="6">
        <v>0.10299999999999999</v>
      </c>
      <c r="O1342" s="5">
        <v>1392.1189999999999</v>
      </c>
      <c r="P1342" s="6">
        <v>8.7599999999999997E-2</v>
      </c>
      <c r="Q1342" s="5">
        <v>31808596.173999999</v>
      </c>
      <c r="R1342" s="1" t="s">
        <v>55</v>
      </c>
      <c r="T1342" s="1" t="s">
        <v>43</v>
      </c>
      <c r="U1342" s="1" t="s">
        <v>56</v>
      </c>
      <c r="V1342" s="1" t="s">
        <v>299</v>
      </c>
      <c r="W1342" s="1" t="s">
        <v>3372</v>
      </c>
      <c r="Y1342" s="1" t="s">
        <v>1353</v>
      </c>
      <c r="Z1342" s="1" t="str">
        <f t="shared" si="60"/>
        <v>6041 2</v>
      </c>
      <c r="AA1342" s="3">
        <f>IF(INDEX('CAMD Facility Data 2023'!$AA$2:$AE$10000,MATCH(Z1342,'CAMD Facility Data 2023'!$AE$2:$AE$10000,0),1)&gt;0,INDEX('CAMD Facility Data 2023'!$AA$2:$AE$10000,MATCH(Z1342,'CAMD Facility Data 2023'!$AE$2:$AE$10000,0),1),"")</f>
        <v>29647</v>
      </c>
      <c r="AB1342" s="5">
        <f>IF(INDEX('CAMD Facility Data 2023'!$AC$2:$AE$10000,MATCH(Z1342,'CAMD Facility Data 2023'!$AE$2:$AE$10000,0),1)&gt;0,INDEX('CAMD Facility Data 2023'!$AC$2:$AE$10000,MATCH(Z1342,'CAMD Facility Data 2023'!$AE$2:$AE$10000,0),1),"")</f>
        <v>6314.9</v>
      </c>
      <c r="AC1342" s="1" t="str">
        <f>IF(INDEX('CAMD Facility Data 2023'!$AE$2:$AG$10000,MATCH(Z1342,'CAMD Facility Data 2023'!$AE$2:$AE$10000,0),3)&gt;0,INDEX('CAMD Facility Data 2023'!$AE$2:$AG$10000,MATCH(Z1342,'CAMD Facility Data 2023'!$AE$2:$AE$10000,0),3),"")</f>
        <v>Y</v>
      </c>
      <c r="AD1342" s="20">
        <f t="shared" si="61"/>
        <v>0.89514273541238187</v>
      </c>
      <c r="AE1342" s="25">
        <f t="shared" si="62"/>
        <v>0.5750080420439273</v>
      </c>
    </row>
    <row r="1343" spans="1:31" x14ac:dyDescent="0.2">
      <c r="A1343" s="1" t="s">
        <v>165</v>
      </c>
      <c r="B1343" s="1" t="s">
        <v>3367</v>
      </c>
      <c r="C1343" s="1">
        <v>6041</v>
      </c>
      <c r="D1343" s="1">
        <v>3</v>
      </c>
      <c r="F1343" s="1">
        <v>2023</v>
      </c>
      <c r="G1343" s="5">
        <v>7360</v>
      </c>
      <c r="H1343" s="5">
        <v>7356.18</v>
      </c>
      <c r="I1343" s="5">
        <v>1868724.7</v>
      </c>
      <c r="K1343" s="5">
        <v>1100.6030000000001</v>
      </c>
      <c r="L1343" s="5">
        <v>0.13969999999999999</v>
      </c>
      <c r="M1343" s="5">
        <v>1712124.0870000001</v>
      </c>
      <c r="N1343" s="6">
        <v>0.10299999999999999</v>
      </c>
      <c r="O1343" s="5">
        <v>531.80999999999995</v>
      </c>
      <c r="P1343" s="6">
        <v>6.6100000000000006E-2</v>
      </c>
      <c r="Q1343" s="5">
        <v>16687339.848999999</v>
      </c>
      <c r="R1343" s="1" t="s">
        <v>55</v>
      </c>
      <c r="T1343" s="1" t="s">
        <v>885</v>
      </c>
      <c r="U1343" s="1" t="s">
        <v>3374</v>
      </c>
      <c r="V1343" s="1" t="s">
        <v>669</v>
      </c>
      <c r="W1343" s="1" t="s">
        <v>232</v>
      </c>
      <c r="Y1343" s="1" t="s">
        <v>1353</v>
      </c>
      <c r="Z1343" s="1" t="str">
        <f t="shared" si="60"/>
        <v>6041 3</v>
      </c>
      <c r="AA1343" s="3">
        <f>IF(INDEX('CAMD Facility Data 2023'!$AA$2:$AE$10000,MATCH(Z1343,'CAMD Facility Data 2023'!$AE$2:$AE$10000,0),1)&gt;0,INDEX('CAMD Facility Data 2023'!$AA$2:$AE$10000,MATCH(Z1343,'CAMD Facility Data 2023'!$AE$2:$AE$10000,0),1),"")</f>
        <v>38412</v>
      </c>
      <c r="AB1343" s="5">
        <f>IF(INDEX('CAMD Facility Data 2023'!$AC$2:$AE$10000,MATCH(Z1343,'CAMD Facility Data 2023'!$AE$2:$AE$10000,0),1)&gt;0,INDEX('CAMD Facility Data 2023'!$AC$2:$AE$10000,MATCH(Z1343,'CAMD Facility Data 2023'!$AE$2:$AE$10000,0),1),"")</f>
        <v>3112.5</v>
      </c>
      <c r="AC1343" s="1" t="str">
        <f>IF(INDEX('CAMD Facility Data 2023'!$AE$2:$AG$10000,MATCH(Z1343,'CAMD Facility Data 2023'!$AE$2:$AE$10000,0),3)&gt;0,INDEX('CAMD Facility Data 2023'!$AE$2:$AG$10000,MATCH(Z1343,'CAMD Facility Data 2023'!$AE$2:$AE$10000,0),3),"")</f>
        <v>Y</v>
      </c>
      <c r="AD1343" s="20">
        <f t="shared" si="61"/>
        <v>0.56916890968477063</v>
      </c>
      <c r="AE1343" s="25">
        <f t="shared" si="62"/>
        <v>0.61203131609543193</v>
      </c>
    </row>
    <row r="1344" spans="1:31" x14ac:dyDescent="0.2">
      <c r="A1344" s="1" t="s">
        <v>165</v>
      </c>
      <c r="B1344" s="1" t="s">
        <v>3367</v>
      </c>
      <c r="C1344" s="1">
        <v>6041</v>
      </c>
      <c r="D1344" s="1">
        <v>4</v>
      </c>
      <c r="F1344" s="1">
        <v>2023</v>
      </c>
      <c r="G1344" s="5">
        <v>7449</v>
      </c>
      <c r="H1344" s="5">
        <v>7439.08</v>
      </c>
      <c r="I1344" s="5">
        <v>1911076.53</v>
      </c>
      <c r="K1344" s="5">
        <v>722.96699999999998</v>
      </c>
      <c r="L1344" s="5">
        <v>0.11940000000000001</v>
      </c>
      <c r="M1344" s="5">
        <v>1655896.331</v>
      </c>
      <c r="N1344" s="6">
        <v>0.10299999999999999</v>
      </c>
      <c r="O1344" s="5">
        <v>500.74400000000003</v>
      </c>
      <c r="P1344" s="6">
        <v>6.4100000000000004E-2</v>
      </c>
      <c r="Q1344" s="5">
        <v>16139300.676999999</v>
      </c>
      <c r="R1344" s="1" t="s">
        <v>55</v>
      </c>
      <c r="T1344" s="1" t="s">
        <v>885</v>
      </c>
      <c r="U1344" s="1" t="s">
        <v>3374</v>
      </c>
      <c r="V1344" s="1" t="s">
        <v>669</v>
      </c>
      <c r="W1344" s="1" t="s">
        <v>232</v>
      </c>
      <c r="Y1344" s="1" t="s">
        <v>1353</v>
      </c>
      <c r="Z1344" s="1" t="str">
        <f t="shared" si="60"/>
        <v>6041 4</v>
      </c>
      <c r="AA1344" s="3">
        <f>IF(INDEX('CAMD Facility Data 2023'!$AA$2:$AE$10000,MATCH(Z1344,'CAMD Facility Data 2023'!$AE$2:$AE$10000,0),1)&gt;0,INDEX('CAMD Facility Data 2023'!$AA$2:$AE$10000,MATCH(Z1344,'CAMD Facility Data 2023'!$AE$2:$AE$10000,0),1),"")</f>
        <v>39790</v>
      </c>
      <c r="AB1344" s="5">
        <f>IF(INDEX('CAMD Facility Data 2023'!$AC$2:$AE$10000,MATCH(Z1344,'CAMD Facility Data 2023'!$AE$2:$AE$10000,0),1)&gt;0,INDEX('CAMD Facility Data 2023'!$AC$2:$AE$10000,MATCH(Z1344,'CAMD Facility Data 2023'!$AE$2:$AE$10000,0),1),"")</f>
        <v>2800</v>
      </c>
      <c r="AC1344" s="1" t="str">
        <f>IF(INDEX('CAMD Facility Data 2023'!$AE$2:$AG$10000,MATCH(Z1344,'CAMD Facility Data 2023'!$AE$2:$AE$10000,0),3)&gt;0,INDEX('CAMD Facility Data 2023'!$AE$2:$AG$10000,MATCH(Z1344,'CAMD Facility Data 2023'!$AE$2:$AE$10000,0),3),"")</f>
        <v>Y</v>
      </c>
      <c r="AD1344" s="20">
        <f t="shared" si="61"/>
        <v>0.52404390105717014</v>
      </c>
      <c r="AE1344" s="25">
        <f t="shared" si="62"/>
        <v>0.65799497215427261</v>
      </c>
    </row>
    <row r="1345" spans="1:31" x14ac:dyDescent="0.2">
      <c r="A1345" s="1" t="s">
        <v>304</v>
      </c>
      <c r="B1345" s="1" t="s">
        <v>3377</v>
      </c>
      <c r="C1345" s="1">
        <v>6042</v>
      </c>
      <c r="D1345" s="1" t="s">
        <v>3378</v>
      </c>
      <c r="F1345" s="1">
        <v>2023</v>
      </c>
      <c r="G1345" s="5">
        <v>7006</v>
      </c>
      <c r="H1345" s="5">
        <v>6967.67</v>
      </c>
      <c r="I1345" s="5">
        <v>1852818.92</v>
      </c>
      <c r="K1345" s="5">
        <v>3.6749999999999998</v>
      </c>
      <c r="L1345" s="5">
        <v>1E-3</v>
      </c>
      <c r="M1345" s="5">
        <v>727893.05900000001</v>
      </c>
      <c r="N1345" s="6">
        <v>5.8999999999999997E-2</v>
      </c>
      <c r="O1345" s="5">
        <v>44.057000000000002</v>
      </c>
      <c r="P1345" s="6">
        <v>8.0000000000000002E-3</v>
      </c>
      <c r="Q1345" s="5">
        <v>12248150.457</v>
      </c>
      <c r="R1345" s="1" t="s">
        <v>44</v>
      </c>
      <c r="T1345" s="1" t="s">
        <v>71</v>
      </c>
      <c r="V1345" s="1" t="s">
        <v>64</v>
      </c>
      <c r="Y1345" s="1" t="s">
        <v>247</v>
      </c>
      <c r="Z1345" s="1" t="str">
        <f t="shared" si="60"/>
        <v>6042 MTCT3A</v>
      </c>
      <c r="AA1345" s="3">
        <f>IF(INDEX('CAMD Facility Data 2023'!$AA$2:$AE$10000,MATCH(Z1345,'CAMD Facility Data 2023'!$AE$2:$AE$10000,0),1)&gt;0,INDEX('CAMD Facility Data 2023'!$AA$2:$AE$10000,MATCH(Z1345,'CAMD Facility Data 2023'!$AE$2:$AE$10000,0),1),"")</f>
        <v>38495</v>
      </c>
      <c r="AB1345" s="5">
        <f>IF(INDEX('CAMD Facility Data 2023'!$AC$2:$AE$10000,MATCH(Z1345,'CAMD Facility Data 2023'!$AE$2:$AE$10000,0),1)&gt;0,INDEX('CAMD Facility Data 2023'!$AC$2:$AE$10000,MATCH(Z1345,'CAMD Facility Data 2023'!$AE$2:$AE$10000,0),1),"")</f>
        <v>2294.5</v>
      </c>
      <c r="AC1345" s="1" t="str">
        <f>IF(INDEX('CAMD Facility Data 2023'!$AE$2:$AG$10000,MATCH(Z1345,'CAMD Facility Data 2023'!$AE$2:$AE$10000,0),3)&gt;0,INDEX('CAMD Facility Data 2023'!$AE$2:$AG$10000,MATCH(Z1345,'CAMD Facility Data 2023'!$AE$2:$AE$10000,0),3),"")</f>
        <v>Y</v>
      </c>
      <c r="AD1345" s="20">
        <f t="shared" si="61"/>
        <v>4.755672507921066E-2</v>
      </c>
      <c r="AE1345" s="25">
        <f t="shared" si="62"/>
        <v>0.60936617626426504</v>
      </c>
    </row>
    <row r="1346" spans="1:31" x14ac:dyDescent="0.2">
      <c r="A1346" s="1" t="s">
        <v>304</v>
      </c>
      <c r="B1346" s="1" t="s">
        <v>3377</v>
      </c>
      <c r="C1346" s="1">
        <v>6042</v>
      </c>
      <c r="D1346" s="1" t="s">
        <v>3382</v>
      </c>
      <c r="F1346" s="1">
        <v>2023</v>
      </c>
      <c r="G1346" s="5">
        <v>6883</v>
      </c>
      <c r="H1346" s="5">
        <v>6836.59</v>
      </c>
      <c r="I1346" s="5">
        <v>1818732.31</v>
      </c>
      <c r="K1346" s="5">
        <v>3.6150000000000002</v>
      </c>
      <c r="L1346" s="5">
        <v>1E-3</v>
      </c>
      <c r="M1346" s="5">
        <v>716152.73899999994</v>
      </c>
      <c r="N1346" s="6">
        <v>5.8999999999999997E-2</v>
      </c>
      <c r="O1346" s="5">
        <v>49.43</v>
      </c>
      <c r="P1346" s="6">
        <v>9.1999999999999998E-3</v>
      </c>
      <c r="Q1346" s="5">
        <v>12050668.289999999</v>
      </c>
      <c r="R1346" s="1" t="s">
        <v>44</v>
      </c>
      <c r="T1346" s="1" t="s">
        <v>71</v>
      </c>
      <c r="V1346" s="1" t="s">
        <v>64</v>
      </c>
      <c r="Y1346" s="1" t="s">
        <v>247</v>
      </c>
      <c r="Z1346" s="1" t="str">
        <f t="shared" si="60"/>
        <v>6042 MTCT3B</v>
      </c>
      <c r="AA1346" s="3">
        <f>IF(INDEX('CAMD Facility Data 2023'!$AA$2:$AE$10000,MATCH(Z1346,'CAMD Facility Data 2023'!$AE$2:$AE$10000,0),1)&gt;0,INDEX('CAMD Facility Data 2023'!$AA$2:$AE$10000,MATCH(Z1346,'CAMD Facility Data 2023'!$AE$2:$AE$10000,0),1),"")</f>
        <v>38495</v>
      </c>
      <c r="AB1346" s="5">
        <f>IF(INDEX('CAMD Facility Data 2023'!$AC$2:$AE$10000,MATCH(Z1346,'CAMD Facility Data 2023'!$AE$2:$AE$10000,0),1)&gt;0,INDEX('CAMD Facility Data 2023'!$AC$2:$AE$10000,MATCH(Z1346,'CAMD Facility Data 2023'!$AE$2:$AE$10000,0),1),"")</f>
        <v>2294.5</v>
      </c>
      <c r="AC1346" s="1" t="str">
        <f>IF(INDEX('CAMD Facility Data 2023'!$AE$2:$AG$10000,MATCH(Z1346,'CAMD Facility Data 2023'!$AE$2:$AE$10000,0),3)&gt;0,INDEX('CAMD Facility Data 2023'!$AE$2:$AG$10000,MATCH(Z1346,'CAMD Facility Data 2023'!$AE$2:$AE$10000,0),3),"")</f>
        <v>Y</v>
      </c>
      <c r="AD1346" s="20">
        <f t="shared" si="61"/>
        <v>5.4356542442466418E-2</v>
      </c>
      <c r="AE1346" s="25">
        <f t="shared" si="62"/>
        <v>0.59954110484571499</v>
      </c>
    </row>
    <row r="1347" spans="1:31" x14ac:dyDescent="0.2">
      <c r="A1347" s="1" t="s">
        <v>304</v>
      </c>
      <c r="B1347" s="1" t="s">
        <v>3377</v>
      </c>
      <c r="C1347" s="1">
        <v>6042</v>
      </c>
      <c r="D1347" s="1" t="s">
        <v>3384</v>
      </c>
      <c r="F1347" s="1">
        <v>2023</v>
      </c>
      <c r="G1347" s="5">
        <v>6231</v>
      </c>
      <c r="H1347" s="5">
        <v>6115.93</v>
      </c>
      <c r="I1347" s="5">
        <v>1598366.56</v>
      </c>
      <c r="K1347" s="5">
        <v>3.1960000000000002</v>
      </c>
      <c r="L1347" s="5">
        <v>1E-3</v>
      </c>
      <c r="M1347" s="5">
        <v>632992.02899999998</v>
      </c>
      <c r="N1347" s="6">
        <v>5.8999999999999997E-2</v>
      </c>
      <c r="O1347" s="5">
        <v>45.597999999999999</v>
      </c>
      <c r="P1347" s="6">
        <v>1.17E-2</v>
      </c>
      <c r="Q1347" s="5">
        <v>10651238.107999999</v>
      </c>
      <c r="R1347" s="1" t="s">
        <v>44</v>
      </c>
      <c r="T1347" s="1" t="s">
        <v>71</v>
      </c>
      <c r="V1347" s="1" t="s">
        <v>64</v>
      </c>
      <c r="Y1347" s="1" t="s">
        <v>247</v>
      </c>
      <c r="Z1347" s="1" t="str">
        <f t="shared" ref="Z1347:Z1410" si="63">C1347&amp;" "&amp;D1347</f>
        <v>6042 MTCT3C</v>
      </c>
      <c r="AA1347" s="3">
        <f>IF(INDEX('CAMD Facility Data 2023'!$AA$2:$AE$10000,MATCH(Z1347,'CAMD Facility Data 2023'!$AE$2:$AE$10000,0),1)&gt;0,INDEX('CAMD Facility Data 2023'!$AA$2:$AE$10000,MATCH(Z1347,'CAMD Facility Data 2023'!$AE$2:$AE$10000,0),1),"")</f>
        <v>38495</v>
      </c>
      <c r="AB1347" s="5">
        <f>IF(INDEX('CAMD Facility Data 2023'!$AC$2:$AE$10000,MATCH(Z1347,'CAMD Facility Data 2023'!$AE$2:$AE$10000,0),1)&gt;0,INDEX('CAMD Facility Data 2023'!$AC$2:$AE$10000,MATCH(Z1347,'CAMD Facility Data 2023'!$AE$2:$AE$10000,0),1),"")</f>
        <v>2294.5</v>
      </c>
      <c r="AC1347" s="1" t="str">
        <f>IF(INDEX('CAMD Facility Data 2023'!$AE$2:$AG$10000,MATCH(Z1347,'CAMD Facility Data 2023'!$AE$2:$AE$10000,0),3)&gt;0,INDEX('CAMD Facility Data 2023'!$AE$2:$AG$10000,MATCH(Z1347,'CAMD Facility Data 2023'!$AE$2:$AE$10000,0),3),"")</f>
        <v>Y</v>
      </c>
      <c r="AD1347" s="20">
        <f t="shared" ref="AD1347:AD1410" si="64">IF(ISNUMBER(O1347*2000/I1347),O1347*2000/I1347,"")</f>
        <v>5.7055748213351007E-2</v>
      </c>
      <c r="AE1347" s="25">
        <f t="shared" ref="AE1347:AE1410" si="65">Q1347/(AB1347*8760)</f>
        <v>0.52991708920776404</v>
      </c>
    </row>
    <row r="1348" spans="1:31" x14ac:dyDescent="0.2">
      <c r="A1348" s="1" t="s">
        <v>304</v>
      </c>
      <c r="B1348" s="1" t="s">
        <v>3377</v>
      </c>
      <c r="C1348" s="1">
        <v>6042</v>
      </c>
      <c r="D1348" s="1" t="s">
        <v>3386</v>
      </c>
      <c r="F1348" s="1">
        <v>2023</v>
      </c>
      <c r="G1348" s="5">
        <v>5719</v>
      </c>
      <c r="H1348" s="5">
        <v>5560.76</v>
      </c>
      <c r="I1348" s="5">
        <v>1449713.37</v>
      </c>
      <c r="K1348" s="5">
        <v>2.8759999999999999</v>
      </c>
      <c r="L1348" s="5">
        <v>1E-3</v>
      </c>
      <c r="M1348" s="5">
        <v>569694.4</v>
      </c>
      <c r="N1348" s="6">
        <v>5.8999999999999997E-2</v>
      </c>
      <c r="O1348" s="5">
        <v>49.831000000000003</v>
      </c>
      <c r="P1348" s="6">
        <v>1.5699999999999999E-2</v>
      </c>
      <c r="Q1348" s="5">
        <v>9586096.0490000006</v>
      </c>
      <c r="R1348" s="1" t="s">
        <v>44</v>
      </c>
      <c r="T1348" s="1" t="s">
        <v>71</v>
      </c>
      <c r="V1348" s="1" t="s">
        <v>64</v>
      </c>
      <c r="Y1348" s="1" t="s">
        <v>247</v>
      </c>
      <c r="Z1348" s="1" t="str">
        <f t="shared" si="63"/>
        <v>6042 MTCT3D</v>
      </c>
      <c r="AA1348" s="3">
        <f>IF(INDEX('CAMD Facility Data 2023'!$AA$2:$AE$10000,MATCH(Z1348,'CAMD Facility Data 2023'!$AE$2:$AE$10000,0),1)&gt;0,INDEX('CAMD Facility Data 2023'!$AA$2:$AE$10000,MATCH(Z1348,'CAMD Facility Data 2023'!$AE$2:$AE$10000,0),1),"")</f>
        <v>38495</v>
      </c>
      <c r="AB1348" s="5">
        <f>IF(INDEX('CAMD Facility Data 2023'!$AC$2:$AE$10000,MATCH(Z1348,'CAMD Facility Data 2023'!$AE$2:$AE$10000,0),1)&gt;0,INDEX('CAMD Facility Data 2023'!$AC$2:$AE$10000,MATCH(Z1348,'CAMD Facility Data 2023'!$AE$2:$AE$10000,0),1),"")</f>
        <v>2294.5</v>
      </c>
      <c r="AC1348" s="1" t="str">
        <f>IF(INDEX('CAMD Facility Data 2023'!$AE$2:$AG$10000,MATCH(Z1348,'CAMD Facility Data 2023'!$AE$2:$AE$10000,0),3)&gt;0,INDEX('CAMD Facility Data 2023'!$AE$2:$AG$10000,MATCH(Z1348,'CAMD Facility Data 2023'!$AE$2:$AE$10000,0),3),"")</f>
        <v>Y</v>
      </c>
      <c r="AD1348" s="20">
        <f t="shared" si="64"/>
        <v>6.8746003218553467E-2</v>
      </c>
      <c r="AE1348" s="25">
        <f t="shared" si="65"/>
        <v>0.47692447240821068</v>
      </c>
    </row>
    <row r="1349" spans="1:31" x14ac:dyDescent="0.2">
      <c r="A1349" s="1" t="s">
        <v>304</v>
      </c>
      <c r="B1349" s="1" t="s">
        <v>3377</v>
      </c>
      <c r="C1349" s="1">
        <v>6042</v>
      </c>
      <c r="D1349" s="1" t="s">
        <v>3388</v>
      </c>
      <c r="F1349" s="1">
        <v>2023</v>
      </c>
      <c r="G1349" s="5">
        <v>137</v>
      </c>
      <c r="H1349" s="5">
        <v>133.31</v>
      </c>
      <c r="I1349" s="5">
        <v>21182.06</v>
      </c>
      <c r="K1349" s="5">
        <v>5.8470000000000004</v>
      </c>
      <c r="L1349" s="5">
        <v>1.77E-2</v>
      </c>
      <c r="M1349" s="5">
        <v>16109.611000000001</v>
      </c>
      <c r="N1349" s="6">
        <v>5.9700000000000003E-2</v>
      </c>
      <c r="O1349" s="5">
        <v>9.3350000000000009</v>
      </c>
      <c r="P1349" s="6">
        <v>5.9200000000000003E-2</v>
      </c>
      <c r="Q1349" s="5">
        <v>264787.06</v>
      </c>
      <c r="R1349" s="1" t="s">
        <v>44</v>
      </c>
      <c r="S1349" s="1" t="s">
        <v>173</v>
      </c>
      <c r="T1349" s="1" t="s">
        <v>89</v>
      </c>
      <c r="V1349" s="1" t="s">
        <v>90</v>
      </c>
      <c r="W1349" s="1" t="s">
        <v>672</v>
      </c>
      <c r="Y1349" s="1" t="s">
        <v>247</v>
      </c>
      <c r="Z1349" s="1" t="str">
        <f t="shared" si="63"/>
        <v>6042 PMT1</v>
      </c>
      <c r="AA1349" s="3">
        <f>IF(INDEX('CAMD Facility Data 2023'!$AA$2:$AE$10000,MATCH(Z1349,'CAMD Facility Data 2023'!$AE$2:$AE$10000,0),1)&gt;0,INDEX('CAMD Facility Data 2023'!$AA$2:$AE$10000,MATCH(Z1349,'CAMD Facility Data 2023'!$AE$2:$AE$10000,0),1),"")</f>
        <v>28059</v>
      </c>
      <c r="AB1349" s="5">
        <f>IF(INDEX('CAMD Facility Data 2023'!$AC$2:$AE$10000,MATCH(Z1349,'CAMD Facility Data 2023'!$AE$2:$AE$10000,0),1)&gt;0,INDEX('CAMD Facility Data 2023'!$AC$2:$AE$10000,MATCH(Z1349,'CAMD Facility Data 2023'!$AE$2:$AE$10000,0),1),"")</f>
        <v>8650</v>
      </c>
      <c r="AC1349" s="1" t="str">
        <f>IF(INDEX('CAMD Facility Data 2023'!$AE$2:$AG$10000,MATCH(Z1349,'CAMD Facility Data 2023'!$AE$2:$AE$10000,0),3)&gt;0,INDEX('CAMD Facility Data 2023'!$AE$2:$AG$10000,MATCH(Z1349,'CAMD Facility Data 2023'!$AE$2:$AE$10000,0),3),"")</f>
        <v/>
      </c>
      <c r="AD1349" s="20">
        <f t="shared" si="64"/>
        <v>0.88140624660679834</v>
      </c>
      <c r="AE1349" s="25">
        <f t="shared" si="65"/>
        <v>3.4944315992292869E-3</v>
      </c>
    </row>
    <row r="1350" spans="1:31" x14ac:dyDescent="0.2">
      <c r="A1350" s="1" t="s">
        <v>304</v>
      </c>
      <c r="B1350" s="1" t="s">
        <v>3377</v>
      </c>
      <c r="C1350" s="1">
        <v>6042</v>
      </c>
      <c r="D1350" s="1" t="s">
        <v>3390</v>
      </c>
      <c r="F1350" s="1">
        <v>2023</v>
      </c>
      <c r="G1350" s="5">
        <v>76</v>
      </c>
      <c r="H1350" s="5">
        <v>74.510000000000005</v>
      </c>
      <c r="I1350" s="5">
        <v>6681.79</v>
      </c>
      <c r="K1350" s="5">
        <v>0.36</v>
      </c>
      <c r="L1350" s="5">
        <v>2.8E-3</v>
      </c>
      <c r="M1350" s="5">
        <v>5135.808</v>
      </c>
      <c r="N1350" s="6">
        <v>5.9299999999999999E-2</v>
      </c>
      <c r="O1350" s="5">
        <v>4.7320000000000002</v>
      </c>
      <c r="P1350" s="6">
        <v>6.5699999999999995E-2</v>
      </c>
      <c r="Q1350" s="5">
        <v>86048.862999999998</v>
      </c>
      <c r="R1350" s="1" t="s">
        <v>44</v>
      </c>
      <c r="S1350" s="1" t="s">
        <v>173</v>
      </c>
      <c r="T1350" s="1" t="s">
        <v>89</v>
      </c>
      <c r="V1350" s="1" t="s">
        <v>90</v>
      </c>
      <c r="W1350" s="1" t="s">
        <v>672</v>
      </c>
      <c r="Y1350" s="1" t="s">
        <v>247</v>
      </c>
      <c r="Z1350" s="1" t="str">
        <f t="shared" si="63"/>
        <v>6042 PMT2</v>
      </c>
      <c r="AA1350" s="3">
        <f>IF(INDEX('CAMD Facility Data 2023'!$AA$2:$AE$10000,MATCH(Z1350,'CAMD Facility Data 2023'!$AE$2:$AE$10000,0),1)&gt;0,INDEX('CAMD Facility Data 2023'!$AA$2:$AE$10000,MATCH(Z1350,'CAMD Facility Data 2023'!$AE$2:$AE$10000,0),1),"")</f>
        <v>28466</v>
      </c>
      <c r="AB1350" s="5">
        <f>IF(INDEX('CAMD Facility Data 2023'!$AC$2:$AE$10000,MATCH(Z1350,'CAMD Facility Data 2023'!$AE$2:$AE$10000,0),1)&gt;0,INDEX('CAMD Facility Data 2023'!$AC$2:$AE$10000,MATCH(Z1350,'CAMD Facility Data 2023'!$AE$2:$AE$10000,0),1),"")</f>
        <v>8650</v>
      </c>
      <c r="AC1350" s="1" t="str">
        <f>IF(INDEX('CAMD Facility Data 2023'!$AE$2:$AG$10000,MATCH(Z1350,'CAMD Facility Data 2023'!$AE$2:$AE$10000,0),3)&gt;0,INDEX('CAMD Facility Data 2023'!$AE$2:$AG$10000,MATCH(Z1350,'CAMD Facility Data 2023'!$AE$2:$AE$10000,0),3),"")</f>
        <v/>
      </c>
      <c r="AD1350" s="20">
        <f t="shared" si="64"/>
        <v>1.4163869262577842</v>
      </c>
      <c r="AE1350" s="25">
        <f t="shared" si="65"/>
        <v>1.1355987937815082E-3</v>
      </c>
    </row>
    <row r="1351" spans="1:31" x14ac:dyDescent="0.2">
      <c r="A1351" s="1" t="s">
        <v>304</v>
      </c>
      <c r="B1351" s="1" t="s">
        <v>3392</v>
      </c>
      <c r="C1351" s="1">
        <v>6043</v>
      </c>
      <c r="D1351" s="1" t="s">
        <v>3393</v>
      </c>
      <c r="F1351" s="1">
        <v>2023</v>
      </c>
      <c r="G1351" s="5">
        <v>4149</v>
      </c>
      <c r="H1351" s="5">
        <v>3994.76</v>
      </c>
      <c r="I1351" s="5">
        <v>726041.13</v>
      </c>
      <c r="K1351" s="5">
        <v>1.6319999999999999</v>
      </c>
      <c r="L1351" s="5">
        <v>1E-3</v>
      </c>
      <c r="M1351" s="5">
        <v>323190.65999999997</v>
      </c>
      <c r="N1351" s="6">
        <v>5.8999999999999997E-2</v>
      </c>
      <c r="O1351" s="5">
        <v>78.152000000000001</v>
      </c>
      <c r="P1351" s="6">
        <v>3.78E-2</v>
      </c>
      <c r="Q1351" s="5">
        <v>5438238.8880000003</v>
      </c>
      <c r="R1351" s="1" t="s">
        <v>44</v>
      </c>
      <c r="T1351" s="1" t="s">
        <v>71</v>
      </c>
      <c r="V1351" s="1" t="s">
        <v>140</v>
      </c>
      <c r="Y1351" s="1" t="s">
        <v>247</v>
      </c>
      <c r="Z1351" s="1" t="str">
        <f t="shared" si="63"/>
        <v>6043 HRSG3A</v>
      </c>
      <c r="AA1351" s="3">
        <f>IF(INDEX('CAMD Facility Data 2023'!$AA$2:$AE$10000,MATCH(Z1351,'CAMD Facility Data 2023'!$AE$2:$AE$10000,0),1)&gt;0,INDEX('CAMD Facility Data 2023'!$AA$2:$AE$10000,MATCH(Z1351,'CAMD Facility Data 2023'!$AE$2:$AE$10000,0),1),"")</f>
        <v>34121</v>
      </c>
      <c r="AB1351" s="5">
        <f>IF(INDEX('CAMD Facility Data 2023'!$AC$2:$AE$10000,MATCH(Z1351,'CAMD Facility Data 2023'!$AE$2:$AE$10000,0),1)&gt;0,INDEX('CAMD Facility Data 2023'!$AC$2:$AE$10000,MATCH(Z1351,'CAMD Facility Data 2023'!$AE$2:$AE$10000,0),1),"")</f>
        <v>2022</v>
      </c>
      <c r="AC1351" s="1" t="str">
        <f>IF(INDEX('CAMD Facility Data 2023'!$AE$2:$AG$10000,MATCH(Z1351,'CAMD Facility Data 2023'!$AE$2:$AE$10000,0),3)&gt;0,INDEX('CAMD Facility Data 2023'!$AE$2:$AG$10000,MATCH(Z1351,'CAMD Facility Data 2023'!$AE$2:$AE$10000,0),3),"")</f>
        <v/>
      </c>
      <c r="AD1351" s="20">
        <f t="shared" si="64"/>
        <v>0.21528256945994231</v>
      </c>
      <c r="AE1351" s="25">
        <f t="shared" si="65"/>
        <v>0.30702449358427164</v>
      </c>
    </row>
    <row r="1352" spans="1:31" x14ac:dyDescent="0.2">
      <c r="A1352" s="1" t="s">
        <v>304</v>
      </c>
      <c r="B1352" s="1" t="s">
        <v>3392</v>
      </c>
      <c r="C1352" s="1">
        <v>6043</v>
      </c>
      <c r="D1352" s="1" t="s">
        <v>3397</v>
      </c>
      <c r="F1352" s="1">
        <v>2023</v>
      </c>
      <c r="G1352" s="5">
        <v>4317</v>
      </c>
      <c r="H1352" s="5">
        <v>4142.6499999999996</v>
      </c>
      <c r="I1352" s="5">
        <v>757666.97</v>
      </c>
      <c r="K1352" s="5">
        <v>1.694</v>
      </c>
      <c r="L1352" s="5">
        <v>1E-3</v>
      </c>
      <c r="M1352" s="5">
        <v>335569.92499999999</v>
      </c>
      <c r="N1352" s="6">
        <v>5.8999999999999997E-2</v>
      </c>
      <c r="O1352" s="5">
        <v>79.349000000000004</v>
      </c>
      <c r="P1352" s="6">
        <v>3.78E-2</v>
      </c>
      <c r="Q1352" s="5">
        <v>5646621.7450000001</v>
      </c>
      <c r="R1352" s="1" t="s">
        <v>44</v>
      </c>
      <c r="T1352" s="1" t="s">
        <v>71</v>
      </c>
      <c r="V1352" s="1" t="s">
        <v>140</v>
      </c>
      <c r="Y1352" s="1" t="s">
        <v>247</v>
      </c>
      <c r="Z1352" s="1" t="str">
        <f t="shared" si="63"/>
        <v>6043 HRSG3B</v>
      </c>
      <c r="AA1352" s="3">
        <f>IF(INDEX('CAMD Facility Data 2023'!$AA$2:$AE$10000,MATCH(Z1352,'CAMD Facility Data 2023'!$AE$2:$AE$10000,0),1)&gt;0,INDEX('CAMD Facility Data 2023'!$AA$2:$AE$10000,MATCH(Z1352,'CAMD Facility Data 2023'!$AE$2:$AE$10000,0),1),"")</f>
        <v>34121</v>
      </c>
      <c r="AB1352" s="5">
        <f>IF(INDEX('CAMD Facility Data 2023'!$AC$2:$AE$10000,MATCH(Z1352,'CAMD Facility Data 2023'!$AE$2:$AE$10000,0),1)&gt;0,INDEX('CAMD Facility Data 2023'!$AC$2:$AE$10000,MATCH(Z1352,'CAMD Facility Data 2023'!$AE$2:$AE$10000,0),1),"")</f>
        <v>2022</v>
      </c>
      <c r="AC1352" s="1" t="str">
        <f>IF(INDEX('CAMD Facility Data 2023'!$AE$2:$AG$10000,MATCH(Z1352,'CAMD Facility Data 2023'!$AE$2:$AE$10000,0),3)&gt;0,INDEX('CAMD Facility Data 2023'!$AE$2:$AG$10000,MATCH(Z1352,'CAMD Facility Data 2023'!$AE$2:$AE$10000,0),3),"")</f>
        <v/>
      </c>
      <c r="AD1352" s="20">
        <f t="shared" si="64"/>
        <v>0.20945614139679339</v>
      </c>
      <c r="AE1352" s="25">
        <f t="shared" si="65"/>
        <v>0.31878908180110116</v>
      </c>
    </row>
    <row r="1353" spans="1:31" x14ac:dyDescent="0.2">
      <c r="A1353" s="1" t="s">
        <v>304</v>
      </c>
      <c r="B1353" s="1" t="s">
        <v>3392</v>
      </c>
      <c r="C1353" s="1">
        <v>6043</v>
      </c>
      <c r="D1353" s="1" t="s">
        <v>3399</v>
      </c>
      <c r="F1353" s="1">
        <v>2023</v>
      </c>
      <c r="G1353" s="5">
        <v>4300</v>
      </c>
      <c r="H1353" s="5">
        <v>4129.2299999999996</v>
      </c>
      <c r="I1353" s="5">
        <v>775638.97</v>
      </c>
      <c r="K1353" s="5">
        <v>1.718</v>
      </c>
      <c r="L1353" s="5">
        <v>1E-3</v>
      </c>
      <c r="M1353" s="5">
        <v>340381.16800000001</v>
      </c>
      <c r="N1353" s="6">
        <v>5.8999999999999997E-2</v>
      </c>
      <c r="O1353" s="5">
        <v>82.501999999999995</v>
      </c>
      <c r="P1353" s="6">
        <v>3.9199999999999999E-2</v>
      </c>
      <c r="Q1353" s="5">
        <v>5727611.9450000003</v>
      </c>
      <c r="R1353" s="1" t="s">
        <v>44</v>
      </c>
      <c r="T1353" s="1" t="s">
        <v>71</v>
      </c>
      <c r="V1353" s="1" t="s">
        <v>140</v>
      </c>
      <c r="Y1353" s="1" t="s">
        <v>247</v>
      </c>
      <c r="Z1353" s="1" t="str">
        <f t="shared" si="63"/>
        <v>6043 HRSG4A</v>
      </c>
      <c r="AA1353" s="3">
        <f>IF(INDEX('CAMD Facility Data 2023'!$AA$2:$AE$10000,MATCH(Z1353,'CAMD Facility Data 2023'!$AE$2:$AE$10000,0),1)&gt;0,INDEX('CAMD Facility Data 2023'!$AA$2:$AE$10000,MATCH(Z1353,'CAMD Facility Data 2023'!$AE$2:$AE$10000,0),1),"")</f>
        <v>34132</v>
      </c>
      <c r="AB1353" s="5">
        <f>IF(INDEX('CAMD Facility Data 2023'!$AC$2:$AE$10000,MATCH(Z1353,'CAMD Facility Data 2023'!$AE$2:$AE$10000,0),1)&gt;0,INDEX('CAMD Facility Data 2023'!$AC$2:$AE$10000,MATCH(Z1353,'CAMD Facility Data 2023'!$AE$2:$AE$10000,0),1),"")</f>
        <v>2022</v>
      </c>
      <c r="AC1353" s="1" t="str">
        <f>IF(INDEX('CAMD Facility Data 2023'!$AE$2:$AG$10000,MATCH(Z1353,'CAMD Facility Data 2023'!$AE$2:$AE$10000,0),3)&gt;0,INDEX('CAMD Facility Data 2023'!$AE$2:$AG$10000,MATCH(Z1353,'CAMD Facility Data 2023'!$AE$2:$AE$10000,0),3),"")</f>
        <v/>
      </c>
      <c r="AD1353" s="20">
        <f t="shared" si="64"/>
        <v>0.21273299354724273</v>
      </c>
      <c r="AE1353" s="25">
        <f t="shared" si="65"/>
        <v>0.32336151336440705</v>
      </c>
    </row>
    <row r="1354" spans="1:31" x14ac:dyDescent="0.2">
      <c r="A1354" s="1" t="s">
        <v>304</v>
      </c>
      <c r="B1354" s="1" t="s">
        <v>3392</v>
      </c>
      <c r="C1354" s="1">
        <v>6043</v>
      </c>
      <c r="D1354" s="1" t="s">
        <v>3401</v>
      </c>
      <c r="F1354" s="1">
        <v>2023</v>
      </c>
      <c r="G1354" s="5">
        <v>4410</v>
      </c>
      <c r="H1354" s="5">
        <v>4247.05</v>
      </c>
      <c r="I1354" s="5">
        <v>793752.16</v>
      </c>
      <c r="K1354" s="5">
        <v>1.768</v>
      </c>
      <c r="L1354" s="5">
        <v>1E-3</v>
      </c>
      <c r="M1354" s="5">
        <v>350292.99800000002</v>
      </c>
      <c r="N1354" s="6">
        <v>5.8999999999999997E-2</v>
      </c>
      <c r="O1354" s="5">
        <v>86.409000000000006</v>
      </c>
      <c r="P1354" s="6">
        <v>3.9899999999999998E-2</v>
      </c>
      <c r="Q1354" s="5">
        <v>5894361.3789999997</v>
      </c>
      <c r="R1354" s="1" t="s">
        <v>44</v>
      </c>
      <c r="T1354" s="1" t="s">
        <v>71</v>
      </c>
      <c r="V1354" s="1" t="s">
        <v>140</v>
      </c>
      <c r="Y1354" s="1" t="s">
        <v>247</v>
      </c>
      <c r="Z1354" s="1" t="str">
        <f t="shared" si="63"/>
        <v>6043 HRSG4B</v>
      </c>
      <c r="AA1354" s="3">
        <f>IF(INDEX('CAMD Facility Data 2023'!$AA$2:$AE$10000,MATCH(Z1354,'CAMD Facility Data 2023'!$AE$2:$AE$10000,0),1)&gt;0,INDEX('CAMD Facility Data 2023'!$AA$2:$AE$10000,MATCH(Z1354,'CAMD Facility Data 2023'!$AE$2:$AE$10000,0),1),"")</f>
        <v>34132</v>
      </c>
      <c r="AB1354" s="5">
        <f>IF(INDEX('CAMD Facility Data 2023'!$AC$2:$AE$10000,MATCH(Z1354,'CAMD Facility Data 2023'!$AE$2:$AE$10000,0),1)&gt;0,INDEX('CAMD Facility Data 2023'!$AC$2:$AE$10000,MATCH(Z1354,'CAMD Facility Data 2023'!$AE$2:$AE$10000,0),1),"")</f>
        <v>2022</v>
      </c>
      <c r="AC1354" s="1" t="str">
        <f>IF(INDEX('CAMD Facility Data 2023'!$AE$2:$AG$10000,MATCH(Z1354,'CAMD Facility Data 2023'!$AE$2:$AE$10000,0),3)&gt;0,INDEX('CAMD Facility Data 2023'!$AE$2:$AG$10000,MATCH(Z1354,'CAMD Facility Data 2023'!$AE$2:$AE$10000,0),3),"")</f>
        <v/>
      </c>
      <c r="AD1354" s="20">
        <f t="shared" si="64"/>
        <v>0.21772287208642052</v>
      </c>
      <c r="AE1354" s="25">
        <f t="shared" si="65"/>
        <v>0.33277561994995686</v>
      </c>
    </row>
    <row r="1355" spans="1:31" x14ac:dyDescent="0.2">
      <c r="A1355" s="1" t="s">
        <v>304</v>
      </c>
      <c r="B1355" s="1" t="s">
        <v>3392</v>
      </c>
      <c r="C1355" s="1">
        <v>6043</v>
      </c>
      <c r="D1355" s="1" t="s">
        <v>3403</v>
      </c>
      <c r="F1355" s="1">
        <v>2023</v>
      </c>
      <c r="G1355" s="5">
        <v>6287</v>
      </c>
      <c r="H1355" s="5">
        <v>6118.75</v>
      </c>
      <c r="I1355" s="5">
        <v>1441384.48</v>
      </c>
      <c r="K1355" s="5">
        <v>2.984</v>
      </c>
      <c r="L1355" s="5">
        <v>1E-3</v>
      </c>
      <c r="M1355" s="5">
        <v>591041.70200000005</v>
      </c>
      <c r="N1355" s="6">
        <v>5.8999999999999997E-2</v>
      </c>
      <c r="O1355" s="5">
        <v>40.375</v>
      </c>
      <c r="P1355" s="6">
        <v>1.1599999999999999E-2</v>
      </c>
      <c r="Q1355" s="5">
        <v>9945315.932</v>
      </c>
      <c r="R1355" s="1" t="s">
        <v>44</v>
      </c>
      <c r="S1355" s="1" t="s">
        <v>94</v>
      </c>
      <c r="T1355" s="1" t="s">
        <v>71</v>
      </c>
      <c r="V1355" s="1" t="s">
        <v>3404</v>
      </c>
      <c r="Y1355" s="1" t="s">
        <v>247</v>
      </c>
      <c r="Z1355" s="1" t="str">
        <f t="shared" si="63"/>
        <v>6043 PMR8A</v>
      </c>
      <c r="AA1355" s="3">
        <f>IF(INDEX('CAMD Facility Data 2023'!$AA$2:$AE$10000,MATCH(Z1355,'CAMD Facility Data 2023'!$AE$2:$AE$10000,0),1)&gt;0,INDEX('CAMD Facility Data 2023'!$AA$2:$AE$10000,MATCH(Z1355,'CAMD Facility Data 2023'!$AE$2:$AE$10000,0),1),"")</f>
        <v>37056</v>
      </c>
      <c r="AB1355" s="5">
        <f>IF(INDEX('CAMD Facility Data 2023'!$AC$2:$AE$10000,MATCH(Z1355,'CAMD Facility Data 2023'!$AE$2:$AE$10000,0),1)&gt;0,INDEX('CAMD Facility Data 2023'!$AC$2:$AE$10000,MATCH(Z1355,'CAMD Facility Data 2023'!$AE$2:$AE$10000,0),1),"")</f>
        <v>2306</v>
      </c>
      <c r="AC1355" s="1" t="str">
        <f>IF(INDEX('CAMD Facility Data 2023'!$AE$2:$AG$10000,MATCH(Z1355,'CAMD Facility Data 2023'!$AE$2:$AE$10000,0),3)&gt;0,INDEX('CAMD Facility Data 2023'!$AE$2:$AG$10000,MATCH(Z1355,'CAMD Facility Data 2023'!$AE$2:$AE$10000,0),3),"")</f>
        <v>Y</v>
      </c>
      <c r="AD1355" s="20">
        <f t="shared" si="64"/>
        <v>5.6022526342173466E-2</v>
      </c>
      <c r="AE1355" s="25">
        <f t="shared" si="65"/>
        <v>0.49232872415418188</v>
      </c>
    </row>
    <row r="1356" spans="1:31" x14ac:dyDescent="0.2">
      <c r="A1356" s="1" t="s">
        <v>304</v>
      </c>
      <c r="B1356" s="1" t="s">
        <v>3392</v>
      </c>
      <c r="C1356" s="1">
        <v>6043</v>
      </c>
      <c r="D1356" s="1" t="s">
        <v>3406</v>
      </c>
      <c r="F1356" s="1">
        <v>2023</v>
      </c>
      <c r="G1356" s="5">
        <v>6737</v>
      </c>
      <c r="H1356" s="5">
        <v>6572.41</v>
      </c>
      <c r="I1356" s="5">
        <v>1517080.33</v>
      </c>
      <c r="K1356" s="5">
        <v>3.1389999999999998</v>
      </c>
      <c r="L1356" s="5">
        <v>1E-3</v>
      </c>
      <c r="M1356" s="5">
        <v>621649.848</v>
      </c>
      <c r="N1356" s="6">
        <v>5.8999999999999997E-2</v>
      </c>
      <c r="O1356" s="5">
        <v>44.820999999999998</v>
      </c>
      <c r="P1356" s="6">
        <v>1.26E-2</v>
      </c>
      <c r="Q1356" s="5">
        <v>10459685.291999999</v>
      </c>
      <c r="R1356" s="1" t="s">
        <v>44</v>
      </c>
      <c r="S1356" s="1" t="s">
        <v>94</v>
      </c>
      <c r="T1356" s="1" t="s">
        <v>71</v>
      </c>
      <c r="V1356" s="1" t="s">
        <v>3404</v>
      </c>
      <c r="Y1356" s="1" t="s">
        <v>247</v>
      </c>
      <c r="Z1356" s="1" t="str">
        <f t="shared" si="63"/>
        <v>6043 PMR8B</v>
      </c>
      <c r="AA1356" s="3">
        <f>IF(INDEX('CAMD Facility Data 2023'!$AA$2:$AE$10000,MATCH(Z1356,'CAMD Facility Data 2023'!$AE$2:$AE$10000,0),1)&gt;0,INDEX('CAMD Facility Data 2023'!$AA$2:$AE$10000,MATCH(Z1356,'CAMD Facility Data 2023'!$AE$2:$AE$10000,0),1),"")</f>
        <v>37056</v>
      </c>
      <c r="AB1356" s="5">
        <f>IF(INDEX('CAMD Facility Data 2023'!$AC$2:$AE$10000,MATCH(Z1356,'CAMD Facility Data 2023'!$AE$2:$AE$10000,0),1)&gt;0,INDEX('CAMD Facility Data 2023'!$AC$2:$AE$10000,MATCH(Z1356,'CAMD Facility Data 2023'!$AE$2:$AE$10000,0),1),"")</f>
        <v>2306</v>
      </c>
      <c r="AC1356" s="1" t="str">
        <f>IF(INDEX('CAMD Facility Data 2023'!$AE$2:$AG$10000,MATCH(Z1356,'CAMD Facility Data 2023'!$AE$2:$AE$10000,0),3)&gt;0,INDEX('CAMD Facility Data 2023'!$AE$2:$AG$10000,MATCH(Z1356,'CAMD Facility Data 2023'!$AE$2:$AE$10000,0),3),"")</f>
        <v>Y</v>
      </c>
      <c r="AD1356" s="20">
        <f t="shared" si="64"/>
        <v>5.9088499288630282E-2</v>
      </c>
      <c r="AE1356" s="25">
        <f t="shared" si="65"/>
        <v>0.51779184794876976</v>
      </c>
    </row>
    <row r="1357" spans="1:31" x14ac:dyDescent="0.2">
      <c r="A1357" s="1" t="s">
        <v>304</v>
      </c>
      <c r="B1357" s="1" t="s">
        <v>3392</v>
      </c>
      <c r="C1357" s="1">
        <v>6043</v>
      </c>
      <c r="D1357" s="1" t="s">
        <v>3408</v>
      </c>
      <c r="F1357" s="1">
        <v>2023</v>
      </c>
      <c r="G1357" s="5">
        <v>5340</v>
      </c>
      <c r="H1357" s="5">
        <v>5195.6899999999996</v>
      </c>
      <c r="I1357" s="5">
        <v>1250491.54</v>
      </c>
      <c r="K1357" s="5">
        <v>2.5339999999999998</v>
      </c>
      <c r="L1357" s="5">
        <v>1E-3</v>
      </c>
      <c r="M1357" s="5">
        <v>501246.31800000003</v>
      </c>
      <c r="N1357" s="6">
        <v>5.8999999999999997E-2</v>
      </c>
      <c r="O1357" s="5">
        <v>33.537999999999997</v>
      </c>
      <c r="P1357" s="6">
        <v>1.09E-2</v>
      </c>
      <c r="Q1357" s="5">
        <v>8430425.2960000001</v>
      </c>
      <c r="R1357" s="1" t="s">
        <v>44</v>
      </c>
      <c r="S1357" s="1" t="s">
        <v>94</v>
      </c>
      <c r="T1357" s="1" t="s">
        <v>71</v>
      </c>
      <c r="V1357" s="1" t="s">
        <v>643</v>
      </c>
      <c r="Y1357" s="1" t="s">
        <v>247</v>
      </c>
      <c r="Z1357" s="1" t="str">
        <f t="shared" si="63"/>
        <v>6043 PMR8C</v>
      </c>
      <c r="AA1357" s="3">
        <f>IF(INDEX('CAMD Facility Data 2023'!$AA$2:$AE$10000,MATCH(Z1357,'CAMD Facility Data 2023'!$AE$2:$AE$10000,0),1)&gt;0,INDEX('CAMD Facility Data 2023'!$AA$2:$AE$10000,MATCH(Z1357,'CAMD Facility Data 2023'!$AE$2:$AE$10000,0),1),"")</f>
        <v>38336</v>
      </c>
      <c r="AB1357" s="5">
        <f>IF(INDEX('CAMD Facility Data 2023'!$AC$2:$AE$10000,MATCH(Z1357,'CAMD Facility Data 2023'!$AE$2:$AE$10000,0),1)&gt;0,INDEX('CAMD Facility Data 2023'!$AC$2:$AE$10000,MATCH(Z1357,'CAMD Facility Data 2023'!$AE$2:$AE$10000,0),1),"")</f>
        <v>2306</v>
      </c>
      <c r="AC1357" s="1" t="str">
        <f>IF(INDEX('CAMD Facility Data 2023'!$AE$2:$AG$10000,MATCH(Z1357,'CAMD Facility Data 2023'!$AE$2:$AE$10000,0),3)&gt;0,INDEX('CAMD Facility Data 2023'!$AE$2:$AG$10000,MATCH(Z1357,'CAMD Facility Data 2023'!$AE$2:$AE$10000,0),3),"")</f>
        <v>Y</v>
      </c>
      <c r="AD1357" s="20">
        <f t="shared" si="64"/>
        <v>5.3639707150677722E-2</v>
      </c>
      <c r="AE1357" s="25">
        <f t="shared" si="65"/>
        <v>0.41733621721378023</v>
      </c>
    </row>
    <row r="1358" spans="1:31" x14ac:dyDescent="0.2">
      <c r="A1358" s="1" t="s">
        <v>304</v>
      </c>
      <c r="B1358" s="1" t="s">
        <v>3392</v>
      </c>
      <c r="C1358" s="1">
        <v>6043</v>
      </c>
      <c r="D1358" s="1" t="s">
        <v>3410</v>
      </c>
      <c r="F1358" s="1">
        <v>2023</v>
      </c>
      <c r="G1358" s="5">
        <v>5953</v>
      </c>
      <c r="H1358" s="5">
        <v>5819.38</v>
      </c>
      <c r="I1358" s="5">
        <v>1377514.23</v>
      </c>
      <c r="K1358" s="5">
        <v>2.7869999999999999</v>
      </c>
      <c r="L1358" s="5">
        <v>1E-3</v>
      </c>
      <c r="M1358" s="5">
        <v>552038.47699999996</v>
      </c>
      <c r="N1358" s="6">
        <v>5.8999999999999997E-2</v>
      </c>
      <c r="O1358" s="5">
        <v>35.340000000000003</v>
      </c>
      <c r="P1358" s="6">
        <v>1.01E-2</v>
      </c>
      <c r="Q1358" s="5">
        <v>9289137.4279999994</v>
      </c>
      <c r="R1358" s="1" t="s">
        <v>44</v>
      </c>
      <c r="S1358" s="1" t="s">
        <v>94</v>
      </c>
      <c r="T1358" s="1" t="s">
        <v>71</v>
      </c>
      <c r="V1358" s="1" t="s">
        <v>643</v>
      </c>
      <c r="Y1358" s="1" t="s">
        <v>247</v>
      </c>
      <c r="Z1358" s="1" t="str">
        <f t="shared" si="63"/>
        <v>6043 PMR8D</v>
      </c>
      <c r="AA1358" s="3">
        <f>IF(INDEX('CAMD Facility Data 2023'!$AA$2:$AE$10000,MATCH(Z1358,'CAMD Facility Data 2023'!$AE$2:$AE$10000,0),1)&gt;0,INDEX('CAMD Facility Data 2023'!$AA$2:$AE$10000,MATCH(Z1358,'CAMD Facility Data 2023'!$AE$2:$AE$10000,0),1),"")</f>
        <v>38331</v>
      </c>
      <c r="AB1358" s="5">
        <f>IF(INDEX('CAMD Facility Data 2023'!$AC$2:$AE$10000,MATCH(Z1358,'CAMD Facility Data 2023'!$AE$2:$AE$10000,0),1)&gt;0,INDEX('CAMD Facility Data 2023'!$AC$2:$AE$10000,MATCH(Z1358,'CAMD Facility Data 2023'!$AE$2:$AE$10000,0),1),"")</f>
        <v>2306</v>
      </c>
      <c r="AC1358" s="1" t="str">
        <f>IF(INDEX('CAMD Facility Data 2023'!$AE$2:$AG$10000,MATCH(Z1358,'CAMD Facility Data 2023'!$AE$2:$AE$10000,0),3)&gt;0,INDEX('CAMD Facility Data 2023'!$AE$2:$AG$10000,MATCH(Z1358,'CAMD Facility Data 2023'!$AE$2:$AE$10000,0),3),"")</f>
        <v>Y</v>
      </c>
      <c r="AD1358" s="20">
        <f t="shared" si="64"/>
        <v>5.1309814781368902E-2</v>
      </c>
      <c r="AE1358" s="25">
        <f t="shared" si="65"/>
        <v>0.45984554032165442</v>
      </c>
    </row>
    <row r="1359" spans="1:31" x14ac:dyDescent="0.2">
      <c r="A1359" s="1" t="s">
        <v>304</v>
      </c>
      <c r="B1359" s="1" t="s">
        <v>3412</v>
      </c>
      <c r="C1359" s="1">
        <v>6046</v>
      </c>
      <c r="D1359" s="1" t="s">
        <v>3413</v>
      </c>
      <c r="F1359" s="1">
        <v>2023</v>
      </c>
      <c r="G1359" s="5">
        <v>58</v>
      </c>
      <c r="H1359" s="5">
        <v>43.88</v>
      </c>
      <c r="I1359" s="5">
        <v>1955.33</v>
      </c>
      <c r="K1359" s="5">
        <v>0.245</v>
      </c>
      <c r="L1359" s="5">
        <v>1.7000000000000001E-2</v>
      </c>
      <c r="M1359" s="5">
        <v>2295.857</v>
      </c>
      <c r="N1359" s="6">
        <v>8.1000000000000003E-2</v>
      </c>
      <c r="O1359" s="5">
        <v>1.879</v>
      </c>
      <c r="P1359" s="6">
        <v>0.16300000000000001</v>
      </c>
      <c r="Q1359" s="5">
        <v>28294.295999999998</v>
      </c>
      <c r="R1359" s="1" t="s">
        <v>94</v>
      </c>
      <c r="T1359" s="1" t="s">
        <v>93</v>
      </c>
      <c r="V1359" s="1" t="s">
        <v>95</v>
      </c>
      <c r="Y1359" s="1" t="s">
        <v>247</v>
      </c>
      <c r="Z1359" s="1" t="str">
        <f t="shared" si="63"/>
        <v>6046 **10</v>
      </c>
      <c r="AA1359" s="3">
        <f>IF(INDEX('CAMD Facility Data 2023'!$AA$2:$AE$10000,MATCH(Z1359,'CAMD Facility Data 2023'!$AE$2:$AE$10000,0),1)&gt;0,INDEX('CAMD Facility Data 2023'!$AA$2:$AE$10000,MATCH(Z1359,'CAMD Facility Data 2023'!$AE$2:$AE$10000,0),1),"")</f>
        <v>33909</v>
      </c>
      <c r="AB1359" s="5">
        <f>IF(INDEX('CAMD Facility Data 2023'!$AC$2:$AE$10000,MATCH(Z1359,'CAMD Facility Data 2023'!$AE$2:$AE$10000,0),1)&gt;0,INDEX('CAMD Facility Data 2023'!$AC$2:$AE$10000,MATCH(Z1359,'CAMD Facility Data 2023'!$AE$2:$AE$10000,0),1),"")</f>
        <v>1159</v>
      </c>
      <c r="AC1359" s="1" t="str">
        <f>IF(INDEX('CAMD Facility Data 2023'!$AE$2:$AG$10000,MATCH(Z1359,'CAMD Facility Data 2023'!$AE$2:$AE$10000,0),3)&gt;0,INDEX('CAMD Facility Data 2023'!$AE$2:$AG$10000,MATCH(Z1359,'CAMD Facility Data 2023'!$AE$2:$AE$10000,0),3),"")</f>
        <v/>
      </c>
      <c r="AD1359" s="20">
        <f t="shared" si="64"/>
        <v>1.9219262221722164</v>
      </c>
      <c r="AE1359" s="25">
        <f t="shared" si="65"/>
        <v>2.786835604619003E-3</v>
      </c>
    </row>
    <row r="1360" spans="1:31" x14ac:dyDescent="0.2">
      <c r="A1360" s="1" t="s">
        <v>304</v>
      </c>
      <c r="B1360" s="1" t="s">
        <v>3412</v>
      </c>
      <c r="C1360" s="1">
        <v>6046</v>
      </c>
      <c r="D1360" s="1" t="s">
        <v>3415</v>
      </c>
      <c r="F1360" s="1">
        <v>2023</v>
      </c>
      <c r="G1360" s="5">
        <v>917</v>
      </c>
      <c r="H1360" s="5">
        <v>744.4</v>
      </c>
      <c r="I1360" s="5">
        <v>40781.769999999997</v>
      </c>
      <c r="K1360" s="5">
        <v>0.29299999999999998</v>
      </c>
      <c r="L1360" s="5">
        <v>1.4E-3</v>
      </c>
      <c r="M1360" s="5">
        <v>33276.493000000002</v>
      </c>
      <c r="N1360" s="6">
        <v>5.9700000000000003E-2</v>
      </c>
      <c r="O1360" s="5">
        <v>21.097000000000001</v>
      </c>
      <c r="P1360" s="6">
        <v>7.8899999999999998E-2</v>
      </c>
      <c r="Q1360" s="5">
        <v>554357.24800000002</v>
      </c>
      <c r="R1360" s="1" t="s">
        <v>44</v>
      </c>
      <c r="S1360" s="1" t="s">
        <v>94</v>
      </c>
      <c r="T1360" s="1" t="s">
        <v>93</v>
      </c>
      <c r="V1360" s="1" t="s">
        <v>95</v>
      </c>
      <c r="Y1360" s="1" t="s">
        <v>247</v>
      </c>
      <c r="Z1360" s="1" t="str">
        <f t="shared" si="63"/>
        <v>6046 **7</v>
      </c>
      <c r="AA1360" s="3">
        <f>IF(INDEX('CAMD Facility Data 2023'!$AA$2:$AE$10000,MATCH(Z1360,'CAMD Facility Data 2023'!$AE$2:$AE$10000,0),1)&gt;0,INDEX('CAMD Facility Data 2023'!$AA$2:$AE$10000,MATCH(Z1360,'CAMD Facility Data 2023'!$AE$2:$AE$10000,0),1),"")</f>
        <v>33909</v>
      </c>
      <c r="AB1360" s="5">
        <f>IF(INDEX('CAMD Facility Data 2023'!$AC$2:$AE$10000,MATCH(Z1360,'CAMD Facility Data 2023'!$AE$2:$AE$10000,0),1)&gt;0,INDEX('CAMD Facility Data 2023'!$AC$2:$AE$10000,MATCH(Z1360,'CAMD Facility Data 2023'!$AE$2:$AE$10000,0),1),"")</f>
        <v>1228.5</v>
      </c>
      <c r="AC1360" s="1" t="str">
        <f>IF(INDEX('CAMD Facility Data 2023'!$AE$2:$AG$10000,MATCH(Z1360,'CAMD Facility Data 2023'!$AE$2:$AE$10000,0),3)&gt;0,INDEX('CAMD Facility Data 2023'!$AE$2:$AG$10000,MATCH(Z1360,'CAMD Facility Data 2023'!$AE$2:$AE$10000,0),3),"")</f>
        <v/>
      </c>
      <c r="AD1360" s="20">
        <f t="shared" si="64"/>
        <v>1.0346289530836941</v>
      </c>
      <c r="AE1360" s="25">
        <f t="shared" si="65"/>
        <v>5.1512243278453329E-2</v>
      </c>
    </row>
    <row r="1361" spans="1:31" x14ac:dyDescent="0.2">
      <c r="A1361" s="1" t="s">
        <v>304</v>
      </c>
      <c r="B1361" s="1" t="s">
        <v>3412</v>
      </c>
      <c r="C1361" s="1">
        <v>6046</v>
      </c>
      <c r="D1361" s="1" t="s">
        <v>894</v>
      </c>
      <c r="F1361" s="1">
        <v>2023</v>
      </c>
      <c r="G1361" s="5">
        <v>689</v>
      </c>
      <c r="H1361" s="5">
        <v>568.02</v>
      </c>
      <c r="I1361" s="5">
        <v>30981.56</v>
      </c>
      <c r="K1361" s="5">
        <v>0.33</v>
      </c>
      <c r="L1361" s="5">
        <v>1.9E-3</v>
      </c>
      <c r="M1361" s="5">
        <v>26336.897000000001</v>
      </c>
      <c r="N1361" s="6">
        <v>6.0400000000000002E-2</v>
      </c>
      <c r="O1361" s="5">
        <v>14.977</v>
      </c>
      <c r="P1361" s="6">
        <v>7.51E-2</v>
      </c>
      <c r="Q1361" s="5">
        <v>434511.41399999999</v>
      </c>
      <c r="R1361" s="1" t="s">
        <v>44</v>
      </c>
      <c r="S1361" s="1" t="s">
        <v>94</v>
      </c>
      <c r="T1361" s="1" t="s">
        <v>93</v>
      </c>
      <c r="V1361" s="1" t="s">
        <v>95</v>
      </c>
      <c r="Y1361" s="1" t="s">
        <v>247</v>
      </c>
      <c r="Z1361" s="1" t="str">
        <f t="shared" si="63"/>
        <v>6046 **8</v>
      </c>
      <c r="AA1361" s="3">
        <f>IF(INDEX('CAMD Facility Data 2023'!$AA$2:$AE$10000,MATCH(Z1361,'CAMD Facility Data 2023'!$AE$2:$AE$10000,0),1)&gt;0,INDEX('CAMD Facility Data 2023'!$AA$2:$AE$10000,MATCH(Z1361,'CAMD Facility Data 2023'!$AE$2:$AE$10000,0),1),"")</f>
        <v>33909</v>
      </c>
      <c r="AB1361" s="5">
        <f>IF(INDEX('CAMD Facility Data 2023'!$AC$2:$AE$10000,MATCH(Z1361,'CAMD Facility Data 2023'!$AE$2:$AE$10000,0),1)&gt;0,INDEX('CAMD Facility Data 2023'!$AC$2:$AE$10000,MATCH(Z1361,'CAMD Facility Data 2023'!$AE$2:$AE$10000,0),1),"")</f>
        <v>1228.5</v>
      </c>
      <c r="AC1361" s="1" t="str">
        <f>IF(INDEX('CAMD Facility Data 2023'!$AE$2:$AG$10000,MATCH(Z1361,'CAMD Facility Data 2023'!$AE$2:$AE$10000,0),3)&gt;0,INDEX('CAMD Facility Data 2023'!$AE$2:$AG$10000,MATCH(Z1361,'CAMD Facility Data 2023'!$AE$2:$AE$10000,0),3),"")</f>
        <v/>
      </c>
      <c r="AD1361" s="20">
        <f t="shared" si="64"/>
        <v>0.96683317431401128</v>
      </c>
      <c r="AE1361" s="25">
        <f t="shared" si="65"/>
        <v>4.0375872681352135E-2</v>
      </c>
    </row>
    <row r="1362" spans="1:31" x14ac:dyDescent="0.2">
      <c r="A1362" s="1" t="s">
        <v>304</v>
      </c>
      <c r="B1362" s="1" t="s">
        <v>3412</v>
      </c>
      <c r="C1362" s="1">
        <v>6046</v>
      </c>
      <c r="D1362" s="1" t="s">
        <v>3418</v>
      </c>
      <c r="F1362" s="1">
        <v>2023</v>
      </c>
      <c r="G1362" s="5">
        <v>692</v>
      </c>
      <c r="H1362" s="5">
        <v>564.91</v>
      </c>
      <c r="I1362" s="5">
        <v>29804.639999999999</v>
      </c>
      <c r="K1362" s="5">
        <v>0.30499999999999999</v>
      </c>
      <c r="L1362" s="5">
        <v>2E-3</v>
      </c>
      <c r="M1362" s="5">
        <v>25035.753000000001</v>
      </c>
      <c r="N1362" s="6">
        <v>6.0499999999999998E-2</v>
      </c>
      <c r="O1362" s="5">
        <v>15.65</v>
      </c>
      <c r="P1362" s="6">
        <v>9.9699999999999997E-2</v>
      </c>
      <c r="Q1362" s="5">
        <v>413310.386</v>
      </c>
      <c r="R1362" s="1" t="s">
        <v>44</v>
      </c>
      <c r="S1362" s="1" t="s">
        <v>94</v>
      </c>
      <c r="T1362" s="1" t="s">
        <v>93</v>
      </c>
      <c r="V1362" s="1" t="s">
        <v>95</v>
      </c>
      <c r="Y1362" s="1" t="s">
        <v>247</v>
      </c>
      <c r="Z1362" s="1" t="str">
        <f t="shared" si="63"/>
        <v>6046 **9</v>
      </c>
      <c r="AA1362" s="3">
        <f>IF(INDEX('CAMD Facility Data 2023'!$AA$2:$AE$10000,MATCH(Z1362,'CAMD Facility Data 2023'!$AE$2:$AE$10000,0),1)&gt;0,INDEX('CAMD Facility Data 2023'!$AA$2:$AE$10000,MATCH(Z1362,'CAMD Facility Data 2023'!$AE$2:$AE$10000,0),1),"")</f>
        <v>33909</v>
      </c>
      <c r="AB1362" s="5">
        <f>IF(INDEX('CAMD Facility Data 2023'!$AC$2:$AE$10000,MATCH(Z1362,'CAMD Facility Data 2023'!$AE$2:$AE$10000,0),1)&gt;0,INDEX('CAMD Facility Data 2023'!$AC$2:$AE$10000,MATCH(Z1362,'CAMD Facility Data 2023'!$AE$2:$AE$10000,0),1),"")</f>
        <v>1228.5</v>
      </c>
      <c r="AC1362" s="1" t="str">
        <f>IF(INDEX('CAMD Facility Data 2023'!$AE$2:$AG$10000,MATCH(Z1362,'CAMD Facility Data 2023'!$AE$2:$AE$10000,0),3)&gt;0,INDEX('CAMD Facility Data 2023'!$AE$2:$AG$10000,MATCH(Z1362,'CAMD Facility Data 2023'!$AE$2:$AE$10000,0),3),"")</f>
        <v/>
      </c>
      <c r="AD1362" s="20">
        <f t="shared" si="64"/>
        <v>1.050172053747336</v>
      </c>
      <c r="AE1362" s="25">
        <f t="shared" si="65"/>
        <v>3.8405820849199843E-2</v>
      </c>
    </row>
    <row r="1363" spans="1:31" x14ac:dyDescent="0.2">
      <c r="A1363" s="1" t="s">
        <v>1426</v>
      </c>
      <c r="B1363" s="1" t="s">
        <v>3420</v>
      </c>
      <c r="C1363" s="1">
        <v>6055</v>
      </c>
      <c r="D1363" s="1" t="s">
        <v>3421</v>
      </c>
      <c r="F1363" s="1">
        <v>2023</v>
      </c>
      <c r="G1363" s="5">
        <v>1069</v>
      </c>
      <c r="H1363" s="5">
        <v>1054.8399999999999</v>
      </c>
      <c r="I1363" s="5">
        <v>334795.13</v>
      </c>
      <c r="K1363" s="5">
        <v>512.67899999999997</v>
      </c>
      <c r="L1363" s="5">
        <v>0.27129999999999999</v>
      </c>
      <c r="M1363" s="5">
        <v>336267.67</v>
      </c>
      <c r="N1363" s="6">
        <v>9.8900000000000002E-2</v>
      </c>
      <c r="O1363" s="5">
        <v>209.65</v>
      </c>
      <c r="P1363" s="6">
        <v>0.11799999999999999</v>
      </c>
      <c r="Q1363" s="5">
        <v>3236152.0070000002</v>
      </c>
      <c r="R1363" s="1" t="s">
        <v>55</v>
      </c>
      <c r="S1363" s="1" t="s">
        <v>44</v>
      </c>
      <c r="T1363" s="1" t="s">
        <v>89</v>
      </c>
      <c r="U1363" s="1" t="s">
        <v>1009</v>
      </c>
      <c r="V1363" s="1" t="s">
        <v>1221</v>
      </c>
      <c r="W1363" s="1" t="s">
        <v>58</v>
      </c>
      <c r="X1363" s="1" t="s">
        <v>214</v>
      </c>
      <c r="Y1363" s="1" t="s">
        <v>1440</v>
      </c>
      <c r="Z1363" s="1" t="str">
        <f t="shared" si="63"/>
        <v>6055 2B1</v>
      </c>
      <c r="AA1363" s="3">
        <f>IF(INDEX('CAMD Facility Data 2023'!$AA$2:$AE$10000,MATCH(Z1363,'CAMD Facility Data 2023'!$AE$2:$AE$10000,0),1)&gt;0,INDEX('CAMD Facility Data 2023'!$AA$2:$AE$10000,MATCH(Z1363,'CAMD Facility Data 2023'!$AE$2:$AE$10000,0),1),"")</f>
        <v>29403</v>
      </c>
      <c r="AB1363" s="5">
        <f>IF(INDEX('CAMD Facility Data 2023'!$AC$2:$AE$10000,MATCH(Z1363,'CAMD Facility Data 2023'!$AE$2:$AE$10000,0),1)&gt;0,INDEX('CAMD Facility Data 2023'!$AC$2:$AE$10000,MATCH(Z1363,'CAMD Facility Data 2023'!$AE$2:$AE$10000,0),1),"")</f>
        <v>6420</v>
      </c>
      <c r="AC1363" s="1" t="str">
        <f>IF(INDEX('CAMD Facility Data 2023'!$AE$2:$AG$10000,MATCH(Z1363,'CAMD Facility Data 2023'!$AE$2:$AE$10000,0),3)&gt;0,INDEX('CAMD Facility Data 2023'!$AE$2:$AG$10000,MATCH(Z1363,'CAMD Facility Data 2023'!$AE$2:$AE$10000,0),3),"")</f>
        <v>Y</v>
      </c>
      <c r="AD1363" s="20">
        <f t="shared" si="64"/>
        <v>1.2524077037799206</v>
      </c>
      <c r="AE1363" s="25">
        <f t="shared" si="65"/>
        <v>5.7542639422324647E-2</v>
      </c>
    </row>
    <row r="1364" spans="1:31" x14ac:dyDescent="0.2">
      <c r="A1364" s="1" t="s">
        <v>1426</v>
      </c>
      <c r="B1364" s="1" t="s">
        <v>3420</v>
      </c>
      <c r="C1364" s="1">
        <v>6055</v>
      </c>
      <c r="D1364" s="1" t="s">
        <v>3423</v>
      </c>
      <c r="F1364" s="1">
        <v>2023</v>
      </c>
      <c r="G1364" s="5">
        <v>3520</v>
      </c>
      <c r="H1364" s="5">
        <v>3507.93</v>
      </c>
      <c r="I1364" s="5">
        <v>1002917.61</v>
      </c>
      <c r="K1364" s="5">
        <v>3.21</v>
      </c>
      <c r="L1364" s="5">
        <v>1E-3</v>
      </c>
      <c r="M1364" s="5">
        <v>648926.64199999999</v>
      </c>
      <c r="N1364" s="6">
        <v>6.0900000000000003E-2</v>
      </c>
      <c r="O1364" s="5">
        <v>430.44900000000001</v>
      </c>
      <c r="P1364" s="6">
        <v>7.7799999999999994E-2</v>
      </c>
      <c r="Q1364" s="5">
        <v>10705073.204</v>
      </c>
      <c r="R1364" s="1" t="s">
        <v>44</v>
      </c>
      <c r="T1364" s="1" t="s">
        <v>89</v>
      </c>
      <c r="V1364" s="1" t="s">
        <v>3424</v>
      </c>
      <c r="Y1364" s="1" t="s">
        <v>1428</v>
      </c>
      <c r="Z1364" s="1" t="str">
        <f t="shared" si="63"/>
        <v>6055 2B2</v>
      </c>
      <c r="AA1364" s="3">
        <f>IF(INDEX('CAMD Facility Data 2023'!$AA$2:$AE$10000,MATCH(Z1364,'CAMD Facility Data 2023'!$AE$2:$AE$10000,0),1)&gt;0,INDEX('CAMD Facility Data 2023'!$AA$2:$AE$10000,MATCH(Z1364,'CAMD Facility Data 2023'!$AE$2:$AE$10000,0),1),"")</f>
        <v>29646</v>
      </c>
      <c r="AB1364" s="5">
        <f>IF(INDEX('CAMD Facility Data 2023'!$AC$2:$AE$10000,MATCH(Z1364,'CAMD Facility Data 2023'!$AE$2:$AE$10000,0),1)&gt;0,INDEX('CAMD Facility Data 2023'!$AC$2:$AE$10000,MATCH(Z1364,'CAMD Facility Data 2023'!$AE$2:$AE$10000,0),1),"")</f>
        <v>6420</v>
      </c>
      <c r="AC1364" s="1" t="str">
        <f>IF(INDEX('CAMD Facility Data 2023'!$AE$2:$AG$10000,MATCH(Z1364,'CAMD Facility Data 2023'!$AE$2:$AE$10000,0),3)&gt;0,INDEX('CAMD Facility Data 2023'!$AE$2:$AG$10000,MATCH(Z1364,'CAMD Facility Data 2023'!$AE$2:$AE$10000,0),3),"")</f>
        <v>Y</v>
      </c>
      <c r="AD1364" s="20">
        <f t="shared" si="64"/>
        <v>0.85839354241670962</v>
      </c>
      <c r="AE1364" s="25">
        <f t="shared" si="65"/>
        <v>0.1903489595157826</v>
      </c>
    </row>
    <row r="1365" spans="1:31" x14ac:dyDescent="0.2">
      <c r="A1365" s="1" t="s">
        <v>1426</v>
      </c>
      <c r="B1365" s="1" t="s">
        <v>3420</v>
      </c>
      <c r="C1365" s="1">
        <v>6055</v>
      </c>
      <c r="D1365" s="1" t="s">
        <v>3426</v>
      </c>
      <c r="F1365" s="1">
        <v>2023</v>
      </c>
      <c r="G1365" s="5">
        <v>3249</v>
      </c>
      <c r="H1365" s="5">
        <v>3236.18</v>
      </c>
      <c r="I1365" s="5">
        <v>1127781.49</v>
      </c>
      <c r="K1365" s="5">
        <v>3170.279</v>
      </c>
      <c r="L1365" s="5">
        <v>0.4738</v>
      </c>
      <c r="M1365" s="5">
        <v>1322833.618</v>
      </c>
      <c r="N1365" s="6">
        <v>0.10340000000000001</v>
      </c>
      <c r="O1365" s="5">
        <v>748.68499999999995</v>
      </c>
      <c r="P1365" s="6">
        <v>0.1144</v>
      </c>
      <c r="Q1365" s="5">
        <v>12642603.004000001</v>
      </c>
      <c r="R1365" s="1" t="s">
        <v>55</v>
      </c>
      <c r="S1365" s="1" t="s">
        <v>44</v>
      </c>
      <c r="T1365" s="1" t="s">
        <v>89</v>
      </c>
      <c r="V1365" s="1" t="s">
        <v>1221</v>
      </c>
      <c r="W1365" s="1" t="s">
        <v>58</v>
      </c>
      <c r="X1365" s="1" t="s">
        <v>937</v>
      </c>
      <c r="Y1365" s="1" t="s">
        <v>1440</v>
      </c>
      <c r="Z1365" s="1" t="str">
        <f t="shared" si="63"/>
        <v>6055 2B3</v>
      </c>
      <c r="AA1365" s="3">
        <f>IF(INDEX('CAMD Facility Data 2023'!$AA$2:$AE$10000,MATCH(Z1365,'CAMD Facility Data 2023'!$AE$2:$AE$10000,0),1)&gt;0,INDEX('CAMD Facility Data 2023'!$AA$2:$AE$10000,MATCH(Z1365,'CAMD Facility Data 2023'!$AE$2:$AE$10000,0),1),"")</f>
        <v>30682</v>
      </c>
      <c r="AB1365" s="5">
        <f>IF(INDEX('CAMD Facility Data 2023'!$AC$2:$AE$10000,MATCH(Z1365,'CAMD Facility Data 2023'!$AE$2:$AE$10000,0),1)&gt;0,INDEX('CAMD Facility Data 2023'!$AC$2:$AE$10000,MATCH(Z1365,'CAMD Facility Data 2023'!$AE$2:$AE$10000,0),1),"")</f>
        <v>6420</v>
      </c>
      <c r="AC1365" s="1" t="str">
        <f>IF(INDEX('CAMD Facility Data 2023'!$AE$2:$AG$10000,MATCH(Z1365,'CAMD Facility Data 2023'!$AE$2:$AE$10000,0),3)&gt;0,INDEX('CAMD Facility Data 2023'!$AE$2:$AG$10000,MATCH(Z1365,'CAMD Facility Data 2023'!$AE$2:$AE$10000,0),3),"")</f>
        <v>Y</v>
      </c>
      <c r="AD1365" s="20">
        <f t="shared" si="64"/>
        <v>1.3277128710456136</v>
      </c>
      <c r="AE1365" s="25">
        <f t="shared" si="65"/>
        <v>0.22480054844307887</v>
      </c>
    </row>
    <row r="1366" spans="1:31" x14ac:dyDescent="0.2">
      <c r="A1366" s="1" t="s">
        <v>1663</v>
      </c>
      <c r="B1366" s="1" t="s">
        <v>3429</v>
      </c>
      <c r="C1366" s="1">
        <v>6058</v>
      </c>
      <c r="D1366" s="1" t="s">
        <v>311</v>
      </c>
      <c r="F1366" s="1">
        <v>2023</v>
      </c>
      <c r="G1366" s="5">
        <v>207</v>
      </c>
      <c r="H1366" s="5">
        <v>157.94</v>
      </c>
      <c r="I1366" s="5">
        <v>0</v>
      </c>
      <c r="K1366" s="5">
        <v>0.91300000000000003</v>
      </c>
      <c r="L1366" s="5">
        <v>4.6699999999999998E-2</v>
      </c>
      <c r="O1366" s="5">
        <v>25.655999999999999</v>
      </c>
      <c r="P1366" s="6">
        <v>0.74590000000000001</v>
      </c>
      <c r="Q1366" s="5">
        <v>70757.399999999994</v>
      </c>
      <c r="R1366" s="1" t="s">
        <v>44</v>
      </c>
      <c r="S1366" s="1" t="s">
        <v>94</v>
      </c>
      <c r="T1366" s="1" t="s">
        <v>93</v>
      </c>
      <c r="V1366" s="1" t="s">
        <v>95</v>
      </c>
      <c r="Y1366" s="1" t="s">
        <v>1696</v>
      </c>
      <c r="Z1366" s="1" t="str">
        <f t="shared" si="63"/>
        <v>6058 CT1</v>
      </c>
      <c r="AA1366" s="3">
        <f>IF(INDEX('CAMD Facility Data 2023'!$AA$2:$AE$10000,MATCH(Z1366,'CAMD Facility Data 2023'!$AE$2:$AE$10000,0),1)&gt;0,INDEX('CAMD Facility Data 2023'!$AA$2:$AE$10000,MATCH(Z1366,'CAMD Facility Data 2023'!$AE$2:$AE$10000,0),1),"")</f>
        <v>28004</v>
      </c>
      <c r="AB1366" s="5">
        <f>IF(INDEX('CAMD Facility Data 2023'!$AC$2:$AE$10000,MATCH(Z1366,'CAMD Facility Data 2023'!$AE$2:$AE$10000,0),1)&gt;0,INDEX('CAMD Facility Data 2023'!$AC$2:$AE$10000,MATCH(Z1366,'CAMD Facility Data 2023'!$AE$2:$AE$10000,0),1),"")</f>
        <v>448</v>
      </c>
      <c r="AC1366" s="1" t="str">
        <f>IF(INDEX('CAMD Facility Data 2023'!$AE$2:$AG$10000,MATCH(Z1366,'CAMD Facility Data 2023'!$AE$2:$AE$10000,0),3)&gt;0,INDEX('CAMD Facility Data 2023'!$AE$2:$AG$10000,MATCH(Z1366,'CAMD Facility Data 2023'!$AE$2:$AE$10000,0),3),"")</f>
        <v/>
      </c>
      <c r="AD1366" s="20" t="str">
        <f t="shared" si="64"/>
        <v/>
      </c>
      <c r="AE1366" s="25">
        <f t="shared" si="65"/>
        <v>1.8029751712328766E-2</v>
      </c>
    </row>
    <row r="1367" spans="1:31" x14ac:dyDescent="0.2">
      <c r="A1367" s="1" t="s">
        <v>1663</v>
      </c>
      <c r="B1367" s="1" t="s">
        <v>3429</v>
      </c>
      <c r="C1367" s="1">
        <v>6058</v>
      </c>
      <c r="D1367" s="1" t="s">
        <v>98</v>
      </c>
      <c r="F1367" s="1">
        <v>2023</v>
      </c>
      <c r="G1367" s="5">
        <v>1036</v>
      </c>
      <c r="H1367" s="5">
        <v>837.4</v>
      </c>
      <c r="I1367" s="5">
        <v>16634.09</v>
      </c>
      <c r="K1367" s="5">
        <v>0.112</v>
      </c>
      <c r="L1367" s="5">
        <v>1.5E-3</v>
      </c>
      <c r="M1367" s="5">
        <v>11442.326999999999</v>
      </c>
      <c r="N1367" s="6">
        <v>5.96E-2</v>
      </c>
      <c r="O1367" s="5">
        <v>7.2859999999999996</v>
      </c>
      <c r="P1367" s="6">
        <v>8.5000000000000006E-2</v>
      </c>
      <c r="Q1367" s="5">
        <v>191551.372</v>
      </c>
      <c r="R1367" s="1" t="s">
        <v>44</v>
      </c>
      <c r="S1367" s="1" t="s">
        <v>94</v>
      </c>
      <c r="T1367" s="1" t="s">
        <v>93</v>
      </c>
      <c r="V1367" s="1" t="s">
        <v>95</v>
      </c>
      <c r="Y1367" s="1" t="s">
        <v>1666</v>
      </c>
      <c r="Z1367" s="1" t="str">
        <f t="shared" si="63"/>
        <v>6058 CT2</v>
      </c>
      <c r="AA1367" s="3">
        <f>IF(INDEX('CAMD Facility Data 2023'!$AA$2:$AE$10000,MATCH(Z1367,'CAMD Facility Data 2023'!$AE$2:$AE$10000,0),1)&gt;0,INDEX('CAMD Facility Data 2023'!$AA$2:$AE$10000,MATCH(Z1367,'CAMD Facility Data 2023'!$AE$2:$AE$10000,0),1),"")</f>
        <v>37364</v>
      </c>
      <c r="AB1367" s="5">
        <f>IF(INDEX('CAMD Facility Data 2023'!$AC$2:$AE$10000,MATCH(Z1367,'CAMD Facility Data 2023'!$AE$2:$AE$10000,0),1)&gt;0,INDEX('CAMD Facility Data 2023'!$AC$2:$AE$10000,MATCH(Z1367,'CAMD Facility Data 2023'!$AE$2:$AE$10000,0),1),"")</f>
        <v>290</v>
      </c>
      <c r="AC1367" s="1" t="str">
        <f>IF(INDEX('CAMD Facility Data 2023'!$AE$2:$AG$10000,MATCH(Z1367,'CAMD Facility Data 2023'!$AE$2:$AE$10000,0),3)&gt;0,INDEX('CAMD Facility Data 2023'!$AE$2:$AG$10000,MATCH(Z1367,'CAMD Facility Data 2023'!$AE$2:$AE$10000,0),3),"")</f>
        <v/>
      </c>
      <c r="AD1367" s="20">
        <f t="shared" si="64"/>
        <v>0.87603229271934924</v>
      </c>
      <c r="AE1367" s="25">
        <f t="shared" si="65"/>
        <v>7.5402051645410167E-2</v>
      </c>
    </row>
    <row r="1368" spans="1:31" x14ac:dyDescent="0.2">
      <c r="A1368" s="1" t="s">
        <v>1663</v>
      </c>
      <c r="B1368" s="1" t="s">
        <v>3429</v>
      </c>
      <c r="C1368" s="1">
        <v>6058</v>
      </c>
      <c r="D1368" s="1" t="s">
        <v>101</v>
      </c>
      <c r="F1368" s="1">
        <v>2023</v>
      </c>
      <c r="G1368" s="5">
        <v>1039</v>
      </c>
      <c r="H1368" s="5">
        <v>838.91</v>
      </c>
      <c r="I1368" s="5">
        <v>15840.49</v>
      </c>
      <c r="K1368" s="5">
        <v>0.111</v>
      </c>
      <c r="L1368" s="5">
        <v>1.5E-3</v>
      </c>
      <c r="M1368" s="5">
        <v>10865.828</v>
      </c>
      <c r="N1368" s="6">
        <v>5.9700000000000003E-2</v>
      </c>
      <c r="O1368" s="5">
        <v>7.6879999999999997</v>
      </c>
      <c r="P1368" s="6">
        <v>9.3100000000000002E-2</v>
      </c>
      <c r="Q1368" s="5">
        <v>181820.785</v>
      </c>
      <c r="R1368" s="1" t="s">
        <v>44</v>
      </c>
      <c r="S1368" s="1" t="s">
        <v>94</v>
      </c>
      <c r="T1368" s="1" t="s">
        <v>93</v>
      </c>
      <c r="V1368" s="1" t="s">
        <v>95</v>
      </c>
      <c r="Y1368" s="1" t="s">
        <v>1666</v>
      </c>
      <c r="Z1368" s="1" t="str">
        <f t="shared" si="63"/>
        <v>6058 CT3</v>
      </c>
      <c r="AA1368" s="3">
        <f>IF(INDEX('CAMD Facility Data 2023'!$AA$2:$AE$10000,MATCH(Z1368,'CAMD Facility Data 2023'!$AE$2:$AE$10000,0),1)&gt;0,INDEX('CAMD Facility Data 2023'!$AA$2:$AE$10000,MATCH(Z1368,'CAMD Facility Data 2023'!$AE$2:$AE$10000,0),1),"")</f>
        <v>37364</v>
      </c>
      <c r="AB1368" s="5">
        <f>IF(INDEX('CAMD Facility Data 2023'!$AC$2:$AE$10000,MATCH(Z1368,'CAMD Facility Data 2023'!$AE$2:$AE$10000,0),1)&gt;0,INDEX('CAMD Facility Data 2023'!$AC$2:$AE$10000,MATCH(Z1368,'CAMD Facility Data 2023'!$AE$2:$AE$10000,0),1),"")</f>
        <v>305.89999999999998</v>
      </c>
      <c r="AC1368" s="1" t="str">
        <f>IF(INDEX('CAMD Facility Data 2023'!$AE$2:$AG$10000,MATCH(Z1368,'CAMD Facility Data 2023'!$AE$2:$AE$10000,0),3)&gt;0,INDEX('CAMD Facility Data 2023'!$AE$2:$AG$10000,MATCH(Z1368,'CAMD Facility Data 2023'!$AE$2:$AE$10000,0),3),"")</f>
        <v/>
      </c>
      <c r="AD1368" s="20">
        <f t="shared" si="64"/>
        <v>0.9706770434500448</v>
      </c>
      <c r="AE1368" s="25">
        <f t="shared" si="65"/>
        <v>6.7851576902351177E-2</v>
      </c>
    </row>
    <row r="1369" spans="1:31" x14ac:dyDescent="0.2">
      <c r="A1369" s="1" t="s">
        <v>1732</v>
      </c>
      <c r="B1369" s="1" t="s">
        <v>3434</v>
      </c>
      <c r="C1369" s="1">
        <v>6061</v>
      </c>
      <c r="D1369" s="1">
        <v>3</v>
      </c>
      <c r="F1369" s="1">
        <v>2023</v>
      </c>
      <c r="G1369" s="5">
        <v>6536</v>
      </c>
      <c r="H1369" s="5">
        <v>6500.61</v>
      </c>
      <c r="I1369" s="5">
        <v>3423953.45</v>
      </c>
      <c r="K1369" s="5">
        <v>5.6159999999999997</v>
      </c>
      <c r="L1369" s="5">
        <v>1E-3</v>
      </c>
      <c r="M1369" s="5">
        <v>1112468.2109999999</v>
      </c>
      <c r="N1369" s="6">
        <v>5.8999999999999997E-2</v>
      </c>
      <c r="O1369" s="5">
        <v>172.08099999999999</v>
      </c>
      <c r="P1369" s="6">
        <v>1.8499999999999999E-2</v>
      </c>
      <c r="Q1369" s="5">
        <v>18719080.684999999</v>
      </c>
      <c r="R1369" s="1" t="s">
        <v>44</v>
      </c>
      <c r="T1369" s="1" t="s">
        <v>71</v>
      </c>
      <c r="V1369" s="1" t="s">
        <v>64</v>
      </c>
      <c r="Y1369" s="1" t="s">
        <v>3435</v>
      </c>
      <c r="Z1369" s="1" t="str">
        <f t="shared" si="63"/>
        <v>6061 3</v>
      </c>
      <c r="AA1369" s="3">
        <f>IF(INDEX('CAMD Facility Data 2023'!$AA$2:$AE$10000,MATCH(Z1369,'CAMD Facility Data 2023'!$AE$2:$AE$10000,0),1)&gt;0,INDEX('CAMD Facility Data 2023'!$AA$2:$AE$10000,MATCH(Z1369,'CAMD Facility Data 2023'!$AE$2:$AE$10000,0),1),"")</f>
        <v>44799</v>
      </c>
      <c r="AB1369" s="5">
        <f>IF(INDEX('CAMD Facility Data 2023'!$AC$2:$AE$10000,MATCH(Z1369,'CAMD Facility Data 2023'!$AE$2:$AE$10000,0),1)&gt;0,INDEX('CAMD Facility Data 2023'!$AC$2:$AE$10000,MATCH(Z1369,'CAMD Facility Data 2023'!$AE$2:$AE$10000,0),1),"")</f>
        <v>4122</v>
      </c>
      <c r="AC1369" s="1" t="str">
        <f>IF(INDEX('CAMD Facility Data 2023'!$AE$2:$AG$10000,MATCH(Z1369,'CAMD Facility Data 2023'!$AE$2:$AE$10000,0),3)&gt;0,INDEX('CAMD Facility Data 2023'!$AE$2:$AG$10000,MATCH(Z1369,'CAMD Facility Data 2023'!$AE$2:$AE$10000,0),3),"")</f>
        <v>Y</v>
      </c>
      <c r="AD1369" s="20">
        <f t="shared" si="64"/>
        <v>0.10051596933947801</v>
      </c>
      <c r="AE1369" s="25">
        <f t="shared" si="65"/>
        <v>0.51840886868878211</v>
      </c>
    </row>
    <row r="1370" spans="1:31" x14ac:dyDescent="0.2">
      <c r="A1370" s="1" t="s">
        <v>1186</v>
      </c>
      <c r="B1370" s="1" t="s">
        <v>3439</v>
      </c>
      <c r="C1370" s="1">
        <v>6063</v>
      </c>
      <c r="D1370" s="1">
        <v>1</v>
      </c>
      <c r="F1370" s="1">
        <v>2023</v>
      </c>
      <c r="G1370" s="5">
        <v>117</v>
      </c>
      <c r="H1370" s="5">
        <v>117</v>
      </c>
      <c r="I1370" s="5">
        <v>3530</v>
      </c>
      <c r="K1370" s="5">
        <v>0.14499999999999999</v>
      </c>
      <c r="L1370" s="5">
        <v>9.4999999999999998E-3</v>
      </c>
      <c r="O1370" s="5">
        <v>8.0920000000000005</v>
      </c>
      <c r="P1370" s="6">
        <v>0.36299999999999999</v>
      </c>
      <c r="Q1370" s="5">
        <v>44742.6</v>
      </c>
      <c r="R1370" s="1" t="s">
        <v>44</v>
      </c>
      <c r="S1370" s="1" t="s">
        <v>94</v>
      </c>
      <c r="T1370" s="1" t="s">
        <v>93</v>
      </c>
      <c r="Y1370" s="1" t="s">
        <v>1195</v>
      </c>
      <c r="Z1370" s="1" t="str">
        <f t="shared" si="63"/>
        <v>6063 1</v>
      </c>
      <c r="AA1370" s="3">
        <f>IF(INDEX('CAMD Facility Data 2023'!$AA$2:$AE$10000,MATCH(Z1370,'CAMD Facility Data 2023'!$AE$2:$AE$10000,0),1)&gt;0,INDEX('CAMD Facility Data 2023'!$AA$2:$AE$10000,MATCH(Z1370,'CAMD Facility Data 2023'!$AE$2:$AE$10000,0),1),"")</f>
        <v>27515</v>
      </c>
      <c r="AB1370" s="5">
        <f>IF(INDEX('CAMD Facility Data 2023'!$AC$2:$AE$10000,MATCH(Z1370,'CAMD Facility Data 2023'!$AE$2:$AE$10000,0),1)&gt;0,INDEX('CAMD Facility Data 2023'!$AC$2:$AE$10000,MATCH(Z1370,'CAMD Facility Data 2023'!$AE$2:$AE$10000,0),1),"")</f>
        <v>843.6</v>
      </c>
      <c r="AC1370" s="1" t="str">
        <f>IF(INDEX('CAMD Facility Data 2023'!$AE$2:$AG$10000,MATCH(Z1370,'CAMD Facility Data 2023'!$AE$2:$AE$10000,0),3)&gt;0,INDEX('CAMD Facility Data 2023'!$AE$2:$AG$10000,MATCH(Z1370,'CAMD Facility Data 2023'!$AE$2:$AE$10000,0),3),"")</f>
        <v/>
      </c>
      <c r="AD1370" s="20">
        <f t="shared" si="64"/>
        <v>4.5847025495750717</v>
      </c>
      <c r="AE1370" s="25">
        <f t="shared" si="65"/>
        <v>6.05453146008301E-3</v>
      </c>
    </row>
    <row r="1371" spans="1:31" x14ac:dyDescent="0.2">
      <c r="A1371" s="1" t="s">
        <v>1186</v>
      </c>
      <c r="B1371" s="1" t="s">
        <v>3439</v>
      </c>
      <c r="C1371" s="1">
        <v>6063</v>
      </c>
      <c r="D1371" s="1">
        <v>2</v>
      </c>
      <c r="F1371" s="1">
        <v>2023</v>
      </c>
      <c r="G1371" s="5">
        <v>146</v>
      </c>
      <c r="H1371" s="5">
        <v>146</v>
      </c>
      <c r="I1371" s="5">
        <v>4114</v>
      </c>
      <c r="K1371" s="5">
        <v>0.19800000000000001</v>
      </c>
      <c r="L1371" s="5">
        <v>2.52E-2</v>
      </c>
      <c r="O1371" s="5">
        <v>8.2720000000000002</v>
      </c>
      <c r="P1371" s="6">
        <v>0.33829999999999999</v>
      </c>
      <c r="Q1371" s="5">
        <v>54036.1</v>
      </c>
      <c r="R1371" s="1" t="s">
        <v>44</v>
      </c>
      <c r="S1371" s="1" t="s">
        <v>94</v>
      </c>
      <c r="T1371" s="1" t="s">
        <v>93</v>
      </c>
      <c r="V1371" s="1" t="s">
        <v>95</v>
      </c>
      <c r="Y1371" s="1" t="s">
        <v>1195</v>
      </c>
      <c r="Z1371" s="1" t="str">
        <f t="shared" si="63"/>
        <v>6063 2</v>
      </c>
      <c r="AA1371" s="3">
        <f>IF(INDEX('CAMD Facility Data 2023'!$AA$2:$AE$10000,MATCH(Z1371,'CAMD Facility Data 2023'!$AE$2:$AE$10000,0),1)&gt;0,INDEX('CAMD Facility Data 2023'!$AA$2:$AE$10000,MATCH(Z1371,'CAMD Facility Data 2023'!$AE$2:$AE$10000,0),1),"")</f>
        <v>28244</v>
      </c>
      <c r="AB1371" s="5">
        <f>IF(INDEX('CAMD Facility Data 2023'!$AC$2:$AE$10000,MATCH(Z1371,'CAMD Facility Data 2023'!$AE$2:$AE$10000,0),1)&gt;0,INDEX('CAMD Facility Data 2023'!$AC$2:$AE$10000,MATCH(Z1371,'CAMD Facility Data 2023'!$AE$2:$AE$10000,0),1),"")</f>
        <v>903.1</v>
      </c>
      <c r="AC1371" s="1" t="str">
        <f>IF(INDEX('CAMD Facility Data 2023'!$AE$2:$AG$10000,MATCH(Z1371,'CAMD Facility Data 2023'!$AE$2:$AE$10000,0),3)&gt;0,INDEX('CAMD Facility Data 2023'!$AE$2:$AG$10000,MATCH(Z1371,'CAMD Facility Data 2023'!$AE$2:$AE$10000,0),3),"")</f>
        <v/>
      </c>
      <c r="AD1371" s="20">
        <f t="shared" si="64"/>
        <v>4.0213903743315509</v>
      </c>
      <c r="AE1371" s="25">
        <f t="shared" si="65"/>
        <v>6.830367142298799E-3</v>
      </c>
    </row>
    <row r="1372" spans="1:31" x14ac:dyDescent="0.2">
      <c r="A1372" s="1" t="s">
        <v>1186</v>
      </c>
      <c r="B1372" s="1" t="s">
        <v>3439</v>
      </c>
      <c r="C1372" s="1">
        <v>6063</v>
      </c>
      <c r="D1372" s="1">
        <v>3</v>
      </c>
      <c r="F1372" s="1">
        <v>2023</v>
      </c>
      <c r="G1372" s="5">
        <v>137</v>
      </c>
      <c r="H1372" s="5">
        <v>137</v>
      </c>
      <c r="I1372" s="5">
        <v>4164</v>
      </c>
      <c r="K1372" s="5">
        <v>5.5E-2</v>
      </c>
      <c r="L1372" s="5">
        <v>8.3000000000000001E-3</v>
      </c>
      <c r="O1372" s="5">
        <v>7.4340000000000002</v>
      </c>
      <c r="P1372" s="6">
        <v>0.23899999999999999</v>
      </c>
      <c r="Q1372" s="5">
        <v>62644.5</v>
      </c>
      <c r="R1372" s="1" t="s">
        <v>44</v>
      </c>
      <c r="S1372" s="1" t="s">
        <v>94</v>
      </c>
      <c r="T1372" s="1" t="s">
        <v>93</v>
      </c>
      <c r="V1372" s="1" t="s">
        <v>95</v>
      </c>
      <c r="Y1372" s="1" t="s">
        <v>1195</v>
      </c>
      <c r="Z1372" s="1" t="str">
        <f t="shared" si="63"/>
        <v>6063 3</v>
      </c>
      <c r="AA1372" s="3">
        <f>IF(INDEX('CAMD Facility Data 2023'!$AA$2:$AE$10000,MATCH(Z1372,'CAMD Facility Data 2023'!$AE$2:$AE$10000,0),1)&gt;0,INDEX('CAMD Facility Data 2023'!$AA$2:$AE$10000,MATCH(Z1372,'CAMD Facility Data 2023'!$AE$2:$AE$10000,0),1),"")</f>
        <v>27867</v>
      </c>
      <c r="AB1372" s="5">
        <f>IF(INDEX('CAMD Facility Data 2023'!$AC$2:$AE$10000,MATCH(Z1372,'CAMD Facility Data 2023'!$AE$2:$AE$10000,0),1)&gt;0,INDEX('CAMD Facility Data 2023'!$AC$2:$AE$10000,MATCH(Z1372,'CAMD Facility Data 2023'!$AE$2:$AE$10000,0),1),"")</f>
        <v>925.1</v>
      </c>
      <c r="AC1372" s="1" t="str">
        <f>IF(INDEX('CAMD Facility Data 2023'!$AE$2:$AG$10000,MATCH(Z1372,'CAMD Facility Data 2023'!$AE$2:$AE$10000,0),3)&gt;0,INDEX('CAMD Facility Data 2023'!$AE$2:$AG$10000,MATCH(Z1372,'CAMD Facility Data 2023'!$AE$2:$AE$10000,0),3),"")</f>
        <v/>
      </c>
      <c r="AD1372" s="20">
        <f t="shared" si="64"/>
        <v>3.5706051873198845</v>
      </c>
      <c r="AE1372" s="25">
        <f t="shared" si="65"/>
        <v>7.7301898498940511E-3</v>
      </c>
    </row>
    <row r="1373" spans="1:31" x14ac:dyDescent="0.2">
      <c r="A1373" s="1" t="s">
        <v>225</v>
      </c>
      <c r="B1373" s="1" t="s">
        <v>3444</v>
      </c>
      <c r="C1373" s="1">
        <v>6064</v>
      </c>
      <c r="D1373" s="1" t="s">
        <v>103</v>
      </c>
      <c r="F1373" s="1">
        <v>2023</v>
      </c>
      <c r="G1373" s="5">
        <v>1579</v>
      </c>
      <c r="H1373" s="5">
        <v>1436.85</v>
      </c>
      <c r="I1373" s="5">
        <v>88437.3</v>
      </c>
      <c r="K1373" s="5">
        <v>0.33900000000000002</v>
      </c>
      <c r="L1373" s="5">
        <v>1E-3</v>
      </c>
      <c r="M1373" s="5">
        <v>67469.081000000006</v>
      </c>
      <c r="N1373" s="6">
        <v>5.96E-2</v>
      </c>
      <c r="O1373" s="5">
        <v>15.005000000000001</v>
      </c>
      <c r="P1373" s="6">
        <v>3.0800000000000001E-2</v>
      </c>
      <c r="Q1373" s="5">
        <v>1125382.997</v>
      </c>
      <c r="R1373" s="1" t="s">
        <v>44</v>
      </c>
      <c r="S1373" s="1" t="s">
        <v>94</v>
      </c>
      <c r="T1373" s="1" t="s">
        <v>93</v>
      </c>
      <c r="V1373" s="1" t="s">
        <v>183</v>
      </c>
      <c r="Y1373" s="1" t="s">
        <v>35</v>
      </c>
      <c r="Z1373" s="1" t="str">
        <f t="shared" si="63"/>
        <v>6064 CT4</v>
      </c>
      <c r="AA1373" s="3">
        <f>IF(INDEX('CAMD Facility Data 2023'!$AA$2:$AE$10000,MATCH(Z1373,'CAMD Facility Data 2023'!$AE$2:$AE$10000,0),1)&gt;0,INDEX('CAMD Facility Data 2023'!$AA$2:$AE$10000,MATCH(Z1373,'CAMD Facility Data 2023'!$AE$2:$AE$10000,0),1),"")</f>
        <v>38671</v>
      </c>
      <c r="AB1373" s="5">
        <f>IF(INDEX('CAMD Facility Data 2023'!$AC$2:$AE$10000,MATCH(Z1373,'CAMD Facility Data 2023'!$AE$2:$AE$10000,0),1)&gt;0,INDEX('CAMD Facility Data 2023'!$AC$2:$AE$10000,MATCH(Z1373,'CAMD Facility Data 2023'!$AE$2:$AE$10000,0),1),"")</f>
        <v>1136</v>
      </c>
      <c r="AC1373" s="1" t="str">
        <f>IF(INDEX('CAMD Facility Data 2023'!$AE$2:$AG$10000,MATCH(Z1373,'CAMD Facility Data 2023'!$AE$2:$AE$10000,0),3)&gt;0,INDEX('CAMD Facility Data 2023'!$AE$2:$AG$10000,MATCH(Z1373,'CAMD Facility Data 2023'!$AE$2:$AE$10000,0),3),"")</f>
        <v/>
      </c>
      <c r="AD1373" s="20">
        <f t="shared" si="64"/>
        <v>0.33933645644993682</v>
      </c>
      <c r="AE1373" s="25">
        <f t="shared" si="65"/>
        <v>0.11308836149028877</v>
      </c>
    </row>
    <row r="1374" spans="1:31" x14ac:dyDescent="0.2">
      <c r="A1374" s="1" t="s">
        <v>225</v>
      </c>
      <c r="B1374" s="1" t="s">
        <v>3444</v>
      </c>
      <c r="C1374" s="1">
        <v>6064</v>
      </c>
      <c r="D1374" s="1" t="s">
        <v>3446</v>
      </c>
      <c r="F1374" s="1">
        <v>2023</v>
      </c>
      <c r="G1374" s="5">
        <v>3889</v>
      </c>
      <c r="H1374" s="5">
        <v>3872.14</v>
      </c>
      <c r="I1374" s="5">
        <v>781858.68</v>
      </c>
      <c r="K1374" s="5">
        <v>527.83100000000002</v>
      </c>
      <c r="L1374" s="5">
        <v>0.1158</v>
      </c>
      <c r="M1374" s="5">
        <v>917853.03399999999</v>
      </c>
      <c r="N1374" s="6">
        <v>0.10390000000000001</v>
      </c>
      <c r="O1374" s="5">
        <v>825.38599999999997</v>
      </c>
      <c r="P1374" s="6">
        <v>0.1837</v>
      </c>
      <c r="Q1374" s="5">
        <v>8760557.0549999997</v>
      </c>
      <c r="R1374" s="1" t="s">
        <v>55</v>
      </c>
      <c r="T1374" s="1" t="s">
        <v>89</v>
      </c>
      <c r="U1374" s="1" t="s">
        <v>212</v>
      </c>
      <c r="V1374" s="1" t="s">
        <v>563</v>
      </c>
      <c r="W1374" s="1" t="s">
        <v>232</v>
      </c>
      <c r="X1374" s="1" t="s">
        <v>344</v>
      </c>
      <c r="Y1374" s="1" t="s">
        <v>54</v>
      </c>
      <c r="Z1374" s="1" t="str">
        <f t="shared" si="63"/>
        <v>6064 N1</v>
      </c>
      <c r="AA1374" s="3">
        <f>IF(INDEX('CAMD Facility Data 2023'!$AA$2:$AE$10000,MATCH(Z1374,'CAMD Facility Data 2023'!$AE$2:$AE$10000,0),1)&gt;0,INDEX('CAMD Facility Data 2023'!$AA$2:$AE$10000,MATCH(Z1374,'CAMD Facility Data 2023'!$AE$2:$AE$10000,0),1),"")</f>
        <v>29618</v>
      </c>
      <c r="AB1374" s="5">
        <f>IF(INDEX('CAMD Facility Data 2023'!$AC$2:$AE$10000,MATCH(Z1374,'CAMD Facility Data 2023'!$AE$2:$AE$10000,0),1)&gt;0,INDEX('CAMD Facility Data 2023'!$AC$2:$AE$10000,MATCH(Z1374,'CAMD Facility Data 2023'!$AE$2:$AE$10000,0),1),"")</f>
        <v>2510</v>
      </c>
      <c r="AC1374" s="1" t="str">
        <f>IF(INDEX('CAMD Facility Data 2023'!$AE$2:$AG$10000,MATCH(Z1374,'CAMD Facility Data 2023'!$AE$2:$AE$10000,0),3)&gt;0,INDEX('CAMD Facility Data 2023'!$AE$2:$AG$10000,MATCH(Z1374,'CAMD Facility Data 2023'!$AE$2:$AE$10000,0),3),"")</f>
        <v>Y</v>
      </c>
      <c r="AD1374" s="20">
        <f t="shared" si="64"/>
        <v>2.1113431905622635</v>
      </c>
      <c r="AE1374" s="25">
        <f t="shared" si="65"/>
        <v>0.3984317094635158</v>
      </c>
    </row>
    <row r="1375" spans="1:31" x14ac:dyDescent="0.2">
      <c r="A1375" s="1" t="s">
        <v>1755</v>
      </c>
      <c r="B1375" s="1" t="s">
        <v>3448</v>
      </c>
      <c r="C1375" s="1">
        <v>6065</v>
      </c>
      <c r="D1375" s="1">
        <v>1</v>
      </c>
      <c r="F1375" s="1">
        <v>2023</v>
      </c>
      <c r="G1375" s="5">
        <v>4896</v>
      </c>
      <c r="H1375" s="5">
        <v>4872.96</v>
      </c>
      <c r="I1375" s="5">
        <v>2364218.73</v>
      </c>
      <c r="K1375" s="5">
        <v>227.60400000000001</v>
      </c>
      <c r="L1375" s="5">
        <v>1.7100000000000001E-2</v>
      </c>
      <c r="M1375" s="5">
        <v>2253539.2420000001</v>
      </c>
      <c r="N1375" s="6">
        <v>0.105</v>
      </c>
      <c r="O1375" s="5">
        <v>587.548</v>
      </c>
      <c r="P1375" s="6">
        <v>5.67E-2</v>
      </c>
      <c r="Q1375" s="5">
        <v>21486849.054000001</v>
      </c>
      <c r="R1375" s="1" t="s">
        <v>55</v>
      </c>
      <c r="T1375" s="1" t="s">
        <v>89</v>
      </c>
      <c r="U1375" s="1" t="s">
        <v>241</v>
      </c>
      <c r="V1375" s="1" t="s">
        <v>3452</v>
      </c>
      <c r="W1375" s="1" t="s">
        <v>232</v>
      </c>
      <c r="X1375" s="1" t="s">
        <v>214</v>
      </c>
      <c r="Y1375" s="1" t="s">
        <v>1188</v>
      </c>
      <c r="Z1375" s="1" t="str">
        <f t="shared" si="63"/>
        <v>6065 1</v>
      </c>
      <c r="AA1375" s="3">
        <f>IF(INDEX('CAMD Facility Data 2023'!$AA$2:$AE$10000,MATCH(Z1375,'CAMD Facility Data 2023'!$AE$2:$AE$10000,0),1)&gt;0,INDEX('CAMD Facility Data 2023'!$AA$2:$AE$10000,MATCH(Z1375,'CAMD Facility Data 2023'!$AE$2:$AE$10000,0),1),"")</f>
        <v>29349</v>
      </c>
      <c r="AB1375" s="5">
        <f>IF(INDEX('CAMD Facility Data 2023'!$AC$2:$AE$10000,MATCH(Z1375,'CAMD Facility Data 2023'!$AE$2:$AE$10000,0),1)&gt;0,INDEX('CAMD Facility Data 2023'!$AC$2:$AE$10000,MATCH(Z1375,'CAMD Facility Data 2023'!$AE$2:$AE$10000,0),1),"")</f>
        <v>7800</v>
      </c>
      <c r="AC1375" s="1" t="str">
        <f>IF(INDEX('CAMD Facility Data 2023'!$AE$2:$AG$10000,MATCH(Z1375,'CAMD Facility Data 2023'!$AE$2:$AE$10000,0),3)&gt;0,INDEX('CAMD Facility Data 2023'!$AE$2:$AG$10000,MATCH(Z1375,'CAMD Facility Data 2023'!$AE$2:$AE$10000,0),3),"")</f>
        <v>Y</v>
      </c>
      <c r="AD1375" s="20">
        <f t="shared" si="64"/>
        <v>0.49703353800940409</v>
      </c>
      <c r="AE1375" s="25">
        <f t="shared" si="65"/>
        <v>0.31446623717948718</v>
      </c>
    </row>
    <row r="1376" spans="1:31" x14ac:dyDescent="0.2">
      <c r="A1376" s="1" t="s">
        <v>1755</v>
      </c>
      <c r="B1376" s="1" t="s">
        <v>3448</v>
      </c>
      <c r="C1376" s="1">
        <v>6065</v>
      </c>
      <c r="D1376" s="1">
        <v>2</v>
      </c>
      <c r="F1376" s="1">
        <v>2023</v>
      </c>
      <c r="G1376" s="5">
        <v>4316</v>
      </c>
      <c r="H1376" s="5">
        <v>4291.8100000000004</v>
      </c>
      <c r="I1376" s="5">
        <v>2982549.31</v>
      </c>
      <c r="K1376" s="5">
        <v>146.46100000000001</v>
      </c>
      <c r="L1376" s="5">
        <v>9.5999999999999992E-3</v>
      </c>
      <c r="M1376" s="5">
        <v>2860365.2790000001</v>
      </c>
      <c r="N1376" s="6">
        <v>0.105</v>
      </c>
      <c r="O1376" s="5">
        <v>722.83199999999999</v>
      </c>
      <c r="P1376" s="6">
        <v>5.2600000000000001E-2</v>
      </c>
      <c r="Q1376" s="5">
        <v>27272775.927000001</v>
      </c>
      <c r="R1376" s="1" t="s">
        <v>55</v>
      </c>
      <c r="T1376" s="1" t="s">
        <v>89</v>
      </c>
      <c r="U1376" s="1" t="s">
        <v>241</v>
      </c>
      <c r="V1376" s="1" t="s">
        <v>3452</v>
      </c>
      <c r="W1376" s="1" t="s">
        <v>232</v>
      </c>
      <c r="X1376" s="1" t="s">
        <v>214</v>
      </c>
      <c r="Y1376" s="1" t="s">
        <v>1188</v>
      </c>
      <c r="Z1376" s="1" t="str">
        <f t="shared" si="63"/>
        <v>6065 2</v>
      </c>
      <c r="AA1376" s="3">
        <f>IF(INDEX('CAMD Facility Data 2023'!$AA$2:$AE$10000,MATCH(Z1376,'CAMD Facility Data 2023'!$AE$2:$AE$10000,0),1)&gt;0,INDEX('CAMD Facility Data 2023'!$AA$2:$AE$10000,MATCH(Z1376,'CAMD Facility Data 2023'!$AE$2:$AE$10000,0),1),"")</f>
        <v>40379</v>
      </c>
      <c r="AB1376" s="5">
        <f>IF(INDEX('CAMD Facility Data 2023'!$AC$2:$AE$10000,MATCH(Z1376,'CAMD Facility Data 2023'!$AE$2:$AE$10000,0),1)&gt;0,INDEX('CAMD Facility Data 2023'!$AC$2:$AE$10000,MATCH(Z1376,'CAMD Facility Data 2023'!$AE$2:$AE$10000,0),1),"")</f>
        <v>8100</v>
      </c>
      <c r="AC1376" s="1" t="str">
        <f>IF(INDEX('CAMD Facility Data 2023'!$AE$2:$AG$10000,MATCH(Z1376,'CAMD Facility Data 2023'!$AE$2:$AE$10000,0),3)&gt;0,INDEX('CAMD Facility Data 2023'!$AE$2:$AG$10000,MATCH(Z1376,'CAMD Facility Data 2023'!$AE$2:$AE$10000,0),3),"")</f>
        <v>Y</v>
      </c>
      <c r="AD1376" s="20">
        <f t="shared" si="64"/>
        <v>0.48470749340268243</v>
      </c>
      <c r="AE1376" s="25">
        <f t="shared" si="65"/>
        <v>0.38436180065110775</v>
      </c>
    </row>
    <row r="1377" spans="1:31" x14ac:dyDescent="0.2">
      <c r="A1377" s="1" t="s">
        <v>225</v>
      </c>
      <c r="B1377" s="1" t="s">
        <v>3456</v>
      </c>
      <c r="C1377" s="1">
        <v>6068</v>
      </c>
      <c r="D1377" s="1">
        <v>1</v>
      </c>
      <c r="F1377" s="1">
        <v>2023</v>
      </c>
      <c r="G1377" s="5">
        <v>5542</v>
      </c>
      <c r="H1377" s="5">
        <v>5515.31</v>
      </c>
      <c r="I1377" s="5">
        <v>3078667.43</v>
      </c>
      <c r="K1377" s="5">
        <v>128.721</v>
      </c>
      <c r="L1377" s="5">
        <v>7.7000000000000002E-3</v>
      </c>
      <c r="M1377" s="5">
        <v>2984612.3360000001</v>
      </c>
      <c r="N1377" s="6">
        <v>0.10440000000000001</v>
      </c>
      <c r="O1377" s="5">
        <v>612.43200000000002</v>
      </c>
      <c r="P1377" s="6">
        <v>4.3400000000000001E-2</v>
      </c>
      <c r="Q1377" s="5">
        <v>28468349.022999998</v>
      </c>
      <c r="R1377" s="1" t="s">
        <v>55</v>
      </c>
      <c r="T1377" s="1" t="s">
        <v>43</v>
      </c>
      <c r="U1377" s="1" t="s">
        <v>56</v>
      </c>
      <c r="V1377" s="1" t="s">
        <v>301</v>
      </c>
      <c r="W1377" s="1" t="s">
        <v>58</v>
      </c>
      <c r="X1377" s="1" t="s">
        <v>214</v>
      </c>
      <c r="Y1377" s="1" t="s">
        <v>54</v>
      </c>
      <c r="Z1377" s="1" t="str">
        <f t="shared" si="63"/>
        <v>6068 1</v>
      </c>
      <c r="AA1377" s="3">
        <f>IF(INDEX('CAMD Facility Data 2023'!$AA$2:$AE$10000,MATCH(Z1377,'CAMD Facility Data 2023'!$AE$2:$AE$10000,0),1)&gt;0,INDEX('CAMD Facility Data 2023'!$AA$2:$AE$10000,MATCH(Z1377,'CAMD Facility Data 2023'!$AE$2:$AE$10000,0),1),"")</f>
        <v>28702</v>
      </c>
      <c r="AB1377" s="5">
        <f>IF(INDEX('CAMD Facility Data 2023'!$AC$2:$AE$10000,MATCH(Z1377,'CAMD Facility Data 2023'!$AE$2:$AE$10000,0),1)&gt;0,INDEX('CAMD Facility Data 2023'!$AC$2:$AE$10000,MATCH(Z1377,'CAMD Facility Data 2023'!$AE$2:$AE$10000,0),1),"")</f>
        <v>8500</v>
      </c>
      <c r="AC1377" s="1" t="str">
        <f>IF(INDEX('CAMD Facility Data 2023'!$AE$2:$AG$10000,MATCH(Z1377,'CAMD Facility Data 2023'!$AE$2:$AE$10000,0),3)&gt;0,INDEX('CAMD Facility Data 2023'!$AE$2:$AG$10000,MATCH(Z1377,'CAMD Facility Data 2023'!$AE$2:$AE$10000,0),3),"")</f>
        <v>Y</v>
      </c>
      <c r="AD1377" s="20">
        <f t="shared" si="64"/>
        <v>0.39785524999041549</v>
      </c>
      <c r="AE1377" s="25">
        <f t="shared" si="65"/>
        <v>0.38233076850658071</v>
      </c>
    </row>
    <row r="1378" spans="1:31" x14ac:dyDescent="0.2">
      <c r="A1378" s="1" t="s">
        <v>225</v>
      </c>
      <c r="B1378" s="1" t="s">
        <v>3456</v>
      </c>
      <c r="C1378" s="1">
        <v>6068</v>
      </c>
      <c r="D1378" s="1">
        <v>2</v>
      </c>
      <c r="F1378" s="1">
        <v>2023</v>
      </c>
      <c r="G1378" s="5">
        <v>6576</v>
      </c>
      <c r="H1378" s="5">
        <v>6557.23</v>
      </c>
      <c r="I1378" s="5">
        <v>3561379.68</v>
      </c>
      <c r="K1378" s="5">
        <v>175.69200000000001</v>
      </c>
      <c r="L1378" s="5">
        <v>8.6999999999999994E-3</v>
      </c>
      <c r="M1378" s="5">
        <v>3722003.7119999998</v>
      </c>
      <c r="N1378" s="6">
        <v>0.1047</v>
      </c>
      <c r="O1378" s="5">
        <v>1997.6010000000001</v>
      </c>
      <c r="P1378" s="6">
        <v>0.1096</v>
      </c>
      <c r="Q1378" s="5">
        <v>35497307.453000002</v>
      </c>
      <c r="R1378" s="1" t="s">
        <v>55</v>
      </c>
      <c r="T1378" s="1" t="s">
        <v>43</v>
      </c>
      <c r="U1378" s="1" t="s">
        <v>56</v>
      </c>
      <c r="V1378" s="1" t="s">
        <v>2383</v>
      </c>
      <c r="W1378" s="1" t="s">
        <v>58</v>
      </c>
      <c r="X1378" s="1" t="s">
        <v>214</v>
      </c>
      <c r="Y1378" s="1" t="s">
        <v>54</v>
      </c>
      <c r="Z1378" s="1" t="str">
        <f t="shared" si="63"/>
        <v>6068 2</v>
      </c>
      <c r="AA1378" s="3">
        <f>IF(INDEX('CAMD Facility Data 2023'!$AA$2:$AE$10000,MATCH(Z1378,'CAMD Facility Data 2023'!$AE$2:$AE$10000,0),1)&gt;0,INDEX('CAMD Facility Data 2023'!$AA$2:$AE$10000,MATCH(Z1378,'CAMD Facility Data 2023'!$AE$2:$AE$10000,0),1),"")</f>
        <v>29342</v>
      </c>
      <c r="AB1378" s="5">
        <f>IF(INDEX('CAMD Facility Data 2023'!$AC$2:$AE$10000,MATCH(Z1378,'CAMD Facility Data 2023'!$AE$2:$AE$10000,0),1)&gt;0,INDEX('CAMD Facility Data 2023'!$AC$2:$AE$10000,MATCH(Z1378,'CAMD Facility Data 2023'!$AE$2:$AE$10000,0),1),"")</f>
        <v>8500</v>
      </c>
      <c r="AC1378" s="1" t="str">
        <f>IF(INDEX('CAMD Facility Data 2023'!$AE$2:$AG$10000,MATCH(Z1378,'CAMD Facility Data 2023'!$AE$2:$AE$10000,0),3)&gt;0,INDEX('CAMD Facility Data 2023'!$AE$2:$AG$10000,MATCH(Z1378,'CAMD Facility Data 2023'!$AE$2:$AE$10000,0),3),"")</f>
        <v>Y</v>
      </c>
      <c r="AD1378" s="20">
        <f t="shared" si="64"/>
        <v>1.1218129935531052</v>
      </c>
      <c r="AE1378" s="25">
        <f t="shared" si="65"/>
        <v>0.4767298878995434</v>
      </c>
    </row>
    <row r="1379" spans="1:31" x14ac:dyDescent="0.2">
      <c r="A1379" s="1" t="s">
        <v>225</v>
      </c>
      <c r="B1379" s="1" t="s">
        <v>3456</v>
      </c>
      <c r="C1379" s="1">
        <v>6068</v>
      </c>
      <c r="D1379" s="1">
        <v>3</v>
      </c>
      <c r="F1379" s="1">
        <v>2023</v>
      </c>
      <c r="G1379" s="5">
        <v>3</v>
      </c>
      <c r="H1379" s="5">
        <v>2.8</v>
      </c>
      <c r="I1379" s="5">
        <v>2.8</v>
      </c>
      <c r="K1379" s="5">
        <v>0</v>
      </c>
      <c r="L1379" s="5">
        <v>0</v>
      </c>
      <c r="M1379" s="5">
        <v>11.048</v>
      </c>
      <c r="N1379" s="6">
        <v>8.8999999999999996E-2</v>
      </c>
      <c r="O1379" s="5">
        <v>0</v>
      </c>
      <c r="P1379" s="6">
        <v>5.3E-3</v>
      </c>
      <c r="Q1379" s="5">
        <v>123.88800000000001</v>
      </c>
      <c r="R1379" s="1" t="s">
        <v>55</v>
      </c>
      <c r="T1379" s="1" t="s">
        <v>43</v>
      </c>
      <c r="U1379" s="1" t="s">
        <v>56</v>
      </c>
      <c r="V1379" s="1" t="s">
        <v>2383</v>
      </c>
      <c r="W1379" s="1" t="s">
        <v>58</v>
      </c>
      <c r="X1379" s="1" t="s">
        <v>214</v>
      </c>
      <c r="Y1379" s="1" t="s">
        <v>54</v>
      </c>
      <c r="Z1379" s="1" t="str">
        <f t="shared" si="63"/>
        <v>6068 3</v>
      </c>
      <c r="AA1379" s="3">
        <f>IF(INDEX('CAMD Facility Data 2023'!$AA$2:$AE$10000,MATCH(Z1379,'CAMD Facility Data 2023'!$AE$2:$AE$10000,0),1)&gt;0,INDEX('CAMD Facility Data 2023'!$AA$2:$AE$10000,MATCH(Z1379,'CAMD Facility Data 2023'!$AE$2:$AE$10000,0),1),"")</f>
        <v>30463</v>
      </c>
      <c r="AB1379" s="5">
        <f>IF(INDEX('CAMD Facility Data 2023'!$AC$2:$AE$10000,MATCH(Z1379,'CAMD Facility Data 2023'!$AE$2:$AE$10000,0),1)&gt;0,INDEX('CAMD Facility Data 2023'!$AC$2:$AE$10000,MATCH(Z1379,'CAMD Facility Data 2023'!$AE$2:$AE$10000,0),1),"")</f>
        <v>8500</v>
      </c>
      <c r="AC1379" s="1" t="str">
        <f>IF(INDEX('CAMD Facility Data 2023'!$AE$2:$AG$10000,MATCH(Z1379,'CAMD Facility Data 2023'!$AE$2:$AE$10000,0),3)&gt;0,INDEX('CAMD Facility Data 2023'!$AE$2:$AG$10000,MATCH(Z1379,'CAMD Facility Data 2023'!$AE$2:$AE$10000,0),3),"")</f>
        <v>Y</v>
      </c>
      <c r="AD1379" s="20">
        <f t="shared" si="64"/>
        <v>0</v>
      </c>
      <c r="AE1379" s="25">
        <f t="shared" si="65"/>
        <v>1.663819500402901E-6</v>
      </c>
    </row>
    <row r="1380" spans="1:31" x14ac:dyDescent="0.2">
      <c r="A1380" s="1" t="s">
        <v>165</v>
      </c>
      <c r="B1380" s="1" t="s">
        <v>3462</v>
      </c>
      <c r="C1380" s="1">
        <v>6071</v>
      </c>
      <c r="D1380" s="1">
        <v>1</v>
      </c>
      <c r="F1380" s="1">
        <v>2023</v>
      </c>
      <c r="G1380" s="5">
        <v>7962</v>
      </c>
      <c r="H1380" s="5">
        <v>7956.19</v>
      </c>
      <c r="I1380" s="5">
        <v>3591531.33</v>
      </c>
      <c r="K1380" s="5">
        <v>1555.354</v>
      </c>
      <c r="L1380" s="5">
        <v>9.5799999999999996E-2</v>
      </c>
      <c r="M1380" s="5">
        <v>3275101.4840000002</v>
      </c>
      <c r="N1380" s="6">
        <v>0.10299999999999999</v>
      </c>
      <c r="O1380" s="5">
        <v>1046.0309999999999</v>
      </c>
      <c r="P1380" s="6">
        <v>6.59E-2</v>
      </c>
      <c r="Q1380" s="5">
        <v>31921022.377</v>
      </c>
      <c r="R1380" s="1" t="s">
        <v>55</v>
      </c>
      <c r="S1380" s="1" t="s">
        <v>94</v>
      </c>
      <c r="T1380" s="1" t="s">
        <v>43</v>
      </c>
      <c r="U1380" s="1" t="s">
        <v>56</v>
      </c>
      <c r="V1380" s="1" t="s">
        <v>2278</v>
      </c>
      <c r="W1380" s="1" t="s">
        <v>1384</v>
      </c>
      <c r="X1380" s="1" t="s">
        <v>1109</v>
      </c>
      <c r="Y1380" s="1" t="s">
        <v>1353</v>
      </c>
      <c r="Z1380" s="1" t="str">
        <f t="shared" si="63"/>
        <v>6071 1</v>
      </c>
      <c r="AA1380" s="3">
        <f>IF(INDEX('CAMD Facility Data 2023'!$AA$2:$AE$10000,MATCH(Z1380,'CAMD Facility Data 2023'!$AE$2:$AE$10000,0),1)&gt;0,INDEX('CAMD Facility Data 2023'!$AA$2:$AE$10000,MATCH(Z1380,'CAMD Facility Data 2023'!$AE$2:$AE$10000,0),1),"")</f>
        <v>32874</v>
      </c>
      <c r="AB1380" s="5">
        <f>IF(INDEX('CAMD Facility Data 2023'!$AC$2:$AE$10000,MATCH(Z1380,'CAMD Facility Data 2023'!$AE$2:$AE$10000,0),1)&gt;0,INDEX('CAMD Facility Data 2023'!$AC$2:$AE$10000,MATCH(Z1380,'CAMD Facility Data 2023'!$AE$2:$AE$10000,0),1),"")</f>
        <v>6000</v>
      </c>
      <c r="AC1380" s="1" t="str">
        <f>IF(INDEX('CAMD Facility Data 2023'!$AE$2:$AG$10000,MATCH(Z1380,'CAMD Facility Data 2023'!$AE$2:$AE$10000,0),3)&gt;0,INDEX('CAMD Facility Data 2023'!$AE$2:$AG$10000,MATCH(Z1380,'CAMD Facility Data 2023'!$AE$2:$AE$10000,0),3),"")</f>
        <v>Y</v>
      </c>
      <c r="AD1380" s="20">
        <f t="shared" si="64"/>
        <v>0.58249860791274233</v>
      </c>
      <c r="AE1380" s="25">
        <f t="shared" si="65"/>
        <v>0.60732538769025879</v>
      </c>
    </row>
    <row r="1381" spans="1:31" x14ac:dyDescent="0.2">
      <c r="A1381" s="1" t="s">
        <v>165</v>
      </c>
      <c r="B1381" s="1" t="s">
        <v>3462</v>
      </c>
      <c r="C1381" s="1">
        <v>6071</v>
      </c>
      <c r="D1381" s="1">
        <v>10</v>
      </c>
      <c r="F1381" s="1">
        <v>2023</v>
      </c>
      <c r="G1381" s="5">
        <v>583</v>
      </c>
      <c r="H1381" s="5">
        <v>518.23</v>
      </c>
      <c r="I1381" s="5">
        <v>76267.22</v>
      </c>
      <c r="K1381" s="5">
        <v>0.24299999999999999</v>
      </c>
      <c r="L1381" s="5">
        <v>1E-3</v>
      </c>
      <c r="M1381" s="5">
        <v>48138.837</v>
      </c>
      <c r="N1381" s="6">
        <v>5.8999999999999997E-2</v>
      </c>
      <c r="O1381" s="5">
        <v>13.843</v>
      </c>
      <c r="P1381" s="6">
        <v>4.2200000000000001E-2</v>
      </c>
      <c r="Q1381" s="5">
        <v>810010.08400000003</v>
      </c>
      <c r="R1381" s="1" t="s">
        <v>44</v>
      </c>
      <c r="T1381" s="1" t="s">
        <v>93</v>
      </c>
      <c r="V1381" s="1" t="s">
        <v>140</v>
      </c>
      <c r="Y1381" s="1" t="s">
        <v>168</v>
      </c>
      <c r="Z1381" s="1" t="str">
        <f t="shared" si="63"/>
        <v>6071 10</v>
      </c>
      <c r="AA1381" s="3">
        <f>IF(INDEX('CAMD Facility Data 2023'!$AA$2:$AE$10000,MATCH(Z1381,'CAMD Facility Data 2023'!$AE$2:$AE$10000,0),1)&gt;0,INDEX('CAMD Facility Data 2023'!$AA$2:$AE$10000,MATCH(Z1381,'CAMD Facility Data 2023'!$AE$2:$AE$10000,0),1),"")</f>
        <v>38084</v>
      </c>
      <c r="AB1381" s="5">
        <f>IF(INDEX('CAMD Facility Data 2023'!$AC$2:$AE$10000,MATCH(Z1381,'CAMD Facility Data 2023'!$AE$2:$AE$10000,0),1)&gt;0,INDEX('CAMD Facility Data 2023'!$AC$2:$AE$10000,MATCH(Z1381,'CAMD Facility Data 2023'!$AE$2:$AE$10000,0),1),"")</f>
        <v>2050</v>
      </c>
      <c r="AC1381" s="1" t="str">
        <f>IF(INDEX('CAMD Facility Data 2023'!$AE$2:$AG$10000,MATCH(Z1381,'CAMD Facility Data 2023'!$AE$2:$AE$10000,0),3)&gt;0,INDEX('CAMD Facility Data 2023'!$AE$2:$AG$10000,MATCH(Z1381,'CAMD Facility Data 2023'!$AE$2:$AE$10000,0),3),"")</f>
        <v/>
      </c>
      <c r="AD1381" s="20">
        <f t="shared" si="64"/>
        <v>0.36301310051684066</v>
      </c>
      <c r="AE1381" s="25">
        <f t="shared" si="65"/>
        <v>4.5105807105468319E-2</v>
      </c>
    </row>
    <row r="1382" spans="1:31" x14ac:dyDescent="0.2">
      <c r="A1382" s="1" t="s">
        <v>165</v>
      </c>
      <c r="B1382" s="1" t="s">
        <v>3462</v>
      </c>
      <c r="C1382" s="1">
        <v>6071</v>
      </c>
      <c r="D1382" s="1">
        <v>2</v>
      </c>
      <c r="E1382" s="1" t="s">
        <v>3466</v>
      </c>
      <c r="F1382" s="1">
        <v>2023</v>
      </c>
      <c r="G1382" s="5">
        <v>7159</v>
      </c>
      <c r="H1382" s="5">
        <v>7146.88</v>
      </c>
      <c r="I1382" s="5">
        <v>4614178.25</v>
      </c>
      <c r="K1382" s="5">
        <v>1275.692</v>
      </c>
      <c r="L1382" s="5">
        <v>6.4000000000000001E-2</v>
      </c>
      <c r="M1382" s="5">
        <v>4099943.8629999999</v>
      </c>
      <c r="N1382" s="6">
        <v>0.105</v>
      </c>
      <c r="O1382" s="5">
        <v>764.83799999999997</v>
      </c>
      <c r="P1382" s="6">
        <v>4.1000000000000002E-2</v>
      </c>
      <c r="Q1382" s="5">
        <v>39091737.550999999</v>
      </c>
      <c r="R1382" s="1" t="s">
        <v>55</v>
      </c>
      <c r="T1382" s="1" t="s">
        <v>89</v>
      </c>
      <c r="U1382" s="1" t="s">
        <v>56</v>
      </c>
      <c r="V1382" s="1" t="s">
        <v>223</v>
      </c>
      <c r="W1382" s="1" t="s">
        <v>3468</v>
      </c>
      <c r="X1382" s="1" t="s">
        <v>1109</v>
      </c>
      <c r="Y1382" s="1" t="s">
        <v>1353</v>
      </c>
      <c r="Z1382" s="1" t="str">
        <f t="shared" si="63"/>
        <v>6071 2</v>
      </c>
      <c r="AA1382" s="3">
        <f>IF(INDEX('CAMD Facility Data 2023'!$AA$2:$AE$10000,MATCH(Z1382,'CAMD Facility Data 2023'!$AE$2:$AE$10000,0),1)&gt;0,INDEX('CAMD Facility Data 2023'!$AA$2:$AE$10000,MATCH(Z1382,'CAMD Facility Data 2023'!$AE$2:$AE$10000,0),1),"")</f>
        <v>40316</v>
      </c>
      <c r="AB1382" s="5">
        <f>IF(INDEX('CAMD Facility Data 2023'!$AC$2:$AE$10000,MATCH(Z1382,'CAMD Facility Data 2023'!$AE$2:$AE$10000,0),1)&gt;0,INDEX('CAMD Facility Data 2023'!$AC$2:$AE$10000,MATCH(Z1382,'CAMD Facility Data 2023'!$AE$2:$AE$10000,0),1),"")</f>
        <v>7490</v>
      </c>
      <c r="AC1382" s="1" t="str">
        <f>IF(INDEX('CAMD Facility Data 2023'!$AE$2:$AG$10000,MATCH(Z1382,'CAMD Facility Data 2023'!$AE$2:$AE$10000,0),3)&gt;0,INDEX('CAMD Facility Data 2023'!$AE$2:$AG$10000,MATCH(Z1382,'CAMD Facility Data 2023'!$AE$2:$AE$10000,0),3),"")</f>
        <v>Y</v>
      </c>
      <c r="AD1382" s="20">
        <f t="shared" si="64"/>
        <v>0.33151645149382775</v>
      </c>
      <c r="AE1382" s="25">
        <f t="shared" si="65"/>
        <v>0.59579801304326618</v>
      </c>
    </row>
    <row r="1383" spans="1:31" x14ac:dyDescent="0.2">
      <c r="A1383" s="1" t="s">
        <v>165</v>
      </c>
      <c r="B1383" s="1" t="s">
        <v>3462</v>
      </c>
      <c r="C1383" s="1">
        <v>6071</v>
      </c>
      <c r="D1383" s="1">
        <v>5</v>
      </c>
      <c r="F1383" s="1">
        <v>2023</v>
      </c>
      <c r="G1383" s="5">
        <v>260</v>
      </c>
      <c r="H1383" s="5">
        <v>231.85</v>
      </c>
      <c r="I1383" s="5">
        <v>33190.51</v>
      </c>
      <c r="K1383" s="5">
        <v>0.109</v>
      </c>
      <c r="L1383" s="5">
        <v>1E-3</v>
      </c>
      <c r="M1383" s="5">
        <v>21567.287</v>
      </c>
      <c r="N1383" s="6">
        <v>5.8999999999999997E-2</v>
      </c>
      <c r="O1383" s="5">
        <v>7.6740000000000004</v>
      </c>
      <c r="P1383" s="6">
        <v>5.33E-2</v>
      </c>
      <c r="Q1383" s="5">
        <v>362918.74699999997</v>
      </c>
      <c r="R1383" s="1" t="s">
        <v>44</v>
      </c>
      <c r="T1383" s="1" t="s">
        <v>93</v>
      </c>
      <c r="V1383" s="1" t="s">
        <v>140</v>
      </c>
      <c r="Y1383" s="1" t="s">
        <v>168</v>
      </c>
      <c r="Z1383" s="1" t="str">
        <f t="shared" si="63"/>
        <v>6071 5</v>
      </c>
      <c r="AA1383" s="3">
        <f>IF(INDEX('CAMD Facility Data 2023'!$AA$2:$AE$10000,MATCH(Z1383,'CAMD Facility Data 2023'!$AE$2:$AE$10000,0),1)&gt;0,INDEX('CAMD Facility Data 2023'!$AA$2:$AE$10000,MATCH(Z1383,'CAMD Facility Data 2023'!$AE$2:$AE$10000,0),1),"")</f>
        <v>37391</v>
      </c>
      <c r="AB1383" s="5">
        <f>IF(INDEX('CAMD Facility Data 2023'!$AC$2:$AE$10000,MATCH(Z1383,'CAMD Facility Data 2023'!$AE$2:$AE$10000,0),1)&gt;0,INDEX('CAMD Facility Data 2023'!$AC$2:$AE$10000,MATCH(Z1383,'CAMD Facility Data 2023'!$AE$2:$AE$10000,0),1),"")</f>
        <v>2050</v>
      </c>
      <c r="AC1383" s="1" t="str">
        <f>IF(INDEX('CAMD Facility Data 2023'!$AE$2:$AG$10000,MATCH(Z1383,'CAMD Facility Data 2023'!$AE$2:$AE$10000,0),3)&gt;0,INDEX('CAMD Facility Data 2023'!$AE$2:$AG$10000,MATCH(Z1383,'CAMD Facility Data 2023'!$AE$2:$AE$10000,0),3),"")</f>
        <v/>
      </c>
      <c r="AD1383" s="20">
        <f t="shared" si="64"/>
        <v>0.46242133670136432</v>
      </c>
      <c r="AE1383" s="25">
        <f t="shared" si="65"/>
        <v>2.0209307662323196E-2</v>
      </c>
    </row>
    <row r="1384" spans="1:31" x14ac:dyDescent="0.2">
      <c r="A1384" s="1" t="s">
        <v>165</v>
      </c>
      <c r="B1384" s="1" t="s">
        <v>3462</v>
      </c>
      <c r="C1384" s="1">
        <v>6071</v>
      </c>
      <c r="D1384" s="1">
        <v>6</v>
      </c>
      <c r="F1384" s="1">
        <v>2023</v>
      </c>
      <c r="G1384" s="5">
        <v>1012</v>
      </c>
      <c r="H1384" s="5">
        <v>921.51</v>
      </c>
      <c r="I1384" s="5">
        <v>134578.60999999999</v>
      </c>
      <c r="K1384" s="5">
        <v>0.441</v>
      </c>
      <c r="L1384" s="5">
        <v>1E-3</v>
      </c>
      <c r="M1384" s="5">
        <v>87405.698999999993</v>
      </c>
      <c r="N1384" s="6">
        <v>5.8999999999999997E-2</v>
      </c>
      <c r="O1384" s="5">
        <v>24.742000000000001</v>
      </c>
      <c r="P1384" s="6">
        <v>4.0399999999999998E-2</v>
      </c>
      <c r="Q1384" s="5">
        <v>1470757.0349999999</v>
      </c>
      <c r="R1384" s="1" t="s">
        <v>44</v>
      </c>
      <c r="T1384" s="1" t="s">
        <v>93</v>
      </c>
      <c r="V1384" s="1" t="s">
        <v>140</v>
      </c>
      <c r="Y1384" s="1" t="s">
        <v>168</v>
      </c>
      <c r="Z1384" s="1" t="str">
        <f t="shared" si="63"/>
        <v>6071 6</v>
      </c>
      <c r="AA1384" s="3">
        <f>IF(INDEX('CAMD Facility Data 2023'!$AA$2:$AE$10000,MATCH(Z1384,'CAMD Facility Data 2023'!$AE$2:$AE$10000,0),1)&gt;0,INDEX('CAMD Facility Data 2023'!$AA$2:$AE$10000,MATCH(Z1384,'CAMD Facility Data 2023'!$AE$2:$AE$10000,0),1),"")</f>
        <v>37391</v>
      </c>
      <c r="AB1384" s="5">
        <f>IF(INDEX('CAMD Facility Data 2023'!$AC$2:$AE$10000,MATCH(Z1384,'CAMD Facility Data 2023'!$AE$2:$AE$10000,0),1)&gt;0,INDEX('CAMD Facility Data 2023'!$AC$2:$AE$10000,MATCH(Z1384,'CAMD Facility Data 2023'!$AE$2:$AE$10000,0),1),"")</f>
        <v>2065</v>
      </c>
      <c r="AC1384" s="1" t="str">
        <f>IF(INDEX('CAMD Facility Data 2023'!$AE$2:$AG$10000,MATCH(Z1384,'CAMD Facility Data 2023'!$AE$2:$AE$10000,0),3)&gt;0,INDEX('CAMD Facility Data 2023'!$AE$2:$AG$10000,MATCH(Z1384,'CAMD Facility Data 2023'!$AE$2:$AE$10000,0),3),"")</f>
        <v/>
      </c>
      <c r="AD1384" s="20">
        <f t="shared" si="64"/>
        <v>0.36769587678160748</v>
      </c>
      <c r="AE1384" s="25">
        <f t="shared" si="65"/>
        <v>8.1304909781418952E-2</v>
      </c>
    </row>
    <row r="1385" spans="1:31" x14ac:dyDescent="0.2">
      <c r="A1385" s="1" t="s">
        <v>165</v>
      </c>
      <c r="B1385" s="1" t="s">
        <v>3462</v>
      </c>
      <c r="C1385" s="1">
        <v>6071</v>
      </c>
      <c r="D1385" s="1">
        <v>7</v>
      </c>
      <c r="F1385" s="1">
        <v>2023</v>
      </c>
      <c r="G1385" s="5">
        <v>796</v>
      </c>
      <c r="H1385" s="5">
        <v>744.27</v>
      </c>
      <c r="I1385" s="5">
        <v>105344.31</v>
      </c>
      <c r="K1385" s="5">
        <v>0.34200000000000003</v>
      </c>
      <c r="L1385" s="5">
        <v>1E-3</v>
      </c>
      <c r="M1385" s="5">
        <v>67701.324999999997</v>
      </c>
      <c r="N1385" s="6">
        <v>5.8999999999999997E-2</v>
      </c>
      <c r="O1385" s="5">
        <v>19.920999999999999</v>
      </c>
      <c r="P1385" s="6">
        <v>4.5400000000000003E-2</v>
      </c>
      <c r="Q1385" s="5">
        <v>1139230.0149999999</v>
      </c>
      <c r="R1385" s="1" t="s">
        <v>44</v>
      </c>
      <c r="T1385" s="1" t="s">
        <v>93</v>
      </c>
      <c r="V1385" s="1" t="s">
        <v>140</v>
      </c>
      <c r="Y1385" s="1" t="s">
        <v>168</v>
      </c>
      <c r="Z1385" s="1" t="str">
        <f t="shared" si="63"/>
        <v>6071 7</v>
      </c>
      <c r="AA1385" s="3">
        <f>IF(INDEX('CAMD Facility Data 2023'!$AA$2:$AE$10000,MATCH(Z1385,'CAMD Facility Data 2023'!$AE$2:$AE$10000,0),1)&gt;0,INDEX('CAMD Facility Data 2023'!$AA$2:$AE$10000,MATCH(Z1385,'CAMD Facility Data 2023'!$AE$2:$AE$10000,0),1),"")</f>
        <v>38035</v>
      </c>
      <c r="AB1385" s="5">
        <f>IF(INDEX('CAMD Facility Data 2023'!$AC$2:$AE$10000,MATCH(Z1385,'CAMD Facility Data 2023'!$AE$2:$AE$10000,0),1)&gt;0,INDEX('CAMD Facility Data 2023'!$AC$2:$AE$10000,MATCH(Z1385,'CAMD Facility Data 2023'!$AE$2:$AE$10000,0),1),"")</f>
        <v>2050</v>
      </c>
      <c r="AC1385" s="1" t="str">
        <f>IF(INDEX('CAMD Facility Data 2023'!$AE$2:$AG$10000,MATCH(Z1385,'CAMD Facility Data 2023'!$AE$2:$AE$10000,0),3)&gt;0,INDEX('CAMD Facility Data 2023'!$AE$2:$AG$10000,MATCH(Z1385,'CAMD Facility Data 2023'!$AE$2:$AE$10000,0),3),"")</f>
        <v/>
      </c>
      <c r="AD1385" s="20">
        <f t="shared" si="64"/>
        <v>0.37820742287836906</v>
      </c>
      <c r="AE1385" s="25">
        <f t="shared" si="65"/>
        <v>6.343857974161933E-2</v>
      </c>
    </row>
    <row r="1386" spans="1:31" x14ac:dyDescent="0.2">
      <c r="A1386" s="1" t="s">
        <v>165</v>
      </c>
      <c r="B1386" s="1" t="s">
        <v>3462</v>
      </c>
      <c r="C1386" s="1">
        <v>6071</v>
      </c>
      <c r="D1386" s="1">
        <v>8</v>
      </c>
      <c r="F1386" s="1">
        <v>2023</v>
      </c>
      <c r="G1386" s="5">
        <v>248</v>
      </c>
      <c r="H1386" s="5">
        <v>219.17</v>
      </c>
      <c r="I1386" s="5">
        <v>34376.050000000003</v>
      </c>
      <c r="K1386" s="5">
        <v>0.11</v>
      </c>
      <c r="L1386" s="5">
        <v>1E-3</v>
      </c>
      <c r="M1386" s="5">
        <v>21878.074000000001</v>
      </c>
      <c r="N1386" s="6">
        <v>5.8999999999999997E-2</v>
      </c>
      <c r="O1386" s="5">
        <v>5.899</v>
      </c>
      <c r="P1386" s="6">
        <v>4.3999999999999997E-2</v>
      </c>
      <c r="Q1386" s="5">
        <v>368128.05900000001</v>
      </c>
      <c r="R1386" s="1" t="s">
        <v>44</v>
      </c>
      <c r="T1386" s="1" t="s">
        <v>93</v>
      </c>
      <c r="V1386" s="1" t="s">
        <v>140</v>
      </c>
      <c r="Y1386" s="1" t="s">
        <v>168</v>
      </c>
      <c r="Z1386" s="1" t="str">
        <f t="shared" si="63"/>
        <v>6071 8</v>
      </c>
      <c r="AA1386" s="3">
        <f>IF(INDEX('CAMD Facility Data 2023'!$AA$2:$AE$10000,MATCH(Z1386,'CAMD Facility Data 2023'!$AE$2:$AE$10000,0),1)&gt;0,INDEX('CAMD Facility Data 2023'!$AA$2:$AE$10000,MATCH(Z1386,'CAMD Facility Data 2023'!$AE$2:$AE$10000,0),1),"")</f>
        <v>38038</v>
      </c>
      <c r="AB1386" s="5">
        <f>IF(INDEX('CAMD Facility Data 2023'!$AC$2:$AE$10000,MATCH(Z1386,'CAMD Facility Data 2023'!$AE$2:$AE$10000,0),1)&gt;0,INDEX('CAMD Facility Data 2023'!$AC$2:$AE$10000,MATCH(Z1386,'CAMD Facility Data 2023'!$AE$2:$AE$10000,0),1),"")</f>
        <v>2050</v>
      </c>
      <c r="AC1386" s="1" t="str">
        <f>IF(INDEX('CAMD Facility Data 2023'!$AE$2:$AG$10000,MATCH(Z1386,'CAMD Facility Data 2023'!$AE$2:$AE$10000,0),3)&gt;0,INDEX('CAMD Facility Data 2023'!$AE$2:$AG$10000,MATCH(Z1386,'CAMD Facility Data 2023'!$AE$2:$AE$10000,0),3),"")</f>
        <v/>
      </c>
      <c r="AD1386" s="20">
        <f t="shared" si="64"/>
        <v>0.34320406213046578</v>
      </c>
      <c r="AE1386" s="25">
        <f t="shared" si="65"/>
        <v>2.0499390745071833E-2</v>
      </c>
    </row>
    <row r="1387" spans="1:31" x14ac:dyDescent="0.2">
      <c r="A1387" s="1" t="s">
        <v>165</v>
      </c>
      <c r="B1387" s="1" t="s">
        <v>3462</v>
      </c>
      <c r="C1387" s="1">
        <v>6071</v>
      </c>
      <c r="D1387" s="1">
        <v>9</v>
      </c>
      <c r="F1387" s="1">
        <v>2023</v>
      </c>
      <c r="G1387" s="5">
        <v>333</v>
      </c>
      <c r="H1387" s="5">
        <v>290.79000000000002</v>
      </c>
      <c r="I1387" s="5">
        <v>41753.620000000003</v>
      </c>
      <c r="K1387" s="5">
        <v>0.13500000000000001</v>
      </c>
      <c r="L1387" s="5">
        <v>1E-3</v>
      </c>
      <c r="M1387" s="5">
        <v>26818.828000000001</v>
      </c>
      <c r="N1387" s="6">
        <v>5.8999999999999997E-2</v>
      </c>
      <c r="O1387" s="5">
        <v>7.8360000000000003</v>
      </c>
      <c r="P1387" s="6">
        <v>4.48E-2</v>
      </c>
      <c r="Q1387" s="5">
        <v>451268.91600000003</v>
      </c>
      <c r="R1387" s="1" t="s">
        <v>44</v>
      </c>
      <c r="T1387" s="1" t="s">
        <v>93</v>
      </c>
      <c r="V1387" s="1" t="s">
        <v>140</v>
      </c>
      <c r="Y1387" s="1" t="s">
        <v>168</v>
      </c>
      <c r="Z1387" s="1" t="str">
        <f t="shared" si="63"/>
        <v>6071 9</v>
      </c>
      <c r="AA1387" s="3">
        <f>IF(INDEX('CAMD Facility Data 2023'!$AA$2:$AE$10000,MATCH(Z1387,'CAMD Facility Data 2023'!$AE$2:$AE$10000,0),1)&gt;0,INDEX('CAMD Facility Data 2023'!$AA$2:$AE$10000,MATCH(Z1387,'CAMD Facility Data 2023'!$AE$2:$AE$10000,0),1),"")</f>
        <v>38072</v>
      </c>
      <c r="AB1387" s="5">
        <f>IF(INDEX('CAMD Facility Data 2023'!$AC$2:$AE$10000,MATCH(Z1387,'CAMD Facility Data 2023'!$AE$2:$AE$10000,0),1)&gt;0,INDEX('CAMD Facility Data 2023'!$AC$2:$AE$10000,MATCH(Z1387,'CAMD Facility Data 2023'!$AE$2:$AE$10000,0),1),"")</f>
        <v>2050</v>
      </c>
      <c r="AC1387" s="1" t="str">
        <f>IF(INDEX('CAMD Facility Data 2023'!$AE$2:$AG$10000,MATCH(Z1387,'CAMD Facility Data 2023'!$AE$2:$AE$10000,0),3)&gt;0,INDEX('CAMD Facility Data 2023'!$AE$2:$AG$10000,MATCH(Z1387,'CAMD Facility Data 2023'!$AE$2:$AE$10000,0),3),"")</f>
        <v/>
      </c>
      <c r="AD1387" s="20">
        <f t="shared" si="64"/>
        <v>0.3753447006511052</v>
      </c>
      <c r="AE1387" s="25">
        <f t="shared" si="65"/>
        <v>2.5129129969929838E-2</v>
      </c>
    </row>
    <row r="1388" spans="1:31" x14ac:dyDescent="0.2">
      <c r="A1388" s="1" t="s">
        <v>1732</v>
      </c>
      <c r="B1388" s="1" t="s">
        <v>3476</v>
      </c>
      <c r="C1388" s="1">
        <v>6073</v>
      </c>
      <c r="D1388" s="1">
        <v>1</v>
      </c>
      <c r="F1388" s="1">
        <v>2023</v>
      </c>
      <c r="G1388" s="5">
        <v>780</v>
      </c>
      <c r="H1388" s="5">
        <v>770.32</v>
      </c>
      <c r="I1388" s="5">
        <v>190825.21</v>
      </c>
      <c r="K1388" s="5">
        <v>25.559000000000001</v>
      </c>
      <c r="L1388" s="5">
        <v>2.5399999999999999E-2</v>
      </c>
      <c r="M1388" s="5">
        <v>218397.823</v>
      </c>
      <c r="N1388" s="6">
        <v>0.1028</v>
      </c>
      <c r="O1388" s="5">
        <v>227.357</v>
      </c>
      <c r="P1388" s="6">
        <v>0.1968</v>
      </c>
      <c r="Q1388" s="5">
        <v>2128641.7009999999</v>
      </c>
      <c r="R1388" s="1" t="s">
        <v>55</v>
      </c>
      <c r="S1388" s="1" t="s">
        <v>173</v>
      </c>
      <c r="T1388" s="1" t="s">
        <v>43</v>
      </c>
      <c r="U1388" s="1" t="s">
        <v>56</v>
      </c>
      <c r="W1388" s="1" t="s">
        <v>58</v>
      </c>
      <c r="Y1388" s="1" t="s">
        <v>337</v>
      </c>
      <c r="Z1388" s="1" t="str">
        <f t="shared" si="63"/>
        <v>6073 1</v>
      </c>
      <c r="AA1388" s="3">
        <f>IF(INDEX('CAMD Facility Data 2023'!$AA$2:$AE$10000,MATCH(Z1388,'CAMD Facility Data 2023'!$AE$2:$AE$10000,0),1)&gt;0,INDEX('CAMD Facility Data 2023'!$AA$2:$AE$10000,MATCH(Z1388,'CAMD Facility Data 2023'!$AE$2:$AE$10000,0),1),"")</f>
        <v>28374</v>
      </c>
      <c r="AB1388" s="5">
        <f>IF(INDEX('CAMD Facility Data 2023'!$AC$2:$AE$10000,MATCH(Z1388,'CAMD Facility Data 2023'!$AE$2:$AE$10000,0),1)&gt;0,INDEX('CAMD Facility Data 2023'!$AC$2:$AE$10000,MATCH(Z1388,'CAMD Facility Data 2023'!$AE$2:$AE$10000,0),1),"")</f>
        <v>5461</v>
      </c>
      <c r="AC1388" s="1" t="str">
        <f>IF(INDEX('CAMD Facility Data 2023'!$AE$2:$AG$10000,MATCH(Z1388,'CAMD Facility Data 2023'!$AE$2:$AE$10000,0),3)&gt;0,INDEX('CAMD Facility Data 2023'!$AE$2:$AG$10000,MATCH(Z1388,'CAMD Facility Data 2023'!$AE$2:$AE$10000,0),3),"")</f>
        <v/>
      </c>
      <c r="AD1388" s="20">
        <f t="shared" si="64"/>
        <v>2.3828822198073305</v>
      </c>
      <c r="AE1388" s="25">
        <f t="shared" si="65"/>
        <v>4.4496544216816793E-2</v>
      </c>
    </row>
    <row r="1389" spans="1:31" x14ac:dyDescent="0.2">
      <c r="A1389" s="1" t="s">
        <v>1732</v>
      </c>
      <c r="B1389" s="1" t="s">
        <v>3476</v>
      </c>
      <c r="C1389" s="1">
        <v>6073</v>
      </c>
      <c r="D1389" s="1">
        <v>2</v>
      </c>
      <c r="F1389" s="1">
        <v>2023</v>
      </c>
      <c r="G1389" s="5">
        <v>5334</v>
      </c>
      <c r="H1389" s="5">
        <v>5325.55</v>
      </c>
      <c r="I1389" s="5">
        <v>1525879</v>
      </c>
      <c r="K1389" s="5">
        <v>144.667</v>
      </c>
      <c r="L1389" s="5">
        <v>1.52E-2</v>
      </c>
      <c r="M1389" s="5">
        <v>1770502.2169999999</v>
      </c>
      <c r="N1389" s="6">
        <v>0.10299999999999999</v>
      </c>
      <c r="O1389" s="5">
        <v>2590.8330000000001</v>
      </c>
      <c r="P1389" s="6">
        <v>0.29799999999999999</v>
      </c>
      <c r="Q1389" s="5">
        <v>17256349.522999998</v>
      </c>
      <c r="R1389" s="1" t="s">
        <v>55</v>
      </c>
      <c r="S1389" s="1" t="s">
        <v>173</v>
      </c>
      <c r="T1389" s="1" t="s">
        <v>43</v>
      </c>
      <c r="W1389" s="1" t="s">
        <v>58</v>
      </c>
      <c r="Y1389" s="1" t="s">
        <v>337</v>
      </c>
      <c r="Z1389" s="1" t="str">
        <f t="shared" si="63"/>
        <v>6073 2</v>
      </c>
      <c r="AA1389" s="3">
        <f>IF(INDEX('CAMD Facility Data 2023'!$AA$2:$AE$10000,MATCH(Z1389,'CAMD Facility Data 2023'!$AE$2:$AE$10000,0),1)&gt;0,INDEX('CAMD Facility Data 2023'!$AA$2:$AE$10000,MATCH(Z1389,'CAMD Facility Data 2023'!$AE$2:$AE$10000,0),1),"")</f>
        <v>29738</v>
      </c>
      <c r="AB1389" s="5">
        <f>IF(INDEX('CAMD Facility Data 2023'!$AC$2:$AE$10000,MATCH(Z1389,'CAMD Facility Data 2023'!$AE$2:$AE$10000,0),1)&gt;0,INDEX('CAMD Facility Data 2023'!$AC$2:$AE$10000,MATCH(Z1389,'CAMD Facility Data 2023'!$AE$2:$AE$10000,0),1),"")</f>
        <v>5461</v>
      </c>
      <c r="AC1389" s="1" t="str">
        <f>IF(INDEX('CAMD Facility Data 2023'!$AE$2:$AG$10000,MATCH(Z1389,'CAMD Facility Data 2023'!$AE$2:$AE$10000,0),3)&gt;0,INDEX('CAMD Facility Data 2023'!$AE$2:$AG$10000,MATCH(Z1389,'CAMD Facility Data 2023'!$AE$2:$AE$10000,0),3),"")</f>
        <v/>
      </c>
      <c r="AD1389" s="20">
        <f t="shared" si="64"/>
        <v>3.3958564211185815</v>
      </c>
      <c r="AE1389" s="25">
        <f t="shared" si="65"/>
        <v>0.36072201310830887</v>
      </c>
    </row>
    <row r="1390" spans="1:31" x14ac:dyDescent="0.2">
      <c r="A1390" s="1" t="s">
        <v>1732</v>
      </c>
      <c r="B1390" s="1" t="s">
        <v>3476</v>
      </c>
      <c r="C1390" s="1">
        <v>6073</v>
      </c>
      <c r="D1390" s="1" t="s">
        <v>379</v>
      </c>
      <c r="F1390" s="1">
        <v>2023</v>
      </c>
      <c r="G1390" s="5">
        <v>8255</v>
      </c>
      <c r="H1390" s="5">
        <v>8247.24</v>
      </c>
      <c r="I1390" s="5">
        <v>2284391.88</v>
      </c>
      <c r="K1390" s="5">
        <v>4.6479999999999997</v>
      </c>
      <c r="L1390" s="5">
        <v>1E-3</v>
      </c>
      <c r="M1390" s="5">
        <v>920691.65099999995</v>
      </c>
      <c r="N1390" s="6">
        <v>5.8999999999999997E-2</v>
      </c>
      <c r="O1390" s="5">
        <v>54.533999999999999</v>
      </c>
      <c r="P1390" s="6">
        <v>7.1999999999999998E-3</v>
      </c>
      <c r="Q1390" s="5">
        <v>15492456.795</v>
      </c>
      <c r="R1390" s="1" t="s">
        <v>44</v>
      </c>
      <c r="T1390" s="1" t="s">
        <v>71</v>
      </c>
      <c r="V1390" s="1" t="s">
        <v>64</v>
      </c>
      <c r="Y1390" s="1" t="s">
        <v>346</v>
      </c>
      <c r="Z1390" s="1" t="str">
        <f t="shared" si="63"/>
        <v>6073 3A</v>
      </c>
      <c r="AA1390" s="3">
        <f>IF(INDEX('CAMD Facility Data 2023'!$AA$2:$AE$10000,MATCH(Z1390,'CAMD Facility Data 2023'!$AE$2:$AE$10000,0),1)&gt;0,INDEX('CAMD Facility Data 2023'!$AA$2:$AE$10000,MATCH(Z1390,'CAMD Facility Data 2023'!$AE$2:$AE$10000,0),1),"")</f>
        <v>36899</v>
      </c>
      <c r="AB1390" s="5">
        <f>IF(INDEX('CAMD Facility Data 2023'!$AC$2:$AE$10000,MATCH(Z1390,'CAMD Facility Data 2023'!$AE$2:$AE$10000,0),1)&gt;0,INDEX('CAMD Facility Data 2023'!$AC$2:$AE$10000,MATCH(Z1390,'CAMD Facility Data 2023'!$AE$2:$AE$10000,0),1),"")</f>
        <v>2105</v>
      </c>
      <c r="AC1390" s="1" t="str">
        <f>IF(INDEX('CAMD Facility Data 2023'!$AE$2:$AG$10000,MATCH(Z1390,'CAMD Facility Data 2023'!$AE$2:$AE$10000,0),3)&gt;0,INDEX('CAMD Facility Data 2023'!$AE$2:$AG$10000,MATCH(Z1390,'CAMD Facility Data 2023'!$AE$2:$AE$10000,0),3),"")</f>
        <v>Y</v>
      </c>
      <c r="AD1390" s="20">
        <f t="shared" si="64"/>
        <v>4.7744872915587495E-2</v>
      </c>
      <c r="AE1390" s="25">
        <f t="shared" si="65"/>
        <v>0.84016403621514335</v>
      </c>
    </row>
    <row r="1391" spans="1:31" x14ac:dyDescent="0.2">
      <c r="A1391" s="1" t="s">
        <v>1732</v>
      </c>
      <c r="B1391" s="1" t="s">
        <v>3476</v>
      </c>
      <c r="C1391" s="1">
        <v>6073</v>
      </c>
      <c r="D1391" s="1" t="s">
        <v>965</v>
      </c>
      <c r="F1391" s="1">
        <v>2023</v>
      </c>
      <c r="G1391" s="5">
        <v>8277</v>
      </c>
      <c r="H1391" s="5">
        <v>8271.61</v>
      </c>
      <c r="I1391" s="5">
        <v>2286743.02</v>
      </c>
      <c r="K1391" s="5">
        <v>4.63</v>
      </c>
      <c r="L1391" s="5">
        <v>1E-3</v>
      </c>
      <c r="M1391" s="5">
        <v>917062.39500000002</v>
      </c>
      <c r="N1391" s="6">
        <v>5.8999999999999997E-2</v>
      </c>
      <c r="O1391" s="5">
        <v>73.545000000000002</v>
      </c>
      <c r="P1391" s="6">
        <v>9.2999999999999992E-3</v>
      </c>
      <c r="Q1391" s="5">
        <v>15431479.501</v>
      </c>
      <c r="R1391" s="1" t="s">
        <v>44</v>
      </c>
      <c r="T1391" s="1" t="s">
        <v>71</v>
      </c>
      <c r="V1391" s="1" t="s">
        <v>64</v>
      </c>
      <c r="Y1391" s="1" t="s">
        <v>346</v>
      </c>
      <c r="Z1391" s="1" t="str">
        <f t="shared" si="63"/>
        <v>6073 3B</v>
      </c>
      <c r="AA1391" s="3">
        <f>IF(INDEX('CAMD Facility Data 2023'!$AA$2:$AE$10000,MATCH(Z1391,'CAMD Facility Data 2023'!$AE$2:$AE$10000,0),1)&gt;0,INDEX('CAMD Facility Data 2023'!$AA$2:$AE$10000,MATCH(Z1391,'CAMD Facility Data 2023'!$AE$2:$AE$10000,0),1),"")</f>
        <v>36909</v>
      </c>
      <c r="AB1391" s="5">
        <f>IF(INDEX('CAMD Facility Data 2023'!$AC$2:$AE$10000,MATCH(Z1391,'CAMD Facility Data 2023'!$AE$2:$AE$10000,0),1)&gt;0,INDEX('CAMD Facility Data 2023'!$AC$2:$AE$10000,MATCH(Z1391,'CAMD Facility Data 2023'!$AE$2:$AE$10000,0),1),"")</f>
        <v>2105</v>
      </c>
      <c r="AC1391" s="1" t="str">
        <f>IF(INDEX('CAMD Facility Data 2023'!$AE$2:$AG$10000,MATCH(Z1391,'CAMD Facility Data 2023'!$AE$2:$AE$10000,0),3)&gt;0,INDEX('CAMD Facility Data 2023'!$AE$2:$AG$10000,MATCH(Z1391,'CAMD Facility Data 2023'!$AE$2:$AE$10000,0),3),"")</f>
        <v>Y</v>
      </c>
      <c r="AD1391" s="20">
        <f t="shared" si="64"/>
        <v>6.4322925100696274E-2</v>
      </c>
      <c r="AE1391" s="25">
        <f t="shared" si="65"/>
        <v>0.83685720566383581</v>
      </c>
    </row>
    <row r="1392" spans="1:31" x14ac:dyDescent="0.2">
      <c r="A1392" s="1" t="s">
        <v>1732</v>
      </c>
      <c r="B1392" s="1" t="s">
        <v>3476</v>
      </c>
      <c r="C1392" s="1">
        <v>6073</v>
      </c>
      <c r="D1392" s="1" t="s">
        <v>381</v>
      </c>
      <c r="F1392" s="1">
        <v>2023</v>
      </c>
      <c r="G1392" s="5">
        <v>8101</v>
      </c>
      <c r="H1392" s="5">
        <v>8095.48</v>
      </c>
      <c r="I1392" s="5">
        <v>2286125.91</v>
      </c>
      <c r="K1392" s="5">
        <v>4.5140000000000002</v>
      </c>
      <c r="L1392" s="5">
        <v>1E-3</v>
      </c>
      <c r="M1392" s="5">
        <v>894259.76199999999</v>
      </c>
      <c r="N1392" s="6">
        <v>5.8999999999999997E-2</v>
      </c>
      <c r="O1392" s="5">
        <v>52.817</v>
      </c>
      <c r="P1392" s="6">
        <v>7.1000000000000004E-3</v>
      </c>
      <c r="Q1392" s="5">
        <v>15047610.442</v>
      </c>
      <c r="R1392" s="1" t="s">
        <v>44</v>
      </c>
      <c r="T1392" s="1" t="s">
        <v>71</v>
      </c>
      <c r="V1392" s="1" t="s">
        <v>64</v>
      </c>
      <c r="Y1392" s="1" t="s">
        <v>346</v>
      </c>
      <c r="Z1392" s="1" t="str">
        <f t="shared" si="63"/>
        <v>6073 4A</v>
      </c>
      <c r="AA1392" s="3">
        <f>IF(INDEX('CAMD Facility Data 2023'!$AA$2:$AE$10000,MATCH(Z1392,'CAMD Facility Data 2023'!$AE$2:$AE$10000,0),1)&gt;0,INDEX('CAMD Facility Data 2023'!$AA$2:$AE$10000,MATCH(Z1392,'CAMD Facility Data 2023'!$AE$2:$AE$10000,0),1),"")</f>
        <v>36867</v>
      </c>
      <c r="AB1392" s="5">
        <f>IF(INDEX('CAMD Facility Data 2023'!$AC$2:$AE$10000,MATCH(Z1392,'CAMD Facility Data 2023'!$AE$2:$AE$10000,0),1)&gt;0,INDEX('CAMD Facility Data 2023'!$AC$2:$AE$10000,MATCH(Z1392,'CAMD Facility Data 2023'!$AE$2:$AE$10000,0),1),"")</f>
        <v>2105</v>
      </c>
      <c r="AC1392" s="1" t="str">
        <f>IF(INDEX('CAMD Facility Data 2023'!$AE$2:$AG$10000,MATCH(Z1392,'CAMD Facility Data 2023'!$AE$2:$AE$10000,0),3)&gt;0,INDEX('CAMD Facility Data 2023'!$AE$2:$AG$10000,MATCH(Z1392,'CAMD Facility Data 2023'!$AE$2:$AE$10000,0),3),"")</f>
        <v>Y</v>
      </c>
      <c r="AD1392" s="20">
        <f t="shared" si="64"/>
        <v>4.6206553863868328E-2</v>
      </c>
      <c r="AE1392" s="25">
        <f t="shared" si="65"/>
        <v>0.8160397857894337</v>
      </c>
    </row>
    <row r="1393" spans="1:31" x14ac:dyDescent="0.2">
      <c r="A1393" s="1" t="s">
        <v>1732</v>
      </c>
      <c r="B1393" s="1" t="s">
        <v>3476</v>
      </c>
      <c r="C1393" s="1">
        <v>6073</v>
      </c>
      <c r="D1393" s="1" t="s">
        <v>815</v>
      </c>
      <c r="F1393" s="1">
        <v>2023</v>
      </c>
      <c r="G1393" s="5">
        <v>8059</v>
      </c>
      <c r="H1393" s="5">
        <v>8053.23</v>
      </c>
      <c r="I1393" s="5">
        <v>2183483.4500000002</v>
      </c>
      <c r="K1393" s="5">
        <v>4.3019999999999996</v>
      </c>
      <c r="L1393" s="5">
        <v>1E-3</v>
      </c>
      <c r="M1393" s="5">
        <v>852076.06799999997</v>
      </c>
      <c r="N1393" s="6">
        <v>5.8999999999999997E-2</v>
      </c>
      <c r="O1393" s="5">
        <v>50.11</v>
      </c>
      <c r="P1393" s="6">
        <v>7.1000000000000004E-3</v>
      </c>
      <c r="Q1393" s="5">
        <v>14338004.210999999</v>
      </c>
      <c r="R1393" s="1" t="s">
        <v>44</v>
      </c>
      <c r="T1393" s="1" t="s">
        <v>71</v>
      </c>
      <c r="V1393" s="1" t="s">
        <v>64</v>
      </c>
      <c r="Y1393" s="1" t="s">
        <v>346</v>
      </c>
      <c r="Z1393" s="1" t="str">
        <f t="shared" si="63"/>
        <v>6073 4B</v>
      </c>
      <c r="AA1393" s="3">
        <f>IF(INDEX('CAMD Facility Data 2023'!$AA$2:$AE$10000,MATCH(Z1393,'CAMD Facility Data 2023'!$AE$2:$AE$10000,0),1)&gt;0,INDEX('CAMD Facility Data 2023'!$AA$2:$AE$10000,MATCH(Z1393,'CAMD Facility Data 2023'!$AE$2:$AE$10000,0),1),"")</f>
        <v>36872</v>
      </c>
      <c r="AB1393" s="5">
        <f>IF(INDEX('CAMD Facility Data 2023'!$AC$2:$AE$10000,MATCH(Z1393,'CAMD Facility Data 2023'!$AE$2:$AE$10000,0),1)&gt;0,INDEX('CAMD Facility Data 2023'!$AC$2:$AE$10000,MATCH(Z1393,'CAMD Facility Data 2023'!$AE$2:$AE$10000,0),1),"")</f>
        <v>2105</v>
      </c>
      <c r="AC1393" s="1" t="str">
        <f>IF(INDEX('CAMD Facility Data 2023'!$AE$2:$AG$10000,MATCH(Z1393,'CAMD Facility Data 2023'!$AE$2:$AE$10000,0),3)&gt;0,INDEX('CAMD Facility Data 2023'!$AE$2:$AG$10000,MATCH(Z1393,'CAMD Facility Data 2023'!$AE$2:$AE$10000,0),3),"")</f>
        <v>Y</v>
      </c>
      <c r="AD1393" s="20">
        <f t="shared" si="64"/>
        <v>4.5899134248075013E-2</v>
      </c>
      <c r="AE1393" s="25">
        <f t="shared" si="65"/>
        <v>0.77755746868187281</v>
      </c>
    </row>
    <row r="1394" spans="1:31" x14ac:dyDescent="0.2">
      <c r="A1394" s="1" t="s">
        <v>1755</v>
      </c>
      <c r="B1394" s="1" t="s">
        <v>3484</v>
      </c>
      <c r="C1394" s="1">
        <v>6074</v>
      </c>
      <c r="D1394" s="1">
        <v>1</v>
      </c>
      <c r="F1394" s="1">
        <v>2023</v>
      </c>
      <c r="G1394" s="5">
        <v>2039</v>
      </c>
      <c r="H1394" s="5">
        <v>1801.4</v>
      </c>
      <c r="I1394" s="5">
        <v>28312.44</v>
      </c>
      <c r="K1394" s="5">
        <v>4.5419999999999998</v>
      </c>
      <c r="L1394" s="5">
        <v>2.8799999999999999E-2</v>
      </c>
      <c r="O1394" s="5">
        <v>71.263000000000005</v>
      </c>
      <c r="P1394" s="6">
        <v>0.28439999999999999</v>
      </c>
      <c r="Q1394" s="5">
        <v>545744.6</v>
      </c>
      <c r="R1394" s="1" t="s">
        <v>44</v>
      </c>
      <c r="S1394" s="1" t="s">
        <v>94</v>
      </c>
      <c r="T1394" s="1" t="s">
        <v>93</v>
      </c>
      <c r="Y1394" s="1" t="s">
        <v>1195</v>
      </c>
      <c r="Z1394" s="1" t="str">
        <f t="shared" si="63"/>
        <v>6074 1</v>
      </c>
      <c r="AA1394" s="3">
        <f>IF(INDEX('CAMD Facility Data 2023'!$AA$2:$AE$10000,MATCH(Z1394,'CAMD Facility Data 2023'!$AE$2:$AE$10000,0),1)&gt;0,INDEX('CAMD Facility Data 2023'!$AA$2:$AE$10000,MATCH(Z1394,'CAMD Facility Data 2023'!$AE$2:$AE$10000,0),1),"")</f>
        <v>27546</v>
      </c>
      <c r="AB1394" s="5">
        <f>IF(INDEX('CAMD Facility Data 2023'!$AC$2:$AE$10000,MATCH(Z1394,'CAMD Facility Data 2023'!$AE$2:$AE$10000,0),1)&gt;0,INDEX('CAMD Facility Data 2023'!$AC$2:$AE$10000,MATCH(Z1394,'CAMD Facility Data 2023'!$AE$2:$AE$10000,0),1),"")</f>
        <v>1010</v>
      </c>
      <c r="AC1394" s="1" t="str">
        <f>IF(INDEX('CAMD Facility Data 2023'!$AE$2:$AG$10000,MATCH(Z1394,'CAMD Facility Data 2023'!$AE$2:$AE$10000,0),3)&gt;0,INDEX('CAMD Facility Data 2023'!$AE$2:$AG$10000,MATCH(Z1394,'CAMD Facility Data 2023'!$AE$2:$AE$10000,0),3),"")</f>
        <v/>
      </c>
      <c r="AD1394" s="20">
        <f t="shared" si="64"/>
        <v>5.0340415732448349</v>
      </c>
      <c r="AE1394" s="25">
        <f t="shared" si="65"/>
        <v>6.1682784031827836E-2</v>
      </c>
    </row>
    <row r="1395" spans="1:31" x14ac:dyDescent="0.2">
      <c r="A1395" s="1" t="s">
        <v>1755</v>
      </c>
      <c r="B1395" s="1" t="s">
        <v>3484</v>
      </c>
      <c r="C1395" s="1">
        <v>6074</v>
      </c>
      <c r="D1395" s="1">
        <v>2</v>
      </c>
      <c r="F1395" s="1">
        <v>2023</v>
      </c>
      <c r="G1395" s="5">
        <v>2057</v>
      </c>
      <c r="H1395" s="5">
        <v>1821.7</v>
      </c>
      <c r="I1395" s="5">
        <v>35820.47</v>
      </c>
      <c r="K1395" s="5">
        <v>2.2229999999999999</v>
      </c>
      <c r="L1395" s="5">
        <v>1.11E-2</v>
      </c>
      <c r="O1395" s="5">
        <v>99.147000000000006</v>
      </c>
      <c r="P1395" s="6">
        <v>0.2636</v>
      </c>
      <c r="Q1395" s="5">
        <v>781527.5</v>
      </c>
      <c r="R1395" s="1" t="s">
        <v>44</v>
      </c>
      <c r="S1395" s="1" t="s">
        <v>94</v>
      </c>
      <c r="T1395" s="1" t="s">
        <v>93</v>
      </c>
      <c r="Y1395" s="1" t="s">
        <v>1195</v>
      </c>
      <c r="Z1395" s="1" t="str">
        <f t="shared" si="63"/>
        <v>6074 2</v>
      </c>
      <c r="AA1395" s="3">
        <f>IF(INDEX('CAMD Facility Data 2023'!$AA$2:$AE$10000,MATCH(Z1395,'CAMD Facility Data 2023'!$AE$2:$AE$10000,0),1)&gt;0,INDEX('CAMD Facility Data 2023'!$AA$2:$AE$10000,MATCH(Z1395,'CAMD Facility Data 2023'!$AE$2:$AE$10000,0),1),"")</f>
        <v>27546</v>
      </c>
      <c r="AB1395" s="5">
        <f>IF(INDEX('CAMD Facility Data 2023'!$AC$2:$AE$10000,MATCH(Z1395,'CAMD Facility Data 2023'!$AE$2:$AE$10000,0),1)&gt;0,INDEX('CAMD Facility Data 2023'!$AC$2:$AE$10000,MATCH(Z1395,'CAMD Facility Data 2023'!$AE$2:$AE$10000,0),1),"")</f>
        <v>1010</v>
      </c>
      <c r="AC1395" s="1" t="str">
        <f>IF(INDEX('CAMD Facility Data 2023'!$AE$2:$AG$10000,MATCH(Z1395,'CAMD Facility Data 2023'!$AE$2:$AE$10000,0),3)&gt;0,INDEX('CAMD Facility Data 2023'!$AE$2:$AG$10000,MATCH(Z1395,'CAMD Facility Data 2023'!$AE$2:$AE$10000,0),3),"")</f>
        <v/>
      </c>
      <c r="AD1395" s="20">
        <f t="shared" si="64"/>
        <v>5.5357732603731886</v>
      </c>
      <c r="AE1395" s="25">
        <f t="shared" si="65"/>
        <v>8.833214657082146E-2</v>
      </c>
    </row>
    <row r="1396" spans="1:31" x14ac:dyDescent="0.2">
      <c r="A1396" s="1" t="s">
        <v>1755</v>
      </c>
      <c r="B1396" s="1" t="s">
        <v>3484</v>
      </c>
      <c r="C1396" s="1">
        <v>6074</v>
      </c>
      <c r="D1396" s="1">
        <v>3</v>
      </c>
      <c r="F1396" s="1">
        <v>2023</v>
      </c>
      <c r="G1396" s="5">
        <v>1605</v>
      </c>
      <c r="H1396" s="5">
        <v>1403.93</v>
      </c>
      <c r="I1396" s="5">
        <v>19239.75</v>
      </c>
      <c r="K1396" s="5">
        <v>1.01</v>
      </c>
      <c r="L1396" s="5">
        <v>1.0800000000000001E-2</v>
      </c>
      <c r="O1396" s="5">
        <v>49.771000000000001</v>
      </c>
      <c r="P1396" s="6">
        <v>0.22800000000000001</v>
      </c>
      <c r="Q1396" s="5">
        <v>462025.2</v>
      </c>
      <c r="R1396" s="1" t="s">
        <v>44</v>
      </c>
      <c r="S1396" s="1" t="s">
        <v>94</v>
      </c>
      <c r="T1396" s="1" t="s">
        <v>93</v>
      </c>
      <c r="Y1396" s="1" t="s">
        <v>1195</v>
      </c>
      <c r="Z1396" s="1" t="str">
        <f t="shared" si="63"/>
        <v>6074 3</v>
      </c>
      <c r="AA1396" s="3">
        <f>IF(INDEX('CAMD Facility Data 2023'!$AA$2:$AE$10000,MATCH(Z1396,'CAMD Facility Data 2023'!$AE$2:$AE$10000,0),1)&gt;0,INDEX('CAMD Facility Data 2023'!$AA$2:$AE$10000,MATCH(Z1396,'CAMD Facility Data 2023'!$AE$2:$AE$10000,0),1),"")</f>
        <v>28277</v>
      </c>
      <c r="AB1396" s="5">
        <f>IF(INDEX('CAMD Facility Data 2023'!$AC$2:$AE$10000,MATCH(Z1396,'CAMD Facility Data 2023'!$AE$2:$AE$10000,0),1)&gt;0,INDEX('CAMD Facility Data 2023'!$AC$2:$AE$10000,MATCH(Z1396,'CAMD Facility Data 2023'!$AE$2:$AE$10000,0),1),"")</f>
        <v>1010</v>
      </c>
      <c r="AC1396" s="1" t="str">
        <f>IF(INDEX('CAMD Facility Data 2023'!$AE$2:$AG$10000,MATCH(Z1396,'CAMD Facility Data 2023'!$AE$2:$AE$10000,0),3)&gt;0,INDEX('CAMD Facility Data 2023'!$AE$2:$AG$10000,MATCH(Z1396,'CAMD Facility Data 2023'!$AE$2:$AE$10000,0),3),"")</f>
        <v/>
      </c>
      <c r="AD1396" s="20">
        <f t="shared" si="64"/>
        <v>5.1737678504138565</v>
      </c>
      <c r="AE1396" s="25">
        <f t="shared" si="65"/>
        <v>5.2220398752203988E-2</v>
      </c>
    </row>
    <row r="1397" spans="1:31" x14ac:dyDescent="0.2">
      <c r="A1397" s="1" t="s">
        <v>1755</v>
      </c>
      <c r="B1397" s="1" t="s">
        <v>3484</v>
      </c>
      <c r="C1397" s="1">
        <v>6074</v>
      </c>
      <c r="D1397" s="1">
        <v>4</v>
      </c>
      <c r="F1397" s="1">
        <v>2023</v>
      </c>
      <c r="G1397" s="5">
        <v>1508</v>
      </c>
      <c r="H1397" s="5">
        <v>1333.35</v>
      </c>
      <c r="I1397" s="5">
        <v>22135.42</v>
      </c>
      <c r="K1397" s="5">
        <v>1.1599999999999999</v>
      </c>
      <c r="L1397" s="5">
        <v>1.34E-2</v>
      </c>
      <c r="O1397" s="5">
        <v>55.585000000000001</v>
      </c>
      <c r="P1397" s="6">
        <v>0.26219999999999999</v>
      </c>
      <c r="Q1397" s="5">
        <v>450528.2</v>
      </c>
      <c r="R1397" s="1" t="s">
        <v>44</v>
      </c>
      <c r="S1397" s="1" t="s">
        <v>94</v>
      </c>
      <c r="T1397" s="1" t="s">
        <v>93</v>
      </c>
      <c r="Y1397" s="1" t="s">
        <v>1195</v>
      </c>
      <c r="Z1397" s="1" t="str">
        <f t="shared" si="63"/>
        <v>6074 4</v>
      </c>
      <c r="AA1397" s="3">
        <f>IF(INDEX('CAMD Facility Data 2023'!$AA$2:$AE$10000,MATCH(Z1397,'CAMD Facility Data 2023'!$AE$2:$AE$10000,0),1)&gt;0,INDEX('CAMD Facility Data 2023'!$AA$2:$AE$10000,MATCH(Z1397,'CAMD Facility Data 2023'!$AE$2:$AE$10000,0),1),"")</f>
        <v>29007</v>
      </c>
      <c r="AB1397" s="5">
        <f>IF(INDEX('CAMD Facility Data 2023'!$AC$2:$AE$10000,MATCH(Z1397,'CAMD Facility Data 2023'!$AE$2:$AE$10000,0),1)&gt;0,INDEX('CAMD Facility Data 2023'!$AC$2:$AE$10000,MATCH(Z1397,'CAMD Facility Data 2023'!$AE$2:$AE$10000,0),1),"")</f>
        <v>1010</v>
      </c>
      <c r="AC1397" s="1" t="str">
        <f>IF(INDEX('CAMD Facility Data 2023'!$AE$2:$AG$10000,MATCH(Z1397,'CAMD Facility Data 2023'!$AE$2:$AE$10000,0),3)&gt;0,INDEX('CAMD Facility Data 2023'!$AE$2:$AG$10000,MATCH(Z1397,'CAMD Facility Data 2023'!$AE$2:$AE$10000,0),3),"")</f>
        <v/>
      </c>
      <c r="AD1397" s="20">
        <f t="shared" si="64"/>
        <v>5.022267478999721</v>
      </c>
      <c r="AE1397" s="25">
        <f t="shared" si="65"/>
        <v>5.0920950314209505E-2</v>
      </c>
    </row>
    <row r="1398" spans="1:31" x14ac:dyDescent="0.2">
      <c r="A1398" s="1" t="s">
        <v>1843</v>
      </c>
      <c r="B1398" s="1" t="s">
        <v>3489</v>
      </c>
      <c r="C1398" s="1">
        <v>6076</v>
      </c>
      <c r="D1398" s="1">
        <v>3</v>
      </c>
      <c r="F1398" s="1">
        <v>2023</v>
      </c>
      <c r="G1398" s="5">
        <v>8160</v>
      </c>
      <c r="H1398" s="5">
        <v>8145.91</v>
      </c>
      <c r="I1398" s="5">
        <v>5986980.1500000004</v>
      </c>
      <c r="K1398" s="5">
        <v>2554.6860000000001</v>
      </c>
      <c r="L1398" s="5">
        <v>0.12139999999999999</v>
      </c>
      <c r="M1398" s="5">
        <v>5873809.0530000003</v>
      </c>
      <c r="N1398" s="6">
        <v>0.10440000000000001</v>
      </c>
      <c r="O1398" s="5">
        <v>4090.174</v>
      </c>
      <c r="P1398" s="6">
        <v>0.14319999999999999</v>
      </c>
      <c r="Q1398" s="5">
        <v>56019880.592</v>
      </c>
      <c r="R1398" s="1" t="s">
        <v>55</v>
      </c>
      <c r="T1398" s="1" t="s">
        <v>43</v>
      </c>
      <c r="U1398" s="1" t="s">
        <v>241</v>
      </c>
      <c r="V1398" s="1" t="s">
        <v>213</v>
      </c>
      <c r="W1398" s="1" t="s">
        <v>3494</v>
      </c>
      <c r="X1398" s="1" t="s">
        <v>937</v>
      </c>
      <c r="Y1398" s="1" t="s">
        <v>236</v>
      </c>
      <c r="Z1398" s="1" t="str">
        <f t="shared" si="63"/>
        <v>6076 3</v>
      </c>
      <c r="AA1398" s="3">
        <f>IF(INDEX('CAMD Facility Data 2023'!$AA$2:$AE$10000,MATCH(Z1398,'CAMD Facility Data 2023'!$AE$2:$AE$10000,0),1)&gt;0,INDEX('CAMD Facility Data 2023'!$AA$2:$AE$10000,MATCH(Z1398,'CAMD Facility Data 2023'!$AE$2:$AE$10000,0),1),"")</f>
        <v>30691</v>
      </c>
      <c r="AB1398" s="5">
        <f>IF(INDEX('CAMD Facility Data 2023'!$AC$2:$AE$10000,MATCH(Z1398,'CAMD Facility Data 2023'!$AE$2:$AE$10000,0),1)&gt;0,INDEX('CAMD Facility Data 2023'!$AC$2:$AE$10000,MATCH(Z1398,'CAMD Facility Data 2023'!$AE$2:$AE$10000,0),1),"")</f>
        <v>8900</v>
      </c>
      <c r="AC1398" s="1" t="str">
        <f>IF(INDEX('CAMD Facility Data 2023'!$AE$2:$AG$10000,MATCH(Z1398,'CAMD Facility Data 2023'!$AE$2:$AE$10000,0),3)&gt;0,INDEX('CAMD Facility Data 2023'!$AE$2:$AG$10000,MATCH(Z1398,'CAMD Facility Data 2023'!$AE$2:$AE$10000,0),3),"")</f>
        <v/>
      </c>
      <c r="AD1398" s="20">
        <f t="shared" si="64"/>
        <v>1.3663562923287793</v>
      </c>
      <c r="AE1398" s="25">
        <f t="shared" si="65"/>
        <v>0.71853522897747679</v>
      </c>
    </row>
    <row r="1399" spans="1:31" x14ac:dyDescent="0.2">
      <c r="A1399" s="1" t="s">
        <v>1843</v>
      </c>
      <c r="B1399" s="1" t="s">
        <v>3489</v>
      </c>
      <c r="C1399" s="1">
        <v>6076</v>
      </c>
      <c r="D1399" s="1">
        <v>4</v>
      </c>
      <c r="F1399" s="1">
        <v>2023</v>
      </c>
      <c r="G1399" s="5">
        <v>8099</v>
      </c>
      <c r="H1399" s="5">
        <v>8089.4</v>
      </c>
      <c r="I1399" s="5">
        <v>5925548.8399999999</v>
      </c>
      <c r="K1399" s="5">
        <v>2723.3980000000001</v>
      </c>
      <c r="L1399" s="5">
        <v>0.1229</v>
      </c>
      <c r="M1399" s="5">
        <v>6118602.8480000002</v>
      </c>
      <c r="N1399" s="6">
        <v>0.1045</v>
      </c>
      <c r="O1399" s="5">
        <v>4561.5870000000004</v>
      </c>
      <c r="P1399" s="6">
        <v>0.1537</v>
      </c>
      <c r="Q1399" s="5">
        <v>58354245.151000001</v>
      </c>
      <c r="R1399" s="1" t="s">
        <v>55</v>
      </c>
      <c r="T1399" s="1" t="s">
        <v>43</v>
      </c>
      <c r="U1399" s="1" t="s">
        <v>241</v>
      </c>
      <c r="V1399" s="1" t="s">
        <v>213</v>
      </c>
      <c r="W1399" s="1" t="s">
        <v>3494</v>
      </c>
      <c r="X1399" s="1" t="s">
        <v>937</v>
      </c>
      <c r="Y1399" s="1" t="s">
        <v>236</v>
      </c>
      <c r="Z1399" s="1" t="str">
        <f t="shared" si="63"/>
        <v>6076 4</v>
      </c>
      <c r="AA1399" s="3">
        <f>IF(INDEX('CAMD Facility Data 2023'!$AA$2:$AE$10000,MATCH(Z1399,'CAMD Facility Data 2023'!$AE$2:$AE$10000,0),1)&gt;0,INDEX('CAMD Facility Data 2023'!$AA$2:$AE$10000,MATCH(Z1399,'CAMD Facility Data 2023'!$AE$2:$AE$10000,0),1),"")</f>
        <v>31503</v>
      </c>
      <c r="AB1399" s="5">
        <f>IF(INDEX('CAMD Facility Data 2023'!$AC$2:$AE$10000,MATCH(Z1399,'CAMD Facility Data 2023'!$AE$2:$AE$10000,0),1)&gt;0,INDEX('CAMD Facility Data 2023'!$AC$2:$AE$10000,MATCH(Z1399,'CAMD Facility Data 2023'!$AE$2:$AE$10000,0),1),"")</f>
        <v>8900</v>
      </c>
      <c r="AC1399" s="1" t="str">
        <f>IF(INDEX('CAMD Facility Data 2023'!$AE$2:$AG$10000,MATCH(Z1399,'CAMD Facility Data 2023'!$AE$2:$AE$10000,0),3)&gt;0,INDEX('CAMD Facility Data 2023'!$AE$2:$AG$10000,MATCH(Z1399,'CAMD Facility Data 2023'!$AE$2:$AE$10000,0),3),"")</f>
        <v/>
      </c>
      <c r="AD1399" s="20">
        <f t="shared" si="64"/>
        <v>1.5396335843887838</v>
      </c>
      <c r="AE1399" s="25">
        <f t="shared" si="65"/>
        <v>0.7484767989200144</v>
      </c>
    </row>
    <row r="1400" spans="1:31" x14ac:dyDescent="0.2">
      <c r="A1400" s="1" t="s">
        <v>203</v>
      </c>
      <c r="B1400" s="1" t="s">
        <v>3498</v>
      </c>
      <c r="C1400" s="1">
        <v>6077</v>
      </c>
      <c r="D1400" s="1">
        <v>1</v>
      </c>
      <c r="F1400" s="1">
        <v>2023</v>
      </c>
      <c r="G1400" s="5">
        <v>7903</v>
      </c>
      <c r="H1400" s="5">
        <v>7894</v>
      </c>
      <c r="I1400" s="5">
        <v>4016849</v>
      </c>
      <c r="K1400" s="5">
        <v>10201.933000000001</v>
      </c>
      <c r="L1400" s="5">
        <v>0.54100000000000004</v>
      </c>
      <c r="M1400" s="5">
        <v>3862612.7749999999</v>
      </c>
      <c r="N1400" s="6">
        <v>0.105</v>
      </c>
      <c r="O1400" s="5">
        <v>3941.4250000000002</v>
      </c>
      <c r="P1400" s="6">
        <v>0.20369999999999999</v>
      </c>
      <c r="Q1400" s="5">
        <v>36828895.399999999</v>
      </c>
      <c r="R1400" s="1" t="s">
        <v>55</v>
      </c>
      <c r="T1400" s="1" t="s">
        <v>89</v>
      </c>
      <c r="V1400" s="1" t="s">
        <v>289</v>
      </c>
      <c r="W1400" s="1" t="s">
        <v>232</v>
      </c>
      <c r="X1400" s="1" t="s">
        <v>214</v>
      </c>
      <c r="Y1400" s="1" t="s">
        <v>205</v>
      </c>
      <c r="Z1400" s="1" t="str">
        <f t="shared" si="63"/>
        <v>6077 1</v>
      </c>
      <c r="AA1400" s="3">
        <f>IF(INDEX('CAMD Facility Data 2023'!$AA$2:$AE$10000,MATCH(Z1400,'CAMD Facility Data 2023'!$AE$2:$AE$10000,0),1)&gt;0,INDEX('CAMD Facility Data 2023'!$AA$2:$AE$10000,MATCH(Z1400,'CAMD Facility Data 2023'!$AE$2:$AE$10000,0),1),"")</f>
        <v>28947</v>
      </c>
      <c r="AB1400" s="5">
        <f>IF(INDEX('CAMD Facility Data 2023'!$AC$2:$AE$10000,MATCH(Z1400,'CAMD Facility Data 2023'!$AE$2:$AE$10000,0),1)&gt;0,INDEX('CAMD Facility Data 2023'!$AC$2:$AE$10000,MATCH(Z1400,'CAMD Facility Data 2023'!$AE$2:$AE$10000,0),1),"")</f>
        <v>7964</v>
      </c>
      <c r="AC1400" s="1" t="str">
        <f>IF(INDEX('CAMD Facility Data 2023'!$AE$2:$AG$10000,MATCH(Z1400,'CAMD Facility Data 2023'!$AE$2:$AE$10000,0),3)&gt;0,INDEX('CAMD Facility Data 2023'!$AE$2:$AG$10000,MATCH(Z1400,'CAMD Facility Data 2023'!$AE$2:$AE$10000,0),3),"")</f>
        <v/>
      </c>
      <c r="AD1400" s="20">
        <f t="shared" si="64"/>
        <v>1.9624461860527991</v>
      </c>
      <c r="AE1400" s="25">
        <f t="shared" si="65"/>
        <v>0.52790203461237672</v>
      </c>
    </row>
    <row r="1401" spans="1:31" x14ac:dyDescent="0.2">
      <c r="A1401" s="1" t="s">
        <v>203</v>
      </c>
      <c r="B1401" s="1" t="s">
        <v>3498</v>
      </c>
      <c r="C1401" s="1">
        <v>6077</v>
      </c>
      <c r="D1401" s="1">
        <v>2</v>
      </c>
      <c r="F1401" s="1">
        <v>2023</v>
      </c>
      <c r="G1401" s="5">
        <v>7685</v>
      </c>
      <c r="H1401" s="5">
        <v>7681.25</v>
      </c>
      <c r="I1401" s="5">
        <v>4150454.75</v>
      </c>
      <c r="K1401" s="5">
        <v>10674.89</v>
      </c>
      <c r="L1401" s="5">
        <v>0.54769999999999996</v>
      </c>
      <c r="M1401" s="5">
        <v>4021734.85</v>
      </c>
      <c r="N1401" s="6">
        <v>0.105</v>
      </c>
      <c r="O1401" s="5">
        <v>3241.42</v>
      </c>
      <c r="P1401" s="6">
        <v>0.16800000000000001</v>
      </c>
      <c r="Q1401" s="5">
        <v>38346064.225000001</v>
      </c>
      <c r="R1401" s="1" t="s">
        <v>55</v>
      </c>
      <c r="T1401" s="1" t="s">
        <v>89</v>
      </c>
      <c r="V1401" s="1" t="s">
        <v>289</v>
      </c>
      <c r="W1401" s="1" t="s">
        <v>232</v>
      </c>
      <c r="X1401" s="1" t="s">
        <v>214</v>
      </c>
      <c r="Y1401" s="1" t="s">
        <v>205</v>
      </c>
      <c r="Z1401" s="1" t="str">
        <f t="shared" si="63"/>
        <v>6077 2</v>
      </c>
      <c r="AA1401" s="3">
        <f>IF(INDEX('CAMD Facility Data 2023'!$AA$2:$AE$10000,MATCH(Z1401,'CAMD Facility Data 2023'!$AE$2:$AE$10000,0),1)&gt;0,INDEX('CAMD Facility Data 2023'!$AA$2:$AE$10000,MATCH(Z1401,'CAMD Facility Data 2023'!$AE$2:$AE$10000,0),1),"")</f>
        <v>29952</v>
      </c>
      <c r="AB1401" s="5">
        <f>IF(INDEX('CAMD Facility Data 2023'!$AC$2:$AE$10000,MATCH(Z1401,'CAMD Facility Data 2023'!$AE$2:$AE$10000,0),1)&gt;0,INDEX('CAMD Facility Data 2023'!$AC$2:$AE$10000,MATCH(Z1401,'CAMD Facility Data 2023'!$AE$2:$AE$10000,0),1),"")</f>
        <v>8251</v>
      </c>
      <c r="AC1401" s="1" t="str">
        <f>IF(INDEX('CAMD Facility Data 2023'!$AE$2:$AG$10000,MATCH(Z1401,'CAMD Facility Data 2023'!$AE$2:$AE$10000,0),3)&gt;0,INDEX('CAMD Facility Data 2023'!$AE$2:$AG$10000,MATCH(Z1401,'CAMD Facility Data 2023'!$AE$2:$AE$10000,0),3),"")</f>
        <v/>
      </c>
      <c r="AD1401" s="20">
        <f t="shared" si="64"/>
        <v>1.5619589636533202</v>
      </c>
      <c r="AE1401" s="25">
        <f t="shared" si="65"/>
        <v>0.53053018929765816</v>
      </c>
    </row>
    <row r="1402" spans="1:31" x14ac:dyDescent="0.2">
      <c r="A1402" s="1" t="s">
        <v>1568</v>
      </c>
      <c r="B1402" s="1" t="s">
        <v>3502</v>
      </c>
      <c r="C1402" s="1">
        <v>6081</v>
      </c>
      <c r="D1402" s="1">
        <v>1</v>
      </c>
      <c r="F1402" s="1">
        <v>2023</v>
      </c>
      <c r="G1402" s="5">
        <v>81</v>
      </c>
      <c r="H1402" s="5">
        <v>76.5</v>
      </c>
      <c r="I1402" s="5">
        <v>6350.25</v>
      </c>
      <c r="M1402" s="5">
        <v>4798.5249999999996</v>
      </c>
      <c r="N1402" s="6">
        <v>7.3400000000000007E-2</v>
      </c>
      <c r="O1402" s="5">
        <v>6.5579999999999998</v>
      </c>
      <c r="P1402" s="6">
        <v>0.20300000000000001</v>
      </c>
      <c r="Q1402" s="5">
        <v>64201.074999999997</v>
      </c>
      <c r="R1402" s="1" t="s">
        <v>44</v>
      </c>
      <c r="S1402" s="1" t="s">
        <v>94</v>
      </c>
      <c r="T1402" s="1" t="s">
        <v>71</v>
      </c>
      <c r="V1402" s="1" t="s">
        <v>1606</v>
      </c>
      <c r="Y1402" s="1" t="s">
        <v>617</v>
      </c>
      <c r="Z1402" s="1" t="str">
        <f t="shared" si="63"/>
        <v>6081 1</v>
      </c>
      <c r="AA1402" s="3">
        <f>IF(INDEX('CAMD Facility Data 2023'!$AA$2:$AE$10000,MATCH(Z1402,'CAMD Facility Data 2023'!$AE$2:$AE$10000,0),1)&gt;0,INDEX('CAMD Facility Data 2023'!$AA$2:$AE$10000,MATCH(Z1402,'CAMD Facility Data 2023'!$AE$2:$AE$10000,0),1),"")</f>
        <v>29920</v>
      </c>
      <c r="AB1402" s="5">
        <f>IF(INDEX('CAMD Facility Data 2023'!$AC$2:$AE$10000,MATCH(Z1402,'CAMD Facility Data 2023'!$AE$2:$AE$10000,0),1)&gt;0,INDEX('CAMD Facility Data 2023'!$AC$2:$AE$10000,MATCH(Z1402,'CAMD Facility Data 2023'!$AE$2:$AE$10000,0),1),"")</f>
        <v>1050</v>
      </c>
      <c r="AC1402" s="1" t="str">
        <f>IF(INDEX('CAMD Facility Data 2023'!$AE$2:$AG$10000,MATCH(Z1402,'CAMD Facility Data 2023'!$AE$2:$AE$10000,0),3)&gt;0,INDEX('CAMD Facility Data 2023'!$AE$2:$AG$10000,MATCH(Z1402,'CAMD Facility Data 2023'!$AE$2:$AE$10000,0),3),"")</f>
        <v/>
      </c>
      <c r="AD1402" s="20">
        <f t="shared" si="64"/>
        <v>2.0654304948624072</v>
      </c>
      <c r="AE1402" s="25">
        <f t="shared" si="65"/>
        <v>6.9798950858882365E-3</v>
      </c>
    </row>
    <row r="1403" spans="1:31" x14ac:dyDescent="0.2">
      <c r="A1403" s="1" t="s">
        <v>1568</v>
      </c>
      <c r="B1403" s="1" t="s">
        <v>3502</v>
      </c>
      <c r="C1403" s="1">
        <v>6081</v>
      </c>
      <c r="D1403" s="1">
        <v>2</v>
      </c>
      <c r="F1403" s="1">
        <v>2023</v>
      </c>
      <c r="G1403" s="5">
        <v>49</v>
      </c>
      <c r="H1403" s="5">
        <v>44.25</v>
      </c>
      <c r="I1403" s="5">
        <v>3509</v>
      </c>
      <c r="M1403" s="5">
        <v>2772.8</v>
      </c>
      <c r="N1403" s="6">
        <v>7.7899999999999997E-2</v>
      </c>
      <c r="O1403" s="5">
        <v>2.84</v>
      </c>
      <c r="P1403" s="6">
        <v>0.16320000000000001</v>
      </c>
      <c r="Q1403" s="5">
        <v>35501.1</v>
      </c>
      <c r="R1403" s="1" t="s">
        <v>44</v>
      </c>
      <c r="S1403" s="1" t="s">
        <v>94</v>
      </c>
      <c r="T1403" s="1" t="s">
        <v>71</v>
      </c>
      <c r="V1403" s="1" t="s">
        <v>3508</v>
      </c>
      <c r="Y1403" s="1" t="s">
        <v>617</v>
      </c>
      <c r="Z1403" s="1" t="str">
        <f t="shared" si="63"/>
        <v>6081 2</v>
      </c>
      <c r="AA1403" s="3">
        <f>IF(INDEX('CAMD Facility Data 2023'!$AA$2:$AE$10000,MATCH(Z1403,'CAMD Facility Data 2023'!$AE$2:$AE$10000,0),1)&gt;0,INDEX('CAMD Facility Data 2023'!$AA$2:$AE$10000,MATCH(Z1403,'CAMD Facility Data 2023'!$AE$2:$AE$10000,0),1),"")</f>
        <v>29920</v>
      </c>
      <c r="AB1403" s="5">
        <f>IF(INDEX('CAMD Facility Data 2023'!$AC$2:$AE$10000,MATCH(Z1403,'CAMD Facility Data 2023'!$AE$2:$AE$10000,0),1)&gt;0,INDEX('CAMD Facility Data 2023'!$AC$2:$AE$10000,MATCH(Z1403,'CAMD Facility Data 2023'!$AE$2:$AE$10000,0),1),"")</f>
        <v>1050</v>
      </c>
      <c r="AC1403" s="1" t="str">
        <f>IF(INDEX('CAMD Facility Data 2023'!$AE$2:$AG$10000,MATCH(Z1403,'CAMD Facility Data 2023'!$AE$2:$AE$10000,0),3)&gt;0,INDEX('CAMD Facility Data 2023'!$AE$2:$AG$10000,MATCH(Z1403,'CAMD Facility Data 2023'!$AE$2:$AE$10000,0),3),"")</f>
        <v/>
      </c>
      <c r="AD1403" s="20">
        <f t="shared" si="64"/>
        <v>1.6186947848389854</v>
      </c>
      <c r="AE1403" s="25">
        <f t="shared" si="65"/>
        <v>3.8596542726679712E-3</v>
      </c>
    </row>
    <row r="1404" spans="1:31" x14ac:dyDescent="0.2">
      <c r="A1404" s="1" t="s">
        <v>1568</v>
      </c>
      <c r="B1404" s="1" t="s">
        <v>3502</v>
      </c>
      <c r="C1404" s="1">
        <v>6081</v>
      </c>
      <c r="D1404" s="1">
        <v>3</v>
      </c>
      <c r="F1404" s="1">
        <v>2023</v>
      </c>
      <c r="G1404" s="5">
        <v>65</v>
      </c>
      <c r="H1404" s="5">
        <v>63.25</v>
      </c>
      <c r="I1404" s="5">
        <v>5606.75</v>
      </c>
      <c r="M1404" s="5">
        <v>4037.4250000000002</v>
      </c>
      <c r="N1404" s="6">
        <v>7.3200000000000001E-2</v>
      </c>
      <c r="O1404" s="5">
        <v>5.0640000000000001</v>
      </c>
      <c r="P1404" s="6">
        <v>0.1875</v>
      </c>
      <c r="Q1404" s="5">
        <v>54219.875</v>
      </c>
      <c r="R1404" s="1" t="s">
        <v>44</v>
      </c>
      <c r="S1404" s="1" t="s">
        <v>94</v>
      </c>
      <c r="T1404" s="1" t="s">
        <v>71</v>
      </c>
      <c r="V1404" s="1" t="s">
        <v>1606</v>
      </c>
      <c r="Y1404" s="1" t="s">
        <v>617</v>
      </c>
      <c r="Z1404" s="1" t="str">
        <f t="shared" si="63"/>
        <v>6081 3</v>
      </c>
      <c r="AA1404" s="3">
        <f>IF(INDEX('CAMD Facility Data 2023'!$AA$2:$AE$10000,MATCH(Z1404,'CAMD Facility Data 2023'!$AE$2:$AE$10000,0),1)&gt;0,INDEX('CAMD Facility Data 2023'!$AA$2:$AE$10000,MATCH(Z1404,'CAMD Facility Data 2023'!$AE$2:$AE$10000,0),1),"")</f>
        <v>29920</v>
      </c>
      <c r="AB1404" s="5">
        <f>IF(INDEX('CAMD Facility Data 2023'!$AC$2:$AE$10000,MATCH(Z1404,'CAMD Facility Data 2023'!$AE$2:$AE$10000,0),1)&gt;0,INDEX('CAMD Facility Data 2023'!$AC$2:$AE$10000,MATCH(Z1404,'CAMD Facility Data 2023'!$AE$2:$AE$10000,0),1),"")</f>
        <v>1050</v>
      </c>
      <c r="AC1404" s="1" t="str">
        <f>IF(INDEX('CAMD Facility Data 2023'!$AE$2:$AG$10000,MATCH(Z1404,'CAMD Facility Data 2023'!$AE$2:$AE$10000,0),3)&gt;0,INDEX('CAMD Facility Data 2023'!$AE$2:$AG$10000,MATCH(Z1404,'CAMD Facility Data 2023'!$AE$2:$AE$10000,0),3),"")</f>
        <v/>
      </c>
      <c r="AD1404" s="20">
        <f t="shared" si="64"/>
        <v>1.8063940785660142</v>
      </c>
      <c r="AE1404" s="25">
        <f t="shared" si="65"/>
        <v>5.8947461404653184E-3</v>
      </c>
    </row>
    <row r="1405" spans="1:31" x14ac:dyDescent="0.2">
      <c r="A1405" s="1" t="s">
        <v>1568</v>
      </c>
      <c r="B1405" s="1" t="s">
        <v>3502</v>
      </c>
      <c r="C1405" s="1">
        <v>6081</v>
      </c>
      <c r="D1405" s="1">
        <v>4</v>
      </c>
      <c r="F1405" s="1">
        <v>2023</v>
      </c>
      <c r="G1405" s="5">
        <v>82</v>
      </c>
      <c r="H1405" s="5">
        <v>64.5</v>
      </c>
      <c r="I1405" s="5">
        <v>2758.5</v>
      </c>
      <c r="M1405" s="5">
        <v>3584.8</v>
      </c>
      <c r="N1405" s="6">
        <v>8.1199999999999994E-2</v>
      </c>
      <c r="O1405" s="5">
        <v>26.548999999999999</v>
      </c>
      <c r="P1405" s="6">
        <v>1.2000999999999999</v>
      </c>
      <c r="Q1405" s="5">
        <v>44247.199999999997</v>
      </c>
      <c r="R1405" s="1" t="s">
        <v>94</v>
      </c>
      <c r="T1405" s="1" t="s">
        <v>93</v>
      </c>
      <c r="V1405" s="1" t="s">
        <v>95</v>
      </c>
      <c r="Y1405" s="1" t="s">
        <v>617</v>
      </c>
      <c r="Z1405" s="1" t="str">
        <f t="shared" si="63"/>
        <v>6081 4</v>
      </c>
      <c r="AA1405" s="3">
        <f>IF(INDEX('CAMD Facility Data 2023'!$AA$2:$AE$10000,MATCH(Z1405,'CAMD Facility Data 2023'!$AE$2:$AE$10000,0),1)&gt;0,INDEX('CAMD Facility Data 2023'!$AA$2:$AE$10000,MATCH(Z1405,'CAMD Facility Data 2023'!$AE$2:$AE$10000,0),1),"")</f>
        <v>30285</v>
      </c>
      <c r="AB1405" s="5">
        <f>IF(INDEX('CAMD Facility Data 2023'!$AC$2:$AE$10000,MATCH(Z1405,'CAMD Facility Data 2023'!$AE$2:$AE$10000,0),1)&gt;0,INDEX('CAMD Facility Data 2023'!$AC$2:$AE$10000,MATCH(Z1405,'CAMD Facility Data 2023'!$AE$2:$AE$10000,0),1),"")</f>
        <v>1050</v>
      </c>
      <c r="AC1405" s="1" t="str">
        <f>IF(INDEX('CAMD Facility Data 2023'!$AE$2:$AG$10000,MATCH(Z1405,'CAMD Facility Data 2023'!$AE$2:$AE$10000,0),3)&gt;0,INDEX('CAMD Facility Data 2023'!$AE$2:$AG$10000,MATCH(Z1405,'CAMD Facility Data 2023'!$AE$2:$AE$10000,0),3),"")</f>
        <v/>
      </c>
      <c r="AD1405" s="20">
        <f t="shared" si="64"/>
        <v>19.248867137937285</v>
      </c>
      <c r="AE1405" s="25">
        <f t="shared" si="65"/>
        <v>4.8105240269623829E-3</v>
      </c>
    </row>
    <row r="1406" spans="1:31" x14ac:dyDescent="0.2">
      <c r="A1406" s="1" t="s">
        <v>1568</v>
      </c>
      <c r="B1406" s="1" t="s">
        <v>3502</v>
      </c>
      <c r="C1406" s="1">
        <v>6081</v>
      </c>
      <c r="D1406" s="1">
        <v>5</v>
      </c>
      <c r="F1406" s="1">
        <v>2023</v>
      </c>
      <c r="G1406" s="5">
        <v>63</v>
      </c>
      <c r="H1406" s="5">
        <v>63</v>
      </c>
      <c r="I1406" s="5">
        <v>2284</v>
      </c>
      <c r="M1406" s="5">
        <v>2906.2</v>
      </c>
      <c r="N1406" s="6">
        <v>8.1000000000000003E-2</v>
      </c>
      <c r="O1406" s="5">
        <v>21.526</v>
      </c>
      <c r="P1406" s="6">
        <v>1.2</v>
      </c>
      <c r="Q1406" s="5">
        <v>35877.300000000003</v>
      </c>
      <c r="R1406" s="1" t="s">
        <v>94</v>
      </c>
      <c r="T1406" s="1" t="s">
        <v>93</v>
      </c>
      <c r="V1406" s="1" t="s">
        <v>95</v>
      </c>
      <c r="Y1406" s="1" t="s">
        <v>617</v>
      </c>
      <c r="Z1406" s="1" t="str">
        <f t="shared" si="63"/>
        <v>6081 5</v>
      </c>
      <c r="AA1406" s="3">
        <f>IF(INDEX('CAMD Facility Data 2023'!$AA$2:$AE$10000,MATCH(Z1406,'CAMD Facility Data 2023'!$AE$2:$AE$10000,0),1)&gt;0,INDEX('CAMD Facility Data 2023'!$AA$2:$AE$10000,MATCH(Z1406,'CAMD Facility Data 2023'!$AE$2:$AE$10000,0),1),"")</f>
        <v>30285</v>
      </c>
      <c r="AB1406" s="5">
        <f>IF(INDEX('CAMD Facility Data 2023'!$AC$2:$AE$10000,MATCH(Z1406,'CAMD Facility Data 2023'!$AE$2:$AE$10000,0),1)&gt;0,INDEX('CAMD Facility Data 2023'!$AC$2:$AE$10000,MATCH(Z1406,'CAMD Facility Data 2023'!$AE$2:$AE$10000,0),1),"")</f>
        <v>1050</v>
      </c>
      <c r="AC1406" s="1" t="str">
        <f>IF(INDEX('CAMD Facility Data 2023'!$AE$2:$AG$10000,MATCH(Z1406,'CAMD Facility Data 2023'!$AE$2:$AE$10000,0),3)&gt;0,INDEX('CAMD Facility Data 2023'!$AE$2:$AG$10000,MATCH(Z1406,'CAMD Facility Data 2023'!$AE$2:$AE$10000,0),3),"")</f>
        <v/>
      </c>
      <c r="AD1406" s="20">
        <f t="shared" si="64"/>
        <v>18.84938704028021</v>
      </c>
      <c r="AE1406" s="25">
        <f t="shared" si="65"/>
        <v>3.9005544683626877E-3</v>
      </c>
    </row>
    <row r="1407" spans="1:31" x14ac:dyDescent="0.2">
      <c r="A1407" s="1" t="s">
        <v>1071</v>
      </c>
      <c r="B1407" s="1" t="s">
        <v>3513</v>
      </c>
      <c r="C1407" s="1">
        <v>6085</v>
      </c>
      <c r="D1407" s="1" t="s">
        <v>1918</v>
      </c>
      <c r="F1407" s="1">
        <v>2023</v>
      </c>
      <c r="G1407" s="5">
        <v>238</v>
      </c>
      <c r="H1407" s="5">
        <v>170.9</v>
      </c>
      <c r="I1407" s="5">
        <v>7839.53</v>
      </c>
      <c r="K1407" s="5">
        <v>3.9E-2</v>
      </c>
      <c r="L1407" s="5">
        <v>1E-3</v>
      </c>
      <c r="O1407" s="5">
        <v>12.444000000000001</v>
      </c>
      <c r="P1407" s="6">
        <v>0.1787</v>
      </c>
      <c r="Q1407" s="5">
        <v>130612.022</v>
      </c>
      <c r="R1407" s="1" t="s">
        <v>44</v>
      </c>
      <c r="T1407" s="1" t="s">
        <v>93</v>
      </c>
      <c r="Y1407" s="1" t="s">
        <v>1020</v>
      </c>
      <c r="Z1407" s="1" t="str">
        <f t="shared" si="63"/>
        <v>6085 16A</v>
      </c>
      <c r="AA1407" s="3">
        <f>IF(INDEX('CAMD Facility Data 2023'!$AA$2:$AE$10000,MATCH(Z1407,'CAMD Facility Data 2023'!$AE$2:$AE$10000,0),1)&gt;0,INDEX('CAMD Facility Data 2023'!$AA$2:$AE$10000,MATCH(Z1407,'CAMD Facility Data 2023'!$AE$2:$AE$10000,0),1),"")</f>
        <v>29220</v>
      </c>
      <c r="AB1407" s="5">
        <f>IF(INDEX('CAMD Facility Data 2023'!$AC$2:$AE$10000,MATCH(Z1407,'CAMD Facility Data 2023'!$AE$2:$AE$10000,0),1)&gt;0,INDEX('CAMD Facility Data 2023'!$AC$2:$AE$10000,MATCH(Z1407,'CAMD Facility Data 2023'!$AE$2:$AE$10000,0),1),"")</f>
        <v>1490</v>
      </c>
      <c r="AC1407" s="1" t="str">
        <f>IF(INDEX('CAMD Facility Data 2023'!$AE$2:$AG$10000,MATCH(Z1407,'CAMD Facility Data 2023'!$AE$2:$AE$10000,0),3)&gt;0,INDEX('CAMD Facility Data 2023'!$AE$2:$AG$10000,MATCH(Z1407,'CAMD Facility Data 2023'!$AE$2:$AE$10000,0),3),"")</f>
        <v/>
      </c>
      <c r="AD1407" s="20">
        <f t="shared" si="64"/>
        <v>3.1746801147517774</v>
      </c>
      <c r="AE1407" s="25">
        <f t="shared" si="65"/>
        <v>1.0006743740614752E-2</v>
      </c>
    </row>
    <row r="1408" spans="1:31" x14ac:dyDescent="0.2">
      <c r="A1408" s="1" t="s">
        <v>1071</v>
      </c>
      <c r="B1408" s="1" t="s">
        <v>3513</v>
      </c>
      <c r="C1408" s="1">
        <v>6085</v>
      </c>
      <c r="D1408" s="1" t="s">
        <v>1921</v>
      </c>
      <c r="F1408" s="1">
        <v>2023</v>
      </c>
      <c r="G1408" s="5">
        <v>284</v>
      </c>
      <c r="H1408" s="5">
        <v>240.97</v>
      </c>
      <c r="I1408" s="5">
        <v>15937.42</v>
      </c>
      <c r="K1408" s="5">
        <v>0.01</v>
      </c>
      <c r="L1408" s="5">
        <v>1E-3</v>
      </c>
      <c r="O1408" s="5">
        <v>3.6869999999999998</v>
      </c>
      <c r="P1408" s="6">
        <v>0.22090000000000001</v>
      </c>
      <c r="Q1408" s="5">
        <v>33495.235999999997</v>
      </c>
      <c r="R1408" s="1" t="s">
        <v>44</v>
      </c>
      <c r="T1408" s="1" t="s">
        <v>93</v>
      </c>
      <c r="Y1408" s="1" t="s">
        <v>1020</v>
      </c>
      <c r="Z1408" s="1" t="str">
        <f t="shared" si="63"/>
        <v>6085 16B</v>
      </c>
      <c r="AA1408" s="3">
        <f>IF(INDEX('CAMD Facility Data 2023'!$AA$2:$AE$10000,MATCH(Z1408,'CAMD Facility Data 2023'!$AE$2:$AE$10000,0),1)&gt;0,INDEX('CAMD Facility Data 2023'!$AA$2:$AE$10000,MATCH(Z1408,'CAMD Facility Data 2023'!$AE$2:$AE$10000,0),1),"")</f>
        <v>29220</v>
      </c>
      <c r="AB1408" s="5">
        <f>IF(INDEX('CAMD Facility Data 2023'!$AC$2:$AE$10000,MATCH(Z1408,'CAMD Facility Data 2023'!$AE$2:$AE$10000,0),1)&gt;0,INDEX('CAMD Facility Data 2023'!$AC$2:$AE$10000,MATCH(Z1408,'CAMD Facility Data 2023'!$AE$2:$AE$10000,0),1),"")</f>
        <v>1450</v>
      </c>
      <c r="AC1408" s="1" t="str">
        <f>IF(INDEX('CAMD Facility Data 2023'!$AE$2:$AG$10000,MATCH(Z1408,'CAMD Facility Data 2023'!$AE$2:$AE$10000,0),3)&gt;0,INDEX('CAMD Facility Data 2023'!$AE$2:$AG$10000,MATCH(Z1408,'CAMD Facility Data 2023'!$AE$2:$AE$10000,0),3),"")</f>
        <v/>
      </c>
      <c r="AD1408" s="20">
        <f t="shared" si="64"/>
        <v>0.4626846754368022</v>
      </c>
      <c r="AE1408" s="25">
        <f t="shared" si="65"/>
        <v>2.6370048811210829E-3</v>
      </c>
    </row>
    <row r="1409" spans="1:31" x14ac:dyDescent="0.2">
      <c r="A1409" s="1" t="s">
        <v>1071</v>
      </c>
      <c r="B1409" s="1" t="s">
        <v>3513</v>
      </c>
      <c r="C1409" s="1">
        <v>6085</v>
      </c>
      <c r="D1409" s="1">
        <v>17</v>
      </c>
      <c r="F1409" s="1">
        <v>2023</v>
      </c>
      <c r="G1409" s="5">
        <v>4615</v>
      </c>
      <c r="H1409" s="5">
        <v>4604.6400000000003</v>
      </c>
      <c r="I1409" s="5">
        <v>1046265.59</v>
      </c>
      <c r="K1409" s="5">
        <v>226.381</v>
      </c>
      <c r="L1409" s="5">
        <v>4.4200000000000003E-2</v>
      </c>
      <c r="M1409" s="5">
        <v>1101153.5260000001</v>
      </c>
      <c r="N1409" s="6">
        <v>0.10290000000000001</v>
      </c>
      <c r="O1409" s="5">
        <v>762.96299999999997</v>
      </c>
      <c r="P1409" s="6">
        <v>0.13789999999999999</v>
      </c>
      <c r="Q1409" s="5">
        <v>10732496.864</v>
      </c>
      <c r="R1409" s="1" t="s">
        <v>55</v>
      </c>
      <c r="T1409" s="1" t="s">
        <v>43</v>
      </c>
      <c r="U1409" s="1" t="s">
        <v>56</v>
      </c>
      <c r="V1409" s="1" t="s">
        <v>213</v>
      </c>
      <c r="W1409" s="1" t="s">
        <v>58</v>
      </c>
      <c r="Y1409" s="1" t="s">
        <v>1005</v>
      </c>
      <c r="Z1409" s="1" t="str">
        <f t="shared" si="63"/>
        <v>6085 17</v>
      </c>
      <c r="AA1409" s="3">
        <f>IF(INDEX('CAMD Facility Data 2023'!$AA$2:$AE$10000,MATCH(Z1409,'CAMD Facility Data 2023'!$AE$2:$AE$10000,0),1)&gt;0,INDEX('CAMD Facility Data 2023'!$AA$2:$AE$10000,MATCH(Z1409,'CAMD Facility Data 2023'!$AE$2:$AE$10000,0),1),"")</f>
        <v>30434</v>
      </c>
      <c r="AB1409" s="5">
        <f>IF(INDEX('CAMD Facility Data 2023'!$AC$2:$AE$10000,MATCH(Z1409,'CAMD Facility Data 2023'!$AE$2:$AE$10000,0),1)&gt;0,INDEX('CAMD Facility Data 2023'!$AC$2:$AE$10000,MATCH(Z1409,'CAMD Facility Data 2023'!$AE$2:$AE$10000,0),1),"")</f>
        <v>4950</v>
      </c>
      <c r="AC1409" s="1" t="str">
        <f>IF(INDEX('CAMD Facility Data 2023'!$AE$2:$AG$10000,MATCH(Z1409,'CAMD Facility Data 2023'!$AE$2:$AE$10000,0),3)&gt;0,INDEX('CAMD Facility Data 2023'!$AE$2:$AG$10000,MATCH(Z1409,'CAMD Facility Data 2023'!$AE$2:$AE$10000,0),3),"")</f>
        <v/>
      </c>
      <c r="AD1409" s="20">
        <f t="shared" si="64"/>
        <v>1.4584499524637908</v>
      </c>
      <c r="AE1409" s="25">
        <f t="shared" si="65"/>
        <v>0.24750926765370601</v>
      </c>
    </row>
    <row r="1410" spans="1:31" x14ac:dyDescent="0.2">
      <c r="A1410" s="1" t="s">
        <v>1071</v>
      </c>
      <c r="B1410" s="1" t="s">
        <v>3513</v>
      </c>
      <c r="C1410" s="1">
        <v>6085</v>
      </c>
      <c r="D1410" s="1">
        <v>18</v>
      </c>
      <c r="F1410" s="1">
        <v>2023</v>
      </c>
      <c r="G1410" s="5">
        <v>3966</v>
      </c>
      <c r="H1410" s="5">
        <v>3952.83</v>
      </c>
      <c r="I1410" s="5">
        <v>840983.04000000004</v>
      </c>
      <c r="K1410" s="5">
        <v>237.86799999999999</v>
      </c>
      <c r="L1410" s="5">
        <v>5.4600000000000003E-2</v>
      </c>
      <c r="M1410" s="5">
        <v>846467.19099999999</v>
      </c>
      <c r="N1410" s="6">
        <v>0.10299999999999999</v>
      </c>
      <c r="O1410" s="5">
        <v>578.18499999999995</v>
      </c>
      <c r="P1410" s="6">
        <v>0.13289999999999999</v>
      </c>
      <c r="Q1410" s="5">
        <v>8250151.6749999998</v>
      </c>
      <c r="R1410" s="1" t="s">
        <v>55</v>
      </c>
      <c r="T1410" s="1" t="s">
        <v>43</v>
      </c>
      <c r="U1410" s="1" t="s">
        <v>56</v>
      </c>
      <c r="V1410" s="1" t="s">
        <v>213</v>
      </c>
      <c r="W1410" s="1" t="s">
        <v>58</v>
      </c>
      <c r="Y1410" s="1" t="s">
        <v>1005</v>
      </c>
      <c r="Z1410" s="1" t="str">
        <f t="shared" si="63"/>
        <v>6085 18</v>
      </c>
      <c r="AA1410" s="3">
        <f>IF(INDEX('CAMD Facility Data 2023'!$AA$2:$AE$10000,MATCH(Z1410,'CAMD Facility Data 2023'!$AE$2:$AE$10000,0),1)&gt;0,INDEX('CAMD Facility Data 2023'!$AA$2:$AE$10000,MATCH(Z1410,'CAMD Facility Data 2023'!$AE$2:$AE$10000,0),1),"")</f>
        <v>31457</v>
      </c>
      <c r="AB1410" s="5">
        <f>IF(INDEX('CAMD Facility Data 2023'!$AC$2:$AE$10000,MATCH(Z1410,'CAMD Facility Data 2023'!$AE$2:$AE$10000,0),1)&gt;0,INDEX('CAMD Facility Data 2023'!$AC$2:$AE$10000,MATCH(Z1410,'CAMD Facility Data 2023'!$AE$2:$AE$10000,0),1),"")</f>
        <v>4950</v>
      </c>
      <c r="AC1410" s="1" t="str">
        <f>IF(INDEX('CAMD Facility Data 2023'!$AE$2:$AG$10000,MATCH(Z1410,'CAMD Facility Data 2023'!$AE$2:$AE$10000,0),3)&gt;0,INDEX('CAMD Facility Data 2023'!$AE$2:$AG$10000,MATCH(Z1410,'CAMD Facility Data 2023'!$AE$2:$AE$10000,0),3),"")</f>
        <v/>
      </c>
      <c r="AD1410" s="20">
        <f t="shared" si="64"/>
        <v>1.3750217840302701</v>
      </c>
      <c r="AE1410" s="25">
        <f t="shared" si="65"/>
        <v>0.19026224978091416</v>
      </c>
    </row>
    <row r="1411" spans="1:31" x14ac:dyDescent="0.2">
      <c r="A1411" s="1" t="s">
        <v>1663</v>
      </c>
      <c r="B1411" s="1" t="s">
        <v>1725</v>
      </c>
      <c r="C1411" s="1">
        <v>6090</v>
      </c>
      <c r="D1411" s="1">
        <v>1</v>
      </c>
      <c r="E1411" s="1" t="s">
        <v>1421</v>
      </c>
      <c r="F1411" s="1">
        <v>2023</v>
      </c>
      <c r="G1411" s="5">
        <v>6314</v>
      </c>
      <c r="H1411" s="5">
        <v>6303.74</v>
      </c>
      <c r="I1411" s="5">
        <v>2895569.15</v>
      </c>
      <c r="K1411" s="5">
        <v>187.34200000000001</v>
      </c>
      <c r="L1411" s="5">
        <v>1.15E-2</v>
      </c>
      <c r="M1411" s="5">
        <v>3205016.6850000001</v>
      </c>
      <c r="N1411" s="6">
        <v>0.105</v>
      </c>
      <c r="O1411" s="5">
        <v>1988.32</v>
      </c>
      <c r="P1411" s="6">
        <v>0.12570000000000001</v>
      </c>
      <c r="Q1411" s="5">
        <v>30558933.624000002</v>
      </c>
      <c r="R1411" s="1" t="s">
        <v>55</v>
      </c>
      <c r="S1411" s="1" t="s">
        <v>94</v>
      </c>
      <c r="T1411" s="1" t="s">
        <v>43</v>
      </c>
      <c r="U1411" s="1" t="s">
        <v>56</v>
      </c>
      <c r="V1411" s="1" t="s">
        <v>213</v>
      </c>
      <c r="W1411" s="1" t="s">
        <v>3519</v>
      </c>
      <c r="X1411" s="1" t="s">
        <v>214</v>
      </c>
      <c r="Y1411" s="1" t="s">
        <v>205</v>
      </c>
      <c r="Z1411" s="1" t="str">
        <f t="shared" ref="Z1411:Z1474" si="66">C1411&amp;" "&amp;D1411</f>
        <v>6090 1</v>
      </c>
      <c r="AA1411" s="3">
        <f>IF(INDEX('CAMD Facility Data 2023'!$AA$2:$AE$10000,MATCH(Z1411,'CAMD Facility Data 2023'!$AE$2:$AE$10000,0),1)&gt;0,INDEX('CAMD Facility Data 2023'!$AA$2:$AE$10000,MATCH(Z1411,'CAMD Facility Data 2023'!$AE$2:$AE$10000,0),1),"")</f>
        <v>27881</v>
      </c>
      <c r="AB1411" s="5">
        <f>IF(INDEX('CAMD Facility Data 2023'!$AC$2:$AE$10000,MATCH(Z1411,'CAMD Facility Data 2023'!$AE$2:$AE$10000,0),1)&gt;0,INDEX('CAMD Facility Data 2023'!$AC$2:$AE$10000,MATCH(Z1411,'CAMD Facility Data 2023'!$AE$2:$AE$10000,0),1),"")</f>
        <v>7935</v>
      </c>
      <c r="AC1411" s="1" t="str">
        <f>IF(INDEX('CAMD Facility Data 2023'!$AE$2:$AG$10000,MATCH(Z1411,'CAMD Facility Data 2023'!$AE$2:$AE$10000,0),3)&gt;0,INDEX('CAMD Facility Data 2023'!$AE$2:$AG$10000,MATCH(Z1411,'CAMD Facility Data 2023'!$AE$2:$AE$10000,0),3),"")</f>
        <v/>
      </c>
      <c r="AD1411" s="20">
        <f t="shared" ref="AD1411:AD1474" si="67">IF(ISNUMBER(O1411*2000/I1411),O1411*2000/I1411,"")</f>
        <v>1.3733534907981735</v>
      </c>
      <c r="AE1411" s="25">
        <f t="shared" ref="AE1411:AE1474" si="68">Q1411/(AB1411*8760)</f>
        <v>0.43962983521937665</v>
      </c>
    </row>
    <row r="1412" spans="1:31" x14ac:dyDescent="0.2">
      <c r="A1412" s="1" t="s">
        <v>1663</v>
      </c>
      <c r="B1412" s="1" t="s">
        <v>1725</v>
      </c>
      <c r="C1412" s="1">
        <v>6090</v>
      </c>
      <c r="D1412" s="1">
        <v>2</v>
      </c>
      <c r="E1412" s="1" t="s">
        <v>1421</v>
      </c>
      <c r="F1412" s="1">
        <v>2023</v>
      </c>
      <c r="G1412" s="5">
        <v>3038</v>
      </c>
      <c r="H1412" s="5">
        <v>3026.71</v>
      </c>
      <c r="I1412" s="5">
        <v>1262596.47</v>
      </c>
      <c r="K1412" s="5">
        <v>107.744</v>
      </c>
      <c r="L1412" s="5">
        <v>1.5699999999999999E-2</v>
      </c>
      <c r="M1412" s="5">
        <v>1390649.4609999999</v>
      </c>
      <c r="N1412" s="6">
        <v>0.105</v>
      </c>
      <c r="O1412" s="5">
        <v>805.78700000000003</v>
      </c>
      <c r="P1412" s="6">
        <v>0.1203</v>
      </c>
      <c r="Q1412" s="5">
        <v>13259419.517999999</v>
      </c>
      <c r="R1412" s="1" t="s">
        <v>55</v>
      </c>
      <c r="S1412" s="1" t="s">
        <v>94</v>
      </c>
      <c r="T1412" s="1" t="s">
        <v>43</v>
      </c>
      <c r="U1412" s="1" t="s">
        <v>56</v>
      </c>
      <c r="V1412" s="1" t="s">
        <v>213</v>
      </c>
      <c r="W1412" s="1" t="s">
        <v>3519</v>
      </c>
      <c r="X1412" s="1" t="s">
        <v>214</v>
      </c>
      <c r="Y1412" s="1" t="s">
        <v>205</v>
      </c>
      <c r="Z1412" s="1" t="str">
        <f t="shared" si="66"/>
        <v>6090 2</v>
      </c>
      <c r="AA1412" s="3">
        <f>IF(INDEX('CAMD Facility Data 2023'!$AA$2:$AE$10000,MATCH(Z1412,'CAMD Facility Data 2023'!$AE$2:$AE$10000,0),1)&gt;0,INDEX('CAMD Facility Data 2023'!$AA$2:$AE$10000,MATCH(Z1412,'CAMD Facility Data 2023'!$AE$2:$AE$10000,0),1),"")</f>
        <v>28216</v>
      </c>
      <c r="AB1412" s="5">
        <f>IF(INDEX('CAMD Facility Data 2023'!$AC$2:$AE$10000,MATCH(Z1412,'CAMD Facility Data 2023'!$AE$2:$AE$10000,0),1)&gt;0,INDEX('CAMD Facility Data 2023'!$AC$2:$AE$10000,MATCH(Z1412,'CAMD Facility Data 2023'!$AE$2:$AE$10000,0),1),"")</f>
        <v>8115</v>
      </c>
      <c r="AC1412" s="1" t="str">
        <f>IF(INDEX('CAMD Facility Data 2023'!$AE$2:$AG$10000,MATCH(Z1412,'CAMD Facility Data 2023'!$AE$2:$AE$10000,0),3)&gt;0,INDEX('CAMD Facility Data 2023'!$AE$2:$AG$10000,MATCH(Z1412,'CAMD Facility Data 2023'!$AE$2:$AE$10000,0),3),"")</f>
        <v/>
      </c>
      <c r="AD1412" s="20">
        <f t="shared" si="67"/>
        <v>1.2763967255508009</v>
      </c>
      <c r="AE1412" s="25">
        <f t="shared" si="68"/>
        <v>0.18652278066155181</v>
      </c>
    </row>
    <row r="1413" spans="1:31" x14ac:dyDescent="0.2">
      <c r="A1413" s="1" t="s">
        <v>1663</v>
      </c>
      <c r="B1413" s="1" t="s">
        <v>1725</v>
      </c>
      <c r="C1413" s="1">
        <v>6090</v>
      </c>
      <c r="D1413" s="1">
        <v>3</v>
      </c>
      <c r="F1413" s="1">
        <v>2023</v>
      </c>
      <c r="G1413" s="5">
        <v>4841</v>
      </c>
      <c r="H1413" s="5">
        <v>4833.54</v>
      </c>
      <c r="I1413" s="5">
        <v>3206841.91</v>
      </c>
      <c r="K1413" s="5">
        <v>2340.79</v>
      </c>
      <c r="L1413" s="5">
        <v>0.15</v>
      </c>
      <c r="M1413" s="5">
        <v>3263881.9360000002</v>
      </c>
      <c r="N1413" s="6">
        <v>0.10440000000000001</v>
      </c>
      <c r="O1413" s="5">
        <v>2067.2150000000001</v>
      </c>
      <c r="P1413" s="6">
        <v>0.126</v>
      </c>
      <c r="Q1413" s="5">
        <v>31137479.636999998</v>
      </c>
      <c r="R1413" s="1" t="s">
        <v>55</v>
      </c>
      <c r="S1413" s="1" t="s">
        <v>94</v>
      </c>
      <c r="T1413" s="1" t="s">
        <v>89</v>
      </c>
      <c r="U1413" s="1" t="s">
        <v>212</v>
      </c>
      <c r="V1413" s="1" t="s">
        <v>90</v>
      </c>
      <c r="W1413" s="1" t="s">
        <v>232</v>
      </c>
      <c r="X1413" s="1" t="s">
        <v>214</v>
      </c>
      <c r="Y1413" s="1" t="s">
        <v>205</v>
      </c>
      <c r="Z1413" s="1" t="str">
        <f t="shared" si="66"/>
        <v>6090 3</v>
      </c>
      <c r="AA1413" s="3">
        <f>IF(INDEX('CAMD Facility Data 2023'!$AA$2:$AE$10000,MATCH(Z1413,'CAMD Facility Data 2023'!$AE$2:$AE$10000,0),1)&gt;0,INDEX('CAMD Facility Data 2023'!$AA$2:$AE$10000,MATCH(Z1413,'CAMD Facility Data 2023'!$AE$2:$AE$10000,0),1),"")</f>
        <v>32082</v>
      </c>
      <c r="AB1413" s="5">
        <f>IF(INDEX('CAMD Facility Data 2023'!$AC$2:$AE$10000,MATCH(Z1413,'CAMD Facility Data 2023'!$AE$2:$AE$10000,0),1)&gt;0,INDEX('CAMD Facility Data 2023'!$AC$2:$AE$10000,MATCH(Z1413,'CAMD Facility Data 2023'!$AE$2:$AE$10000,0),1),"")</f>
        <v>10696</v>
      </c>
      <c r="AC1413" s="1" t="str">
        <f>IF(INDEX('CAMD Facility Data 2023'!$AE$2:$AG$10000,MATCH(Z1413,'CAMD Facility Data 2023'!$AE$2:$AE$10000,0),3)&gt;0,INDEX('CAMD Facility Data 2023'!$AE$2:$AG$10000,MATCH(Z1413,'CAMD Facility Data 2023'!$AE$2:$AE$10000,0),3),"")</f>
        <v/>
      </c>
      <c r="AD1413" s="20">
        <f t="shared" si="67"/>
        <v>1.2892528275583128</v>
      </c>
      <c r="AE1413" s="25">
        <f t="shared" si="68"/>
        <v>0.33232113013058268</v>
      </c>
    </row>
    <row r="1414" spans="1:31" x14ac:dyDescent="0.2">
      <c r="A1414" s="1" t="s">
        <v>335</v>
      </c>
      <c r="B1414" s="1" t="s">
        <v>3522</v>
      </c>
      <c r="C1414" s="1">
        <v>6095</v>
      </c>
      <c r="D1414" s="1">
        <v>1</v>
      </c>
      <c r="F1414" s="1">
        <v>2023</v>
      </c>
      <c r="G1414" s="5">
        <v>2211</v>
      </c>
      <c r="H1414" s="5">
        <v>2192.0500000000002</v>
      </c>
      <c r="I1414" s="5">
        <v>548936.59</v>
      </c>
      <c r="K1414" s="5">
        <v>30.928999999999998</v>
      </c>
      <c r="L1414" s="5">
        <v>1.23E-2</v>
      </c>
      <c r="M1414" s="5">
        <v>591543.57999999996</v>
      </c>
      <c r="N1414" s="6">
        <v>0.1023</v>
      </c>
      <c r="O1414" s="5">
        <v>349.29300000000001</v>
      </c>
      <c r="P1414" s="6">
        <v>0.11550000000000001</v>
      </c>
      <c r="Q1414" s="5">
        <v>5652877.9100000001</v>
      </c>
      <c r="R1414" s="1" t="s">
        <v>55</v>
      </c>
      <c r="S1414" s="1" t="s">
        <v>94</v>
      </c>
      <c r="T1414" s="1" t="s">
        <v>43</v>
      </c>
      <c r="U1414" s="1" t="s">
        <v>1069</v>
      </c>
      <c r="V1414" s="1" t="s">
        <v>1226</v>
      </c>
      <c r="W1414" s="1" t="s">
        <v>58</v>
      </c>
      <c r="X1414" s="1" t="s">
        <v>214</v>
      </c>
      <c r="Y1414" s="1" t="s">
        <v>337</v>
      </c>
      <c r="Z1414" s="1" t="str">
        <f t="shared" si="66"/>
        <v>6095 1</v>
      </c>
      <c r="AA1414" s="3">
        <f>IF(INDEX('CAMD Facility Data 2023'!$AA$2:$AE$10000,MATCH(Z1414,'CAMD Facility Data 2023'!$AE$2:$AE$10000,0),1)&gt;0,INDEX('CAMD Facility Data 2023'!$AA$2:$AE$10000,MATCH(Z1414,'CAMD Facility Data 2023'!$AE$2:$AE$10000,0),1),"")</f>
        <v>29169</v>
      </c>
      <c r="AB1414" s="5">
        <f>IF(INDEX('CAMD Facility Data 2023'!$AC$2:$AE$10000,MATCH(Z1414,'CAMD Facility Data 2023'!$AE$2:$AE$10000,0),1)&gt;0,INDEX('CAMD Facility Data 2023'!$AC$2:$AE$10000,MATCH(Z1414,'CAMD Facility Data 2023'!$AE$2:$AE$10000,0),1),"")</f>
        <v>6128</v>
      </c>
      <c r="AC1414" s="1" t="str">
        <f>IF(INDEX('CAMD Facility Data 2023'!$AE$2:$AG$10000,MATCH(Z1414,'CAMD Facility Data 2023'!$AE$2:$AE$10000,0),3)&gt;0,INDEX('CAMD Facility Data 2023'!$AE$2:$AG$10000,MATCH(Z1414,'CAMD Facility Data 2023'!$AE$2:$AE$10000,0),3),"")</f>
        <v/>
      </c>
      <c r="AD1414" s="20">
        <f t="shared" si="67"/>
        <v>1.2726169337700737</v>
      </c>
      <c r="AE1414" s="25">
        <f t="shared" si="68"/>
        <v>0.10530445455100922</v>
      </c>
    </row>
    <row r="1415" spans="1:31" x14ac:dyDescent="0.2">
      <c r="A1415" s="1" t="s">
        <v>335</v>
      </c>
      <c r="B1415" s="1" t="s">
        <v>3522</v>
      </c>
      <c r="C1415" s="1">
        <v>6095</v>
      </c>
      <c r="D1415" s="1">
        <v>2</v>
      </c>
      <c r="F1415" s="1">
        <v>2023</v>
      </c>
      <c r="G1415" s="5">
        <v>1895</v>
      </c>
      <c r="H1415" s="5">
        <v>1883.48</v>
      </c>
      <c r="I1415" s="5">
        <v>529056.07999999996</v>
      </c>
      <c r="K1415" s="5">
        <v>29.414000000000001</v>
      </c>
      <c r="L1415" s="5">
        <v>1.12E-2</v>
      </c>
      <c r="M1415" s="5">
        <v>567782.25800000003</v>
      </c>
      <c r="N1415" s="6">
        <v>0.1018</v>
      </c>
      <c r="O1415" s="5">
        <v>328.04700000000003</v>
      </c>
      <c r="P1415" s="6">
        <v>0.1101</v>
      </c>
      <c r="Q1415" s="5">
        <v>5427778.9709999999</v>
      </c>
      <c r="R1415" s="1" t="s">
        <v>55</v>
      </c>
      <c r="S1415" s="1" t="s">
        <v>94</v>
      </c>
      <c r="T1415" s="1" t="s">
        <v>43</v>
      </c>
      <c r="U1415" s="1" t="s">
        <v>1069</v>
      </c>
      <c r="V1415" s="1" t="s">
        <v>1226</v>
      </c>
      <c r="W1415" s="1" t="s">
        <v>58</v>
      </c>
      <c r="X1415" s="1" t="s">
        <v>214</v>
      </c>
      <c r="Y1415" s="1" t="s">
        <v>337</v>
      </c>
      <c r="Z1415" s="1" t="str">
        <f t="shared" si="66"/>
        <v>6095 2</v>
      </c>
      <c r="AA1415" s="3">
        <f>IF(INDEX('CAMD Facility Data 2023'!$AA$2:$AE$10000,MATCH(Z1415,'CAMD Facility Data 2023'!$AE$2:$AE$10000,0),1)&gt;0,INDEX('CAMD Facility Data 2023'!$AA$2:$AE$10000,MATCH(Z1415,'CAMD Facility Data 2023'!$AE$2:$AE$10000,0),1),"")</f>
        <v>29584</v>
      </c>
      <c r="AB1415" s="5">
        <f>IF(INDEX('CAMD Facility Data 2023'!$AC$2:$AE$10000,MATCH(Z1415,'CAMD Facility Data 2023'!$AE$2:$AE$10000,0),1)&gt;0,INDEX('CAMD Facility Data 2023'!$AC$2:$AE$10000,MATCH(Z1415,'CAMD Facility Data 2023'!$AE$2:$AE$10000,0),1),"")</f>
        <v>6115</v>
      </c>
      <c r="AC1415" s="1" t="str">
        <f>IF(INDEX('CAMD Facility Data 2023'!$AE$2:$AG$10000,MATCH(Z1415,'CAMD Facility Data 2023'!$AE$2:$AE$10000,0),3)&gt;0,INDEX('CAMD Facility Data 2023'!$AE$2:$AG$10000,MATCH(Z1415,'CAMD Facility Data 2023'!$AE$2:$AE$10000,0),3),"")</f>
        <v/>
      </c>
      <c r="AD1415" s="20">
        <f t="shared" si="67"/>
        <v>1.2401218411477286</v>
      </c>
      <c r="AE1415" s="25">
        <f t="shared" si="68"/>
        <v>0.10132616051927104</v>
      </c>
    </row>
    <row r="1416" spans="1:31" x14ac:dyDescent="0.2">
      <c r="A1416" s="1" t="s">
        <v>203</v>
      </c>
      <c r="B1416" s="1" t="s">
        <v>3527</v>
      </c>
      <c r="C1416" s="1">
        <v>6096</v>
      </c>
      <c r="D1416" s="1">
        <v>1</v>
      </c>
      <c r="F1416" s="1">
        <v>2023</v>
      </c>
      <c r="G1416" s="5">
        <v>7850</v>
      </c>
      <c r="H1416" s="5">
        <v>7844.42</v>
      </c>
      <c r="I1416" s="5">
        <v>3507397.13</v>
      </c>
      <c r="K1416" s="5">
        <v>9291.7790000000005</v>
      </c>
      <c r="L1416" s="5">
        <v>0.54139999999999999</v>
      </c>
      <c r="M1416" s="5">
        <v>3567553.608</v>
      </c>
      <c r="N1416" s="6">
        <v>0.1042</v>
      </c>
      <c r="O1416" s="5">
        <v>3375.47</v>
      </c>
      <c r="P1416" s="6">
        <v>0.19800000000000001</v>
      </c>
      <c r="Q1416" s="5">
        <v>34062186.553999998</v>
      </c>
      <c r="R1416" s="1" t="s">
        <v>55</v>
      </c>
      <c r="T1416" s="1" t="s">
        <v>89</v>
      </c>
      <c r="V1416" s="1" t="s">
        <v>289</v>
      </c>
      <c r="W1416" s="1" t="s">
        <v>58</v>
      </c>
      <c r="X1416" s="1" t="s">
        <v>214</v>
      </c>
      <c r="Y1416" s="1" t="s">
        <v>205</v>
      </c>
      <c r="Z1416" s="1" t="str">
        <f t="shared" si="66"/>
        <v>6096 1</v>
      </c>
      <c r="AA1416" s="3">
        <f>IF(INDEX('CAMD Facility Data 2023'!$AA$2:$AE$10000,MATCH(Z1416,'CAMD Facility Data 2023'!$AE$2:$AE$10000,0),1)&gt;0,INDEX('CAMD Facility Data 2023'!$AA$2:$AE$10000,MATCH(Z1416,'CAMD Facility Data 2023'!$AE$2:$AE$10000,0),1),"")</f>
        <v>29005</v>
      </c>
      <c r="AB1416" s="5">
        <f>IF(INDEX('CAMD Facility Data 2023'!$AC$2:$AE$10000,MATCH(Z1416,'CAMD Facility Data 2023'!$AE$2:$AE$10000,0),1)&gt;0,INDEX('CAMD Facility Data 2023'!$AC$2:$AE$10000,MATCH(Z1416,'CAMD Facility Data 2023'!$AE$2:$AE$10000,0),1),"")</f>
        <v>7100</v>
      </c>
      <c r="AC1416" s="1" t="str">
        <f>IF(INDEX('CAMD Facility Data 2023'!$AE$2:$AG$10000,MATCH(Z1416,'CAMD Facility Data 2023'!$AE$2:$AE$10000,0),3)&gt;0,INDEX('CAMD Facility Data 2023'!$AE$2:$AG$10000,MATCH(Z1416,'CAMD Facility Data 2023'!$AE$2:$AE$10000,0),3),"")</f>
        <v/>
      </c>
      <c r="AD1416" s="20">
        <f t="shared" si="67"/>
        <v>1.9247720602428617</v>
      </c>
      <c r="AE1416" s="25">
        <f t="shared" si="68"/>
        <v>0.5476587972538427</v>
      </c>
    </row>
    <row r="1417" spans="1:31" x14ac:dyDescent="0.2">
      <c r="A1417" s="1" t="s">
        <v>203</v>
      </c>
      <c r="B1417" s="1" t="s">
        <v>3527</v>
      </c>
      <c r="C1417" s="1">
        <v>6096</v>
      </c>
      <c r="D1417" s="1">
        <v>2</v>
      </c>
      <c r="F1417" s="1">
        <v>2023</v>
      </c>
      <c r="G1417" s="5">
        <v>6870</v>
      </c>
      <c r="H1417" s="5">
        <v>6861.65</v>
      </c>
      <c r="I1417" s="5">
        <v>2984210.86</v>
      </c>
      <c r="K1417" s="5">
        <v>1324.546</v>
      </c>
      <c r="L1417" s="5">
        <v>9.4200000000000006E-2</v>
      </c>
      <c r="M1417" s="5">
        <v>2912202.8429999999</v>
      </c>
      <c r="N1417" s="6">
        <v>0.10349999999999999</v>
      </c>
      <c r="O1417" s="5">
        <v>858.72900000000004</v>
      </c>
      <c r="P1417" s="6">
        <v>6.0999999999999999E-2</v>
      </c>
      <c r="Q1417" s="5">
        <v>27822456.203000002</v>
      </c>
      <c r="R1417" s="1" t="s">
        <v>55</v>
      </c>
      <c r="T1417" s="1" t="s">
        <v>89</v>
      </c>
      <c r="U1417" s="1" t="s">
        <v>212</v>
      </c>
      <c r="V1417" s="1" t="s">
        <v>223</v>
      </c>
      <c r="W1417" s="1" t="s">
        <v>232</v>
      </c>
      <c r="Y1417" s="1" t="s">
        <v>205</v>
      </c>
      <c r="Z1417" s="1" t="str">
        <f t="shared" si="66"/>
        <v>6096 2</v>
      </c>
      <c r="AA1417" s="3">
        <f>IF(INDEX('CAMD Facility Data 2023'!$AA$2:$AE$10000,MATCH(Z1417,'CAMD Facility Data 2023'!$AE$2:$AE$10000,0),1)&gt;0,INDEX('CAMD Facility Data 2023'!$AA$2:$AE$10000,MATCH(Z1417,'CAMD Facility Data 2023'!$AE$2:$AE$10000,0),1),"")</f>
        <v>39752</v>
      </c>
      <c r="AB1417" s="5">
        <f>IF(INDEX('CAMD Facility Data 2023'!$AC$2:$AE$10000,MATCH(Z1417,'CAMD Facility Data 2023'!$AE$2:$AE$10000,0),1)&gt;0,INDEX('CAMD Facility Data 2023'!$AC$2:$AE$10000,MATCH(Z1417,'CAMD Facility Data 2023'!$AE$2:$AE$10000,0),1),"")</f>
        <v>7900</v>
      </c>
      <c r="AC1417" s="1" t="str">
        <f>IF(INDEX('CAMD Facility Data 2023'!$AE$2:$AG$10000,MATCH(Z1417,'CAMD Facility Data 2023'!$AE$2:$AE$10000,0),3)&gt;0,INDEX('CAMD Facility Data 2023'!$AE$2:$AG$10000,MATCH(Z1417,'CAMD Facility Data 2023'!$AE$2:$AE$10000,0),3),"")</f>
        <v>Y</v>
      </c>
      <c r="AD1417" s="20">
        <f t="shared" si="67"/>
        <v>0.57551496210291253</v>
      </c>
      <c r="AE1417" s="25">
        <f t="shared" si="68"/>
        <v>0.40203537661117855</v>
      </c>
    </row>
    <row r="1418" spans="1:31" x14ac:dyDescent="0.2">
      <c r="A1418" s="1" t="s">
        <v>2750</v>
      </c>
      <c r="B1418" s="1" t="s">
        <v>3532</v>
      </c>
      <c r="C1418" s="1">
        <v>6098</v>
      </c>
      <c r="D1418" s="1">
        <v>1</v>
      </c>
      <c r="F1418" s="1">
        <v>2023</v>
      </c>
      <c r="G1418" s="5">
        <v>6738</v>
      </c>
      <c r="H1418" s="5">
        <v>6723.47</v>
      </c>
      <c r="I1418" s="5">
        <v>1658505.34</v>
      </c>
      <c r="K1418" s="5">
        <v>726.93799999999999</v>
      </c>
      <c r="L1418" s="5">
        <v>7.7600000000000002E-2</v>
      </c>
      <c r="M1418" s="5">
        <v>2094916.223</v>
      </c>
      <c r="N1418" s="6">
        <v>0.105</v>
      </c>
      <c r="O1418" s="5">
        <v>794</v>
      </c>
      <c r="P1418" s="6">
        <v>8.09E-2</v>
      </c>
      <c r="Q1418" s="5">
        <v>19974388.52</v>
      </c>
      <c r="R1418" s="1" t="s">
        <v>55</v>
      </c>
      <c r="S1418" s="1" t="s">
        <v>3535</v>
      </c>
      <c r="T1418" s="1" t="s">
        <v>606</v>
      </c>
      <c r="U1418" s="1" t="s">
        <v>212</v>
      </c>
      <c r="V1418" s="1" t="s">
        <v>1010</v>
      </c>
      <c r="W1418" s="1" t="s">
        <v>232</v>
      </c>
      <c r="X1418" s="1" t="s">
        <v>214</v>
      </c>
      <c r="Y1418" s="1" t="s">
        <v>236</v>
      </c>
      <c r="Z1418" s="1" t="str">
        <f t="shared" si="66"/>
        <v>6098 1</v>
      </c>
      <c r="AA1418" s="3">
        <f>IF(INDEX('CAMD Facility Data 2023'!$AA$2:$AE$10000,MATCH(Z1418,'CAMD Facility Data 2023'!$AE$2:$AE$10000,0),1)&gt;0,INDEX('CAMD Facility Data 2023'!$AA$2:$AE$10000,MATCH(Z1418,'CAMD Facility Data 2023'!$AE$2:$AE$10000,0),1),"")</f>
        <v>27515</v>
      </c>
      <c r="AB1418" s="5">
        <f>IF(INDEX('CAMD Facility Data 2023'!$AC$2:$AE$10000,MATCH(Z1418,'CAMD Facility Data 2023'!$AE$2:$AE$10000,0),1)&gt;0,INDEX('CAMD Facility Data 2023'!$AC$2:$AE$10000,MATCH(Z1418,'CAMD Facility Data 2023'!$AE$2:$AE$10000,0),1),"")</f>
        <v>5609</v>
      </c>
      <c r="AC1418" s="1" t="str">
        <f>IF(INDEX('CAMD Facility Data 2023'!$AE$2:$AG$10000,MATCH(Z1418,'CAMD Facility Data 2023'!$AE$2:$AE$10000,0),3)&gt;0,INDEX('CAMD Facility Data 2023'!$AE$2:$AG$10000,MATCH(Z1418,'CAMD Facility Data 2023'!$AE$2:$AE$10000,0),3),"")</f>
        <v>Y</v>
      </c>
      <c r="AD1418" s="20">
        <f t="shared" si="67"/>
        <v>0.95748862647617394</v>
      </c>
      <c r="AE1418" s="25">
        <f t="shared" si="68"/>
        <v>0.40652190014254652</v>
      </c>
    </row>
    <row r="1419" spans="1:31" x14ac:dyDescent="0.2">
      <c r="A1419" s="1" t="s">
        <v>3253</v>
      </c>
      <c r="B1419" s="1" t="s">
        <v>3537</v>
      </c>
      <c r="C1419" s="1">
        <v>6101</v>
      </c>
      <c r="D1419" s="1" t="s">
        <v>3538</v>
      </c>
      <c r="F1419" s="1">
        <v>2023</v>
      </c>
      <c r="G1419" s="5">
        <v>7824</v>
      </c>
      <c r="H1419" s="5">
        <v>7810.45</v>
      </c>
      <c r="I1419" s="5">
        <v>2041923.98</v>
      </c>
      <c r="K1419" s="5">
        <v>1802.9849999999999</v>
      </c>
      <c r="L1419" s="5">
        <v>0.15540000000000001</v>
      </c>
      <c r="M1419" s="5">
        <v>2441975.8259999999</v>
      </c>
      <c r="N1419" s="6">
        <v>0.105</v>
      </c>
      <c r="O1419" s="5">
        <v>2672.8789999999999</v>
      </c>
      <c r="P1419" s="6">
        <v>0.22700000000000001</v>
      </c>
      <c r="Q1419" s="5">
        <v>23283557.772999998</v>
      </c>
      <c r="R1419" s="1" t="s">
        <v>55</v>
      </c>
      <c r="T1419" s="1" t="s">
        <v>89</v>
      </c>
      <c r="U1419" s="1" t="s">
        <v>212</v>
      </c>
      <c r="V1419" s="1" t="s">
        <v>289</v>
      </c>
      <c r="W1419" s="1" t="s">
        <v>232</v>
      </c>
      <c r="X1419" s="1" t="s">
        <v>1372</v>
      </c>
      <c r="Y1419" s="1" t="s">
        <v>236</v>
      </c>
      <c r="Z1419" s="1" t="str">
        <f t="shared" si="66"/>
        <v>6101 BW91</v>
      </c>
      <c r="AA1419" s="3">
        <f>IF(INDEX('CAMD Facility Data 2023'!$AA$2:$AE$10000,MATCH(Z1419,'CAMD Facility Data 2023'!$AE$2:$AE$10000,0),1)&gt;0,INDEX('CAMD Facility Data 2023'!$AA$2:$AE$10000,MATCH(Z1419,'CAMD Facility Data 2023'!$AE$2:$AE$10000,0),1),"")</f>
        <v>28734</v>
      </c>
      <c r="AB1419" s="5">
        <f>IF(INDEX('CAMD Facility Data 2023'!$AC$2:$AE$10000,MATCH(Z1419,'CAMD Facility Data 2023'!$AE$2:$AE$10000,0),1)&gt;0,INDEX('CAMD Facility Data 2023'!$AC$2:$AE$10000,MATCH(Z1419,'CAMD Facility Data 2023'!$AE$2:$AE$10000,0),1),"")</f>
        <v>5302</v>
      </c>
      <c r="AC1419" s="1" t="str">
        <f>IF(INDEX('CAMD Facility Data 2023'!$AE$2:$AG$10000,MATCH(Z1419,'CAMD Facility Data 2023'!$AE$2:$AE$10000,0),3)&gt;0,INDEX('CAMD Facility Data 2023'!$AE$2:$AG$10000,MATCH(Z1419,'CAMD Facility Data 2023'!$AE$2:$AE$10000,0),3),"")</f>
        <v/>
      </c>
      <c r="AD1419" s="20">
        <f t="shared" si="67"/>
        <v>2.6180004997051851</v>
      </c>
      <c r="AE1419" s="25">
        <f t="shared" si="68"/>
        <v>0.5013090126453531</v>
      </c>
    </row>
    <row r="1420" spans="1:31" x14ac:dyDescent="0.2">
      <c r="A1420" s="1" t="s">
        <v>516</v>
      </c>
      <c r="B1420" s="1" t="s">
        <v>3543</v>
      </c>
      <c r="C1420" s="1">
        <v>6112</v>
      </c>
      <c r="D1420" s="1">
        <v>2</v>
      </c>
      <c r="F1420" s="1">
        <v>2023</v>
      </c>
      <c r="G1420" s="5">
        <v>6861</v>
      </c>
      <c r="H1420" s="5">
        <v>6836.04</v>
      </c>
      <c r="I1420" s="5">
        <v>1268400.81</v>
      </c>
      <c r="K1420" s="5">
        <v>2.8180000000000001</v>
      </c>
      <c r="L1420" s="5">
        <v>1E-3</v>
      </c>
      <c r="M1420" s="5">
        <v>558148.326</v>
      </c>
      <c r="N1420" s="6">
        <v>5.8999999999999997E-2</v>
      </c>
      <c r="O1420" s="5">
        <v>125.39100000000001</v>
      </c>
      <c r="P1420" s="6">
        <v>2.76E-2</v>
      </c>
      <c r="Q1420" s="5">
        <v>9391822.8450000007</v>
      </c>
      <c r="R1420" s="1" t="s">
        <v>44</v>
      </c>
      <c r="T1420" s="1" t="s">
        <v>71</v>
      </c>
      <c r="V1420" s="1" t="s">
        <v>140</v>
      </c>
      <c r="Y1420" s="1" t="s">
        <v>247</v>
      </c>
      <c r="Z1420" s="1" t="str">
        <f t="shared" si="66"/>
        <v>6112 2</v>
      </c>
      <c r="AA1420" s="3">
        <f>IF(INDEX('CAMD Facility Data 2023'!$AA$2:$AE$10000,MATCH(Z1420,'CAMD Facility Data 2023'!$AE$2:$AE$10000,0),1)&gt;0,INDEX('CAMD Facility Data 2023'!$AA$2:$AE$10000,MATCH(Z1420,'CAMD Facility Data 2023'!$AE$2:$AE$10000,0),1),"")</f>
        <v>35191</v>
      </c>
      <c r="AB1420" s="5">
        <f>IF(INDEX('CAMD Facility Data 2023'!$AC$2:$AE$10000,MATCH(Z1420,'CAMD Facility Data 2023'!$AE$2:$AE$10000,0),1)&gt;0,INDEX('CAMD Facility Data 2023'!$AC$2:$AE$10000,MATCH(Z1420,'CAMD Facility Data 2023'!$AE$2:$AE$10000,0),1),"")</f>
        <v>2242</v>
      </c>
      <c r="AC1420" s="1" t="str">
        <f>IF(INDEX('CAMD Facility Data 2023'!$AE$2:$AG$10000,MATCH(Z1420,'CAMD Facility Data 2023'!$AE$2:$AE$10000,0),3)&gt;0,INDEX('CAMD Facility Data 2023'!$AE$2:$AG$10000,MATCH(Z1420,'CAMD Facility Data 2023'!$AE$2:$AE$10000,0),3),"")</f>
        <v/>
      </c>
      <c r="AD1420" s="20">
        <f t="shared" si="67"/>
        <v>0.1977151055272505</v>
      </c>
      <c r="AE1420" s="25">
        <f t="shared" si="68"/>
        <v>0.47820066705974368</v>
      </c>
    </row>
    <row r="1421" spans="1:31" x14ac:dyDescent="0.2">
      <c r="A1421" s="1" t="s">
        <v>516</v>
      </c>
      <c r="B1421" s="1" t="s">
        <v>3543</v>
      </c>
      <c r="C1421" s="1">
        <v>6112</v>
      </c>
      <c r="D1421" s="1">
        <v>3</v>
      </c>
      <c r="F1421" s="1">
        <v>2023</v>
      </c>
      <c r="G1421" s="5">
        <v>7913</v>
      </c>
      <c r="H1421" s="5">
        <v>7895.15</v>
      </c>
      <c r="I1421" s="5">
        <v>1431916.73</v>
      </c>
      <c r="K1421" s="5">
        <v>3.0390000000000001</v>
      </c>
      <c r="L1421" s="5">
        <v>1E-3</v>
      </c>
      <c r="M1421" s="5">
        <v>601996.49699999997</v>
      </c>
      <c r="N1421" s="6">
        <v>5.8999999999999997E-2</v>
      </c>
      <c r="O1421" s="5">
        <v>138.637</v>
      </c>
      <c r="P1421" s="6">
        <v>2.8199999999999999E-2</v>
      </c>
      <c r="Q1421" s="5">
        <v>10129747.711999999</v>
      </c>
      <c r="R1421" s="1" t="s">
        <v>44</v>
      </c>
      <c r="T1421" s="1" t="s">
        <v>71</v>
      </c>
      <c r="V1421" s="1" t="s">
        <v>140</v>
      </c>
      <c r="Y1421" s="1" t="s">
        <v>247</v>
      </c>
      <c r="Z1421" s="1" t="str">
        <f t="shared" si="66"/>
        <v>6112 3</v>
      </c>
      <c r="AA1421" s="3">
        <f>IF(INDEX('CAMD Facility Data 2023'!$AA$2:$AE$10000,MATCH(Z1421,'CAMD Facility Data 2023'!$AE$2:$AE$10000,0),1)&gt;0,INDEX('CAMD Facility Data 2023'!$AA$2:$AE$10000,MATCH(Z1421,'CAMD Facility Data 2023'!$AE$2:$AE$10000,0),1),"")</f>
        <v>36220</v>
      </c>
      <c r="AB1421" s="5">
        <f>IF(INDEX('CAMD Facility Data 2023'!$AC$2:$AE$10000,MATCH(Z1421,'CAMD Facility Data 2023'!$AE$2:$AE$10000,0),1)&gt;0,INDEX('CAMD Facility Data 2023'!$AC$2:$AE$10000,MATCH(Z1421,'CAMD Facility Data 2023'!$AE$2:$AE$10000,0),1),"")</f>
        <v>2242</v>
      </c>
      <c r="AC1421" s="1" t="str">
        <f>IF(INDEX('CAMD Facility Data 2023'!$AE$2:$AG$10000,MATCH(Z1421,'CAMD Facility Data 2023'!$AE$2:$AE$10000,0),3)&gt;0,INDEX('CAMD Facility Data 2023'!$AE$2:$AG$10000,MATCH(Z1421,'CAMD Facility Data 2023'!$AE$2:$AE$10000,0),3),"")</f>
        <v/>
      </c>
      <c r="AD1421" s="20">
        <f t="shared" si="67"/>
        <v>0.19363835493422862</v>
      </c>
      <c r="AE1421" s="25">
        <f t="shared" si="68"/>
        <v>0.51577336934162665</v>
      </c>
    </row>
    <row r="1422" spans="1:31" x14ac:dyDescent="0.2">
      <c r="A1422" s="1" t="s">
        <v>516</v>
      </c>
      <c r="B1422" s="1" t="s">
        <v>3543</v>
      </c>
      <c r="C1422" s="1">
        <v>6112</v>
      </c>
      <c r="D1422" s="1">
        <v>4</v>
      </c>
      <c r="F1422" s="1">
        <v>2023</v>
      </c>
      <c r="G1422" s="5">
        <v>7283</v>
      </c>
      <c r="H1422" s="5">
        <v>7261.58</v>
      </c>
      <c r="I1422" s="5">
        <v>1338764.29</v>
      </c>
      <c r="K1422" s="5">
        <v>2.9940000000000002</v>
      </c>
      <c r="L1422" s="5">
        <v>1E-3</v>
      </c>
      <c r="M1422" s="5">
        <v>593115.87899999996</v>
      </c>
      <c r="N1422" s="6">
        <v>5.8999999999999997E-2</v>
      </c>
      <c r="O1422" s="5">
        <v>47.427999999999997</v>
      </c>
      <c r="P1422" s="6">
        <v>0.01</v>
      </c>
      <c r="Q1422" s="5">
        <v>9980317.4120000005</v>
      </c>
      <c r="R1422" s="1" t="s">
        <v>44</v>
      </c>
      <c r="T1422" s="1" t="s">
        <v>71</v>
      </c>
      <c r="V1422" s="1" t="s">
        <v>223</v>
      </c>
      <c r="Y1422" s="1" t="s">
        <v>247</v>
      </c>
      <c r="Z1422" s="1" t="str">
        <f t="shared" si="66"/>
        <v>6112 4</v>
      </c>
      <c r="AA1422" s="3">
        <f>IF(INDEX('CAMD Facility Data 2023'!$AA$2:$AE$10000,MATCH(Z1422,'CAMD Facility Data 2023'!$AE$2:$AE$10000,0),1)&gt;0,INDEX('CAMD Facility Data 2023'!$AA$2:$AE$10000,MATCH(Z1422,'CAMD Facility Data 2023'!$AE$2:$AE$10000,0),1),"")</f>
        <v>37014</v>
      </c>
      <c r="AB1422" s="5">
        <f>IF(INDEX('CAMD Facility Data 2023'!$AC$2:$AE$10000,MATCH(Z1422,'CAMD Facility Data 2023'!$AE$2:$AE$10000,0),1)&gt;0,INDEX('CAMD Facility Data 2023'!$AC$2:$AE$10000,MATCH(Z1422,'CAMD Facility Data 2023'!$AE$2:$AE$10000,0),1),"")</f>
        <v>2242</v>
      </c>
      <c r="AC1422" s="1" t="str">
        <f>IF(INDEX('CAMD Facility Data 2023'!$AE$2:$AG$10000,MATCH(Z1422,'CAMD Facility Data 2023'!$AE$2:$AE$10000,0),3)&gt;0,INDEX('CAMD Facility Data 2023'!$AE$2:$AG$10000,MATCH(Z1422,'CAMD Facility Data 2023'!$AE$2:$AE$10000,0),3),"")</f>
        <v>Y</v>
      </c>
      <c r="AD1422" s="20">
        <f t="shared" si="67"/>
        <v>7.0853398696494957E-2</v>
      </c>
      <c r="AE1422" s="25">
        <f t="shared" si="68"/>
        <v>0.50816487093633789</v>
      </c>
    </row>
    <row r="1423" spans="1:31" x14ac:dyDescent="0.2">
      <c r="A1423" s="1" t="s">
        <v>516</v>
      </c>
      <c r="B1423" s="1" t="s">
        <v>3543</v>
      </c>
      <c r="C1423" s="1">
        <v>6112</v>
      </c>
      <c r="D1423" s="1">
        <v>5</v>
      </c>
      <c r="F1423" s="1">
        <v>2023</v>
      </c>
      <c r="G1423" s="5">
        <v>709</v>
      </c>
      <c r="H1423" s="5">
        <v>625.35</v>
      </c>
      <c r="I1423" s="5">
        <v>51264.27</v>
      </c>
      <c r="K1423" s="5">
        <v>0.192</v>
      </c>
      <c r="L1423" s="5">
        <v>1E-3</v>
      </c>
      <c r="M1423" s="5">
        <v>38032.938000000002</v>
      </c>
      <c r="N1423" s="6">
        <v>5.9200000000000003E-2</v>
      </c>
      <c r="O1423" s="5">
        <v>10.375999999999999</v>
      </c>
      <c r="P1423" s="6">
        <v>4.1700000000000001E-2</v>
      </c>
      <c r="Q1423" s="5">
        <v>639975.95700000005</v>
      </c>
      <c r="R1423" s="1" t="s">
        <v>44</v>
      </c>
      <c r="T1423" s="1" t="s">
        <v>93</v>
      </c>
      <c r="V1423" s="1" t="s">
        <v>140</v>
      </c>
      <c r="Y1423" s="1" t="s">
        <v>247</v>
      </c>
      <c r="Z1423" s="1" t="str">
        <f t="shared" si="66"/>
        <v>6112 5</v>
      </c>
      <c r="AA1423" s="3">
        <f>IF(INDEX('CAMD Facility Data 2023'!$AA$2:$AE$10000,MATCH(Z1423,'CAMD Facility Data 2023'!$AE$2:$AE$10000,0),1)&gt;0,INDEX('CAMD Facility Data 2023'!$AA$2:$AE$10000,MATCH(Z1423,'CAMD Facility Data 2023'!$AE$2:$AE$10000,0),1),"")</f>
        <v>39925</v>
      </c>
      <c r="AB1423" s="5">
        <f>IF(INDEX('CAMD Facility Data 2023'!$AC$2:$AE$10000,MATCH(Z1423,'CAMD Facility Data 2023'!$AE$2:$AE$10000,0),1)&gt;0,INDEX('CAMD Facility Data 2023'!$AC$2:$AE$10000,MATCH(Z1423,'CAMD Facility Data 2023'!$AE$2:$AE$10000,0),1),"")</f>
        <v>1700</v>
      </c>
      <c r="AC1423" s="1" t="str">
        <f>IF(INDEX('CAMD Facility Data 2023'!$AE$2:$AG$10000,MATCH(Z1423,'CAMD Facility Data 2023'!$AE$2:$AE$10000,0),3)&gt;0,INDEX('CAMD Facility Data 2023'!$AE$2:$AG$10000,MATCH(Z1423,'CAMD Facility Data 2023'!$AE$2:$AE$10000,0),3),"")</f>
        <v/>
      </c>
      <c r="AD1423" s="20">
        <f t="shared" si="67"/>
        <v>0.40480435983970903</v>
      </c>
      <c r="AE1423" s="25">
        <f t="shared" si="68"/>
        <v>4.2974480056406125E-2</v>
      </c>
    </row>
    <row r="1424" spans="1:31" x14ac:dyDescent="0.2">
      <c r="A1424" s="1" t="s">
        <v>516</v>
      </c>
      <c r="B1424" s="1" t="s">
        <v>3543</v>
      </c>
      <c r="C1424" s="1">
        <v>6112</v>
      </c>
      <c r="D1424" s="1">
        <v>6</v>
      </c>
      <c r="F1424" s="1">
        <v>2023</v>
      </c>
      <c r="G1424" s="5">
        <v>713</v>
      </c>
      <c r="H1424" s="5">
        <v>633.47</v>
      </c>
      <c r="I1424" s="5">
        <v>52091.13</v>
      </c>
      <c r="K1424" s="5">
        <v>0.19500000000000001</v>
      </c>
      <c r="L1424" s="5">
        <v>1E-3</v>
      </c>
      <c r="M1424" s="5">
        <v>38704.103000000003</v>
      </c>
      <c r="N1424" s="6">
        <v>5.91E-2</v>
      </c>
      <c r="O1424" s="5">
        <v>9.8770000000000007</v>
      </c>
      <c r="P1424" s="6">
        <v>3.7100000000000001E-2</v>
      </c>
      <c r="Q1424" s="5">
        <v>651256.33700000006</v>
      </c>
      <c r="R1424" s="1" t="s">
        <v>44</v>
      </c>
      <c r="T1424" s="1" t="s">
        <v>93</v>
      </c>
      <c r="V1424" s="1" t="s">
        <v>140</v>
      </c>
      <c r="Y1424" s="1" t="s">
        <v>247</v>
      </c>
      <c r="Z1424" s="1" t="str">
        <f t="shared" si="66"/>
        <v>6112 6</v>
      </c>
      <c r="AA1424" s="3">
        <f>IF(INDEX('CAMD Facility Data 2023'!$AA$2:$AE$10000,MATCH(Z1424,'CAMD Facility Data 2023'!$AE$2:$AE$10000,0),1)&gt;0,INDEX('CAMD Facility Data 2023'!$AA$2:$AE$10000,MATCH(Z1424,'CAMD Facility Data 2023'!$AE$2:$AE$10000,0),1),"")</f>
        <v>39928</v>
      </c>
      <c r="AB1424" s="5">
        <f>IF(INDEX('CAMD Facility Data 2023'!$AC$2:$AE$10000,MATCH(Z1424,'CAMD Facility Data 2023'!$AE$2:$AE$10000,0),1)&gt;0,INDEX('CAMD Facility Data 2023'!$AC$2:$AE$10000,MATCH(Z1424,'CAMD Facility Data 2023'!$AE$2:$AE$10000,0),1),"")</f>
        <v>1700</v>
      </c>
      <c r="AC1424" s="1" t="str">
        <f>IF(INDEX('CAMD Facility Data 2023'!$AE$2:$AG$10000,MATCH(Z1424,'CAMD Facility Data 2023'!$AE$2:$AE$10000,0),3)&gt;0,INDEX('CAMD Facility Data 2023'!$AE$2:$AG$10000,MATCH(Z1424,'CAMD Facility Data 2023'!$AE$2:$AE$10000,0),3),"")</f>
        <v/>
      </c>
      <c r="AD1424" s="20">
        <f t="shared" si="67"/>
        <v>0.37922003227804812</v>
      </c>
      <c r="AE1424" s="25">
        <f t="shared" si="68"/>
        <v>4.3731959239860334E-2</v>
      </c>
    </row>
    <row r="1425" spans="1:31" x14ac:dyDescent="0.2">
      <c r="A1425" s="1" t="s">
        <v>1071</v>
      </c>
      <c r="B1425" s="1" t="s">
        <v>3551</v>
      </c>
      <c r="C1425" s="1">
        <v>6113</v>
      </c>
      <c r="D1425" s="1">
        <v>1</v>
      </c>
      <c r="F1425" s="1">
        <v>2023</v>
      </c>
      <c r="G1425" s="5">
        <v>7681</v>
      </c>
      <c r="H1425" s="5">
        <v>7671.24</v>
      </c>
      <c r="I1425" s="5">
        <v>2674166.4</v>
      </c>
      <c r="K1425" s="5">
        <v>931.12599999999998</v>
      </c>
      <c r="L1425" s="5">
        <v>6.2300000000000001E-2</v>
      </c>
      <c r="M1425" s="5">
        <v>2683693.1170000001</v>
      </c>
      <c r="N1425" s="6">
        <v>0.10299999999999999</v>
      </c>
      <c r="O1425" s="5">
        <v>1021.622</v>
      </c>
      <c r="P1425" s="6">
        <v>8.0100000000000005E-2</v>
      </c>
      <c r="Q1425" s="5">
        <v>26156866.903000001</v>
      </c>
      <c r="R1425" s="1" t="s">
        <v>55</v>
      </c>
      <c r="S1425" s="1" t="s">
        <v>94</v>
      </c>
      <c r="T1425" s="1" t="s">
        <v>89</v>
      </c>
      <c r="U1425" s="1" t="s">
        <v>56</v>
      </c>
      <c r="V1425" s="1" t="s">
        <v>563</v>
      </c>
      <c r="W1425" s="1" t="s">
        <v>331</v>
      </c>
      <c r="Y1425" s="1" t="s">
        <v>1005</v>
      </c>
      <c r="Z1425" s="1" t="str">
        <f t="shared" si="66"/>
        <v>6113 1</v>
      </c>
      <c r="AA1425" s="3">
        <f>IF(INDEX('CAMD Facility Data 2023'!$AA$2:$AE$10000,MATCH(Z1425,'CAMD Facility Data 2023'!$AE$2:$AE$10000,0),1)&gt;0,INDEX('CAMD Facility Data 2023'!$AA$2:$AE$10000,MATCH(Z1425,'CAMD Facility Data 2023'!$AE$2:$AE$10000,0),1),"")</f>
        <v>27883</v>
      </c>
      <c r="AB1425" s="5">
        <f>IF(INDEX('CAMD Facility Data 2023'!$AC$2:$AE$10000,MATCH(Z1425,'CAMD Facility Data 2023'!$AE$2:$AE$10000,0),1)&gt;0,INDEX('CAMD Facility Data 2023'!$AC$2:$AE$10000,MATCH(Z1425,'CAMD Facility Data 2023'!$AE$2:$AE$10000,0),1),"")</f>
        <v>6500</v>
      </c>
      <c r="AC1425" s="1" t="str">
        <f>IF(INDEX('CAMD Facility Data 2023'!$AE$2:$AG$10000,MATCH(Z1425,'CAMD Facility Data 2023'!$AE$2:$AE$10000,0),3)&gt;0,INDEX('CAMD Facility Data 2023'!$AE$2:$AG$10000,MATCH(Z1425,'CAMD Facility Data 2023'!$AE$2:$AE$10000,0),3),"")</f>
        <v>Y</v>
      </c>
      <c r="AD1425" s="20">
        <f t="shared" si="67"/>
        <v>0.76406763618000739</v>
      </c>
      <c r="AE1425" s="25">
        <f t="shared" si="68"/>
        <v>0.45937595544432736</v>
      </c>
    </row>
    <row r="1426" spans="1:31" x14ac:dyDescent="0.2">
      <c r="A1426" s="1" t="s">
        <v>1071</v>
      </c>
      <c r="B1426" s="1" t="s">
        <v>3551</v>
      </c>
      <c r="C1426" s="1">
        <v>6113</v>
      </c>
      <c r="D1426" s="1">
        <v>2</v>
      </c>
      <c r="F1426" s="1">
        <v>2023</v>
      </c>
      <c r="G1426" s="5">
        <v>6124</v>
      </c>
      <c r="H1426" s="5">
        <v>6113.61</v>
      </c>
      <c r="I1426" s="5">
        <v>2160829.9300000002</v>
      </c>
      <c r="K1426" s="5">
        <v>879.36800000000005</v>
      </c>
      <c r="L1426" s="5">
        <v>7.0400000000000004E-2</v>
      </c>
      <c r="M1426" s="5">
        <v>2182569.594</v>
      </c>
      <c r="N1426" s="6">
        <v>0.10299999999999999</v>
      </c>
      <c r="O1426" s="5">
        <v>760.11699999999996</v>
      </c>
      <c r="P1426" s="6">
        <v>7.0699999999999999E-2</v>
      </c>
      <c r="Q1426" s="5">
        <v>21272620.375999998</v>
      </c>
      <c r="R1426" s="1" t="s">
        <v>55</v>
      </c>
      <c r="S1426" s="1" t="s">
        <v>94</v>
      </c>
      <c r="T1426" s="1" t="s">
        <v>89</v>
      </c>
      <c r="U1426" s="1" t="s">
        <v>56</v>
      </c>
      <c r="V1426" s="1" t="s">
        <v>563</v>
      </c>
      <c r="W1426" s="1" t="s">
        <v>331</v>
      </c>
      <c r="Y1426" s="1" t="s">
        <v>1005</v>
      </c>
      <c r="Z1426" s="1" t="str">
        <f t="shared" si="66"/>
        <v>6113 2</v>
      </c>
      <c r="AA1426" s="3">
        <f>IF(INDEX('CAMD Facility Data 2023'!$AA$2:$AE$10000,MATCH(Z1426,'CAMD Facility Data 2023'!$AE$2:$AE$10000,0),1)&gt;0,INDEX('CAMD Facility Data 2023'!$AA$2:$AE$10000,MATCH(Z1426,'CAMD Facility Data 2023'!$AE$2:$AE$10000,0),1),"")</f>
        <v>27500</v>
      </c>
      <c r="AB1426" s="5">
        <f>IF(INDEX('CAMD Facility Data 2023'!$AC$2:$AE$10000,MATCH(Z1426,'CAMD Facility Data 2023'!$AE$2:$AE$10000,0),1)&gt;0,INDEX('CAMD Facility Data 2023'!$AC$2:$AE$10000,MATCH(Z1426,'CAMD Facility Data 2023'!$AE$2:$AE$10000,0),1),"")</f>
        <v>7100</v>
      </c>
      <c r="AC1426" s="1" t="str">
        <f>IF(INDEX('CAMD Facility Data 2023'!$AE$2:$AG$10000,MATCH(Z1426,'CAMD Facility Data 2023'!$AE$2:$AE$10000,0),3)&gt;0,INDEX('CAMD Facility Data 2023'!$AE$2:$AG$10000,MATCH(Z1426,'CAMD Facility Data 2023'!$AE$2:$AE$10000,0),3),"")</f>
        <v>Y</v>
      </c>
      <c r="AD1426" s="20">
        <f t="shared" si="67"/>
        <v>0.70354171741780713</v>
      </c>
      <c r="AE1426" s="25">
        <f t="shared" si="68"/>
        <v>0.34202553823397003</v>
      </c>
    </row>
    <row r="1427" spans="1:31" x14ac:dyDescent="0.2">
      <c r="A1427" s="1" t="s">
        <v>1071</v>
      </c>
      <c r="B1427" s="1" t="s">
        <v>3551</v>
      </c>
      <c r="C1427" s="1">
        <v>6113</v>
      </c>
      <c r="D1427" s="1">
        <v>3</v>
      </c>
      <c r="F1427" s="1">
        <v>2023</v>
      </c>
      <c r="G1427" s="5">
        <v>3403</v>
      </c>
      <c r="H1427" s="5">
        <v>3390.82</v>
      </c>
      <c r="I1427" s="5">
        <v>1094648.8500000001</v>
      </c>
      <c r="K1427" s="5">
        <v>430.81200000000001</v>
      </c>
      <c r="L1427" s="5">
        <v>7.4300000000000005E-2</v>
      </c>
      <c r="M1427" s="5">
        <v>1115176.9620000001</v>
      </c>
      <c r="N1427" s="6">
        <v>0.10290000000000001</v>
      </c>
      <c r="O1427" s="5">
        <v>463.44600000000003</v>
      </c>
      <c r="P1427" s="6">
        <v>9.0300000000000005E-2</v>
      </c>
      <c r="Q1427" s="5">
        <v>10869189.032</v>
      </c>
      <c r="R1427" s="1" t="s">
        <v>55</v>
      </c>
      <c r="S1427" s="1" t="s">
        <v>94</v>
      </c>
      <c r="T1427" s="1" t="s">
        <v>89</v>
      </c>
      <c r="U1427" s="1" t="s">
        <v>56</v>
      </c>
      <c r="V1427" s="1" t="s">
        <v>563</v>
      </c>
      <c r="W1427" s="1" t="s">
        <v>800</v>
      </c>
      <c r="Y1427" s="1" t="s">
        <v>1005</v>
      </c>
      <c r="Z1427" s="1" t="str">
        <f t="shared" si="66"/>
        <v>6113 3</v>
      </c>
      <c r="AA1427" s="3">
        <f>IF(INDEX('CAMD Facility Data 2023'!$AA$2:$AE$10000,MATCH(Z1427,'CAMD Facility Data 2023'!$AE$2:$AE$10000,0),1)&gt;0,INDEX('CAMD Facility Data 2023'!$AA$2:$AE$10000,MATCH(Z1427,'CAMD Facility Data 2023'!$AE$2:$AE$10000,0),1),"")</f>
        <v>28577</v>
      </c>
      <c r="AB1427" s="5">
        <f>IF(INDEX('CAMD Facility Data 2023'!$AC$2:$AE$10000,MATCH(Z1427,'CAMD Facility Data 2023'!$AE$2:$AE$10000,0),1)&gt;0,INDEX('CAMD Facility Data 2023'!$AC$2:$AE$10000,MATCH(Z1427,'CAMD Facility Data 2023'!$AE$2:$AE$10000,0),1),"")</f>
        <v>7300</v>
      </c>
      <c r="AC1427" s="1" t="str">
        <f>IF(INDEX('CAMD Facility Data 2023'!$AE$2:$AG$10000,MATCH(Z1427,'CAMD Facility Data 2023'!$AE$2:$AE$10000,0),3)&gt;0,INDEX('CAMD Facility Data 2023'!$AE$2:$AG$10000,MATCH(Z1427,'CAMD Facility Data 2023'!$AE$2:$AE$10000,0),3),"")</f>
        <v>Y</v>
      </c>
      <c r="AD1427" s="20">
        <f t="shared" si="67"/>
        <v>0.84674825173387791</v>
      </c>
      <c r="AE1427" s="25">
        <f t="shared" si="68"/>
        <v>0.16996917858259836</v>
      </c>
    </row>
    <row r="1428" spans="1:31" x14ac:dyDescent="0.2">
      <c r="A1428" s="1" t="s">
        <v>1071</v>
      </c>
      <c r="B1428" s="1" t="s">
        <v>3551</v>
      </c>
      <c r="C1428" s="1">
        <v>6113</v>
      </c>
      <c r="D1428" s="1">
        <v>4</v>
      </c>
      <c r="F1428" s="1">
        <v>2023</v>
      </c>
      <c r="G1428" s="5">
        <v>4143</v>
      </c>
      <c r="H1428" s="5">
        <v>4126.8999999999996</v>
      </c>
      <c r="I1428" s="5">
        <v>1335459.04</v>
      </c>
      <c r="K1428" s="5">
        <v>1081.088</v>
      </c>
      <c r="L1428" s="5">
        <v>0.1386</v>
      </c>
      <c r="M1428" s="5">
        <v>1392847.696</v>
      </c>
      <c r="N1428" s="6">
        <v>0.1027</v>
      </c>
      <c r="O1428" s="5">
        <v>458.79500000000002</v>
      </c>
      <c r="P1428" s="6">
        <v>7.1900000000000006E-2</v>
      </c>
      <c r="Q1428" s="5">
        <v>13575555.048</v>
      </c>
      <c r="R1428" s="1" t="s">
        <v>55</v>
      </c>
      <c r="S1428" s="1" t="s">
        <v>94</v>
      </c>
      <c r="T1428" s="1" t="s">
        <v>89</v>
      </c>
      <c r="U1428" s="1" t="s">
        <v>56</v>
      </c>
      <c r="V1428" s="1" t="s">
        <v>563</v>
      </c>
      <c r="W1428" s="1" t="s">
        <v>800</v>
      </c>
      <c r="Y1428" s="1" t="s">
        <v>1005</v>
      </c>
      <c r="Z1428" s="1" t="str">
        <f t="shared" si="66"/>
        <v>6113 4</v>
      </c>
      <c r="AA1428" s="3">
        <f>IF(INDEX('CAMD Facility Data 2023'!$AA$2:$AE$10000,MATCH(Z1428,'CAMD Facility Data 2023'!$AE$2:$AE$10000,0),1)&gt;0,INDEX('CAMD Facility Data 2023'!$AA$2:$AE$10000,MATCH(Z1428,'CAMD Facility Data 2023'!$AE$2:$AE$10000,0),1),"")</f>
        <v>28941</v>
      </c>
      <c r="AB1428" s="5">
        <f>IF(INDEX('CAMD Facility Data 2023'!$AC$2:$AE$10000,MATCH(Z1428,'CAMD Facility Data 2023'!$AE$2:$AE$10000,0),1)&gt;0,INDEX('CAMD Facility Data 2023'!$AC$2:$AE$10000,MATCH(Z1428,'CAMD Facility Data 2023'!$AE$2:$AE$10000,0),1),"")</f>
        <v>7100</v>
      </c>
      <c r="AC1428" s="1" t="str">
        <f>IF(INDEX('CAMD Facility Data 2023'!$AE$2:$AG$10000,MATCH(Z1428,'CAMD Facility Data 2023'!$AE$2:$AE$10000,0),3)&gt;0,INDEX('CAMD Facility Data 2023'!$AE$2:$AG$10000,MATCH(Z1428,'CAMD Facility Data 2023'!$AE$2:$AE$10000,0),3),"")</f>
        <v>Y</v>
      </c>
      <c r="AD1428" s="20">
        <f t="shared" si="67"/>
        <v>0.68709707487546756</v>
      </c>
      <c r="AE1428" s="25">
        <f t="shared" si="68"/>
        <v>0.21827054871695931</v>
      </c>
    </row>
    <row r="1429" spans="1:31" x14ac:dyDescent="0.2">
      <c r="A1429" s="1" t="s">
        <v>1071</v>
      </c>
      <c r="B1429" s="1" t="s">
        <v>3551</v>
      </c>
      <c r="C1429" s="1">
        <v>6113</v>
      </c>
      <c r="D1429" s="1">
        <v>5</v>
      </c>
      <c r="F1429" s="1">
        <v>2023</v>
      </c>
      <c r="G1429" s="5">
        <v>5975</v>
      </c>
      <c r="H1429" s="5">
        <v>5959.92</v>
      </c>
      <c r="I1429" s="5">
        <v>1665642.44</v>
      </c>
      <c r="K1429" s="5">
        <v>1191.24</v>
      </c>
      <c r="L1429" s="5">
        <v>0.13120000000000001</v>
      </c>
      <c r="M1429" s="5">
        <v>1667241.162</v>
      </c>
      <c r="N1429" s="6">
        <v>0.10299999999999999</v>
      </c>
      <c r="O1429" s="5">
        <v>867.21799999999996</v>
      </c>
      <c r="P1429" s="6">
        <v>0.1114</v>
      </c>
      <c r="Q1429" s="5">
        <v>16249946.729</v>
      </c>
      <c r="R1429" s="1" t="s">
        <v>55</v>
      </c>
      <c r="S1429" s="1" t="s">
        <v>94</v>
      </c>
      <c r="T1429" s="1" t="s">
        <v>89</v>
      </c>
      <c r="U1429" s="1" t="s">
        <v>56</v>
      </c>
      <c r="V1429" s="1" t="s">
        <v>563</v>
      </c>
      <c r="W1429" s="1" t="s">
        <v>331</v>
      </c>
      <c r="Y1429" s="1" t="s">
        <v>1005</v>
      </c>
      <c r="Z1429" s="1" t="str">
        <f t="shared" si="66"/>
        <v>6113 5</v>
      </c>
      <c r="AA1429" s="3">
        <f>IF(INDEX('CAMD Facility Data 2023'!$AA$2:$AE$10000,MATCH(Z1429,'CAMD Facility Data 2023'!$AE$2:$AE$10000,0),1)&gt;0,INDEX('CAMD Facility Data 2023'!$AA$2:$AE$10000,MATCH(Z1429,'CAMD Facility Data 2023'!$AE$2:$AE$10000,0),1),"")</f>
        <v>30225</v>
      </c>
      <c r="AB1429" s="5">
        <f>IF(INDEX('CAMD Facility Data 2023'!$AC$2:$AE$10000,MATCH(Z1429,'CAMD Facility Data 2023'!$AE$2:$AE$10000,0),1)&gt;0,INDEX('CAMD Facility Data 2023'!$AC$2:$AE$10000,MATCH(Z1429,'CAMD Facility Data 2023'!$AE$2:$AE$10000,0),1),"")</f>
        <v>6700</v>
      </c>
      <c r="AC1429" s="1" t="str">
        <f>IF(INDEX('CAMD Facility Data 2023'!$AE$2:$AG$10000,MATCH(Z1429,'CAMD Facility Data 2023'!$AE$2:$AE$10000,0),3)&gt;0,INDEX('CAMD Facility Data 2023'!$AE$2:$AG$10000,MATCH(Z1429,'CAMD Facility Data 2023'!$AE$2:$AE$10000,0),3),"")</f>
        <v>Y</v>
      </c>
      <c r="AD1429" s="20">
        <f t="shared" si="67"/>
        <v>1.0413015172692166</v>
      </c>
      <c r="AE1429" s="25">
        <f t="shared" si="68"/>
        <v>0.27686817162475297</v>
      </c>
    </row>
    <row r="1430" spans="1:31" x14ac:dyDescent="0.2">
      <c r="A1430" s="1" t="s">
        <v>921</v>
      </c>
      <c r="B1430" s="1" t="s">
        <v>3560</v>
      </c>
      <c r="C1430" s="1">
        <v>6124</v>
      </c>
      <c r="D1430" s="1" t="s">
        <v>311</v>
      </c>
      <c r="F1430" s="1">
        <v>2023</v>
      </c>
      <c r="G1430" s="5">
        <v>74</v>
      </c>
      <c r="H1430" s="5">
        <v>74</v>
      </c>
      <c r="I1430" s="5">
        <v>3426</v>
      </c>
      <c r="K1430" s="5">
        <v>0.123</v>
      </c>
      <c r="L1430" s="5">
        <v>7.6E-3</v>
      </c>
      <c r="M1430" s="5">
        <v>2299.6999999999998</v>
      </c>
      <c r="N1430" s="6">
        <v>6.1699999999999998E-2</v>
      </c>
      <c r="O1430" s="5">
        <v>5.0110000000000001</v>
      </c>
      <c r="P1430" s="6">
        <v>0.37969999999999998</v>
      </c>
      <c r="Q1430" s="5">
        <v>37302.199999999997</v>
      </c>
      <c r="R1430" s="1" t="s">
        <v>44</v>
      </c>
      <c r="S1430" s="1" t="s">
        <v>94</v>
      </c>
      <c r="T1430" s="1" t="s">
        <v>93</v>
      </c>
      <c r="V1430" s="1" t="s">
        <v>95</v>
      </c>
      <c r="Y1430" s="1" t="s">
        <v>952</v>
      </c>
      <c r="Z1430" s="1" t="str">
        <f t="shared" si="66"/>
        <v>6124 CT1</v>
      </c>
      <c r="AA1430" s="3">
        <f>IF(INDEX('CAMD Facility Data 2023'!$AA$2:$AE$10000,MATCH(Z1430,'CAMD Facility Data 2023'!$AE$2:$AE$10000,0),1)&gt;0,INDEX('CAMD Facility Data 2023'!$AA$2:$AE$10000,MATCH(Z1430,'CAMD Facility Data 2023'!$AE$2:$AE$10000,0),1),"")</f>
        <v>34837</v>
      </c>
      <c r="AB1430" s="5">
        <f>IF(INDEX('CAMD Facility Data 2023'!$AC$2:$AE$10000,MATCH(Z1430,'CAMD Facility Data 2023'!$AE$2:$AE$10000,0),1)&gt;0,INDEX('CAMD Facility Data 2023'!$AC$2:$AE$10000,MATCH(Z1430,'CAMD Facility Data 2023'!$AE$2:$AE$10000,0),1),"")</f>
        <v>1419</v>
      </c>
      <c r="AC1430" s="1" t="str">
        <f>IF(INDEX('CAMD Facility Data 2023'!$AE$2:$AG$10000,MATCH(Z1430,'CAMD Facility Data 2023'!$AE$2:$AE$10000,0),3)&gt;0,INDEX('CAMD Facility Data 2023'!$AE$2:$AG$10000,MATCH(Z1430,'CAMD Facility Data 2023'!$AE$2:$AE$10000,0),3),"")</f>
        <v/>
      </c>
      <c r="AD1430" s="20">
        <f t="shared" si="67"/>
        <v>2.9252772913018097</v>
      </c>
      <c r="AE1430" s="25">
        <f t="shared" si="68"/>
        <v>3.000875270706427E-3</v>
      </c>
    </row>
    <row r="1431" spans="1:31" x14ac:dyDescent="0.2">
      <c r="A1431" s="1" t="s">
        <v>921</v>
      </c>
      <c r="B1431" s="1" t="s">
        <v>3560</v>
      </c>
      <c r="C1431" s="1">
        <v>6124</v>
      </c>
      <c r="D1431" s="1" t="s">
        <v>98</v>
      </c>
      <c r="F1431" s="1">
        <v>2023</v>
      </c>
      <c r="G1431" s="5">
        <v>84</v>
      </c>
      <c r="H1431" s="5">
        <v>84</v>
      </c>
      <c r="I1431" s="5">
        <v>4096</v>
      </c>
      <c r="K1431" s="5">
        <v>9.7000000000000003E-2</v>
      </c>
      <c r="L1431" s="5">
        <v>5.7000000000000002E-3</v>
      </c>
      <c r="M1431" s="5">
        <v>2886.4</v>
      </c>
      <c r="N1431" s="6">
        <v>6.1199999999999997E-2</v>
      </c>
      <c r="O1431" s="5">
        <v>5.4320000000000004</v>
      </c>
      <c r="P1431" s="6">
        <v>0.3261</v>
      </c>
      <c r="Q1431" s="5">
        <v>47672.6</v>
      </c>
      <c r="R1431" s="1" t="s">
        <v>44</v>
      </c>
      <c r="S1431" s="1" t="s">
        <v>94</v>
      </c>
      <c r="T1431" s="1" t="s">
        <v>93</v>
      </c>
      <c r="V1431" s="1" t="s">
        <v>95</v>
      </c>
      <c r="Y1431" s="1" t="s">
        <v>952</v>
      </c>
      <c r="Z1431" s="1" t="str">
        <f t="shared" si="66"/>
        <v>6124 CT2</v>
      </c>
      <c r="AA1431" s="3">
        <f>IF(INDEX('CAMD Facility Data 2023'!$AA$2:$AE$10000,MATCH(Z1431,'CAMD Facility Data 2023'!$AE$2:$AE$10000,0),1)&gt;0,INDEX('CAMD Facility Data 2023'!$AA$2:$AE$10000,MATCH(Z1431,'CAMD Facility Data 2023'!$AE$2:$AE$10000,0),1),"")</f>
        <v>34802</v>
      </c>
      <c r="AB1431" s="5">
        <f>IF(INDEX('CAMD Facility Data 2023'!$AC$2:$AE$10000,MATCH(Z1431,'CAMD Facility Data 2023'!$AE$2:$AE$10000,0),1)&gt;0,INDEX('CAMD Facility Data 2023'!$AC$2:$AE$10000,MATCH(Z1431,'CAMD Facility Data 2023'!$AE$2:$AE$10000,0),1),"")</f>
        <v>1419</v>
      </c>
      <c r="AC1431" s="1" t="str">
        <f>IF(INDEX('CAMD Facility Data 2023'!$AE$2:$AG$10000,MATCH(Z1431,'CAMD Facility Data 2023'!$AE$2:$AE$10000,0),3)&gt;0,INDEX('CAMD Facility Data 2023'!$AE$2:$AG$10000,MATCH(Z1431,'CAMD Facility Data 2023'!$AE$2:$AE$10000,0),3),"")</f>
        <v/>
      </c>
      <c r="AD1431" s="20">
        <f t="shared" si="67"/>
        <v>2.65234375</v>
      </c>
      <c r="AE1431" s="25">
        <f t="shared" si="68"/>
        <v>3.8351498418398703E-3</v>
      </c>
    </row>
    <row r="1432" spans="1:31" x14ac:dyDescent="0.2">
      <c r="A1432" s="1" t="s">
        <v>921</v>
      </c>
      <c r="B1432" s="1" t="s">
        <v>3560</v>
      </c>
      <c r="C1432" s="1">
        <v>6124</v>
      </c>
      <c r="D1432" s="1" t="s">
        <v>101</v>
      </c>
      <c r="F1432" s="1">
        <v>2023</v>
      </c>
      <c r="G1432" s="5">
        <v>71</v>
      </c>
      <c r="H1432" s="5">
        <v>71</v>
      </c>
      <c r="I1432" s="5">
        <v>3082</v>
      </c>
      <c r="K1432" s="5">
        <v>0.14799999999999999</v>
      </c>
      <c r="L1432" s="5">
        <v>1.47E-2</v>
      </c>
      <c r="M1432" s="5">
        <v>2053.1</v>
      </c>
      <c r="N1432" s="6">
        <v>6.5000000000000002E-2</v>
      </c>
      <c r="O1432" s="5">
        <v>4.2869999999999999</v>
      </c>
      <c r="P1432" s="6">
        <v>0.45029999999999998</v>
      </c>
      <c r="Q1432" s="5">
        <v>32736.1</v>
      </c>
      <c r="R1432" s="1" t="s">
        <v>44</v>
      </c>
      <c r="S1432" s="1" t="s">
        <v>94</v>
      </c>
      <c r="T1432" s="1" t="s">
        <v>93</v>
      </c>
      <c r="V1432" s="1" t="s">
        <v>95</v>
      </c>
      <c r="Y1432" s="1" t="s">
        <v>952</v>
      </c>
      <c r="Z1432" s="1" t="str">
        <f t="shared" si="66"/>
        <v>6124 CT3</v>
      </c>
      <c r="AA1432" s="3">
        <f>IF(INDEX('CAMD Facility Data 2023'!$AA$2:$AE$10000,MATCH(Z1432,'CAMD Facility Data 2023'!$AE$2:$AE$10000,0),1)&gt;0,INDEX('CAMD Facility Data 2023'!$AA$2:$AE$10000,MATCH(Z1432,'CAMD Facility Data 2023'!$AE$2:$AE$10000,0),1),"")</f>
        <v>34489</v>
      </c>
      <c r="AB1432" s="5">
        <f>IF(INDEX('CAMD Facility Data 2023'!$AC$2:$AE$10000,MATCH(Z1432,'CAMD Facility Data 2023'!$AE$2:$AE$10000,0),1)&gt;0,INDEX('CAMD Facility Data 2023'!$AC$2:$AE$10000,MATCH(Z1432,'CAMD Facility Data 2023'!$AE$2:$AE$10000,0),1),"")</f>
        <v>1419</v>
      </c>
      <c r="AC1432" s="1" t="str">
        <f>IF(INDEX('CAMD Facility Data 2023'!$AE$2:$AG$10000,MATCH(Z1432,'CAMD Facility Data 2023'!$AE$2:$AE$10000,0),3)&gt;0,INDEX('CAMD Facility Data 2023'!$AE$2:$AG$10000,MATCH(Z1432,'CAMD Facility Data 2023'!$AE$2:$AE$10000,0),3),"")</f>
        <v/>
      </c>
      <c r="AD1432" s="20">
        <f t="shared" si="67"/>
        <v>2.7819597663854641</v>
      </c>
      <c r="AE1432" s="25">
        <f t="shared" si="68"/>
        <v>2.6335431408703149E-3</v>
      </c>
    </row>
    <row r="1433" spans="1:31" x14ac:dyDescent="0.2">
      <c r="A1433" s="1" t="s">
        <v>921</v>
      </c>
      <c r="B1433" s="1" t="s">
        <v>3560</v>
      </c>
      <c r="C1433" s="1">
        <v>6124</v>
      </c>
      <c r="D1433" s="1" t="s">
        <v>103</v>
      </c>
      <c r="F1433" s="1">
        <v>2023</v>
      </c>
      <c r="G1433" s="5">
        <v>102</v>
      </c>
      <c r="H1433" s="5">
        <v>102</v>
      </c>
      <c r="I1433" s="5">
        <v>4749</v>
      </c>
      <c r="K1433" s="5">
        <v>0.113</v>
      </c>
      <c r="L1433" s="5">
        <v>6.7999999999999996E-3</v>
      </c>
      <c r="M1433" s="5">
        <v>3312.2</v>
      </c>
      <c r="N1433" s="6">
        <v>6.1600000000000002E-2</v>
      </c>
      <c r="O1433" s="5">
        <v>6.8570000000000002</v>
      </c>
      <c r="P1433" s="6">
        <v>0.36649999999999999</v>
      </c>
      <c r="Q1433" s="5">
        <v>54708.7</v>
      </c>
      <c r="R1433" s="1" t="s">
        <v>44</v>
      </c>
      <c r="S1433" s="1" t="s">
        <v>94</v>
      </c>
      <c r="T1433" s="1" t="s">
        <v>93</v>
      </c>
      <c r="V1433" s="1" t="s">
        <v>95</v>
      </c>
      <c r="Y1433" s="1" t="s">
        <v>952</v>
      </c>
      <c r="Z1433" s="1" t="str">
        <f t="shared" si="66"/>
        <v>6124 CT4</v>
      </c>
      <c r="AA1433" s="3">
        <f>IF(INDEX('CAMD Facility Data 2023'!$AA$2:$AE$10000,MATCH(Z1433,'CAMD Facility Data 2023'!$AE$2:$AE$10000,0),1)&gt;0,INDEX('CAMD Facility Data 2023'!$AA$2:$AE$10000,MATCH(Z1433,'CAMD Facility Data 2023'!$AE$2:$AE$10000,0),1),"")</f>
        <v>34485</v>
      </c>
      <c r="AB1433" s="5">
        <f>IF(INDEX('CAMD Facility Data 2023'!$AC$2:$AE$10000,MATCH(Z1433,'CAMD Facility Data 2023'!$AE$2:$AE$10000,0),1)&gt;0,INDEX('CAMD Facility Data 2023'!$AC$2:$AE$10000,MATCH(Z1433,'CAMD Facility Data 2023'!$AE$2:$AE$10000,0),1),"")</f>
        <v>1419</v>
      </c>
      <c r="AC1433" s="1" t="str">
        <f>IF(INDEX('CAMD Facility Data 2023'!$AE$2:$AG$10000,MATCH(Z1433,'CAMD Facility Data 2023'!$AE$2:$AE$10000,0),3)&gt;0,INDEX('CAMD Facility Data 2023'!$AE$2:$AG$10000,MATCH(Z1433,'CAMD Facility Data 2023'!$AE$2:$AE$10000,0),3),"")</f>
        <v/>
      </c>
      <c r="AD1433" s="20">
        <f t="shared" si="67"/>
        <v>2.8877658454411455</v>
      </c>
      <c r="AE1433" s="25">
        <f t="shared" si="68"/>
        <v>4.4011877294769935E-3</v>
      </c>
    </row>
    <row r="1434" spans="1:31" x14ac:dyDescent="0.2">
      <c r="A1434" s="1" t="s">
        <v>921</v>
      </c>
      <c r="B1434" s="1" t="s">
        <v>3560</v>
      </c>
      <c r="C1434" s="1">
        <v>6124</v>
      </c>
      <c r="D1434" s="1" t="s">
        <v>105</v>
      </c>
      <c r="F1434" s="1">
        <v>2023</v>
      </c>
      <c r="G1434" s="5">
        <v>40</v>
      </c>
      <c r="H1434" s="5">
        <v>40</v>
      </c>
      <c r="I1434" s="5">
        <v>1957</v>
      </c>
      <c r="K1434" s="5">
        <v>6.4000000000000001E-2</v>
      </c>
      <c r="L1434" s="5">
        <v>5.8999999999999999E-3</v>
      </c>
      <c r="M1434" s="5">
        <v>1308.5</v>
      </c>
      <c r="N1434" s="6">
        <v>6.1100000000000002E-2</v>
      </c>
      <c r="O1434" s="5">
        <v>2.1960000000000002</v>
      </c>
      <c r="P1434" s="6">
        <v>0.29549999999999998</v>
      </c>
      <c r="Q1434" s="5">
        <v>21318.3</v>
      </c>
      <c r="R1434" s="1" t="s">
        <v>44</v>
      </c>
      <c r="S1434" s="1" t="s">
        <v>94</v>
      </c>
      <c r="T1434" s="1" t="s">
        <v>93</v>
      </c>
      <c r="V1434" s="1" t="s">
        <v>95</v>
      </c>
      <c r="Y1434" s="1" t="s">
        <v>952</v>
      </c>
      <c r="Z1434" s="1" t="str">
        <f t="shared" si="66"/>
        <v>6124 CT5</v>
      </c>
      <c r="AA1434" s="3">
        <f>IF(INDEX('CAMD Facility Data 2023'!$AA$2:$AE$10000,MATCH(Z1434,'CAMD Facility Data 2023'!$AE$2:$AE$10000,0),1)&gt;0,INDEX('CAMD Facility Data 2023'!$AA$2:$AE$10000,MATCH(Z1434,'CAMD Facility Data 2023'!$AE$2:$AE$10000,0),1),"")</f>
        <v>34455</v>
      </c>
      <c r="AB1434" s="5">
        <f>IF(INDEX('CAMD Facility Data 2023'!$AC$2:$AE$10000,MATCH(Z1434,'CAMD Facility Data 2023'!$AE$2:$AE$10000,0),1)&gt;0,INDEX('CAMD Facility Data 2023'!$AC$2:$AE$10000,MATCH(Z1434,'CAMD Facility Data 2023'!$AE$2:$AE$10000,0),1),"")</f>
        <v>1419</v>
      </c>
      <c r="AC1434" s="1" t="str">
        <f>IF(INDEX('CAMD Facility Data 2023'!$AE$2:$AG$10000,MATCH(Z1434,'CAMD Facility Data 2023'!$AE$2:$AE$10000,0),3)&gt;0,INDEX('CAMD Facility Data 2023'!$AE$2:$AG$10000,MATCH(Z1434,'CAMD Facility Data 2023'!$AE$2:$AE$10000,0),3),"")</f>
        <v/>
      </c>
      <c r="AD1434" s="20">
        <f t="shared" si="67"/>
        <v>2.2442514052120592</v>
      </c>
      <c r="AE1434" s="25">
        <f t="shared" si="68"/>
        <v>1.7150076747082163E-3</v>
      </c>
    </row>
    <row r="1435" spans="1:31" x14ac:dyDescent="0.2">
      <c r="A1435" s="1" t="s">
        <v>921</v>
      </c>
      <c r="B1435" s="1" t="s">
        <v>3560</v>
      </c>
      <c r="C1435" s="1">
        <v>6124</v>
      </c>
      <c r="D1435" s="1" t="s">
        <v>107</v>
      </c>
      <c r="F1435" s="1">
        <v>2023</v>
      </c>
      <c r="G1435" s="5">
        <v>129</v>
      </c>
      <c r="H1435" s="5">
        <v>129</v>
      </c>
      <c r="I1435" s="5">
        <v>6427</v>
      </c>
      <c r="K1435" s="5">
        <v>0.17</v>
      </c>
      <c r="L1435" s="5">
        <v>5.1999999999999998E-3</v>
      </c>
      <c r="M1435" s="5">
        <v>4594.2</v>
      </c>
      <c r="N1435" s="6">
        <v>6.0900000000000003E-2</v>
      </c>
      <c r="O1435" s="5">
        <v>8.4149999999999991</v>
      </c>
      <c r="P1435" s="6">
        <v>0.31130000000000002</v>
      </c>
      <c r="Q1435" s="5">
        <v>75682</v>
      </c>
      <c r="R1435" s="1" t="s">
        <v>44</v>
      </c>
      <c r="S1435" s="1" t="s">
        <v>94</v>
      </c>
      <c r="T1435" s="1" t="s">
        <v>93</v>
      </c>
      <c r="V1435" s="1" t="s">
        <v>95</v>
      </c>
      <c r="Y1435" s="1" t="s">
        <v>952</v>
      </c>
      <c r="Z1435" s="1" t="str">
        <f t="shared" si="66"/>
        <v>6124 CT6</v>
      </c>
      <c r="AA1435" s="3">
        <f>IF(INDEX('CAMD Facility Data 2023'!$AA$2:$AE$10000,MATCH(Z1435,'CAMD Facility Data 2023'!$AE$2:$AE$10000,0),1)&gt;0,INDEX('CAMD Facility Data 2023'!$AA$2:$AE$10000,MATCH(Z1435,'CAMD Facility Data 2023'!$AE$2:$AE$10000,0),1),"")</f>
        <v>34461</v>
      </c>
      <c r="AB1435" s="5">
        <f>IF(INDEX('CAMD Facility Data 2023'!$AC$2:$AE$10000,MATCH(Z1435,'CAMD Facility Data 2023'!$AE$2:$AE$10000,0),1)&gt;0,INDEX('CAMD Facility Data 2023'!$AC$2:$AE$10000,MATCH(Z1435,'CAMD Facility Data 2023'!$AE$2:$AE$10000,0),1),"")</f>
        <v>1419</v>
      </c>
      <c r="AC1435" s="1" t="str">
        <f>IF(INDEX('CAMD Facility Data 2023'!$AE$2:$AG$10000,MATCH(Z1435,'CAMD Facility Data 2023'!$AE$2:$AE$10000,0),3)&gt;0,INDEX('CAMD Facility Data 2023'!$AE$2:$AG$10000,MATCH(Z1435,'CAMD Facility Data 2023'!$AE$2:$AE$10000,0),3),"")</f>
        <v/>
      </c>
      <c r="AD1435" s="20">
        <f t="shared" si="67"/>
        <v>2.6186401120273843</v>
      </c>
      <c r="AE1435" s="25">
        <f t="shared" si="68"/>
        <v>6.0884409562332467E-3</v>
      </c>
    </row>
    <row r="1436" spans="1:31" x14ac:dyDescent="0.2">
      <c r="A1436" s="1" t="s">
        <v>921</v>
      </c>
      <c r="B1436" s="1" t="s">
        <v>3560</v>
      </c>
      <c r="C1436" s="1">
        <v>6124</v>
      </c>
      <c r="D1436" s="1" t="s">
        <v>109</v>
      </c>
      <c r="F1436" s="1">
        <v>2023</v>
      </c>
      <c r="G1436" s="5">
        <v>84</v>
      </c>
      <c r="H1436" s="5">
        <v>84</v>
      </c>
      <c r="I1436" s="5">
        <v>3962</v>
      </c>
      <c r="K1436" s="5">
        <v>0.193</v>
      </c>
      <c r="L1436" s="5">
        <v>9.7000000000000003E-3</v>
      </c>
      <c r="M1436" s="5">
        <v>2788.8</v>
      </c>
      <c r="N1436" s="6">
        <v>6.2899999999999998E-2</v>
      </c>
      <c r="O1436" s="5">
        <v>6.1219999999999999</v>
      </c>
      <c r="P1436" s="6">
        <v>0.38979999999999998</v>
      </c>
      <c r="Q1436" s="5">
        <v>44575.1</v>
      </c>
      <c r="R1436" s="1" t="s">
        <v>44</v>
      </c>
      <c r="S1436" s="1" t="s">
        <v>94</v>
      </c>
      <c r="T1436" s="1" t="s">
        <v>93</v>
      </c>
      <c r="V1436" s="1" t="s">
        <v>95</v>
      </c>
      <c r="Y1436" s="1" t="s">
        <v>952</v>
      </c>
      <c r="Z1436" s="1" t="str">
        <f t="shared" si="66"/>
        <v>6124 CT7</v>
      </c>
      <c r="AA1436" s="3">
        <f>IF(INDEX('CAMD Facility Data 2023'!$AA$2:$AE$10000,MATCH(Z1436,'CAMD Facility Data 2023'!$AE$2:$AE$10000,0),1)&gt;0,INDEX('CAMD Facility Data 2023'!$AA$2:$AE$10000,MATCH(Z1436,'CAMD Facility Data 2023'!$AE$2:$AE$10000,0),1),"")</f>
        <v>34451</v>
      </c>
      <c r="AB1436" s="5">
        <f>IF(INDEX('CAMD Facility Data 2023'!$AC$2:$AE$10000,MATCH(Z1436,'CAMD Facility Data 2023'!$AE$2:$AE$10000,0),1)&gt;0,INDEX('CAMD Facility Data 2023'!$AC$2:$AE$10000,MATCH(Z1436,'CAMD Facility Data 2023'!$AE$2:$AE$10000,0),1),"")</f>
        <v>1419</v>
      </c>
      <c r="AC1436" s="1" t="str">
        <f>IF(INDEX('CAMD Facility Data 2023'!$AE$2:$AG$10000,MATCH(Z1436,'CAMD Facility Data 2023'!$AE$2:$AE$10000,0),3)&gt;0,INDEX('CAMD Facility Data 2023'!$AE$2:$AG$10000,MATCH(Z1436,'CAMD Facility Data 2023'!$AE$2:$AE$10000,0),3),"")</f>
        <v/>
      </c>
      <c r="AD1436" s="20">
        <f t="shared" si="67"/>
        <v>3.0903584048460373</v>
      </c>
      <c r="AE1436" s="25">
        <f t="shared" si="68"/>
        <v>3.5859631678363756E-3</v>
      </c>
    </row>
    <row r="1437" spans="1:31" x14ac:dyDescent="0.2">
      <c r="A1437" s="1" t="s">
        <v>921</v>
      </c>
      <c r="B1437" s="1" t="s">
        <v>3560</v>
      </c>
      <c r="C1437" s="1">
        <v>6124</v>
      </c>
      <c r="D1437" s="1" t="s">
        <v>111</v>
      </c>
      <c r="F1437" s="1">
        <v>2023</v>
      </c>
      <c r="G1437" s="5">
        <v>55</v>
      </c>
      <c r="H1437" s="5">
        <v>55</v>
      </c>
      <c r="I1437" s="5">
        <v>2554</v>
      </c>
      <c r="K1437" s="5">
        <v>8.3000000000000004E-2</v>
      </c>
      <c r="L1437" s="5">
        <v>7.1999999999999998E-3</v>
      </c>
      <c r="M1437" s="5">
        <v>1634.4</v>
      </c>
      <c r="N1437" s="6">
        <v>6.1800000000000001E-2</v>
      </c>
      <c r="O1437" s="5">
        <v>3.3130000000000002</v>
      </c>
      <c r="P1437" s="6">
        <v>0.35570000000000002</v>
      </c>
      <c r="Q1437" s="5">
        <v>26587.1</v>
      </c>
      <c r="R1437" s="1" t="s">
        <v>44</v>
      </c>
      <c r="S1437" s="1" t="s">
        <v>94</v>
      </c>
      <c r="T1437" s="1" t="s">
        <v>93</v>
      </c>
      <c r="V1437" s="1" t="s">
        <v>95</v>
      </c>
      <c r="Y1437" s="1" t="s">
        <v>952</v>
      </c>
      <c r="Z1437" s="1" t="str">
        <f t="shared" si="66"/>
        <v>6124 CT8</v>
      </c>
      <c r="AA1437" s="3">
        <f>IF(INDEX('CAMD Facility Data 2023'!$AA$2:$AE$10000,MATCH(Z1437,'CAMD Facility Data 2023'!$AE$2:$AE$10000,0),1)&gt;0,INDEX('CAMD Facility Data 2023'!$AA$2:$AE$10000,MATCH(Z1437,'CAMD Facility Data 2023'!$AE$2:$AE$10000,0),1),"")</f>
        <v>34393</v>
      </c>
      <c r="AB1437" s="5">
        <f>IF(INDEX('CAMD Facility Data 2023'!$AC$2:$AE$10000,MATCH(Z1437,'CAMD Facility Data 2023'!$AE$2:$AE$10000,0),1)&gt;0,INDEX('CAMD Facility Data 2023'!$AC$2:$AE$10000,MATCH(Z1437,'CAMD Facility Data 2023'!$AE$2:$AE$10000,0),1),"")</f>
        <v>1419</v>
      </c>
      <c r="AC1437" s="1" t="str">
        <f>IF(INDEX('CAMD Facility Data 2023'!$AE$2:$AG$10000,MATCH(Z1437,'CAMD Facility Data 2023'!$AE$2:$AE$10000,0),3)&gt;0,INDEX('CAMD Facility Data 2023'!$AE$2:$AG$10000,MATCH(Z1437,'CAMD Facility Data 2023'!$AE$2:$AE$10000,0),3),"")</f>
        <v/>
      </c>
      <c r="AD1437" s="20">
        <f t="shared" si="67"/>
        <v>2.5943617854346122</v>
      </c>
      <c r="AE1437" s="25">
        <f t="shared" si="68"/>
        <v>2.1388703859235875E-3</v>
      </c>
    </row>
    <row r="1438" spans="1:31" x14ac:dyDescent="0.2">
      <c r="A1438" s="1" t="s">
        <v>1071</v>
      </c>
      <c r="B1438" s="1" t="s">
        <v>3571</v>
      </c>
      <c r="C1438" s="1">
        <v>6137</v>
      </c>
      <c r="D1438" s="1">
        <v>1</v>
      </c>
      <c r="F1438" s="1">
        <v>2023</v>
      </c>
      <c r="G1438" s="5">
        <v>4925</v>
      </c>
      <c r="H1438" s="5">
        <v>4901.74</v>
      </c>
      <c r="I1438" s="5">
        <v>875876.14</v>
      </c>
      <c r="K1438" s="5">
        <v>1248.3320000000001</v>
      </c>
      <c r="L1438" s="5">
        <v>0.26829999999999998</v>
      </c>
      <c r="M1438" s="5">
        <v>951917.92799999996</v>
      </c>
      <c r="N1438" s="6">
        <v>0.10299999999999999</v>
      </c>
      <c r="O1438" s="5">
        <v>483.94499999999999</v>
      </c>
      <c r="P1438" s="6">
        <v>0.1046</v>
      </c>
      <c r="Q1438" s="5">
        <v>9277955.7880000006</v>
      </c>
      <c r="R1438" s="1" t="s">
        <v>55</v>
      </c>
      <c r="T1438" s="1" t="s">
        <v>89</v>
      </c>
      <c r="U1438" s="1" t="s">
        <v>3574</v>
      </c>
      <c r="V1438" s="1" t="s">
        <v>223</v>
      </c>
      <c r="W1438" s="1" t="s">
        <v>232</v>
      </c>
      <c r="X1438" s="1" t="s">
        <v>1151</v>
      </c>
      <c r="Y1438" s="1" t="s">
        <v>1005</v>
      </c>
      <c r="Z1438" s="1" t="str">
        <f t="shared" si="66"/>
        <v>6137 1</v>
      </c>
      <c r="AA1438" s="3">
        <f>IF(INDEX('CAMD Facility Data 2023'!$AA$2:$AE$10000,MATCH(Z1438,'CAMD Facility Data 2023'!$AE$2:$AE$10000,0),1)&gt;0,INDEX('CAMD Facility Data 2023'!$AA$2:$AE$10000,MATCH(Z1438,'CAMD Facility Data 2023'!$AE$2:$AE$10000,0),1),"")</f>
        <v>28964</v>
      </c>
      <c r="AB1438" s="5">
        <f>IF(INDEX('CAMD Facility Data 2023'!$AC$2:$AE$10000,MATCH(Z1438,'CAMD Facility Data 2023'!$AE$2:$AE$10000,0),1)&gt;0,INDEX('CAMD Facility Data 2023'!$AC$2:$AE$10000,MATCH(Z1438,'CAMD Facility Data 2023'!$AE$2:$AE$10000,0),1),"")</f>
        <v>3632</v>
      </c>
      <c r="AC1438" s="1" t="str">
        <f>IF(INDEX('CAMD Facility Data 2023'!$AE$2:$AG$10000,MATCH(Z1438,'CAMD Facility Data 2023'!$AE$2:$AE$10000,0),3)&gt;0,INDEX('CAMD Facility Data 2023'!$AE$2:$AG$10000,MATCH(Z1438,'CAMD Facility Data 2023'!$AE$2:$AE$10000,0),3),"")</f>
        <v>Y</v>
      </c>
      <c r="AD1438" s="20">
        <f t="shared" si="67"/>
        <v>1.1050535067663791</v>
      </c>
      <c r="AE1438" s="25">
        <f t="shared" si="68"/>
        <v>0.29160995954277558</v>
      </c>
    </row>
    <row r="1439" spans="1:31" x14ac:dyDescent="0.2">
      <c r="A1439" s="1" t="s">
        <v>1071</v>
      </c>
      <c r="B1439" s="1" t="s">
        <v>3571</v>
      </c>
      <c r="C1439" s="1">
        <v>6137</v>
      </c>
      <c r="D1439" s="1">
        <v>2</v>
      </c>
      <c r="F1439" s="1">
        <v>2023</v>
      </c>
      <c r="G1439" s="5">
        <v>6058</v>
      </c>
      <c r="H1439" s="5">
        <v>6048.53</v>
      </c>
      <c r="I1439" s="5">
        <v>1126251.4099999999</v>
      </c>
      <c r="K1439" s="5">
        <v>1469.4110000000001</v>
      </c>
      <c r="L1439" s="5">
        <v>0.25519999999999998</v>
      </c>
      <c r="M1439" s="5">
        <v>1191010.568</v>
      </c>
      <c r="N1439" s="6">
        <v>0.10299999999999999</v>
      </c>
      <c r="O1439" s="5">
        <v>615.29499999999996</v>
      </c>
      <c r="P1439" s="6">
        <v>0.1055</v>
      </c>
      <c r="Q1439" s="5">
        <v>11608285.063999999</v>
      </c>
      <c r="R1439" s="1" t="s">
        <v>55</v>
      </c>
      <c r="T1439" s="1" t="s">
        <v>89</v>
      </c>
      <c r="U1439" s="1" t="s">
        <v>3574</v>
      </c>
      <c r="V1439" s="1" t="s">
        <v>223</v>
      </c>
      <c r="W1439" s="1" t="s">
        <v>58</v>
      </c>
      <c r="X1439" s="1" t="s">
        <v>1151</v>
      </c>
      <c r="Y1439" s="1" t="s">
        <v>1005</v>
      </c>
      <c r="Z1439" s="1" t="str">
        <f t="shared" si="66"/>
        <v>6137 2</v>
      </c>
      <c r="AA1439" s="3">
        <f>IF(INDEX('CAMD Facility Data 2023'!$AA$2:$AE$10000,MATCH(Z1439,'CAMD Facility Data 2023'!$AE$2:$AE$10000,0),1)&gt;0,INDEX('CAMD Facility Data 2023'!$AA$2:$AE$10000,MATCH(Z1439,'CAMD Facility Data 2023'!$AE$2:$AE$10000,0),1),"")</f>
        <v>30731</v>
      </c>
      <c r="AB1439" s="5">
        <f>IF(INDEX('CAMD Facility Data 2023'!$AC$2:$AE$10000,MATCH(Z1439,'CAMD Facility Data 2023'!$AE$2:$AE$10000,0),1)&gt;0,INDEX('CAMD Facility Data 2023'!$AC$2:$AE$10000,MATCH(Z1439,'CAMD Facility Data 2023'!$AE$2:$AE$10000,0),1),"")</f>
        <v>4469</v>
      </c>
      <c r="AC1439" s="1" t="str">
        <f>IF(INDEX('CAMD Facility Data 2023'!$AE$2:$AG$10000,MATCH(Z1439,'CAMD Facility Data 2023'!$AE$2:$AE$10000,0),3)&gt;0,INDEX('CAMD Facility Data 2023'!$AE$2:$AG$10000,MATCH(Z1439,'CAMD Facility Data 2023'!$AE$2:$AE$10000,0),3),"")</f>
        <v>Y</v>
      </c>
      <c r="AD1439" s="20">
        <f t="shared" si="67"/>
        <v>1.0926423612646132</v>
      </c>
      <c r="AE1439" s="25">
        <f t="shared" si="68"/>
        <v>0.29651973524360098</v>
      </c>
    </row>
    <row r="1440" spans="1:31" x14ac:dyDescent="0.2">
      <c r="A1440" s="1" t="s">
        <v>1071</v>
      </c>
      <c r="B1440" s="1" t="s">
        <v>3571</v>
      </c>
      <c r="C1440" s="1">
        <v>6137</v>
      </c>
      <c r="D1440" s="1">
        <v>3</v>
      </c>
      <c r="F1440" s="1">
        <v>2023</v>
      </c>
      <c r="G1440" s="5">
        <v>422</v>
      </c>
      <c r="H1440" s="5">
        <v>339.88</v>
      </c>
      <c r="I1440" s="5">
        <v>13996.2</v>
      </c>
      <c r="K1440" s="5">
        <v>0.49299999999999999</v>
      </c>
      <c r="L1440" s="5">
        <v>4.8999999999999998E-3</v>
      </c>
      <c r="M1440" s="5">
        <v>10901.977000000001</v>
      </c>
      <c r="N1440" s="6">
        <v>5.9700000000000003E-2</v>
      </c>
      <c r="O1440" s="5">
        <v>14.750999999999999</v>
      </c>
      <c r="P1440" s="6">
        <v>0.15</v>
      </c>
      <c r="Q1440" s="5">
        <v>181572.98300000001</v>
      </c>
      <c r="R1440" s="1" t="s">
        <v>44</v>
      </c>
      <c r="S1440" s="1" t="s">
        <v>94</v>
      </c>
      <c r="T1440" s="1" t="s">
        <v>93</v>
      </c>
      <c r="V1440" s="1" t="s">
        <v>95</v>
      </c>
      <c r="Y1440" s="1" t="s">
        <v>461</v>
      </c>
      <c r="Z1440" s="1" t="str">
        <f t="shared" si="66"/>
        <v>6137 3</v>
      </c>
      <c r="AA1440" s="3">
        <f>IF(INDEX('CAMD Facility Data 2023'!$AA$2:$AE$10000,MATCH(Z1440,'CAMD Facility Data 2023'!$AE$2:$AE$10000,0),1)&gt;0,INDEX('CAMD Facility Data 2023'!$AA$2:$AE$10000,MATCH(Z1440,'CAMD Facility Data 2023'!$AE$2:$AE$10000,0),1),"")</f>
        <v>33392</v>
      </c>
      <c r="AB1440" s="5">
        <f>IF(INDEX('CAMD Facility Data 2023'!$AC$2:$AE$10000,MATCH(Z1440,'CAMD Facility Data 2023'!$AE$2:$AE$10000,0),1)&gt;0,INDEX('CAMD Facility Data 2023'!$AC$2:$AE$10000,MATCH(Z1440,'CAMD Facility Data 2023'!$AE$2:$AE$10000,0),1),"")</f>
        <v>1108</v>
      </c>
      <c r="AC1440" s="1" t="str">
        <f>IF(INDEX('CAMD Facility Data 2023'!$AE$2:$AG$10000,MATCH(Z1440,'CAMD Facility Data 2023'!$AE$2:$AE$10000,0),3)&gt;0,INDEX('CAMD Facility Data 2023'!$AE$2:$AG$10000,MATCH(Z1440,'CAMD Facility Data 2023'!$AE$2:$AE$10000,0),3),"")</f>
        <v/>
      </c>
      <c r="AD1440" s="20">
        <f t="shared" si="67"/>
        <v>2.1078578471299352</v>
      </c>
      <c r="AE1440" s="25">
        <f t="shared" si="68"/>
        <v>1.8707138515239932E-2</v>
      </c>
    </row>
    <row r="1441" spans="1:31" x14ac:dyDescent="0.2">
      <c r="A1441" s="1" t="s">
        <v>1071</v>
      </c>
      <c r="B1441" s="1" t="s">
        <v>3571</v>
      </c>
      <c r="C1441" s="1">
        <v>6137</v>
      </c>
      <c r="D1441" s="1">
        <v>4</v>
      </c>
      <c r="F1441" s="1">
        <v>2023</v>
      </c>
      <c r="G1441" s="5">
        <v>414</v>
      </c>
      <c r="H1441" s="5">
        <v>335.41</v>
      </c>
      <c r="I1441" s="5">
        <v>17011.009999999998</v>
      </c>
      <c r="K1441" s="5">
        <v>7.0000000000000007E-2</v>
      </c>
      <c r="L1441" s="5">
        <v>1E-3</v>
      </c>
      <c r="M1441" s="5">
        <v>13814.578</v>
      </c>
      <c r="N1441" s="6">
        <v>5.91E-2</v>
      </c>
      <c r="O1441" s="5">
        <v>2.9769999999999999</v>
      </c>
      <c r="P1441" s="6">
        <v>3.7400000000000003E-2</v>
      </c>
      <c r="Q1441" s="5">
        <v>232459.54</v>
      </c>
      <c r="R1441" s="1" t="s">
        <v>44</v>
      </c>
      <c r="T1441" s="1" t="s">
        <v>93</v>
      </c>
      <c r="V1441" s="1" t="s">
        <v>183</v>
      </c>
      <c r="Y1441" s="1" t="s">
        <v>461</v>
      </c>
      <c r="Z1441" s="1" t="str">
        <f t="shared" si="66"/>
        <v>6137 4</v>
      </c>
      <c r="AA1441" s="3">
        <f>IF(INDEX('CAMD Facility Data 2023'!$AA$2:$AE$10000,MATCH(Z1441,'CAMD Facility Data 2023'!$AE$2:$AE$10000,0),1)&gt;0,INDEX('CAMD Facility Data 2023'!$AA$2:$AE$10000,MATCH(Z1441,'CAMD Facility Data 2023'!$AE$2:$AE$10000,0),1),"")</f>
        <v>37438</v>
      </c>
      <c r="AB1441" s="5">
        <f>IF(INDEX('CAMD Facility Data 2023'!$AC$2:$AE$10000,MATCH(Z1441,'CAMD Facility Data 2023'!$AE$2:$AE$10000,0),1)&gt;0,INDEX('CAMD Facility Data 2023'!$AC$2:$AE$10000,MATCH(Z1441,'CAMD Facility Data 2023'!$AE$2:$AE$10000,0),1),"")</f>
        <v>1406</v>
      </c>
      <c r="AC1441" s="1" t="str">
        <f>IF(INDEX('CAMD Facility Data 2023'!$AE$2:$AG$10000,MATCH(Z1441,'CAMD Facility Data 2023'!$AE$2:$AE$10000,0),3)&gt;0,INDEX('CAMD Facility Data 2023'!$AE$2:$AG$10000,MATCH(Z1441,'CAMD Facility Data 2023'!$AE$2:$AE$10000,0),3),"")</f>
        <v/>
      </c>
      <c r="AD1441" s="20">
        <f t="shared" si="67"/>
        <v>0.35000861206947737</v>
      </c>
      <c r="AE1441" s="25">
        <f t="shared" si="68"/>
        <v>1.8873739095981345E-2</v>
      </c>
    </row>
    <row r="1442" spans="1:31" x14ac:dyDescent="0.2">
      <c r="A1442" s="1" t="s">
        <v>348</v>
      </c>
      <c r="B1442" s="1" t="s">
        <v>3577</v>
      </c>
      <c r="C1442" s="1">
        <v>6138</v>
      </c>
      <c r="D1442" s="1">
        <v>1</v>
      </c>
      <c r="F1442" s="1">
        <v>2023</v>
      </c>
      <c r="G1442" s="5">
        <v>7821</v>
      </c>
      <c r="H1442" s="5">
        <v>7808.42</v>
      </c>
      <c r="I1442" s="5">
        <v>2276365.06</v>
      </c>
      <c r="K1442" s="5">
        <v>642.98699999999997</v>
      </c>
      <c r="L1442" s="5">
        <v>5.6899999999999999E-2</v>
      </c>
      <c r="M1442" s="5">
        <v>2491950.0950000002</v>
      </c>
      <c r="N1442" s="6">
        <v>0.105</v>
      </c>
      <c r="O1442" s="5">
        <v>2574.732</v>
      </c>
      <c r="P1442" s="6">
        <v>0.218</v>
      </c>
      <c r="Q1442" s="5">
        <v>23759994.669</v>
      </c>
      <c r="R1442" s="1" t="s">
        <v>55</v>
      </c>
      <c r="T1442" s="1" t="s">
        <v>89</v>
      </c>
      <c r="U1442" s="1" t="s">
        <v>212</v>
      </c>
      <c r="V1442" s="1" t="s">
        <v>289</v>
      </c>
      <c r="W1442" s="1" t="s">
        <v>123</v>
      </c>
      <c r="X1442" s="1" t="s">
        <v>214</v>
      </c>
      <c r="Y1442" s="1" t="s">
        <v>337</v>
      </c>
      <c r="Z1442" s="1" t="str">
        <f t="shared" si="66"/>
        <v>6138 1</v>
      </c>
      <c r="AA1442" s="3">
        <f>IF(INDEX('CAMD Facility Data 2023'!$AA$2:$AE$10000,MATCH(Z1442,'CAMD Facility Data 2023'!$AE$2:$AE$10000,0),1)&gt;0,INDEX('CAMD Facility Data 2023'!$AA$2:$AE$10000,MATCH(Z1442,'CAMD Facility Data 2023'!$AE$2:$AE$10000,0),1),"")</f>
        <v>28520</v>
      </c>
      <c r="AB1442" s="5">
        <f>IF(INDEX('CAMD Facility Data 2023'!$AC$2:$AE$10000,MATCH(Z1442,'CAMD Facility Data 2023'!$AE$2:$AE$10000,0),1)&gt;0,INDEX('CAMD Facility Data 2023'!$AC$2:$AE$10000,MATCH(Z1442,'CAMD Facility Data 2023'!$AE$2:$AE$10000,0),1),"")</f>
        <v>6324</v>
      </c>
      <c r="AC1442" s="1" t="str">
        <f>IF(INDEX('CAMD Facility Data 2023'!$AE$2:$AG$10000,MATCH(Z1442,'CAMD Facility Data 2023'!$AE$2:$AE$10000,0),3)&gt;0,INDEX('CAMD Facility Data 2023'!$AE$2:$AG$10000,MATCH(Z1442,'CAMD Facility Data 2023'!$AE$2:$AE$10000,0),3),"")</f>
        <v/>
      </c>
      <c r="AD1442" s="20">
        <f t="shared" si="67"/>
        <v>2.2621433136915217</v>
      </c>
      <c r="AE1442" s="25">
        <f t="shared" si="68"/>
        <v>0.42889439572448512</v>
      </c>
    </row>
    <row r="1443" spans="1:31" x14ac:dyDescent="0.2">
      <c r="A1443" s="1" t="s">
        <v>383</v>
      </c>
      <c r="B1443" s="1" t="s">
        <v>3582</v>
      </c>
      <c r="C1443" s="1">
        <v>6139</v>
      </c>
      <c r="D1443" s="1">
        <v>1</v>
      </c>
      <c r="F1443" s="1">
        <v>2023</v>
      </c>
      <c r="G1443" s="5">
        <v>6253</v>
      </c>
      <c r="H1443" s="5">
        <v>6246.99</v>
      </c>
      <c r="I1443" s="5">
        <v>2096619.99</v>
      </c>
      <c r="K1443" s="5">
        <v>5239.4120000000003</v>
      </c>
      <c r="L1443" s="5">
        <v>0.44969999999999999</v>
      </c>
      <c r="M1443" s="5">
        <v>2402954.9479999999</v>
      </c>
      <c r="N1443" s="6">
        <v>0.105</v>
      </c>
      <c r="O1443" s="5">
        <v>2079.0770000000002</v>
      </c>
      <c r="P1443" s="6">
        <v>0.17699999999999999</v>
      </c>
      <c r="Q1443" s="5">
        <v>22911483.723000001</v>
      </c>
      <c r="R1443" s="1" t="s">
        <v>55</v>
      </c>
      <c r="T1443" s="1" t="s">
        <v>89</v>
      </c>
      <c r="V1443" s="1" t="s">
        <v>289</v>
      </c>
      <c r="W1443" s="1" t="s">
        <v>123</v>
      </c>
      <c r="X1443" s="1" t="s">
        <v>214</v>
      </c>
      <c r="Y1443" s="1" t="s">
        <v>386</v>
      </c>
      <c r="Z1443" s="1" t="str">
        <f t="shared" si="66"/>
        <v>6139 1</v>
      </c>
      <c r="AA1443" s="3">
        <f>IF(INDEX('CAMD Facility Data 2023'!$AA$2:$AE$10000,MATCH(Z1443,'CAMD Facility Data 2023'!$AE$2:$AE$10000,0),1)&gt;0,INDEX('CAMD Facility Data 2023'!$AA$2:$AE$10000,MATCH(Z1443,'CAMD Facility Data 2023'!$AE$2:$AE$10000,0),1),"")</f>
        <v>28215</v>
      </c>
      <c r="AB1443" s="5">
        <f>IF(INDEX('CAMD Facility Data 2023'!$AC$2:$AE$10000,MATCH(Z1443,'CAMD Facility Data 2023'!$AE$2:$AE$10000,0),1)&gt;0,INDEX('CAMD Facility Data 2023'!$AC$2:$AE$10000,MATCH(Z1443,'CAMD Facility Data 2023'!$AE$2:$AE$10000,0),1),"")</f>
        <v>6896</v>
      </c>
      <c r="AC1443" s="1" t="str">
        <f>IF(INDEX('CAMD Facility Data 2023'!$AE$2:$AG$10000,MATCH(Z1443,'CAMD Facility Data 2023'!$AE$2:$AE$10000,0),3)&gt;0,INDEX('CAMD Facility Data 2023'!$AE$2:$AG$10000,MATCH(Z1443,'CAMD Facility Data 2023'!$AE$2:$AE$10000,0),3),"")</f>
        <v/>
      </c>
      <c r="AD1443" s="20">
        <f t="shared" si="67"/>
        <v>1.983265455749089</v>
      </c>
      <c r="AE1443" s="25">
        <f t="shared" si="68"/>
        <v>0.37927293770659187</v>
      </c>
    </row>
    <row r="1444" spans="1:31" x14ac:dyDescent="0.2">
      <c r="A1444" s="1" t="s">
        <v>383</v>
      </c>
      <c r="B1444" s="1" t="s">
        <v>3582</v>
      </c>
      <c r="C1444" s="1">
        <v>6139</v>
      </c>
      <c r="D1444" s="1">
        <v>3</v>
      </c>
      <c r="F1444" s="1">
        <v>2023</v>
      </c>
      <c r="G1444" s="5">
        <v>5453</v>
      </c>
      <c r="H1444" s="5">
        <v>5441.44</v>
      </c>
      <c r="I1444" s="5">
        <v>1760180.24</v>
      </c>
      <c r="K1444" s="5">
        <v>4256.2610000000004</v>
      </c>
      <c r="L1444" s="5">
        <v>0.44090000000000001</v>
      </c>
      <c r="M1444" s="5">
        <v>1969204.226</v>
      </c>
      <c r="N1444" s="6">
        <v>0.105</v>
      </c>
      <c r="O1444" s="5">
        <v>1937.7049999999999</v>
      </c>
      <c r="P1444" s="6">
        <v>0.2082</v>
      </c>
      <c r="Q1444" s="5">
        <v>18775756.434</v>
      </c>
      <c r="R1444" s="1" t="s">
        <v>55</v>
      </c>
      <c r="T1444" s="1" t="s">
        <v>89</v>
      </c>
      <c r="V1444" s="1" t="s">
        <v>289</v>
      </c>
      <c r="W1444" s="1" t="s">
        <v>123</v>
      </c>
      <c r="X1444" s="1" t="s">
        <v>214</v>
      </c>
      <c r="Y1444" s="1" t="s">
        <v>386</v>
      </c>
      <c r="Z1444" s="1" t="str">
        <f t="shared" si="66"/>
        <v>6139 3</v>
      </c>
      <c r="AA1444" s="3">
        <f>IF(INDEX('CAMD Facility Data 2023'!$AA$2:$AE$10000,MATCH(Z1444,'CAMD Facility Data 2023'!$AE$2:$AE$10000,0),1)&gt;0,INDEX('CAMD Facility Data 2023'!$AA$2:$AE$10000,MATCH(Z1444,'CAMD Facility Data 2023'!$AE$2:$AE$10000,0),1),"")</f>
        <v>29992</v>
      </c>
      <c r="AB1444" s="5">
        <f>IF(INDEX('CAMD Facility Data 2023'!$AC$2:$AE$10000,MATCH(Z1444,'CAMD Facility Data 2023'!$AE$2:$AE$10000,0),1)&gt;0,INDEX('CAMD Facility Data 2023'!$AC$2:$AE$10000,MATCH(Z1444,'CAMD Facility Data 2023'!$AE$2:$AE$10000,0),1),"")</f>
        <v>6909</v>
      </c>
      <c r="AC1444" s="1" t="str">
        <f>IF(INDEX('CAMD Facility Data 2023'!$AE$2:$AG$10000,MATCH(Z1444,'CAMD Facility Data 2023'!$AE$2:$AE$10000,0),3)&gt;0,INDEX('CAMD Facility Data 2023'!$AE$2:$AG$10000,MATCH(Z1444,'CAMD Facility Data 2023'!$AE$2:$AE$10000,0),3),"")</f>
        <v/>
      </c>
      <c r="AD1444" s="20">
        <f t="shared" si="67"/>
        <v>2.2017120246731094</v>
      </c>
      <c r="AE1444" s="25">
        <f t="shared" si="68"/>
        <v>0.31022596484236364</v>
      </c>
    </row>
    <row r="1445" spans="1:31" x14ac:dyDescent="0.2">
      <c r="A1445" s="1" t="s">
        <v>383</v>
      </c>
      <c r="B1445" s="1" t="s">
        <v>3587</v>
      </c>
      <c r="C1445" s="1">
        <v>6146</v>
      </c>
      <c r="D1445" s="1">
        <v>1</v>
      </c>
      <c r="F1445" s="1">
        <v>2023</v>
      </c>
      <c r="G1445" s="5">
        <v>7720</v>
      </c>
      <c r="H1445" s="5">
        <v>7713.61</v>
      </c>
      <c r="I1445" s="5">
        <v>4400579.29</v>
      </c>
      <c r="K1445" s="5">
        <v>4190.201</v>
      </c>
      <c r="L1445" s="5">
        <v>0.1517</v>
      </c>
      <c r="M1445" s="5">
        <v>4889416.2860000003</v>
      </c>
      <c r="N1445" s="6">
        <v>0.105</v>
      </c>
      <c r="O1445" s="5">
        <v>3200.12</v>
      </c>
      <c r="P1445" s="6">
        <v>0.14369999999999999</v>
      </c>
      <c r="Q1445" s="5">
        <v>46619126.145999998</v>
      </c>
      <c r="R1445" s="1" t="s">
        <v>55</v>
      </c>
      <c r="T1445" s="1" t="s">
        <v>43</v>
      </c>
      <c r="U1445" s="1" t="s">
        <v>56</v>
      </c>
      <c r="V1445" s="1" t="s">
        <v>242</v>
      </c>
      <c r="W1445" s="1" t="s">
        <v>58</v>
      </c>
      <c r="X1445" s="1" t="s">
        <v>344</v>
      </c>
      <c r="Y1445" s="1" t="s">
        <v>386</v>
      </c>
      <c r="Z1445" s="1" t="str">
        <f t="shared" si="66"/>
        <v>6146 1</v>
      </c>
      <c r="AA1445" s="3">
        <f>IF(INDEX('CAMD Facility Data 2023'!$AA$2:$AE$10000,MATCH(Z1445,'CAMD Facility Data 2023'!$AE$2:$AE$10000,0),1)&gt;0,INDEX('CAMD Facility Data 2023'!$AA$2:$AE$10000,MATCH(Z1445,'CAMD Facility Data 2023'!$AE$2:$AE$10000,0),1),"")</f>
        <v>28261</v>
      </c>
      <c r="AB1445" s="5">
        <f>IF(INDEX('CAMD Facility Data 2023'!$AC$2:$AE$10000,MATCH(Z1445,'CAMD Facility Data 2023'!$AE$2:$AE$10000,0),1)&gt;0,INDEX('CAMD Facility Data 2023'!$AC$2:$AE$10000,MATCH(Z1445,'CAMD Facility Data 2023'!$AE$2:$AE$10000,0),1),"")</f>
        <v>9210</v>
      </c>
      <c r="AC1445" s="1" t="str">
        <f>IF(INDEX('CAMD Facility Data 2023'!$AE$2:$AG$10000,MATCH(Z1445,'CAMD Facility Data 2023'!$AE$2:$AE$10000,0),3)&gt;0,INDEX('CAMD Facility Data 2023'!$AE$2:$AG$10000,MATCH(Z1445,'CAMD Facility Data 2023'!$AE$2:$AE$10000,0),3),"")</f>
        <v/>
      </c>
      <c r="AD1445" s="20">
        <f t="shared" si="67"/>
        <v>1.4544085172022887</v>
      </c>
      <c r="AE1445" s="25">
        <f t="shared" si="68"/>
        <v>0.57783040751317549</v>
      </c>
    </row>
    <row r="1446" spans="1:31" x14ac:dyDescent="0.2">
      <c r="A1446" s="1" t="s">
        <v>383</v>
      </c>
      <c r="B1446" s="1" t="s">
        <v>3587</v>
      </c>
      <c r="C1446" s="1">
        <v>6146</v>
      </c>
      <c r="D1446" s="1">
        <v>2</v>
      </c>
      <c r="F1446" s="1">
        <v>2023</v>
      </c>
      <c r="G1446" s="5">
        <v>8254</v>
      </c>
      <c r="H1446" s="5">
        <v>8245.57</v>
      </c>
      <c r="I1446" s="5">
        <v>4436025.28</v>
      </c>
      <c r="K1446" s="5">
        <v>4633.1570000000002</v>
      </c>
      <c r="L1446" s="5">
        <v>0.17330000000000001</v>
      </c>
      <c r="M1446" s="5">
        <v>4598687.2060000002</v>
      </c>
      <c r="N1446" s="6">
        <v>0.105</v>
      </c>
      <c r="O1446" s="5">
        <v>2856.3850000000002</v>
      </c>
      <c r="P1446" s="6">
        <v>0.12790000000000001</v>
      </c>
      <c r="Q1446" s="5">
        <v>43847126.509000003</v>
      </c>
      <c r="R1446" s="1" t="s">
        <v>55</v>
      </c>
      <c r="T1446" s="1" t="s">
        <v>43</v>
      </c>
      <c r="U1446" s="1" t="s">
        <v>56</v>
      </c>
      <c r="V1446" s="1" t="s">
        <v>242</v>
      </c>
      <c r="W1446" s="1" t="s">
        <v>58</v>
      </c>
      <c r="Y1446" s="1" t="s">
        <v>386</v>
      </c>
      <c r="Z1446" s="1" t="str">
        <f t="shared" si="66"/>
        <v>6146 2</v>
      </c>
      <c r="AA1446" s="3">
        <f>IF(INDEX('CAMD Facility Data 2023'!$AA$2:$AE$10000,MATCH(Z1446,'CAMD Facility Data 2023'!$AE$2:$AE$10000,0),1)&gt;0,INDEX('CAMD Facility Data 2023'!$AA$2:$AE$10000,MATCH(Z1446,'CAMD Facility Data 2023'!$AE$2:$AE$10000,0),1),"")</f>
        <v>28633</v>
      </c>
      <c r="AB1446" s="5">
        <f>IF(INDEX('CAMD Facility Data 2023'!$AC$2:$AE$10000,MATCH(Z1446,'CAMD Facility Data 2023'!$AE$2:$AE$10000,0),1)&gt;0,INDEX('CAMD Facility Data 2023'!$AC$2:$AE$10000,MATCH(Z1446,'CAMD Facility Data 2023'!$AE$2:$AE$10000,0),1),"")</f>
        <v>9257</v>
      </c>
      <c r="AC1446" s="1" t="str">
        <f>IF(INDEX('CAMD Facility Data 2023'!$AE$2:$AG$10000,MATCH(Z1446,'CAMD Facility Data 2023'!$AE$2:$AE$10000,0),3)&gt;0,INDEX('CAMD Facility Data 2023'!$AE$2:$AG$10000,MATCH(Z1446,'CAMD Facility Data 2023'!$AE$2:$AE$10000,0),3),"")</f>
        <v/>
      </c>
      <c r="AD1446" s="20">
        <f t="shared" si="67"/>
        <v>1.2878127691824155</v>
      </c>
      <c r="AE1446" s="25">
        <f t="shared" si="68"/>
        <v>0.54071294571354866</v>
      </c>
    </row>
    <row r="1447" spans="1:31" x14ac:dyDescent="0.2">
      <c r="A1447" s="1" t="s">
        <v>383</v>
      </c>
      <c r="B1447" s="1" t="s">
        <v>3587</v>
      </c>
      <c r="C1447" s="1">
        <v>6146</v>
      </c>
      <c r="D1447" s="1">
        <v>3</v>
      </c>
      <c r="F1447" s="1">
        <v>2023</v>
      </c>
      <c r="G1447" s="5">
        <v>7145</v>
      </c>
      <c r="H1447" s="5">
        <v>7130.04</v>
      </c>
      <c r="I1447" s="5">
        <v>4189019.44</v>
      </c>
      <c r="K1447" s="5">
        <v>4473.8050000000003</v>
      </c>
      <c r="L1447" s="5">
        <v>0.17249999999999999</v>
      </c>
      <c r="M1447" s="5">
        <v>4497728.5710000005</v>
      </c>
      <c r="N1447" s="6">
        <v>0.10489999999999999</v>
      </c>
      <c r="O1447" s="5">
        <v>3082.2579999999998</v>
      </c>
      <c r="P1447" s="6">
        <v>0.14360000000000001</v>
      </c>
      <c r="Q1447" s="5">
        <v>42884523.184</v>
      </c>
      <c r="R1447" s="1" t="s">
        <v>55</v>
      </c>
      <c r="T1447" s="1" t="s">
        <v>43</v>
      </c>
      <c r="U1447" s="1" t="s">
        <v>56</v>
      </c>
      <c r="V1447" s="1" t="s">
        <v>242</v>
      </c>
      <c r="W1447" s="1" t="s">
        <v>58</v>
      </c>
      <c r="Y1447" s="1" t="s">
        <v>386</v>
      </c>
      <c r="Z1447" s="1" t="str">
        <f t="shared" si="66"/>
        <v>6146 3</v>
      </c>
      <c r="AA1447" s="3">
        <f>IF(INDEX('CAMD Facility Data 2023'!$AA$2:$AE$10000,MATCH(Z1447,'CAMD Facility Data 2023'!$AE$2:$AE$10000,0),1)&gt;0,INDEX('CAMD Facility Data 2023'!$AA$2:$AE$10000,MATCH(Z1447,'CAMD Facility Data 2023'!$AE$2:$AE$10000,0),1),"")</f>
        <v>28946</v>
      </c>
      <c r="AB1447" s="5">
        <f>IF(INDEX('CAMD Facility Data 2023'!$AC$2:$AE$10000,MATCH(Z1447,'CAMD Facility Data 2023'!$AE$2:$AE$10000,0),1)&gt;0,INDEX('CAMD Facility Data 2023'!$AC$2:$AE$10000,MATCH(Z1447,'CAMD Facility Data 2023'!$AE$2:$AE$10000,0),1),"")</f>
        <v>9484</v>
      </c>
      <c r="AC1447" s="1" t="str">
        <f>IF(INDEX('CAMD Facility Data 2023'!$AE$2:$AG$10000,MATCH(Z1447,'CAMD Facility Data 2023'!$AE$2:$AE$10000,0),3)&gt;0,INDEX('CAMD Facility Data 2023'!$AE$2:$AG$10000,MATCH(Z1447,'CAMD Facility Data 2023'!$AE$2:$AE$10000,0),3),"")</f>
        <v/>
      </c>
      <c r="AD1447" s="20">
        <f t="shared" si="67"/>
        <v>1.4715892557423893</v>
      </c>
      <c r="AE1447" s="25">
        <f t="shared" si="68"/>
        <v>0.51618447007119894</v>
      </c>
    </row>
    <row r="1448" spans="1:31" x14ac:dyDescent="0.2">
      <c r="A1448" s="1" t="s">
        <v>1755</v>
      </c>
      <c r="B1448" s="1" t="s">
        <v>3593</v>
      </c>
      <c r="C1448" s="1">
        <v>6155</v>
      </c>
      <c r="D1448" s="1">
        <v>1</v>
      </c>
      <c r="F1448" s="1">
        <v>2023</v>
      </c>
      <c r="G1448" s="5">
        <v>905</v>
      </c>
      <c r="H1448" s="5">
        <v>894.12</v>
      </c>
      <c r="I1448" s="5">
        <v>413675.78</v>
      </c>
      <c r="K1448" s="5">
        <v>947.26</v>
      </c>
      <c r="L1448" s="5">
        <v>0.4375</v>
      </c>
      <c r="M1448" s="5">
        <v>412162.484</v>
      </c>
      <c r="N1448" s="6">
        <v>0.1048</v>
      </c>
      <c r="O1448" s="5">
        <v>176.27500000000001</v>
      </c>
      <c r="P1448" s="6">
        <v>9.9599999999999994E-2</v>
      </c>
      <c r="Q1448" s="5">
        <v>3929846.04</v>
      </c>
      <c r="R1448" s="1" t="s">
        <v>55</v>
      </c>
      <c r="T1448" s="1" t="s">
        <v>43</v>
      </c>
      <c r="V1448" s="1" t="s">
        <v>213</v>
      </c>
      <c r="W1448" s="1" t="s">
        <v>58</v>
      </c>
      <c r="Y1448" s="1" t="s">
        <v>1188</v>
      </c>
      <c r="Z1448" s="1" t="str">
        <f t="shared" si="66"/>
        <v>6155 1</v>
      </c>
      <c r="AA1448" s="3">
        <f>IF(INDEX('CAMD Facility Data 2023'!$AA$2:$AE$10000,MATCH(Z1448,'CAMD Facility Data 2023'!$AE$2:$AE$10000,0),1)&gt;0,INDEX('CAMD Facility Data 2023'!$AA$2:$AE$10000,MATCH(Z1448,'CAMD Facility Data 2023'!$AE$2:$AE$10000,0),1),"")</f>
        <v>27791</v>
      </c>
      <c r="AB1448" s="5">
        <f>IF(INDEX('CAMD Facility Data 2023'!$AC$2:$AE$10000,MATCH(Z1448,'CAMD Facility Data 2023'!$AE$2:$AE$10000,0),1)&gt;0,INDEX('CAMD Facility Data 2023'!$AC$2:$AE$10000,MATCH(Z1448,'CAMD Facility Data 2023'!$AE$2:$AE$10000,0),1),"")</f>
        <v>5922</v>
      </c>
      <c r="AC1448" s="1" t="str">
        <f>IF(INDEX('CAMD Facility Data 2023'!$AE$2:$AG$10000,MATCH(Z1448,'CAMD Facility Data 2023'!$AE$2:$AE$10000,0),3)&gt;0,INDEX('CAMD Facility Data 2023'!$AE$2:$AG$10000,MATCH(Z1448,'CAMD Facility Data 2023'!$AE$2:$AE$10000,0),3),"")</f>
        <v/>
      </c>
      <c r="AD1448" s="20">
        <f t="shared" si="67"/>
        <v>0.85223746964349711</v>
      </c>
      <c r="AE1448" s="25">
        <f t="shared" si="68"/>
        <v>7.5753556508584202E-2</v>
      </c>
    </row>
    <row r="1449" spans="1:31" x14ac:dyDescent="0.2">
      <c r="A1449" s="1" t="s">
        <v>1755</v>
      </c>
      <c r="B1449" s="1" t="s">
        <v>3593</v>
      </c>
      <c r="C1449" s="1">
        <v>6155</v>
      </c>
      <c r="D1449" s="1">
        <v>2</v>
      </c>
      <c r="F1449" s="1">
        <v>2023</v>
      </c>
      <c r="G1449" s="5">
        <v>1044</v>
      </c>
      <c r="H1449" s="5">
        <v>1027.8599999999999</v>
      </c>
      <c r="I1449" s="5">
        <v>477359.97</v>
      </c>
      <c r="K1449" s="5">
        <v>1101.7860000000001</v>
      </c>
      <c r="L1449" s="5">
        <v>0.47010000000000002</v>
      </c>
      <c r="M1449" s="5">
        <v>449357.90600000002</v>
      </c>
      <c r="N1449" s="6">
        <v>0.10489999999999999</v>
      </c>
      <c r="O1449" s="5">
        <v>191.02099999999999</v>
      </c>
      <c r="P1449" s="6">
        <v>9.8299999999999998E-2</v>
      </c>
      <c r="Q1449" s="5">
        <v>4284491.892</v>
      </c>
      <c r="R1449" s="1" t="s">
        <v>55</v>
      </c>
      <c r="T1449" s="1" t="s">
        <v>43</v>
      </c>
      <c r="V1449" s="1" t="s">
        <v>213</v>
      </c>
      <c r="W1449" s="1" t="s">
        <v>58</v>
      </c>
      <c r="Y1449" s="1" t="s">
        <v>1188</v>
      </c>
      <c r="Z1449" s="1" t="str">
        <f t="shared" si="66"/>
        <v>6155 2</v>
      </c>
      <c r="AA1449" s="3">
        <f>IF(INDEX('CAMD Facility Data 2023'!$AA$2:$AE$10000,MATCH(Z1449,'CAMD Facility Data 2023'!$AE$2:$AE$10000,0),1)&gt;0,INDEX('CAMD Facility Data 2023'!$AA$2:$AE$10000,MATCH(Z1449,'CAMD Facility Data 2023'!$AE$2:$AE$10000,0),1),"")</f>
        <v>28157</v>
      </c>
      <c r="AB1449" s="5">
        <f>IF(INDEX('CAMD Facility Data 2023'!$AC$2:$AE$10000,MATCH(Z1449,'CAMD Facility Data 2023'!$AE$2:$AE$10000,0),1)&gt;0,INDEX('CAMD Facility Data 2023'!$AC$2:$AE$10000,MATCH(Z1449,'CAMD Facility Data 2023'!$AE$2:$AE$10000,0),1),"")</f>
        <v>5922</v>
      </c>
      <c r="AC1449" s="1" t="str">
        <f>IF(INDEX('CAMD Facility Data 2023'!$AE$2:$AG$10000,MATCH(Z1449,'CAMD Facility Data 2023'!$AE$2:$AE$10000,0),3)&gt;0,INDEX('CAMD Facility Data 2023'!$AE$2:$AG$10000,MATCH(Z1449,'CAMD Facility Data 2023'!$AE$2:$AE$10000,0),3),"")</f>
        <v/>
      </c>
      <c r="AD1449" s="20">
        <f t="shared" si="67"/>
        <v>0.80032265797234736</v>
      </c>
      <c r="AE1449" s="25">
        <f t="shared" si="68"/>
        <v>8.258987638385773E-2</v>
      </c>
    </row>
    <row r="1450" spans="1:31" x14ac:dyDescent="0.2">
      <c r="A1450" s="1" t="s">
        <v>577</v>
      </c>
      <c r="B1450" s="1" t="s">
        <v>3597</v>
      </c>
      <c r="C1450" s="1">
        <v>6156</v>
      </c>
      <c r="D1450" s="1" t="s">
        <v>3598</v>
      </c>
      <c r="F1450" s="1">
        <v>2023</v>
      </c>
      <c r="G1450" s="5">
        <v>219</v>
      </c>
      <c r="H1450" s="5">
        <v>205.2</v>
      </c>
      <c r="I1450" s="5">
        <v>30569.55</v>
      </c>
      <c r="K1450" s="5">
        <v>28.684999999999999</v>
      </c>
      <c r="L1450" s="5">
        <v>0.1109</v>
      </c>
      <c r="M1450" s="5">
        <v>27295.075000000001</v>
      </c>
      <c r="N1450" s="6">
        <v>6.7100000000000007E-2</v>
      </c>
      <c r="O1450" s="5">
        <v>19.361000000000001</v>
      </c>
      <c r="P1450" s="6">
        <v>7.6200000000000004E-2</v>
      </c>
      <c r="Q1450" s="5">
        <v>381566.21799999999</v>
      </c>
      <c r="R1450" s="1" t="s">
        <v>173</v>
      </c>
      <c r="S1450" s="1" t="s">
        <v>341</v>
      </c>
      <c r="T1450" s="1" t="s">
        <v>43</v>
      </c>
      <c r="W1450" s="1" t="s">
        <v>58</v>
      </c>
      <c r="Y1450" s="1" t="s">
        <v>594</v>
      </c>
      <c r="Z1450" s="1" t="str">
        <f t="shared" si="66"/>
        <v>6156 NHB1</v>
      </c>
      <c r="AA1450" s="3">
        <f>IF(INDEX('CAMD Facility Data 2023'!$AA$2:$AE$10000,MATCH(Z1450,'CAMD Facility Data 2023'!$AE$2:$AE$10000,0),1)&gt;0,INDEX('CAMD Facility Data 2023'!$AA$2:$AE$10000,MATCH(Z1450,'CAMD Facility Data 2023'!$AE$2:$AE$10000,0),1),"")</f>
        <v>27637</v>
      </c>
      <c r="AB1450" s="5">
        <f>IF(INDEX('CAMD Facility Data 2023'!$AC$2:$AE$10000,MATCH(Z1450,'CAMD Facility Data 2023'!$AE$2:$AE$10000,0),1)&gt;0,INDEX('CAMD Facility Data 2023'!$AC$2:$AE$10000,MATCH(Z1450,'CAMD Facility Data 2023'!$AE$2:$AE$10000,0),1),"")</f>
        <v>5130</v>
      </c>
      <c r="AC1450" s="1" t="str">
        <f>IF(INDEX('CAMD Facility Data 2023'!$AE$2:$AG$10000,MATCH(Z1450,'CAMD Facility Data 2023'!$AE$2:$AE$10000,0),3)&gt;0,INDEX('CAMD Facility Data 2023'!$AE$2:$AG$10000,MATCH(Z1450,'CAMD Facility Data 2023'!$AE$2:$AE$10000,0),3),"")</f>
        <v/>
      </c>
      <c r="AD1450" s="20">
        <f t="shared" si="67"/>
        <v>1.2666853126722506</v>
      </c>
      <c r="AE1450" s="25">
        <f t="shared" si="68"/>
        <v>8.4907967724994881E-3</v>
      </c>
    </row>
    <row r="1451" spans="1:31" x14ac:dyDescent="0.2">
      <c r="A1451" s="1" t="s">
        <v>577</v>
      </c>
      <c r="B1451" s="1" t="s">
        <v>3597</v>
      </c>
      <c r="C1451" s="1">
        <v>6156</v>
      </c>
      <c r="D1451" s="1" t="s">
        <v>3600</v>
      </c>
      <c r="F1451" s="1">
        <v>2023</v>
      </c>
      <c r="G1451" s="5">
        <v>49</v>
      </c>
      <c r="H1451" s="5">
        <v>34.409999999999997</v>
      </c>
      <c r="I1451" s="5">
        <v>1442.01</v>
      </c>
      <c r="K1451" s="5">
        <v>4.0000000000000001E-3</v>
      </c>
      <c r="L1451" s="5">
        <v>5.0000000000000001E-4</v>
      </c>
      <c r="M1451" s="5">
        <v>1048.133</v>
      </c>
      <c r="N1451" s="6">
        <v>7.5800000000000006E-2</v>
      </c>
      <c r="O1451" s="5">
        <v>0.151</v>
      </c>
      <c r="P1451" s="6">
        <v>2.9499999999999998E-2</v>
      </c>
      <c r="Q1451" s="5">
        <v>13592.722</v>
      </c>
      <c r="R1451" s="1" t="s">
        <v>94</v>
      </c>
      <c r="S1451" s="1" t="s">
        <v>44</v>
      </c>
      <c r="T1451" s="1" t="s">
        <v>93</v>
      </c>
      <c r="V1451" s="1" t="s">
        <v>176</v>
      </c>
      <c r="Y1451" s="1" t="s">
        <v>579</v>
      </c>
      <c r="Z1451" s="1" t="str">
        <f t="shared" si="66"/>
        <v>6156 NHHS2</v>
      </c>
      <c r="AA1451" s="3">
        <f>IF(INDEX('CAMD Facility Data 2023'!$AA$2:$AE$10000,MATCH(Z1451,'CAMD Facility Data 2023'!$AE$2:$AE$10000,0),1)&gt;0,INDEX('CAMD Facility Data 2023'!$AA$2:$AE$10000,MATCH(Z1451,'CAMD Facility Data 2023'!$AE$2:$AE$10000,0),1),"")</f>
        <v>41036</v>
      </c>
      <c r="AB1451" s="5">
        <f>IF(INDEX('CAMD Facility Data 2023'!$AC$2:$AE$10000,MATCH(Z1451,'CAMD Facility Data 2023'!$AE$2:$AE$10000,0),1)&gt;0,INDEX('CAMD Facility Data 2023'!$AC$2:$AE$10000,MATCH(Z1451,'CAMD Facility Data 2023'!$AE$2:$AE$10000,0),1),"")</f>
        <v>485</v>
      </c>
      <c r="AC1451" s="1" t="str">
        <f>IF(INDEX('CAMD Facility Data 2023'!$AE$2:$AG$10000,MATCH(Z1451,'CAMD Facility Data 2023'!$AE$2:$AE$10000,0),3)&gt;0,INDEX('CAMD Facility Data 2023'!$AE$2:$AG$10000,MATCH(Z1451,'CAMD Facility Data 2023'!$AE$2:$AE$10000,0),3),"")</f>
        <v>Y</v>
      </c>
      <c r="AD1451" s="20">
        <f t="shared" si="67"/>
        <v>0.20942989299658116</v>
      </c>
      <c r="AE1451" s="25">
        <f t="shared" si="68"/>
        <v>3.1993414301181564E-3</v>
      </c>
    </row>
    <row r="1452" spans="1:31" x14ac:dyDescent="0.2">
      <c r="A1452" s="1" t="s">
        <v>577</v>
      </c>
      <c r="B1452" s="1" t="s">
        <v>3597</v>
      </c>
      <c r="C1452" s="1">
        <v>6156</v>
      </c>
      <c r="D1452" s="1" t="s">
        <v>3603</v>
      </c>
      <c r="F1452" s="1">
        <v>2023</v>
      </c>
      <c r="G1452" s="5">
        <v>56</v>
      </c>
      <c r="H1452" s="5">
        <v>38.29</v>
      </c>
      <c r="I1452" s="5">
        <v>1585.31</v>
      </c>
      <c r="K1452" s="5">
        <v>4.0000000000000001E-3</v>
      </c>
      <c r="L1452" s="5">
        <v>5.9999999999999995E-4</v>
      </c>
      <c r="M1452" s="5">
        <v>1123.32</v>
      </c>
      <c r="N1452" s="6">
        <v>7.7899999999999997E-2</v>
      </c>
      <c r="O1452" s="5">
        <v>0.13500000000000001</v>
      </c>
      <c r="P1452" s="6">
        <v>3.0099999999999998E-2</v>
      </c>
      <c r="Q1452" s="5">
        <v>14565.687</v>
      </c>
      <c r="R1452" s="1" t="s">
        <v>94</v>
      </c>
      <c r="S1452" s="1" t="s">
        <v>44</v>
      </c>
      <c r="T1452" s="1" t="s">
        <v>93</v>
      </c>
      <c r="V1452" s="1" t="s">
        <v>176</v>
      </c>
      <c r="Y1452" s="1" t="s">
        <v>579</v>
      </c>
      <c r="Z1452" s="1" t="str">
        <f t="shared" si="66"/>
        <v>6156 NHHS3</v>
      </c>
      <c r="AA1452" s="3">
        <f>IF(INDEX('CAMD Facility Data 2023'!$AA$2:$AE$10000,MATCH(Z1452,'CAMD Facility Data 2023'!$AE$2:$AE$10000,0),1)&gt;0,INDEX('CAMD Facility Data 2023'!$AA$2:$AE$10000,MATCH(Z1452,'CAMD Facility Data 2023'!$AE$2:$AE$10000,0),1),"")</f>
        <v>41025</v>
      </c>
      <c r="AB1452" s="5">
        <f>IF(INDEX('CAMD Facility Data 2023'!$AC$2:$AE$10000,MATCH(Z1452,'CAMD Facility Data 2023'!$AE$2:$AE$10000,0),1)&gt;0,INDEX('CAMD Facility Data 2023'!$AC$2:$AE$10000,MATCH(Z1452,'CAMD Facility Data 2023'!$AE$2:$AE$10000,0),1),"")</f>
        <v>485</v>
      </c>
      <c r="AC1452" s="1" t="str">
        <f>IF(INDEX('CAMD Facility Data 2023'!$AE$2:$AG$10000,MATCH(Z1452,'CAMD Facility Data 2023'!$AE$2:$AE$10000,0),3)&gt;0,INDEX('CAMD Facility Data 2023'!$AE$2:$AG$10000,MATCH(Z1452,'CAMD Facility Data 2023'!$AE$2:$AE$10000,0),3),"")</f>
        <v>Y</v>
      </c>
      <c r="AD1452" s="20">
        <f t="shared" si="67"/>
        <v>0.1703136925900928</v>
      </c>
      <c r="AE1452" s="25">
        <f t="shared" si="68"/>
        <v>3.4283498093489618E-3</v>
      </c>
    </row>
    <row r="1453" spans="1:31" x14ac:dyDescent="0.2">
      <c r="A1453" s="1" t="s">
        <v>577</v>
      </c>
      <c r="B1453" s="1" t="s">
        <v>3597</v>
      </c>
      <c r="C1453" s="1">
        <v>6156</v>
      </c>
      <c r="D1453" s="1" t="s">
        <v>3605</v>
      </c>
      <c r="F1453" s="1">
        <v>2023</v>
      </c>
      <c r="G1453" s="5">
        <v>43</v>
      </c>
      <c r="H1453" s="5">
        <v>31.61</v>
      </c>
      <c r="I1453" s="5">
        <v>1329.14</v>
      </c>
      <c r="K1453" s="5">
        <v>4.0000000000000001E-3</v>
      </c>
      <c r="L1453" s="5">
        <v>5.9999999999999995E-4</v>
      </c>
      <c r="M1453" s="5">
        <v>948.745</v>
      </c>
      <c r="N1453" s="6">
        <v>7.7399999999999997E-2</v>
      </c>
      <c r="O1453" s="5">
        <v>0.11899999999999999</v>
      </c>
      <c r="P1453" s="6">
        <v>2.1999999999999999E-2</v>
      </c>
      <c r="Q1453" s="5">
        <v>12375.088</v>
      </c>
      <c r="R1453" s="1" t="s">
        <v>94</v>
      </c>
      <c r="S1453" s="1" t="s">
        <v>44</v>
      </c>
      <c r="T1453" s="1" t="s">
        <v>93</v>
      </c>
      <c r="V1453" s="1" t="s">
        <v>176</v>
      </c>
      <c r="Y1453" s="1" t="s">
        <v>579</v>
      </c>
      <c r="Z1453" s="1" t="str">
        <f t="shared" si="66"/>
        <v>6156 NHHS4</v>
      </c>
      <c r="AA1453" s="3">
        <f>IF(INDEX('CAMD Facility Data 2023'!$AA$2:$AE$10000,MATCH(Z1453,'CAMD Facility Data 2023'!$AE$2:$AE$10000,0),1)&gt;0,INDEX('CAMD Facility Data 2023'!$AA$2:$AE$10000,MATCH(Z1453,'CAMD Facility Data 2023'!$AE$2:$AE$10000,0),1),"")</f>
        <v>41010</v>
      </c>
      <c r="AB1453" s="5">
        <f>IF(INDEX('CAMD Facility Data 2023'!$AC$2:$AE$10000,MATCH(Z1453,'CAMD Facility Data 2023'!$AE$2:$AE$10000,0),1)&gt;0,INDEX('CAMD Facility Data 2023'!$AC$2:$AE$10000,MATCH(Z1453,'CAMD Facility Data 2023'!$AE$2:$AE$10000,0),1),"")</f>
        <v>485</v>
      </c>
      <c r="AC1453" s="1" t="str">
        <f>IF(INDEX('CAMD Facility Data 2023'!$AE$2:$AG$10000,MATCH(Z1453,'CAMD Facility Data 2023'!$AE$2:$AE$10000,0),3)&gt;0,INDEX('CAMD Facility Data 2023'!$AE$2:$AG$10000,MATCH(Z1453,'CAMD Facility Data 2023'!$AE$2:$AE$10000,0),3),"")</f>
        <v>Y</v>
      </c>
      <c r="AD1453" s="20">
        <f t="shared" si="67"/>
        <v>0.179063153618129</v>
      </c>
      <c r="AE1453" s="25">
        <f t="shared" si="68"/>
        <v>2.9127449042037376E-3</v>
      </c>
    </row>
    <row r="1454" spans="1:31" x14ac:dyDescent="0.2">
      <c r="A1454" s="1" t="s">
        <v>3076</v>
      </c>
      <c r="B1454" s="1" t="s">
        <v>3606</v>
      </c>
      <c r="C1454" s="1">
        <v>6165</v>
      </c>
      <c r="D1454" s="1">
        <v>1</v>
      </c>
      <c r="F1454" s="1">
        <v>2023</v>
      </c>
      <c r="G1454" s="5">
        <v>7330</v>
      </c>
      <c r="H1454" s="5">
        <v>7322.65</v>
      </c>
      <c r="I1454" s="5">
        <v>1754820.66</v>
      </c>
      <c r="K1454" s="5">
        <v>660.49599999999998</v>
      </c>
      <c r="L1454" s="5">
        <v>7.2599999999999998E-2</v>
      </c>
      <c r="M1454" s="5">
        <v>1791288.655</v>
      </c>
      <c r="N1454" s="6">
        <v>0.10299999999999999</v>
      </c>
      <c r="O1454" s="5">
        <v>1562.8869999999999</v>
      </c>
      <c r="P1454" s="6">
        <v>0.17810000000000001</v>
      </c>
      <c r="Q1454" s="5">
        <v>17458972.477000002</v>
      </c>
      <c r="R1454" s="1" t="s">
        <v>55</v>
      </c>
      <c r="T1454" s="1" t="s">
        <v>43</v>
      </c>
      <c r="U1454" s="1" t="s">
        <v>241</v>
      </c>
      <c r="V1454" s="1" t="s">
        <v>213</v>
      </c>
      <c r="W1454" s="1" t="s">
        <v>232</v>
      </c>
      <c r="Y1454" s="1" t="s">
        <v>236</v>
      </c>
      <c r="Z1454" s="1" t="str">
        <f t="shared" si="66"/>
        <v>6165 1</v>
      </c>
      <c r="AA1454" s="3">
        <f>IF(INDEX('CAMD Facility Data 2023'!$AA$2:$AE$10000,MATCH(Z1454,'CAMD Facility Data 2023'!$AE$2:$AE$10000,0),1)&gt;0,INDEX('CAMD Facility Data 2023'!$AA$2:$AE$10000,MATCH(Z1454,'CAMD Facility Data 2023'!$AE$2:$AE$10000,0),1),"")</f>
        <v>28651</v>
      </c>
      <c r="AB1454" s="5">
        <f>IF(INDEX('CAMD Facility Data 2023'!$AC$2:$AE$10000,MATCH(Z1454,'CAMD Facility Data 2023'!$AE$2:$AE$10000,0),1)&gt;0,INDEX('CAMD Facility Data 2023'!$AC$2:$AE$10000,MATCH(Z1454,'CAMD Facility Data 2023'!$AE$2:$AE$10000,0),1),"")</f>
        <v>5348</v>
      </c>
      <c r="AC1454" s="1" t="str">
        <f>IF(INDEX('CAMD Facility Data 2023'!$AE$2:$AG$10000,MATCH(Z1454,'CAMD Facility Data 2023'!$AE$2:$AE$10000,0),3)&gt;0,INDEX('CAMD Facility Data 2023'!$AE$2:$AG$10000,MATCH(Z1454,'CAMD Facility Data 2023'!$AE$2:$AE$10000,0),3),"")</f>
        <v/>
      </c>
      <c r="AD1454" s="20">
        <f t="shared" si="67"/>
        <v>1.7812498286861975</v>
      </c>
      <c r="AE1454" s="25">
        <f t="shared" si="68"/>
        <v>0.37266892067789609</v>
      </c>
    </row>
    <row r="1455" spans="1:31" x14ac:dyDescent="0.2">
      <c r="A1455" s="1" t="s">
        <v>3076</v>
      </c>
      <c r="B1455" s="1" t="s">
        <v>3606</v>
      </c>
      <c r="C1455" s="1">
        <v>6165</v>
      </c>
      <c r="D1455" s="1">
        <v>2</v>
      </c>
      <c r="F1455" s="1">
        <v>2023</v>
      </c>
      <c r="G1455" s="5">
        <v>7217</v>
      </c>
      <c r="H1455" s="5">
        <v>7196.86</v>
      </c>
      <c r="I1455" s="5">
        <v>1641758.71</v>
      </c>
      <c r="K1455" s="5">
        <v>658.23699999999997</v>
      </c>
      <c r="L1455" s="5">
        <v>7.6999999999999999E-2</v>
      </c>
      <c r="M1455" s="5">
        <v>1715668.084</v>
      </c>
      <c r="N1455" s="6">
        <v>0.10299999999999999</v>
      </c>
      <c r="O1455" s="5">
        <v>1345.796</v>
      </c>
      <c r="P1455" s="6">
        <v>0.15559999999999999</v>
      </c>
      <c r="Q1455" s="5">
        <v>16721935.346999999</v>
      </c>
      <c r="R1455" s="1" t="s">
        <v>55</v>
      </c>
      <c r="T1455" s="1" t="s">
        <v>43</v>
      </c>
      <c r="U1455" s="1" t="s">
        <v>241</v>
      </c>
      <c r="V1455" s="1" t="s">
        <v>213</v>
      </c>
      <c r="W1455" s="1" t="s">
        <v>232</v>
      </c>
      <c r="Y1455" s="1" t="s">
        <v>236</v>
      </c>
      <c r="Z1455" s="1" t="str">
        <f t="shared" si="66"/>
        <v>6165 2</v>
      </c>
      <c r="AA1455" s="3">
        <f>IF(INDEX('CAMD Facility Data 2023'!$AA$2:$AE$10000,MATCH(Z1455,'CAMD Facility Data 2023'!$AE$2:$AE$10000,0),1)&gt;0,INDEX('CAMD Facility Data 2023'!$AA$2:$AE$10000,MATCH(Z1455,'CAMD Facility Data 2023'!$AE$2:$AE$10000,0),1),"")</f>
        <v>29376</v>
      </c>
      <c r="AB1455" s="5">
        <f>IF(INDEX('CAMD Facility Data 2023'!$AC$2:$AE$10000,MATCH(Z1455,'CAMD Facility Data 2023'!$AE$2:$AE$10000,0),1)&gt;0,INDEX('CAMD Facility Data 2023'!$AC$2:$AE$10000,MATCH(Z1455,'CAMD Facility Data 2023'!$AE$2:$AE$10000,0),1),"")</f>
        <v>6130</v>
      </c>
      <c r="AC1455" s="1" t="str">
        <f>IF(INDEX('CAMD Facility Data 2023'!$AE$2:$AG$10000,MATCH(Z1455,'CAMD Facility Data 2023'!$AE$2:$AE$10000,0),3)&gt;0,INDEX('CAMD Facility Data 2023'!$AE$2:$AG$10000,MATCH(Z1455,'CAMD Facility Data 2023'!$AE$2:$AE$10000,0),3),"")</f>
        <v/>
      </c>
      <c r="AD1455" s="20">
        <f t="shared" si="67"/>
        <v>1.6394565069796401</v>
      </c>
      <c r="AE1455" s="25">
        <f t="shared" si="68"/>
        <v>0.3114024027911238</v>
      </c>
    </row>
    <row r="1456" spans="1:31" x14ac:dyDescent="0.2">
      <c r="A1456" s="1" t="s">
        <v>3076</v>
      </c>
      <c r="B1456" s="1" t="s">
        <v>3606</v>
      </c>
      <c r="C1456" s="1">
        <v>6165</v>
      </c>
      <c r="D1456" s="1">
        <v>3</v>
      </c>
      <c r="F1456" s="1">
        <v>2023</v>
      </c>
      <c r="G1456" s="5">
        <v>6569</v>
      </c>
      <c r="H1456" s="5">
        <v>6552.14</v>
      </c>
      <c r="I1456" s="5">
        <v>1293720.3899999999</v>
      </c>
      <c r="K1456" s="5">
        <v>621.49</v>
      </c>
      <c r="L1456" s="5">
        <v>8.9800000000000005E-2</v>
      </c>
      <c r="M1456" s="5">
        <v>1408901.659</v>
      </c>
      <c r="N1456" s="6">
        <v>0.10290000000000001</v>
      </c>
      <c r="O1456" s="5">
        <v>1745.7470000000001</v>
      </c>
      <c r="P1456" s="6">
        <v>0.24929999999999999</v>
      </c>
      <c r="Q1456" s="5">
        <v>13732018.68</v>
      </c>
      <c r="R1456" s="1" t="s">
        <v>55</v>
      </c>
      <c r="T1456" s="1" t="s">
        <v>89</v>
      </c>
      <c r="U1456" s="1" t="s">
        <v>241</v>
      </c>
      <c r="V1456" s="1" t="s">
        <v>289</v>
      </c>
      <c r="W1456" s="1" t="s">
        <v>1357</v>
      </c>
      <c r="Y1456" s="1" t="s">
        <v>236</v>
      </c>
      <c r="Z1456" s="1" t="str">
        <f t="shared" si="66"/>
        <v>6165 3</v>
      </c>
      <c r="AA1456" s="3">
        <f>IF(INDEX('CAMD Facility Data 2023'!$AA$2:$AE$10000,MATCH(Z1456,'CAMD Facility Data 2023'!$AE$2:$AE$10000,0),1)&gt;0,INDEX('CAMD Facility Data 2023'!$AA$2:$AE$10000,MATCH(Z1456,'CAMD Facility Data 2023'!$AE$2:$AE$10000,0),1),"")</f>
        <v>30468</v>
      </c>
      <c r="AB1456" s="5">
        <f>IF(INDEX('CAMD Facility Data 2023'!$AC$2:$AE$10000,MATCH(Z1456,'CAMD Facility Data 2023'!$AE$2:$AE$10000,0),1)&gt;0,INDEX('CAMD Facility Data 2023'!$AC$2:$AE$10000,MATCH(Z1456,'CAMD Facility Data 2023'!$AE$2:$AE$10000,0),1),"")</f>
        <v>5742</v>
      </c>
      <c r="AC1456" s="1" t="str">
        <f>IF(INDEX('CAMD Facility Data 2023'!$AE$2:$AG$10000,MATCH(Z1456,'CAMD Facility Data 2023'!$AE$2:$AE$10000,0),3)&gt;0,INDEX('CAMD Facility Data 2023'!$AE$2:$AG$10000,MATCH(Z1456,'CAMD Facility Data 2023'!$AE$2:$AE$10000,0),3),"")</f>
        <v/>
      </c>
      <c r="AD1456" s="20">
        <f t="shared" si="67"/>
        <v>2.6988010910147286</v>
      </c>
      <c r="AE1456" s="25">
        <f t="shared" si="68"/>
        <v>0.27300279364261415</v>
      </c>
    </row>
    <row r="1457" spans="1:31" x14ac:dyDescent="0.2">
      <c r="A1457" s="1" t="s">
        <v>1071</v>
      </c>
      <c r="B1457" s="1" t="s">
        <v>3614</v>
      </c>
      <c r="C1457" s="1">
        <v>6166</v>
      </c>
      <c r="D1457" s="1" t="s">
        <v>1835</v>
      </c>
      <c r="E1457" s="1" t="s">
        <v>3097</v>
      </c>
      <c r="F1457" s="1">
        <v>2023</v>
      </c>
      <c r="G1457" s="5">
        <v>2510</v>
      </c>
      <c r="H1457" s="5">
        <v>2501.94</v>
      </c>
      <c r="I1457" s="5">
        <v>1534815.92</v>
      </c>
      <c r="K1457" s="5">
        <v>1039.288</v>
      </c>
      <c r="L1457" s="5">
        <v>0.12570000000000001</v>
      </c>
      <c r="M1457" s="5">
        <v>1772350.335</v>
      </c>
      <c r="N1457" s="6">
        <v>0.105</v>
      </c>
      <c r="O1457" s="5">
        <v>599.95899999999995</v>
      </c>
      <c r="P1457" s="6">
        <v>7.0400000000000004E-2</v>
      </c>
      <c r="Q1457" s="5">
        <v>16898845.074000001</v>
      </c>
      <c r="R1457" s="1" t="s">
        <v>55</v>
      </c>
      <c r="T1457" s="1" t="s">
        <v>89</v>
      </c>
      <c r="U1457" s="1" t="s">
        <v>1151</v>
      </c>
      <c r="V1457" s="1" t="s">
        <v>639</v>
      </c>
      <c r="W1457" s="1" t="s">
        <v>58</v>
      </c>
      <c r="X1457" s="1" t="s">
        <v>214</v>
      </c>
      <c r="Y1457" s="1" t="s">
        <v>1005</v>
      </c>
      <c r="Z1457" s="1" t="str">
        <f t="shared" si="66"/>
        <v>6166 MB1</v>
      </c>
      <c r="AA1457" s="3">
        <f>IF(INDEX('CAMD Facility Data 2023'!$AA$2:$AE$10000,MATCH(Z1457,'CAMD Facility Data 2023'!$AE$2:$AE$10000,0),1)&gt;0,INDEX('CAMD Facility Data 2023'!$AA$2:$AE$10000,MATCH(Z1457,'CAMD Facility Data 2023'!$AE$2:$AE$10000,0),1),"")</f>
        <v>31026</v>
      </c>
      <c r="AB1457" s="5">
        <f>IF(INDEX('CAMD Facility Data 2023'!$AC$2:$AE$10000,MATCH(Z1457,'CAMD Facility Data 2023'!$AE$2:$AE$10000,0),1)&gt;0,INDEX('CAMD Facility Data 2023'!$AC$2:$AE$10000,MATCH(Z1457,'CAMD Facility Data 2023'!$AE$2:$AE$10000,0),1),"")</f>
        <v>13400</v>
      </c>
      <c r="AC1457" s="1" t="str">
        <f>IF(INDEX('CAMD Facility Data 2023'!$AE$2:$AG$10000,MATCH(Z1457,'CAMD Facility Data 2023'!$AE$2:$AE$10000,0),3)&gt;0,INDEX('CAMD Facility Data 2023'!$AE$2:$AG$10000,MATCH(Z1457,'CAMD Facility Data 2023'!$AE$2:$AE$10000,0),3),"")</f>
        <v>Y</v>
      </c>
      <c r="AD1457" s="20">
        <f t="shared" si="67"/>
        <v>0.78179929225649425</v>
      </c>
      <c r="AE1457" s="25">
        <f t="shared" si="68"/>
        <v>0.1439620823451237</v>
      </c>
    </row>
    <row r="1458" spans="1:31" x14ac:dyDescent="0.2">
      <c r="A1458" s="1" t="s">
        <v>1071</v>
      </c>
      <c r="B1458" s="1" t="s">
        <v>3614</v>
      </c>
      <c r="C1458" s="1">
        <v>6166</v>
      </c>
      <c r="D1458" s="1" t="s">
        <v>1838</v>
      </c>
      <c r="E1458" s="1" t="s">
        <v>3097</v>
      </c>
      <c r="F1458" s="1">
        <v>2023</v>
      </c>
      <c r="G1458" s="5">
        <v>2330</v>
      </c>
      <c r="H1458" s="5">
        <v>2322.71</v>
      </c>
      <c r="I1458" s="5">
        <v>1455227.45</v>
      </c>
      <c r="K1458" s="5">
        <v>968.99800000000005</v>
      </c>
      <c r="L1458" s="5">
        <v>0.1371</v>
      </c>
      <c r="M1458" s="5">
        <v>1616215.3259999999</v>
      </c>
      <c r="N1458" s="6">
        <v>0.105</v>
      </c>
      <c r="O1458" s="5">
        <v>538.54200000000003</v>
      </c>
      <c r="P1458" s="6">
        <v>7.0300000000000001E-2</v>
      </c>
      <c r="Q1458" s="5">
        <v>15410150.107999999</v>
      </c>
      <c r="R1458" s="1" t="s">
        <v>55</v>
      </c>
      <c r="T1458" s="1" t="s">
        <v>89</v>
      </c>
      <c r="U1458" s="1" t="s">
        <v>1151</v>
      </c>
      <c r="V1458" s="1" t="s">
        <v>639</v>
      </c>
      <c r="W1458" s="1" t="s">
        <v>58</v>
      </c>
      <c r="X1458" s="1" t="s">
        <v>214</v>
      </c>
      <c r="Y1458" s="1" t="s">
        <v>1005</v>
      </c>
      <c r="Z1458" s="1" t="str">
        <f t="shared" si="66"/>
        <v>6166 MB2</v>
      </c>
      <c r="AA1458" s="3">
        <f>IF(INDEX('CAMD Facility Data 2023'!$AA$2:$AE$10000,MATCH(Z1458,'CAMD Facility Data 2023'!$AE$2:$AE$10000,0),1)&gt;0,INDEX('CAMD Facility Data 2023'!$AA$2:$AE$10000,MATCH(Z1458,'CAMD Facility Data 2023'!$AE$2:$AE$10000,0),1),"")</f>
        <v>32843</v>
      </c>
      <c r="AB1458" s="5">
        <f>IF(INDEX('CAMD Facility Data 2023'!$AC$2:$AE$10000,MATCH(Z1458,'CAMD Facility Data 2023'!$AE$2:$AE$10000,0),1)&gt;0,INDEX('CAMD Facility Data 2023'!$AC$2:$AE$10000,MATCH(Z1458,'CAMD Facility Data 2023'!$AE$2:$AE$10000,0),1),"")</f>
        <v>13400</v>
      </c>
      <c r="AC1458" s="1" t="str">
        <f>IF(INDEX('CAMD Facility Data 2023'!$AE$2:$AG$10000,MATCH(Z1458,'CAMD Facility Data 2023'!$AE$2:$AE$10000,0),3)&gt;0,INDEX('CAMD Facility Data 2023'!$AE$2:$AG$10000,MATCH(Z1458,'CAMD Facility Data 2023'!$AE$2:$AE$10000,0),3),"")</f>
        <v>Y</v>
      </c>
      <c r="AD1458" s="20">
        <f t="shared" si="67"/>
        <v>0.74014821531850572</v>
      </c>
      <c r="AE1458" s="25">
        <f t="shared" si="68"/>
        <v>0.13127981759013152</v>
      </c>
    </row>
    <row r="1459" spans="1:31" x14ac:dyDescent="0.2">
      <c r="A1459" s="1" t="s">
        <v>234</v>
      </c>
      <c r="B1459" s="1" t="s">
        <v>3619</v>
      </c>
      <c r="C1459" s="1">
        <v>6177</v>
      </c>
      <c r="D1459" s="1" t="s">
        <v>3620</v>
      </c>
      <c r="F1459" s="1">
        <v>2023</v>
      </c>
      <c r="G1459" s="5">
        <v>6080</v>
      </c>
      <c r="H1459" s="5">
        <v>6064.38</v>
      </c>
      <c r="I1459" s="5">
        <v>1578842.93</v>
      </c>
      <c r="K1459" s="5">
        <v>65.552000000000007</v>
      </c>
      <c r="L1459" s="5">
        <v>6.7999999999999996E-3</v>
      </c>
      <c r="M1459" s="5">
        <v>1787975.8470000001</v>
      </c>
      <c r="N1459" s="6">
        <v>0.10440000000000001</v>
      </c>
      <c r="O1459" s="5">
        <v>2141.75</v>
      </c>
      <c r="P1459" s="6">
        <v>0.2359</v>
      </c>
      <c r="Q1459" s="5">
        <v>17060443.206</v>
      </c>
      <c r="R1459" s="1" t="s">
        <v>55</v>
      </c>
      <c r="S1459" s="1" t="s">
        <v>94</v>
      </c>
      <c r="T1459" s="1" t="s">
        <v>319</v>
      </c>
      <c r="U1459" s="1" t="s">
        <v>56</v>
      </c>
      <c r="V1459" s="1" t="s">
        <v>289</v>
      </c>
      <c r="W1459" s="1" t="s">
        <v>58</v>
      </c>
      <c r="Y1459" s="1" t="s">
        <v>236</v>
      </c>
      <c r="Z1459" s="1" t="str">
        <f t="shared" si="66"/>
        <v>6177 U1B</v>
      </c>
      <c r="AA1459" s="3">
        <f>IF(INDEX('CAMD Facility Data 2023'!$AA$2:$AE$10000,MATCH(Z1459,'CAMD Facility Data 2023'!$AE$2:$AE$10000,0),1)&gt;0,INDEX('CAMD Facility Data 2023'!$AA$2:$AE$10000,MATCH(Z1459,'CAMD Facility Data 2023'!$AE$2:$AE$10000,0),1),"")</f>
        <v>29190</v>
      </c>
      <c r="AB1459" s="5">
        <f>IF(INDEX('CAMD Facility Data 2023'!$AC$2:$AE$10000,MATCH(Z1459,'CAMD Facility Data 2023'!$AE$2:$AE$10000,0),1)&gt;0,INDEX('CAMD Facility Data 2023'!$AC$2:$AE$10000,MATCH(Z1459,'CAMD Facility Data 2023'!$AE$2:$AE$10000,0),1),"")</f>
        <v>4829.8999999999996</v>
      </c>
      <c r="AC1459" s="1" t="str">
        <f>IF(INDEX('CAMD Facility Data 2023'!$AE$2:$AG$10000,MATCH(Z1459,'CAMD Facility Data 2023'!$AE$2:$AE$10000,0),3)&gt;0,INDEX('CAMD Facility Data 2023'!$AE$2:$AG$10000,MATCH(Z1459,'CAMD Facility Data 2023'!$AE$2:$AE$10000,0),3),"")</f>
        <v/>
      </c>
      <c r="AD1459" s="20">
        <f t="shared" si="67"/>
        <v>2.7130627870626753</v>
      </c>
      <c r="AE1459" s="25">
        <f t="shared" si="68"/>
        <v>0.40322556963231604</v>
      </c>
    </row>
    <row r="1460" spans="1:31" x14ac:dyDescent="0.2">
      <c r="A1460" s="1" t="s">
        <v>234</v>
      </c>
      <c r="B1460" s="1" t="s">
        <v>3619</v>
      </c>
      <c r="C1460" s="1">
        <v>6177</v>
      </c>
      <c r="D1460" s="1" t="s">
        <v>3624</v>
      </c>
      <c r="F1460" s="1">
        <v>2023</v>
      </c>
      <c r="G1460" s="5">
        <v>6832</v>
      </c>
      <c r="H1460" s="5">
        <v>6826.25</v>
      </c>
      <c r="I1460" s="5">
        <v>1938229.22</v>
      </c>
      <c r="K1460" s="5">
        <v>60.198999999999998</v>
      </c>
      <c r="L1460" s="5">
        <v>4.7999999999999996E-3</v>
      </c>
      <c r="M1460" s="5">
        <v>2217280.7820000001</v>
      </c>
      <c r="N1460" s="6">
        <v>0.1045</v>
      </c>
      <c r="O1460" s="5">
        <v>679.69299999999998</v>
      </c>
      <c r="P1460" s="6">
        <v>6.2799999999999995E-2</v>
      </c>
      <c r="Q1460" s="5">
        <v>21168693.204</v>
      </c>
      <c r="R1460" s="1" t="s">
        <v>55</v>
      </c>
      <c r="S1460" s="1" t="s">
        <v>94</v>
      </c>
      <c r="T1460" s="1" t="s">
        <v>319</v>
      </c>
      <c r="U1460" s="1" t="s">
        <v>56</v>
      </c>
      <c r="V1460" s="1" t="s">
        <v>563</v>
      </c>
      <c r="W1460" s="1" t="s">
        <v>58</v>
      </c>
      <c r="Y1460" s="1" t="s">
        <v>236</v>
      </c>
      <c r="Z1460" s="1" t="str">
        <f t="shared" si="66"/>
        <v>6177 U2B</v>
      </c>
      <c r="AA1460" s="3">
        <f>IF(INDEX('CAMD Facility Data 2023'!$AA$2:$AE$10000,MATCH(Z1460,'CAMD Facility Data 2023'!$AE$2:$AE$10000,0),1)&gt;0,INDEX('CAMD Facility Data 2023'!$AA$2:$AE$10000,MATCH(Z1460,'CAMD Facility Data 2023'!$AE$2:$AE$10000,0),1),"")</f>
        <v>29495</v>
      </c>
      <c r="AB1460" s="5">
        <f>IF(INDEX('CAMD Facility Data 2023'!$AC$2:$AE$10000,MATCH(Z1460,'CAMD Facility Data 2023'!$AE$2:$AE$10000,0),1)&gt;0,INDEX('CAMD Facility Data 2023'!$AC$2:$AE$10000,MATCH(Z1460,'CAMD Facility Data 2023'!$AE$2:$AE$10000,0),1),"")</f>
        <v>4963</v>
      </c>
      <c r="AC1460" s="1" t="str">
        <f>IF(INDEX('CAMD Facility Data 2023'!$AE$2:$AG$10000,MATCH(Z1460,'CAMD Facility Data 2023'!$AE$2:$AE$10000,0),3)&gt;0,INDEX('CAMD Facility Data 2023'!$AE$2:$AG$10000,MATCH(Z1460,'CAMD Facility Data 2023'!$AE$2:$AE$10000,0),3),"")</f>
        <v>Y</v>
      </c>
      <c r="AD1460" s="20">
        <f t="shared" si="67"/>
        <v>0.70135461067912286</v>
      </c>
      <c r="AE1460" s="25">
        <f t="shared" si="68"/>
        <v>0.4869066066977828</v>
      </c>
    </row>
    <row r="1461" spans="1:31" x14ac:dyDescent="0.2">
      <c r="A1461" s="1" t="s">
        <v>383</v>
      </c>
      <c r="B1461" s="1" t="s">
        <v>3626</v>
      </c>
      <c r="C1461" s="1">
        <v>6178</v>
      </c>
      <c r="D1461" s="1">
        <v>1</v>
      </c>
      <c r="F1461" s="1">
        <v>2023</v>
      </c>
      <c r="G1461" s="5">
        <v>6160</v>
      </c>
      <c r="H1461" s="5">
        <v>6140.1</v>
      </c>
      <c r="I1461" s="5">
        <v>2851065.68</v>
      </c>
      <c r="K1461" s="5">
        <v>9577.27</v>
      </c>
      <c r="L1461" s="5">
        <v>0.63819999999999999</v>
      </c>
      <c r="M1461" s="5">
        <v>3013749.179</v>
      </c>
      <c r="N1461" s="6">
        <v>0.105</v>
      </c>
      <c r="O1461" s="5">
        <v>2121.567</v>
      </c>
      <c r="P1461" s="6">
        <v>0.15110000000000001</v>
      </c>
      <c r="Q1461" s="5">
        <v>28735198.006999999</v>
      </c>
      <c r="R1461" s="1" t="s">
        <v>55</v>
      </c>
      <c r="T1461" s="1" t="s">
        <v>43</v>
      </c>
      <c r="V1461" s="1" t="s">
        <v>213</v>
      </c>
      <c r="W1461" s="1" t="s">
        <v>232</v>
      </c>
      <c r="X1461" s="1" t="s">
        <v>937</v>
      </c>
      <c r="Y1461" s="1" t="s">
        <v>386</v>
      </c>
      <c r="Z1461" s="1" t="str">
        <f t="shared" si="66"/>
        <v>6178 1</v>
      </c>
      <c r="AA1461" s="3">
        <f>IF(INDEX('CAMD Facility Data 2023'!$AA$2:$AE$10000,MATCH(Z1461,'CAMD Facility Data 2023'!$AE$2:$AE$10000,0),1)&gt;0,INDEX('CAMD Facility Data 2023'!$AA$2:$AE$10000,MATCH(Z1461,'CAMD Facility Data 2023'!$AE$2:$AE$10000,0),1),"")</f>
        <v>29402</v>
      </c>
      <c r="AB1461" s="5">
        <f>IF(INDEX('CAMD Facility Data 2023'!$AC$2:$AE$10000,MATCH(Z1461,'CAMD Facility Data 2023'!$AE$2:$AE$10000,0),1)&gt;0,INDEX('CAMD Facility Data 2023'!$AC$2:$AE$10000,MATCH(Z1461,'CAMD Facility Data 2023'!$AE$2:$AE$10000,0),1),"")</f>
        <v>7685</v>
      </c>
      <c r="AC1461" s="1" t="str">
        <f>IF(INDEX('CAMD Facility Data 2023'!$AE$2:$AG$10000,MATCH(Z1461,'CAMD Facility Data 2023'!$AE$2:$AE$10000,0),3)&gt;0,INDEX('CAMD Facility Data 2023'!$AE$2:$AG$10000,MATCH(Z1461,'CAMD Facility Data 2023'!$AE$2:$AE$10000,0),3),"")</f>
        <v/>
      </c>
      <c r="AD1461" s="20">
        <f t="shared" si="67"/>
        <v>1.4882624520947549</v>
      </c>
      <c r="AE1461" s="25">
        <f t="shared" si="68"/>
        <v>0.42684108589347092</v>
      </c>
    </row>
    <row r="1462" spans="1:31" x14ac:dyDescent="0.2">
      <c r="A1462" s="1" t="s">
        <v>383</v>
      </c>
      <c r="B1462" s="1" t="s">
        <v>3631</v>
      </c>
      <c r="C1462" s="1">
        <v>6179</v>
      </c>
      <c r="D1462" s="1">
        <v>1</v>
      </c>
      <c r="F1462" s="1">
        <v>2023</v>
      </c>
      <c r="G1462" s="5">
        <v>8431</v>
      </c>
      <c r="H1462" s="5">
        <v>8429.7900000000009</v>
      </c>
      <c r="I1462" s="5">
        <v>2932694.71</v>
      </c>
      <c r="K1462" s="5">
        <v>144.85400000000001</v>
      </c>
      <c r="L1462" s="5">
        <v>9.1999999999999998E-3</v>
      </c>
      <c r="M1462" s="5">
        <v>3195360.801</v>
      </c>
      <c r="N1462" s="6">
        <v>0.105</v>
      </c>
      <c r="O1462" s="5">
        <v>1845.9290000000001</v>
      </c>
      <c r="P1462" s="6">
        <v>0.1323</v>
      </c>
      <c r="Q1462" s="5">
        <v>30466870.693999998</v>
      </c>
      <c r="R1462" s="1" t="s">
        <v>55</v>
      </c>
      <c r="S1462" s="1" t="s">
        <v>3635</v>
      </c>
      <c r="T1462" s="1" t="s">
        <v>43</v>
      </c>
      <c r="U1462" s="1" t="s">
        <v>56</v>
      </c>
      <c r="V1462" s="1" t="s">
        <v>213</v>
      </c>
      <c r="W1462" s="1" t="s">
        <v>58</v>
      </c>
      <c r="Y1462" s="1" t="s">
        <v>386</v>
      </c>
      <c r="Z1462" s="1" t="str">
        <f t="shared" si="66"/>
        <v>6179 1</v>
      </c>
      <c r="AA1462" s="3">
        <f>IF(INDEX('CAMD Facility Data 2023'!$AA$2:$AE$10000,MATCH(Z1462,'CAMD Facility Data 2023'!$AE$2:$AE$10000,0),1)&gt;0,INDEX('CAMD Facility Data 2023'!$AA$2:$AE$10000,MATCH(Z1462,'CAMD Facility Data 2023'!$AE$2:$AE$10000,0),1),"")</f>
        <v>29007</v>
      </c>
      <c r="AB1462" s="5">
        <f>IF(INDEX('CAMD Facility Data 2023'!$AC$2:$AE$10000,MATCH(Z1462,'CAMD Facility Data 2023'!$AE$2:$AE$10000,0),1)&gt;0,INDEX('CAMD Facility Data 2023'!$AC$2:$AE$10000,MATCH(Z1462,'CAMD Facility Data 2023'!$AE$2:$AE$10000,0),1),"")</f>
        <v>8673.9</v>
      </c>
      <c r="AC1462" s="1" t="str">
        <f>IF(INDEX('CAMD Facility Data 2023'!$AE$2:$AG$10000,MATCH(Z1462,'CAMD Facility Data 2023'!$AE$2:$AE$10000,0),3)&gt;0,INDEX('CAMD Facility Data 2023'!$AE$2:$AG$10000,MATCH(Z1462,'CAMD Facility Data 2023'!$AE$2:$AE$10000,0),3),"")</f>
        <v/>
      </c>
      <c r="AD1462" s="20">
        <f t="shared" si="67"/>
        <v>1.258862024543973</v>
      </c>
      <c r="AE1462" s="25">
        <f t="shared" si="68"/>
        <v>0.4009676472602608</v>
      </c>
    </row>
    <row r="1463" spans="1:31" x14ac:dyDescent="0.2">
      <c r="A1463" s="1" t="s">
        <v>383</v>
      </c>
      <c r="B1463" s="1" t="s">
        <v>3631</v>
      </c>
      <c r="C1463" s="1">
        <v>6179</v>
      </c>
      <c r="D1463" s="1">
        <v>2</v>
      </c>
      <c r="F1463" s="1">
        <v>2023</v>
      </c>
      <c r="G1463" s="5">
        <v>8559</v>
      </c>
      <c r="H1463" s="5">
        <v>8554.16</v>
      </c>
      <c r="I1463" s="5">
        <v>3021247.11</v>
      </c>
      <c r="K1463" s="5">
        <v>255.1</v>
      </c>
      <c r="L1463" s="5">
        <v>1.4800000000000001E-2</v>
      </c>
      <c r="M1463" s="5">
        <v>3441232.5359999998</v>
      </c>
      <c r="N1463" s="6">
        <v>0.105</v>
      </c>
      <c r="O1463" s="5">
        <v>1903.5360000000001</v>
      </c>
      <c r="P1463" s="6">
        <v>0.12559999999999999</v>
      </c>
      <c r="Q1463" s="5">
        <v>32811145.885000002</v>
      </c>
      <c r="R1463" s="1" t="s">
        <v>55</v>
      </c>
      <c r="S1463" s="1" t="s">
        <v>3635</v>
      </c>
      <c r="T1463" s="1" t="s">
        <v>43</v>
      </c>
      <c r="U1463" s="1" t="s">
        <v>56</v>
      </c>
      <c r="V1463" s="1" t="s">
        <v>213</v>
      </c>
      <c r="W1463" s="1" t="s">
        <v>58</v>
      </c>
      <c r="Y1463" s="1" t="s">
        <v>386</v>
      </c>
      <c r="Z1463" s="1" t="str">
        <f t="shared" si="66"/>
        <v>6179 2</v>
      </c>
      <c r="AA1463" s="3">
        <f>IF(INDEX('CAMD Facility Data 2023'!$AA$2:$AE$10000,MATCH(Z1463,'CAMD Facility Data 2023'!$AE$2:$AE$10000,0),1)&gt;0,INDEX('CAMD Facility Data 2023'!$AA$2:$AE$10000,MATCH(Z1463,'CAMD Facility Data 2023'!$AE$2:$AE$10000,0),1),"")</f>
        <v>29362</v>
      </c>
      <c r="AB1463" s="5">
        <f>IF(INDEX('CAMD Facility Data 2023'!$AC$2:$AE$10000,MATCH(Z1463,'CAMD Facility Data 2023'!$AE$2:$AE$10000,0),1)&gt;0,INDEX('CAMD Facility Data 2023'!$AC$2:$AE$10000,MATCH(Z1463,'CAMD Facility Data 2023'!$AE$2:$AE$10000,0),1),"")</f>
        <v>8673.9</v>
      </c>
      <c r="AC1463" s="1" t="str">
        <f>IF(INDEX('CAMD Facility Data 2023'!$AE$2:$AG$10000,MATCH(Z1463,'CAMD Facility Data 2023'!$AE$2:$AE$10000,0),3)&gt;0,INDEX('CAMD Facility Data 2023'!$AE$2:$AG$10000,MATCH(Z1463,'CAMD Facility Data 2023'!$AE$2:$AE$10000,0),3),"")</f>
        <v/>
      </c>
      <c r="AD1463" s="20">
        <f t="shared" si="67"/>
        <v>1.2600995090401592</v>
      </c>
      <c r="AE1463" s="25">
        <f t="shared" si="68"/>
        <v>0.43182012690304161</v>
      </c>
    </row>
    <row r="1464" spans="1:31" x14ac:dyDescent="0.2">
      <c r="A1464" s="1" t="s">
        <v>383</v>
      </c>
      <c r="B1464" s="1" t="s">
        <v>3631</v>
      </c>
      <c r="C1464" s="1">
        <v>6179</v>
      </c>
      <c r="D1464" s="1">
        <v>3</v>
      </c>
      <c r="F1464" s="1">
        <v>2023</v>
      </c>
      <c r="G1464" s="5">
        <v>6438</v>
      </c>
      <c r="H1464" s="5">
        <v>6435.79</v>
      </c>
      <c r="I1464" s="5">
        <v>2315265.0699999998</v>
      </c>
      <c r="K1464" s="5">
        <v>178.40600000000001</v>
      </c>
      <c r="L1464" s="5">
        <v>1.34E-2</v>
      </c>
      <c r="M1464" s="5">
        <v>2611498.5499999998</v>
      </c>
      <c r="N1464" s="6">
        <v>0.105</v>
      </c>
      <c r="O1464" s="5">
        <v>1614.624</v>
      </c>
      <c r="P1464" s="6">
        <v>0.13650000000000001</v>
      </c>
      <c r="Q1464" s="5">
        <v>24899886.941</v>
      </c>
      <c r="R1464" s="1" t="s">
        <v>55</v>
      </c>
      <c r="S1464" s="1" t="s">
        <v>3635</v>
      </c>
      <c r="T1464" s="1" t="s">
        <v>43</v>
      </c>
      <c r="U1464" s="1" t="s">
        <v>56</v>
      </c>
      <c r="V1464" s="1" t="s">
        <v>213</v>
      </c>
      <c r="W1464" s="1" t="s">
        <v>58</v>
      </c>
      <c r="Y1464" s="1" t="s">
        <v>337</v>
      </c>
      <c r="Z1464" s="1" t="str">
        <f t="shared" si="66"/>
        <v>6179 3</v>
      </c>
      <c r="AA1464" s="3">
        <f>IF(INDEX('CAMD Facility Data 2023'!$AA$2:$AE$10000,MATCH(Z1464,'CAMD Facility Data 2023'!$AE$2:$AE$10000,0),1)&gt;0,INDEX('CAMD Facility Data 2023'!$AA$2:$AE$10000,MATCH(Z1464,'CAMD Facility Data 2023'!$AE$2:$AE$10000,0),1),"")</f>
        <v>32262</v>
      </c>
      <c r="AB1464" s="5">
        <f>IF(INDEX('CAMD Facility Data 2023'!$AC$2:$AE$10000,MATCH(Z1464,'CAMD Facility Data 2023'!$AE$2:$AE$10000,0),1)&gt;0,INDEX('CAMD Facility Data 2023'!$AC$2:$AE$10000,MATCH(Z1464,'CAMD Facility Data 2023'!$AE$2:$AE$10000,0),1),"")</f>
        <v>6333.3</v>
      </c>
      <c r="AC1464" s="1" t="str">
        <f>IF(INDEX('CAMD Facility Data 2023'!$AE$2:$AG$10000,MATCH(Z1464,'CAMD Facility Data 2023'!$AE$2:$AE$10000,0),3)&gt;0,INDEX('CAMD Facility Data 2023'!$AE$2:$AG$10000,MATCH(Z1464,'CAMD Facility Data 2023'!$AE$2:$AE$10000,0),3),"")</f>
        <v/>
      </c>
      <c r="AD1464" s="20">
        <f t="shared" si="67"/>
        <v>1.394763840150709</v>
      </c>
      <c r="AE1464" s="25">
        <f t="shared" si="68"/>
        <v>0.44881070644784216</v>
      </c>
    </row>
    <row r="1465" spans="1:31" x14ac:dyDescent="0.2">
      <c r="A1465" s="1" t="s">
        <v>383</v>
      </c>
      <c r="B1465" s="1" t="s">
        <v>3638</v>
      </c>
      <c r="C1465" s="1">
        <v>6180</v>
      </c>
      <c r="D1465" s="1">
        <v>1</v>
      </c>
      <c r="F1465" s="1">
        <v>2023</v>
      </c>
      <c r="G1465" s="5">
        <v>8253</v>
      </c>
      <c r="H1465" s="5">
        <v>8240.85</v>
      </c>
      <c r="I1465" s="5">
        <v>6567981.8799999999</v>
      </c>
      <c r="K1465" s="5">
        <v>4102.4139999999998</v>
      </c>
      <c r="L1465" s="5">
        <v>0.12670000000000001</v>
      </c>
      <c r="M1465" s="5">
        <v>6860505.4280000003</v>
      </c>
      <c r="N1465" s="6">
        <v>0.1086</v>
      </c>
      <c r="O1465" s="5">
        <v>2294.4679999999998</v>
      </c>
      <c r="P1465" s="6">
        <v>7.0900000000000005E-2</v>
      </c>
      <c r="Q1465" s="5">
        <v>63042079.818000004</v>
      </c>
      <c r="R1465" s="1" t="s">
        <v>55</v>
      </c>
      <c r="S1465" s="1" t="s">
        <v>44</v>
      </c>
      <c r="T1465" s="1" t="s">
        <v>43</v>
      </c>
      <c r="U1465" s="1" t="s">
        <v>56</v>
      </c>
      <c r="V1465" s="1" t="s">
        <v>855</v>
      </c>
      <c r="W1465" s="1" t="s">
        <v>232</v>
      </c>
      <c r="Y1465" s="1" t="s">
        <v>337</v>
      </c>
      <c r="Z1465" s="1" t="str">
        <f t="shared" si="66"/>
        <v>6180 1</v>
      </c>
      <c r="AA1465" s="3">
        <f>IF(INDEX('CAMD Facility Data 2023'!$AA$2:$AE$10000,MATCH(Z1465,'CAMD Facility Data 2023'!$AE$2:$AE$10000,0),1)&gt;0,INDEX('CAMD Facility Data 2023'!$AA$2:$AE$10000,MATCH(Z1465,'CAMD Facility Data 2023'!$AE$2:$AE$10000,0),1),"")</f>
        <v>40032</v>
      </c>
      <c r="AB1465" s="5">
        <f>IF(INDEX('CAMD Facility Data 2023'!$AC$2:$AE$10000,MATCH(Z1465,'CAMD Facility Data 2023'!$AE$2:$AE$10000,0),1)&gt;0,INDEX('CAMD Facility Data 2023'!$AC$2:$AE$10000,MATCH(Z1465,'CAMD Facility Data 2023'!$AE$2:$AE$10000,0),1),"")</f>
        <v>9940</v>
      </c>
      <c r="AC1465" s="1" t="str">
        <f>IF(INDEX('CAMD Facility Data 2023'!$AE$2:$AG$10000,MATCH(Z1465,'CAMD Facility Data 2023'!$AE$2:$AE$10000,0),3)&gt;0,INDEX('CAMD Facility Data 2023'!$AE$2:$AG$10000,MATCH(Z1465,'CAMD Facility Data 2023'!$AE$2:$AE$10000,0),3),"")</f>
        <v>Y</v>
      </c>
      <c r="AD1465" s="20">
        <f t="shared" si="67"/>
        <v>0.69868280452686027</v>
      </c>
      <c r="AE1465" s="25">
        <f t="shared" si="68"/>
        <v>0.72400246017199088</v>
      </c>
    </row>
    <row r="1466" spans="1:31" x14ac:dyDescent="0.2">
      <c r="A1466" s="1" t="s">
        <v>383</v>
      </c>
      <c r="B1466" s="1" t="s">
        <v>3638</v>
      </c>
      <c r="C1466" s="1">
        <v>6180</v>
      </c>
      <c r="D1466" s="1">
        <v>2</v>
      </c>
      <c r="F1466" s="1">
        <v>2023</v>
      </c>
      <c r="G1466" s="5">
        <v>8197</v>
      </c>
      <c r="H1466" s="5">
        <v>8183.03</v>
      </c>
      <c r="I1466" s="5">
        <v>6443900.4500000002</v>
      </c>
      <c r="K1466" s="5">
        <v>4093.1190000000001</v>
      </c>
      <c r="L1466" s="5">
        <v>0.13300000000000001</v>
      </c>
      <c r="M1466" s="5">
        <v>6572744.7520000003</v>
      </c>
      <c r="N1466" s="6">
        <v>0.1084</v>
      </c>
      <c r="O1466" s="5">
        <v>2078.7939999999999</v>
      </c>
      <c r="P1466" s="6">
        <v>7.0499999999999993E-2</v>
      </c>
      <c r="Q1466" s="5">
        <v>60399833.457000002</v>
      </c>
      <c r="R1466" s="1" t="s">
        <v>55</v>
      </c>
      <c r="S1466" s="1" t="s">
        <v>44</v>
      </c>
      <c r="T1466" s="1" t="s">
        <v>89</v>
      </c>
      <c r="U1466" s="1" t="s">
        <v>56</v>
      </c>
      <c r="V1466" s="1" t="s">
        <v>1192</v>
      </c>
      <c r="W1466" s="1" t="s">
        <v>232</v>
      </c>
      <c r="Y1466" s="1" t="s">
        <v>337</v>
      </c>
      <c r="Z1466" s="1" t="str">
        <f t="shared" si="66"/>
        <v>6180 2</v>
      </c>
      <c r="AA1466" s="3">
        <f>IF(INDEX('CAMD Facility Data 2023'!$AA$2:$AE$10000,MATCH(Z1466,'CAMD Facility Data 2023'!$AE$2:$AE$10000,0),1)&gt;0,INDEX('CAMD Facility Data 2023'!$AA$2:$AE$10000,MATCH(Z1466,'CAMD Facility Data 2023'!$AE$2:$AE$10000,0),1),"")</f>
        <v>40179</v>
      </c>
      <c r="AB1466" s="5">
        <f>IF(INDEX('CAMD Facility Data 2023'!$AC$2:$AE$10000,MATCH(Z1466,'CAMD Facility Data 2023'!$AE$2:$AE$10000,0),1)&gt;0,INDEX('CAMD Facility Data 2023'!$AC$2:$AE$10000,MATCH(Z1466,'CAMD Facility Data 2023'!$AE$2:$AE$10000,0),1),"")</f>
        <v>9835</v>
      </c>
      <c r="AC1466" s="1" t="str">
        <f>IF(INDEX('CAMD Facility Data 2023'!$AE$2:$AG$10000,MATCH(Z1466,'CAMD Facility Data 2023'!$AE$2:$AE$10000,0),3)&gt;0,INDEX('CAMD Facility Data 2023'!$AE$2:$AG$10000,MATCH(Z1466,'CAMD Facility Data 2023'!$AE$2:$AE$10000,0),3),"")</f>
        <v>Y</v>
      </c>
      <c r="AD1466" s="20">
        <f t="shared" si="67"/>
        <v>0.64519742852327888</v>
      </c>
      <c r="AE1466" s="25">
        <f t="shared" si="68"/>
        <v>0.70106336117862544</v>
      </c>
    </row>
    <row r="1467" spans="1:31" x14ac:dyDescent="0.2">
      <c r="A1467" s="1" t="s">
        <v>383</v>
      </c>
      <c r="B1467" s="1" t="s">
        <v>3644</v>
      </c>
      <c r="C1467" s="1">
        <v>6183</v>
      </c>
      <c r="D1467" s="1" t="s">
        <v>3645</v>
      </c>
      <c r="F1467" s="1">
        <v>2023</v>
      </c>
      <c r="G1467" s="5">
        <v>5648</v>
      </c>
      <c r="H1467" s="5">
        <v>5632.45</v>
      </c>
      <c r="I1467" s="5">
        <v>1573373.95</v>
      </c>
      <c r="K1467" s="5">
        <v>4615.1750000000002</v>
      </c>
      <c r="L1467" s="5">
        <v>0.47610000000000002</v>
      </c>
      <c r="M1467" s="5">
        <v>1972164.2890000001</v>
      </c>
      <c r="N1467" s="6">
        <v>0.109</v>
      </c>
      <c r="O1467" s="5">
        <v>1426.175</v>
      </c>
      <c r="P1467" s="6">
        <v>0.15690000000000001</v>
      </c>
      <c r="Q1467" s="5">
        <v>18114837.765000001</v>
      </c>
      <c r="R1467" s="1" t="s">
        <v>55</v>
      </c>
      <c r="T1467" s="1" t="s">
        <v>89</v>
      </c>
      <c r="U1467" s="1" t="s">
        <v>56</v>
      </c>
      <c r="V1467" s="1" t="s">
        <v>3649</v>
      </c>
      <c r="W1467" s="1" t="s">
        <v>331</v>
      </c>
      <c r="Y1467" s="1" t="s">
        <v>337</v>
      </c>
      <c r="Z1467" s="1" t="str">
        <f t="shared" si="66"/>
        <v>6183 SM-1</v>
      </c>
      <c r="AA1467" s="3">
        <f>IF(INDEX('CAMD Facility Data 2023'!$AA$2:$AE$10000,MATCH(Z1467,'CAMD Facility Data 2023'!$AE$2:$AE$10000,0),1)&gt;0,INDEX('CAMD Facility Data 2023'!$AA$2:$AE$10000,MATCH(Z1467,'CAMD Facility Data 2023'!$AE$2:$AE$10000,0),1),"")</f>
        <v>29952</v>
      </c>
      <c r="AB1467" s="5">
        <f>IF(INDEX('CAMD Facility Data 2023'!$AC$2:$AE$10000,MATCH(Z1467,'CAMD Facility Data 2023'!$AE$2:$AE$10000,0),1)&gt;0,INDEX('CAMD Facility Data 2023'!$AC$2:$AE$10000,MATCH(Z1467,'CAMD Facility Data 2023'!$AE$2:$AE$10000,0),1),"")</f>
        <v>6815</v>
      </c>
      <c r="AC1467" s="1" t="str">
        <f>IF(INDEX('CAMD Facility Data 2023'!$AE$2:$AG$10000,MATCH(Z1467,'CAMD Facility Data 2023'!$AE$2:$AE$10000,0),3)&gt;0,INDEX('CAMD Facility Data 2023'!$AE$2:$AG$10000,MATCH(Z1467,'CAMD Facility Data 2023'!$AE$2:$AE$10000,0),3),"")</f>
        <v/>
      </c>
      <c r="AD1467" s="20">
        <f t="shared" si="67"/>
        <v>1.8128875211134645</v>
      </c>
      <c r="AE1467" s="25">
        <f t="shared" si="68"/>
        <v>0.30343416793133599</v>
      </c>
    </row>
    <row r="1468" spans="1:31" x14ac:dyDescent="0.2">
      <c r="A1468" s="1" t="s">
        <v>1426</v>
      </c>
      <c r="B1468" s="1" t="s">
        <v>3651</v>
      </c>
      <c r="C1468" s="1">
        <v>6190</v>
      </c>
      <c r="D1468" s="1">
        <v>1</v>
      </c>
      <c r="F1468" s="1">
        <v>2023</v>
      </c>
      <c r="G1468" s="5">
        <v>6670</v>
      </c>
      <c r="H1468" s="5">
        <v>6652.48</v>
      </c>
      <c r="I1468" s="5">
        <v>1435751.92</v>
      </c>
      <c r="K1468" s="5">
        <v>4.383</v>
      </c>
      <c r="L1468" s="5">
        <v>1E-3</v>
      </c>
      <c r="M1468" s="5">
        <v>868289.67299999995</v>
      </c>
      <c r="N1468" s="6">
        <v>5.8900000000000001E-2</v>
      </c>
      <c r="O1468" s="5">
        <v>1656.6690000000001</v>
      </c>
      <c r="P1468" s="6">
        <v>0.21129999999999999</v>
      </c>
      <c r="Q1468" s="5">
        <v>14610686.766000001</v>
      </c>
      <c r="R1468" s="1" t="s">
        <v>44</v>
      </c>
      <c r="T1468" s="1" t="s">
        <v>89</v>
      </c>
      <c r="Y1468" s="1" t="s">
        <v>1428</v>
      </c>
      <c r="Z1468" s="1" t="str">
        <f t="shared" si="66"/>
        <v>6190 1</v>
      </c>
      <c r="AA1468" s="3">
        <f>IF(INDEX('CAMD Facility Data 2023'!$AA$2:$AE$10000,MATCH(Z1468,'CAMD Facility Data 2023'!$AE$2:$AE$10000,0),1)&gt;0,INDEX('CAMD Facility Data 2023'!$AA$2:$AE$10000,MATCH(Z1468,'CAMD Facility Data 2023'!$AE$2:$AE$10000,0),1),"")</f>
        <v>27546</v>
      </c>
      <c r="AB1468" s="5">
        <f>IF(INDEX('CAMD Facility Data 2023'!$AC$2:$AE$10000,MATCH(Z1468,'CAMD Facility Data 2023'!$AE$2:$AE$10000,0),1)&gt;0,INDEX('CAMD Facility Data 2023'!$AC$2:$AE$10000,MATCH(Z1468,'CAMD Facility Data 2023'!$AE$2:$AE$10000,0),1),"")</f>
        <v>5004</v>
      </c>
      <c r="AC1468" s="1" t="str">
        <f>IF(INDEX('CAMD Facility Data 2023'!$AE$2:$AG$10000,MATCH(Z1468,'CAMD Facility Data 2023'!$AE$2:$AE$10000,0),3)&gt;0,INDEX('CAMD Facility Data 2023'!$AE$2:$AG$10000,MATCH(Z1468,'CAMD Facility Data 2023'!$AE$2:$AE$10000,0),3),"")</f>
        <v/>
      </c>
      <c r="AD1468" s="20">
        <f t="shared" si="67"/>
        <v>2.3077371193764451</v>
      </c>
      <c r="AE1468" s="25">
        <f t="shared" si="68"/>
        <v>0.33331067488474975</v>
      </c>
    </row>
    <row r="1469" spans="1:31" x14ac:dyDescent="0.2">
      <c r="A1469" s="1" t="s">
        <v>1426</v>
      </c>
      <c r="B1469" s="1" t="s">
        <v>3651</v>
      </c>
      <c r="C1469" s="1">
        <v>6190</v>
      </c>
      <c r="D1469" s="1">
        <v>2</v>
      </c>
      <c r="F1469" s="1">
        <v>2023</v>
      </c>
      <c r="G1469" s="5">
        <v>7811</v>
      </c>
      <c r="H1469" s="5">
        <v>7799.26</v>
      </c>
      <c r="I1469" s="5">
        <v>1833395.19</v>
      </c>
      <c r="K1469" s="5">
        <v>2379.127</v>
      </c>
      <c r="L1469" s="5">
        <v>0.24690000000000001</v>
      </c>
      <c r="M1469" s="5">
        <v>2069013.8540000001</v>
      </c>
      <c r="N1469" s="6">
        <v>0.1048</v>
      </c>
      <c r="O1469" s="5">
        <v>1919.472</v>
      </c>
      <c r="P1469" s="6">
        <v>0.19409999999999999</v>
      </c>
      <c r="Q1469" s="5">
        <v>19730318.265999999</v>
      </c>
      <c r="R1469" s="1" t="s">
        <v>55</v>
      </c>
      <c r="T1469" s="1" t="s">
        <v>89</v>
      </c>
      <c r="V1469" s="1" t="s">
        <v>1221</v>
      </c>
      <c r="W1469" s="1" t="s">
        <v>123</v>
      </c>
      <c r="X1469" s="1" t="s">
        <v>344</v>
      </c>
      <c r="Y1469" s="1" t="s">
        <v>1440</v>
      </c>
      <c r="Z1469" s="1" t="str">
        <f t="shared" si="66"/>
        <v>6190 2</v>
      </c>
      <c r="AA1469" s="3">
        <f>IF(INDEX('CAMD Facility Data 2023'!$AA$2:$AE$10000,MATCH(Z1469,'CAMD Facility Data 2023'!$AE$2:$AE$10000,0),1)&gt;0,INDEX('CAMD Facility Data 2023'!$AA$2:$AE$10000,MATCH(Z1469,'CAMD Facility Data 2023'!$AE$2:$AE$10000,0),1),"")</f>
        <v>30164</v>
      </c>
      <c r="AB1469" s="5">
        <f>IF(INDEX('CAMD Facility Data 2023'!$AC$2:$AE$10000,MATCH(Z1469,'CAMD Facility Data 2023'!$AE$2:$AE$10000,0),1)&gt;0,INDEX('CAMD Facility Data 2023'!$AC$2:$AE$10000,MATCH(Z1469,'CAMD Facility Data 2023'!$AE$2:$AE$10000,0),1),"")</f>
        <v>6534</v>
      </c>
      <c r="AC1469" s="1" t="str">
        <f>IF(INDEX('CAMD Facility Data 2023'!$AE$2:$AG$10000,MATCH(Z1469,'CAMD Facility Data 2023'!$AE$2:$AE$10000,0),3)&gt;0,INDEX('CAMD Facility Data 2023'!$AE$2:$AG$10000,MATCH(Z1469,'CAMD Facility Data 2023'!$AE$2:$AE$10000,0),3),"")</f>
        <v>Y</v>
      </c>
      <c r="AD1469" s="20">
        <f t="shared" si="67"/>
        <v>2.0938988063997268</v>
      </c>
      <c r="AE1469" s="25">
        <f t="shared" si="68"/>
        <v>0.34470759668778556</v>
      </c>
    </row>
    <row r="1470" spans="1:31" x14ac:dyDescent="0.2">
      <c r="A1470" s="1" t="s">
        <v>1426</v>
      </c>
      <c r="B1470" s="1" t="s">
        <v>3651</v>
      </c>
      <c r="C1470" s="1">
        <v>6190</v>
      </c>
      <c r="D1470" s="2">
        <v>45352</v>
      </c>
      <c r="F1470" s="1">
        <v>2023</v>
      </c>
      <c r="G1470" s="5">
        <v>2293</v>
      </c>
      <c r="H1470" s="5">
        <v>2285.0300000000002</v>
      </c>
      <c r="I1470" s="5">
        <v>537377.67000000004</v>
      </c>
      <c r="K1470" s="5">
        <v>334.86200000000002</v>
      </c>
      <c r="L1470" s="5">
        <v>0.11169999999999999</v>
      </c>
      <c r="M1470" s="5">
        <v>618544.63199999998</v>
      </c>
      <c r="N1470" s="6">
        <v>0.1028</v>
      </c>
      <c r="O1470" s="5">
        <v>94.763999999999996</v>
      </c>
      <c r="P1470" s="6">
        <v>3.1699999999999999E-2</v>
      </c>
      <c r="Q1470" s="5">
        <v>5882073.2860000003</v>
      </c>
      <c r="R1470" s="1" t="s">
        <v>2492</v>
      </c>
      <c r="S1470" s="1" t="s">
        <v>55</v>
      </c>
      <c r="T1470" s="1" t="s">
        <v>885</v>
      </c>
      <c r="U1470" s="1" t="s">
        <v>212</v>
      </c>
      <c r="V1470" s="1" t="s">
        <v>669</v>
      </c>
      <c r="W1470" s="1" t="s">
        <v>232</v>
      </c>
      <c r="X1470" s="1" t="s">
        <v>344</v>
      </c>
      <c r="Y1470" s="1" t="s">
        <v>1440</v>
      </c>
      <c r="Z1470" s="1" t="str">
        <f t="shared" si="66"/>
        <v>6190 45352</v>
      </c>
      <c r="AA1470" s="3">
        <f>IF(INDEX('CAMD Facility Data 2023'!$AA$2:$AE$10000,MATCH(Z1470,'CAMD Facility Data 2023'!$AE$2:$AE$10000,0),1)&gt;0,INDEX('CAMD Facility Data 2023'!$AA$2:$AE$10000,MATCH(Z1470,'CAMD Facility Data 2023'!$AE$2:$AE$10000,0),1),"")</f>
        <v>40131</v>
      </c>
      <c r="AB1470" s="5">
        <f>IF(INDEX('CAMD Facility Data 2023'!$AC$2:$AE$10000,MATCH(Z1470,'CAMD Facility Data 2023'!$AE$2:$AE$10000,0),1)&gt;0,INDEX('CAMD Facility Data 2023'!$AC$2:$AE$10000,MATCH(Z1470,'CAMD Facility Data 2023'!$AE$2:$AE$10000,0),1),"")</f>
        <v>3750</v>
      </c>
      <c r="AC1470" s="1" t="str">
        <f>IF(INDEX('CAMD Facility Data 2023'!$AE$2:$AG$10000,MATCH(Z1470,'CAMD Facility Data 2023'!$AE$2:$AE$10000,0),3)&gt;0,INDEX('CAMD Facility Data 2023'!$AE$2:$AG$10000,MATCH(Z1470,'CAMD Facility Data 2023'!$AE$2:$AE$10000,0),3),"")</f>
        <v>Y</v>
      </c>
      <c r="AD1470" s="20">
        <f t="shared" si="67"/>
        <v>0.35269050163546989</v>
      </c>
      <c r="AE1470" s="25">
        <f t="shared" si="68"/>
        <v>0.17905854751902589</v>
      </c>
    </row>
    <row r="1471" spans="1:31" x14ac:dyDescent="0.2">
      <c r="A1471" s="1" t="s">
        <v>1426</v>
      </c>
      <c r="B1471" s="1" t="s">
        <v>3651</v>
      </c>
      <c r="C1471" s="1">
        <v>6190</v>
      </c>
      <c r="D1471" s="2">
        <v>45353</v>
      </c>
      <c r="F1471" s="1">
        <v>2023</v>
      </c>
      <c r="G1471" s="5">
        <v>2816</v>
      </c>
      <c r="H1471" s="5">
        <v>2813.57</v>
      </c>
      <c r="I1471" s="5">
        <v>729254.87</v>
      </c>
      <c r="K1471" s="5">
        <v>447.73700000000002</v>
      </c>
      <c r="L1471" s="5">
        <v>0.1135</v>
      </c>
      <c r="M1471" s="5">
        <v>824683.69900000002</v>
      </c>
      <c r="N1471" s="6">
        <v>0.1045</v>
      </c>
      <c r="O1471" s="5">
        <v>113.703</v>
      </c>
      <c r="P1471" s="6">
        <v>2.8400000000000002E-2</v>
      </c>
      <c r="Q1471" s="5">
        <v>7825611.3679999998</v>
      </c>
      <c r="R1471" s="1" t="s">
        <v>2492</v>
      </c>
      <c r="S1471" s="1" t="s">
        <v>55</v>
      </c>
      <c r="T1471" s="1" t="s">
        <v>885</v>
      </c>
      <c r="U1471" s="1" t="s">
        <v>212</v>
      </c>
      <c r="V1471" s="1" t="s">
        <v>669</v>
      </c>
      <c r="W1471" s="1" t="s">
        <v>232</v>
      </c>
      <c r="X1471" s="1" t="s">
        <v>344</v>
      </c>
      <c r="Y1471" s="1" t="s">
        <v>1440</v>
      </c>
      <c r="Z1471" s="1" t="str">
        <f t="shared" si="66"/>
        <v>6190 45353</v>
      </c>
      <c r="AA1471" s="3">
        <f>IF(INDEX('CAMD Facility Data 2023'!$AA$2:$AE$10000,MATCH(Z1471,'CAMD Facility Data 2023'!$AE$2:$AE$10000,0),1)&gt;0,INDEX('CAMD Facility Data 2023'!$AA$2:$AE$10000,MATCH(Z1471,'CAMD Facility Data 2023'!$AE$2:$AE$10000,0),1),"")</f>
        <v>40122</v>
      </c>
      <c r="AB1471" s="5">
        <f>IF(INDEX('CAMD Facility Data 2023'!$AC$2:$AE$10000,MATCH(Z1471,'CAMD Facility Data 2023'!$AE$2:$AE$10000,0),1)&gt;0,INDEX('CAMD Facility Data 2023'!$AC$2:$AE$10000,MATCH(Z1471,'CAMD Facility Data 2023'!$AE$2:$AE$10000,0),1),"")</f>
        <v>3750</v>
      </c>
      <c r="AC1471" s="1" t="str">
        <f>IF(INDEX('CAMD Facility Data 2023'!$AE$2:$AG$10000,MATCH(Z1471,'CAMD Facility Data 2023'!$AE$2:$AE$10000,0),3)&gt;0,INDEX('CAMD Facility Data 2023'!$AE$2:$AG$10000,MATCH(Z1471,'CAMD Facility Data 2023'!$AE$2:$AE$10000,0),3),"")</f>
        <v>Y</v>
      </c>
      <c r="AD1471" s="20">
        <f t="shared" si="67"/>
        <v>0.31183336492494046</v>
      </c>
      <c r="AE1471" s="25">
        <f t="shared" si="68"/>
        <v>0.23822256828006089</v>
      </c>
    </row>
    <row r="1472" spans="1:31" x14ac:dyDescent="0.2">
      <c r="A1472" s="1" t="s">
        <v>383</v>
      </c>
      <c r="B1472" s="1" t="s">
        <v>3658</v>
      </c>
      <c r="C1472" s="1">
        <v>6193</v>
      </c>
      <c r="D1472" s="1" t="s">
        <v>3659</v>
      </c>
      <c r="F1472" s="1">
        <v>2023</v>
      </c>
      <c r="G1472" s="5">
        <v>5742</v>
      </c>
      <c r="H1472" s="5">
        <v>5690.29</v>
      </c>
      <c r="I1472" s="5">
        <v>1136647.21</v>
      </c>
      <c r="K1472" s="5">
        <v>3519.5160000000001</v>
      </c>
      <c r="L1472" s="5">
        <v>0.54200000000000004</v>
      </c>
      <c r="M1472" s="5">
        <v>1294692.5430000001</v>
      </c>
      <c r="N1472" s="6">
        <v>0.1011</v>
      </c>
      <c r="O1472" s="5">
        <v>742.66600000000005</v>
      </c>
      <c r="P1472" s="6">
        <v>0.11269999999999999</v>
      </c>
      <c r="Q1472" s="5">
        <v>12409152.463</v>
      </c>
      <c r="R1472" s="1" t="s">
        <v>55</v>
      </c>
      <c r="S1472" s="1" t="s">
        <v>44</v>
      </c>
      <c r="T1472" s="1" t="s">
        <v>43</v>
      </c>
      <c r="V1472" s="1" t="s">
        <v>3660</v>
      </c>
      <c r="W1472" s="1" t="s">
        <v>58</v>
      </c>
      <c r="X1472" s="1" t="s">
        <v>214</v>
      </c>
      <c r="Y1472" s="1" t="s">
        <v>386</v>
      </c>
      <c r="Z1472" s="1" t="str">
        <f t="shared" si="66"/>
        <v>6193 061B</v>
      </c>
      <c r="AA1472" s="3">
        <f>IF(INDEX('CAMD Facility Data 2023'!$AA$2:$AE$10000,MATCH(Z1472,'CAMD Facility Data 2023'!$AE$2:$AE$10000,0),1)&gt;0,INDEX('CAMD Facility Data 2023'!$AA$2:$AE$10000,MATCH(Z1472,'CAMD Facility Data 2023'!$AE$2:$AE$10000,0),1),"")</f>
        <v>27942</v>
      </c>
      <c r="AB1472" s="5">
        <f>IF(INDEX('CAMD Facility Data 2023'!$AC$2:$AE$10000,MATCH(Z1472,'CAMD Facility Data 2023'!$AE$2:$AE$10000,0),1)&gt;0,INDEX('CAMD Facility Data 2023'!$AC$2:$AE$10000,MATCH(Z1472,'CAMD Facility Data 2023'!$AE$2:$AE$10000,0),1),"")</f>
        <v>4631</v>
      </c>
      <c r="AC1472" s="1" t="str">
        <f>IF(INDEX('CAMD Facility Data 2023'!$AE$2:$AG$10000,MATCH(Z1472,'CAMD Facility Data 2023'!$AE$2:$AE$10000,0),3)&gt;0,INDEX('CAMD Facility Data 2023'!$AE$2:$AG$10000,MATCH(Z1472,'CAMD Facility Data 2023'!$AE$2:$AE$10000,0),3),"")</f>
        <v/>
      </c>
      <c r="AD1472" s="20">
        <f t="shared" si="67"/>
        <v>1.306766063324081</v>
      </c>
      <c r="AE1472" s="25">
        <f t="shared" si="68"/>
        <v>0.3058885588139883</v>
      </c>
    </row>
    <row r="1473" spans="1:31" x14ac:dyDescent="0.2">
      <c r="A1473" s="1" t="s">
        <v>383</v>
      </c>
      <c r="B1473" s="1" t="s">
        <v>3658</v>
      </c>
      <c r="C1473" s="1">
        <v>6193</v>
      </c>
      <c r="D1473" s="1" t="s">
        <v>3662</v>
      </c>
      <c r="F1473" s="1">
        <v>2023</v>
      </c>
      <c r="G1473" s="5">
        <v>4790</v>
      </c>
      <c r="H1473" s="5">
        <v>4764.2299999999996</v>
      </c>
      <c r="I1473" s="5">
        <v>1009126.12</v>
      </c>
      <c r="K1473" s="5">
        <v>2929.3319999999999</v>
      </c>
      <c r="L1473" s="5">
        <v>0.57250000000000001</v>
      </c>
      <c r="M1473" s="5">
        <v>1039712.872</v>
      </c>
      <c r="N1473" s="6">
        <v>0.1026</v>
      </c>
      <c r="O1473" s="5">
        <v>627.79600000000005</v>
      </c>
      <c r="P1473" s="6">
        <v>0.12039999999999999</v>
      </c>
      <c r="Q1473" s="5">
        <v>9938342.7899999991</v>
      </c>
      <c r="R1473" s="1" t="s">
        <v>55</v>
      </c>
      <c r="S1473" s="1" t="s">
        <v>44</v>
      </c>
      <c r="T1473" s="1" t="s">
        <v>43</v>
      </c>
      <c r="V1473" s="1" t="s">
        <v>1226</v>
      </c>
      <c r="W1473" s="1" t="s">
        <v>232</v>
      </c>
      <c r="X1473" s="1" t="s">
        <v>214</v>
      </c>
      <c r="Y1473" s="1" t="s">
        <v>386</v>
      </c>
      <c r="Z1473" s="1" t="str">
        <f t="shared" si="66"/>
        <v>6193 062B</v>
      </c>
      <c r="AA1473" s="3">
        <f>IF(INDEX('CAMD Facility Data 2023'!$AA$2:$AE$10000,MATCH(Z1473,'CAMD Facility Data 2023'!$AE$2:$AE$10000,0),1)&gt;0,INDEX('CAMD Facility Data 2023'!$AA$2:$AE$10000,MATCH(Z1473,'CAMD Facility Data 2023'!$AE$2:$AE$10000,0),1),"")</f>
        <v>28611</v>
      </c>
      <c r="AB1473" s="5">
        <f>IF(INDEX('CAMD Facility Data 2023'!$AC$2:$AE$10000,MATCH(Z1473,'CAMD Facility Data 2023'!$AE$2:$AE$10000,0),1)&gt;0,INDEX('CAMD Facility Data 2023'!$AC$2:$AE$10000,MATCH(Z1473,'CAMD Facility Data 2023'!$AE$2:$AE$10000,0),1),"")</f>
        <v>4222</v>
      </c>
      <c r="AC1473" s="1" t="str">
        <f>IF(INDEX('CAMD Facility Data 2023'!$AE$2:$AG$10000,MATCH(Z1473,'CAMD Facility Data 2023'!$AE$2:$AE$10000,0),3)&gt;0,INDEX('CAMD Facility Data 2023'!$AE$2:$AG$10000,MATCH(Z1473,'CAMD Facility Data 2023'!$AE$2:$AE$10000,0),3),"")</f>
        <v/>
      </c>
      <c r="AD1473" s="20">
        <f t="shared" si="67"/>
        <v>1.2442369443375423</v>
      </c>
      <c r="AE1473" s="25">
        <f t="shared" si="68"/>
        <v>0.26871483115189188</v>
      </c>
    </row>
    <row r="1474" spans="1:31" x14ac:dyDescent="0.2">
      <c r="A1474" s="1" t="s">
        <v>383</v>
      </c>
      <c r="B1474" s="1" t="s">
        <v>3658</v>
      </c>
      <c r="C1474" s="1">
        <v>6193</v>
      </c>
      <c r="D1474" s="1" t="s">
        <v>3664</v>
      </c>
      <c r="F1474" s="1">
        <v>2023</v>
      </c>
      <c r="G1474" s="5">
        <v>6749</v>
      </c>
      <c r="H1474" s="5">
        <v>6715.99</v>
      </c>
      <c r="I1474" s="5">
        <v>1397386.63</v>
      </c>
      <c r="K1474" s="5">
        <v>4083.0160000000001</v>
      </c>
      <c r="L1474" s="5">
        <v>0.55989999999999995</v>
      </c>
      <c r="M1474" s="5">
        <v>1466200.22</v>
      </c>
      <c r="N1474" s="6">
        <v>0.1027</v>
      </c>
      <c r="O1474" s="5">
        <v>946.72799999999995</v>
      </c>
      <c r="P1474" s="6">
        <v>0.1331</v>
      </c>
      <c r="Q1474" s="5">
        <v>14016206.945</v>
      </c>
      <c r="R1474" s="1" t="s">
        <v>55</v>
      </c>
      <c r="S1474" s="1" t="s">
        <v>44</v>
      </c>
      <c r="T1474" s="1" t="s">
        <v>43</v>
      </c>
      <c r="V1474" s="1" t="s">
        <v>1226</v>
      </c>
      <c r="W1474" s="1" t="s">
        <v>232</v>
      </c>
      <c r="X1474" s="1" t="s">
        <v>214</v>
      </c>
      <c r="Y1474" s="1" t="s">
        <v>386</v>
      </c>
      <c r="Z1474" s="1" t="str">
        <f t="shared" si="66"/>
        <v>6193 063B</v>
      </c>
      <c r="AA1474" s="3">
        <f>IF(INDEX('CAMD Facility Data 2023'!$AA$2:$AE$10000,MATCH(Z1474,'CAMD Facility Data 2023'!$AE$2:$AE$10000,0),1)&gt;0,INDEX('CAMD Facility Data 2023'!$AA$2:$AE$10000,MATCH(Z1474,'CAMD Facility Data 2023'!$AE$2:$AE$10000,0),1),"")</f>
        <v>29342</v>
      </c>
      <c r="AB1474" s="5">
        <f>IF(INDEX('CAMD Facility Data 2023'!$AC$2:$AE$10000,MATCH(Z1474,'CAMD Facility Data 2023'!$AE$2:$AE$10000,0),1)&gt;0,INDEX('CAMD Facility Data 2023'!$AC$2:$AE$10000,MATCH(Z1474,'CAMD Facility Data 2023'!$AE$2:$AE$10000,0),1),"")</f>
        <v>4397</v>
      </c>
      <c r="AC1474" s="1" t="str">
        <f>IF(INDEX('CAMD Facility Data 2023'!$AE$2:$AG$10000,MATCH(Z1474,'CAMD Facility Data 2023'!$AE$2:$AE$10000,0),3)&gt;0,INDEX('CAMD Facility Data 2023'!$AE$2:$AG$10000,MATCH(Z1474,'CAMD Facility Data 2023'!$AE$2:$AE$10000,0),3),"")</f>
        <v/>
      </c>
      <c r="AD1474" s="20">
        <f t="shared" si="67"/>
        <v>1.3549979363978888</v>
      </c>
      <c r="AE1474" s="25">
        <f t="shared" si="68"/>
        <v>0.36388983940378611</v>
      </c>
    </row>
    <row r="1475" spans="1:31" x14ac:dyDescent="0.2">
      <c r="A1475" s="1" t="s">
        <v>383</v>
      </c>
      <c r="B1475" s="1" t="s">
        <v>3666</v>
      </c>
      <c r="C1475" s="1">
        <v>6194</v>
      </c>
      <c r="D1475" s="1" t="s">
        <v>3667</v>
      </c>
      <c r="F1475" s="1">
        <v>2023</v>
      </c>
      <c r="G1475" s="5">
        <v>5727</v>
      </c>
      <c r="H1475" s="5">
        <v>5693.22</v>
      </c>
      <c r="I1475" s="5">
        <v>1545733.37</v>
      </c>
      <c r="K1475" s="5">
        <v>4454.1980000000003</v>
      </c>
      <c r="L1475" s="5">
        <v>0.53500000000000003</v>
      </c>
      <c r="M1475" s="5">
        <v>1642795.416</v>
      </c>
      <c r="N1475" s="6">
        <v>0.1023</v>
      </c>
      <c r="O1475" s="5">
        <v>1191.7529999999999</v>
      </c>
      <c r="P1475" s="6">
        <v>0.1542</v>
      </c>
      <c r="Q1475" s="5">
        <v>15719901.147</v>
      </c>
      <c r="R1475" s="1" t="s">
        <v>55</v>
      </c>
      <c r="T1475" s="1" t="s">
        <v>43</v>
      </c>
      <c r="V1475" s="1" t="s">
        <v>3660</v>
      </c>
      <c r="W1475" s="1" t="s">
        <v>232</v>
      </c>
      <c r="X1475" s="1" t="s">
        <v>214</v>
      </c>
      <c r="Y1475" s="1" t="s">
        <v>386</v>
      </c>
      <c r="Z1475" s="1" t="str">
        <f t="shared" ref="Z1475:Z1538" si="69">C1475&amp;" "&amp;D1475</f>
        <v>6194 171B</v>
      </c>
      <c r="AA1475" s="3">
        <f>IF(INDEX('CAMD Facility Data 2023'!$AA$2:$AE$10000,MATCH(Z1475,'CAMD Facility Data 2023'!$AE$2:$AE$10000,0),1)&gt;0,INDEX('CAMD Facility Data 2023'!$AA$2:$AE$10000,MATCH(Z1475,'CAMD Facility Data 2023'!$AE$2:$AE$10000,0),1),"")</f>
        <v>30133</v>
      </c>
      <c r="AB1475" s="5">
        <f>IF(INDEX('CAMD Facility Data 2023'!$AC$2:$AE$10000,MATCH(Z1475,'CAMD Facility Data 2023'!$AE$2:$AE$10000,0),1)&gt;0,INDEX('CAMD Facility Data 2023'!$AC$2:$AE$10000,MATCH(Z1475,'CAMD Facility Data 2023'!$AE$2:$AE$10000,0),1),"")</f>
        <v>6331</v>
      </c>
      <c r="AC1475" s="1" t="str">
        <f>IF(INDEX('CAMD Facility Data 2023'!$AE$2:$AG$10000,MATCH(Z1475,'CAMD Facility Data 2023'!$AE$2:$AE$10000,0),3)&gt;0,INDEX('CAMD Facility Data 2023'!$AE$2:$AG$10000,MATCH(Z1475,'CAMD Facility Data 2023'!$AE$2:$AE$10000,0),3),"")</f>
        <v/>
      </c>
      <c r="AD1475" s="20">
        <f t="shared" ref="AD1475:AD1538" si="70">IF(ISNUMBER(O1475*2000/I1475),O1475*2000/I1475,"")</f>
        <v>1.5419903886787407</v>
      </c>
      <c r="AE1475" s="25">
        <f t="shared" ref="AE1475:AE1538" si="71">Q1475/(AB1475*8760)</f>
        <v>0.28344799610743393</v>
      </c>
    </row>
    <row r="1476" spans="1:31" x14ac:dyDescent="0.2">
      <c r="A1476" s="1" t="s">
        <v>383</v>
      </c>
      <c r="B1476" s="1" t="s">
        <v>3666</v>
      </c>
      <c r="C1476" s="1">
        <v>6194</v>
      </c>
      <c r="D1476" s="1" t="s">
        <v>3668</v>
      </c>
      <c r="F1476" s="1">
        <v>2023</v>
      </c>
      <c r="G1476" s="5">
        <v>5574</v>
      </c>
      <c r="H1476" s="5">
        <v>5543.83</v>
      </c>
      <c r="I1476" s="5">
        <v>1369851.78</v>
      </c>
      <c r="K1476" s="5">
        <v>3975.69</v>
      </c>
      <c r="L1476" s="5">
        <v>0.52810000000000001</v>
      </c>
      <c r="M1476" s="5">
        <v>1459982.426</v>
      </c>
      <c r="N1476" s="6">
        <v>0.1022</v>
      </c>
      <c r="O1476" s="5">
        <v>981.59</v>
      </c>
      <c r="P1476" s="6">
        <v>0.1333</v>
      </c>
      <c r="Q1476" s="5">
        <v>13975940.544</v>
      </c>
      <c r="R1476" s="1" t="s">
        <v>55</v>
      </c>
      <c r="T1476" s="1" t="s">
        <v>43</v>
      </c>
      <c r="V1476" s="1" t="s">
        <v>3660</v>
      </c>
      <c r="W1476" s="1" t="s">
        <v>232</v>
      </c>
      <c r="X1476" s="1" t="s">
        <v>214</v>
      </c>
      <c r="Y1476" s="1" t="s">
        <v>386</v>
      </c>
      <c r="Z1476" s="1" t="str">
        <f t="shared" si="69"/>
        <v>6194 172B</v>
      </c>
      <c r="AA1476" s="3">
        <f>IF(INDEX('CAMD Facility Data 2023'!$AA$2:$AE$10000,MATCH(Z1476,'CAMD Facility Data 2023'!$AE$2:$AE$10000,0),1)&gt;0,INDEX('CAMD Facility Data 2023'!$AA$2:$AE$10000,MATCH(Z1476,'CAMD Facility Data 2023'!$AE$2:$AE$10000,0),1),"")</f>
        <v>31138</v>
      </c>
      <c r="AB1476" s="5">
        <f>IF(INDEX('CAMD Facility Data 2023'!$AC$2:$AE$10000,MATCH(Z1476,'CAMD Facility Data 2023'!$AE$2:$AE$10000,0),1)&gt;0,INDEX('CAMD Facility Data 2023'!$AC$2:$AE$10000,MATCH(Z1476,'CAMD Facility Data 2023'!$AE$2:$AE$10000,0),1),"")</f>
        <v>6454</v>
      </c>
      <c r="AC1476" s="1" t="str">
        <f>IF(INDEX('CAMD Facility Data 2023'!$AE$2:$AG$10000,MATCH(Z1476,'CAMD Facility Data 2023'!$AE$2:$AE$10000,0),3)&gt;0,INDEX('CAMD Facility Data 2023'!$AE$2:$AG$10000,MATCH(Z1476,'CAMD Facility Data 2023'!$AE$2:$AE$10000,0),3),"")</f>
        <v/>
      </c>
      <c r="AD1476" s="20">
        <f t="shared" si="70"/>
        <v>1.4331331525517308</v>
      </c>
      <c r="AE1476" s="25">
        <f t="shared" si="71"/>
        <v>0.24719972152769229</v>
      </c>
    </row>
    <row r="1477" spans="1:31" x14ac:dyDescent="0.2">
      <c r="A1477" s="1" t="s">
        <v>1755</v>
      </c>
      <c r="B1477" s="1" t="s">
        <v>3669</v>
      </c>
      <c r="C1477" s="1">
        <v>6195</v>
      </c>
      <c r="D1477" s="1">
        <v>1</v>
      </c>
      <c r="F1477" s="1">
        <v>2023</v>
      </c>
      <c r="G1477" s="5">
        <v>6817</v>
      </c>
      <c r="H1477" s="5">
        <v>6801.71</v>
      </c>
      <c r="I1477" s="5">
        <v>952624.77</v>
      </c>
      <c r="K1477" s="5">
        <v>2091.5070000000001</v>
      </c>
      <c r="L1477" s="5">
        <v>0.4456</v>
      </c>
      <c r="M1477" s="5">
        <v>959463.59499999997</v>
      </c>
      <c r="N1477" s="6">
        <v>0.1031</v>
      </c>
      <c r="O1477" s="5">
        <v>503.50700000000001</v>
      </c>
      <c r="P1477" s="6">
        <v>0.1089</v>
      </c>
      <c r="Q1477" s="5">
        <v>9237022.4250000007</v>
      </c>
      <c r="R1477" s="1" t="s">
        <v>55</v>
      </c>
      <c r="S1477" s="1" t="s">
        <v>3670</v>
      </c>
      <c r="T1477" s="1" t="s">
        <v>89</v>
      </c>
      <c r="V1477" s="1" t="s">
        <v>3671</v>
      </c>
      <c r="W1477" s="1" t="s">
        <v>232</v>
      </c>
      <c r="X1477" s="1" t="s">
        <v>214</v>
      </c>
      <c r="Y1477" s="1" t="s">
        <v>1188</v>
      </c>
      <c r="Z1477" s="1" t="str">
        <f t="shared" si="69"/>
        <v>6195 1</v>
      </c>
      <c r="AA1477" s="3">
        <f>IF(INDEX('CAMD Facility Data 2023'!$AA$2:$AE$10000,MATCH(Z1477,'CAMD Facility Data 2023'!$AE$2:$AE$10000,0),1)&gt;0,INDEX('CAMD Facility Data 2023'!$AA$2:$AE$10000,MATCH(Z1477,'CAMD Facility Data 2023'!$AE$2:$AE$10000,0),1),"")</f>
        <v>27912</v>
      </c>
      <c r="AB1477" s="5">
        <f>IF(INDEX('CAMD Facility Data 2023'!$AC$2:$AE$10000,MATCH(Z1477,'CAMD Facility Data 2023'!$AE$2:$AE$10000,0),1)&gt;0,INDEX('CAMD Facility Data 2023'!$AC$2:$AE$10000,MATCH(Z1477,'CAMD Facility Data 2023'!$AE$2:$AE$10000,0),1),"")</f>
        <v>1990</v>
      </c>
      <c r="AC1477" s="1" t="str">
        <f>IF(INDEX('CAMD Facility Data 2023'!$AE$2:$AG$10000,MATCH(Z1477,'CAMD Facility Data 2023'!$AE$2:$AE$10000,0),3)&gt;0,INDEX('CAMD Facility Data 2023'!$AE$2:$AG$10000,MATCH(Z1477,'CAMD Facility Data 2023'!$AE$2:$AE$10000,0),3),"")</f>
        <v>Y</v>
      </c>
      <c r="AD1477" s="20">
        <f t="shared" si="70"/>
        <v>1.0570940749315179</v>
      </c>
      <c r="AE1477" s="25">
        <f t="shared" si="71"/>
        <v>0.52987669081709921</v>
      </c>
    </row>
    <row r="1478" spans="1:31" x14ac:dyDescent="0.2">
      <c r="A1478" s="1" t="s">
        <v>1755</v>
      </c>
      <c r="B1478" s="1" t="s">
        <v>3669</v>
      </c>
      <c r="C1478" s="1">
        <v>6195</v>
      </c>
      <c r="D1478" s="1">
        <v>2</v>
      </c>
      <c r="F1478" s="1">
        <v>2023</v>
      </c>
      <c r="G1478" s="5">
        <v>5935</v>
      </c>
      <c r="H1478" s="5">
        <v>5921.54</v>
      </c>
      <c r="I1478" s="5">
        <v>1124081.6000000001</v>
      </c>
      <c r="K1478" s="5">
        <v>417.29300000000001</v>
      </c>
      <c r="L1478" s="5">
        <v>8.0699999999999994E-2</v>
      </c>
      <c r="M1478" s="5">
        <v>1063764.0209999999</v>
      </c>
      <c r="N1478" s="6">
        <v>0.10299999999999999</v>
      </c>
      <c r="O1478" s="5">
        <v>366.077</v>
      </c>
      <c r="P1478" s="6">
        <v>7.2499999999999995E-2</v>
      </c>
      <c r="Q1478" s="5">
        <v>10207597.48</v>
      </c>
      <c r="R1478" s="1" t="s">
        <v>55</v>
      </c>
      <c r="S1478" s="1" t="s">
        <v>3673</v>
      </c>
      <c r="T1478" s="1" t="s">
        <v>89</v>
      </c>
      <c r="U1478" s="1" t="s">
        <v>212</v>
      </c>
      <c r="V1478" s="1" t="s">
        <v>223</v>
      </c>
      <c r="W1478" s="1" t="s">
        <v>232</v>
      </c>
      <c r="X1478" s="1" t="s">
        <v>3674</v>
      </c>
      <c r="Y1478" s="1" t="s">
        <v>1188</v>
      </c>
      <c r="Z1478" s="1" t="str">
        <f t="shared" si="69"/>
        <v>6195 2</v>
      </c>
      <c r="AA1478" s="3">
        <f>IF(INDEX('CAMD Facility Data 2023'!$AA$2:$AE$10000,MATCH(Z1478,'CAMD Facility Data 2023'!$AE$2:$AE$10000,0),1)&gt;0,INDEX('CAMD Facility Data 2023'!$AA$2:$AE$10000,MATCH(Z1478,'CAMD Facility Data 2023'!$AE$2:$AE$10000,0),1),"")</f>
        <v>40483</v>
      </c>
      <c r="AB1478" s="5">
        <f>IF(INDEX('CAMD Facility Data 2023'!$AC$2:$AE$10000,MATCH(Z1478,'CAMD Facility Data 2023'!$AE$2:$AE$10000,0),1)&gt;0,INDEX('CAMD Facility Data 2023'!$AC$2:$AE$10000,MATCH(Z1478,'CAMD Facility Data 2023'!$AE$2:$AE$10000,0),1),"")</f>
        <v>2724</v>
      </c>
      <c r="AC1478" s="1" t="str">
        <f>IF(INDEX('CAMD Facility Data 2023'!$AE$2:$AG$10000,MATCH(Z1478,'CAMD Facility Data 2023'!$AE$2:$AE$10000,0),3)&gt;0,INDEX('CAMD Facility Data 2023'!$AE$2:$AG$10000,MATCH(Z1478,'CAMD Facility Data 2023'!$AE$2:$AE$10000,0),3),"")</f>
        <v>Y</v>
      </c>
      <c r="AD1478" s="20">
        <f t="shared" si="70"/>
        <v>0.65133527672724112</v>
      </c>
      <c r="AE1478" s="25">
        <f t="shared" si="71"/>
        <v>0.42777197279048407</v>
      </c>
    </row>
    <row r="1479" spans="1:31" x14ac:dyDescent="0.2">
      <c r="A1479" s="1" t="s">
        <v>1755</v>
      </c>
      <c r="B1479" s="1" t="s">
        <v>3669</v>
      </c>
      <c r="C1479" s="1">
        <v>6195</v>
      </c>
      <c r="D1479" s="1" t="s">
        <v>3676</v>
      </c>
      <c r="F1479" s="1">
        <v>2023</v>
      </c>
      <c r="G1479" s="5">
        <v>1658</v>
      </c>
      <c r="H1479" s="5">
        <v>1397.07</v>
      </c>
      <c r="I1479" s="5">
        <v>26608.61</v>
      </c>
      <c r="K1479" s="5">
        <v>0.161</v>
      </c>
      <c r="L1479" s="5">
        <v>1E-3</v>
      </c>
      <c r="M1479" s="5">
        <v>23606.859</v>
      </c>
      <c r="N1479" s="6">
        <v>5.9299999999999999E-2</v>
      </c>
      <c r="O1479" s="5">
        <v>30.745000000000001</v>
      </c>
      <c r="P1479" s="6">
        <v>0.16470000000000001</v>
      </c>
      <c r="Q1479" s="5">
        <v>397197.04300000001</v>
      </c>
      <c r="R1479" s="1" t="s">
        <v>284</v>
      </c>
      <c r="T1479" s="1" t="s">
        <v>93</v>
      </c>
      <c r="V1479" s="1" t="s">
        <v>95</v>
      </c>
      <c r="Y1479" s="1" t="s">
        <v>1195</v>
      </c>
      <c r="Z1479" s="1" t="str">
        <f t="shared" si="69"/>
        <v>6195 CT1A</v>
      </c>
      <c r="AA1479" s="3">
        <f>IF(INDEX('CAMD Facility Data 2023'!$AA$2:$AE$10000,MATCH(Z1479,'CAMD Facility Data 2023'!$AE$2:$AE$10000,0),1)&gt;0,INDEX('CAMD Facility Data 2023'!$AA$2:$AE$10000,MATCH(Z1479,'CAMD Facility Data 2023'!$AE$2:$AE$10000,0),1),"")</f>
        <v>30303</v>
      </c>
      <c r="AB1479" s="5">
        <f>IF(INDEX('CAMD Facility Data 2023'!$AC$2:$AE$10000,MATCH(Z1479,'CAMD Facility Data 2023'!$AE$2:$AE$10000,0),1)&gt;0,INDEX('CAMD Facility Data 2023'!$AC$2:$AE$10000,MATCH(Z1479,'CAMD Facility Data 2023'!$AE$2:$AE$10000,0),1),"")</f>
        <v>376</v>
      </c>
      <c r="AC1479" s="1" t="str">
        <f>IF(INDEX('CAMD Facility Data 2023'!$AE$2:$AG$10000,MATCH(Z1479,'CAMD Facility Data 2023'!$AE$2:$AE$10000,0),3)&gt;0,INDEX('CAMD Facility Data 2023'!$AE$2:$AG$10000,MATCH(Z1479,'CAMD Facility Data 2023'!$AE$2:$AE$10000,0),3),"")</f>
        <v/>
      </c>
      <c r="AD1479" s="20">
        <f t="shared" si="70"/>
        <v>2.3109061315115671</v>
      </c>
      <c r="AE1479" s="25">
        <f t="shared" si="71"/>
        <v>0.12059076647964637</v>
      </c>
    </row>
    <row r="1480" spans="1:31" x14ac:dyDescent="0.2">
      <c r="A1480" s="1" t="s">
        <v>1755</v>
      </c>
      <c r="B1480" s="1" t="s">
        <v>3669</v>
      </c>
      <c r="C1480" s="1">
        <v>6195</v>
      </c>
      <c r="D1480" s="1" t="s">
        <v>3678</v>
      </c>
      <c r="F1480" s="1">
        <v>2023</v>
      </c>
      <c r="G1480" s="5">
        <v>980</v>
      </c>
      <c r="H1480" s="5">
        <v>826.07</v>
      </c>
      <c r="I1480" s="5">
        <v>14307.92</v>
      </c>
      <c r="K1480" s="5">
        <v>8.3000000000000004E-2</v>
      </c>
      <c r="L1480" s="5">
        <v>1E-3</v>
      </c>
      <c r="M1480" s="5">
        <v>12356.511</v>
      </c>
      <c r="N1480" s="6">
        <v>5.9400000000000001E-2</v>
      </c>
      <c r="O1480" s="5">
        <v>15.217000000000001</v>
      </c>
      <c r="P1480" s="6">
        <v>0.1507</v>
      </c>
      <c r="Q1480" s="5">
        <v>207888.59</v>
      </c>
      <c r="R1480" s="1" t="s">
        <v>284</v>
      </c>
      <c r="T1480" s="1" t="s">
        <v>93</v>
      </c>
      <c r="V1480" s="1" t="s">
        <v>95</v>
      </c>
      <c r="Y1480" s="1" t="s">
        <v>1195</v>
      </c>
      <c r="Z1480" s="1" t="str">
        <f t="shared" si="69"/>
        <v>6195 CT1B</v>
      </c>
      <c r="AA1480" s="3">
        <f>IF(INDEX('CAMD Facility Data 2023'!$AA$2:$AE$10000,MATCH(Z1480,'CAMD Facility Data 2023'!$AE$2:$AE$10000,0),1)&gt;0,INDEX('CAMD Facility Data 2023'!$AA$2:$AE$10000,MATCH(Z1480,'CAMD Facility Data 2023'!$AE$2:$AE$10000,0),1),"")</f>
        <v>30303</v>
      </c>
      <c r="AB1480" s="5">
        <f>IF(INDEX('CAMD Facility Data 2023'!$AC$2:$AE$10000,MATCH(Z1480,'CAMD Facility Data 2023'!$AE$2:$AE$10000,0),1)&gt;0,INDEX('CAMD Facility Data 2023'!$AC$2:$AE$10000,MATCH(Z1480,'CAMD Facility Data 2023'!$AE$2:$AE$10000,0),1),"")</f>
        <v>376</v>
      </c>
      <c r="AC1480" s="1" t="str">
        <f>IF(INDEX('CAMD Facility Data 2023'!$AE$2:$AG$10000,MATCH(Z1480,'CAMD Facility Data 2023'!$AE$2:$AE$10000,0),3)&gt;0,INDEX('CAMD Facility Data 2023'!$AE$2:$AG$10000,MATCH(Z1480,'CAMD Facility Data 2023'!$AE$2:$AE$10000,0),3),"")</f>
        <v/>
      </c>
      <c r="AD1480" s="20">
        <f t="shared" si="70"/>
        <v>2.1270736766769733</v>
      </c>
      <c r="AE1480" s="25">
        <f t="shared" si="71"/>
        <v>6.3115888832216069E-2</v>
      </c>
    </row>
    <row r="1481" spans="1:31" x14ac:dyDescent="0.2">
      <c r="A1481" s="1" t="s">
        <v>1755</v>
      </c>
      <c r="B1481" s="1" t="s">
        <v>3669</v>
      </c>
      <c r="C1481" s="1">
        <v>6195</v>
      </c>
      <c r="D1481" s="1" t="s">
        <v>1052</v>
      </c>
      <c r="F1481" s="1">
        <v>2023</v>
      </c>
      <c r="G1481" s="5">
        <v>1178</v>
      </c>
      <c r="H1481" s="5">
        <v>993.27</v>
      </c>
      <c r="I1481" s="5">
        <v>15881.05</v>
      </c>
      <c r="K1481" s="5">
        <v>0.10199999999999999</v>
      </c>
      <c r="L1481" s="5">
        <v>1E-3</v>
      </c>
      <c r="M1481" s="5">
        <v>15416.32</v>
      </c>
      <c r="N1481" s="6">
        <v>5.9299999999999999E-2</v>
      </c>
      <c r="O1481" s="5">
        <v>18.98</v>
      </c>
      <c r="P1481" s="6">
        <v>0.152</v>
      </c>
      <c r="Q1481" s="5">
        <v>259388.965</v>
      </c>
      <c r="R1481" s="1" t="s">
        <v>284</v>
      </c>
      <c r="T1481" s="1" t="s">
        <v>93</v>
      </c>
      <c r="V1481" s="1" t="s">
        <v>95</v>
      </c>
      <c r="Y1481" s="1" t="s">
        <v>1195</v>
      </c>
      <c r="Z1481" s="1" t="str">
        <f t="shared" si="69"/>
        <v>6195 CT2A</v>
      </c>
      <c r="AA1481" s="3">
        <f>IF(INDEX('CAMD Facility Data 2023'!$AA$2:$AE$10000,MATCH(Z1481,'CAMD Facility Data 2023'!$AE$2:$AE$10000,0),1)&gt;0,INDEX('CAMD Facility Data 2023'!$AA$2:$AE$10000,MATCH(Z1481,'CAMD Facility Data 2023'!$AE$2:$AE$10000,0),1),"")</f>
        <v>30303</v>
      </c>
      <c r="AB1481" s="5">
        <f>IF(INDEX('CAMD Facility Data 2023'!$AC$2:$AE$10000,MATCH(Z1481,'CAMD Facility Data 2023'!$AE$2:$AE$10000,0),1)&gt;0,INDEX('CAMD Facility Data 2023'!$AC$2:$AE$10000,MATCH(Z1481,'CAMD Facility Data 2023'!$AE$2:$AE$10000,0),1),"")</f>
        <v>376</v>
      </c>
      <c r="AC1481" s="1" t="str">
        <f>IF(INDEX('CAMD Facility Data 2023'!$AE$2:$AG$10000,MATCH(Z1481,'CAMD Facility Data 2023'!$AE$2:$AE$10000,0),3)&gt;0,INDEX('CAMD Facility Data 2023'!$AE$2:$AG$10000,MATCH(Z1481,'CAMD Facility Data 2023'!$AE$2:$AE$10000,0),3),"")</f>
        <v/>
      </c>
      <c r="AD1481" s="20">
        <f t="shared" si="70"/>
        <v>2.3902701647561089</v>
      </c>
      <c r="AE1481" s="25">
        <f t="shared" si="71"/>
        <v>7.8751628837559512E-2</v>
      </c>
    </row>
    <row r="1482" spans="1:31" x14ac:dyDescent="0.2">
      <c r="A1482" s="1" t="s">
        <v>1755</v>
      </c>
      <c r="B1482" s="1" t="s">
        <v>3669</v>
      </c>
      <c r="C1482" s="1">
        <v>6195</v>
      </c>
      <c r="D1482" s="1" t="s">
        <v>1054</v>
      </c>
      <c r="F1482" s="1">
        <v>2023</v>
      </c>
      <c r="G1482" s="5">
        <v>1789</v>
      </c>
      <c r="H1482" s="5">
        <v>1498.04</v>
      </c>
      <c r="I1482" s="5">
        <v>26055.17</v>
      </c>
      <c r="K1482" s="5">
        <v>0.16700000000000001</v>
      </c>
      <c r="L1482" s="5">
        <v>1E-3</v>
      </c>
      <c r="M1482" s="5">
        <v>24571.064999999999</v>
      </c>
      <c r="N1482" s="6">
        <v>5.9299999999999999E-2</v>
      </c>
      <c r="O1482" s="5">
        <v>31.765999999999998</v>
      </c>
      <c r="P1482" s="6">
        <v>0.15429999999999999</v>
      </c>
      <c r="Q1482" s="5">
        <v>413472.00400000002</v>
      </c>
      <c r="R1482" s="1" t="s">
        <v>284</v>
      </c>
      <c r="T1482" s="1" t="s">
        <v>93</v>
      </c>
      <c r="V1482" s="1" t="s">
        <v>95</v>
      </c>
      <c r="Y1482" s="1" t="s">
        <v>1195</v>
      </c>
      <c r="Z1482" s="1" t="str">
        <f t="shared" si="69"/>
        <v>6195 CT2B</v>
      </c>
      <c r="AA1482" s="3">
        <f>IF(INDEX('CAMD Facility Data 2023'!$AA$2:$AE$10000,MATCH(Z1482,'CAMD Facility Data 2023'!$AE$2:$AE$10000,0),1)&gt;0,INDEX('CAMD Facility Data 2023'!$AA$2:$AE$10000,MATCH(Z1482,'CAMD Facility Data 2023'!$AE$2:$AE$10000,0),1),"")</f>
        <v>30303</v>
      </c>
      <c r="AB1482" s="5">
        <f>IF(INDEX('CAMD Facility Data 2023'!$AC$2:$AE$10000,MATCH(Z1482,'CAMD Facility Data 2023'!$AE$2:$AE$10000,0),1)&gt;0,INDEX('CAMD Facility Data 2023'!$AC$2:$AE$10000,MATCH(Z1482,'CAMD Facility Data 2023'!$AE$2:$AE$10000,0),1),"")</f>
        <v>376</v>
      </c>
      <c r="AC1482" s="1" t="str">
        <f>IF(INDEX('CAMD Facility Data 2023'!$AE$2:$AG$10000,MATCH(Z1482,'CAMD Facility Data 2023'!$AE$2:$AE$10000,0),3)&gt;0,INDEX('CAMD Facility Data 2023'!$AE$2:$AG$10000,MATCH(Z1482,'CAMD Facility Data 2023'!$AE$2:$AE$10000,0),3),"")</f>
        <v/>
      </c>
      <c r="AD1482" s="20">
        <f t="shared" si="70"/>
        <v>2.4383644397637783</v>
      </c>
      <c r="AE1482" s="25">
        <f t="shared" si="71"/>
        <v>0.1255319161080346</v>
      </c>
    </row>
    <row r="1483" spans="1:31" x14ac:dyDescent="0.2">
      <c r="A1483" s="1" t="s">
        <v>3253</v>
      </c>
      <c r="B1483" s="1" t="s">
        <v>3680</v>
      </c>
      <c r="C1483" s="1">
        <v>6204</v>
      </c>
      <c r="D1483" s="1">
        <v>1</v>
      </c>
      <c r="F1483" s="1">
        <v>2023</v>
      </c>
      <c r="G1483" s="5">
        <v>5223</v>
      </c>
      <c r="H1483" s="5">
        <v>5210.68</v>
      </c>
      <c r="I1483" s="5">
        <v>2135455.13</v>
      </c>
      <c r="K1483" s="5">
        <v>1293.028</v>
      </c>
      <c r="L1483" s="5">
        <v>0.1031</v>
      </c>
      <c r="M1483" s="5">
        <v>2615610.5520000001</v>
      </c>
      <c r="N1483" s="6">
        <v>0.105</v>
      </c>
      <c r="O1483" s="5">
        <v>600.52099999999996</v>
      </c>
      <c r="P1483" s="6">
        <v>4.9099999999999998E-2</v>
      </c>
      <c r="Q1483" s="5">
        <v>24939115.449000001</v>
      </c>
      <c r="R1483" s="1" t="s">
        <v>55</v>
      </c>
      <c r="T1483" s="1" t="s">
        <v>89</v>
      </c>
      <c r="U1483" s="1" t="s">
        <v>56</v>
      </c>
      <c r="V1483" s="1" t="s">
        <v>3683</v>
      </c>
      <c r="W1483" s="1" t="s">
        <v>58</v>
      </c>
      <c r="X1483" s="1" t="s">
        <v>214</v>
      </c>
      <c r="Y1483" s="1" t="s">
        <v>236</v>
      </c>
      <c r="Z1483" s="1" t="str">
        <f t="shared" si="69"/>
        <v>6204 1</v>
      </c>
      <c r="AA1483" s="3">
        <f>IF(INDEX('CAMD Facility Data 2023'!$AA$2:$AE$10000,MATCH(Z1483,'CAMD Facility Data 2023'!$AE$2:$AE$10000,0),1)&gt;0,INDEX('CAMD Facility Data 2023'!$AA$2:$AE$10000,MATCH(Z1483,'CAMD Facility Data 2023'!$AE$2:$AE$10000,0),1),"")</f>
        <v>29387</v>
      </c>
      <c r="AB1483" s="5">
        <f>IF(INDEX('CAMD Facility Data 2023'!$AC$2:$AE$10000,MATCH(Z1483,'CAMD Facility Data 2023'!$AE$2:$AE$10000,0),1)&gt;0,INDEX('CAMD Facility Data 2023'!$AC$2:$AE$10000,MATCH(Z1483,'CAMD Facility Data 2023'!$AE$2:$AE$10000,0),1),"")</f>
        <v>7540</v>
      </c>
      <c r="AC1483" s="1" t="str">
        <f>IF(INDEX('CAMD Facility Data 2023'!$AE$2:$AG$10000,MATCH(Z1483,'CAMD Facility Data 2023'!$AE$2:$AE$10000,0),3)&gt;0,INDEX('CAMD Facility Data 2023'!$AE$2:$AG$10000,MATCH(Z1483,'CAMD Facility Data 2023'!$AE$2:$AE$10000,0),3),"")</f>
        <v>Y</v>
      </c>
      <c r="AD1483" s="20">
        <f t="shared" si="70"/>
        <v>0.56242904996088594</v>
      </c>
      <c r="AE1483" s="25">
        <f t="shared" si="71"/>
        <v>0.3775770540223829</v>
      </c>
    </row>
    <row r="1484" spans="1:31" x14ac:dyDescent="0.2">
      <c r="A1484" s="1" t="s">
        <v>3253</v>
      </c>
      <c r="B1484" s="1" t="s">
        <v>3680</v>
      </c>
      <c r="C1484" s="1">
        <v>6204</v>
      </c>
      <c r="D1484" s="1">
        <v>2</v>
      </c>
      <c r="F1484" s="1">
        <v>2023</v>
      </c>
      <c r="G1484" s="5">
        <v>8453</v>
      </c>
      <c r="H1484" s="5">
        <v>8445.89</v>
      </c>
      <c r="I1484" s="5">
        <v>4051784.71</v>
      </c>
      <c r="K1484" s="5">
        <v>2249.6819999999998</v>
      </c>
      <c r="L1484" s="5">
        <v>0.10639999999999999</v>
      </c>
      <c r="M1484" s="5">
        <v>4377557.7089999998</v>
      </c>
      <c r="N1484" s="6">
        <v>0.105</v>
      </c>
      <c r="O1484" s="5">
        <v>2959.87</v>
      </c>
      <c r="P1484" s="6">
        <v>0.14000000000000001</v>
      </c>
      <c r="Q1484" s="5">
        <v>41738797.862999998</v>
      </c>
      <c r="R1484" s="1" t="s">
        <v>55</v>
      </c>
      <c r="T1484" s="1" t="s">
        <v>89</v>
      </c>
      <c r="U1484" s="1" t="s">
        <v>56</v>
      </c>
      <c r="V1484" s="1" t="s">
        <v>3685</v>
      </c>
      <c r="W1484" s="1" t="s">
        <v>58</v>
      </c>
      <c r="X1484" s="1" t="s">
        <v>214</v>
      </c>
      <c r="Y1484" s="1" t="s">
        <v>236</v>
      </c>
      <c r="Z1484" s="1" t="str">
        <f t="shared" si="69"/>
        <v>6204 2</v>
      </c>
      <c r="AA1484" s="3">
        <f>IF(INDEX('CAMD Facility Data 2023'!$AA$2:$AE$10000,MATCH(Z1484,'CAMD Facility Data 2023'!$AE$2:$AE$10000,0),1)&gt;0,INDEX('CAMD Facility Data 2023'!$AA$2:$AE$10000,MATCH(Z1484,'CAMD Facility Data 2023'!$AE$2:$AE$10000,0),1),"")</f>
        <v>29752</v>
      </c>
      <c r="AB1484" s="5">
        <f>IF(INDEX('CAMD Facility Data 2023'!$AC$2:$AE$10000,MATCH(Z1484,'CAMD Facility Data 2023'!$AE$2:$AE$10000,0),1)&gt;0,INDEX('CAMD Facility Data 2023'!$AC$2:$AE$10000,MATCH(Z1484,'CAMD Facility Data 2023'!$AE$2:$AE$10000,0),1),"")</f>
        <v>7000</v>
      </c>
      <c r="AC1484" s="1" t="str">
        <f>IF(INDEX('CAMD Facility Data 2023'!$AE$2:$AG$10000,MATCH(Z1484,'CAMD Facility Data 2023'!$AE$2:$AE$10000,0),3)&gt;0,INDEX('CAMD Facility Data 2023'!$AE$2:$AG$10000,MATCH(Z1484,'CAMD Facility Data 2023'!$AE$2:$AE$10000,0),3),"")</f>
        <v>Y</v>
      </c>
      <c r="AD1484" s="20">
        <f t="shared" si="70"/>
        <v>1.4610203709466094</v>
      </c>
      <c r="AE1484" s="25">
        <f t="shared" si="71"/>
        <v>0.68067185034246569</v>
      </c>
    </row>
    <row r="1485" spans="1:31" x14ac:dyDescent="0.2">
      <c r="A1485" s="1" t="s">
        <v>3253</v>
      </c>
      <c r="B1485" s="1" t="s">
        <v>3680</v>
      </c>
      <c r="C1485" s="1">
        <v>6204</v>
      </c>
      <c r="D1485" s="1">
        <v>3</v>
      </c>
      <c r="F1485" s="1">
        <v>2023</v>
      </c>
      <c r="G1485" s="5">
        <v>8581</v>
      </c>
      <c r="H1485" s="5">
        <v>8573.2800000000007</v>
      </c>
      <c r="I1485" s="5">
        <v>4052006.85</v>
      </c>
      <c r="K1485" s="5">
        <v>3087.692</v>
      </c>
      <c r="L1485" s="5">
        <v>0.12889999999999999</v>
      </c>
      <c r="M1485" s="5">
        <v>5014801.03</v>
      </c>
      <c r="N1485" s="6">
        <v>0.105</v>
      </c>
      <c r="O1485" s="5">
        <v>3336.8359999999998</v>
      </c>
      <c r="P1485" s="6">
        <v>0.13830000000000001</v>
      </c>
      <c r="Q1485" s="5">
        <v>47814656.741999999</v>
      </c>
      <c r="R1485" s="1" t="s">
        <v>55</v>
      </c>
      <c r="T1485" s="1" t="s">
        <v>89</v>
      </c>
      <c r="U1485" s="1" t="s">
        <v>212</v>
      </c>
      <c r="V1485" s="1" t="s">
        <v>3685</v>
      </c>
      <c r="W1485" s="1" t="s">
        <v>58</v>
      </c>
      <c r="X1485" s="1" t="s">
        <v>214</v>
      </c>
      <c r="Y1485" s="1" t="s">
        <v>236</v>
      </c>
      <c r="Z1485" s="1" t="str">
        <f t="shared" si="69"/>
        <v>6204 3</v>
      </c>
      <c r="AA1485" s="3">
        <f>IF(INDEX('CAMD Facility Data 2023'!$AA$2:$AE$10000,MATCH(Z1485,'CAMD Facility Data 2023'!$AE$2:$AE$10000,0),1)&gt;0,INDEX('CAMD Facility Data 2023'!$AA$2:$AE$10000,MATCH(Z1485,'CAMD Facility Data 2023'!$AE$2:$AE$10000,0),1),"")</f>
        <v>30303</v>
      </c>
      <c r="AB1485" s="5">
        <f>IF(INDEX('CAMD Facility Data 2023'!$AC$2:$AE$10000,MATCH(Z1485,'CAMD Facility Data 2023'!$AE$2:$AE$10000,0),1)&gt;0,INDEX('CAMD Facility Data 2023'!$AC$2:$AE$10000,MATCH(Z1485,'CAMD Facility Data 2023'!$AE$2:$AE$10000,0),1),"")</f>
        <v>7750</v>
      </c>
      <c r="AC1485" s="1" t="str">
        <f>IF(INDEX('CAMD Facility Data 2023'!$AE$2:$AG$10000,MATCH(Z1485,'CAMD Facility Data 2023'!$AE$2:$AE$10000,0),3)&gt;0,INDEX('CAMD Facility Data 2023'!$AE$2:$AG$10000,MATCH(Z1485,'CAMD Facility Data 2023'!$AE$2:$AE$10000,0),3),"")</f>
        <v>Y</v>
      </c>
      <c r="AD1485" s="20">
        <f t="shared" si="70"/>
        <v>1.6470041258691357</v>
      </c>
      <c r="AE1485" s="25">
        <f t="shared" si="71"/>
        <v>0.70429601917808216</v>
      </c>
    </row>
    <row r="1486" spans="1:31" x14ac:dyDescent="0.2">
      <c r="A1486" s="1" t="s">
        <v>1071</v>
      </c>
      <c r="B1486" s="1" t="s">
        <v>3688</v>
      </c>
      <c r="C1486" s="1">
        <v>6213</v>
      </c>
      <c r="D1486" s="1" t="s">
        <v>3689</v>
      </c>
      <c r="F1486" s="1">
        <v>2023</v>
      </c>
      <c r="G1486" s="5">
        <v>6895</v>
      </c>
      <c r="H1486" s="5">
        <v>6877.78</v>
      </c>
      <c r="I1486" s="5">
        <v>2482094.9300000002</v>
      </c>
      <c r="K1486" s="5">
        <v>1269.8230000000001</v>
      </c>
      <c r="L1486" s="5">
        <v>9.5399999999999999E-2</v>
      </c>
      <c r="M1486" s="5">
        <v>2608357.5240000002</v>
      </c>
      <c r="N1486" s="6">
        <v>0.10299999999999999</v>
      </c>
      <c r="O1486" s="5">
        <v>711.95799999999997</v>
      </c>
      <c r="P1486" s="6">
        <v>5.74E-2</v>
      </c>
      <c r="Q1486" s="5">
        <v>25422608.188999999</v>
      </c>
      <c r="R1486" s="1" t="s">
        <v>55</v>
      </c>
      <c r="T1486" s="1" t="s">
        <v>319</v>
      </c>
      <c r="U1486" s="1" t="s">
        <v>56</v>
      </c>
      <c r="V1486" s="1" t="s">
        <v>297</v>
      </c>
      <c r="W1486" s="1" t="s">
        <v>58</v>
      </c>
      <c r="X1486" s="1" t="s">
        <v>344</v>
      </c>
      <c r="Y1486" s="1" t="s">
        <v>1005</v>
      </c>
      <c r="Z1486" s="1" t="str">
        <f t="shared" si="69"/>
        <v>6213 1SG1</v>
      </c>
      <c r="AA1486" s="3">
        <f>IF(INDEX('CAMD Facility Data 2023'!$AA$2:$AE$10000,MATCH(Z1486,'CAMD Facility Data 2023'!$AE$2:$AE$10000,0),1)&gt;0,INDEX('CAMD Facility Data 2023'!$AA$2:$AE$10000,MATCH(Z1486,'CAMD Facility Data 2023'!$AE$2:$AE$10000,0),1),"")</f>
        <v>30560</v>
      </c>
      <c r="AB1486" s="5">
        <f>IF(INDEX('CAMD Facility Data 2023'!$AC$2:$AE$10000,MATCH(Z1486,'CAMD Facility Data 2023'!$AE$2:$AE$10000,0),1)&gt;0,INDEX('CAMD Facility Data 2023'!$AC$2:$AE$10000,MATCH(Z1486,'CAMD Facility Data 2023'!$AE$2:$AE$10000,0),1),"")</f>
        <v>5800</v>
      </c>
      <c r="AC1486" s="1" t="str">
        <f>IF(INDEX('CAMD Facility Data 2023'!$AE$2:$AG$10000,MATCH(Z1486,'CAMD Facility Data 2023'!$AE$2:$AE$10000,0),3)&gt;0,INDEX('CAMD Facility Data 2023'!$AE$2:$AG$10000,MATCH(Z1486,'CAMD Facility Data 2023'!$AE$2:$AE$10000,0),3),"")</f>
        <v>Y</v>
      </c>
      <c r="AD1486" s="20">
        <f t="shared" si="70"/>
        <v>0.57367507696411912</v>
      </c>
      <c r="AE1486" s="25">
        <f t="shared" si="71"/>
        <v>0.50036624525665252</v>
      </c>
    </row>
    <row r="1487" spans="1:31" x14ac:dyDescent="0.2">
      <c r="A1487" s="1" t="s">
        <v>1071</v>
      </c>
      <c r="B1487" s="1" t="s">
        <v>3688</v>
      </c>
      <c r="C1487" s="1">
        <v>6213</v>
      </c>
      <c r="D1487" s="1" t="s">
        <v>3694</v>
      </c>
      <c r="F1487" s="1">
        <v>2023</v>
      </c>
      <c r="G1487" s="5">
        <v>5763</v>
      </c>
      <c r="H1487" s="5">
        <v>5751.39</v>
      </c>
      <c r="I1487" s="5">
        <v>2136893.6</v>
      </c>
      <c r="K1487" s="5">
        <v>1568.4290000000001</v>
      </c>
      <c r="L1487" s="5">
        <v>0.12609999999999999</v>
      </c>
      <c r="M1487" s="5">
        <v>2466924.62</v>
      </c>
      <c r="N1487" s="6">
        <v>0.10299999999999999</v>
      </c>
      <c r="O1487" s="5">
        <v>656.46400000000006</v>
      </c>
      <c r="P1487" s="6">
        <v>5.5899999999999998E-2</v>
      </c>
      <c r="Q1487" s="5">
        <v>24044082.456</v>
      </c>
      <c r="R1487" s="1" t="s">
        <v>55</v>
      </c>
      <c r="T1487" s="1" t="s">
        <v>319</v>
      </c>
      <c r="U1487" s="1" t="s">
        <v>56</v>
      </c>
      <c r="V1487" s="1" t="s">
        <v>297</v>
      </c>
      <c r="W1487" s="1" t="s">
        <v>58</v>
      </c>
      <c r="X1487" s="1" t="s">
        <v>344</v>
      </c>
      <c r="Y1487" s="1" t="s">
        <v>1005</v>
      </c>
      <c r="Z1487" s="1" t="str">
        <f t="shared" si="69"/>
        <v>6213 2SG1</v>
      </c>
      <c r="AA1487" s="3">
        <f>IF(INDEX('CAMD Facility Data 2023'!$AA$2:$AE$10000,MATCH(Z1487,'CAMD Facility Data 2023'!$AE$2:$AE$10000,0),1)&gt;0,INDEX('CAMD Facility Data 2023'!$AA$2:$AE$10000,MATCH(Z1487,'CAMD Facility Data 2023'!$AE$2:$AE$10000,0),1),"")</f>
        <v>29983</v>
      </c>
      <c r="AB1487" s="5">
        <f>IF(INDEX('CAMD Facility Data 2023'!$AC$2:$AE$10000,MATCH(Z1487,'CAMD Facility Data 2023'!$AE$2:$AE$10000,0),1)&gt;0,INDEX('CAMD Facility Data 2023'!$AC$2:$AE$10000,MATCH(Z1487,'CAMD Facility Data 2023'!$AE$2:$AE$10000,0),1),"")</f>
        <v>7000</v>
      </c>
      <c r="AC1487" s="1" t="str">
        <f>IF(INDEX('CAMD Facility Data 2023'!$AE$2:$AG$10000,MATCH(Z1487,'CAMD Facility Data 2023'!$AE$2:$AE$10000,0),3)&gt;0,INDEX('CAMD Facility Data 2023'!$AE$2:$AG$10000,MATCH(Z1487,'CAMD Facility Data 2023'!$AE$2:$AE$10000,0),3),"")</f>
        <v>Y</v>
      </c>
      <c r="AD1487" s="20">
        <f t="shared" si="70"/>
        <v>0.61440962713351754</v>
      </c>
      <c r="AE1487" s="25">
        <f t="shared" si="71"/>
        <v>0.39210832446183952</v>
      </c>
    </row>
    <row r="1488" spans="1:31" x14ac:dyDescent="0.2">
      <c r="A1488" s="1" t="s">
        <v>1755</v>
      </c>
      <c r="B1488" s="1" t="s">
        <v>3696</v>
      </c>
      <c r="C1488" s="1">
        <v>6223</v>
      </c>
      <c r="D1488" s="1">
        <v>1</v>
      </c>
      <c r="F1488" s="1">
        <v>2023</v>
      </c>
      <c r="G1488" s="5">
        <v>1050</v>
      </c>
      <c r="H1488" s="5">
        <v>968.75</v>
      </c>
      <c r="I1488" s="5">
        <v>48019.29</v>
      </c>
      <c r="K1488" s="5">
        <v>0.26500000000000001</v>
      </c>
      <c r="L1488" s="5">
        <v>1.1000000000000001E-3</v>
      </c>
      <c r="M1488" s="5">
        <v>45180.731</v>
      </c>
      <c r="N1488" s="6">
        <v>6.0600000000000001E-2</v>
      </c>
      <c r="O1488" s="5">
        <v>56.359000000000002</v>
      </c>
      <c r="P1488" s="6">
        <v>0.15939999999999999</v>
      </c>
      <c r="Q1488" s="5">
        <v>749806.45400000003</v>
      </c>
      <c r="R1488" s="1" t="s">
        <v>44</v>
      </c>
      <c r="S1488" s="1" t="s">
        <v>94</v>
      </c>
      <c r="T1488" s="1" t="s">
        <v>93</v>
      </c>
      <c r="V1488" s="1" t="s">
        <v>95</v>
      </c>
      <c r="Y1488" s="1" t="s">
        <v>1195</v>
      </c>
      <c r="Z1488" s="1" t="str">
        <f t="shared" si="69"/>
        <v>6223 1</v>
      </c>
      <c r="AA1488" s="3">
        <f>IF(INDEX('CAMD Facility Data 2023'!$AA$2:$AE$10000,MATCH(Z1488,'CAMD Facility Data 2023'!$AE$2:$AE$10000,0),1)&gt;0,INDEX('CAMD Facility Data 2023'!$AA$2:$AE$10000,MATCH(Z1488,'CAMD Facility Data 2023'!$AE$2:$AE$10000,0),1),"")</f>
        <v>28545</v>
      </c>
      <c r="AB1488" s="5">
        <f>IF(INDEX('CAMD Facility Data 2023'!$AC$2:$AE$10000,MATCH(Z1488,'CAMD Facility Data 2023'!$AE$2:$AE$10000,0),1)&gt;0,INDEX('CAMD Facility Data 2023'!$AC$2:$AE$10000,MATCH(Z1488,'CAMD Facility Data 2023'!$AE$2:$AE$10000,0),1),"")</f>
        <v>1336.9</v>
      </c>
      <c r="AC1488" s="1" t="str">
        <f>IF(INDEX('CAMD Facility Data 2023'!$AE$2:$AG$10000,MATCH(Z1488,'CAMD Facility Data 2023'!$AE$2:$AE$10000,0),3)&gt;0,INDEX('CAMD Facility Data 2023'!$AE$2:$AG$10000,MATCH(Z1488,'CAMD Facility Data 2023'!$AE$2:$AE$10000,0),3),"")</f>
        <v/>
      </c>
      <c r="AD1488" s="20">
        <f t="shared" si="70"/>
        <v>2.3473483260581318</v>
      </c>
      <c r="AE1488" s="25">
        <f t="shared" si="71"/>
        <v>6.4024492530426316E-2</v>
      </c>
    </row>
    <row r="1489" spans="1:31" x14ac:dyDescent="0.2">
      <c r="A1489" s="1" t="s">
        <v>1755</v>
      </c>
      <c r="B1489" s="1" t="s">
        <v>3696</v>
      </c>
      <c r="C1489" s="1">
        <v>6223</v>
      </c>
      <c r="D1489" s="1">
        <v>2</v>
      </c>
      <c r="F1489" s="1">
        <v>2023</v>
      </c>
      <c r="G1489" s="5">
        <v>901</v>
      </c>
      <c r="H1489" s="5">
        <v>822.74</v>
      </c>
      <c r="I1489" s="5">
        <v>43493.36</v>
      </c>
      <c r="K1489" s="5">
        <v>0.22800000000000001</v>
      </c>
      <c r="L1489" s="5">
        <v>1.1999999999999999E-3</v>
      </c>
      <c r="M1489" s="5">
        <v>39963.997000000003</v>
      </c>
      <c r="N1489" s="6">
        <v>6.0999999999999999E-2</v>
      </c>
      <c r="O1489" s="5">
        <v>46.661999999999999</v>
      </c>
      <c r="P1489" s="6">
        <v>0.16039999999999999</v>
      </c>
      <c r="Q1489" s="5">
        <v>661825.28099999996</v>
      </c>
      <c r="R1489" s="1" t="s">
        <v>44</v>
      </c>
      <c r="S1489" s="1" t="s">
        <v>94</v>
      </c>
      <c r="T1489" s="1" t="s">
        <v>93</v>
      </c>
      <c r="V1489" s="1" t="s">
        <v>95</v>
      </c>
      <c r="Y1489" s="1" t="s">
        <v>1195</v>
      </c>
      <c r="Z1489" s="1" t="str">
        <f t="shared" si="69"/>
        <v>6223 2</v>
      </c>
      <c r="AA1489" s="3">
        <f>IF(INDEX('CAMD Facility Data 2023'!$AA$2:$AE$10000,MATCH(Z1489,'CAMD Facility Data 2023'!$AE$2:$AE$10000,0),1)&gt;0,INDEX('CAMD Facility Data 2023'!$AA$2:$AE$10000,MATCH(Z1489,'CAMD Facility Data 2023'!$AE$2:$AE$10000,0),1),"")</f>
        <v>29711</v>
      </c>
      <c r="AB1489" s="5">
        <f>IF(INDEX('CAMD Facility Data 2023'!$AC$2:$AE$10000,MATCH(Z1489,'CAMD Facility Data 2023'!$AE$2:$AE$10000,0),1)&gt;0,INDEX('CAMD Facility Data 2023'!$AC$2:$AE$10000,MATCH(Z1489,'CAMD Facility Data 2023'!$AE$2:$AE$10000,0),1),"")</f>
        <v>1352.6</v>
      </c>
      <c r="AC1489" s="1" t="str">
        <f>IF(INDEX('CAMD Facility Data 2023'!$AE$2:$AG$10000,MATCH(Z1489,'CAMD Facility Data 2023'!$AE$2:$AE$10000,0),3)&gt;0,INDEX('CAMD Facility Data 2023'!$AE$2:$AG$10000,MATCH(Z1489,'CAMD Facility Data 2023'!$AE$2:$AE$10000,0),3),"")</f>
        <v/>
      </c>
      <c r="AD1489" s="20">
        <f t="shared" si="70"/>
        <v>2.1457068389289766</v>
      </c>
      <c r="AE1489" s="25">
        <f t="shared" si="71"/>
        <v>5.5856004113842644E-2</v>
      </c>
    </row>
    <row r="1490" spans="1:31" x14ac:dyDescent="0.2">
      <c r="A1490" s="1" t="s">
        <v>1755</v>
      </c>
      <c r="B1490" s="1" t="s">
        <v>3696</v>
      </c>
      <c r="C1490" s="1">
        <v>6223</v>
      </c>
      <c r="D1490" s="1" t="s">
        <v>379</v>
      </c>
      <c r="F1490" s="1">
        <v>2023</v>
      </c>
      <c r="G1490" s="5">
        <v>2565</v>
      </c>
      <c r="H1490" s="5">
        <v>2248.41</v>
      </c>
      <c r="I1490" s="5">
        <v>39451.339999999997</v>
      </c>
      <c r="K1490" s="5">
        <v>0.157</v>
      </c>
      <c r="L1490" s="5">
        <v>1.1000000000000001E-3</v>
      </c>
      <c r="M1490" s="5">
        <v>28248.152999999998</v>
      </c>
      <c r="N1490" s="6">
        <v>6.0199999999999997E-2</v>
      </c>
      <c r="O1490" s="5">
        <v>20.239000000000001</v>
      </c>
      <c r="P1490" s="6">
        <v>9.2600000000000002E-2</v>
      </c>
      <c r="Q1490" s="5">
        <v>470592.13799999998</v>
      </c>
      <c r="R1490" s="1" t="s">
        <v>44</v>
      </c>
      <c r="S1490" s="1" t="s">
        <v>94</v>
      </c>
      <c r="T1490" s="1" t="s">
        <v>93</v>
      </c>
      <c r="V1490" s="1" t="s">
        <v>95</v>
      </c>
      <c r="Y1490" s="1" t="s">
        <v>1207</v>
      </c>
      <c r="Z1490" s="1" t="str">
        <f t="shared" si="69"/>
        <v>6223 3A</v>
      </c>
      <c r="AA1490" s="3">
        <f>IF(INDEX('CAMD Facility Data 2023'!$AA$2:$AE$10000,MATCH(Z1490,'CAMD Facility Data 2023'!$AE$2:$AE$10000,0),1)&gt;0,INDEX('CAMD Facility Data 2023'!$AA$2:$AE$10000,MATCH(Z1490,'CAMD Facility Data 2023'!$AE$2:$AE$10000,0),1),"")</f>
        <v>37695</v>
      </c>
      <c r="AB1490" s="5">
        <f>IF(INDEX('CAMD Facility Data 2023'!$AC$2:$AE$10000,MATCH(Z1490,'CAMD Facility Data 2023'!$AE$2:$AE$10000,0),1)&gt;0,INDEX('CAMD Facility Data 2023'!$AC$2:$AE$10000,MATCH(Z1490,'CAMD Facility Data 2023'!$AE$2:$AE$10000,0),1),"")</f>
        <v>313</v>
      </c>
      <c r="AC1490" s="1" t="str">
        <f>IF(INDEX('CAMD Facility Data 2023'!$AE$2:$AG$10000,MATCH(Z1490,'CAMD Facility Data 2023'!$AE$2:$AE$10000,0),3)&gt;0,INDEX('CAMD Facility Data 2023'!$AE$2:$AG$10000,MATCH(Z1490,'CAMD Facility Data 2023'!$AE$2:$AE$10000,0),3),"")</f>
        <v/>
      </c>
      <c r="AD1490" s="20">
        <f t="shared" si="70"/>
        <v>1.0260234506609915</v>
      </c>
      <c r="AE1490" s="25">
        <f t="shared" si="71"/>
        <v>0.17163119392533591</v>
      </c>
    </row>
    <row r="1491" spans="1:31" x14ac:dyDescent="0.2">
      <c r="A1491" s="1" t="s">
        <v>1755</v>
      </c>
      <c r="B1491" s="1" t="s">
        <v>3696</v>
      </c>
      <c r="C1491" s="1">
        <v>6223</v>
      </c>
      <c r="D1491" s="1" t="s">
        <v>965</v>
      </c>
      <c r="F1491" s="1">
        <v>2023</v>
      </c>
      <c r="G1491" s="5">
        <v>2513</v>
      </c>
      <c r="H1491" s="5">
        <v>2185.02</v>
      </c>
      <c r="I1491" s="5">
        <v>37002.58</v>
      </c>
      <c r="K1491" s="5">
        <v>0.14699999999999999</v>
      </c>
      <c r="L1491" s="5">
        <v>1.1000000000000001E-3</v>
      </c>
      <c r="M1491" s="5">
        <v>26215.071</v>
      </c>
      <c r="N1491" s="6">
        <v>6.0400000000000002E-2</v>
      </c>
      <c r="O1491" s="5">
        <v>19.024000000000001</v>
      </c>
      <c r="P1491" s="6">
        <v>9.7600000000000006E-2</v>
      </c>
      <c r="Q1491" s="5">
        <v>436633.16</v>
      </c>
      <c r="R1491" s="1" t="s">
        <v>44</v>
      </c>
      <c r="S1491" s="1" t="s">
        <v>94</v>
      </c>
      <c r="T1491" s="1" t="s">
        <v>93</v>
      </c>
      <c r="V1491" s="1" t="s">
        <v>95</v>
      </c>
      <c r="Y1491" s="1" t="s">
        <v>1207</v>
      </c>
      <c r="Z1491" s="1" t="str">
        <f t="shared" si="69"/>
        <v>6223 3B</v>
      </c>
      <c r="AA1491" s="3">
        <f>IF(INDEX('CAMD Facility Data 2023'!$AA$2:$AE$10000,MATCH(Z1491,'CAMD Facility Data 2023'!$AE$2:$AE$10000,0),1)&gt;0,INDEX('CAMD Facility Data 2023'!$AA$2:$AE$10000,MATCH(Z1491,'CAMD Facility Data 2023'!$AE$2:$AE$10000,0),1),"")</f>
        <v>37695</v>
      </c>
      <c r="AB1491" s="5">
        <f>IF(INDEX('CAMD Facility Data 2023'!$AC$2:$AE$10000,MATCH(Z1491,'CAMD Facility Data 2023'!$AE$2:$AE$10000,0),1)&gt;0,INDEX('CAMD Facility Data 2023'!$AC$2:$AE$10000,MATCH(Z1491,'CAMD Facility Data 2023'!$AE$2:$AE$10000,0),1),"")</f>
        <v>313</v>
      </c>
      <c r="AC1491" s="1" t="str">
        <f>IF(INDEX('CAMD Facility Data 2023'!$AE$2:$AG$10000,MATCH(Z1491,'CAMD Facility Data 2023'!$AE$2:$AE$10000,0),3)&gt;0,INDEX('CAMD Facility Data 2023'!$AE$2:$AG$10000,MATCH(Z1491,'CAMD Facility Data 2023'!$AE$2:$AE$10000,0),3),"")</f>
        <v/>
      </c>
      <c r="AD1491" s="20">
        <f t="shared" si="70"/>
        <v>1.0282526245467207</v>
      </c>
      <c r="AE1491" s="25">
        <f t="shared" si="71"/>
        <v>0.15924590427006285</v>
      </c>
    </row>
    <row r="1492" spans="1:31" x14ac:dyDescent="0.2">
      <c r="A1492" s="1" t="s">
        <v>1755</v>
      </c>
      <c r="B1492" s="1" t="s">
        <v>3696</v>
      </c>
      <c r="C1492" s="1">
        <v>6223</v>
      </c>
      <c r="D1492" s="1" t="s">
        <v>381</v>
      </c>
      <c r="F1492" s="1">
        <v>2023</v>
      </c>
      <c r="G1492" s="5">
        <v>2425</v>
      </c>
      <c r="H1492" s="5">
        <v>2106.85</v>
      </c>
      <c r="I1492" s="5">
        <v>34364.25</v>
      </c>
      <c r="K1492" s="5">
        <v>0.13700000000000001</v>
      </c>
      <c r="L1492" s="5">
        <v>1.1000000000000001E-3</v>
      </c>
      <c r="M1492" s="5">
        <v>24302.406999999999</v>
      </c>
      <c r="N1492" s="6">
        <v>6.0199999999999997E-2</v>
      </c>
      <c r="O1492" s="5">
        <v>17.524999999999999</v>
      </c>
      <c r="P1492" s="6">
        <v>9.3299999999999994E-2</v>
      </c>
      <c r="Q1492" s="5">
        <v>404491.19199999998</v>
      </c>
      <c r="R1492" s="1" t="s">
        <v>44</v>
      </c>
      <c r="S1492" s="1" t="s">
        <v>94</v>
      </c>
      <c r="T1492" s="1" t="s">
        <v>93</v>
      </c>
      <c r="V1492" s="1" t="s">
        <v>95</v>
      </c>
      <c r="Y1492" s="1" t="s">
        <v>1207</v>
      </c>
      <c r="Z1492" s="1" t="str">
        <f t="shared" si="69"/>
        <v>6223 4A</v>
      </c>
      <c r="AA1492" s="3">
        <f>IF(INDEX('CAMD Facility Data 2023'!$AA$2:$AE$10000,MATCH(Z1492,'CAMD Facility Data 2023'!$AE$2:$AE$10000,0),1)&gt;0,INDEX('CAMD Facility Data 2023'!$AA$2:$AE$10000,MATCH(Z1492,'CAMD Facility Data 2023'!$AE$2:$AE$10000,0),1),"")</f>
        <v>37712</v>
      </c>
      <c r="AB1492" s="5">
        <f>IF(INDEX('CAMD Facility Data 2023'!$AC$2:$AE$10000,MATCH(Z1492,'CAMD Facility Data 2023'!$AE$2:$AE$10000,0),1)&gt;0,INDEX('CAMD Facility Data 2023'!$AC$2:$AE$10000,MATCH(Z1492,'CAMD Facility Data 2023'!$AE$2:$AE$10000,0),1),"")</f>
        <v>313</v>
      </c>
      <c r="AC1492" s="1" t="str">
        <f>IF(INDEX('CAMD Facility Data 2023'!$AE$2:$AG$10000,MATCH(Z1492,'CAMD Facility Data 2023'!$AE$2:$AE$10000,0),3)&gt;0,INDEX('CAMD Facility Data 2023'!$AE$2:$AG$10000,MATCH(Z1492,'CAMD Facility Data 2023'!$AE$2:$AE$10000,0),3),"")</f>
        <v/>
      </c>
      <c r="AD1492" s="20">
        <f t="shared" si="70"/>
        <v>1.0199553314854828</v>
      </c>
      <c r="AE1492" s="25">
        <f t="shared" si="71"/>
        <v>0.14752330225976337</v>
      </c>
    </row>
    <row r="1493" spans="1:31" x14ac:dyDescent="0.2">
      <c r="A1493" s="1" t="s">
        <v>1755</v>
      </c>
      <c r="B1493" s="1" t="s">
        <v>3696</v>
      </c>
      <c r="C1493" s="1">
        <v>6223</v>
      </c>
      <c r="D1493" s="1" t="s">
        <v>815</v>
      </c>
      <c r="F1493" s="1">
        <v>2023</v>
      </c>
      <c r="G1493" s="5">
        <v>2451</v>
      </c>
      <c r="H1493" s="5">
        <v>2134.14</v>
      </c>
      <c r="I1493" s="5">
        <v>38618.26</v>
      </c>
      <c r="K1493" s="5">
        <v>0.152</v>
      </c>
      <c r="L1493" s="5">
        <v>1.1000000000000001E-3</v>
      </c>
      <c r="M1493" s="5">
        <v>27139.149000000001</v>
      </c>
      <c r="N1493" s="6">
        <v>6.0199999999999997E-2</v>
      </c>
      <c r="O1493" s="5">
        <v>19.579000000000001</v>
      </c>
      <c r="P1493" s="6">
        <v>9.3700000000000006E-2</v>
      </c>
      <c r="Q1493" s="5">
        <v>451801.201</v>
      </c>
      <c r="R1493" s="1" t="s">
        <v>44</v>
      </c>
      <c r="S1493" s="1" t="s">
        <v>94</v>
      </c>
      <c r="T1493" s="1" t="s">
        <v>93</v>
      </c>
      <c r="V1493" s="1" t="s">
        <v>95</v>
      </c>
      <c r="Y1493" s="1" t="s">
        <v>1207</v>
      </c>
      <c r="Z1493" s="1" t="str">
        <f t="shared" si="69"/>
        <v>6223 4B</v>
      </c>
      <c r="AA1493" s="3">
        <f>IF(INDEX('CAMD Facility Data 2023'!$AA$2:$AE$10000,MATCH(Z1493,'CAMD Facility Data 2023'!$AE$2:$AE$10000,0),1)&gt;0,INDEX('CAMD Facility Data 2023'!$AA$2:$AE$10000,MATCH(Z1493,'CAMD Facility Data 2023'!$AE$2:$AE$10000,0),1),"")</f>
        <v>37712</v>
      </c>
      <c r="AB1493" s="5">
        <f>IF(INDEX('CAMD Facility Data 2023'!$AC$2:$AE$10000,MATCH(Z1493,'CAMD Facility Data 2023'!$AE$2:$AE$10000,0),1)&gt;0,INDEX('CAMD Facility Data 2023'!$AC$2:$AE$10000,MATCH(Z1493,'CAMD Facility Data 2023'!$AE$2:$AE$10000,0),1),"")</f>
        <v>315</v>
      </c>
      <c r="AC1493" s="1" t="str">
        <f>IF(INDEX('CAMD Facility Data 2023'!$AE$2:$AG$10000,MATCH(Z1493,'CAMD Facility Data 2023'!$AE$2:$AE$10000,0),3)&gt;0,INDEX('CAMD Facility Data 2023'!$AE$2:$AG$10000,MATCH(Z1493,'CAMD Facility Data 2023'!$AE$2:$AE$10000,0),3),"")</f>
        <v/>
      </c>
      <c r="AD1493" s="20">
        <f t="shared" si="70"/>
        <v>1.013976289972671</v>
      </c>
      <c r="AE1493" s="25">
        <f t="shared" si="71"/>
        <v>0.16373168116257159</v>
      </c>
    </row>
    <row r="1494" spans="1:31" x14ac:dyDescent="0.2">
      <c r="A1494" s="1" t="s">
        <v>383</v>
      </c>
      <c r="B1494" s="1" t="s">
        <v>3700</v>
      </c>
      <c r="C1494" s="1">
        <v>6243</v>
      </c>
      <c r="D1494" s="1">
        <v>1</v>
      </c>
      <c r="F1494" s="1">
        <v>2023</v>
      </c>
      <c r="G1494" s="5">
        <v>5584</v>
      </c>
      <c r="H1494" s="5">
        <v>5573.26</v>
      </c>
      <c r="I1494" s="5">
        <v>114611.25</v>
      </c>
      <c r="K1494" s="5">
        <v>0.27400000000000002</v>
      </c>
      <c r="L1494" s="5">
        <v>1E-3</v>
      </c>
      <c r="M1494" s="5">
        <v>54349.559000000001</v>
      </c>
      <c r="N1494" s="6">
        <v>5.9400000000000001E-2</v>
      </c>
      <c r="O1494" s="5">
        <v>38.790999999999997</v>
      </c>
      <c r="P1494" s="6">
        <v>8.4099999999999994E-2</v>
      </c>
      <c r="Q1494" s="5">
        <v>914505.51100000006</v>
      </c>
      <c r="R1494" s="1" t="s">
        <v>44</v>
      </c>
      <c r="S1494" s="1" t="s">
        <v>94</v>
      </c>
      <c r="T1494" s="1" t="s">
        <v>89</v>
      </c>
      <c r="V1494" s="1" t="s">
        <v>220</v>
      </c>
      <c r="Y1494" s="1" t="s">
        <v>346</v>
      </c>
      <c r="Z1494" s="1" t="str">
        <f t="shared" si="69"/>
        <v>6243 1</v>
      </c>
      <c r="AA1494" s="3">
        <f>IF(INDEX('CAMD Facility Data 2023'!$AA$2:$AE$10000,MATCH(Z1494,'CAMD Facility Data 2023'!$AE$2:$AE$10000,0),1)&gt;0,INDEX('CAMD Facility Data 2023'!$AA$2:$AE$10000,MATCH(Z1494,'CAMD Facility Data 2023'!$AE$2:$AE$10000,0),1),"")</f>
        <v>28734</v>
      </c>
      <c r="AB1494" s="5">
        <f>IF(INDEX('CAMD Facility Data 2023'!$AC$2:$AE$10000,MATCH(Z1494,'CAMD Facility Data 2023'!$AE$2:$AE$10000,0),1)&gt;0,INDEX('CAMD Facility Data 2023'!$AC$2:$AE$10000,MATCH(Z1494,'CAMD Facility Data 2023'!$AE$2:$AE$10000,0),1),"")</f>
        <v>1300</v>
      </c>
      <c r="AC1494" s="1" t="str">
        <f>IF(INDEX('CAMD Facility Data 2023'!$AE$2:$AG$10000,MATCH(Z1494,'CAMD Facility Data 2023'!$AE$2:$AE$10000,0),3)&gt;0,INDEX('CAMD Facility Data 2023'!$AE$2:$AG$10000,MATCH(Z1494,'CAMD Facility Data 2023'!$AE$2:$AE$10000,0),3),"")</f>
        <v/>
      </c>
      <c r="AD1494" s="20">
        <f t="shared" si="70"/>
        <v>0.6769143517761127</v>
      </c>
      <c r="AE1494" s="25">
        <f t="shared" si="71"/>
        <v>8.0304312521952942E-2</v>
      </c>
    </row>
    <row r="1495" spans="1:31" x14ac:dyDescent="0.2">
      <c r="A1495" s="1" t="s">
        <v>383</v>
      </c>
      <c r="B1495" s="1" t="s">
        <v>3700</v>
      </c>
      <c r="C1495" s="1">
        <v>6243</v>
      </c>
      <c r="D1495" s="1">
        <v>2</v>
      </c>
      <c r="F1495" s="1">
        <v>2023</v>
      </c>
      <c r="G1495" s="5">
        <v>1322</v>
      </c>
      <c r="H1495" s="5">
        <v>1118.19</v>
      </c>
      <c r="I1495" s="5">
        <v>48857.81</v>
      </c>
      <c r="K1495" s="5">
        <v>0.14299999999999999</v>
      </c>
      <c r="L1495" s="5">
        <v>1E-3</v>
      </c>
      <c r="M1495" s="5">
        <v>28259.924999999999</v>
      </c>
      <c r="N1495" s="6">
        <v>5.9200000000000003E-2</v>
      </c>
      <c r="O1495" s="5">
        <v>2.9510000000000001</v>
      </c>
      <c r="P1495" s="6">
        <v>1.6799999999999999E-2</v>
      </c>
      <c r="Q1495" s="5">
        <v>475534.658</v>
      </c>
      <c r="R1495" s="1" t="s">
        <v>44</v>
      </c>
      <c r="T1495" s="1" t="s">
        <v>93</v>
      </c>
      <c r="V1495" s="1" t="s">
        <v>176</v>
      </c>
      <c r="Y1495" s="1" t="s">
        <v>346</v>
      </c>
      <c r="Z1495" s="1" t="str">
        <f t="shared" si="69"/>
        <v>6243 2</v>
      </c>
      <c r="AA1495" s="3">
        <f>IF(INDEX('CAMD Facility Data 2023'!$AA$2:$AE$10000,MATCH(Z1495,'CAMD Facility Data 2023'!$AE$2:$AE$10000,0),1)&gt;0,INDEX('CAMD Facility Data 2023'!$AA$2:$AE$10000,MATCH(Z1495,'CAMD Facility Data 2023'!$AE$2:$AE$10000,0),1),"")</f>
        <v>37967</v>
      </c>
      <c r="AB1495" s="5">
        <f>IF(INDEX('CAMD Facility Data 2023'!$AC$2:$AE$10000,MATCH(Z1495,'CAMD Facility Data 2023'!$AE$2:$AE$10000,0),1)&gt;0,INDEX('CAMD Facility Data 2023'!$AC$2:$AE$10000,MATCH(Z1495,'CAMD Facility Data 2023'!$AE$2:$AE$10000,0),1),"")</f>
        <v>500</v>
      </c>
      <c r="AC1495" s="1" t="str">
        <f>IF(INDEX('CAMD Facility Data 2023'!$AE$2:$AG$10000,MATCH(Z1495,'CAMD Facility Data 2023'!$AE$2:$AE$10000,0),3)&gt;0,INDEX('CAMD Facility Data 2023'!$AE$2:$AG$10000,MATCH(Z1495,'CAMD Facility Data 2023'!$AE$2:$AE$10000,0),3),"")</f>
        <v>Y</v>
      </c>
      <c r="AD1495" s="20">
        <f t="shared" si="70"/>
        <v>0.12079952007672878</v>
      </c>
      <c r="AE1495" s="25">
        <f t="shared" si="71"/>
        <v>0.10856955662100456</v>
      </c>
    </row>
    <row r="1496" spans="1:31" x14ac:dyDescent="0.2">
      <c r="A1496" s="1" t="s">
        <v>383</v>
      </c>
      <c r="B1496" s="1" t="s">
        <v>3700</v>
      </c>
      <c r="C1496" s="1">
        <v>6243</v>
      </c>
      <c r="D1496" s="1">
        <v>3</v>
      </c>
      <c r="F1496" s="1">
        <v>2023</v>
      </c>
      <c r="G1496" s="5">
        <v>1284</v>
      </c>
      <c r="H1496" s="5">
        <v>1100.2</v>
      </c>
      <c r="I1496" s="5">
        <v>49009.5</v>
      </c>
      <c r="K1496" s="5">
        <v>0.14399999999999999</v>
      </c>
      <c r="L1496" s="5">
        <v>1E-3</v>
      </c>
      <c r="M1496" s="5">
        <v>28439.228999999999</v>
      </c>
      <c r="N1496" s="6">
        <v>5.9200000000000003E-2</v>
      </c>
      <c r="O1496" s="5">
        <v>4.7439999999999998</v>
      </c>
      <c r="P1496" s="6">
        <v>2.4799999999999999E-2</v>
      </c>
      <c r="Q1496" s="5">
        <v>478557.84700000001</v>
      </c>
      <c r="R1496" s="1" t="s">
        <v>44</v>
      </c>
      <c r="S1496" s="1" t="s">
        <v>94</v>
      </c>
      <c r="T1496" s="1" t="s">
        <v>93</v>
      </c>
      <c r="V1496" s="1" t="s">
        <v>176</v>
      </c>
      <c r="Y1496" s="1" t="s">
        <v>346</v>
      </c>
      <c r="Z1496" s="1" t="str">
        <f t="shared" si="69"/>
        <v>6243 3</v>
      </c>
      <c r="AA1496" s="3">
        <f>IF(INDEX('CAMD Facility Data 2023'!$AA$2:$AE$10000,MATCH(Z1496,'CAMD Facility Data 2023'!$AE$2:$AE$10000,0),1)&gt;0,INDEX('CAMD Facility Data 2023'!$AA$2:$AE$10000,MATCH(Z1496,'CAMD Facility Data 2023'!$AE$2:$AE$10000,0),1),"")</f>
        <v>40197</v>
      </c>
      <c r="AB1496" s="5">
        <f>IF(INDEX('CAMD Facility Data 2023'!$AC$2:$AE$10000,MATCH(Z1496,'CAMD Facility Data 2023'!$AE$2:$AE$10000,0),1)&gt;0,INDEX('CAMD Facility Data 2023'!$AC$2:$AE$10000,MATCH(Z1496,'CAMD Facility Data 2023'!$AE$2:$AE$10000,0),1),"")</f>
        <v>932</v>
      </c>
      <c r="AC1496" s="1" t="str">
        <f>IF(INDEX('CAMD Facility Data 2023'!$AE$2:$AG$10000,MATCH(Z1496,'CAMD Facility Data 2023'!$AE$2:$AE$10000,0),3)&gt;0,INDEX('CAMD Facility Data 2023'!$AE$2:$AG$10000,MATCH(Z1496,'CAMD Facility Data 2023'!$AE$2:$AE$10000,0),3),"")</f>
        <v>Y</v>
      </c>
      <c r="AD1496" s="20">
        <f t="shared" si="70"/>
        <v>0.19359511931360246</v>
      </c>
      <c r="AE1496" s="25">
        <f t="shared" si="71"/>
        <v>5.8615763100907367E-2</v>
      </c>
    </row>
    <row r="1497" spans="1:31" x14ac:dyDescent="0.2">
      <c r="A1497" s="1" t="s">
        <v>516</v>
      </c>
      <c r="B1497" s="1" t="s">
        <v>3706</v>
      </c>
      <c r="C1497" s="1">
        <v>6248</v>
      </c>
      <c r="D1497" s="1">
        <v>1</v>
      </c>
      <c r="F1497" s="1">
        <v>2023</v>
      </c>
      <c r="G1497" s="5">
        <v>8299</v>
      </c>
      <c r="H1497" s="5">
        <v>8295.1299999999992</v>
      </c>
      <c r="I1497" s="5">
        <v>3008781.52</v>
      </c>
      <c r="K1497" s="5">
        <v>1518.0239999999999</v>
      </c>
      <c r="L1497" s="5">
        <v>9.5200000000000007E-2</v>
      </c>
      <c r="M1497" s="5">
        <v>3398439.3390000002</v>
      </c>
      <c r="N1497" s="6">
        <v>0.1047</v>
      </c>
      <c r="O1497" s="5">
        <v>782.38099999999997</v>
      </c>
      <c r="P1497" s="6">
        <v>4.7600000000000003E-2</v>
      </c>
      <c r="Q1497" s="5">
        <v>32408952.602000002</v>
      </c>
      <c r="R1497" s="1" t="s">
        <v>55</v>
      </c>
      <c r="S1497" s="1" t="s">
        <v>284</v>
      </c>
      <c r="T1497" s="1" t="s">
        <v>89</v>
      </c>
      <c r="U1497" s="1" t="s">
        <v>212</v>
      </c>
      <c r="V1497" s="1" t="s">
        <v>563</v>
      </c>
      <c r="W1497" s="1" t="s">
        <v>232</v>
      </c>
      <c r="X1497" s="1" t="s">
        <v>214</v>
      </c>
      <c r="Y1497" s="1" t="s">
        <v>236</v>
      </c>
      <c r="Z1497" s="1" t="str">
        <f t="shared" si="69"/>
        <v>6248 1</v>
      </c>
      <c r="AA1497" s="3">
        <f>IF(INDEX('CAMD Facility Data 2023'!$AA$2:$AE$10000,MATCH(Z1497,'CAMD Facility Data 2023'!$AE$2:$AE$10000,0),1)&gt;0,INDEX('CAMD Facility Data 2023'!$AA$2:$AE$10000,MATCH(Z1497,'CAMD Facility Data 2023'!$AE$2:$AE$10000,0),1),"")</f>
        <v>29922</v>
      </c>
      <c r="AB1497" s="5">
        <f>IF(INDEX('CAMD Facility Data 2023'!$AC$2:$AE$10000,MATCH(Z1497,'CAMD Facility Data 2023'!$AE$2:$AE$10000,0),1)&gt;0,INDEX('CAMD Facility Data 2023'!$AC$2:$AE$10000,MATCH(Z1497,'CAMD Facility Data 2023'!$AE$2:$AE$10000,0),1),"")</f>
        <v>6700</v>
      </c>
      <c r="AC1497" s="1" t="str">
        <f>IF(INDEX('CAMD Facility Data 2023'!$AE$2:$AG$10000,MATCH(Z1497,'CAMD Facility Data 2023'!$AE$2:$AE$10000,0),3)&gt;0,INDEX('CAMD Facility Data 2023'!$AE$2:$AG$10000,MATCH(Z1497,'CAMD Facility Data 2023'!$AE$2:$AE$10000,0),3),"")</f>
        <v>Y</v>
      </c>
      <c r="AD1497" s="20">
        <f t="shared" si="70"/>
        <v>0.5200650128959845</v>
      </c>
      <c r="AE1497" s="25">
        <f t="shared" si="71"/>
        <v>0.55218688410686301</v>
      </c>
    </row>
    <row r="1498" spans="1:31" x14ac:dyDescent="0.2">
      <c r="A1498" s="1" t="s">
        <v>291</v>
      </c>
      <c r="B1498" s="1" t="s">
        <v>3709</v>
      </c>
      <c r="C1498" s="1">
        <v>6249</v>
      </c>
      <c r="D1498" s="1">
        <v>1</v>
      </c>
      <c r="F1498" s="1">
        <v>2023</v>
      </c>
      <c r="G1498" s="5">
        <v>5117</v>
      </c>
      <c r="H1498" s="5">
        <v>5101.41</v>
      </c>
      <c r="I1498" s="5">
        <v>919143.29</v>
      </c>
      <c r="K1498" s="5">
        <v>382.13299999999998</v>
      </c>
      <c r="L1498" s="5">
        <v>8.3299999999999999E-2</v>
      </c>
      <c r="M1498" s="5">
        <v>943585.50300000003</v>
      </c>
      <c r="N1498" s="6">
        <v>0.10299999999999999</v>
      </c>
      <c r="O1498" s="5">
        <v>396.59199999999998</v>
      </c>
      <c r="P1498" s="6">
        <v>8.6900000000000005E-2</v>
      </c>
      <c r="Q1498" s="5">
        <v>9196733.8719999995</v>
      </c>
      <c r="R1498" s="1" t="s">
        <v>55</v>
      </c>
      <c r="T1498" s="1" t="s">
        <v>89</v>
      </c>
      <c r="U1498" s="1" t="s">
        <v>56</v>
      </c>
      <c r="V1498" s="1" t="s">
        <v>563</v>
      </c>
      <c r="W1498" s="1" t="s">
        <v>58</v>
      </c>
      <c r="Y1498" s="1" t="s">
        <v>293</v>
      </c>
      <c r="Z1498" s="1" t="str">
        <f t="shared" si="69"/>
        <v>6249 1</v>
      </c>
      <c r="AA1498" s="3">
        <f>IF(INDEX('CAMD Facility Data 2023'!$AA$2:$AE$10000,MATCH(Z1498,'CAMD Facility Data 2023'!$AE$2:$AE$10000,0),1)&gt;0,INDEX('CAMD Facility Data 2023'!$AA$2:$AE$10000,MATCH(Z1498,'CAMD Facility Data 2023'!$AE$2:$AE$10000,0),1),"")</f>
        <v>27454</v>
      </c>
      <c r="AB1498" s="5">
        <f>IF(INDEX('CAMD Facility Data 2023'!$AC$2:$AE$10000,MATCH(Z1498,'CAMD Facility Data 2023'!$AE$2:$AE$10000,0),1)&gt;0,INDEX('CAMD Facility Data 2023'!$AC$2:$AE$10000,MATCH(Z1498,'CAMD Facility Data 2023'!$AE$2:$AE$10000,0),1),"")</f>
        <v>3224</v>
      </c>
      <c r="AC1498" s="1" t="str">
        <f>IF(INDEX('CAMD Facility Data 2023'!$AE$2:$AG$10000,MATCH(Z1498,'CAMD Facility Data 2023'!$AE$2:$AE$10000,0),3)&gt;0,INDEX('CAMD Facility Data 2023'!$AE$2:$AG$10000,MATCH(Z1498,'CAMD Facility Data 2023'!$AE$2:$AE$10000,0),3),"")</f>
        <v>Y</v>
      </c>
      <c r="AD1498" s="20">
        <f t="shared" si="70"/>
        <v>0.86296011582698928</v>
      </c>
      <c r="AE1498" s="25">
        <f t="shared" si="71"/>
        <v>0.32563755112908888</v>
      </c>
    </row>
    <row r="1499" spans="1:31" x14ac:dyDescent="0.2">
      <c r="A1499" s="1" t="s">
        <v>291</v>
      </c>
      <c r="B1499" s="1" t="s">
        <v>3709</v>
      </c>
      <c r="C1499" s="1">
        <v>6249</v>
      </c>
      <c r="D1499" s="1">
        <v>2</v>
      </c>
      <c r="F1499" s="1">
        <v>2023</v>
      </c>
      <c r="G1499" s="5">
        <v>5976</v>
      </c>
      <c r="H1499" s="5">
        <v>5960.26</v>
      </c>
      <c r="I1499" s="5">
        <v>1030036.92</v>
      </c>
      <c r="K1499" s="5">
        <v>453.57299999999998</v>
      </c>
      <c r="L1499" s="5">
        <v>7.8200000000000006E-2</v>
      </c>
      <c r="M1499" s="5">
        <v>1034374.393</v>
      </c>
      <c r="N1499" s="6">
        <v>0.10299999999999999</v>
      </c>
      <c r="O1499" s="5">
        <v>521.99300000000005</v>
      </c>
      <c r="P1499" s="6">
        <v>0.10489999999999999</v>
      </c>
      <c r="Q1499" s="5">
        <v>10081631.255999999</v>
      </c>
      <c r="R1499" s="1" t="s">
        <v>55</v>
      </c>
      <c r="T1499" s="1" t="s">
        <v>319</v>
      </c>
      <c r="U1499" s="1" t="s">
        <v>56</v>
      </c>
      <c r="V1499" s="1" t="s">
        <v>1010</v>
      </c>
      <c r="W1499" s="1" t="s">
        <v>58</v>
      </c>
      <c r="Y1499" s="1" t="s">
        <v>293</v>
      </c>
      <c r="Z1499" s="1" t="str">
        <f t="shared" si="69"/>
        <v>6249 2</v>
      </c>
      <c r="AA1499" s="3">
        <f>IF(INDEX('CAMD Facility Data 2023'!$AA$2:$AE$10000,MATCH(Z1499,'CAMD Facility Data 2023'!$AE$2:$AE$10000,0),1)&gt;0,INDEX('CAMD Facility Data 2023'!$AA$2:$AE$10000,MATCH(Z1499,'CAMD Facility Data 2023'!$AE$2:$AE$10000,0),1),"")</f>
        <v>28307</v>
      </c>
      <c r="AB1499" s="5">
        <f>IF(INDEX('CAMD Facility Data 2023'!$AC$2:$AE$10000,MATCH(Z1499,'CAMD Facility Data 2023'!$AE$2:$AE$10000,0),1)&gt;0,INDEX('CAMD Facility Data 2023'!$AC$2:$AE$10000,MATCH(Z1499,'CAMD Facility Data 2023'!$AE$2:$AE$10000,0),1),"")</f>
        <v>3858</v>
      </c>
      <c r="AC1499" s="1" t="str">
        <f>IF(INDEX('CAMD Facility Data 2023'!$AE$2:$AG$10000,MATCH(Z1499,'CAMD Facility Data 2023'!$AE$2:$AE$10000,0),3)&gt;0,INDEX('CAMD Facility Data 2023'!$AE$2:$AG$10000,MATCH(Z1499,'CAMD Facility Data 2023'!$AE$2:$AE$10000,0),3),"")</f>
        <v>Y</v>
      </c>
      <c r="AD1499" s="20">
        <f t="shared" si="70"/>
        <v>1.0135423106969796</v>
      </c>
      <c r="AE1499" s="25">
        <f t="shared" si="71"/>
        <v>0.29830771071674583</v>
      </c>
    </row>
    <row r="1500" spans="1:31" x14ac:dyDescent="0.2">
      <c r="A1500" s="1" t="s">
        <v>291</v>
      </c>
      <c r="B1500" s="1" t="s">
        <v>3709</v>
      </c>
      <c r="C1500" s="1">
        <v>6249</v>
      </c>
      <c r="D1500" s="1">
        <v>3</v>
      </c>
      <c r="F1500" s="1">
        <v>2023</v>
      </c>
      <c r="G1500" s="5">
        <v>3362</v>
      </c>
      <c r="H1500" s="5">
        <v>3334.19</v>
      </c>
      <c r="I1500" s="5">
        <v>506387.55</v>
      </c>
      <c r="K1500" s="5">
        <v>493.21899999999999</v>
      </c>
      <c r="L1500" s="5">
        <v>0.1522</v>
      </c>
      <c r="M1500" s="5">
        <v>581453.28399999999</v>
      </c>
      <c r="N1500" s="6">
        <v>0.10299999999999999</v>
      </c>
      <c r="O1500" s="5">
        <v>287.452</v>
      </c>
      <c r="P1500" s="6">
        <v>0.10100000000000001</v>
      </c>
      <c r="Q1500" s="5">
        <v>5667191.9639999997</v>
      </c>
      <c r="R1500" s="1" t="s">
        <v>55</v>
      </c>
      <c r="T1500" s="1" t="s">
        <v>319</v>
      </c>
      <c r="U1500" s="1" t="s">
        <v>56</v>
      </c>
      <c r="V1500" s="1" t="s">
        <v>223</v>
      </c>
      <c r="W1500" s="1" t="s">
        <v>58</v>
      </c>
      <c r="Y1500" s="1" t="s">
        <v>293</v>
      </c>
      <c r="Z1500" s="1" t="str">
        <f t="shared" si="69"/>
        <v>6249 3</v>
      </c>
      <c r="AA1500" s="3">
        <f>IF(INDEX('CAMD Facility Data 2023'!$AA$2:$AE$10000,MATCH(Z1500,'CAMD Facility Data 2023'!$AE$2:$AE$10000,0),1)&gt;0,INDEX('CAMD Facility Data 2023'!$AA$2:$AE$10000,MATCH(Z1500,'CAMD Facility Data 2023'!$AE$2:$AE$10000,0),1),"")</f>
        <v>29342</v>
      </c>
      <c r="AB1500" s="5">
        <f>IF(INDEX('CAMD Facility Data 2023'!$AC$2:$AE$10000,MATCH(Z1500,'CAMD Facility Data 2023'!$AE$2:$AE$10000,0),1)&gt;0,INDEX('CAMD Facility Data 2023'!$AC$2:$AE$10000,MATCH(Z1500,'CAMD Facility Data 2023'!$AE$2:$AE$10000,0),1),"")</f>
        <v>3864</v>
      </c>
      <c r="AC1500" s="1" t="str">
        <f>IF(INDEX('CAMD Facility Data 2023'!$AE$2:$AG$10000,MATCH(Z1500,'CAMD Facility Data 2023'!$AE$2:$AE$10000,0),3)&gt;0,INDEX('CAMD Facility Data 2023'!$AE$2:$AG$10000,MATCH(Z1500,'CAMD Facility Data 2023'!$AE$2:$AE$10000,0),3),"")</f>
        <v>Y</v>
      </c>
      <c r="AD1500" s="20">
        <f t="shared" si="70"/>
        <v>1.1353043731031698</v>
      </c>
      <c r="AE1500" s="25">
        <f t="shared" si="71"/>
        <v>0.1674274642644431</v>
      </c>
    </row>
    <row r="1501" spans="1:31" x14ac:dyDescent="0.2">
      <c r="A1501" s="1" t="s">
        <v>291</v>
      </c>
      <c r="B1501" s="1" t="s">
        <v>3709</v>
      </c>
      <c r="C1501" s="1">
        <v>6249</v>
      </c>
      <c r="D1501" s="1">
        <v>4</v>
      </c>
      <c r="F1501" s="1">
        <v>2023</v>
      </c>
      <c r="G1501" s="5">
        <v>3451</v>
      </c>
      <c r="H1501" s="5">
        <v>3437.33</v>
      </c>
      <c r="I1501" s="5">
        <v>609204.49</v>
      </c>
      <c r="K1501" s="5">
        <v>343.17399999999998</v>
      </c>
      <c r="L1501" s="5">
        <v>0.1079</v>
      </c>
      <c r="M1501" s="5">
        <v>617368.67000000004</v>
      </c>
      <c r="N1501" s="6">
        <v>0.1028</v>
      </c>
      <c r="O1501" s="5">
        <v>306.322</v>
      </c>
      <c r="P1501" s="6">
        <v>0.1047</v>
      </c>
      <c r="Q1501" s="5">
        <v>6017249.2209999999</v>
      </c>
      <c r="R1501" s="1" t="s">
        <v>55</v>
      </c>
      <c r="T1501" s="1" t="s">
        <v>319</v>
      </c>
      <c r="U1501" s="1" t="s">
        <v>56</v>
      </c>
      <c r="V1501" s="1" t="s">
        <v>223</v>
      </c>
      <c r="W1501" s="1" t="s">
        <v>58</v>
      </c>
      <c r="Y1501" s="1" t="s">
        <v>293</v>
      </c>
      <c r="Z1501" s="1" t="str">
        <f t="shared" si="69"/>
        <v>6249 4</v>
      </c>
      <c r="AA1501" s="3">
        <f>IF(INDEX('CAMD Facility Data 2023'!$AA$2:$AE$10000,MATCH(Z1501,'CAMD Facility Data 2023'!$AE$2:$AE$10000,0),1)&gt;0,INDEX('CAMD Facility Data 2023'!$AA$2:$AE$10000,MATCH(Z1501,'CAMD Facility Data 2023'!$AE$2:$AE$10000,0),1),"")</f>
        <v>29891</v>
      </c>
      <c r="AB1501" s="5">
        <f>IF(INDEX('CAMD Facility Data 2023'!$AC$2:$AE$10000,MATCH(Z1501,'CAMD Facility Data 2023'!$AE$2:$AE$10000,0),1)&gt;0,INDEX('CAMD Facility Data 2023'!$AC$2:$AE$10000,MATCH(Z1501,'CAMD Facility Data 2023'!$AE$2:$AE$10000,0),1),"")</f>
        <v>3605</v>
      </c>
      <c r="AC1501" s="1" t="str">
        <f>IF(INDEX('CAMD Facility Data 2023'!$AE$2:$AG$10000,MATCH(Z1501,'CAMD Facility Data 2023'!$AE$2:$AE$10000,0),3)&gt;0,INDEX('CAMD Facility Data 2023'!$AE$2:$AG$10000,MATCH(Z1501,'CAMD Facility Data 2023'!$AE$2:$AE$10000,0),3),"")</f>
        <v>Y</v>
      </c>
      <c r="AD1501" s="20">
        <f t="shared" si="70"/>
        <v>1.0056459038901699</v>
      </c>
      <c r="AE1501" s="25">
        <f t="shared" si="71"/>
        <v>0.19054108072248715</v>
      </c>
    </row>
    <row r="1502" spans="1:31" x14ac:dyDescent="0.2">
      <c r="A1502" s="1" t="s">
        <v>1153</v>
      </c>
      <c r="B1502" s="1" t="s">
        <v>3716</v>
      </c>
      <c r="C1502" s="1">
        <v>6250</v>
      </c>
      <c r="D1502" s="1" t="s">
        <v>372</v>
      </c>
      <c r="E1502" s="1" t="s">
        <v>3717</v>
      </c>
      <c r="F1502" s="1">
        <v>2023</v>
      </c>
      <c r="G1502" s="5">
        <v>3483</v>
      </c>
      <c r="H1502" s="5">
        <v>3468.92</v>
      </c>
      <c r="J1502" s="5">
        <v>5548383.8300000001</v>
      </c>
      <c r="K1502" s="5">
        <v>983.01599999999996</v>
      </c>
      <c r="L1502" s="5">
        <v>0.22700000000000001</v>
      </c>
      <c r="M1502" s="5">
        <v>793106.66500000004</v>
      </c>
      <c r="N1502" s="6">
        <v>0.1011</v>
      </c>
      <c r="O1502" s="5">
        <v>429.49799999999999</v>
      </c>
      <c r="P1502" s="6">
        <v>0.1186</v>
      </c>
      <c r="Q1502" s="5">
        <v>7744552.1869999999</v>
      </c>
      <c r="R1502" s="1" t="s">
        <v>55</v>
      </c>
      <c r="S1502" s="1" t="s">
        <v>94</v>
      </c>
      <c r="T1502" s="1" t="s">
        <v>89</v>
      </c>
      <c r="U1502" s="1" t="s">
        <v>241</v>
      </c>
      <c r="V1502" s="1" t="s">
        <v>639</v>
      </c>
      <c r="W1502" s="1" t="s">
        <v>800</v>
      </c>
      <c r="Y1502" s="1" t="s">
        <v>2351</v>
      </c>
      <c r="Z1502" s="1" t="str">
        <f t="shared" si="69"/>
        <v>6250 1A</v>
      </c>
      <c r="AA1502" s="3">
        <f>IF(INDEX('CAMD Facility Data 2023'!$AA$2:$AE$10000,MATCH(Z1502,'CAMD Facility Data 2023'!$AE$2:$AE$10000,0),1)&gt;0,INDEX('CAMD Facility Data 2023'!$AA$2:$AE$10000,MATCH(Z1502,'CAMD Facility Data 2023'!$AE$2:$AE$10000,0),1),"")</f>
        <v>30286</v>
      </c>
      <c r="AB1502" s="5">
        <f>IF(INDEX('CAMD Facility Data 2023'!$AC$2:$AE$10000,MATCH(Z1502,'CAMD Facility Data 2023'!$AE$2:$AE$10000,0),1)&gt;0,INDEX('CAMD Facility Data 2023'!$AC$2:$AE$10000,MATCH(Z1502,'CAMD Facility Data 2023'!$AE$2:$AE$10000,0),1),"")</f>
        <v>4900</v>
      </c>
      <c r="AC1502" s="1" t="str">
        <f>IF(INDEX('CAMD Facility Data 2023'!$AE$2:$AG$10000,MATCH(Z1502,'CAMD Facility Data 2023'!$AE$2:$AE$10000,0),3)&gt;0,INDEX('CAMD Facility Data 2023'!$AE$2:$AG$10000,MATCH(Z1502,'CAMD Facility Data 2023'!$AE$2:$AE$10000,0),3),"")</f>
        <v>Y</v>
      </c>
      <c r="AD1502" s="20" t="str">
        <f t="shared" si="70"/>
        <v/>
      </c>
      <c r="AE1502" s="25">
        <f t="shared" si="71"/>
        <v>0.18042475507874384</v>
      </c>
    </row>
    <row r="1503" spans="1:31" x14ac:dyDescent="0.2">
      <c r="A1503" s="1" t="s">
        <v>1153</v>
      </c>
      <c r="B1503" s="1" t="s">
        <v>3716</v>
      </c>
      <c r="C1503" s="1">
        <v>6250</v>
      </c>
      <c r="D1503" s="1" t="s">
        <v>1199</v>
      </c>
      <c r="E1503" s="1" t="s">
        <v>3717</v>
      </c>
      <c r="F1503" s="1">
        <v>2023</v>
      </c>
      <c r="G1503" s="5">
        <v>3482</v>
      </c>
      <c r="H1503" s="5">
        <v>3467.93</v>
      </c>
      <c r="J1503" s="5">
        <v>4903671.92</v>
      </c>
      <c r="K1503" s="5">
        <v>853.77200000000005</v>
      </c>
      <c r="L1503" s="5">
        <v>0.22700000000000001</v>
      </c>
      <c r="M1503" s="5">
        <v>704403.79099999997</v>
      </c>
      <c r="N1503" s="6">
        <v>0.1011</v>
      </c>
      <c r="O1503" s="5">
        <v>385.959</v>
      </c>
      <c r="P1503" s="6">
        <v>0.1187</v>
      </c>
      <c r="Q1503" s="5">
        <v>6871302.2419999996</v>
      </c>
      <c r="R1503" s="1" t="s">
        <v>55</v>
      </c>
      <c r="S1503" s="1" t="s">
        <v>94</v>
      </c>
      <c r="T1503" s="1" t="s">
        <v>89</v>
      </c>
      <c r="U1503" s="1" t="s">
        <v>241</v>
      </c>
      <c r="V1503" s="1" t="s">
        <v>639</v>
      </c>
      <c r="W1503" s="1" t="s">
        <v>800</v>
      </c>
      <c r="Y1503" s="1" t="s">
        <v>2351</v>
      </c>
      <c r="Z1503" s="1" t="str">
        <f t="shared" si="69"/>
        <v>6250 1B</v>
      </c>
      <c r="AA1503" s="3">
        <f>IF(INDEX('CAMD Facility Data 2023'!$AA$2:$AE$10000,MATCH(Z1503,'CAMD Facility Data 2023'!$AE$2:$AE$10000,0),1)&gt;0,INDEX('CAMD Facility Data 2023'!$AA$2:$AE$10000,MATCH(Z1503,'CAMD Facility Data 2023'!$AE$2:$AE$10000,0),1),"")</f>
        <v>30286</v>
      </c>
      <c r="AB1503" s="5">
        <f>IF(INDEX('CAMD Facility Data 2023'!$AC$2:$AE$10000,MATCH(Z1503,'CAMD Facility Data 2023'!$AE$2:$AE$10000,0),1)&gt;0,INDEX('CAMD Facility Data 2023'!$AC$2:$AE$10000,MATCH(Z1503,'CAMD Facility Data 2023'!$AE$2:$AE$10000,0),1),"")</f>
        <v>4900</v>
      </c>
      <c r="AC1503" s="1" t="str">
        <f>IF(INDEX('CAMD Facility Data 2023'!$AE$2:$AG$10000,MATCH(Z1503,'CAMD Facility Data 2023'!$AE$2:$AE$10000,0),3)&gt;0,INDEX('CAMD Facility Data 2023'!$AE$2:$AG$10000,MATCH(Z1503,'CAMD Facility Data 2023'!$AE$2:$AE$10000,0),3),"")</f>
        <v>Y</v>
      </c>
      <c r="AD1503" s="20" t="str">
        <f t="shared" si="70"/>
        <v/>
      </c>
      <c r="AE1503" s="25">
        <f t="shared" si="71"/>
        <v>0.16008065981735159</v>
      </c>
    </row>
    <row r="1504" spans="1:31" x14ac:dyDescent="0.2">
      <c r="A1504" s="1" t="s">
        <v>3167</v>
      </c>
      <c r="B1504" s="1" t="s">
        <v>3719</v>
      </c>
      <c r="C1504" s="1">
        <v>6253</v>
      </c>
      <c r="D1504" s="1" t="s">
        <v>2903</v>
      </c>
      <c r="F1504" s="1">
        <v>2023</v>
      </c>
      <c r="G1504" s="5">
        <v>278</v>
      </c>
      <c r="H1504" s="5">
        <v>239.16</v>
      </c>
      <c r="I1504" s="5">
        <v>14421.52</v>
      </c>
      <c r="K1504" s="5">
        <v>5.5E-2</v>
      </c>
      <c r="L1504" s="5">
        <v>1E-3</v>
      </c>
      <c r="M1504" s="5">
        <v>10835.839</v>
      </c>
      <c r="N1504" s="6">
        <v>5.91E-2</v>
      </c>
      <c r="O1504" s="5">
        <v>2.6680000000000001</v>
      </c>
      <c r="P1504" s="6">
        <v>2.9000000000000001E-2</v>
      </c>
      <c r="Q1504" s="5">
        <v>182317.51199999999</v>
      </c>
      <c r="R1504" s="1" t="s">
        <v>44</v>
      </c>
      <c r="S1504" s="1" t="s">
        <v>94</v>
      </c>
      <c r="T1504" s="1" t="s">
        <v>93</v>
      </c>
      <c r="V1504" s="1" t="s">
        <v>95</v>
      </c>
      <c r="Y1504" s="1" t="s">
        <v>461</v>
      </c>
      <c r="Z1504" s="1" t="str">
        <f t="shared" si="69"/>
        <v>6253 **5</v>
      </c>
      <c r="AA1504" s="3">
        <f>IF(INDEX('CAMD Facility Data 2023'!$AA$2:$AE$10000,MATCH(Z1504,'CAMD Facility Data 2023'!$AE$2:$AE$10000,0),1)&gt;0,INDEX('CAMD Facility Data 2023'!$AA$2:$AE$10000,MATCH(Z1504,'CAMD Facility Data 2023'!$AE$2:$AE$10000,0),1),"")</f>
        <v>36654</v>
      </c>
      <c r="AB1504" s="5">
        <f>IF(INDEX('CAMD Facility Data 2023'!$AC$2:$AE$10000,MATCH(Z1504,'CAMD Facility Data 2023'!$AE$2:$AE$10000,0),1)&gt;0,INDEX('CAMD Facility Data 2023'!$AC$2:$AE$10000,MATCH(Z1504,'CAMD Facility Data 2023'!$AE$2:$AE$10000,0),1),"")</f>
        <v>1219</v>
      </c>
      <c r="AC1504" s="1" t="str">
        <f>IF(INDEX('CAMD Facility Data 2023'!$AE$2:$AG$10000,MATCH(Z1504,'CAMD Facility Data 2023'!$AE$2:$AE$10000,0),3)&gt;0,INDEX('CAMD Facility Data 2023'!$AE$2:$AG$10000,MATCH(Z1504,'CAMD Facility Data 2023'!$AE$2:$AE$10000,0),3),"")</f>
        <v/>
      </c>
      <c r="AD1504" s="20">
        <f t="shared" si="70"/>
        <v>0.37000260721477346</v>
      </c>
      <c r="AE1504" s="25">
        <f t="shared" si="71"/>
        <v>1.7073421960511086E-2</v>
      </c>
    </row>
    <row r="1505" spans="1:31" x14ac:dyDescent="0.2">
      <c r="A1505" s="1" t="s">
        <v>3167</v>
      </c>
      <c r="B1505" s="1" t="s">
        <v>3719</v>
      </c>
      <c r="C1505" s="1">
        <v>6253</v>
      </c>
      <c r="D1505" s="1" t="s">
        <v>3722</v>
      </c>
      <c r="F1505" s="1">
        <v>2023</v>
      </c>
      <c r="G1505" s="5">
        <v>34</v>
      </c>
      <c r="H1505" s="5">
        <v>22</v>
      </c>
      <c r="K1505" s="5">
        <v>0.18</v>
      </c>
      <c r="L1505" s="5">
        <v>0.05</v>
      </c>
      <c r="M1505" s="5">
        <v>579.1</v>
      </c>
      <c r="N1505" s="6">
        <v>8.1000000000000003E-2</v>
      </c>
      <c r="O1505" s="5">
        <v>4.2910000000000004</v>
      </c>
      <c r="P1505" s="6">
        <v>1.2</v>
      </c>
      <c r="Q1505" s="5">
        <v>7150.7</v>
      </c>
      <c r="R1505" s="1" t="s">
        <v>94</v>
      </c>
      <c r="T1505" s="1" t="s">
        <v>93</v>
      </c>
      <c r="Y1505" s="1" t="s">
        <v>1020</v>
      </c>
      <c r="Z1505" s="1" t="str">
        <f t="shared" si="69"/>
        <v>6253 P30</v>
      </c>
      <c r="AA1505" s="3">
        <f>IF(INDEX('CAMD Facility Data 2023'!$AA$2:$AE$10000,MATCH(Z1505,'CAMD Facility Data 2023'!$AE$2:$AE$10000,0),1)&gt;0,INDEX('CAMD Facility Data 2023'!$AA$2:$AE$10000,MATCH(Z1505,'CAMD Facility Data 2023'!$AE$2:$AE$10000,0),1),"")</f>
        <v>28595</v>
      </c>
      <c r="AB1505" s="5">
        <f>IF(INDEX('CAMD Facility Data 2023'!$AC$2:$AE$10000,MATCH(Z1505,'CAMD Facility Data 2023'!$AE$2:$AE$10000,0),1)&gt;0,INDEX('CAMD Facility Data 2023'!$AC$2:$AE$10000,MATCH(Z1505,'CAMD Facility Data 2023'!$AE$2:$AE$10000,0),1),"")</f>
        <v>632</v>
      </c>
      <c r="AC1505" s="1" t="str">
        <f>IF(INDEX('CAMD Facility Data 2023'!$AE$2:$AG$10000,MATCH(Z1505,'CAMD Facility Data 2023'!$AE$2:$AE$10000,0),3)&gt;0,INDEX('CAMD Facility Data 2023'!$AE$2:$AG$10000,MATCH(Z1505,'CAMD Facility Data 2023'!$AE$2:$AE$10000,0),3),"")</f>
        <v/>
      </c>
      <c r="AD1505" s="20" t="str">
        <f t="shared" si="70"/>
        <v/>
      </c>
      <c r="AE1505" s="25">
        <f t="shared" si="71"/>
        <v>1.2915980290156637E-3</v>
      </c>
    </row>
    <row r="1506" spans="1:31" x14ac:dyDescent="0.2">
      <c r="A1506" s="1" t="s">
        <v>3167</v>
      </c>
      <c r="B1506" s="1" t="s">
        <v>3719</v>
      </c>
      <c r="C1506" s="1">
        <v>6253</v>
      </c>
      <c r="D1506" s="1" t="s">
        <v>3724</v>
      </c>
      <c r="F1506" s="1">
        <v>2023</v>
      </c>
      <c r="G1506" s="5">
        <v>38</v>
      </c>
      <c r="H1506" s="5">
        <v>26.75</v>
      </c>
      <c r="K1506" s="5">
        <v>0.219</v>
      </c>
      <c r="L1506" s="5">
        <v>0.05</v>
      </c>
      <c r="M1506" s="5">
        <v>704</v>
      </c>
      <c r="N1506" s="6">
        <v>8.1000000000000003E-2</v>
      </c>
      <c r="O1506" s="5">
        <v>5.2169999999999996</v>
      </c>
      <c r="P1506" s="6">
        <v>1.2</v>
      </c>
      <c r="Q1506" s="5">
        <v>8694.4</v>
      </c>
      <c r="R1506" s="1" t="s">
        <v>94</v>
      </c>
      <c r="T1506" s="1" t="s">
        <v>93</v>
      </c>
      <c r="Y1506" s="1" t="s">
        <v>1020</v>
      </c>
      <c r="Z1506" s="1" t="str">
        <f t="shared" si="69"/>
        <v>6253 P31</v>
      </c>
      <c r="AA1506" s="3">
        <f>IF(INDEX('CAMD Facility Data 2023'!$AA$2:$AE$10000,MATCH(Z1506,'CAMD Facility Data 2023'!$AE$2:$AE$10000,0),1)&gt;0,INDEX('CAMD Facility Data 2023'!$AA$2:$AE$10000,MATCH(Z1506,'CAMD Facility Data 2023'!$AE$2:$AE$10000,0),1),"")</f>
        <v>28583</v>
      </c>
      <c r="AB1506" s="5">
        <f>IF(INDEX('CAMD Facility Data 2023'!$AC$2:$AE$10000,MATCH(Z1506,'CAMD Facility Data 2023'!$AE$2:$AE$10000,0),1)&gt;0,INDEX('CAMD Facility Data 2023'!$AC$2:$AE$10000,MATCH(Z1506,'CAMD Facility Data 2023'!$AE$2:$AE$10000,0),1),"")</f>
        <v>632</v>
      </c>
      <c r="AC1506" s="1" t="str">
        <f>IF(INDEX('CAMD Facility Data 2023'!$AE$2:$AG$10000,MATCH(Z1506,'CAMD Facility Data 2023'!$AE$2:$AE$10000,0),3)&gt;0,INDEX('CAMD Facility Data 2023'!$AE$2:$AG$10000,MATCH(Z1506,'CAMD Facility Data 2023'!$AE$2:$AE$10000,0),3),"")</f>
        <v/>
      </c>
      <c r="AD1506" s="20" t="str">
        <f t="shared" si="70"/>
        <v/>
      </c>
      <c r="AE1506" s="25">
        <f t="shared" si="71"/>
        <v>1.5704294549448007E-3</v>
      </c>
    </row>
    <row r="1507" spans="1:31" x14ac:dyDescent="0.2">
      <c r="A1507" s="1" t="s">
        <v>3167</v>
      </c>
      <c r="B1507" s="1" t="s">
        <v>3719</v>
      </c>
      <c r="C1507" s="1">
        <v>6253</v>
      </c>
      <c r="D1507" s="1" t="s">
        <v>3725</v>
      </c>
      <c r="F1507" s="1">
        <v>2023</v>
      </c>
      <c r="G1507" s="5">
        <v>31</v>
      </c>
      <c r="H1507" s="5">
        <v>22</v>
      </c>
      <c r="K1507" s="5">
        <v>0.18</v>
      </c>
      <c r="L1507" s="5">
        <v>0.05</v>
      </c>
      <c r="M1507" s="5">
        <v>579</v>
      </c>
      <c r="N1507" s="6">
        <v>8.1000000000000003E-2</v>
      </c>
      <c r="O1507" s="5">
        <v>4.2910000000000004</v>
      </c>
      <c r="P1507" s="6">
        <v>1.2</v>
      </c>
      <c r="Q1507" s="5">
        <v>7150.5</v>
      </c>
      <c r="R1507" s="1" t="s">
        <v>94</v>
      </c>
      <c r="T1507" s="1" t="s">
        <v>93</v>
      </c>
      <c r="Y1507" s="1" t="s">
        <v>1020</v>
      </c>
      <c r="Z1507" s="1" t="str">
        <f t="shared" si="69"/>
        <v>6253 P32</v>
      </c>
      <c r="AA1507" s="3">
        <f>IF(INDEX('CAMD Facility Data 2023'!$AA$2:$AE$10000,MATCH(Z1507,'CAMD Facility Data 2023'!$AE$2:$AE$10000,0),1)&gt;0,INDEX('CAMD Facility Data 2023'!$AA$2:$AE$10000,MATCH(Z1507,'CAMD Facility Data 2023'!$AE$2:$AE$10000,0),1),"")</f>
        <v>28583</v>
      </c>
      <c r="AB1507" s="5">
        <f>IF(INDEX('CAMD Facility Data 2023'!$AC$2:$AE$10000,MATCH(Z1507,'CAMD Facility Data 2023'!$AE$2:$AE$10000,0),1)&gt;0,INDEX('CAMD Facility Data 2023'!$AC$2:$AE$10000,MATCH(Z1507,'CAMD Facility Data 2023'!$AE$2:$AE$10000,0),1),"")</f>
        <v>632</v>
      </c>
      <c r="AC1507" s="1" t="str">
        <f>IF(INDEX('CAMD Facility Data 2023'!$AE$2:$AG$10000,MATCH(Z1507,'CAMD Facility Data 2023'!$AE$2:$AE$10000,0),3)&gt;0,INDEX('CAMD Facility Data 2023'!$AE$2:$AG$10000,MATCH(Z1507,'CAMD Facility Data 2023'!$AE$2:$AE$10000,0),3),"")</f>
        <v/>
      </c>
      <c r="AD1507" s="20" t="str">
        <f t="shared" si="70"/>
        <v/>
      </c>
      <c r="AE1507" s="25">
        <f t="shared" si="71"/>
        <v>1.2915619039361886E-3</v>
      </c>
    </row>
    <row r="1508" spans="1:31" x14ac:dyDescent="0.2">
      <c r="A1508" s="1" t="s">
        <v>3167</v>
      </c>
      <c r="B1508" s="1" t="s">
        <v>3719</v>
      </c>
      <c r="C1508" s="1">
        <v>6253</v>
      </c>
      <c r="D1508" s="1" t="s">
        <v>3727</v>
      </c>
      <c r="F1508" s="1">
        <v>2023</v>
      </c>
      <c r="G1508" s="5">
        <v>20</v>
      </c>
      <c r="H1508" s="5">
        <v>12.77</v>
      </c>
      <c r="K1508" s="5">
        <v>0.105</v>
      </c>
      <c r="L1508" s="5">
        <v>4.9799999999999997E-2</v>
      </c>
      <c r="M1508" s="5">
        <v>336.2</v>
      </c>
      <c r="N1508" s="6">
        <v>8.0799999999999997E-2</v>
      </c>
      <c r="O1508" s="5">
        <v>2.4900000000000002</v>
      </c>
      <c r="P1508" s="6">
        <v>1.2</v>
      </c>
      <c r="Q1508" s="5">
        <v>4150.5</v>
      </c>
      <c r="R1508" s="1" t="s">
        <v>94</v>
      </c>
      <c r="T1508" s="1" t="s">
        <v>93</v>
      </c>
      <c r="Y1508" s="1" t="s">
        <v>1020</v>
      </c>
      <c r="Z1508" s="1" t="str">
        <f t="shared" si="69"/>
        <v>6253 P33</v>
      </c>
      <c r="AA1508" s="3">
        <f>IF(INDEX('CAMD Facility Data 2023'!$AA$2:$AE$10000,MATCH(Z1508,'CAMD Facility Data 2023'!$AE$2:$AE$10000,0),1)&gt;0,INDEX('CAMD Facility Data 2023'!$AA$2:$AE$10000,MATCH(Z1508,'CAMD Facility Data 2023'!$AE$2:$AE$10000,0),1),"")</f>
        <v>28570</v>
      </c>
      <c r="AB1508" s="5">
        <f>IF(INDEX('CAMD Facility Data 2023'!$AC$2:$AE$10000,MATCH(Z1508,'CAMD Facility Data 2023'!$AE$2:$AE$10000,0),1)&gt;0,INDEX('CAMD Facility Data 2023'!$AC$2:$AE$10000,MATCH(Z1508,'CAMD Facility Data 2023'!$AE$2:$AE$10000,0),1),"")</f>
        <v>632</v>
      </c>
      <c r="AC1508" s="1" t="str">
        <f>IF(INDEX('CAMD Facility Data 2023'!$AE$2:$AG$10000,MATCH(Z1508,'CAMD Facility Data 2023'!$AE$2:$AE$10000,0),3)&gt;0,INDEX('CAMD Facility Data 2023'!$AE$2:$AG$10000,MATCH(Z1508,'CAMD Facility Data 2023'!$AE$2:$AE$10000,0),3),"")</f>
        <v/>
      </c>
      <c r="AD1508" s="20" t="str">
        <f t="shared" si="70"/>
        <v/>
      </c>
      <c r="AE1508" s="25">
        <f t="shared" si="71"/>
        <v>7.4968571180856602E-4</v>
      </c>
    </row>
    <row r="1509" spans="1:31" x14ac:dyDescent="0.2">
      <c r="A1509" s="1" t="s">
        <v>3167</v>
      </c>
      <c r="B1509" s="1" t="s">
        <v>3719</v>
      </c>
      <c r="C1509" s="1">
        <v>6253</v>
      </c>
      <c r="D1509" s="1" t="s">
        <v>3728</v>
      </c>
      <c r="F1509" s="1">
        <v>2023</v>
      </c>
      <c r="G1509" s="5">
        <v>26</v>
      </c>
      <c r="H1509" s="5">
        <v>18.5</v>
      </c>
      <c r="K1509" s="5">
        <v>0.152</v>
      </c>
      <c r="L1509" s="5">
        <v>0.05</v>
      </c>
      <c r="M1509" s="5">
        <v>486.8</v>
      </c>
      <c r="N1509" s="6">
        <v>8.1000000000000003E-2</v>
      </c>
      <c r="O1509" s="5">
        <v>3.6080000000000001</v>
      </c>
      <c r="P1509" s="6">
        <v>1.2</v>
      </c>
      <c r="Q1509" s="5">
        <v>6013</v>
      </c>
      <c r="R1509" s="1" t="s">
        <v>94</v>
      </c>
      <c r="T1509" s="1" t="s">
        <v>93</v>
      </c>
      <c r="Y1509" s="1" t="s">
        <v>1020</v>
      </c>
      <c r="Z1509" s="1" t="str">
        <f t="shared" si="69"/>
        <v>6253 P34</v>
      </c>
      <c r="AA1509" s="3">
        <f>IF(INDEX('CAMD Facility Data 2023'!$AA$2:$AE$10000,MATCH(Z1509,'CAMD Facility Data 2023'!$AE$2:$AE$10000,0),1)&gt;0,INDEX('CAMD Facility Data 2023'!$AA$2:$AE$10000,MATCH(Z1509,'CAMD Facility Data 2023'!$AE$2:$AE$10000,0),1),"")</f>
        <v>28570</v>
      </c>
      <c r="AB1509" s="5">
        <f>IF(INDEX('CAMD Facility Data 2023'!$AC$2:$AE$10000,MATCH(Z1509,'CAMD Facility Data 2023'!$AE$2:$AE$10000,0),1)&gt;0,INDEX('CAMD Facility Data 2023'!$AC$2:$AE$10000,MATCH(Z1509,'CAMD Facility Data 2023'!$AE$2:$AE$10000,0),1),"")</f>
        <v>632</v>
      </c>
      <c r="AC1509" s="1" t="str">
        <f>IF(INDEX('CAMD Facility Data 2023'!$AE$2:$AG$10000,MATCH(Z1509,'CAMD Facility Data 2023'!$AE$2:$AE$10000,0),3)&gt;0,INDEX('CAMD Facility Data 2023'!$AE$2:$AG$10000,MATCH(Z1509,'CAMD Facility Data 2023'!$AE$2:$AE$10000,0),3),"")</f>
        <v/>
      </c>
      <c r="AD1509" s="20" t="str">
        <f t="shared" si="70"/>
        <v/>
      </c>
      <c r="AE1509" s="25">
        <f t="shared" si="71"/>
        <v>1.0861005144211318E-3</v>
      </c>
    </row>
    <row r="1510" spans="1:31" x14ac:dyDescent="0.2">
      <c r="A1510" s="1" t="s">
        <v>3167</v>
      </c>
      <c r="B1510" s="1" t="s">
        <v>3719</v>
      </c>
      <c r="C1510" s="1">
        <v>6253</v>
      </c>
      <c r="D1510" s="1" t="s">
        <v>3730</v>
      </c>
      <c r="F1510" s="1">
        <v>2023</v>
      </c>
      <c r="G1510" s="5">
        <v>27</v>
      </c>
      <c r="H1510" s="5">
        <v>19.25</v>
      </c>
      <c r="K1510" s="5">
        <v>0.158</v>
      </c>
      <c r="L1510" s="5">
        <v>0.05</v>
      </c>
      <c r="M1510" s="5">
        <v>506.5</v>
      </c>
      <c r="N1510" s="6">
        <v>8.1000000000000003E-2</v>
      </c>
      <c r="O1510" s="5">
        <v>3.754</v>
      </c>
      <c r="P1510" s="6">
        <v>1.2</v>
      </c>
      <c r="Q1510" s="5">
        <v>6256.8</v>
      </c>
      <c r="R1510" s="1" t="s">
        <v>94</v>
      </c>
      <c r="T1510" s="1" t="s">
        <v>93</v>
      </c>
      <c r="Y1510" s="1" t="s">
        <v>1020</v>
      </c>
      <c r="Z1510" s="1" t="str">
        <f t="shared" si="69"/>
        <v>6253 P35</v>
      </c>
      <c r="AA1510" s="3">
        <f>IF(INDEX('CAMD Facility Data 2023'!$AA$2:$AE$10000,MATCH(Z1510,'CAMD Facility Data 2023'!$AE$2:$AE$10000,0),1)&gt;0,INDEX('CAMD Facility Data 2023'!$AA$2:$AE$10000,MATCH(Z1510,'CAMD Facility Data 2023'!$AE$2:$AE$10000,0),1),"")</f>
        <v>28570</v>
      </c>
      <c r="AB1510" s="5">
        <f>IF(INDEX('CAMD Facility Data 2023'!$AC$2:$AE$10000,MATCH(Z1510,'CAMD Facility Data 2023'!$AE$2:$AE$10000,0),1)&gt;0,INDEX('CAMD Facility Data 2023'!$AC$2:$AE$10000,MATCH(Z1510,'CAMD Facility Data 2023'!$AE$2:$AE$10000,0),1),"")</f>
        <v>632</v>
      </c>
      <c r="AC1510" s="1" t="str">
        <f>IF(INDEX('CAMD Facility Data 2023'!$AE$2:$AG$10000,MATCH(Z1510,'CAMD Facility Data 2023'!$AE$2:$AE$10000,0),3)&gt;0,INDEX('CAMD Facility Data 2023'!$AE$2:$AG$10000,MATCH(Z1510,'CAMD Facility Data 2023'!$AE$2:$AE$10000,0),3),"")</f>
        <v/>
      </c>
      <c r="AD1510" s="20" t="str">
        <f t="shared" si="70"/>
        <v/>
      </c>
      <c r="AE1510" s="25">
        <f t="shared" si="71"/>
        <v>1.1301369863013699E-3</v>
      </c>
    </row>
    <row r="1511" spans="1:31" x14ac:dyDescent="0.2">
      <c r="A1511" s="1" t="s">
        <v>3167</v>
      </c>
      <c r="B1511" s="1" t="s">
        <v>3719</v>
      </c>
      <c r="C1511" s="1">
        <v>6253</v>
      </c>
      <c r="D1511" s="1" t="s">
        <v>3731</v>
      </c>
      <c r="F1511" s="1">
        <v>2023</v>
      </c>
      <c r="G1511" s="5">
        <v>27</v>
      </c>
      <c r="H1511" s="5">
        <v>18.25</v>
      </c>
      <c r="K1511" s="5">
        <v>0.15</v>
      </c>
      <c r="L1511" s="5">
        <v>0.05</v>
      </c>
      <c r="M1511" s="5">
        <v>480.5</v>
      </c>
      <c r="N1511" s="6">
        <v>8.1000000000000003E-2</v>
      </c>
      <c r="O1511" s="5">
        <v>3.5590000000000002</v>
      </c>
      <c r="P1511" s="6">
        <v>1.2</v>
      </c>
      <c r="Q1511" s="5">
        <v>5931.6</v>
      </c>
      <c r="R1511" s="1" t="s">
        <v>94</v>
      </c>
      <c r="T1511" s="1" t="s">
        <v>93</v>
      </c>
      <c r="Y1511" s="1" t="s">
        <v>1020</v>
      </c>
      <c r="Z1511" s="1" t="str">
        <f t="shared" si="69"/>
        <v>6253 P36</v>
      </c>
      <c r="AA1511" s="3">
        <f>IF(INDEX('CAMD Facility Data 2023'!$AA$2:$AE$10000,MATCH(Z1511,'CAMD Facility Data 2023'!$AE$2:$AE$10000,0),1)&gt;0,INDEX('CAMD Facility Data 2023'!$AA$2:$AE$10000,MATCH(Z1511,'CAMD Facility Data 2023'!$AE$2:$AE$10000,0),1),"")</f>
        <v>28570</v>
      </c>
      <c r="AB1511" s="5">
        <f>IF(INDEX('CAMD Facility Data 2023'!$AC$2:$AE$10000,MATCH(Z1511,'CAMD Facility Data 2023'!$AE$2:$AE$10000,0),1)&gt;0,INDEX('CAMD Facility Data 2023'!$AC$2:$AE$10000,MATCH(Z1511,'CAMD Facility Data 2023'!$AE$2:$AE$10000,0),1),"")</f>
        <v>632</v>
      </c>
      <c r="AC1511" s="1" t="str">
        <f>IF(INDEX('CAMD Facility Data 2023'!$AE$2:$AG$10000,MATCH(Z1511,'CAMD Facility Data 2023'!$AE$2:$AE$10000,0),3)&gt;0,INDEX('CAMD Facility Data 2023'!$AE$2:$AG$10000,MATCH(Z1511,'CAMD Facility Data 2023'!$AE$2:$AE$10000,0),3),"")</f>
        <v/>
      </c>
      <c r="AD1511" s="20" t="str">
        <f t="shared" si="70"/>
        <v/>
      </c>
      <c r="AE1511" s="25">
        <f t="shared" si="71"/>
        <v>1.0713976070747357E-3</v>
      </c>
    </row>
    <row r="1512" spans="1:31" x14ac:dyDescent="0.2">
      <c r="A1512" s="1" t="s">
        <v>3167</v>
      </c>
      <c r="B1512" s="1" t="s">
        <v>3719</v>
      </c>
      <c r="C1512" s="1">
        <v>6253</v>
      </c>
      <c r="D1512" s="1" t="s">
        <v>3733</v>
      </c>
      <c r="F1512" s="1">
        <v>2023</v>
      </c>
      <c r="G1512" s="5">
        <v>30</v>
      </c>
      <c r="H1512" s="5">
        <v>19.5</v>
      </c>
      <c r="K1512" s="5">
        <v>0.16</v>
      </c>
      <c r="L1512" s="5">
        <v>0.05</v>
      </c>
      <c r="M1512" s="5">
        <v>513.4</v>
      </c>
      <c r="N1512" s="6">
        <v>8.1000000000000003E-2</v>
      </c>
      <c r="O1512" s="5">
        <v>3.8029999999999999</v>
      </c>
      <c r="P1512" s="6">
        <v>1.2</v>
      </c>
      <c r="Q1512" s="5">
        <v>6338</v>
      </c>
      <c r="R1512" s="1" t="s">
        <v>94</v>
      </c>
      <c r="T1512" s="1" t="s">
        <v>93</v>
      </c>
      <c r="Y1512" s="1" t="s">
        <v>1020</v>
      </c>
      <c r="Z1512" s="1" t="str">
        <f t="shared" si="69"/>
        <v>6253 P37</v>
      </c>
      <c r="AA1512" s="3">
        <f>IF(INDEX('CAMD Facility Data 2023'!$AA$2:$AE$10000,MATCH(Z1512,'CAMD Facility Data 2023'!$AE$2:$AE$10000,0),1)&gt;0,INDEX('CAMD Facility Data 2023'!$AA$2:$AE$10000,MATCH(Z1512,'CAMD Facility Data 2023'!$AE$2:$AE$10000,0),1),"")</f>
        <v>28570</v>
      </c>
      <c r="AB1512" s="5">
        <f>IF(INDEX('CAMD Facility Data 2023'!$AC$2:$AE$10000,MATCH(Z1512,'CAMD Facility Data 2023'!$AE$2:$AE$10000,0),1)&gt;0,INDEX('CAMD Facility Data 2023'!$AC$2:$AE$10000,MATCH(Z1512,'CAMD Facility Data 2023'!$AE$2:$AE$10000,0),1),"")</f>
        <v>632</v>
      </c>
      <c r="AC1512" s="1" t="str">
        <f>IF(INDEX('CAMD Facility Data 2023'!$AE$2:$AG$10000,MATCH(Z1512,'CAMD Facility Data 2023'!$AE$2:$AE$10000,0),3)&gt;0,INDEX('CAMD Facility Data 2023'!$AE$2:$AG$10000,MATCH(Z1512,'CAMD Facility Data 2023'!$AE$2:$AE$10000,0),3),"")</f>
        <v/>
      </c>
      <c r="AD1512" s="20" t="str">
        <f t="shared" si="70"/>
        <v/>
      </c>
      <c r="AE1512" s="25">
        <f t="shared" si="71"/>
        <v>1.1448037685682908E-3</v>
      </c>
    </row>
    <row r="1513" spans="1:31" x14ac:dyDescent="0.2">
      <c r="A1513" s="1" t="s">
        <v>1186</v>
      </c>
      <c r="B1513" s="1" t="s">
        <v>3734</v>
      </c>
      <c r="C1513" s="1">
        <v>6254</v>
      </c>
      <c r="D1513" s="1">
        <v>1</v>
      </c>
      <c r="F1513" s="1">
        <v>2023</v>
      </c>
      <c r="G1513" s="5">
        <v>6706</v>
      </c>
      <c r="H1513" s="5">
        <v>6696.21</v>
      </c>
      <c r="I1513" s="5">
        <v>3433325.23</v>
      </c>
      <c r="K1513" s="5">
        <v>1015.917</v>
      </c>
      <c r="L1513" s="5">
        <v>5.67E-2</v>
      </c>
      <c r="M1513" s="5">
        <v>3756421.45</v>
      </c>
      <c r="N1513" s="6">
        <v>0.1046</v>
      </c>
      <c r="O1513" s="5">
        <v>1003.454</v>
      </c>
      <c r="P1513" s="6">
        <v>5.96E-2</v>
      </c>
      <c r="Q1513" s="5">
        <v>35825535.130999997</v>
      </c>
      <c r="R1513" s="1" t="s">
        <v>55</v>
      </c>
      <c r="T1513" s="1" t="s">
        <v>43</v>
      </c>
      <c r="U1513" s="1" t="s">
        <v>212</v>
      </c>
      <c r="V1513" s="1" t="s">
        <v>57</v>
      </c>
      <c r="W1513" s="1" t="s">
        <v>3738</v>
      </c>
      <c r="X1513" s="1" t="s">
        <v>937</v>
      </c>
      <c r="Y1513" s="1" t="s">
        <v>1188</v>
      </c>
      <c r="Z1513" s="1" t="str">
        <f t="shared" si="69"/>
        <v>6254 1</v>
      </c>
      <c r="AA1513" s="3">
        <f>IF(INDEX('CAMD Facility Data 2023'!$AA$2:$AE$10000,MATCH(Z1513,'CAMD Facility Data 2023'!$AE$2:$AE$10000,0),1)&gt;0,INDEX('CAMD Facility Data 2023'!$AA$2:$AE$10000,MATCH(Z1513,'CAMD Facility Data 2023'!$AE$2:$AE$10000,0),1),"")</f>
        <v>29711</v>
      </c>
      <c r="AB1513" s="5">
        <f>IF(INDEX('CAMD Facility Data 2023'!$AC$2:$AE$10000,MATCH(Z1513,'CAMD Facility Data 2023'!$AE$2:$AE$10000,0),1)&gt;0,INDEX('CAMD Facility Data 2023'!$AC$2:$AE$10000,MATCH(Z1513,'CAMD Facility Data 2023'!$AE$2:$AE$10000,0),1),"")</f>
        <v>10060</v>
      </c>
      <c r="AC1513" s="1" t="str">
        <f>IF(INDEX('CAMD Facility Data 2023'!$AE$2:$AG$10000,MATCH(Z1513,'CAMD Facility Data 2023'!$AE$2:$AE$10000,0),3)&gt;0,INDEX('CAMD Facility Data 2023'!$AE$2:$AG$10000,MATCH(Z1513,'CAMD Facility Data 2023'!$AE$2:$AE$10000,0),3),"")</f>
        <v>Y</v>
      </c>
      <c r="AD1513" s="20">
        <f t="shared" si="70"/>
        <v>0.58453769030206326</v>
      </c>
      <c r="AE1513" s="25">
        <f t="shared" si="71"/>
        <v>0.4065281272524669</v>
      </c>
    </row>
    <row r="1514" spans="1:31" x14ac:dyDescent="0.2">
      <c r="A1514" s="1" t="s">
        <v>921</v>
      </c>
      <c r="B1514" s="1" t="s">
        <v>3740</v>
      </c>
      <c r="C1514" s="1">
        <v>6257</v>
      </c>
      <c r="D1514" s="1">
        <v>1</v>
      </c>
      <c r="E1514" s="1" t="s">
        <v>924</v>
      </c>
      <c r="F1514" s="1">
        <v>2023</v>
      </c>
      <c r="G1514" s="5">
        <v>8176</v>
      </c>
      <c r="H1514" s="5">
        <v>8168.32</v>
      </c>
      <c r="I1514" s="5">
        <v>3852255.16</v>
      </c>
      <c r="K1514" s="5">
        <v>352.65800000000002</v>
      </c>
      <c r="L1514" s="5">
        <v>1.6199999999999999E-2</v>
      </c>
      <c r="M1514" s="5">
        <v>4374575.0789999999</v>
      </c>
      <c r="N1514" s="6">
        <v>0.105</v>
      </c>
      <c r="O1514" s="5">
        <v>3264.3069999999998</v>
      </c>
      <c r="P1514" s="6">
        <v>0.17660000000000001</v>
      </c>
      <c r="Q1514" s="5">
        <v>41710327.116999999</v>
      </c>
      <c r="R1514" s="1" t="s">
        <v>55</v>
      </c>
      <c r="T1514" s="1" t="s">
        <v>43</v>
      </c>
      <c r="U1514" s="1" t="s">
        <v>241</v>
      </c>
      <c r="V1514" s="1" t="s">
        <v>3671</v>
      </c>
      <c r="W1514" s="1" t="s">
        <v>123</v>
      </c>
      <c r="X1514" s="1" t="s">
        <v>214</v>
      </c>
      <c r="Y1514" s="1" t="s">
        <v>925</v>
      </c>
      <c r="Z1514" s="1" t="str">
        <f t="shared" si="69"/>
        <v>6257 1</v>
      </c>
      <c r="AA1514" s="3">
        <f>IF(INDEX('CAMD Facility Data 2023'!$AA$2:$AE$10000,MATCH(Z1514,'CAMD Facility Data 2023'!$AE$2:$AE$10000,0),1)&gt;0,INDEX('CAMD Facility Data 2023'!$AA$2:$AE$10000,MATCH(Z1514,'CAMD Facility Data 2023'!$AE$2:$AE$10000,0),1),"")</f>
        <v>30029</v>
      </c>
      <c r="AB1514" s="5">
        <f>IF(INDEX('CAMD Facility Data 2023'!$AC$2:$AE$10000,MATCH(Z1514,'CAMD Facility Data 2023'!$AE$2:$AE$10000,0),1)&gt;0,INDEX('CAMD Facility Data 2023'!$AC$2:$AE$10000,MATCH(Z1514,'CAMD Facility Data 2023'!$AE$2:$AE$10000,0),1),"")</f>
        <v>10200</v>
      </c>
      <c r="AC1514" s="1" t="str">
        <f>IF(INDEX('CAMD Facility Data 2023'!$AE$2:$AG$10000,MATCH(Z1514,'CAMD Facility Data 2023'!$AE$2:$AE$10000,0),3)&gt;0,INDEX('CAMD Facility Data 2023'!$AE$2:$AG$10000,MATCH(Z1514,'CAMD Facility Data 2023'!$AE$2:$AE$10000,0),3),"")</f>
        <v>Y</v>
      </c>
      <c r="AD1514" s="20">
        <f t="shared" si="70"/>
        <v>1.6947511856924866</v>
      </c>
      <c r="AE1514" s="25">
        <f t="shared" si="71"/>
        <v>0.46680910463112185</v>
      </c>
    </row>
    <row r="1515" spans="1:31" x14ac:dyDescent="0.2">
      <c r="A1515" s="1" t="s">
        <v>921</v>
      </c>
      <c r="B1515" s="1" t="s">
        <v>3740</v>
      </c>
      <c r="C1515" s="1">
        <v>6257</v>
      </c>
      <c r="D1515" s="1">
        <v>2</v>
      </c>
      <c r="E1515" s="1" t="s">
        <v>933</v>
      </c>
      <c r="F1515" s="1">
        <v>2023</v>
      </c>
      <c r="G1515" s="5">
        <v>2707</v>
      </c>
      <c r="H1515" s="5">
        <v>2696.11</v>
      </c>
      <c r="I1515" s="5">
        <v>1332660.73</v>
      </c>
      <c r="K1515" s="5">
        <v>128.12100000000001</v>
      </c>
      <c r="L1515" s="5">
        <v>1.7399999999999999E-2</v>
      </c>
      <c r="M1515" s="5">
        <v>1484139.4650000001</v>
      </c>
      <c r="N1515" s="6">
        <v>0.105</v>
      </c>
      <c r="O1515" s="5">
        <v>720.53700000000003</v>
      </c>
      <c r="P1515" s="6">
        <v>0.1139</v>
      </c>
      <c r="Q1515" s="5">
        <v>14150820.954</v>
      </c>
      <c r="R1515" s="1" t="s">
        <v>55</v>
      </c>
      <c r="T1515" s="1" t="s">
        <v>43</v>
      </c>
      <c r="U1515" s="1" t="s">
        <v>241</v>
      </c>
      <c r="V1515" s="1" t="s">
        <v>3671</v>
      </c>
      <c r="W1515" s="1" t="s">
        <v>123</v>
      </c>
      <c r="X1515" s="1" t="s">
        <v>214</v>
      </c>
      <c r="Y1515" s="1" t="s">
        <v>925</v>
      </c>
      <c r="Z1515" s="1" t="str">
        <f t="shared" si="69"/>
        <v>6257 2</v>
      </c>
      <c r="AA1515" s="3">
        <f>IF(INDEX('CAMD Facility Data 2023'!$AA$2:$AE$10000,MATCH(Z1515,'CAMD Facility Data 2023'!$AE$2:$AE$10000,0),1)&gt;0,INDEX('CAMD Facility Data 2023'!$AA$2:$AE$10000,MATCH(Z1515,'CAMD Facility Data 2023'!$AE$2:$AE$10000,0),1),"")</f>
        <v>30713</v>
      </c>
      <c r="AB1515" s="5">
        <f>IF(INDEX('CAMD Facility Data 2023'!$AC$2:$AE$10000,MATCH(Z1515,'CAMD Facility Data 2023'!$AE$2:$AE$10000,0),1)&gt;0,INDEX('CAMD Facility Data 2023'!$AC$2:$AE$10000,MATCH(Z1515,'CAMD Facility Data 2023'!$AE$2:$AE$10000,0),1),"")</f>
        <v>10200</v>
      </c>
      <c r="AC1515" s="1" t="str">
        <f>IF(INDEX('CAMD Facility Data 2023'!$AE$2:$AG$10000,MATCH(Z1515,'CAMD Facility Data 2023'!$AE$2:$AE$10000,0),3)&gt;0,INDEX('CAMD Facility Data 2023'!$AE$2:$AG$10000,MATCH(Z1515,'CAMD Facility Data 2023'!$AE$2:$AE$10000,0),3),"")</f>
        <v>Y</v>
      </c>
      <c r="AD1515" s="20">
        <f t="shared" si="70"/>
        <v>1.0813509902103891</v>
      </c>
      <c r="AE1515" s="25">
        <f t="shared" si="71"/>
        <v>0.15837161959441309</v>
      </c>
    </row>
    <row r="1516" spans="1:31" x14ac:dyDescent="0.2">
      <c r="A1516" s="1" t="s">
        <v>921</v>
      </c>
      <c r="B1516" s="1" t="s">
        <v>3740</v>
      </c>
      <c r="C1516" s="1">
        <v>6257</v>
      </c>
      <c r="D1516" s="1">
        <v>3</v>
      </c>
      <c r="E1516" s="1" t="s">
        <v>936</v>
      </c>
      <c r="F1516" s="1">
        <v>2023</v>
      </c>
      <c r="G1516" s="5">
        <v>6046</v>
      </c>
      <c r="H1516" s="5">
        <v>6037.77</v>
      </c>
      <c r="I1516" s="5">
        <v>2183956.11</v>
      </c>
      <c r="K1516" s="5">
        <v>204.55199999999999</v>
      </c>
      <c r="L1516" s="5">
        <v>2.8400000000000002E-2</v>
      </c>
      <c r="M1516" s="5">
        <v>2466869.44</v>
      </c>
      <c r="N1516" s="6">
        <v>0.10489999999999999</v>
      </c>
      <c r="O1516" s="5">
        <v>1707.37</v>
      </c>
      <c r="P1516" s="6">
        <v>0.14680000000000001</v>
      </c>
      <c r="Q1516" s="5">
        <v>23520890.581999999</v>
      </c>
      <c r="R1516" s="1" t="s">
        <v>55</v>
      </c>
      <c r="T1516" s="1" t="s">
        <v>43</v>
      </c>
      <c r="U1516" s="1" t="s">
        <v>241</v>
      </c>
      <c r="V1516" s="1" t="s">
        <v>3671</v>
      </c>
      <c r="W1516" s="1" t="s">
        <v>123</v>
      </c>
      <c r="X1516" s="1" t="s">
        <v>214</v>
      </c>
      <c r="Y1516" s="1" t="s">
        <v>925</v>
      </c>
      <c r="Z1516" s="1" t="str">
        <f t="shared" si="69"/>
        <v>6257 3</v>
      </c>
      <c r="AA1516" s="3">
        <f>IF(INDEX('CAMD Facility Data 2023'!$AA$2:$AE$10000,MATCH(Z1516,'CAMD Facility Data 2023'!$AE$2:$AE$10000,0),1)&gt;0,INDEX('CAMD Facility Data 2023'!$AA$2:$AE$10000,MATCH(Z1516,'CAMD Facility Data 2023'!$AE$2:$AE$10000,0),1),"")</f>
        <v>31778</v>
      </c>
      <c r="AB1516" s="5">
        <f>IF(INDEX('CAMD Facility Data 2023'!$AC$2:$AE$10000,MATCH(Z1516,'CAMD Facility Data 2023'!$AE$2:$AE$10000,0),1)&gt;0,INDEX('CAMD Facility Data 2023'!$AC$2:$AE$10000,MATCH(Z1516,'CAMD Facility Data 2023'!$AE$2:$AE$10000,0),1),"")</f>
        <v>11000</v>
      </c>
      <c r="AC1516" s="1" t="str">
        <f>IF(INDEX('CAMD Facility Data 2023'!$AE$2:$AG$10000,MATCH(Z1516,'CAMD Facility Data 2023'!$AE$2:$AE$10000,0),3)&gt;0,INDEX('CAMD Facility Data 2023'!$AE$2:$AG$10000,MATCH(Z1516,'CAMD Facility Data 2023'!$AE$2:$AE$10000,0),3),"")</f>
        <v>Y</v>
      </c>
      <c r="AD1516" s="20">
        <f t="shared" si="70"/>
        <v>1.5635570625089166</v>
      </c>
      <c r="AE1516" s="25">
        <f t="shared" si="71"/>
        <v>0.24409392467828972</v>
      </c>
    </row>
    <row r="1517" spans="1:31" x14ac:dyDescent="0.2">
      <c r="A1517" s="1" t="s">
        <v>921</v>
      </c>
      <c r="B1517" s="1" t="s">
        <v>3746</v>
      </c>
      <c r="C1517" s="1">
        <v>6258</v>
      </c>
      <c r="D1517" s="1" t="s">
        <v>372</v>
      </c>
      <c r="F1517" s="1">
        <v>2023</v>
      </c>
      <c r="G1517" s="5">
        <v>24</v>
      </c>
      <c r="H1517" s="5">
        <v>24</v>
      </c>
      <c r="I1517" s="5">
        <v>843</v>
      </c>
      <c r="K1517" s="5">
        <v>1.296</v>
      </c>
      <c r="L1517" s="5">
        <v>0.50060000000000004</v>
      </c>
      <c r="O1517" s="5">
        <v>3.1110000000000002</v>
      </c>
      <c r="P1517" s="6">
        <v>1.1997</v>
      </c>
      <c r="Q1517" s="5">
        <v>5185</v>
      </c>
      <c r="R1517" s="1" t="s">
        <v>94</v>
      </c>
      <c r="T1517" s="1" t="s">
        <v>93</v>
      </c>
      <c r="Y1517" s="1" t="s">
        <v>944</v>
      </c>
      <c r="Z1517" s="1" t="str">
        <f t="shared" si="69"/>
        <v>6258 1A</v>
      </c>
      <c r="AA1517" s="3">
        <f>IF(INDEX('CAMD Facility Data 2023'!$AA$2:$AE$10000,MATCH(Z1517,'CAMD Facility Data 2023'!$AE$2:$AE$10000,0),1)&gt;0,INDEX('CAMD Facility Data 2023'!$AA$2:$AE$10000,MATCH(Z1517,'CAMD Facility Data 2023'!$AE$2:$AE$10000,0),1),"")</f>
        <v>26634</v>
      </c>
      <c r="AB1517" s="5">
        <f>IF(INDEX('CAMD Facility Data 2023'!$AC$2:$AE$10000,MATCH(Z1517,'CAMD Facility Data 2023'!$AE$2:$AE$10000,0),1)&gt;0,INDEX('CAMD Facility Data 2023'!$AC$2:$AE$10000,MATCH(Z1517,'CAMD Facility Data 2023'!$AE$2:$AE$10000,0),1),"")</f>
        <v>840</v>
      </c>
      <c r="AC1517" s="1" t="str">
        <f>IF(INDEX('CAMD Facility Data 2023'!$AE$2:$AG$10000,MATCH(Z1517,'CAMD Facility Data 2023'!$AE$2:$AE$10000,0),3)&gt;0,INDEX('CAMD Facility Data 2023'!$AE$2:$AG$10000,MATCH(Z1517,'CAMD Facility Data 2023'!$AE$2:$AE$10000,0),3),"")</f>
        <v/>
      </c>
      <c r="AD1517" s="20">
        <f t="shared" si="70"/>
        <v>7.3807829181494666</v>
      </c>
      <c r="AE1517" s="25">
        <f t="shared" si="71"/>
        <v>7.0463687758208309E-4</v>
      </c>
    </row>
    <row r="1518" spans="1:31" x14ac:dyDescent="0.2">
      <c r="A1518" s="1" t="s">
        <v>921</v>
      </c>
      <c r="B1518" s="1" t="s">
        <v>3746</v>
      </c>
      <c r="C1518" s="1">
        <v>6258</v>
      </c>
      <c r="D1518" s="1" t="s">
        <v>1199</v>
      </c>
      <c r="F1518" s="1">
        <v>2023</v>
      </c>
      <c r="G1518" s="5">
        <v>19</v>
      </c>
      <c r="H1518" s="5">
        <v>19</v>
      </c>
      <c r="I1518" s="5">
        <v>644</v>
      </c>
      <c r="K1518" s="5">
        <v>2.3719999999999999</v>
      </c>
      <c r="L1518" s="5">
        <v>0.5</v>
      </c>
      <c r="O1518" s="5">
        <v>5.6929999999999996</v>
      </c>
      <c r="P1518" s="6">
        <v>1.2</v>
      </c>
      <c r="Q1518" s="5">
        <v>9488</v>
      </c>
      <c r="R1518" s="1" t="s">
        <v>94</v>
      </c>
      <c r="T1518" s="1" t="s">
        <v>93</v>
      </c>
      <c r="Y1518" s="1" t="s">
        <v>944</v>
      </c>
      <c r="Z1518" s="1" t="str">
        <f t="shared" si="69"/>
        <v>6258 1B</v>
      </c>
      <c r="AA1518" s="3">
        <f>IF(INDEX('CAMD Facility Data 2023'!$AA$2:$AE$10000,MATCH(Z1518,'CAMD Facility Data 2023'!$AE$2:$AE$10000,0),1)&gt;0,INDEX('CAMD Facility Data 2023'!$AA$2:$AE$10000,MATCH(Z1518,'CAMD Facility Data 2023'!$AE$2:$AE$10000,0),1),"")</f>
        <v>26634</v>
      </c>
      <c r="AB1518" s="5">
        <f>IF(INDEX('CAMD Facility Data 2023'!$AC$2:$AE$10000,MATCH(Z1518,'CAMD Facility Data 2023'!$AE$2:$AE$10000,0),1)&gt;0,INDEX('CAMD Facility Data 2023'!$AC$2:$AE$10000,MATCH(Z1518,'CAMD Facility Data 2023'!$AE$2:$AE$10000,0),1),"")</f>
        <v>840</v>
      </c>
      <c r="AC1518" s="1" t="str">
        <f>IF(INDEX('CAMD Facility Data 2023'!$AE$2:$AG$10000,MATCH(Z1518,'CAMD Facility Data 2023'!$AE$2:$AE$10000,0),3)&gt;0,INDEX('CAMD Facility Data 2023'!$AE$2:$AG$10000,MATCH(Z1518,'CAMD Facility Data 2023'!$AE$2:$AE$10000,0),3),"")</f>
        <v/>
      </c>
      <c r="AD1518" s="20">
        <f t="shared" si="70"/>
        <v>17.680124223602483</v>
      </c>
      <c r="AE1518" s="25">
        <f t="shared" si="71"/>
        <v>1.2894107414655361E-3</v>
      </c>
    </row>
    <row r="1519" spans="1:31" x14ac:dyDescent="0.2">
      <c r="A1519" s="1" t="s">
        <v>921</v>
      </c>
      <c r="B1519" s="1" t="s">
        <v>3746</v>
      </c>
      <c r="C1519" s="1">
        <v>6258</v>
      </c>
      <c r="D1519" s="1" t="s">
        <v>3753</v>
      </c>
      <c r="F1519" s="1">
        <v>2023</v>
      </c>
      <c r="G1519" s="5">
        <v>24</v>
      </c>
      <c r="H1519" s="5">
        <v>24</v>
      </c>
      <c r="I1519" s="5">
        <v>606</v>
      </c>
      <c r="K1519" s="5">
        <v>2.1850000000000001</v>
      </c>
      <c r="L1519" s="5">
        <v>0.50019999999999998</v>
      </c>
      <c r="O1519" s="5">
        <v>5.2439999999999998</v>
      </c>
      <c r="P1519" s="6">
        <v>1.2</v>
      </c>
      <c r="Q1519" s="5">
        <v>8739.7999999999993</v>
      </c>
      <c r="R1519" s="1" t="s">
        <v>94</v>
      </c>
      <c r="T1519" s="1" t="s">
        <v>93</v>
      </c>
      <c r="Y1519" s="1" t="s">
        <v>944</v>
      </c>
      <c r="Z1519" s="1" t="str">
        <f t="shared" si="69"/>
        <v>6258 1C</v>
      </c>
      <c r="AA1519" s="3">
        <f>IF(INDEX('CAMD Facility Data 2023'!$AA$2:$AE$10000,MATCH(Z1519,'CAMD Facility Data 2023'!$AE$2:$AE$10000,0),1)&gt;0,INDEX('CAMD Facility Data 2023'!$AA$2:$AE$10000,MATCH(Z1519,'CAMD Facility Data 2023'!$AE$2:$AE$10000,0),1),"")</f>
        <v>26696</v>
      </c>
      <c r="AB1519" s="5">
        <f>IF(INDEX('CAMD Facility Data 2023'!$AC$2:$AE$10000,MATCH(Z1519,'CAMD Facility Data 2023'!$AE$2:$AE$10000,0),1)&gt;0,INDEX('CAMD Facility Data 2023'!$AC$2:$AE$10000,MATCH(Z1519,'CAMD Facility Data 2023'!$AE$2:$AE$10000,0),1),"")</f>
        <v>840</v>
      </c>
      <c r="AC1519" s="1" t="str">
        <f>IF(INDEX('CAMD Facility Data 2023'!$AE$2:$AG$10000,MATCH(Z1519,'CAMD Facility Data 2023'!$AE$2:$AE$10000,0),3)&gt;0,INDEX('CAMD Facility Data 2023'!$AE$2:$AG$10000,MATCH(Z1519,'CAMD Facility Data 2023'!$AE$2:$AE$10000,0),3),"")</f>
        <v/>
      </c>
      <c r="AD1519" s="20">
        <f t="shared" si="70"/>
        <v>17.306930693069308</v>
      </c>
      <c r="AE1519" s="25">
        <f t="shared" si="71"/>
        <v>1.1877310284844531E-3</v>
      </c>
    </row>
    <row r="1520" spans="1:31" x14ac:dyDescent="0.2">
      <c r="A1520" s="1" t="s">
        <v>921</v>
      </c>
      <c r="B1520" s="1" t="s">
        <v>3746</v>
      </c>
      <c r="C1520" s="1">
        <v>6258</v>
      </c>
      <c r="D1520" s="1" t="s">
        <v>3755</v>
      </c>
      <c r="F1520" s="1">
        <v>2023</v>
      </c>
      <c r="G1520" s="5">
        <v>25</v>
      </c>
      <c r="H1520" s="5">
        <v>25</v>
      </c>
      <c r="I1520" s="5">
        <v>364</v>
      </c>
      <c r="K1520" s="5">
        <v>1.911</v>
      </c>
      <c r="L1520" s="5">
        <v>0.5</v>
      </c>
      <c r="O1520" s="5">
        <v>4.5869999999999997</v>
      </c>
      <c r="P1520" s="6">
        <v>1.2</v>
      </c>
      <c r="Q1520" s="5">
        <v>7644.3</v>
      </c>
      <c r="R1520" s="1" t="s">
        <v>94</v>
      </c>
      <c r="T1520" s="1" t="s">
        <v>93</v>
      </c>
      <c r="Y1520" s="1" t="s">
        <v>944</v>
      </c>
      <c r="Z1520" s="1" t="str">
        <f t="shared" si="69"/>
        <v>6258 1D</v>
      </c>
      <c r="AA1520" s="3">
        <f>IF(INDEX('CAMD Facility Data 2023'!$AA$2:$AE$10000,MATCH(Z1520,'CAMD Facility Data 2023'!$AE$2:$AE$10000,0),1)&gt;0,INDEX('CAMD Facility Data 2023'!$AA$2:$AE$10000,MATCH(Z1520,'CAMD Facility Data 2023'!$AE$2:$AE$10000,0),1),"")</f>
        <v>26696</v>
      </c>
      <c r="AB1520" s="5">
        <f>IF(INDEX('CAMD Facility Data 2023'!$AC$2:$AE$10000,MATCH(Z1520,'CAMD Facility Data 2023'!$AE$2:$AE$10000,0),1)&gt;0,INDEX('CAMD Facility Data 2023'!$AC$2:$AE$10000,MATCH(Z1520,'CAMD Facility Data 2023'!$AE$2:$AE$10000,0),1),"")</f>
        <v>840</v>
      </c>
      <c r="AC1520" s="1" t="str">
        <f>IF(INDEX('CAMD Facility Data 2023'!$AE$2:$AG$10000,MATCH(Z1520,'CAMD Facility Data 2023'!$AE$2:$AE$10000,0),3)&gt;0,INDEX('CAMD Facility Data 2023'!$AE$2:$AG$10000,MATCH(Z1520,'CAMD Facility Data 2023'!$AE$2:$AE$10000,0),3),"")</f>
        <v/>
      </c>
      <c r="AD1520" s="20">
        <f t="shared" si="70"/>
        <v>25.203296703296704</v>
      </c>
      <c r="AE1520" s="25">
        <f t="shared" si="71"/>
        <v>1.0388535551206783E-3</v>
      </c>
    </row>
    <row r="1521" spans="1:31" x14ac:dyDescent="0.2">
      <c r="A1521" s="1" t="s">
        <v>921</v>
      </c>
      <c r="B1521" s="1" t="s">
        <v>3746</v>
      </c>
      <c r="C1521" s="1">
        <v>6258</v>
      </c>
      <c r="D1521" s="1" t="s">
        <v>3757</v>
      </c>
      <c r="F1521" s="1">
        <v>2023</v>
      </c>
      <c r="G1521" s="5">
        <v>26</v>
      </c>
      <c r="H1521" s="5">
        <v>26</v>
      </c>
      <c r="I1521" s="5">
        <v>581</v>
      </c>
      <c r="K1521" s="5">
        <v>2.0760000000000001</v>
      </c>
      <c r="L1521" s="5">
        <v>0.5</v>
      </c>
      <c r="O1521" s="5">
        <v>4.9820000000000002</v>
      </c>
      <c r="P1521" s="6">
        <v>1.2</v>
      </c>
      <c r="Q1521" s="5">
        <v>8303.1</v>
      </c>
      <c r="R1521" s="1" t="s">
        <v>94</v>
      </c>
      <c r="T1521" s="1" t="s">
        <v>93</v>
      </c>
      <c r="Y1521" s="1" t="s">
        <v>944</v>
      </c>
      <c r="Z1521" s="1" t="str">
        <f t="shared" si="69"/>
        <v>6258 1E</v>
      </c>
      <c r="AA1521" s="3">
        <f>IF(INDEX('CAMD Facility Data 2023'!$AA$2:$AE$10000,MATCH(Z1521,'CAMD Facility Data 2023'!$AE$2:$AE$10000,0),1)&gt;0,INDEX('CAMD Facility Data 2023'!$AA$2:$AE$10000,MATCH(Z1521,'CAMD Facility Data 2023'!$AE$2:$AE$10000,0),1),"")</f>
        <v>26755</v>
      </c>
      <c r="AB1521" s="5">
        <f>IF(INDEX('CAMD Facility Data 2023'!$AC$2:$AE$10000,MATCH(Z1521,'CAMD Facility Data 2023'!$AE$2:$AE$10000,0),1)&gt;0,INDEX('CAMD Facility Data 2023'!$AC$2:$AE$10000,MATCH(Z1521,'CAMD Facility Data 2023'!$AE$2:$AE$10000,0),1),"")</f>
        <v>840</v>
      </c>
      <c r="AC1521" s="1" t="str">
        <f>IF(INDEX('CAMD Facility Data 2023'!$AE$2:$AG$10000,MATCH(Z1521,'CAMD Facility Data 2023'!$AE$2:$AE$10000,0),3)&gt;0,INDEX('CAMD Facility Data 2023'!$AE$2:$AG$10000,MATCH(Z1521,'CAMD Facility Data 2023'!$AE$2:$AE$10000,0),3),"")</f>
        <v/>
      </c>
      <c r="AD1521" s="20">
        <f t="shared" si="70"/>
        <v>17.149741824440621</v>
      </c>
      <c r="AE1521" s="25">
        <f t="shared" si="71"/>
        <v>1.128383887801696E-3</v>
      </c>
    </row>
    <row r="1522" spans="1:31" x14ac:dyDescent="0.2">
      <c r="A1522" s="1" t="s">
        <v>921</v>
      </c>
      <c r="B1522" s="1" t="s">
        <v>3746</v>
      </c>
      <c r="C1522" s="1">
        <v>6258</v>
      </c>
      <c r="D1522" s="1" t="s">
        <v>3759</v>
      </c>
      <c r="F1522" s="1">
        <v>2023</v>
      </c>
      <c r="G1522" s="5">
        <v>20</v>
      </c>
      <c r="H1522" s="5">
        <v>20</v>
      </c>
      <c r="I1522" s="5">
        <v>571</v>
      </c>
      <c r="K1522" s="5">
        <v>1.9510000000000001</v>
      </c>
      <c r="L1522" s="5">
        <v>0.5</v>
      </c>
      <c r="O1522" s="5">
        <v>4.6820000000000004</v>
      </c>
      <c r="P1522" s="6">
        <v>1.2</v>
      </c>
      <c r="Q1522" s="5">
        <v>7803.9</v>
      </c>
      <c r="R1522" s="1" t="s">
        <v>94</v>
      </c>
      <c r="T1522" s="1" t="s">
        <v>93</v>
      </c>
      <c r="Y1522" s="1" t="s">
        <v>944</v>
      </c>
      <c r="Z1522" s="1" t="str">
        <f t="shared" si="69"/>
        <v>6258 1F</v>
      </c>
      <c r="AA1522" s="3">
        <f>IF(INDEX('CAMD Facility Data 2023'!$AA$2:$AE$10000,MATCH(Z1522,'CAMD Facility Data 2023'!$AE$2:$AE$10000,0),1)&gt;0,INDEX('CAMD Facility Data 2023'!$AA$2:$AE$10000,MATCH(Z1522,'CAMD Facility Data 2023'!$AE$2:$AE$10000,0),1),"")</f>
        <v>26755</v>
      </c>
      <c r="AB1522" s="5">
        <f>IF(INDEX('CAMD Facility Data 2023'!$AC$2:$AE$10000,MATCH(Z1522,'CAMD Facility Data 2023'!$AE$2:$AE$10000,0),1)&gt;0,INDEX('CAMD Facility Data 2023'!$AC$2:$AE$10000,MATCH(Z1522,'CAMD Facility Data 2023'!$AE$2:$AE$10000,0),1),"")</f>
        <v>840</v>
      </c>
      <c r="AC1522" s="1" t="str">
        <f>IF(INDEX('CAMD Facility Data 2023'!$AE$2:$AG$10000,MATCH(Z1522,'CAMD Facility Data 2023'!$AE$2:$AE$10000,0),3)&gt;0,INDEX('CAMD Facility Data 2023'!$AE$2:$AG$10000,MATCH(Z1522,'CAMD Facility Data 2023'!$AE$2:$AE$10000,0),3),"")</f>
        <v/>
      </c>
      <c r="AD1522" s="20">
        <f t="shared" si="70"/>
        <v>16.399299474605954</v>
      </c>
      <c r="AE1522" s="25">
        <f t="shared" si="71"/>
        <v>1.0605430528375732E-3</v>
      </c>
    </row>
    <row r="1523" spans="1:31" x14ac:dyDescent="0.2">
      <c r="A1523" s="1" t="s">
        <v>3140</v>
      </c>
      <c r="B1523" s="1" t="s">
        <v>3761</v>
      </c>
      <c r="C1523" s="1">
        <v>6264</v>
      </c>
      <c r="D1523" s="1">
        <v>1</v>
      </c>
      <c r="F1523" s="1">
        <v>2023</v>
      </c>
      <c r="G1523" s="5">
        <v>6279</v>
      </c>
      <c r="H1523" s="5">
        <v>6271.41</v>
      </c>
      <c r="I1523" s="5">
        <v>5459659.9800000004</v>
      </c>
      <c r="K1523" s="5">
        <v>2805.317</v>
      </c>
      <c r="L1523" s="5">
        <v>0.1061</v>
      </c>
      <c r="M1523" s="5">
        <v>5301427.96</v>
      </c>
      <c r="N1523" s="6">
        <v>0.10299999999999999</v>
      </c>
      <c r="O1523" s="5">
        <v>2638.4580000000001</v>
      </c>
      <c r="P1523" s="6">
        <v>0.1052</v>
      </c>
      <c r="Q1523" s="5">
        <v>51670824.910999998</v>
      </c>
      <c r="R1523" s="1" t="s">
        <v>55</v>
      </c>
      <c r="T1523" s="1" t="s">
        <v>89</v>
      </c>
      <c r="U1523" s="1" t="s">
        <v>56</v>
      </c>
      <c r="V1523" s="1" t="s">
        <v>639</v>
      </c>
      <c r="W1523" s="1" t="s">
        <v>58</v>
      </c>
      <c r="Y1523" s="1" t="s">
        <v>1353</v>
      </c>
      <c r="Z1523" s="1" t="str">
        <f t="shared" si="69"/>
        <v>6264 1</v>
      </c>
      <c r="AA1523" s="3">
        <f>IF(INDEX('CAMD Facility Data 2023'!$AA$2:$AE$10000,MATCH(Z1523,'CAMD Facility Data 2023'!$AE$2:$AE$10000,0),1)&gt;0,INDEX('CAMD Facility Data 2023'!$AA$2:$AE$10000,MATCH(Z1523,'CAMD Facility Data 2023'!$AE$2:$AE$10000,0),1),"")</f>
        <v>29479</v>
      </c>
      <c r="AB1523" s="5">
        <f>IF(INDEX('CAMD Facility Data 2023'!$AC$2:$AE$10000,MATCH(Z1523,'CAMD Facility Data 2023'!$AE$2:$AE$10000,0),1)&gt;0,INDEX('CAMD Facility Data 2023'!$AC$2:$AE$10000,MATCH(Z1523,'CAMD Facility Data 2023'!$AE$2:$AE$10000,0),1),"")</f>
        <v>11960</v>
      </c>
      <c r="AC1523" s="1" t="str">
        <f>IF(INDEX('CAMD Facility Data 2023'!$AE$2:$AG$10000,MATCH(Z1523,'CAMD Facility Data 2023'!$AE$2:$AE$10000,0),3)&gt;0,INDEX('CAMD Facility Data 2023'!$AE$2:$AG$10000,MATCH(Z1523,'CAMD Facility Data 2023'!$AE$2:$AE$10000,0),3),"")</f>
        <v>Y</v>
      </c>
      <c r="AD1523" s="20">
        <f t="shared" si="70"/>
        <v>0.96652832215386419</v>
      </c>
      <c r="AE1523" s="25">
        <f t="shared" si="71"/>
        <v>0.4931852838132435</v>
      </c>
    </row>
    <row r="1524" spans="1:31" x14ac:dyDescent="0.2">
      <c r="A1524" s="1" t="s">
        <v>1663</v>
      </c>
      <c r="B1524" s="1" t="s">
        <v>3763</v>
      </c>
      <c r="C1524" s="1">
        <v>6358</v>
      </c>
      <c r="D1524" s="1">
        <v>1</v>
      </c>
      <c r="F1524" s="1">
        <v>2023</v>
      </c>
      <c r="G1524" s="5">
        <v>712</v>
      </c>
      <c r="H1524" s="5">
        <v>640.71</v>
      </c>
      <c r="I1524" s="5">
        <v>25383.27</v>
      </c>
      <c r="K1524" s="5">
        <v>8.8999999999999996E-2</v>
      </c>
      <c r="L1524" s="5">
        <v>8.9999999999999998E-4</v>
      </c>
      <c r="M1524" s="5">
        <v>16653.913</v>
      </c>
      <c r="N1524" s="6">
        <v>5.9200000000000003E-2</v>
      </c>
      <c r="O1524" s="5">
        <v>13.926</v>
      </c>
      <c r="P1524" s="6">
        <v>0.1033</v>
      </c>
      <c r="Q1524" s="5">
        <v>280249.15399999998</v>
      </c>
      <c r="R1524" s="1" t="s">
        <v>44</v>
      </c>
      <c r="T1524" s="1" t="s">
        <v>71</v>
      </c>
      <c r="V1524" s="1" t="s">
        <v>95</v>
      </c>
      <c r="Y1524" s="1" t="s">
        <v>1666</v>
      </c>
      <c r="Z1524" s="1" t="str">
        <f t="shared" si="69"/>
        <v>6358 1</v>
      </c>
      <c r="AA1524" s="3">
        <f>IF(INDEX('CAMD Facility Data 2023'!$AA$2:$AE$10000,MATCH(Z1524,'CAMD Facility Data 2023'!$AE$2:$AE$10000,0),1)&gt;0,INDEX('CAMD Facility Data 2023'!$AA$2:$AE$10000,MATCH(Z1524,'CAMD Facility Data 2023'!$AE$2:$AE$10000,0),1),"")</f>
        <v>34639</v>
      </c>
      <c r="AB1524" s="5">
        <f>IF(INDEX('CAMD Facility Data 2023'!$AC$2:$AE$10000,MATCH(Z1524,'CAMD Facility Data 2023'!$AE$2:$AE$10000,0),1)&gt;0,INDEX('CAMD Facility Data 2023'!$AC$2:$AE$10000,MATCH(Z1524,'CAMD Facility Data 2023'!$AE$2:$AE$10000,0),1),"")</f>
        <v>530</v>
      </c>
      <c r="AC1524" s="1" t="str">
        <f>IF(INDEX('CAMD Facility Data 2023'!$AE$2:$AG$10000,MATCH(Z1524,'CAMD Facility Data 2023'!$AE$2:$AE$10000,0),3)&gt;0,INDEX('CAMD Facility Data 2023'!$AE$2:$AG$10000,MATCH(Z1524,'CAMD Facility Data 2023'!$AE$2:$AE$10000,0),3),"")</f>
        <v/>
      </c>
      <c r="AD1524" s="20">
        <f t="shared" si="70"/>
        <v>1.0972581546821982</v>
      </c>
      <c r="AE1524" s="25">
        <f t="shared" si="71"/>
        <v>6.0362099164297404E-2</v>
      </c>
    </row>
    <row r="1525" spans="1:31" x14ac:dyDescent="0.2">
      <c r="A1525" s="1" t="s">
        <v>203</v>
      </c>
      <c r="B1525" s="1" t="s">
        <v>3768</v>
      </c>
      <c r="C1525" s="1">
        <v>6373</v>
      </c>
      <c r="D1525" s="1">
        <v>1</v>
      </c>
      <c r="F1525" s="1">
        <v>2023</v>
      </c>
      <c r="G1525" s="5">
        <v>1421</v>
      </c>
      <c r="H1525" s="5">
        <v>1234.25</v>
      </c>
      <c r="I1525" s="5">
        <v>38670.67</v>
      </c>
      <c r="K1525" s="5">
        <v>0.19800000000000001</v>
      </c>
      <c r="L1525" s="5">
        <v>1E-3</v>
      </c>
      <c r="O1525" s="5">
        <v>86.144999999999996</v>
      </c>
      <c r="P1525" s="6">
        <v>0.31109999999999999</v>
      </c>
      <c r="Q1525" s="5">
        <v>555646.69999999995</v>
      </c>
      <c r="R1525" s="1" t="s">
        <v>44</v>
      </c>
      <c r="S1525" s="1" t="s">
        <v>94</v>
      </c>
      <c r="T1525" s="1" t="s">
        <v>93</v>
      </c>
      <c r="V1525" s="1" t="s">
        <v>95</v>
      </c>
      <c r="Y1525" s="1" t="s">
        <v>1696</v>
      </c>
      <c r="Z1525" s="1" t="str">
        <f t="shared" si="69"/>
        <v>6373 1</v>
      </c>
      <c r="AA1525" s="3">
        <f>IF(INDEX('CAMD Facility Data 2023'!$AA$2:$AE$10000,MATCH(Z1525,'CAMD Facility Data 2023'!$AE$2:$AE$10000,0),1)&gt;0,INDEX('CAMD Facility Data 2023'!$AA$2:$AE$10000,MATCH(Z1525,'CAMD Facility Data 2023'!$AE$2:$AE$10000,0),1),"")</f>
        <v>27546</v>
      </c>
      <c r="AB1525" s="5">
        <f>IF(INDEX('CAMD Facility Data 2023'!$AC$2:$AE$10000,MATCH(Z1525,'CAMD Facility Data 2023'!$AE$2:$AE$10000,0),1)&gt;0,INDEX('CAMD Facility Data 2023'!$AC$2:$AE$10000,MATCH(Z1525,'CAMD Facility Data 2023'!$AE$2:$AE$10000,0),1),"")</f>
        <v>860</v>
      </c>
      <c r="AC1525" s="1" t="str">
        <f>IF(INDEX('CAMD Facility Data 2023'!$AE$2:$AG$10000,MATCH(Z1525,'CAMD Facility Data 2023'!$AE$2:$AE$10000,0),3)&gt;0,INDEX('CAMD Facility Data 2023'!$AE$2:$AG$10000,MATCH(Z1525,'CAMD Facility Data 2023'!$AE$2:$AE$10000,0),3),"")</f>
        <v/>
      </c>
      <c r="AD1525" s="20">
        <f t="shared" si="70"/>
        <v>4.4553145833780485</v>
      </c>
      <c r="AE1525" s="25">
        <f t="shared" si="71"/>
        <v>7.3755800679621952E-2</v>
      </c>
    </row>
    <row r="1526" spans="1:31" x14ac:dyDescent="0.2">
      <c r="A1526" s="1" t="s">
        <v>203</v>
      </c>
      <c r="B1526" s="1" t="s">
        <v>3768</v>
      </c>
      <c r="C1526" s="1">
        <v>6373</v>
      </c>
      <c r="D1526" s="1">
        <v>2</v>
      </c>
      <c r="F1526" s="1">
        <v>2023</v>
      </c>
      <c r="G1526" s="5">
        <v>430</v>
      </c>
      <c r="H1526" s="5">
        <v>377.21</v>
      </c>
      <c r="I1526" s="5">
        <v>19228.86</v>
      </c>
      <c r="K1526" s="5">
        <v>0.25600000000000001</v>
      </c>
      <c r="L1526" s="5">
        <v>2.0999999999999999E-3</v>
      </c>
      <c r="M1526" s="5">
        <v>16084.25</v>
      </c>
      <c r="N1526" s="6">
        <v>6.0199999999999997E-2</v>
      </c>
      <c r="O1526" s="5">
        <v>31.966999999999999</v>
      </c>
      <c r="P1526" s="6">
        <v>0.25319999999999998</v>
      </c>
      <c r="Q1526" s="5">
        <v>264748.19799999997</v>
      </c>
      <c r="R1526" s="1" t="s">
        <v>44</v>
      </c>
      <c r="S1526" s="1" t="s">
        <v>94</v>
      </c>
      <c r="T1526" s="1" t="s">
        <v>93</v>
      </c>
      <c r="V1526" s="1" t="s">
        <v>183</v>
      </c>
      <c r="Y1526" s="1" t="s">
        <v>1666</v>
      </c>
      <c r="Z1526" s="1" t="str">
        <f t="shared" si="69"/>
        <v>6373 2</v>
      </c>
      <c r="AA1526" s="3">
        <f>IF(INDEX('CAMD Facility Data 2023'!$AA$2:$AE$10000,MATCH(Z1526,'CAMD Facility Data 2023'!$AE$2:$AE$10000,0),1)&gt;0,INDEX('CAMD Facility Data 2023'!$AA$2:$AE$10000,MATCH(Z1526,'CAMD Facility Data 2023'!$AE$2:$AE$10000,0),1),"")</f>
        <v>35395</v>
      </c>
      <c r="AB1526" s="5">
        <f>IF(INDEX('CAMD Facility Data 2023'!$AC$2:$AE$10000,MATCH(Z1526,'CAMD Facility Data 2023'!$AE$2:$AE$10000,0),1)&gt;0,INDEX('CAMD Facility Data 2023'!$AC$2:$AE$10000,MATCH(Z1526,'CAMD Facility Data 2023'!$AE$2:$AE$10000,0),1),"")</f>
        <v>882</v>
      </c>
      <c r="AC1526" s="1" t="str">
        <f>IF(INDEX('CAMD Facility Data 2023'!$AE$2:$AG$10000,MATCH(Z1526,'CAMD Facility Data 2023'!$AE$2:$AE$10000,0),3)&gt;0,INDEX('CAMD Facility Data 2023'!$AE$2:$AG$10000,MATCH(Z1526,'CAMD Facility Data 2023'!$AE$2:$AE$10000,0),3),"")</f>
        <v/>
      </c>
      <c r="AD1526" s="20">
        <f t="shared" si="70"/>
        <v>3.324898095882959</v>
      </c>
      <c r="AE1526" s="25">
        <f t="shared" si="71"/>
        <v>3.4265756272067426E-2</v>
      </c>
    </row>
    <row r="1527" spans="1:31" x14ac:dyDescent="0.2">
      <c r="A1527" s="1" t="s">
        <v>203</v>
      </c>
      <c r="B1527" s="1" t="s">
        <v>3768</v>
      </c>
      <c r="C1527" s="1">
        <v>6373</v>
      </c>
      <c r="D1527" s="1">
        <v>3</v>
      </c>
      <c r="F1527" s="1">
        <v>2023</v>
      </c>
      <c r="G1527" s="5">
        <v>479</v>
      </c>
      <c r="H1527" s="5">
        <v>426.4</v>
      </c>
      <c r="I1527" s="5">
        <v>26719.65</v>
      </c>
      <c r="K1527" s="5">
        <v>0.21299999999999999</v>
      </c>
      <c r="L1527" s="5">
        <v>1.6999999999999999E-3</v>
      </c>
      <c r="M1527" s="5">
        <v>19545.597000000002</v>
      </c>
      <c r="N1527" s="6">
        <v>5.9700000000000003E-2</v>
      </c>
      <c r="O1527" s="5">
        <v>15.095000000000001</v>
      </c>
      <c r="P1527" s="6">
        <v>0.1076</v>
      </c>
      <c r="Q1527" s="5">
        <v>325004.859</v>
      </c>
      <c r="R1527" s="1" t="s">
        <v>44</v>
      </c>
      <c r="S1527" s="1" t="s">
        <v>94</v>
      </c>
      <c r="T1527" s="1" t="s">
        <v>93</v>
      </c>
      <c r="V1527" s="1" t="s">
        <v>183</v>
      </c>
      <c r="Y1527" s="1" t="s">
        <v>1666</v>
      </c>
      <c r="Z1527" s="1" t="str">
        <f t="shared" si="69"/>
        <v>6373 3</v>
      </c>
      <c r="AA1527" s="3">
        <f>IF(INDEX('CAMD Facility Data 2023'!$AA$2:$AE$10000,MATCH(Z1527,'CAMD Facility Data 2023'!$AE$2:$AE$10000,0),1)&gt;0,INDEX('CAMD Facility Data 2023'!$AA$2:$AE$10000,MATCH(Z1527,'CAMD Facility Data 2023'!$AE$2:$AE$10000,0),1),"")</f>
        <v>36976</v>
      </c>
      <c r="AB1527" s="5">
        <f>IF(INDEX('CAMD Facility Data 2023'!$AC$2:$AE$10000,MATCH(Z1527,'CAMD Facility Data 2023'!$AE$2:$AE$10000,0),1)&gt;0,INDEX('CAMD Facility Data 2023'!$AC$2:$AE$10000,MATCH(Z1527,'CAMD Facility Data 2023'!$AE$2:$AE$10000,0),1),"")</f>
        <v>1037</v>
      </c>
      <c r="AC1527" s="1" t="str">
        <f>IF(INDEX('CAMD Facility Data 2023'!$AE$2:$AG$10000,MATCH(Z1527,'CAMD Facility Data 2023'!$AE$2:$AE$10000,0),3)&gt;0,INDEX('CAMD Facility Data 2023'!$AE$2:$AG$10000,MATCH(Z1527,'CAMD Facility Data 2023'!$AE$2:$AE$10000,0),3),"")</f>
        <v/>
      </c>
      <c r="AD1527" s="20">
        <f t="shared" si="70"/>
        <v>1.1298800695368389</v>
      </c>
      <c r="AE1527" s="25">
        <f t="shared" si="71"/>
        <v>3.5777252942497458E-2</v>
      </c>
    </row>
    <row r="1528" spans="1:31" x14ac:dyDescent="0.2">
      <c r="A1528" s="1" t="s">
        <v>1186</v>
      </c>
      <c r="B1528" s="1" t="s">
        <v>3772</v>
      </c>
      <c r="C1528" s="1">
        <v>6463</v>
      </c>
      <c r="D1528" s="1" t="s">
        <v>1102</v>
      </c>
      <c r="F1528" s="1">
        <v>2023</v>
      </c>
      <c r="G1528" s="5">
        <v>128</v>
      </c>
      <c r="H1528" s="5">
        <v>110.11</v>
      </c>
      <c r="I1528" s="5">
        <v>2060.13</v>
      </c>
      <c r="K1528" s="5">
        <v>0.59</v>
      </c>
      <c r="L1528" s="5">
        <v>5.0700000000000002E-2</v>
      </c>
      <c r="M1528" s="5">
        <v>1894.6</v>
      </c>
      <c r="N1528" s="6">
        <v>8.09E-2</v>
      </c>
      <c r="O1528" s="5">
        <v>1.905</v>
      </c>
      <c r="P1528" s="6">
        <v>0.2782</v>
      </c>
      <c r="Q1528" s="5">
        <v>23377.200000000001</v>
      </c>
      <c r="R1528" s="1" t="s">
        <v>94</v>
      </c>
      <c r="T1528" s="1" t="s">
        <v>93</v>
      </c>
      <c r="V1528" s="1" t="s">
        <v>95</v>
      </c>
      <c r="Y1528" s="1" t="s">
        <v>1207</v>
      </c>
      <c r="Z1528" s="1" t="str">
        <f t="shared" si="69"/>
        <v>6463 GT2</v>
      </c>
      <c r="AA1528" s="3">
        <f>IF(INDEX('CAMD Facility Data 2023'!$AA$2:$AE$10000,MATCH(Z1528,'CAMD Facility Data 2023'!$AE$2:$AE$10000,0),1)&gt;0,INDEX('CAMD Facility Data 2023'!$AA$2:$AE$10000,MATCH(Z1528,'CAMD Facility Data 2023'!$AE$2:$AE$10000,0),1),"")</f>
        <v>38515</v>
      </c>
      <c r="AB1528" s="5">
        <f>IF(INDEX('CAMD Facility Data 2023'!$AC$2:$AE$10000,MATCH(Z1528,'CAMD Facility Data 2023'!$AE$2:$AE$10000,0),1)&gt;0,INDEX('CAMD Facility Data 2023'!$AC$2:$AE$10000,MATCH(Z1528,'CAMD Facility Data 2023'!$AE$2:$AE$10000,0),1),"")</f>
        <v>313</v>
      </c>
      <c r="AC1528" s="1" t="str">
        <f>IF(INDEX('CAMD Facility Data 2023'!$AE$2:$AG$10000,MATCH(Z1528,'CAMD Facility Data 2023'!$AE$2:$AE$10000,0),3)&gt;0,INDEX('CAMD Facility Data 2023'!$AE$2:$AG$10000,MATCH(Z1528,'CAMD Facility Data 2023'!$AE$2:$AE$10000,0),3),"")</f>
        <v/>
      </c>
      <c r="AD1528" s="20">
        <f t="shared" si="70"/>
        <v>1.8493978535335147</v>
      </c>
      <c r="AE1528" s="25">
        <f t="shared" si="71"/>
        <v>8.5259748785504845E-3</v>
      </c>
    </row>
    <row r="1529" spans="1:31" x14ac:dyDescent="0.2">
      <c r="A1529" s="1" t="s">
        <v>2411</v>
      </c>
      <c r="B1529" s="1" t="s">
        <v>3774</v>
      </c>
      <c r="C1529" s="1">
        <v>6469</v>
      </c>
      <c r="D1529" s="1" t="s">
        <v>866</v>
      </c>
      <c r="F1529" s="1">
        <v>2023</v>
      </c>
      <c r="G1529" s="5">
        <v>7353</v>
      </c>
      <c r="H1529" s="5">
        <v>7324.52</v>
      </c>
      <c r="I1529" s="5">
        <v>2818455.21</v>
      </c>
      <c r="K1529" s="5">
        <v>5970.9920000000002</v>
      </c>
      <c r="L1529" s="5">
        <v>0.4299</v>
      </c>
      <c r="M1529" s="5">
        <v>3029705.3309999998</v>
      </c>
      <c r="N1529" s="6">
        <v>0.10879999999999999</v>
      </c>
      <c r="O1529" s="5">
        <v>1824.414</v>
      </c>
      <c r="P1529" s="6">
        <v>0.13289999999999999</v>
      </c>
      <c r="Q1529" s="5">
        <v>27828661.045000002</v>
      </c>
      <c r="R1529" s="1" t="s">
        <v>55</v>
      </c>
      <c r="T1529" s="1" t="s">
        <v>43</v>
      </c>
      <c r="U1529" s="1" t="s">
        <v>212</v>
      </c>
      <c r="V1529" s="1" t="s">
        <v>213</v>
      </c>
      <c r="W1529" s="1" t="s">
        <v>232</v>
      </c>
      <c r="X1529" s="1" t="s">
        <v>3775</v>
      </c>
      <c r="Y1529" s="1" t="s">
        <v>236</v>
      </c>
      <c r="Z1529" s="1" t="str">
        <f t="shared" si="69"/>
        <v>6469 B1</v>
      </c>
      <c r="AA1529" s="3">
        <f>IF(INDEX('CAMD Facility Data 2023'!$AA$2:$AE$10000,MATCH(Z1529,'CAMD Facility Data 2023'!$AE$2:$AE$10000,0),1)&gt;0,INDEX('CAMD Facility Data 2023'!$AA$2:$AE$10000,MATCH(Z1529,'CAMD Facility Data 2023'!$AE$2:$AE$10000,0),1),"")</f>
        <v>30864</v>
      </c>
      <c r="AB1529" s="5">
        <f>IF(INDEX('CAMD Facility Data 2023'!$AC$2:$AE$10000,MATCH(Z1529,'CAMD Facility Data 2023'!$AE$2:$AE$10000,0),1)&gt;0,INDEX('CAMD Facility Data 2023'!$AC$2:$AE$10000,MATCH(Z1529,'CAMD Facility Data 2023'!$AE$2:$AE$10000,0),1),"")</f>
        <v>6275</v>
      </c>
      <c r="AC1529" s="1" t="str">
        <f>IF(INDEX('CAMD Facility Data 2023'!$AE$2:$AG$10000,MATCH(Z1529,'CAMD Facility Data 2023'!$AE$2:$AE$10000,0),3)&gt;0,INDEX('CAMD Facility Data 2023'!$AE$2:$AG$10000,MATCH(Z1529,'CAMD Facility Data 2023'!$AE$2:$AE$10000,0),3),"")</f>
        <v/>
      </c>
      <c r="AD1529" s="20">
        <f t="shared" si="70"/>
        <v>1.2946198282852968</v>
      </c>
      <c r="AE1529" s="25">
        <f t="shared" si="71"/>
        <v>0.50626100247412176</v>
      </c>
    </row>
    <row r="1530" spans="1:31" x14ac:dyDescent="0.2">
      <c r="A1530" s="1" t="s">
        <v>2411</v>
      </c>
      <c r="B1530" s="1" t="s">
        <v>3774</v>
      </c>
      <c r="C1530" s="1">
        <v>6469</v>
      </c>
      <c r="D1530" s="1" t="s">
        <v>871</v>
      </c>
      <c r="F1530" s="1">
        <v>2023</v>
      </c>
      <c r="G1530" s="5">
        <v>6495</v>
      </c>
      <c r="H1530" s="5">
        <v>6481.43</v>
      </c>
      <c r="I1530" s="5">
        <v>2455192.77</v>
      </c>
      <c r="K1530" s="5">
        <v>5149.25</v>
      </c>
      <c r="L1530" s="5">
        <v>0.39429999999999998</v>
      </c>
      <c r="M1530" s="5">
        <v>2866006.5189999999</v>
      </c>
      <c r="N1530" s="6">
        <v>0.1089</v>
      </c>
      <c r="O1530" s="5">
        <v>1794.713</v>
      </c>
      <c r="P1530" s="6">
        <v>0.13869999999999999</v>
      </c>
      <c r="Q1530" s="5">
        <v>26325042.73</v>
      </c>
      <c r="R1530" s="1" t="s">
        <v>55</v>
      </c>
      <c r="T1530" s="1" t="s">
        <v>43</v>
      </c>
      <c r="U1530" s="1" t="s">
        <v>212</v>
      </c>
      <c r="V1530" s="1" t="s">
        <v>213</v>
      </c>
      <c r="W1530" s="1" t="s">
        <v>232</v>
      </c>
      <c r="X1530" s="1" t="s">
        <v>3775</v>
      </c>
      <c r="Y1530" s="1" t="s">
        <v>236</v>
      </c>
      <c r="Z1530" s="1" t="str">
        <f t="shared" si="69"/>
        <v>6469 B2</v>
      </c>
      <c r="AA1530" s="3">
        <f>IF(INDEX('CAMD Facility Data 2023'!$AA$2:$AE$10000,MATCH(Z1530,'CAMD Facility Data 2023'!$AE$2:$AE$10000,0),1)&gt;0,INDEX('CAMD Facility Data 2023'!$AA$2:$AE$10000,MATCH(Z1530,'CAMD Facility Data 2023'!$AE$2:$AE$10000,0),1),"")</f>
        <v>31564</v>
      </c>
      <c r="AB1530" s="5">
        <f>IF(INDEX('CAMD Facility Data 2023'!$AC$2:$AE$10000,MATCH(Z1530,'CAMD Facility Data 2023'!$AE$2:$AE$10000,0),1)&gt;0,INDEX('CAMD Facility Data 2023'!$AC$2:$AE$10000,MATCH(Z1530,'CAMD Facility Data 2023'!$AE$2:$AE$10000,0),1),"")</f>
        <v>6275</v>
      </c>
      <c r="AC1530" s="1" t="str">
        <f>IF(INDEX('CAMD Facility Data 2023'!$AE$2:$AG$10000,MATCH(Z1530,'CAMD Facility Data 2023'!$AE$2:$AE$10000,0),3)&gt;0,INDEX('CAMD Facility Data 2023'!$AE$2:$AG$10000,MATCH(Z1530,'CAMD Facility Data 2023'!$AE$2:$AE$10000,0),3),"")</f>
        <v/>
      </c>
      <c r="AD1530" s="20">
        <f t="shared" si="70"/>
        <v>1.4619731875473061</v>
      </c>
      <c r="AE1530" s="25">
        <f t="shared" si="71"/>
        <v>0.47890706998490057</v>
      </c>
    </row>
    <row r="1531" spans="1:31" x14ac:dyDescent="0.2">
      <c r="A1531" s="1" t="s">
        <v>3076</v>
      </c>
      <c r="B1531" s="1" t="s">
        <v>3778</v>
      </c>
      <c r="C1531" s="1">
        <v>6481</v>
      </c>
      <c r="D1531" s="1" t="s">
        <v>3779</v>
      </c>
      <c r="F1531" s="1">
        <v>2023</v>
      </c>
      <c r="G1531" s="5">
        <v>6369</v>
      </c>
      <c r="H1531" s="5">
        <v>6368.25</v>
      </c>
      <c r="I1531" s="5">
        <v>2565657.25</v>
      </c>
      <c r="K1531" s="5">
        <v>387.60899999999998</v>
      </c>
      <c r="L1531" s="5">
        <v>2.93E-2</v>
      </c>
      <c r="M1531" s="5">
        <v>2494554</v>
      </c>
      <c r="N1531" s="6">
        <v>0.10299999999999999</v>
      </c>
      <c r="O1531" s="5">
        <v>2499.0549999999998</v>
      </c>
      <c r="P1531" s="6">
        <v>0.2006</v>
      </c>
      <c r="Q1531" s="5">
        <v>24313407.675000001</v>
      </c>
      <c r="R1531" s="1" t="s">
        <v>55</v>
      </c>
      <c r="T1531" s="1" t="s">
        <v>89</v>
      </c>
      <c r="U1531" s="1" t="s">
        <v>56</v>
      </c>
      <c r="V1531" s="1" t="s">
        <v>90</v>
      </c>
      <c r="W1531" s="1" t="s">
        <v>232</v>
      </c>
      <c r="Y1531" s="1" t="s">
        <v>236</v>
      </c>
      <c r="Z1531" s="1" t="str">
        <f t="shared" si="69"/>
        <v>6481 1SGA</v>
      </c>
      <c r="AA1531" s="3">
        <f>IF(INDEX('CAMD Facility Data 2023'!$AA$2:$AE$10000,MATCH(Z1531,'CAMD Facility Data 2023'!$AE$2:$AE$10000,0),1)&gt;0,INDEX('CAMD Facility Data 2023'!$AA$2:$AE$10000,MATCH(Z1531,'CAMD Facility Data 2023'!$AE$2:$AE$10000,0),1),"")</f>
        <v>31594</v>
      </c>
      <c r="AB1531" s="5">
        <f>IF(INDEX('CAMD Facility Data 2023'!$AC$2:$AE$10000,MATCH(Z1531,'CAMD Facility Data 2023'!$AE$2:$AE$10000,0),1)&gt;0,INDEX('CAMD Facility Data 2023'!$AC$2:$AE$10000,MATCH(Z1531,'CAMD Facility Data 2023'!$AE$2:$AE$10000,0),1),"")</f>
        <v>10274</v>
      </c>
      <c r="AC1531" s="1" t="str">
        <f>IF(INDEX('CAMD Facility Data 2023'!$AE$2:$AG$10000,MATCH(Z1531,'CAMD Facility Data 2023'!$AE$2:$AE$10000,0),3)&gt;0,INDEX('CAMD Facility Data 2023'!$AE$2:$AG$10000,MATCH(Z1531,'CAMD Facility Data 2023'!$AE$2:$AE$10000,0),3),"")</f>
        <v/>
      </c>
      <c r="AD1531" s="20">
        <f t="shared" si="70"/>
        <v>1.9480817244782014</v>
      </c>
      <c r="AE1531" s="25">
        <f t="shared" si="71"/>
        <v>0.27014825377132329</v>
      </c>
    </row>
    <row r="1532" spans="1:31" x14ac:dyDescent="0.2">
      <c r="A1532" s="1" t="s">
        <v>3076</v>
      </c>
      <c r="B1532" s="1" t="s">
        <v>3778</v>
      </c>
      <c r="C1532" s="1">
        <v>6481</v>
      </c>
      <c r="D1532" s="1" t="s">
        <v>3784</v>
      </c>
      <c r="F1532" s="1">
        <v>2023</v>
      </c>
      <c r="G1532" s="5">
        <v>5531</v>
      </c>
      <c r="H1532" s="5">
        <v>5526.75</v>
      </c>
      <c r="I1532" s="5">
        <v>2351311.75</v>
      </c>
      <c r="K1532" s="5">
        <v>460.47500000000002</v>
      </c>
      <c r="L1532" s="5">
        <v>3.78E-2</v>
      </c>
      <c r="M1532" s="5">
        <v>2330808.9249999998</v>
      </c>
      <c r="N1532" s="6">
        <v>0.10299999999999999</v>
      </c>
      <c r="O1532" s="5">
        <v>2720.5210000000002</v>
      </c>
      <c r="P1532" s="6">
        <v>0.22700000000000001</v>
      </c>
      <c r="Q1532" s="5">
        <v>22717470.800000001</v>
      </c>
      <c r="R1532" s="1" t="s">
        <v>55</v>
      </c>
      <c r="T1532" s="1" t="s">
        <v>89</v>
      </c>
      <c r="U1532" s="1" t="s">
        <v>56</v>
      </c>
      <c r="V1532" s="1" t="s">
        <v>90</v>
      </c>
      <c r="W1532" s="1" t="s">
        <v>232</v>
      </c>
      <c r="Y1532" s="1" t="s">
        <v>236</v>
      </c>
      <c r="Z1532" s="1" t="str">
        <f t="shared" si="69"/>
        <v>6481 2SGA</v>
      </c>
      <c r="AA1532" s="3">
        <f>IF(INDEX('CAMD Facility Data 2023'!$AA$2:$AE$10000,MATCH(Z1532,'CAMD Facility Data 2023'!$AE$2:$AE$10000,0),1)&gt;0,INDEX('CAMD Facility Data 2023'!$AA$2:$AE$10000,MATCH(Z1532,'CAMD Facility Data 2023'!$AE$2:$AE$10000,0),1),"")</f>
        <v>31959</v>
      </c>
      <c r="AB1532" s="5">
        <f>IF(INDEX('CAMD Facility Data 2023'!$AC$2:$AE$10000,MATCH(Z1532,'CAMD Facility Data 2023'!$AE$2:$AE$10000,0),1)&gt;0,INDEX('CAMD Facility Data 2023'!$AC$2:$AE$10000,MATCH(Z1532,'CAMD Facility Data 2023'!$AE$2:$AE$10000,0),1),"")</f>
        <v>10474</v>
      </c>
      <c r="AC1532" s="1" t="str">
        <f>IF(INDEX('CAMD Facility Data 2023'!$AE$2:$AG$10000,MATCH(Z1532,'CAMD Facility Data 2023'!$AE$2:$AE$10000,0),3)&gt;0,INDEX('CAMD Facility Data 2023'!$AE$2:$AG$10000,MATCH(Z1532,'CAMD Facility Data 2023'!$AE$2:$AE$10000,0),3),"")</f>
        <v/>
      </c>
      <c r="AD1532" s="20">
        <f t="shared" si="70"/>
        <v>2.31404534086133</v>
      </c>
      <c r="AE1532" s="25">
        <f t="shared" si="71"/>
        <v>0.24759581673428355</v>
      </c>
    </row>
    <row r="1533" spans="1:31" x14ac:dyDescent="0.2">
      <c r="A1533" s="1" t="s">
        <v>304</v>
      </c>
      <c r="B1533" s="1" t="s">
        <v>3786</v>
      </c>
      <c r="C1533" s="1">
        <v>6584</v>
      </c>
      <c r="D1533" s="1" t="s">
        <v>103</v>
      </c>
      <c r="F1533" s="1">
        <v>2023</v>
      </c>
      <c r="G1533" s="5">
        <v>40</v>
      </c>
      <c r="H1533" s="5">
        <v>24.33</v>
      </c>
      <c r="I1533" s="5">
        <v>718.8</v>
      </c>
      <c r="K1533" s="5">
        <v>3.0000000000000001E-3</v>
      </c>
      <c r="L1533" s="5">
        <v>1E-3</v>
      </c>
      <c r="M1533" s="5">
        <v>564.33299999999997</v>
      </c>
      <c r="N1533" s="6">
        <v>8.1100000000000005E-2</v>
      </c>
      <c r="O1533" s="5">
        <v>0.60299999999999998</v>
      </c>
      <c r="P1533" s="6">
        <v>0.22389999999999999</v>
      </c>
      <c r="Q1533" s="5">
        <v>6957.433</v>
      </c>
      <c r="R1533" s="1" t="s">
        <v>94</v>
      </c>
      <c r="T1533" s="1" t="s">
        <v>93</v>
      </c>
      <c r="V1533" s="1" t="s">
        <v>95</v>
      </c>
      <c r="Y1533" s="1" t="s">
        <v>247</v>
      </c>
      <c r="Z1533" s="1" t="str">
        <f t="shared" si="69"/>
        <v>6584 CT4</v>
      </c>
      <c r="AA1533" s="3">
        <f>IF(INDEX('CAMD Facility Data 2023'!$AA$2:$AE$10000,MATCH(Z1533,'CAMD Facility Data 2023'!$AE$2:$AE$10000,0),1)&gt;0,INDEX('CAMD Facility Data 2023'!$AA$2:$AE$10000,MATCH(Z1533,'CAMD Facility Data 2023'!$AE$2:$AE$10000,0),1),"")</f>
        <v>38896</v>
      </c>
      <c r="AB1533" s="5">
        <f>IF(INDEX('CAMD Facility Data 2023'!$AC$2:$AE$10000,MATCH(Z1533,'CAMD Facility Data 2023'!$AE$2:$AE$10000,0),1)&gt;0,INDEX('CAMD Facility Data 2023'!$AC$2:$AE$10000,MATCH(Z1533,'CAMD Facility Data 2023'!$AE$2:$AE$10000,0),1),"")</f>
        <v>484</v>
      </c>
      <c r="AC1533" s="1" t="str">
        <f>IF(INDEX('CAMD Facility Data 2023'!$AE$2:$AG$10000,MATCH(Z1533,'CAMD Facility Data 2023'!$AE$2:$AE$10000,0),3)&gt;0,INDEX('CAMD Facility Data 2023'!$AE$2:$AG$10000,MATCH(Z1533,'CAMD Facility Data 2023'!$AE$2:$AE$10000,0),3),"")</f>
        <v/>
      </c>
      <c r="AD1533" s="20">
        <f t="shared" si="70"/>
        <v>1.6777963272120202</v>
      </c>
      <c r="AE1533" s="25">
        <f t="shared" si="71"/>
        <v>1.6409659326767048E-3</v>
      </c>
    </row>
    <row r="1534" spans="1:31" x14ac:dyDescent="0.2">
      <c r="A1534" s="1" t="s">
        <v>577</v>
      </c>
      <c r="B1534" s="1" t="s">
        <v>3790</v>
      </c>
      <c r="C1534" s="1">
        <v>6635</v>
      </c>
      <c r="D1534" s="1" t="s">
        <v>3791</v>
      </c>
      <c r="F1534" s="1">
        <v>2023</v>
      </c>
      <c r="G1534" s="5">
        <v>83</v>
      </c>
      <c r="H1534" s="5">
        <v>60.64</v>
      </c>
      <c r="I1534" s="5">
        <v>4068.93</v>
      </c>
      <c r="K1534" s="5">
        <v>1.6E-2</v>
      </c>
      <c r="L1534" s="5">
        <v>8.9999999999999998E-4</v>
      </c>
      <c r="M1534" s="5">
        <v>3144.8409999999999</v>
      </c>
      <c r="N1534" s="6">
        <v>5.9499999999999997E-2</v>
      </c>
      <c r="O1534" s="5">
        <v>1.0069999999999999</v>
      </c>
      <c r="P1534" s="6">
        <v>5.8000000000000003E-2</v>
      </c>
      <c r="Q1534" s="5">
        <v>52394.175999999999</v>
      </c>
      <c r="R1534" s="1" t="s">
        <v>44</v>
      </c>
      <c r="S1534" s="1" t="s">
        <v>94</v>
      </c>
      <c r="T1534" s="1" t="s">
        <v>93</v>
      </c>
      <c r="V1534" s="1" t="s">
        <v>183</v>
      </c>
      <c r="Y1534" s="1" t="s">
        <v>579</v>
      </c>
      <c r="Z1534" s="1" t="str">
        <f t="shared" si="69"/>
        <v>6635 AP-1</v>
      </c>
      <c r="AA1534" s="3">
        <f>IF(INDEX('CAMD Facility Data 2023'!$AA$2:$AE$10000,MATCH(Z1534,'CAMD Facility Data 2023'!$AE$2:$AE$10000,0),1)&gt;0,INDEX('CAMD Facility Data 2023'!$AA$2:$AE$10000,MATCH(Z1534,'CAMD Facility Data 2023'!$AE$2:$AE$10000,0),1),"")</f>
        <v>39319</v>
      </c>
      <c r="AB1534" s="5">
        <f>IF(INDEX('CAMD Facility Data 2023'!$AC$2:$AE$10000,MATCH(Z1534,'CAMD Facility Data 2023'!$AE$2:$AE$10000,0),1)&gt;0,INDEX('CAMD Facility Data 2023'!$AC$2:$AE$10000,MATCH(Z1534,'CAMD Facility Data 2023'!$AE$2:$AE$10000,0),1),"")</f>
        <v>1560</v>
      </c>
      <c r="AC1534" s="1" t="str">
        <f>IF(INDEX('CAMD Facility Data 2023'!$AE$2:$AG$10000,MATCH(Z1534,'CAMD Facility Data 2023'!$AE$2:$AE$10000,0),3)&gt;0,INDEX('CAMD Facility Data 2023'!$AE$2:$AG$10000,MATCH(Z1534,'CAMD Facility Data 2023'!$AE$2:$AE$10000,0),3),"")</f>
        <v/>
      </c>
      <c r="AD1534" s="20">
        <f t="shared" si="70"/>
        <v>0.49497042219944798</v>
      </c>
      <c r="AE1534" s="25">
        <f t="shared" si="71"/>
        <v>3.8340194356632712E-3</v>
      </c>
    </row>
    <row r="1535" spans="1:31" x14ac:dyDescent="0.2">
      <c r="A1535" s="1" t="s">
        <v>165</v>
      </c>
      <c r="B1535" s="1" t="s">
        <v>3795</v>
      </c>
      <c r="C1535" s="1">
        <v>6639</v>
      </c>
      <c r="D1535" s="1" t="s">
        <v>3796</v>
      </c>
      <c r="F1535" s="1">
        <v>2023</v>
      </c>
      <c r="G1535" s="5">
        <v>1484</v>
      </c>
      <c r="H1535" s="5">
        <v>1464.4</v>
      </c>
      <c r="I1535" s="5">
        <v>164753.75</v>
      </c>
      <c r="K1535" s="5">
        <v>0.498</v>
      </c>
      <c r="L1535" s="5">
        <v>1E-3</v>
      </c>
      <c r="M1535" s="5">
        <v>98617.107000000004</v>
      </c>
      <c r="N1535" s="6">
        <v>5.8999999999999997E-2</v>
      </c>
      <c r="O1535" s="5">
        <v>65.403999999999996</v>
      </c>
      <c r="P1535" s="6">
        <v>7.1099999999999997E-2</v>
      </c>
      <c r="Q1535" s="5">
        <v>1659452.91</v>
      </c>
      <c r="R1535" s="1" t="s">
        <v>44</v>
      </c>
      <c r="T1535" s="1" t="s">
        <v>89</v>
      </c>
      <c r="Y1535" s="1" t="s">
        <v>1353</v>
      </c>
      <c r="Z1535" s="1" t="str">
        <f t="shared" si="69"/>
        <v>6639 G1</v>
      </c>
      <c r="AA1535" s="3">
        <f>IF(INDEX('CAMD Facility Data 2023'!$AA$2:$AE$10000,MATCH(Z1535,'CAMD Facility Data 2023'!$AE$2:$AE$10000,0),1)&gt;0,INDEX('CAMD Facility Data 2023'!$AA$2:$AE$10000,MATCH(Z1535,'CAMD Facility Data 2023'!$AE$2:$AE$10000,0),1),"")</f>
        <v>29140</v>
      </c>
      <c r="AB1535" s="5">
        <f>IF(INDEX('CAMD Facility Data 2023'!$AC$2:$AE$10000,MATCH(Z1535,'CAMD Facility Data 2023'!$AE$2:$AE$10000,0),1)&gt;0,INDEX('CAMD Facility Data 2023'!$AC$2:$AE$10000,MATCH(Z1535,'CAMD Facility Data 2023'!$AE$2:$AE$10000,0),1),"")</f>
        <v>3000</v>
      </c>
      <c r="AC1535" s="1" t="str">
        <f>IF(INDEX('CAMD Facility Data 2023'!$AE$2:$AG$10000,MATCH(Z1535,'CAMD Facility Data 2023'!$AE$2:$AE$10000,0),3)&gt;0,INDEX('CAMD Facility Data 2023'!$AE$2:$AG$10000,MATCH(Z1535,'CAMD Facility Data 2023'!$AE$2:$AE$10000,0),3),"")</f>
        <v/>
      </c>
      <c r="AD1535" s="20">
        <f t="shared" si="70"/>
        <v>0.79396068374771445</v>
      </c>
      <c r="AE1535" s="25">
        <f t="shared" si="71"/>
        <v>6.3145087899543373E-2</v>
      </c>
    </row>
    <row r="1536" spans="1:31" x14ac:dyDescent="0.2">
      <c r="A1536" s="1" t="s">
        <v>165</v>
      </c>
      <c r="B1536" s="1" t="s">
        <v>3795</v>
      </c>
      <c r="C1536" s="1">
        <v>6639</v>
      </c>
      <c r="D1536" s="1" t="s">
        <v>3798</v>
      </c>
      <c r="F1536" s="1">
        <v>2023</v>
      </c>
      <c r="G1536" s="5">
        <v>353</v>
      </c>
      <c r="H1536" s="5">
        <v>339.43</v>
      </c>
      <c r="I1536" s="5">
        <v>31656.37</v>
      </c>
      <c r="K1536" s="5">
        <v>9.8000000000000004E-2</v>
      </c>
      <c r="L1536" s="5">
        <v>1E-3</v>
      </c>
      <c r="M1536" s="5">
        <v>19378.254000000001</v>
      </c>
      <c r="N1536" s="6">
        <v>5.7599999999999998E-2</v>
      </c>
      <c r="O1536" s="5">
        <v>14.069000000000001</v>
      </c>
      <c r="P1536" s="6">
        <v>6.8500000000000005E-2</v>
      </c>
      <c r="Q1536" s="5">
        <v>326083.62400000001</v>
      </c>
      <c r="R1536" s="1" t="s">
        <v>44</v>
      </c>
      <c r="T1536" s="1" t="s">
        <v>89</v>
      </c>
      <c r="Y1536" s="1" t="s">
        <v>1353</v>
      </c>
      <c r="Z1536" s="1" t="str">
        <f t="shared" si="69"/>
        <v>6639 G2</v>
      </c>
      <c r="AA1536" s="3">
        <f>IF(INDEX('CAMD Facility Data 2023'!$AA$2:$AE$10000,MATCH(Z1536,'CAMD Facility Data 2023'!$AE$2:$AE$10000,0),1)&gt;0,INDEX('CAMD Facility Data 2023'!$AA$2:$AE$10000,MATCH(Z1536,'CAMD Facility Data 2023'!$AE$2:$AE$10000,0),1),"")</f>
        <v>29526</v>
      </c>
      <c r="AB1536" s="5">
        <f>IF(INDEX('CAMD Facility Data 2023'!$AC$2:$AE$10000,MATCH(Z1536,'CAMD Facility Data 2023'!$AE$2:$AE$10000,0),1)&gt;0,INDEX('CAMD Facility Data 2023'!$AC$2:$AE$10000,MATCH(Z1536,'CAMD Facility Data 2023'!$AE$2:$AE$10000,0),1),"")</f>
        <v>3000</v>
      </c>
      <c r="AC1536" s="1" t="str">
        <f>IF(INDEX('CAMD Facility Data 2023'!$AE$2:$AG$10000,MATCH(Z1536,'CAMD Facility Data 2023'!$AE$2:$AE$10000,0),3)&gt;0,INDEX('CAMD Facility Data 2023'!$AE$2:$AG$10000,MATCH(Z1536,'CAMD Facility Data 2023'!$AE$2:$AE$10000,0),3),"")</f>
        <v/>
      </c>
      <c r="AD1536" s="20">
        <f t="shared" si="70"/>
        <v>0.88885744006656486</v>
      </c>
      <c r="AE1536" s="25">
        <f t="shared" si="71"/>
        <v>1.2408052663622528E-2</v>
      </c>
    </row>
    <row r="1537" spans="1:31" x14ac:dyDescent="0.2">
      <c r="A1537" s="1" t="s">
        <v>348</v>
      </c>
      <c r="B1537" s="1" t="s">
        <v>3800</v>
      </c>
      <c r="C1537" s="1">
        <v>6641</v>
      </c>
      <c r="D1537" s="1">
        <v>1</v>
      </c>
      <c r="F1537" s="1">
        <v>2023</v>
      </c>
      <c r="G1537" s="5">
        <v>6138</v>
      </c>
      <c r="H1537" s="5">
        <v>6132.49</v>
      </c>
      <c r="I1537" s="5">
        <v>2846551.88</v>
      </c>
      <c r="K1537" s="5">
        <v>6945.2650000000003</v>
      </c>
      <c r="L1537" s="5">
        <v>0.43169999999999997</v>
      </c>
      <c r="M1537" s="5">
        <v>3320520.358</v>
      </c>
      <c r="N1537" s="6">
        <v>0.1048</v>
      </c>
      <c r="O1537" s="5">
        <v>2760.8649999999998</v>
      </c>
      <c r="P1537" s="6">
        <v>0.1898</v>
      </c>
      <c r="Q1537" s="5">
        <v>31663945.609999999</v>
      </c>
      <c r="R1537" s="1" t="s">
        <v>55</v>
      </c>
      <c r="S1537" s="1" t="s">
        <v>173</v>
      </c>
      <c r="T1537" s="1" t="s">
        <v>43</v>
      </c>
      <c r="V1537" s="1" t="s">
        <v>242</v>
      </c>
      <c r="W1537" s="1" t="s">
        <v>58</v>
      </c>
      <c r="X1537" s="1" t="s">
        <v>937</v>
      </c>
      <c r="Y1537" s="1" t="s">
        <v>337</v>
      </c>
      <c r="Z1537" s="1" t="str">
        <f t="shared" si="69"/>
        <v>6641 1</v>
      </c>
      <c r="AA1537" s="3">
        <f>IF(INDEX('CAMD Facility Data 2023'!$AA$2:$AE$10000,MATCH(Z1537,'CAMD Facility Data 2023'!$AE$2:$AE$10000,0),1)&gt;0,INDEX('CAMD Facility Data 2023'!$AA$2:$AE$10000,MATCH(Z1537,'CAMD Facility Data 2023'!$AE$2:$AE$10000,0),1),"")</f>
        <v>30334</v>
      </c>
      <c r="AB1537" s="5">
        <f>IF(INDEX('CAMD Facility Data 2023'!$AC$2:$AE$10000,MATCH(Z1537,'CAMD Facility Data 2023'!$AE$2:$AE$10000,0),1)&gt;0,INDEX('CAMD Facility Data 2023'!$AC$2:$AE$10000,MATCH(Z1537,'CAMD Facility Data 2023'!$AE$2:$AE$10000,0),1),"")</f>
        <v>9900</v>
      </c>
      <c r="AC1537" s="1" t="str">
        <f>IF(INDEX('CAMD Facility Data 2023'!$AE$2:$AG$10000,MATCH(Z1537,'CAMD Facility Data 2023'!$AE$2:$AE$10000,0),3)&gt;0,INDEX('CAMD Facility Data 2023'!$AE$2:$AG$10000,MATCH(Z1537,'CAMD Facility Data 2023'!$AE$2:$AE$10000,0),3),"")</f>
        <v/>
      </c>
      <c r="AD1537" s="20">
        <f t="shared" si="70"/>
        <v>1.9397960173485405</v>
      </c>
      <c r="AE1537" s="25">
        <f t="shared" si="71"/>
        <v>0.36511168315575848</v>
      </c>
    </row>
    <row r="1538" spans="1:31" x14ac:dyDescent="0.2">
      <c r="A1538" s="1" t="s">
        <v>348</v>
      </c>
      <c r="B1538" s="1" t="s">
        <v>3800</v>
      </c>
      <c r="C1538" s="1">
        <v>6641</v>
      </c>
      <c r="D1538" s="1">
        <v>2</v>
      </c>
      <c r="F1538" s="1">
        <v>2023</v>
      </c>
      <c r="G1538" s="5">
        <v>4517</v>
      </c>
      <c r="H1538" s="5">
        <v>4507.25</v>
      </c>
      <c r="I1538" s="5">
        <v>2203623.94</v>
      </c>
      <c r="K1538" s="5">
        <v>5902.66</v>
      </c>
      <c r="L1538" s="5">
        <v>0.43180000000000002</v>
      </c>
      <c r="M1538" s="5">
        <v>2766273.9360000002</v>
      </c>
      <c r="N1538" s="6">
        <v>0.1043</v>
      </c>
      <c r="O1538" s="5">
        <v>1991.9549999999999</v>
      </c>
      <c r="P1538" s="6">
        <v>0.157</v>
      </c>
      <c r="Q1538" s="5">
        <v>26387087.162999999</v>
      </c>
      <c r="R1538" s="1" t="s">
        <v>55</v>
      </c>
      <c r="S1538" s="1" t="s">
        <v>173</v>
      </c>
      <c r="T1538" s="1" t="s">
        <v>43</v>
      </c>
      <c r="V1538" s="1" t="s">
        <v>242</v>
      </c>
      <c r="W1538" s="1" t="s">
        <v>58</v>
      </c>
      <c r="X1538" s="1" t="s">
        <v>937</v>
      </c>
      <c r="Y1538" s="1" t="s">
        <v>337</v>
      </c>
      <c r="Z1538" s="1" t="str">
        <f t="shared" si="69"/>
        <v>6641 2</v>
      </c>
      <c r="AA1538" s="3">
        <f>IF(INDEX('CAMD Facility Data 2023'!$AA$2:$AE$10000,MATCH(Z1538,'CAMD Facility Data 2023'!$AE$2:$AE$10000,0),1)&gt;0,INDEX('CAMD Facility Data 2023'!$AA$2:$AE$10000,MATCH(Z1538,'CAMD Facility Data 2023'!$AE$2:$AE$10000,0),1),"")</f>
        <v>31022</v>
      </c>
      <c r="AB1538" s="5">
        <f>IF(INDEX('CAMD Facility Data 2023'!$AC$2:$AE$10000,MATCH(Z1538,'CAMD Facility Data 2023'!$AE$2:$AE$10000,0),1)&gt;0,INDEX('CAMD Facility Data 2023'!$AC$2:$AE$10000,MATCH(Z1538,'CAMD Facility Data 2023'!$AE$2:$AE$10000,0),1),"")</f>
        <v>10480</v>
      </c>
      <c r="AC1538" s="1" t="str">
        <f>IF(INDEX('CAMD Facility Data 2023'!$AE$2:$AG$10000,MATCH(Z1538,'CAMD Facility Data 2023'!$AE$2:$AE$10000,0),3)&gt;0,INDEX('CAMD Facility Data 2023'!$AE$2:$AG$10000,MATCH(Z1538,'CAMD Facility Data 2023'!$AE$2:$AE$10000,0),3),"")</f>
        <v/>
      </c>
      <c r="AD1538" s="20">
        <f t="shared" si="70"/>
        <v>1.8078901429978111</v>
      </c>
      <c r="AE1538" s="25">
        <f t="shared" si="71"/>
        <v>0.28742600782312033</v>
      </c>
    </row>
    <row r="1539" spans="1:31" x14ac:dyDescent="0.2">
      <c r="A1539" s="1" t="s">
        <v>1755</v>
      </c>
      <c r="B1539" s="1" t="s">
        <v>3804</v>
      </c>
      <c r="C1539" s="1">
        <v>6650</v>
      </c>
      <c r="D1539" s="1" t="s">
        <v>993</v>
      </c>
      <c r="F1539" s="1">
        <v>2023</v>
      </c>
      <c r="G1539" s="5">
        <v>3</v>
      </c>
      <c r="H1539" s="5">
        <v>0.88</v>
      </c>
      <c r="I1539" s="5">
        <v>3.55</v>
      </c>
      <c r="K1539" s="5">
        <v>0.19600000000000001</v>
      </c>
      <c r="L1539" s="5">
        <v>0.5</v>
      </c>
      <c r="O1539" s="5">
        <v>0.47</v>
      </c>
      <c r="P1539" s="6">
        <v>1.2</v>
      </c>
      <c r="Q1539" s="5">
        <v>784.1</v>
      </c>
      <c r="R1539" s="1" t="s">
        <v>94</v>
      </c>
      <c r="T1539" s="1" t="s">
        <v>93</v>
      </c>
      <c r="Y1539" s="1" t="s">
        <v>1195</v>
      </c>
      <c r="Z1539" s="1" t="str">
        <f t="shared" ref="Z1539:Z1602" si="72">C1539&amp;" "&amp;D1539</f>
        <v>6650 CT01</v>
      </c>
      <c r="AA1539" s="3">
        <f>IF(INDEX('CAMD Facility Data 2023'!$AA$2:$AE$10000,MATCH(Z1539,'CAMD Facility Data 2023'!$AE$2:$AE$10000,0),1)&gt;0,INDEX('CAMD Facility Data 2023'!$AA$2:$AE$10000,MATCH(Z1539,'CAMD Facility Data 2023'!$AE$2:$AE$10000,0),1),"")</f>
        <v>28368</v>
      </c>
      <c r="AB1539" s="5">
        <f>IF(INDEX('CAMD Facility Data 2023'!$AC$2:$AE$10000,MATCH(Z1539,'CAMD Facility Data 2023'!$AE$2:$AE$10000,0),1)&gt;0,INDEX('CAMD Facility Data 2023'!$AC$2:$AE$10000,MATCH(Z1539,'CAMD Facility Data 2023'!$AE$2:$AE$10000,0),1),"")</f>
        <v>891</v>
      </c>
      <c r="AC1539" s="1" t="str">
        <f>IF(INDEX('CAMD Facility Data 2023'!$AE$2:$AG$10000,MATCH(Z1539,'CAMD Facility Data 2023'!$AE$2:$AE$10000,0),3)&gt;0,INDEX('CAMD Facility Data 2023'!$AE$2:$AG$10000,MATCH(Z1539,'CAMD Facility Data 2023'!$AE$2:$AE$10000,0),3),"")</f>
        <v/>
      </c>
      <c r="AD1539" s="20">
        <f t="shared" ref="AD1539:AD1602" si="73">IF(ISNUMBER(O1539*2000/I1539),O1539*2000/I1539,"")</f>
        <v>264.78873239436621</v>
      </c>
      <c r="AE1539" s="25">
        <f t="shared" ref="AE1539:AE1602" si="74">Q1539/(AB1539*8760)</f>
        <v>1.0045918341199925E-4</v>
      </c>
    </row>
    <row r="1540" spans="1:31" x14ac:dyDescent="0.2">
      <c r="A1540" s="1" t="s">
        <v>1755</v>
      </c>
      <c r="B1540" s="1" t="s">
        <v>3807</v>
      </c>
      <c r="C1540" s="1">
        <v>6651</v>
      </c>
      <c r="D1540" s="1" t="s">
        <v>993</v>
      </c>
      <c r="F1540" s="1">
        <v>2023</v>
      </c>
      <c r="G1540" s="5">
        <v>25</v>
      </c>
      <c r="H1540" s="5">
        <v>6.96</v>
      </c>
      <c r="I1540" s="5">
        <v>207.48</v>
      </c>
      <c r="K1540" s="5">
        <v>1.55</v>
      </c>
      <c r="L1540" s="5">
        <v>0.50029999999999997</v>
      </c>
      <c r="O1540" s="5">
        <v>3.7210000000000001</v>
      </c>
      <c r="P1540" s="6">
        <v>1.2004999999999999</v>
      </c>
      <c r="Q1540" s="5">
        <v>6201.1</v>
      </c>
      <c r="R1540" s="1" t="s">
        <v>94</v>
      </c>
      <c r="T1540" s="1" t="s">
        <v>93</v>
      </c>
      <c r="Y1540" s="1" t="s">
        <v>1195</v>
      </c>
      <c r="Z1540" s="1" t="str">
        <f t="shared" si="72"/>
        <v>6651 CT01</v>
      </c>
      <c r="AA1540" s="3">
        <f>IF(INDEX('CAMD Facility Data 2023'!$AA$2:$AE$10000,MATCH(Z1540,'CAMD Facility Data 2023'!$AE$2:$AE$10000,0),1)&gt;0,INDEX('CAMD Facility Data 2023'!$AA$2:$AE$10000,MATCH(Z1540,'CAMD Facility Data 2023'!$AE$2:$AE$10000,0),1),"")</f>
        <v>28379</v>
      </c>
      <c r="AB1540" s="5">
        <f>IF(INDEX('CAMD Facility Data 2023'!$AC$2:$AE$10000,MATCH(Z1540,'CAMD Facility Data 2023'!$AE$2:$AE$10000,0),1)&gt;0,INDEX('CAMD Facility Data 2023'!$AC$2:$AE$10000,MATCH(Z1540,'CAMD Facility Data 2023'!$AE$2:$AE$10000,0),1),"")</f>
        <v>891</v>
      </c>
      <c r="AC1540" s="1" t="str">
        <f>IF(INDEX('CAMD Facility Data 2023'!$AE$2:$AG$10000,MATCH(Z1540,'CAMD Facility Data 2023'!$AE$2:$AE$10000,0),3)&gt;0,INDEX('CAMD Facility Data 2023'!$AE$2:$AG$10000,MATCH(Z1540,'CAMD Facility Data 2023'!$AE$2:$AE$10000,0),3),"")</f>
        <v/>
      </c>
      <c r="AD1540" s="20">
        <f t="shared" si="73"/>
        <v>35.868517447464818</v>
      </c>
      <c r="AE1540" s="25">
        <f t="shared" si="74"/>
        <v>7.9448723664857614E-4</v>
      </c>
    </row>
    <row r="1541" spans="1:31" x14ac:dyDescent="0.2">
      <c r="A1541" s="1" t="s">
        <v>1755</v>
      </c>
      <c r="B1541" s="1" t="s">
        <v>3808</v>
      </c>
      <c r="C1541" s="1">
        <v>6652</v>
      </c>
      <c r="D1541" s="1" t="s">
        <v>993</v>
      </c>
      <c r="F1541" s="1">
        <v>2023</v>
      </c>
      <c r="G1541" s="5">
        <v>6</v>
      </c>
      <c r="H1541" s="5">
        <v>4.66</v>
      </c>
      <c r="I1541" s="5">
        <v>176.91</v>
      </c>
      <c r="K1541" s="5">
        <v>1.038</v>
      </c>
      <c r="L1541" s="5">
        <v>0.5</v>
      </c>
      <c r="O1541" s="5">
        <v>2.4910000000000001</v>
      </c>
      <c r="P1541" s="6">
        <v>1.2</v>
      </c>
      <c r="Q1541" s="5">
        <v>4152.2</v>
      </c>
      <c r="R1541" s="1" t="s">
        <v>94</v>
      </c>
      <c r="T1541" s="1" t="s">
        <v>93</v>
      </c>
      <c r="Y1541" s="1" t="s">
        <v>1195</v>
      </c>
      <c r="Z1541" s="1" t="str">
        <f t="shared" si="72"/>
        <v>6652 CT01</v>
      </c>
      <c r="AA1541" s="3">
        <f>IF(INDEX('CAMD Facility Data 2023'!$AA$2:$AE$10000,MATCH(Z1541,'CAMD Facility Data 2023'!$AE$2:$AE$10000,0),1)&gt;0,INDEX('CAMD Facility Data 2023'!$AA$2:$AE$10000,MATCH(Z1541,'CAMD Facility Data 2023'!$AE$2:$AE$10000,0),1),"")</f>
        <v>28400</v>
      </c>
      <c r="AB1541" s="5">
        <f>IF(INDEX('CAMD Facility Data 2023'!$AC$2:$AE$10000,MATCH(Z1541,'CAMD Facility Data 2023'!$AE$2:$AE$10000,0),1)&gt;0,INDEX('CAMD Facility Data 2023'!$AC$2:$AE$10000,MATCH(Z1541,'CAMD Facility Data 2023'!$AE$2:$AE$10000,0),1),"")</f>
        <v>891</v>
      </c>
      <c r="AC1541" s="1" t="str">
        <f>IF(INDEX('CAMD Facility Data 2023'!$AE$2:$AG$10000,MATCH(Z1541,'CAMD Facility Data 2023'!$AE$2:$AE$10000,0),3)&gt;0,INDEX('CAMD Facility Data 2023'!$AE$2:$AG$10000,MATCH(Z1541,'CAMD Facility Data 2023'!$AE$2:$AE$10000,0),3),"")</f>
        <v/>
      </c>
      <c r="AD1541" s="20">
        <f t="shared" si="73"/>
        <v>28.161211915663333</v>
      </c>
      <c r="AE1541" s="25">
        <f t="shared" si="74"/>
        <v>5.3198140717166591E-4</v>
      </c>
    </row>
    <row r="1542" spans="1:31" x14ac:dyDescent="0.2">
      <c r="A1542" s="1" t="s">
        <v>1186</v>
      </c>
      <c r="B1542" s="1" t="s">
        <v>3809</v>
      </c>
      <c r="C1542" s="1">
        <v>6664</v>
      </c>
      <c r="D1542" s="1">
        <v>101</v>
      </c>
      <c r="F1542" s="1">
        <v>2023</v>
      </c>
      <c r="G1542" s="5">
        <v>6785</v>
      </c>
      <c r="H1542" s="5">
        <v>6753.59</v>
      </c>
      <c r="I1542" s="5">
        <v>3904539.56</v>
      </c>
      <c r="K1542" s="5">
        <v>6002.2809999999999</v>
      </c>
      <c r="L1542" s="5">
        <v>0.32919999999999999</v>
      </c>
      <c r="M1542" s="5">
        <v>4029216.466</v>
      </c>
      <c r="N1542" s="6">
        <v>0.1048</v>
      </c>
      <c r="O1542" s="5">
        <v>3399.991</v>
      </c>
      <c r="P1542" s="6">
        <v>0.17730000000000001</v>
      </c>
      <c r="Q1542" s="5">
        <v>38417375.655000001</v>
      </c>
      <c r="R1542" s="1" t="s">
        <v>55</v>
      </c>
      <c r="T1542" s="1" t="s">
        <v>89</v>
      </c>
      <c r="U1542" s="1" t="s">
        <v>212</v>
      </c>
      <c r="V1542" s="1" t="s">
        <v>289</v>
      </c>
      <c r="W1542" s="1" t="s">
        <v>232</v>
      </c>
      <c r="X1542" s="1" t="s">
        <v>214</v>
      </c>
      <c r="Y1542" s="1" t="s">
        <v>1188</v>
      </c>
      <c r="Z1542" s="1" t="str">
        <f t="shared" si="72"/>
        <v>6664 101</v>
      </c>
      <c r="AA1542" s="3">
        <f>IF(INDEX('CAMD Facility Data 2023'!$AA$2:$AE$10000,MATCH(Z1542,'CAMD Facility Data 2023'!$AE$2:$AE$10000,0),1)&gt;0,INDEX('CAMD Facility Data 2023'!$AA$2:$AE$10000,MATCH(Z1542,'CAMD Facility Data 2023'!$AE$2:$AE$10000,0),1),"")</f>
        <v>30602</v>
      </c>
      <c r="AB1542" s="5">
        <f>IF(INDEX('CAMD Facility Data 2023'!$AC$2:$AE$10000,MATCH(Z1542,'CAMD Facility Data 2023'!$AE$2:$AE$10000,0),1)&gt;0,INDEX('CAMD Facility Data 2023'!$AC$2:$AE$10000,MATCH(Z1542,'CAMD Facility Data 2023'!$AE$2:$AE$10000,0),1),"")</f>
        <v>8000</v>
      </c>
      <c r="AC1542" s="1" t="str">
        <f>IF(INDEX('CAMD Facility Data 2023'!$AE$2:$AG$10000,MATCH(Z1542,'CAMD Facility Data 2023'!$AE$2:$AE$10000,0),3)&gt;0,INDEX('CAMD Facility Data 2023'!$AE$2:$AG$10000,MATCH(Z1542,'CAMD Facility Data 2023'!$AE$2:$AE$10000,0),3),"")</f>
        <v/>
      </c>
      <c r="AD1542" s="20">
        <f t="shared" si="73"/>
        <v>1.7415579725871697</v>
      </c>
      <c r="AE1542" s="25">
        <f t="shared" si="74"/>
        <v>0.5481931457619863</v>
      </c>
    </row>
    <row r="1543" spans="1:31" x14ac:dyDescent="0.2">
      <c r="A1543" s="1" t="s">
        <v>1071</v>
      </c>
      <c r="B1543" s="1" t="s">
        <v>3814</v>
      </c>
      <c r="C1543" s="1">
        <v>6705</v>
      </c>
      <c r="D1543" s="1">
        <v>4</v>
      </c>
      <c r="F1543" s="1">
        <v>2023</v>
      </c>
      <c r="G1543" s="5">
        <v>7955</v>
      </c>
      <c r="H1543" s="5">
        <v>7927.73</v>
      </c>
      <c r="I1543" s="5">
        <v>1993625.45</v>
      </c>
      <c r="K1543" s="5">
        <v>660.22900000000004</v>
      </c>
      <c r="L1543" s="5">
        <v>6.2E-2</v>
      </c>
      <c r="M1543" s="5">
        <v>2082317.8389999999</v>
      </c>
      <c r="N1543" s="6">
        <v>0.10299999999999999</v>
      </c>
      <c r="O1543" s="5">
        <v>2241.634</v>
      </c>
      <c r="P1543" s="6">
        <v>0.2208</v>
      </c>
      <c r="Q1543" s="5">
        <v>20295480.482000001</v>
      </c>
      <c r="R1543" s="1" t="s">
        <v>55</v>
      </c>
      <c r="T1543" s="1" t="s">
        <v>86</v>
      </c>
      <c r="U1543" s="1" t="s">
        <v>241</v>
      </c>
      <c r="V1543" s="1" t="s">
        <v>1633</v>
      </c>
      <c r="W1543" s="1" t="s">
        <v>58</v>
      </c>
      <c r="X1543" s="1" t="s">
        <v>937</v>
      </c>
      <c r="Y1543" s="1" t="s">
        <v>1005</v>
      </c>
      <c r="Z1543" s="1" t="str">
        <f t="shared" si="72"/>
        <v>6705 4</v>
      </c>
      <c r="AA1543" s="3">
        <f>IF(INDEX('CAMD Facility Data 2023'!$AA$2:$AE$10000,MATCH(Z1543,'CAMD Facility Data 2023'!$AE$2:$AE$10000,0),1)&gt;0,INDEX('CAMD Facility Data 2023'!$AA$2:$AE$10000,MATCH(Z1543,'CAMD Facility Data 2023'!$AE$2:$AE$10000,0),1),"")</f>
        <v>25842</v>
      </c>
      <c r="AB1543" s="5">
        <f>IF(INDEX('CAMD Facility Data 2023'!$AC$2:$AE$10000,MATCH(Z1543,'CAMD Facility Data 2023'!$AE$2:$AE$10000,0),1)&gt;0,INDEX('CAMD Facility Data 2023'!$AC$2:$AE$10000,MATCH(Z1543,'CAMD Facility Data 2023'!$AE$2:$AE$10000,0),1),"")</f>
        <v>4455.2</v>
      </c>
      <c r="AC1543" s="1" t="str">
        <f>IF(INDEX('CAMD Facility Data 2023'!$AE$2:$AG$10000,MATCH(Z1543,'CAMD Facility Data 2023'!$AE$2:$AE$10000,0),3)&gt;0,INDEX('CAMD Facility Data 2023'!$AE$2:$AG$10000,MATCH(Z1543,'CAMD Facility Data 2023'!$AE$2:$AE$10000,0),3),"")</f>
        <v>Y</v>
      </c>
      <c r="AD1543" s="20">
        <f t="shared" si="73"/>
        <v>2.2488015489569517</v>
      </c>
      <c r="AE1543" s="25">
        <f t="shared" si="74"/>
        <v>0.52002955455673983</v>
      </c>
    </row>
    <row r="1544" spans="1:31" x14ac:dyDescent="0.2">
      <c r="A1544" s="1" t="s">
        <v>1663</v>
      </c>
      <c r="B1544" s="1" t="s">
        <v>3818</v>
      </c>
      <c r="C1544" s="1">
        <v>6741</v>
      </c>
      <c r="D1544" s="1">
        <v>1</v>
      </c>
      <c r="F1544" s="1">
        <v>2023</v>
      </c>
      <c r="G1544" s="5">
        <v>28</v>
      </c>
      <c r="H1544" s="5">
        <v>18.64</v>
      </c>
      <c r="I1544" s="5">
        <v>224.48</v>
      </c>
      <c r="K1544" s="5">
        <v>3.0000000000000001E-3</v>
      </c>
      <c r="L1544" s="5">
        <v>1E-3</v>
      </c>
      <c r="O1544" s="5">
        <v>2.2269999999999999</v>
      </c>
      <c r="P1544" s="6">
        <v>1.1996</v>
      </c>
      <c r="Q1544" s="5">
        <v>3712.1</v>
      </c>
      <c r="R1544" s="1" t="s">
        <v>94</v>
      </c>
      <c r="T1544" s="1" t="s">
        <v>93</v>
      </c>
      <c r="Y1544" s="1" t="s">
        <v>1696</v>
      </c>
      <c r="Z1544" s="1" t="str">
        <f t="shared" si="72"/>
        <v>6741 1</v>
      </c>
      <c r="AA1544" s="3">
        <f>IF(INDEX('CAMD Facility Data 2023'!$AA$2:$AE$10000,MATCH(Z1544,'CAMD Facility Data 2023'!$AE$2:$AE$10000,0),1)&gt;0,INDEX('CAMD Facility Data 2023'!$AA$2:$AE$10000,MATCH(Z1544,'CAMD Facility Data 2023'!$AE$2:$AE$10000,0),1),"")</f>
        <v>28588</v>
      </c>
      <c r="AB1544" s="5">
        <f>IF(INDEX('CAMD Facility Data 2023'!$AC$2:$AE$10000,MATCH(Z1544,'CAMD Facility Data 2023'!$AE$2:$AE$10000,0),1)&gt;0,INDEX('CAMD Facility Data 2023'!$AC$2:$AE$10000,MATCH(Z1544,'CAMD Facility Data 2023'!$AE$2:$AE$10000,0),1),"")</f>
        <v>363.3</v>
      </c>
      <c r="AC1544" s="1" t="str">
        <f>IF(INDEX('CAMD Facility Data 2023'!$AE$2:$AG$10000,MATCH(Z1544,'CAMD Facility Data 2023'!$AE$2:$AE$10000,0),3)&gt;0,INDEX('CAMD Facility Data 2023'!$AE$2:$AG$10000,MATCH(Z1544,'CAMD Facility Data 2023'!$AE$2:$AE$10000,0),3),"")</f>
        <v/>
      </c>
      <c r="AD1544" s="20">
        <f t="shared" si="73"/>
        <v>19.841411261582323</v>
      </c>
      <c r="AE1544" s="25">
        <f t="shared" si="74"/>
        <v>1.1664071229357475E-3</v>
      </c>
    </row>
    <row r="1545" spans="1:31" x14ac:dyDescent="0.2">
      <c r="A1545" s="1" t="s">
        <v>516</v>
      </c>
      <c r="B1545" s="1" t="s">
        <v>3822</v>
      </c>
      <c r="C1545" s="1">
        <v>6761</v>
      </c>
      <c r="D1545" s="1">
        <v>101</v>
      </c>
      <c r="F1545" s="1">
        <v>2023</v>
      </c>
      <c r="G1545" s="5">
        <v>8327</v>
      </c>
      <c r="H1545" s="5">
        <v>8309.2800000000007</v>
      </c>
      <c r="I1545" s="5">
        <v>1439931.14</v>
      </c>
      <c r="K1545" s="5">
        <v>500.80399999999997</v>
      </c>
      <c r="L1545" s="5">
        <v>7.1499999999999994E-2</v>
      </c>
      <c r="M1545" s="5">
        <v>1447919.9620000001</v>
      </c>
      <c r="N1545" s="6">
        <v>0.105</v>
      </c>
      <c r="O1545" s="5">
        <v>786.34</v>
      </c>
      <c r="P1545" s="6">
        <v>0.1116</v>
      </c>
      <c r="Q1545" s="5">
        <v>13805484.773</v>
      </c>
      <c r="R1545" s="1" t="s">
        <v>55</v>
      </c>
      <c r="T1545" s="1" t="s">
        <v>43</v>
      </c>
      <c r="U1545" s="1" t="s">
        <v>212</v>
      </c>
      <c r="V1545" s="1" t="s">
        <v>213</v>
      </c>
      <c r="W1545" s="1" t="s">
        <v>232</v>
      </c>
      <c r="X1545" s="1" t="s">
        <v>214</v>
      </c>
      <c r="Y1545" s="1" t="s">
        <v>236</v>
      </c>
      <c r="Z1545" s="1" t="str">
        <f t="shared" si="72"/>
        <v>6761 101</v>
      </c>
      <c r="AA1545" s="3">
        <f>IF(INDEX('CAMD Facility Data 2023'!$AA$2:$AE$10000,MATCH(Z1545,'CAMD Facility Data 2023'!$AE$2:$AE$10000,0),1)&gt;0,INDEX('CAMD Facility Data 2023'!$AA$2:$AE$10000,MATCH(Z1545,'CAMD Facility Data 2023'!$AE$2:$AE$10000,0),1),"")</f>
        <v>30773</v>
      </c>
      <c r="AB1545" s="5">
        <f>IF(INDEX('CAMD Facility Data 2023'!$AC$2:$AE$10000,MATCH(Z1545,'CAMD Facility Data 2023'!$AE$2:$AE$10000,0),1)&gt;0,INDEX('CAMD Facility Data 2023'!$AC$2:$AE$10000,MATCH(Z1545,'CAMD Facility Data 2023'!$AE$2:$AE$10000,0),1),"")</f>
        <v>3500</v>
      </c>
      <c r="AC1545" s="1" t="str">
        <f>IF(INDEX('CAMD Facility Data 2023'!$AE$2:$AG$10000,MATCH(Z1545,'CAMD Facility Data 2023'!$AE$2:$AE$10000,0),3)&gt;0,INDEX('CAMD Facility Data 2023'!$AE$2:$AG$10000,MATCH(Z1545,'CAMD Facility Data 2023'!$AE$2:$AE$10000,0),3),"")</f>
        <v/>
      </c>
      <c r="AD1545" s="20">
        <f t="shared" si="73"/>
        <v>1.0921911168613245</v>
      </c>
      <c r="AE1545" s="25">
        <f t="shared" si="74"/>
        <v>0.45027673754076974</v>
      </c>
    </row>
    <row r="1546" spans="1:31" x14ac:dyDescent="0.2">
      <c r="A1546" s="1" t="s">
        <v>516</v>
      </c>
      <c r="B1546" s="1" t="s">
        <v>3822</v>
      </c>
      <c r="C1546" s="1">
        <v>6761</v>
      </c>
      <c r="D1546" s="1" t="s">
        <v>3087</v>
      </c>
      <c r="F1546" s="1">
        <v>2023</v>
      </c>
      <c r="G1546" s="5">
        <v>594</v>
      </c>
      <c r="H1546" s="5">
        <v>537.42999999999995</v>
      </c>
      <c r="I1546" s="5">
        <v>25896.080000000002</v>
      </c>
      <c r="K1546" s="5">
        <v>9.7000000000000003E-2</v>
      </c>
      <c r="L1546" s="5">
        <v>1E-3</v>
      </c>
      <c r="M1546" s="5">
        <v>19249.044000000002</v>
      </c>
      <c r="N1546" s="6">
        <v>5.91E-2</v>
      </c>
      <c r="O1546" s="5">
        <v>4.7279999999999998</v>
      </c>
      <c r="P1546" s="6">
        <v>3.5799999999999998E-2</v>
      </c>
      <c r="Q1546" s="5">
        <v>323907.59999999998</v>
      </c>
      <c r="R1546" s="1" t="s">
        <v>44</v>
      </c>
      <c r="T1546" s="1" t="s">
        <v>93</v>
      </c>
      <c r="V1546" s="1" t="s">
        <v>140</v>
      </c>
      <c r="Y1546" s="1" t="s">
        <v>247</v>
      </c>
      <c r="Z1546" s="1" t="str">
        <f t="shared" si="72"/>
        <v>6761 A</v>
      </c>
      <c r="AA1546" s="3">
        <f>IF(INDEX('CAMD Facility Data 2023'!$AA$2:$AE$10000,MATCH(Z1546,'CAMD Facility Data 2023'!$AE$2:$AE$10000,0),1)&gt;0,INDEX('CAMD Facility Data 2023'!$AA$2:$AE$10000,MATCH(Z1546,'CAMD Facility Data 2023'!$AE$2:$AE$10000,0),1),"")</f>
        <v>37414</v>
      </c>
      <c r="AB1546" s="5">
        <f>IF(INDEX('CAMD Facility Data 2023'!$AC$2:$AE$10000,MATCH(Z1546,'CAMD Facility Data 2023'!$AE$2:$AE$10000,0),1)&gt;0,INDEX('CAMD Facility Data 2023'!$AC$2:$AE$10000,MATCH(Z1546,'CAMD Facility Data 2023'!$AE$2:$AE$10000,0),1),"")</f>
        <v>950</v>
      </c>
      <c r="AC1546" s="1" t="str">
        <f>IF(INDEX('CAMD Facility Data 2023'!$AE$2:$AG$10000,MATCH(Z1546,'CAMD Facility Data 2023'!$AE$2:$AE$10000,0),3)&gt;0,INDEX('CAMD Facility Data 2023'!$AE$2:$AG$10000,MATCH(Z1546,'CAMD Facility Data 2023'!$AE$2:$AE$10000,0),3),"")</f>
        <v/>
      </c>
      <c r="AD1546" s="20">
        <f t="shared" si="73"/>
        <v>0.36515179131358877</v>
      </c>
      <c r="AE1546" s="25">
        <f t="shared" si="74"/>
        <v>3.8921845710165826E-2</v>
      </c>
    </row>
    <row r="1547" spans="1:31" x14ac:dyDescent="0.2">
      <c r="A1547" s="1" t="s">
        <v>516</v>
      </c>
      <c r="B1547" s="1" t="s">
        <v>3822</v>
      </c>
      <c r="C1547" s="1">
        <v>6761</v>
      </c>
      <c r="D1547" s="1" t="s">
        <v>3091</v>
      </c>
      <c r="F1547" s="1">
        <v>2023</v>
      </c>
      <c r="G1547" s="5">
        <v>494</v>
      </c>
      <c r="H1547" s="5">
        <v>437.72</v>
      </c>
      <c r="I1547" s="5">
        <v>19665.46</v>
      </c>
      <c r="K1547" s="5">
        <v>7.6999999999999999E-2</v>
      </c>
      <c r="L1547" s="5">
        <v>1E-3</v>
      </c>
      <c r="M1547" s="5">
        <v>15226.319</v>
      </c>
      <c r="N1547" s="6">
        <v>5.91E-2</v>
      </c>
      <c r="O1547" s="5">
        <v>4.0540000000000003</v>
      </c>
      <c r="P1547" s="6">
        <v>3.8800000000000001E-2</v>
      </c>
      <c r="Q1547" s="5">
        <v>256214.18799999999</v>
      </c>
      <c r="R1547" s="1" t="s">
        <v>44</v>
      </c>
      <c r="T1547" s="1" t="s">
        <v>93</v>
      </c>
      <c r="V1547" s="1" t="s">
        <v>140</v>
      </c>
      <c r="Y1547" s="1" t="s">
        <v>247</v>
      </c>
      <c r="Z1547" s="1" t="str">
        <f t="shared" si="72"/>
        <v>6761 B</v>
      </c>
      <c r="AA1547" s="3">
        <f>IF(INDEX('CAMD Facility Data 2023'!$AA$2:$AE$10000,MATCH(Z1547,'CAMD Facility Data 2023'!$AE$2:$AE$10000,0),1)&gt;0,INDEX('CAMD Facility Data 2023'!$AA$2:$AE$10000,MATCH(Z1547,'CAMD Facility Data 2023'!$AE$2:$AE$10000,0),1),"")</f>
        <v>37492</v>
      </c>
      <c r="AB1547" s="5">
        <f>IF(INDEX('CAMD Facility Data 2023'!$AC$2:$AE$10000,MATCH(Z1547,'CAMD Facility Data 2023'!$AE$2:$AE$10000,0),1)&gt;0,INDEX('CAMD Facility Data 2023'!$AC$2:$AE$10000,MATCH(Z1547,'CAMD Facility Data 2023'!$AE$2:$AE$10000,0),1),"")</f>
        <v>950</v>
      </c>
      <c r="AC1547" s="1" t="str">
        <f>IF(INDEX('CAMD Facility Data 2023'!$AE$2:$AG$10000,MATCH(Z1547,'CAMD Facility Data 2023'!$AE$2:$AE$10000,0),3)&gt;0,INDEX('CAMD Facility Data 2023'!$AE$2:$AG$10000,MATCH(Z1547,'CAMD Facility Data 2023'!$AE$2:$AE$10000,0),3),"")</f>
        <v/>
      </c>
      <c r="AD1547" s="20">
        <f t="shared" si="73"/>
        <v>0.41229648327575358</v>
      </c>
      <c r="AE1547" s="25">
        <f t="shared" si="74"/>
        <v>3.0787573660177842E-2</v>
      </c>
    </row>
    <row r="1548" spans="1:31" x14ac:dyDescent="0.2">
      <c r="A1548" s="1" t="s">
        <v>516</v>
      </c>
      <c r="B1548" s="1" t="s">
        <v>3822</v>
      </c>
      <c r="C1548" s="1">
        <v>6761</v>
      </c>
      <c r="D1548" s="1" t="s">
        <v>3829</v>
      </c>
      <c r="F1548" s="1">
        <v>2023</v>
      </c>
      <c r="G1548" s="5">
        <v>375</v>
      </c>
      <c r="H1548" s="5">
        <v>333.25</v>
      </c>
      <c r="I1548" s="5">
        <v>15996.58</v>
      </c>
      <c r="K1548" s="5">
        <v>6.6000000000000003E-2</v>
      </c>
      <c r="L1548" s="5">
        <v>1E-3</v>
      </c>
      <c r="M1548" s="5">
        <v>12987.597</v>
      </c>
      <c r="N1548" s="6">
        <v>5.91E-2</v>
      </c>
      <c r="O1548" s="5">
        <v>3.516</v>
      </c>
      <c r="P1548" s="6">
        <v>3.9199999999999999E-2</v>
      </c>
      <c r="Q1548" s="5">
        <v>218540.709</v>
      </c>
      <c r="R1548" s="1" t="s">
        <v>44</v>
      </c>
      <c r="T1548" s="1" t="s">
        <v>93</v>
      </c>
      <c r="V1548" s="1" t="s">
        <v>140</v>
      </c>
      <c r="Y1548" s="1" t="s">
        <v>247</v>
      </c>
      <c r="Z1548" s="1" t="str">
        <f t="shared" si="72"/>
        <v>6761 C</v>
      </c>
      <c r="AA1548" s="3">
        <f>IF(INDEX('CAMD Facility Data 2023'!$AA$2:$AE$10000,MATCH(Z1548,'CAMD Facility Data 2023'!$AE$2:$AE$10000,0),1)&gt;0,INDEX('CAMD Facility Data 2023'!$AA$2:$AE$10000,MATCH(Z1548,'CAMD Facility Data 2023'!$AE$2:$AE$10000,0),1),"")</f>
        <v>37530</v>
      </c>
      <c r="AB1548" s="5">
        <f>IF(INDEX('CAMD Facility Data 2023'!$AC$2:$AE$10000,MATCH(Z1548,'CAMD Facility Data 2023'!$AE$2:$AE$10000,0),1)&gt;0,INDEX('CAMD Facility Data 2023'!$AC$2:$AE$10000,MATCH(Z1548,'CAMD Facility Data 2023'!$AE$2:$AE$10000,0),1),"")</f>
        <v>950</v>
      </c>
      <c r="AC1548" s="1" t="str">
        <f>IF(INDEX('CAMD Facility Data 2023'!$AE$2:$AG$10000,MATCH(Z1548,'CAMD Facility Data 2023'!$AE$2:$AE$10000,0),3)&gt;0,INDEX('CAMD Facility Data 2023'!$AE$2:$AG$10000,MATCH(Z1548,'CAMD Facility Data 2023'!$AE$2:$AE$10000,0),3),"")</f>
        <v/>
      </c>
      <c r="AD1548" s="20">
        <f t="shared" si="73"/>
        <v>0.43959396320963606</v>
      </c>
      <c r="AE1548" s="25">
        <f t="shared" si="74"/>
        <v>2.6260599495313626E-2</v>
      </c>
    </row>
    <row r="1549" spans="1:31" x14ac:dyDescent="0.2">
      <c r="A1549" s="1" t="s">
        <v>516</v>
      </c>
      <c r="B1549" s="1" t="s">
        <v>3822</v>
      </c>
      <c r="C1549" s="1">
        <v>6761</v>
      </c>
      <c r="D1549" s="1" t="s">
        <v>3831</v>
      </c>
      <c r="F1549" s="1">
        <v>2023</v>
      </c>
      <c r="G1549" s="5">
        <v>775</v>
      </c>
      <c r="H1549" s="5">
        <v>685.15</v>
      </c>
      <c r="I1549" s="5">
        <v>32263.96</v>
      </c>
      <c r="K1549" s="5">
        <v>0.122</v>
      </c>
      <c r="L1549" s="5">
        <v>1E-3</v>
      </c>
      <c r="M1549" s="5">
        <v>24146.192999999999</v>
      </c>
      <c r="N1549" s="6">
        <v>5.91E-2</v>
      </c>
      <c r="O1549" s="5">
        <v>5.8040000000000003</v>
      </c>
      <c r="P1549" s="6">
        <v>3.5799999999999998E-2</v>
      </c>
      <c r="Q1549" s="5">
        <v>406323.67200000002</v>
      </c>
      <c r="R1549" s="1" t="s">
        <v>44</v>
      </c>
      <c r="T1549" s="1" t="s">
        <v>93</v>
      </c>
      <c r="V1549" s="1" t="s">
        <v>140</v>
      </c>
      <c r="Y1549" s="1" t="s">
        <v>247</v>
      </c>
      <c r="Z1549" s="1" t="str">
        <f t="shared" si="72"/>
        <v>6761 D</v>
      </c>
      <c r="AA1549" s="3">
        <f>IF(INDEX('CAMD Facility Data 2023'!$AA$2:$AE$10000,MATCH(Z1549,'CAMD Facility Data 2023'!$AE$2:$AE$10000,0),1)&gt;0,INDEX('CAMD Facility Data 2023'!$AA$2:$AE$10000,MATCH(Z1549,'CAMD Facility Data 2023'!$AE$2:$AE$10000,0),1),"")</f>
        <v>38141</v>
      </c>
      <c r="AB1549" s="5">
        <f>IF(INDEX('CAMD Facility Data 2023'!$AC$2:$AE$10000,MATCH(Z1549,'CAMD Facility Data 2023'!$AE$2:$AE$10000,0),1)&gt;0,INDEX('CAMD Facility Data 2023'!$AC$2:$AE$10000,MATCH(Z1549,'CAMD Facility Data 2023'!$AE$2:$AE$10000,0),1),"")</f>
        <v>950</v>
      </c>
      <c r="AC1549" s="1" t="str">
        <f>IF(INDEX('CAMD Facility Data 2023'!$AE$2:$AG$10000,MATCH(Z1549,'CAMD Facility Data 2023'!$AE$2:$AE$10000,0),3)&gt;0,INDEX('CAMD Facility Data 2023'!$AE$2:$AG$10000,MATCH(Z1549,'CAMD Facility Data 2023'!$AE$2:$AE$10000,0),3),"")</f>
        <v/>
      </c>
      <c r="AD1549" s="20">
        <f t="shared" si="73"/>
        <v>0.35978224619668508</v>
      </c>
      <c r="AE1549" s="25">
        <f t="shared" si="74"/>
        <v>4.8825242970439803E-2</v>
      </c>
    </row>
    <row r="1550" spans="1:31" x14ac:dyDescent="0.2">
      <c r="A1550" s="1" t="s">
        <v>516</v>
      </c>
      <c r="B1550" s="1" t="s">
        <v>3822</v>
      </c>
      <c r="C1550" s="1">
        <v>6761</v>
      </c>
      <c r="D1550" s="1" t="s">
        <v>3833</v>
      </c>
      <c r="F1550" s="1">
        <v>2023</v>
      </c>
      <c r="G1550" s="5">
        <v>1235</v>
      </c>
      <c r="H1550" s="5">
        <v>1135.8900000000001</v>
      </c>
      <c r="I1550" s="5">
        <v>95748.17</v>
      </c>
      <c r="K1550" s="5">
        <v>0.34399999999999997</v>
      </c>
      <c r="L1550" s="5">
        <v>1E-3</v>
      </c>
      <c r="M1550" s="5">
        <v>68046.903999999995</v>
      </c>
      <c r="N1550" s="6">
        <v>5.8999999999999997E-2</v>
      </c>
      <c r="O1550" s="5">
        <v>19.574000000000002</v>
      </c>
      <c r="P1550" s="6">
        <v>4.2500000000000003E-2</v>
      </c>
      <c r="Q1550" s="5">
        <v>1145020.2479999999</v>
      </c>
      <c r="R1550" s="1" t="s">
        <v>44</v>
      </c>
      <c r="T1550" s="1" t="s">
        <v>93</v>
      </c>
      <c r="V1550" s="1" t="s">
        <v>140</v>
      </c>
      <c r="Y1550" s="1" t="s">
        <v>247</v>
      </c>
      <c r="Z1550" s="1" t="str">
        <f t="shared" si="72"/>
        <v>6761 F</v>
      </c>
      <c r="AA1550" s="3">
        <f>IF(INDEX('CAMD Facility Data 2023'!$AA$2:$AE$10000,MATCH(Z1550,'CAMD Facility Data 2023'!$AE$2:$AE$10000,0),1)&gt;0,INDEX('CAMD Facility Data 2023'!$AA$2:$AE$10000,MATCH(Z1550,'CAMD Facility Data 2023'!$AE$2:$AE$10000,0),1),"")</f>
        <v>39607</v>
      </c>
      <c r="AB1550" s="5">
        <f>IF(INDEX('CAMD Facility Data 2023'!$AC$2:$AE$10000,MATCH(Z1550,'CAMD Facility Data 2023'!$AE$2:$AE$10000,0),1)&gt;0,INDEX('CAMD Facility Data 2023'!$AC$2:$AE$10000,MATCH(Z1550,'CAMD Facility Data 2023'!$AE$2:$AE$10000,0),1),"")</f>
        <v>1700</v>
      </c>
      <c r="AC1550" s="1" t="str">
        <f>IF(INDEX('CAMD Facility Data 2023'!$AE$2:$AG$10000,MATCH(Z1550,'CAMD Facility Data 2023'!$AE$2:$AE$10000,0),3)&gt;0,INDEX('CAMD Facility Data 2023'!$AE$2:$AG$10000,MATCH(Z1550,'CAMD Facility Data 2023'!$AE$2:$AE$10000,0),3),"")</f>
        <v/>
      </c>
      <c r="AD1550" s="20">
        <f t="shared" si="73"/>
        <v>0.40886421119066818</v>
      </c>
      <c r="AE1550" s="25">
        <f t="shared" si="74"/>
        <v>7.6888278807413377E-2</v>
      </c>
    </row>
    <row r="1551" spans="1:31" x14ac:dyDescent="0.2">
      <c r="A1551" s="1" t="s">
        <v>1755</v>
      </c>
      <c r="B1551" s="1" t="s">
        <v>3835</v>
      </c>
      <c r="C1551" s="1">
        <v>6768</v>
      </c>
      <c r="D1551" s="1">
        <v>1</v>
      </c>
      <c r="F1551" s="1">
        <v>2023</v>
      </c>
      <c r="G1551" s="5">
        <v>6608</v>
      </c>
      <c r="H1551" s="5">
        <v>6590.76</v>
      </c>
      <c r="I1551" s="5">
        <v>1473723.54</v>
      </c>
      <c r="K1551" s="5">
        <v>4086.1930000000002</v>
      </c>
      <c r="L1551" s="5">
        <v>0.53359999999999996</v>
      </c>
      <c r="M1551" s="5">
        <v>1603928.2560000001</v>
      </c>
      <c r="N1551" s="6">
        <v>0.105</v>
      </c>
      <c r="O1551" s="5">
        <v>840.97</v>
      </c>
      <c r="P1551" s="6">
        <v>0.1099</v>
      </c>
      <c r="Q1551" s="5">
        <v>15293001.583000001</v>
      </c>
      <c r="R1551" s="1" t="s">
        <v>55</v>
      </c>
      <c r="S1551" s="1" t="s">
        <v>1292</v>
      </c>
      <c r="T1551" s="1" t="s">
        <v>89</v>
      </c>
      <c r="V1551" s="1" t="s">
        <v>90</v>
      </c>
      <c r="W1551" s="1" t="s">
        <v>58</v>
      </c>
      <c r="X1551" s="1" t="s">
        <v>1109</v>
      </c>
      <c r="Y1551" s="1" t="s">
        <v>1188</v>
      </c>
      <c r="Z1551" s="1" t="str">
        <f t="shared" si="72"/>
        <v>6768 1</v>
      </c>
      <c r="AA1551" s="3">
        <f>IF(INDEX('CAMD Facility Data 2023'!$AA$2:$AE$10000,MATCH(Z1551,'CAMD Facility Data 2023'!$AE$2:$AE$10000,0),1)&gt;0,INDEX('CAMD Facility Data 2023'!$AA$2:$AE$10000,MATCH(Z1551,'CAMD Facility Data 2023'!$AE$2:$AE$10000,0),1),"")</f>
        <v>29830</v>
      </c>
      <c r="AB1551" s="5">
        <f>IF(INDEX('CAMD Facility Data 2023'!$AC$2:$AE$10000,MATCH(Z1551,'CAMD Facility Data 2023'!$AE$2:$AE$10000,0),1)&gt;0,INDEX('CAMD Facility Data 2023'!$AC$2:$AE$10000,MATCH(Z1551,'CAMD Facility Data 2023'!$AE$2:$AE$10000,0),1),"")</f>
        <v>2856</v>
      </c>
      <c r="AC1551" s="1" t="str">
        <f>IF(INDEX('CAMD Facility Data 2023'!$AE$2:$AG$10000,MATCH(Z1551,'CAMD Facility Data 2023'!$AE$2:$AE$10000,0),3)&gt;0,INDEX('CAMD Facility Data 2023'!$AE$2:$AG$10000,MATCH(Z1551,'CAMD Facility Data 2023'!$AE$2:$AE$10000,0),3),"")</f>
        <v/>
      </c>
      <c r="AD1551" s="20">
        <f t="shared" si="73"/>
        <v>1.1412859700944995</v>
      </c>
      <c r="AE1551" s="25">
        <f t="shared" si="74"/>
        <v>0.61126625924913347</v>
      </c>
    </row>
    <row r="1552" spans="1:31" x14ac:dyDescent="0.2">
      <c r="A1552" s="1" t="s">
        <v>335</v>
      </c>
      <c r="B1552" s="1" t="s">
        <v>3839</v>
      </c>
      <c r="C1552" s="1">
        <v>6772</v>
      </c>
      <c r="D1552" s="1">
        <v>1</v>
      </c>
      <c r="F1552" s="1">
        <v>2023</v>
      </c>
      <c r="G1552" s="5">
        <v>2544</v>
      </c>
      <c r="H1552" s="5">
        <v>2527.4</v>
      </c>
      <c r="I1552" s="5">
        <v>708184.23</v>
      </c>
      <c r="K1552" s="5">
        <v>2654.8470000000002</v>
      </c>
      <c r="L1552" s="5">
        <v>0.62680000000000002</v>
      </c>
      <c r="M1552" s="5">
        <v>834514.04099999997</v>
      </c>
      <c r="N1552" s="6">
        <v>0.10199999999999999</v>
      </c>
      <c r="O1552" s="5">
        <v>737.88199999999995</v>
      </c>
      <c r="P1552" s="6">
        <v>0.1782</v>
      </c>
      <c r="Q1552" s="5">
        <v>8145013.8310000002</v>
      </c>
      <c r="R1552" s="1" t="s">
        <v>55</v>
      </c>
      <c r="S1552" s="1" t="s">
        <v>94</v>
      </c>
      <c r="T1552" s="1" t="s">
        <v>89</v>
      </c>
      <c r="V1552" s="1" t="s">
        <v>289</v>
      </c>
      <c r="W1552" s="1" t="s">
        <v>58</v>
      </c>
      <c r="X1552" s="1" t="s">
        <v>937</v>
      </c>
      <c r="Y1552" s="1" t="s">
        <v>337</v>
      </c>
      <c r="Z1552" s="1" t="str">
        <f t="shared" si="72"/>
        <v>6772 1</v>
      </c>
      <c r="AA1552" s="3">
        <f>IF(INDEX('CAMD Facility Data 2023'!$AA$2:$AE$10000,MATCH(Z1552,'CAMD Facility Data 2023'!$AE$2:$AE$10000,0),1)&gt;0,INDEX('CAMD Facility Data 2023'!$AA$2:$AE$10000,MATCH(Z1552,'CAMD Facility Data 2023'!$AE$2:$AE$10000,0),1),"")</f>
        <v>30042</v>
      </c>
      <c r="AB1552" s="5">
        <f>IF(INDEX('CAMD Facility Data 2023'!$AC$2:$AE$10000,MATCH(Z1552,'CAMD Facility Data 2023'!$AE$2:$AE$10000,0),1)&gt;0,INDEX('CAMD Facility Data 2023'!$AC$2:$AE$10000,MATCH(Z1552,'CAMD Facility Data 2023'!$AE$2:$AE$10000,0),1),"")</f>
        <v>6450</v>
      </c>
      <c r="AC1552" s="1" t="str">
        <f>IF(INDEX('CAMD Facility Data 2023'!$AE$2:$AG$10000,MATCH(Z1552,'CAMD Facility Data 2023'!$AE$2:$AE$10000,0),3)&gt;0,INDEX('CAMD Facility Data 2023'!$AE$2:$AG$10000,MATCH(Z1552,'CAMD Facility Data 2023'!$AE$2:$AE$10000,0),3),"")</f>
        <v/>
      </c>
      <c r="AD1552" s="20">
        <f t="shared" si="73"/>
        <v>2.0838701816333867</v>
      </c>
      <c r="AE1552" s="25">
        <f t="shared" si="74"/>
        <v>0.14415443402003469</v>
      </c>
    </row>
    <row r="1553" spans="1:31" x14ac:dyDescent="0.2">
      <c r="A1553" s="1" t="s">
        <v>1980</v>
      </c>
      <c r="B1553" s="1" t="s">
        <v>3843</v>
      </c>
      <c r="C1553" s="1">
        <v>6776</v>
      </c>
      <c r="D1553" s="1">
        <v>2001</v>
      </c>
      <c r="F1553" s="1">
        <v>2023</v>
      </c>
      <c r="G1553" s="5">
        <v>0</v>
      </c>
      <c r="H1553" s="5">
        <v>0</v>
      </c>
      <c r="R1553" s="1" t="s">
        <v>94</v>
      </c>
      <c r="T1553" s="1" t="s">
        <v>93</v>
      </c>
      <c r="V1553" s="1" t="s">
        <v>176</v>
      </c>
      <c r="Y1553" s="1" t="s">
        <v>1528</v>
      </c>
      <c r="Z1553" s="1" t="str">
        <f t="shared" si="72"/>
        <v>6776 2001</v>
      </c>
      <c r="AA1553" s="3">
        <f>IF(INDEX('CAMD Facility Data 2023'!$AA$2:$AE$10000,MATCH(Z1553,'CAMD Facility Data 2023'!$AE$2:$AE$10000,0),1)&gt;0,INDEX('CAMD Facility Data 2023'!$AA$2:$AE$10000,MATCH(Z1553,'CAMD Facility Data 2023'!$AE$2:$AE$10000,0),1),"")</f>
        <v>26451</v>
      </c>
      <c r="AB1553" s="5">
        <f>IF(INDEX('CAMD Facility Data 2023'!$AC$2:$AE$10000,MATCH(Z1553,'CAMD Facility Data 2023'!$AE$2:$AE$10000,0),1)&gt;0,INDEX('CAMD Facility Data 2023'!$AC$2:$AE$10000,MATCH(Z1553,'CAMD Facility Data 2023'!$AE$2:$AE$10000,0),1),"")</f>
        <v>485</v>
      </c>
      <c r="AC1553" s="1" t="str">
        <f>IF(INDEX('CAMD Facility Data 2023'!$AE$2:$AG$10000,MATCH(Z1553,'CAMD Facility Data 2023'!$AE$2:$AE$10000,0),3)&gt;0,INDEX('CAMD Facility Data 2023'!$AE$2:$AG$10000,MATCH(Z1553,'CAMD Facility Data 2023'!$AE$2:$AE$10000,0),3),"")</f>
        <v>Y</v>
      </c>
      <c r="AD1553" s="20" t="str">
        <f t="shared" si="73"/>
        <v/>
      </c>
      <c r="AE1553" s="25">
        <f t="shared" si="74"/>
        <v>0</v>
      </c>
    </row>
    <row r="1554" spans="1:31" x14ac:dyDescent="0.2">
      <c r="A1554" s="1" t="s">
        <v>165</v>
      </c>
      <c r="B1554" s="1" t="s">
        <v>3844</v>
      </c>
      <c r="C1554" s="1">
        <v>6823</v>
      </c>
      <c r="D1554" s="1" t="s">
        <v>3845</v>
      </c>
      <c r="F1554" s="1">
        <v>2023</v>
      </c>
      <c r="G1554" s="5">
        <v>8113</v>
      </c>
      <c r="H1554" s="5">
        <v>8090.36</v>
      </c>
      <c r="I1554" s="5">
        <v>3150842.05</v>
      </c>
      <c r="K1554" s="5">
        <v>3108.5529999999999</v>
      </c>
      <c r="L1554" s="5">
        <v>0.18079999999999999</v>
      </c>
      <c r="M1554" s="5">
        <v>3523880.676</v>
      </c>
      <c r="N1554" s="6">
        <v>0.10299999999999999</v>
      </c>
      <c r="O1554" s="5">
        <v>2328.9180000000001</v>
      </c>
      <c r="P1554" s="6">
        <v>0.13589999999999999</v>
      </c>
      <c r="Q1554" s="5">
        <v>34345825.504000001</v>
      </c>
      <c r="R1554" s="1" t="s">
        <v>55</v>
      </c>
      <c r="T1554" s="1" t="s">
        <v>89</v>
      </c>
      <c r="U1554" s="1" t="s">
        <v>56</v>
      </c>
      <c r="V1554" s="1" t="s">
        <v>3306</v>
      </c>
      <c r="W1554" s="1" t="s">
        <v>58</v>
      </c>
      <c r="Y1554" s="1" t="s">
        <v>1353</v>
      </c>
      <c r="Z1554" s="1" t="str">
        <f t="shared" si="72"/>
        <v>6823 W1</v>
      </c>
      <c r="AA1554" s="3">
        <f>IF(INDEX('CAMD Facility Data 2023'!$AA$2:$AE$10000,MATCH(Z1554,'CAMD Facility Data 2023'!$AE$2:$AE$10000,0),1)&gt;0,INDEX('CAMD Facility Data 2023'!$AA$2:$AE$10000,MATCH(Z1554,'CAMD Facility Data 2023'!$AE$2:$AE$10000,0),1),"")</f>
        <v>30926</v>
      </c>
      <c r="AB1554" s="5">
        <f>IF(INDEX('CAMD Facility Data 2023'!$AC$2:$AE$10000,MATCH(Z1554,'CAMD Facility Data 2023'!$AE$2:$AE$10000,0),1)&gt;0,INDEX('CAMD Facility Data 2023'!$AC$2:$AE$10000,MATCH(Z1554,'CAMD Facility Data 2023'!$AE$2:$AE$10000,0),1),"")</f>
        <v>6099</v>
      </c>
      <c r="AC1554" s="1" t="str">
        <f>IF(INDEX('CAMD Facility Data 2023'!$AE$2:$AG$10000,MATCH(Z1554,'CAMD Facility Data 2023'!$AE$2:$AE$10000,0),3)&gt;0,INDEX('CAMD Facility Data 2023'!$AE$2:$AG$10000,MATCH(Z1554,'CAMD Facility Data 2023'!$AE$2:$AE$10000,0),3),"")</f>
        <v>Y</v>
      </c>
      <c r="AD1554" s="20">
        <f t="shared" si="73"/>
        <v>1.4782829244011138</v>
      </c>
      <c r="AE1554" s="25">
        <f t="shared" si="74"/>
        <v>0.64285232596705355</v>
      </c>
    </row>
    <row r="1555" spans="1:31" x14ac:dyDescent="0.2">
      <c r="A1555" s="1" t="s">
        <v>1663</v>
      </c>
      <c r="B1555" s="1" t="s">
        <v>3849</v>
      </c>
      <c r="C1555" s="1">
        <v>6824</v>
      </c>
      <c r="D1555" s="1">
        <v>1</v>
      </c>
      <c r="F1555" s="1">
        <v>2023</v>
      </c>
      <c r="G1555" s="5">
        <v>233</v>
      </c>
      <c r="H1555" s="5">
        <v>82.51</v>
      </c>
      <c r="I1555" s="5">
        <v>416.08</v>
      </c>
      <c r="K1555" s="5">
        <v>8.0000000000000002E-3</v>
      </c>
      <c r="L1555" s="5">
        <v>6.9999999999999999E-4</v>
      </c>
      <c r="O1555" s="5">
        <v>7.3140000000000001</v>
      </c>
      <c r="P1555" s="6">
        <v>1.1999</v>
      </c>
      <c r="Q1555" s="5">
        <v>12190.6</v>
      </c>
      <c r="R1555" s="1" t="s">
        <v>94</v>
      </c>
      <c r="T1555" s="1" t="s">
        <v>93</v>
      </c>
      <c r="Y1555" s="1" t="s">
        <v>1696</v>
      </c>
      <c r="Z1555" s="1" t="str">
        <f t="shared" si="72"/>
        <v>6824 1</v>
      </c>
      <c r="AA1555" s="3">
        <f>IF(INDEX('CAMD Facility Data 2023'!$AA$2:$AE$10000,MATCH(Z1555,'CAMD Facility Data 2023'!$AE$2:$AE$10000,0),1)&gt;0,INDEX('CAMD Facility Data 2023'!$AA$2:$AE$10000,MATCH(Z1555,'CAMD Facility Data 2023'!$AE$2:$AE$10000,0),1),"")</f>
        <v>28611</v>
      </c>
      <c r="AB1555" s="5">
        <f>IF(INDEX('CAMD Facility Data 2023'!$AC$2:$AE$10000,MATCH(Z1555,'CAMD Facility Data 2023'!$AE$2:$AE$10000,0),1)&gt;0,INDEX('CAMD Facility Data 2023'!$AC$2:$AE$10000,MATCH(Z1555,'CAMD Facility Data 2023'!$AE$2:$AE$10000,0),1),"")</f>
        <v>291.89999999999998</v>
      </c>
      <c r="AC1555" s="1" t="str">
        <f>IF(INDEX('CAMD Facility Data 2023'!$AE$2:$AG$10000,MATCH(Z1555,'CAMD Facility Data 2023'!$AE$2:$AE$10000,0),3)&gt;0,INDEX('CAMD Facility Data 2023'!$AE$2:$AG$10000,MATCH(Z1555,'CAMD Facility Data 2023'!$AE$2:$AE$10000,0),3),"")</f>
        <v/>
      </c>
      <c r="AD1555" s="20">
        <f t="shared" si="73"/>
        <v>35.156700634493369</v>
      </c>
      <c r="AE1555" s="25">
        <f t="shared" si="74"/>
        <v>4.7674580492162045E-3</v>
      </c>
    </row>
    <row r="1556" spans="1:31" x14ac:dyDescent="0.2">
      <c r="A1556" s="1" t="s">
        <v>1663</v>
      </c>
      <c r="B1556" s="1" t="s">
        <v>3849</v>
      </c>
      <c r="C1556" s="1">
        <v>6824</v>
      </c>
      <c r="D1556" s="1">
        <v>2</v>
      </c>
      <c r="F1556" s="1">
        <v>2023</v>
      </c>
      <c r="G1556" s="5">
        <v>232</v>
      </c>
      <c r="H1556" s="5">
        <v>82.31</v>
      </c>
      <c r="I1556" s="5">
        <v>406.7</v>
      </c>
      <c r="K1556" s="5">
        <v>8.0000000000000002E-3</v>
      </c>
      <c r="L1556" s="5">
        <v>6.9999999999999999E-4</v>
      </c>
      <c r="O1556" s="5">
        <v>7.3369999999999997</v>
      </c>
      <c r="P1556" s="6">
        <v>1.1998</v>
      </c>
      <c r="Q1556" s="5">
        <v>12228</v>
      </c>
      <c r="R1556" s="1" t="s">
        <v>94</v>
      </c>
      <c r="T1556" s="1" t="s">
        <v>93</v>
      </c>
      <c r="Y1556" s="1" t="s">
        <v>1696</v>
      </c>
      <c r="Z1556" s="1" t="str">
        <f t="shared" si="72"/>
        <v>6824 2</v>
      </c>
      <c r="AA1556" s="3">
        <f>IF(INDEX('CAMD Facility Data 2023'!$AA$2:$AE$10000,MATCH(Z1556,'CAMD Facility Data 2023'!$AE$2:$AE$10000,0),1)&gt;0,INDEX('CAMD Facility Data 2023'!$AA$2:$AE$10000,MATCH(Z1556,'CAMD Facility Data 2023'!$AE$2:$AE$10000,0),1),"")</f>
        <v>28611</v>
      </c>
      <c r="AB1556" s="5">
        <f>IF(INDEX('CAMD Facility Data 2023'!$AC$2:$AE$10000,MATCH(Z1556,'CAMD Facility Data 2023'!$AE$2:$AE$10000,0),1)&gt;0,INDEX('CAMD Facility Data 2023'!$AC$2:$AE$10000,MATCH(Z1556,'CAMD Facility Data 2023'!$AE$2:$AE$10000,0),1),"")</f>
        <v>291.89999999999998</v>
      </c>
      <c r="AC1556" s="1" t="str">
        <f>IF(INDEX('CAMD Facility Data 2023'!$AE$2:$AG$10000,MATCH(Z1556,'CAMD Facility Data 2023'!$AE$2:$AE$10000,0),3)&gt;0,INDEX('CAMD Facility Data 2023'!$AE$2:$AG$10000,MATCH(Z1556,'CAMD Facility Data 2023'!$AE$2:$AE$10000,0),3),"")</f>
        <v/>
      </c>
      <c r="AD1556" s="20">
        <f t="shared" si="73"/>
        <v>36.080649127120729</v>
      </c>
      <c r="AE1556" s="25">
        <f t="shared" si="74"/>
        <v>4.7820843129801442E-3</v>
      </c>
    </row>
    <row r="1557" spans="1:31" x14ac:dyDescent="0.2">
      <c r="A1557" s="1" t="s">
        <v>225</v>
      </c>
      <c r="B1557" s="1" t="s">
        <v>3852</v>
      </c>
      <c r="C1557" s="1">
        <v>7013</v>
      </c>
      <c r="D1557" s="1">
        <v>4</v>
      </c>
      <c r="F1557" s="1">
        <v>2023</v>
      </c>
      <c r="G1557" s="5">
        <v>259</v>
      </c>
      <c r="H1557" s="5">
        <v>259</v>
      </c>
      <c r="I1557" s="5">
        <v>3981</v>
      </c>
      <c r="K1557" s="5">
        <v>1.2999999999999999E-2</v>
      </c>
      <c r="L1557" s="5">
        <v>1E-3</v>
      </c>
      <c r="M1557" s="5">
        <v>2869.6</v>
      </c>
      <c r="N1557" s="6">
        <v>5.8999999999999997E-2</v>
      </c>
      <c r="O1557" s="5">
        <v>6.8220000000000001</v>
      </c>
      <c r="P1557" s="6">
        <v>0.28000000000000003</v>
      </c>
      <c r="Q1557" s="5">
        <v>48756.3</v>
      </c>
      <c r="R1557" s="1" t="s">
        <v>44</v>
      </c>
      <c r="T1557" s="1" t="s">
        <v>89</v>
      </c>
      <c r="Y1557" s="1" t="s">
        <v>35</v>
      </c>
      <c r="Z1557" s="1" t="str">
        <f t="shared" si="72"/>
        <v>7013 4</v>
      </c>
      <c r="AA1557" s="3">
        <f>IF(INDEX('CAMD Facility Data 2023'!$AA$2:$AE$10000,MATCH(Z1557,'CAMD Facility Data 2023'!$AE$2:$AE$10000,0),1)&gt;0,INDEX('CAMD Facility Data 2023'!$AA$2:$AE$10000,MATCH(Z1557,'CAMD Facility Data 2023'!$AE$2:$AE$10000,0),1),"")</f>
        <v>25659</v>
      </c>
      <c r="AB1557" s="5">
        <f>IF(INDEX('CAMD Facility Data 2023'!$AC$2:$AE$10000,MATCH(Z1557,'CAMD Facility Data 2023'!$AE$2:$AE$10000,0),1)&gt;0,INDEX('CAMD Facility Data 2023'!$AC$2:$AE$10000,MATCH(Z1557,'CAMD Facility Data 2023'!$AE$2:$AE$10000,0),1),"")</f>
        <v>356</v>
      </c>
      <c r="AC1557" s="1" t="str">
        <f>IF(INDEX('CAMD Facility Data 2023'!$AE$2:$AG$10000,MATCH(Z1557,'CAMD Facility Data 2023'!$AE$2:$AE$10000,0),3)&gt;0,INDEX('CAMD Facility Data 2023'!$AE$2:$AG$10000,MATCH(Z1557,'CAMD Facility Data 2023'!$AE$2:$AE$10000,0),3),"")</f>
        <v/>
      </c>
      <c r="AD1557" s="20">
        <f t="shared" si="73"/>
        <v>3.4272795779954786</v>
      </c>
      <c r="AE1557" s="25">
        <f t="shared" si="74"/>
        <v>1.5634235031553024E-2</v>
      </c>
    </row>
    <row r="1558" spans="1:31" x14ac:dyDescent="0.2">
      <c r="A1558" s="1" t="s">
        <v>383</v>
      </c>
      <c r="B1558" s="1" t="s">
        <v>3857</v>
      </c>
      <c r="C1558" s="1">
        <v>7030</v>
      </c>
      <c r="D1558" s="1" t="s">
        <v>3858</v>
      </c>
      <c r="F1558" s="1">
        <v>2023</v>
      </c>
      <c r="G1558" s="5">
        <v>8053</v>
      </c>
      <c r="H1558" s="5">
        <v>8051.87</v>
      </c>
      <c r="I1558" s="5">
        <v>1263085</v>
      </c>
      <c r="K1558" s="5">
        <v>1042.1590000000001</v>
      </c>
      <c r="L1558" s="5">
        <v>0.14680000000000001</v>
      </c>
      <c r="M1558" s="5">
        <v>1478412.7960000001</v>
      </c>
      <c r="N1558" s="6">
        <v>0.109</v>
      </c>
      <c r="O1558" s="5">
        <v>1009.366</v>
      </c>
      <c r="P1558" s="6">
        <v>0.1552</v>
      </c>
      <c r="Q1558" s="5">
        <v>13579598.966</v>
      </c>
      <c r="R1558" s="1" t="s">
        <v>55</v>
      </c>
      <c r="T1558" s="1" t="s">
        <v>885</v>
      </c>
      <c r="U1558" s="1" t="s">
        <v>1069</v>
      </c>
      <c r="V1558" s="1" t="s">
        <v>669</v>
      </c>
      <c r="W1558" s="1" t="s">
        <v>232</v>
      </c>
      <c r="X1558" s="1" t="s">
        <v>344</v>
      </c>
      <c r="Y1558" s="1" t="s">
        <v>337</v>
      </c>
      <c r="Z1558" s="1" t="str">
        <f t="shared" si="72"/>
        <v>7030 U1</v>
      </c>
      <c r="AA1558" s="3">
        <f>IF(INDEX('CAMD Facility Data 2023'!$AA$2:$AE$10000,MATCH(Z1558,'CAMD Facility Data 2023'!$AE$2:$AE$10000,0),1)&gt;0,INDEX('CAMD Facility Data 2023'!$AA$2:$AE$10000,MATCH(Z1558,'CAMD Facility Data 2023'!$AE$2:$AE$10000,0),1),"")</f>
        <v>33117</v>
      </c>
      <c r="AB1558" s="5">
        <f>IF(INDEX('CAMD Facility Data 2023'!$AC$2:$AE$10000,MATCH(Z1558,'CAMD Facility Data 2023'!$AE$2:$AE$10000,0),1)&gt;0,INDEX('CAMD Facility Data 2023'!$AC$2:$AE$10000,MATCH(Z1558,'CAMD Facility Data 2023'!$AE$2:$AE$10000,0),1),"")</f>
        <v>2188</v>
      </c>
      <c r="AC1558" s="1" t="str">
        <f>IF(INDEX('CAMD Facility Data 2023'!$AE$2:$AG$10000,MATCH(Z1558,'CAMD Facility Data 2023'!$AE$2:$AE$10000,0),3)&gt;0,INDEX('CAMD Facility Data 2023'!$AE$2:$AG$10000,MATCH(Z1558,'CAMD Facility Data 2023'!$AE$2:$AE$10000,0),3),"")</f>
        <v>Y</v>
      </c>
      <c r="AD1558" s="20">
        <f t="shared" si="73"/>
        <v>1.5982550659694319</v>
      </c>
      <c r="AE1558" s="25">
        <f t="shared" si="74"/>
        <v>0.70849292978304246</v>
      </c>
    </row>
    <row r="1559" spans="1:31" x14ac:dyDescent="0.2">
      <c r="A1559" s="1" t="s">
        <v>383</v>
      </c>
      <c r="B1559" s="1" t="s">
        <v>3857</v>
      </c>
      <c r="C1559" s="1">
        <v>7030</v>
      </c>
      <c r="D1559" s="1" t="s">
        <v>3862</v>
      </c>
      <c r="F1559" s="1">
        <v>2023</v>
      </c>
      <c r="G1559" s="5">
        <v>8643</v>
      </c>
      <c r="H1559" s="5">
        <v>8642.31</v>
      </c>
      <c r="I1559" s="5">
        <v>1372593.05</v>
      </c>
      <c r="K1559" s="5">
        <v>1083.9169999999999</v>
      </c>
      <c r="L1559" s="5">
        <v>0.16539999999999999</v>
      </c>
      <c r="M1559" s="5">
        <v>1451878.4820000001</v>
      </c>
      <c r="N1559" s="6">
        <v>0.1089</v>
      </c>
      <c r="O1559" s="5">
        <v>893.59900000000005</v>
      </c>
      <c r="P1559" s="6">
        <v>0.14099999999999999</v>
      </c>
      <c r="Q1559" s="5">
        <v>13335981.839</v>
      </c>
      <c r="R1559" s="1" t="s">
        <v>55</v>
      </c>
      <c r="T1559" s="1" t="s">
        <v>885</v>
      </c>
      <c r="U1559" s="1" t="s">
        <v>1069</v>
      </c>
      <c r="V1559" s="1" t="s">
        <v>669</v>
      </c>
      <c r="W1559" s="1" t="s">
        <v>232</v>
      </c>
      <c r="X1559" s="1" t="s">
        <v>344</v>
      </c>
      <c r="Y1559" s="1" t="s">
        <v>337</v>
      </c>
      <c r="Z1559" s="1" t="str">
        <f t="shared" si="72"/>
        <v>7030 U2</v>
      </c>
      <c r="AA1559" s="3">
        <f>IF(INDEX('CAMD Facility Data 2023'!$AA$2:$AE$10000,MATCH(Z1559,'CAMD Facility Data 2023'!$AE$2:$AE$10000,0),1)&gt;0,INDEX('CAMD Facility Data 2023'!$AA$2:$AE$10000,MATCH(Z1559,'CAMD Facility Data 2023'!$AE$2:$AE$10000,0),1),"")</f>
        <v>33512</v>
      </c>
      <c r="AB1559" s="5">
        <f>IF(INDEX('CAMD Facility Data 2023'!$AC$2:$AE$10000,MATCH(Z1559,'CAMD Facility Data 2023'!$AE$2:$AE$10000,0),1)&gt;0,INDEX('CAMD Facility Data 2023'!$AC$2:$AE$10000,MATCH(Z1559,'CAMD Facility Data 2023'!$AE$2:$AE$10000,0),1),"")</f>
        <v>2047</v>
      </c>
      <c r="AC1559" s="1" t="str">
        <f>IF(INDEX('CAMD Facility Data 2023'!$AE$2:$AG$10000,MATCH(Z1559,'CAMD Facility Data 2023'!$AE$2:$AE$10000,0),3)&gt;0,INDEX('CAMD Facility Data 2023'!$AE$2:$AG$10000,MATCH(Z1559,'CAMD Facility Data 2023'!$AE$2:$AE$10000,0),3),"")</f>
        <v>Y</v>
      </c>
      <c r="AD1559" s="20">
        <f t="shared" si="73"/>
        <v>1.3020596308570846</v>
      </c>
      <c r="AE1559" s="25">
        <f t="shared" si="74"/>
        <v>0.7437090161456904</v>
      </c>
    </row>
    <row r="1560" spans="1:31" x14ac:dyDescent="0.2">
      <c r="A1560" s="1" t="s">
        <v>3095</v>
      </c>
      <c r="B1560" s="1" t="s">
        <v>3864</v>
      </c>
      <c r="C1560" s="1">
        <v>7032</v>
      </c>
      <c r="D1560" s="1">
        <v>3</v>
      </c>
      <c r="E1560" s="1" t="s">
        <v>1798</v>
      </c>
      <c r="F1560" s="1">
        <v>2023</v>
      </c>
      <c r="G1560" s="5">
        <v>203</v>
      </c>
      <c r="H1560" s="5">
        <v>175.47</v>
      </c>
      <c r="I1560" s="5">
        <v>10054.82</v>
      </c>
      <c r="K1560" s="5">
        <v>0.64400000000000002</v>
      </c>
      <c r="L1560" s="5">
        <v>1.4999999999999999E-2</v>
      </c>
      <c r="M1560" s="5">
        <v>8058.7</v>
      </c>
      <c r="N1560" s="6">
        <v>6.0199999999999997E-2</v>
      </c>
      <c r="O1560" s="5">
        <v>12.595000000000001</v>
      </c>
      <c r="P1560" s="6">
        <v>0.26889999999999997</v>
      </c>
      <c r="Q1560" s="5">
        <v>134368.9</v>
      </c>
      <c r="R1560" s="1" t="s">
        <v>44</v>
      </c>
      <c r="S1560" s="1" t="s">
        <v>94</v>
      </c>
      <c r="T1560" s="1" t="s">
        <v>93</v>
      </c>
      <c r="V1560" s="1" t="s">
        <v>95</v>
      </c>
      <c r="Y1560" s="1" t="s">
        <v>1528</v>
      </c>
      <c r="Z1560" s="1" t="str">
        <f t="shared" si="72"/>
        <v>7032 3</v>
      </c>
      <c r="AA1560" s="3">
        <f>IF(INDEX('CAMD Facility Data 2023'!$AA$2:$AE$10000,MATCH(Z1560,'CAMD Facility Data 2023'!$AE$2:$AE$10000,0),1)&gt;0,INDEX('CAMD Facility Data 2023'!$AA$2:$AE$10000,MATCH(Z1560,'CAMD Facility Data 2023'!$AE$2:$AE$10000,0),1),"")</f>
        <v>32797</v>
      </c>
      <c r="AB1560" s="5">
        <f>IF(INDEX('CAMD Facility Data 2023'!$AC$2:$AE$10000,MATCH(Z1560,'CAMD Facility Data 2023'!$AE$2:$AE$10000,0),1)&gt;0,INDEX('CAMD Facility Data 2023'!$AC$2:$AE$10000,MATCH(Z1560,'CAMD Facility Data 2023'!$AE$2:$AE$10000,0),1),"")</f>
        <v>1308</v>
      </c>
      <c r="AC1560" s="1" t="str">
        <f>IF(INDEX('CAMD Facility Data 2023'!$AE$2:$AG$10000,MATCH(Z1560,'CAMD Facility Data 2023'!$AE$2:$AE$10000,0),3)&gt;0,INDEX('CAMD Facility Data 2023'!$AE$2:$AG$10000,MATCH(Z1560,'CAMD Facility Data 2023'!$AE$2:$AE$10000,0),3),"")</f>
        <v/>
      </c>
      <c r="AD1560" s="20">
        <f t="shared" si="73"/>
        <v>2.5052661310694773</v>
      </c>
      <c r="AE1560" s="25">
        <f t="shared" si="74"/>
        <v>1.1726999636937427E-2</v>
      </c>
    </row>
    <row r="1561" spans="1:31" x14ac:dyDescent="0.2">
      <c r="A1561" s="1" t="s">
        <v>3095</v>
      </c>
      <c r="B1561" s="1" t="s">
        <v>3864</v>
      </c>
      <c r="C1561" s="1">
        <v>7032</v>
      </c>
      <c r="D1561" s="1">
        <v>4</v>
      </c>
      <c r="E1561" s="1" t="s">
        <v>1798</v>
      </c>
      <c r="F1561" s="1">
        <v>2023</v>
      </c>
      <c r="G1561" s="5">
        <v>365</v>
      </c>
      <c r="H1561" s="5">
        <v>325.29000000000002</v>
      </c>
      <c r="I1561" s="5">
        <v>18445.16</v>
      </c>
      <c r="K1561" s="5">
        <v>2.399</v>
      </c>
      <c r="L1561" s="5">
        <v>2.2499999999999999E-2</v>
      </c>
      <c r="M1561" s="5">
        <v>14966.7</v>
      </c>
      <c r="N1561" s="6">
        <v>6.1499999999999999E-2</v>
      </c>
      <c r="O1561" s="5">
        <v>23.213999999999999</v>
      </c>
      <c r="P1561" s="6">
        <v>0.25819999999999999</v>
      </c>
      <c r="Q1561" s="5">
        <v>245053.3</v>
      </c>
      <c r="R1561" s="1" t="s">
        <v>44</v>
      </c>
      <c r="S1561" s="1" t="s">
        <v>94</v>
      </c>
      <c r="T1561" s="1" t="s">
        <v>93</v>
      </c>
      <c r="V1561" s="1" t="s">
        <v>95</v>
      </c>
      <c r="Y1561" s="1" t="s">
        <v>1528</v>
      </c>
      <c r="Z1561" s="1" t="str">
        <f t="shared" si="72"/>
        <v>7032 4</v>
      </c>
      <c r="AA1561" s="3">
        <f>IF(INDEX('CAMD Facility Data 2023'!$AA$2:$AE$10000,MATCH(Z1561,'CAMD Facility Data 2023'!$AE$2:$AE$10000,0),1)&gt;0,INDEX('CAMD Facility Data 2023'!$AA$2:$AE$10000,MATCH(Z1561,'CAMD Facility Data 2023'!$AE$2:$AE$10000,0),1),"")</f>
        <v>32699</v>
      </c>
      <c r="AB1561" s="5">
        <f>IF(INDEX('CAMD Facility Data 2023'!$AC$2:$AE$10000,MATCH(Z1561,'CAMD Facility Data 2023'!$AE$2:$AE$10000,0),1)&gt;0,INDEX('CAMD Facility Data 2023'!$AC$2:$AE$10000,MATCH(Z1561,'CAMD Facility Data 2023'!$AE$2:$AE$10000,0),1),"")</f>
        <v>1308</v>
      </c>
      <c r="AC1561" s="1" t="str">
        <f>IF(INDEX('CAMD Facility Data 2023'!$AE$2:$AG$10000,MATCH(Z1561,'CAMD Facility Data 2023'!$AE$2:$AE$10000,0),3)&gt;0,INDEX('CAMD Facility Data 2023'!$AE$2:$AG$10000,MATCH(Z1561,'CAMD Facility Data 2023'!$AE$2:$AE$10000,0),3),"")</f>
        <v/>
      </c>
      <c r="AD1561" s="20">
        <f t="shared" si="73"/>
        <v>2.5170830721988859</v>
      </c>
      <c r="AE1561" s="25">
        <f t="shared" si="74"/>
        <v>2.1386942664041442E-2</v>
      </c>
    </row>
    <row r="1562" spans="1:31" x14ac:dyDescent="0.2">
      <c r="A1562" s="1" t="s">
        <v>3095</v>
      </c>
      <c r="B1562" s="1" t="s">
        <v>3864</v>
      </c>
      <c r="C1562" s="1">
        <v>7032</v>
      </c>
      <c r="D1562" s="1">
        <v>5</v>
      </c>
      <c r="E1562" s="1" t="s">
        <v>1798</v>
      </c>
      <c r="F1562" s="1">
        <v>2023</v>
      </c>
      <c r="G1562" s="5">
        <v>721</v>
      </c>
      <c r="H1562" s="5">
        <v>650.38</v>
      </c>
      <c r="I1562" s="5">
        <v>35897.300000000003</v>
      </c>
      <c r="K1562" s="5">
        <v>0.67500000000000004</v>
      </c>
      <c r="L1562" s="5">
        <v>4.3E-3</v>
      </c>
      <c r="M1562" s="5">
        <v>28440.2</v>
      </c>
      <c r="N1562" s="6">
        <v>5.9400000000000001E-2</v>
      </c>
      <c r="O1562" s="5">
        <v>41.198999999999998</v>
      </c>
      <c r="P1562" s="6">
        <v>0.23400000000000001</v>
      </c>
      <c r="Q1562" s="5">
        <v>480150.2</v>
      </c>
      <c r="R1562" s="1" t="s">
        <v>44</v>
      </c>
      <c r="S1562" s="1" t="s">
        <v>94</v>
      </c>
      <c r="T1562" s="1" t="s">
        <v>93</v>
      </c>
      <c r="V1562" s="1" t="s">
        <v>95</v>
      </c>
      <c r="Y1562" s="1" t="s">
        <v>1528</v>
      </c>
      <c r="Z1562" s="1" t="str">
        <f t="shared" si="72"/>
        <v>7032 5</v>
      </c>
      <c r="AA1562" s="3">
        <f>IF(INDEX('CAMD Facility Data 2023'!$AA$2:$AE$10000,MATCH(Z1562,'CAMD Facility Data 2023'!$AE$2:$AE$10000,0),1)&gt;0,INDEX('CAMD Facility Data 2023'!$AA$2:$AE$10000,MATCH(Z1562,'CAMD Facility Data 2023'!$AE$2:$AE$10000,0),1),"")</f>
        <v>32710</v>
      </c>
      <c r="AB1562" s="5">
        <f>IF(INDEX('CAMD Facility Data 2023'!$AC$2:$AE$10000,MATCH(Z1562,'CAMD Facility Data 2023'!$AE$2:$AE$10000,0),1)&gt;0,INDEX('CAMD Facility Data 2023'!$AC$2:$AE$10000,MATCH(Z1562,'CAMD Facility Data 2023'!$AE$2:$AE$10000,0),1),"")</f>
        <v>1308</v>
      </c>
      <c r="AC1562" s="1" t="str">
        <f>IF(INDEX('CAMD Facility Data 2023'!$AE$2:$AG$10000,MATCH(Z1562,'CAMD Facility Data 2023'!$AE$2:$AE$10000,0),3)&gt;0,INDEX('CAMD Facility Data 2023'!$AE$2:$AG$10000,MATCH(Z1562,'CAMD Facility Data 2023'!$AE$2:$AE$10000,0),3),"")</f>
        <v/>
      </c>
      <c r="AD1562" s="20">
        <f t="shared" si="73"/>
        <v>2.2953815468015697</v>
      </c>
      <c r="AE1562" s="25">
        <f t="shared" si="74"/>
        <v>4.190494393476045E-2</v>
      </c>
    </row>
    <row r="1563" spans="1:31" x14ac:dyDescent="0.2">
      <c r="A1563" s="1" t="s">
        <v>3095</v>
      </c>
      <c r="B1563" s="1" t="s">
        <v>3864</v>
      </c>
      <c r="C1563" s="1">
        <v>7032</v>
      </c>
      <c r="D1563" s="1">
        <v>6</v>
      </c>
      <c r="E1563" s="1" t="s">
        <v>1798</v>
      </c>
      <c r="F1563" s="1">
        <v>2023</v>
      </c>
      <c r="G1563" s="5">
        <v>481</v>
      </c>
      <c r="H1563" s="5">
        <v>433.65</v>
      </c>
      <c r="I1563" s="5">
        <v>23888.41</v>
      </c>
      <c r="K1563" s="5">
        <v>0.65100000000000002</v>
      </c>
      <c r="L1563" s="5">
        <v>6.7999999999999996E-3</v>
      </c>
      <c r="M1563" s="5">
        <v>18872.5</v>
      </c>
      <c r="N1563" s="6">
        <v>5.96E-2</v>
      </c>
      <c r="O1563" s="5">
        <v>29.556999999999999</v>
      </c>
      <c r="P1563" s="6">
        <v>0.2485</v>
      </c>
      <c r="Q1563" s="5">
        <v>317848</v>
      </c>
      <c r="R1563" s="1" t="s">
        <v>44</v>
      </c>
      <c r="S1563" s="1" t="s">
        <v>94</v>
      </c>
      <c r="T1563" s="1" t="s">
        <v>93</v>
      </c>
      <c r="V1563" s="1" t="s">
        <v>95</v>
      </c>
      <c r="Y1563" s="1" t="s">
        <v>1528</v>
      </c>
      <c r="Z1563" s="1" t="str">
        <f t="shared" si="72"/>
        <v>7032 6</v>
      </c>
      <c r="AA1563" s="3">
        <f>IF(INDEX('CAMD Facility Data 2023'!$AA$2:$AE$10000,MATCH(Z1563,'CAMD Facility Data 2023'!$AE$2:$AE$10000,0),1)&gt;0,INDEX('CAMD Facility Data 2023'!$AA$2:$AE$10000,MATCH(Z1563,'CAMD Facility Data 2023'!$AE$2:$AE$10000,0),1),"")</f>
        <v>32829</v>
      </c>
      <c r="AB1563" s="5">
        <f>IF(INDEX('CAMD Facility Data 2023'!$AC$2:$AE$10000,MATCH(Z1563,'CAMD Facility Data 2023'!$AE$2:$AE$10000,0),1)&gt;0,INDEX('CAMD Facility Data 2023'!$AC$2:$AE$10000,MATCH(Z1563,'CAMD Facility Data 2023'!$AE$2:$AE$10000,0),1),"")</f>
        <v>1308</v>
      </c>
      <c r="AC1563" s="1" t="str">
        <f>IF(INDEX('CAMD Facility Data 2023'!$AE$2:$AG$10000,MATCH(Z1563,'CAMD Facility Data 2023'!$AE$2:$AE$10000,0),3)&gt;0,INDEX('CAMD Facility Data 2023'!$AE$2:$AG$10000,MATCH(Z1563,'CAMD Facility Data 2023'!$AE$2:$AE$10000,0),3),"")</f>
        <v/>
      </c>
      <c r="AD1563" s="20">
        <f t="shared" si="73"/>
        <v>2.4745891417637256</v>
      </c>
      <c r="AE1563" s="25">
        <f t="shared" si="74"/>
        <v>2.7740075126024603E-2</v>
      </c>
    </row>
    <row r="1564" spans="1:31" x14ac:dyDescent="0.2">
      <c r="A1564" s="1" t="s">
        <v>32</v>
      </c>
      <c r="B1564" s="1" t="s">
        <v>3871</v>
      </c>
      <c r="C1564" s="1">
        <v>7063</v>
      </c>
      <c r="D1564" s="1" t="s">
        <v>3872</v>
      </c>
      <c r="F1564" s="1">
        <v>2023</v>
      </c>
      <c r="G1564" s="5">
        <v>80</v>
      </c>
      <c r="H1564" s="5">
        <v>47.82</v>
      </c>
      <c r="I1564" s="5">
        <v>1558.27</v>
      </c>
      <c r="K1564" s="5">
        <v>2E-3</v>
      </c>
      <c r="L1564" s="5">
        <v>8.0000000000000004E-4</v>
      </c>
      <c r="M1564" s="5">
        <v>431.50099999999998</v>
      </c>
      <c r="N1564" s="6">
        <v>6.6100000000000006E-2</v>
      </c>
      <c r="O1564" s="5">
        <v>0.502</v>
      </c>
      <c r="P1564" s="6">
        <v>0.1021</v>
      </c>
      <c r="Q1564" s="5">
        <v>7259.3879999999999</v>
      </c>
      <c r="R1564" s="1" t="s">
        <v>44</v>
      </c>
      <c r="T1564" s="1" t="s">
        <v>3873</v>
      </c>
      <c r="Y1564" s="1" t="s">
        <v>35</v>
      </c>
      <c r="Z1564" s="1" t="str">
        <f t="shared" si="72"/>
        <v>7063 **1</v>
      </c>
      <c r="AA1564" s="3">
        <f>IF(INDEX('CAMD Facility Data 2023'!$AA$2:$AE$10000,MATCH(Z1564,'CAMD Facility Data 2023'!$AE$2:$AE$10000,0),1)&gt;0,INDEX('CAMD Facility Data 2023'!$AA$2:$AE$10000,MATCH(Z1564,'CAMD Facility Data 2023'!$AE$2:$AE$10000,0),1),"")</f>
        <v>33390</v>
      </c>
      <c r="AB1564" s="5">
        <f>IF(INDEX('CAMD Facility Data 2023'!$AC$2:$AE$10000,MATCH(Z1564,'CAMD Facility Data 2023'!$AE$2:$AE$10000,0),1)&gt;0,INDEX('CAMD Facility Data 2023'!$AC$2:$AE$10000,MATCH(Z1564,'CAMD Facility Data 2023'!$AE$2:$AE$10000,0),1),"")</f>
        <v>850</v>
      </c>
      <c r="AC1564" s="1" t="str">
        <f>IF(INDEX('CAMD Facility Data 2023'!$AE$2:$AG$10000,MATCH(Z1564,'CAMD Facility Data 2023'!$AE$2:$AE$10000,0),3)&gt;0,INDEX('CAMD Facility Data 2023'!$AE$2:$AG$10000,MATCH(Z1564,'CAMD Facility Data 2023'!$AE$2:$AE$10000,0),3),"")</f>
        <v/>
      </c>
      <c r="AD1564" s="20">
        <f t="shared" si="73"/>
        <v>0.64430426049400935</v>
      </c>
      <c r="AE1564" s="25">
        <f t="shared" si="74"/>
        <v>9.7493795326349716E-4</v>
      </c>
    </row>
    <row r="1565" spans="1:31" x14ac:dyDescent="0.2">
      <c r="A1565" s="1" t="s">
        <v>32</v>
      </c>
      <c r="B1565" s="1" t="s">
        <v>3871</v>
      </c>
      <c r="C1565" s="1">
        <v>7063</v>
      </c>
      <c r="D1565" s="1" t="s">
        <v>3875</v>
      </c>
      <c r="F1565" s="1">
        <v>2023</v>
      </c>
      <c r="G1565" s="5">
        <v>1747</v>
      </c>
      <c r="H1565" s="5">
        <v>1521.31</v>
      </c>
      <c r="I1565" s="5">
        <v>134391.60999999999</v>
      </c>
      <c r="K1565" s="5">
        <v>0.48399999999999999</v>
      </c>
      <c r="L1565" s="5">
        <v>1E-3</v>
      </c>
      <c r="M1565" s="5">
        <v>95035.034</v>
      </c>
      <c r="N1565" s="6">
        <v>5.91E-2</v>
      </c>
      <c r="O1565" s="5">
        <v>54.953000000000003</v>
      </c>
      <c r="P1565" s="6">
        <v>8.8700000000000001E-2</v>
      </c>
      <c r="Q1565" s="5">
        <v>1598635.8489999999</v>
      </c>
      <c r="R1565" s="1" t="s">
        <v>44</v>
      </c>
      <c r="S1565" s="1" t="s">
        <v>94</v>
      </c>
      <c r="T1565" s="1" t="s">
        <v>93</v>
      </c>
      <c r="V1565" s="1" t="s">
        <v>183</v>
      </c>
      <c r="Y1565" s="1" t="s">
        <v>35</v>
      </c>
      <c r="Z1565" s="1" t="str">
        <f t="shared" si="72"/>
        <v>7063 **2</v>
      </c>
      <c r="AA1565" s="3">
        <f>IF(INDEX('CAMD Facility Data 2023'!$AA$2:$AE$10000,MATCH(Z1565,'CAMD Facility Data 2023'!$AE$2:$AE$10000,0),1)&gt;0,INDEX('CAMD Facility Data 2023'!$AA$2:$AE$10000,MATCH(Z1565,'CAMD Facility Data 2023'!$AE$2:$AE$10000,0),1),"")</f>
        <v>35964</v>
      </c>
      <c r="AB1565" s="5">
        <f>IF(INDEX('CAMD Facility Data 2023'!$AC$2:$AE$10000,MATCH(Z1565,'CAMD Facility Data 2023'!$AE$2:$AE$10000,0),1)&gt;0,INDEX('CAMD Facility Data 2023'!$AC$2:$AE$10000,MATCH(Z1565,'CAMD Facility Data 2023'!$AE$2:$AE$10000,0),1),"")</f>
        <v>1423</v>
      </c>
      <c r="AC1565" s="1" t="str">
        <f>IF(INDEX('CAMD Facility Data 2023'!$AE$2:$AG$10000,MATCH(Z1565,'CAMD Facility Data 2023'!$AE$2:$AE$10000,0),3)&gt;0,INDEX('CAMD Facility Data 2023'!$AE$2:$AG$10000,MATCH(Z1565,'CAMD Facility Data 2023'!$AE$2:$AE$10000,0),3),"")</f>
        <v/>
      </c>
      <c r="AD1565" s="20">
        <f t="shared" si="73"/>
        <v>0.81780402809371811</v>
      </c>
      <c r="AE1565" s="25">
        <f t="shared" si="74"/>
        <v>0.12824502939317217</v>
      </c>
    </row>
    <row r="1566" spans="1:31" x14ac:dyDescent="0.2">
      <c r="A1566" s="1" t="s">
        <v>32</v>
      </c>
      <c r="B1566" s="1" t="s">
        <v>3871</v>
      </c>
      <c r="C1566" s="1">
        <v>7063</v>
      </c>
      <c r="D1566" s="1" t="s">
        <v>3876</v>
      </c>
      <c r="F1566" s="1">
        <v>2023</v>
      </c>
      <c r="G1566" s="5">
        <v>1678</v>
      </c>
      <c r="H1566" s="5">
        <v>1461.31</v>
      </c>
      <c r="I1566" s="5">
        <v>130596.45</v>
      </c>
      <c r="K1566" s="5">
        <v>0.47699999999999998</v>
      </c>
      <c r="L1566" s="5">
        <v>1E-3</v>
      </c>
      <c r="M1566" s="5">
        <v>94101.38</v>
      </c>
      <c r="N1566" s="6">
        <v>5.8999999999999997E-2</v>
      </c>
      <c r="O1566" s="5">
        <v>50.061999999999998</v>
      </c>
      <c r="P1566" s="6">
        <v>8.1799999999999998E-2</v>
      </c>
      <c r="Q1566" s="5">
        <v>1583191.317</v>
      </c>
      <c r="R1566" s="1" t="s">
        <v>44</v>
      </c>
      <c r="S1566" s="1" t="s">
        <v>94</v>
      </c>
      <c r="T1566" s="1" t="s">
        <v>93</v>
      </c>
      <c r="V1566" s="1" t="s">
        <v>183</v>
      </c>
      <c r="Y1566" s="1" t="s">
        <v>35</v>
      </c>
      <c r="Z1566" s="1" t="str">
        <f t="shared" si="72"/>
        <v>7063 **3</v>
      </c>
      <c r="AA1566" s="3">
        <f>IF(INDEX('CAMD Facility Data 2023'!$AA$2:$AE$10000,MATCH(Z1566,'CAMD Facility Data 2023'!$AE$2:$AE$10000,0),1)&gt;0,INDEX('CAMD Facility Data 2023'!$AA$2:$AE$10000,MATCH(Z1566,'CAMD Facility Data 2023'!$AE$2:$AE$10000,0),1),"")</f>
        <v>35974</v>
      </c>
      <c r="AB1566" s="5">
        <f>IF(INDEX('CAMD Facility Data 2023'!$AC$2:$AE$10000,MATCH(Z1566,'CAMD Facility Data 2023'!$AE$2:$AE$10000,0),1)&gt;0,INDEX('CAMD Facility Data 2023'!$AC$2:$AE$10000,MATCH(Z1566,'CAMD Facility Data 2023'!$AE$2:$AE$10000,0),1),"")</f>
        <v>1423</v>
      </c>
      <c r="AC1566" s="1" t="str">
        <f>IF(INDEX('CAMD Facility Data 2023'!$AE$2:$AG$10000,MATCH(Z1566,'CAMD Facility Data 2023'!$AE$2:$AE$10000,0),3)&gt;0,INDEX('CAMD Facility Data 2023'!$AE$2:$AG$10000,MATCH(Z1566,'CAMD Facility Data 2023'!$AE$2:$AE$10000,0),3),"")</f>
        <v/>
      </c>
      <c r="AD1566" s="20">
        <f t="shared" si="73"/>
        <v>0.76666708781134563</v>
      </c>
      <c r="AE1566" s="25">
        <f t="shared" si="74"/>
        <v>0.12700604525457504</v>
      </c>
    </row>
    <row r="1567" spans="1:31" x14ac:dyDescent="0.2">
      <c r="A1567" s="1" t="s">
        <v>32</v>
      </c>
      <c r="B1567" s="1" t="s">
        <v>3871</v>
      </c>
      <c r="C1567" s="1">
        <v>7063</v>
      </c>
      <c r="D1567" s="1" t="s">
        <v>569</v>
      </c>
      <c r="F1567" s="1">
        <v>2023</v>
      </c>
      <c r="G1567" s="5">
        <v>1779</v>
      </c>
      <c r="H1567" s="5">
        <v>1586.39</v>
      </c>
      <c r="I1567" s="5">
        <v>243498.64</v>
      </c>
      <c r="K1567" s="5">
        <v>0.76900000000000002</v>
      </c>
      <c r="L1567" s="5">
        <v>1E-3</v>
      </c>
      <c r="M1567" s="5">
        <v>152304.984</v>
      </c>
      <c r="N1567" s="6">
        <v>5.91E-2</v>
      </c>
      <c r="O1567" s="5">
        <v>49.920999999999999</v>
      </c>
      <c r="P1567" s="6">
        <v>4.5699999999999998E-2</v>
      </c>
      <c r="Q1567" s="5">
        <v>2562824.0180000002</v>
      </c>
      <c r="R1567" s="1" t="s">
        <v>44</v>
      </c>
      <c r="T1567" s="1" t="s">
        <v>93</v>
      </c>
      <c r="V1567" s="1" t="s">
        <v>140</v>
      </c>
      <c r="Y1567" s="1" t="s">
        <v>35</v>
      </c>
      <c r="Z1567" s="1" t="str">
        <f t="shared" si="72"/>
        <v>7063 **4</v>
      </c>
      <c r="AA1567" s="3">
        <f>IF(INDEX('CAMD Facility Data 2023'!$AA$2:$AE$10000,MATCH(Z1567,'CAMD Facility Data 2023'!$AE$2:$AE$10000,0),1)&gt;0,INDEX('CAMD Facility Data 2023'!$AA$2:$AE$10000,MATCH(Z1567,'CAMD Facility Data 2023'!$AE$2:$AE$10000,0),1),"")</f>
        <v>40416</v>
      </c>
      <c r="AB1567" s="5">
        <f>IF(INDEX('CAMD Facility Data 2023'!$AC$2:$AE$10000,MATCH(Z1567,'CAMD Facility Data 2023'!$AE$2:$AE$10000,0),1)&gt;0,INDEX('CAMD Facility Data 2023'!$AC$2:$AE$10000,MATCH(Z1567,'CAMD Facility Data 2023'!$AE$2:$AE$10000,0),1),"")</f>
        <v>2200</v>
      </c>
      <c r="AC1567" s="1" t="str">
        <f>IF(INDEX('CAMD Facility Data 2023'!$AE$2:$AG$10000,MATCH(Z1567,'CAMD Facility Data 2023'!$AE$2:$AE$10000,0),3)&gt;0,INDEX('CAMD Facility Data 2023'!$AE$2:$AG$10000,MATCH(Z1567,'CAMD Facility Data 2023'!$AE$2:$AE$10000,0),3),"")</f>
        <v/>
      </c>
      <c r="AD1567" s="20">
        <f t="shared" si="73"/>
        <v>0.41003103754501458</v>
      </c>
      <c r="AE1567" s="25">
        <f t="shared" si="74"/>
        <v>0.13298173609381486</v>
      </c>
    </row>
    <row r="1568" spans="1:31" x14ac:dyDescent="0.2">
      <c r="A1568" s="1" t="s">
        <v>32</v>
      </c>
      <c r="B1568" s="1" t="s">
        <v>3871</v>
      </c>
      <c r="C1568" s="1">
        <v>7063</v>
      </c>
      <c r="D1568" s="1" t="s">
        <v>2903</v>
      </c>
      <c r="F1568" s="1">
        <v>2023</v>
      </c>
      <c r="G1568" s="5">
        <v>1809</v>
      </c>
      <c r="H1568" s="5">
        <v>1607.1</v>
      </c>
      <c r="I1568" s="5">
        <v>248235.64</v>
      </c>
      <c r="K1568" s="5">
        <v>0.79100000000000004</v>
      </c>
      <c r="L1568" s="5">
        <v>1E-3</v>
      </c>
      <c r="M1568" s="5">
        <v>156704.45499999999</v>
      </c>
      <c r="N1568" s="6">
        <v>5.8999999999999997E-2</v>
      </c>
      <c r="O1568" s="5">
        <v>53.722999999999999</v>
      </c>
      <c r="P1568" s="6">
        <v>4.8000000000000001E-2</v>
      </c>
      <c r="Q1568" s="5">
        <v>2636844.2760000001</v>
      </c>
      <c r="R1568" s="1" t="s">
        <v>44</v>
      </c>
      <c r="T1568" s="1" t="s">
        <v>93</v>
      </c>
      <c r="V1568" s="1" t="s">
        <v>140</v>
      </c>
      <c r="Y1568" s="1" t="s">
        <v>35</v>
      </c>
      <c r="Z1568" s="1" t="str">
        <f t="shared" si="72"/>
        <v>7063 **5</v>
      </c>
      <c r="AA1568" s="3">
        <f>IF(INDEX('CAMD Facility Data 2023'!$AA$2:$AE$10000,MATCH(Z1568,'CAMD Facility Data 2023'!$AE$2:$AE$10000,0),1)&gt;0,INDEX('CAMD Facility Data 2023'!$AA$2:$AE$10000,MATCH(Z1568,'CAMD Facility Data 2023'!$AE$2:$AE$10000,0),1),"")</f>
        <v>40429</v>
      </c>
      <c r="AB1568" s="5">
        <f>IF(INDEX('CAMD Facility Data 2023'!$AC$2:$AE$10000,MATCH(Z1568,'CAMD Facility Data 2023'!$AE$2:$AE$10000,0),1)&gt;0,INDEX('CAMD Facility Data 2023'!$AC$2:$AE$10000,MATCH(Z1568,'CAMD Facility Data 2023'!$AE$2:$AE$10000,0),1),"")</f>
        <v>2200</v>
      </c>
      <c r="AC1568" s="1" t="str">
        <f>IF(INDEX('CAMD Facility Data 2023'!$AE$2:$AG$10000,MATCH(Z1568,'CAMD Facility Data 2023'!$AE$2:$AE$10000,0),3)&gt;0,INDEX('CAMD Facility Data 2023'!$AE$2:$AG$10000,MATCH(Z1568,'CAMD Facility Data 2023'!$AE$2:$AE$10000,0),3),"")</f>
        <v/>
      </c>
      <c r="AD1568" s="20">
        <f t="shared" si="73"/>
        <v>0.43283873339057999</v>
      </c>
      <c r="AE1568" s="25">
        <f t="shared" si="74"/>
        <v>0.13682255479452055</v>
      </c>
    </row>
    <row r="1569" spans="1:31" x14ac:dyDescent="0.2">
      <c r="A1569" s="1" t="s">
        <v>1903</v>
      </c>
      <c r="B1569" s="1" t="s">
        <v>3879</v>
      </c>
      <c r="C1569" s="1">
        <v>7082</v>
      </c>
      <c r="D1569" s="1" t="s">
        <v>3876</v>
      </c>
      <c r="F1569" s="1">
        <v>2023</v>
      </c>
      <c r="G1569" s="5">
        <v>1544</v>
      </c>
      <c r="H1569" s="5">
        <v>1333.57</v>
      </c>
      <c r="I1569" s="5">
        <v>86355.04</v>
      </c>
      <c r="K1569" s="5">
        <v>0.313</v>
      </c>
      <c r="L1569" s="5">
        <v>1E-3</v>
      </c>
      <c r="M1569" s="5">
        <v>61999.042000000001</v>
      </c>
      <c r="N1569" s="6">
        <v>5.8999999999999997E-2</v>
      </c>
      <c r="O1569" s="5">
        <v>18.262</v>
      </c>
      <c r="P1569" s="6">
        <v>4.5699999999999998E-2</v>
      </c>
      <c r="Q1569" s="5">
        <v>1043252.06</v>
      </c>
      <c r="R1569" s="1" t="s">
        <v>44</v>
      </c>
      <c r="T1569" s="1" t="s">
        <v>93</v>
      </c>
      <c r="V1569" s="1" t="s">
        <v>183</v>
      </c>
      <c r="Y1569" s="1" t="s">
        <v>247</v>
      </c>
      <c r="Z1569" s="1" t="str">
        <f t="shared" si="72"/>
        <v>7082 **3</v>
      </c>
      <c r="AA1569" s="3">
        <f>IF(INDEX('CAMD Facility Data 2023'!$AA$2:$AE$10000,MATCH(Z1569,'CAMD Facility Data 2023'!$AE$2:$AE$10000,0),1)&gt;0,INDEX('CAMD Facility Data 2023'!$AA$2:$AE$10000,MATCH(Z1569,'CAMD Facility Data 2023'!$AE$2:$AE$10000,0),1),"")</f>
        <v>34905</v>
      </c>
      <c r="AB1569" s="5">
        <f>IF(INDEX('CAMD Facility Data 2023'!$AC$2:$AE$10000,MATCH(Z1569,'CAMD Facility Data 2023'!$AE$2:$AE$10000,0),1)&gt;0,INDEX('CAMD Facility Data 2023'!$AC$2:$AE$10000,MATCH(Z1569,'CAMD Facility Data 2023'!$AE$2:$AE$10000,0),1),"")</f>
        <v>960</v>
      </c>
      <c r="AC1569" s="1" t="str">
        <f>IF(INDEX('CAMD Facility Data 2023'!$AE$2:$AG$10000,MATCH(Z1569,'CAMD Facility Data 2023'!$AE$2:$AE$10000,0),3)&gt;0,INDEX('CAMD Facility Data 2023'!$AE$2:$AG$10000,MATCH(Z1569,'CAMD Facility Data 2023'!$AE$2:$AE$10000,0),3),"")</f>
        <v/>
      </c>
      <c r="AD1569" s="20">
        <f t="shared" si="73"/>
        <v>0.42295157294814528</v>
      </c>
      <c r="AE1569" s="25">
        <f t="shared" si="74"/>
        <v>0.1240548967846271</v>
      </c>
    </row>
    <row r="1570" spans="1:31" x14ac:dyDescent="0.2">
      <c r="A1570" s="1" t="s">
        <v>1903</v>
      </c>
      <c r="B1570" s="1" t="s">
        <v>3879</v>
      </c>
      <c r="C1570" s="1">
        <v>7082</v>
      </c>
      <c r="D1570" s="1" t="s">
        <v>569</v>
      </c>
      <c r="F1570" s="1">
        <v>2023</v>
      </c>
      <c r="G1570" s="5">
        <v>1666</v>
      </c>
      <c r="H1570" s="5">
        <v>1448.63</v>
      </c>
      <c r="I1570" s="5">
        <v>100013.95</v>
      </c>
      <c r="K1570" s="5">
        <v>0.33200000000000002</v>
      </c>
      <c r="L1570" s="5">
        <v>1E-3</v>
      </c>
      <c r="M1570" s="5">
        <v>65766.258000000002</v>
      </c>
      <c r="N1570" s="6">
        <v>5.9499999999999997E-2</v>
      </c>
      <c r="O1570" s="5">
        <v>12.708</v>
      </c>
      <c r="P1570" s="6">
        <v>3.49E-2</v>
      </c>
      <c r="Q1570" s="5">
        <v>1106641.1310000001</v>
      </c>
      <c r="R1570" s="1" t="s">
        <v>44</v>
      </c>
      <c r="T1570" s="1" t="s">
        <v>93</v>
      </c>
      <c r="V1570" s="1" t="s">
        <v>140</v>
      </c>
      <c r="Y1570" s="1" t="s">
        <v>247</v>
      </c>
      <c r="Z1570" s="1" t="str">
        <f t="shared" si="72"/>
        <v>7082 **4</v>
      </c>
      <c r="AA1570" s="3">
        <f>IF(INDEX('CAMD Facility Data 2023'!$AA$2:$AE$10000,MATCH(Z1570,'CAMD Facility Data 2023'!$AE$2:$AE$10000,0),1)&gt;0,INDEX('CAMD Facility Data 2023'!$AA$2:$AE$10000,MATCH(Z1570,'CAMD Facility Data 2023'!$AE$2:$AE$10000,0),1),"")</f>
        <v>38811</v>
      </c>
      <c r="AB1570" s="5">
        <f>IF(INDEX('CAMD Facility Data 2023'!$AC$2:$AE$10000,MATCH(Z1570,'CAMD Facility Data 2023'!$AE$2:$AE$10000,0),1)&gt;0,INDEX('CAMD Facility Data 2023'!$AC$2:$AE$10000,MATCH(Z1570,'CAMD Facility Data 2023'!$AE$2:$AE$10000,0),1),"")</f>
        <v>1060</v>
      </c>
      <c r="AC1570" s="1" t="str">
        <f>IF(INDEX('CAMD Facility Data 2023'!$AE$2:$AG$10000,MATCH(Z1570,'CAMD Facility Data 2023'!$AE$2:$AE$10000,0),3)&gt;0,INDEX('CAMD Facility Data 2023'!$AE$2:$AG$10000,MATCH(Z1570,'CAMD Facility Data 2023'!$AE$2:$AE$10000,0),3),"")</f>
        <v/>
      </c>
      <c r="AD1570" s="20">
        <f t="shared" si="73"/>
        <v>0.25412454962532727</v>
      </c>
      <c r="AE1570" s="25">
        <f t="shared" si="74"/>
        <v>0.11917820399327993</v>
      </c>
    </row>
    <row r="1571" spans="1:31" x14ac:dyDescent="0.2">
      <c r="A1571" s="1" t="s">
        <v>1903</v>
      </c>
      <c r="B1571" s="1" t="s">
        <v>3879</v>
      </c>
      <c r="C1571" s="1">
        <v>7082</v>
      </c>
      <c r="D1571" s="1" t="s">
        <v>2903</v>
      </c>
      <c r="F1571" s="1">
        <v>2023</v>
      </c>
      <c r="G1571" s="5">
        <v>5168</v>
      </c>
      <c r="H1571" s="5">
        <v>5023.75</v>
      </c>
      <c r="I1571" s="5">
        <v>994346.14</v>
      </c>
      <c r="K1571" s="5">
        <v>2.1480000000000001</v>
      </c>
      <c r="L1571" s="5">
        <v>1E-3</v>
      </c>
      <c r="M1571" s="5">
        <v>425538.875</v>
      </c>
      <c r="N1571" s="6">
        <v>5.8999999999999997E-2</v>
      </c>
      <c r="O1571" s="5">
        <v>30.838999999999999</v>
      </c>
      <c r="P1571" s="6">
        <v>1.52E-2</v>
      </c>
      <c r="Q1571" s="5">
        <v>7160566.9639999997</v>
      </c>
      <c r="R1571" s="1" t="s">
        <v>44</v>
      </c>
      <c r="T1571" s="1" t="s">
        <v>71</v>
      </c>
      <c r="V1571" s="1" t="s">
        <v>64</v>
      </c>
      <c r="Y1571" s="1" t="s">
        <v>247</v>
      </c>
      <c r="Z1571" s="1" t="str">
        <f t="shared" si="72"/>
        <v>7082 **5</v>
      </c>
      <c r="AA1571" s="3">
        <f>IF(INDEX('CAMD Facility Data 2023'!$AA$2:$AE$10000,MATCH(Z1571,'CAMD Facility Data 2023'!$AE$2:$AE$10000,0),1)&gt;0,INDEX('CAMD Facility Data 2023'!$AA$2:$AE$10000,MATCH(Z1571,'CAMD Facility Data 2023'!$AE$2:$AE$10000,0),1),"")</f>
        <v>40566</v>
      </c>
      <c r="AB1571" s="5">
        <f>IF(INDEX('CAMD Facility Data 2023'!$AC$2:$AE$10000,MATCH(Z1571,'CAMD Facility Data 2023'!$AE$2:$AE$10000,0),1)&gt;0,INDEX('CAMD Facility Data 2023'!$AC$2:$AE$10000,MATCH(Z1571,'CAMD Facility Data 2023'!$AE$2:$AE$10000,0),1),"")</f>
        <v>2100</v>
      </c>
      <c r="AC1571" s="1" t="str">
        <f>IF(INDEX('CAMD Facility Data 2023'!$AE$2:$AG$10000,MATCH(Z1571,'CAMD Facility Data 2023'!$AE$2:$AE$10000,0),3)&gt;0,INDEX('CAMD Facility Data 2023'!$AE$2:$AG$10000,MATCH(Z1571,'CAMD Facility Data 2023'!$AE$2:$AE$10000,0),3),"")</f>
        <v>Y</v>
      </c>
      <c r="AD1571" s="20">
        <f t="shared" si="73"/>
        <v>6.2028701594798771E-2</v>
      </c>
      <c r="AE1571" s="25">
        <f t="shared" si="74"/>
        <v>0.38924586671015438</v>
      </c>
    </row>
    <row r="1572" spans="1:31" x14ac:dyDescent="0.2">
      <c r="A1572" s="1" t="s">
        <v>1903</v>
      </c>
      <c r="B1572" s="1" t="s">
        <v>3879</v>
      </c>
      <c r="C1572" s="1">
        <v>7082</v>
      </c>
      <c r="D1572" s="1" t="s">
        <v>3882</v>
      </c>
      <c r="F1572" s="1">
        <v>2023</v>
      </c>
      <c r="G1572" s="5">
        <v>4832</v>
      </c>
      <c r="H1572" s="5">
        <v>4650.99</v>
      </c>
      <c r="I1572" s="5">
        <v>946204.72</v>
      </c>
      <c r="K1572" s="5">
        <v>2.0259999999999998</v>
      </c>
      <c r="L1572" s="5">
        <v>1E-3</v>
      </c>
      <c r="M1572" s="5">
        <v>401391.34499999997</v>
      </c>
      <c r="N1572" s="6">
        <v>5.91E-2</v>
      </c>
      <c r="O1572" s="5">
        <v>24.818000000000001</v>
      </c>
      <c r="P1572" s="6">
        <v>1.26E-2</v>
      </c>
      <c r="Q1572" s="5">
        <v>6754216.2759999996</v>
      </c>
      <c r="R1572" s="1" t="s">
        <v>44</v>
      </c>
      <c r="T1572" s="1" t="s">
        <v>71</v>
      </c>
      <c r="V1572" s="1" t="s">
        <v>64</v>
      </c>
      <c r="Y1572" s="1" t="s">
        <v>247</v>
      </c>
      <c r="Z1572" s="1" t="str">
        <f t="shared" si="72"/>
        <v>7082 **6</v>
      </c>
      <c r="AA1572" s="3">
        <f>IF(INDEX('CAMD Facility Data 2023'!$AA$2:$AE$10000,MATCH(Z1572,'CAMD Facility Data 2023'!$AE$2:$AE$10000,0),1)&gt;0,INDEX('CAMD Facility Data 2023'!$AA$2:$AE$10000,MATCH(Z1572,'CAMD Facility Data 2023'!$AE$2:$AE$10000,0),1),"")</f>
        <v>40576</v>
      </c>
      <c r="AB1572" s="5">
        <f>IF(INDEX('CAMD Facility Data 2023'!$AC$2:$AE$10000,MATCH(Z1572,'CAMD Facility Data 2023'!$AE$2:$AE$10000,0),1)&gt;0,INDEX('CAMD Facility Data 2023'!$AC$2:$AE$10000,MATCH(Z1572,'CAMD Facility Data 2023'!$AE$2:$AE$10000,0),1),"")</f>
        <v>2100</v>
      </c>
      <c r="AC1572" s="1" t="str">
        <f>IF(INDEX('CAMD Facility Data 2023'!$AE$2:$AG$10000,MATCH(Z1572,'CAMD Facility Data 2023'!$AE$2:$AE$10000,0),3)&gt;0,INDEX('CAMD Facility Data 2023'!$AE$2:$AG$10000,MATCH(Z1572,'CAMD Facility Data 2023'!$AE$2:$AE$10000,0),3),"")</f>
        <v>Y</v>
      </c>
      <c r="AD1572" s="20">
        <f t="shared" si="73"/>
        <v>5.2457992388792986E-2</v>
      </c>
      <c r="AE1572" s="25">
        <f t="shared" si="74"/>
        <v>0.36715678821482928</v>
      </c>
    </row>
    <row r="1573" spans="1:31" x14ac:dyDescent="0.2">
      <c r="A1573" s="1" t="s">
        <v>383</v>
      </c>
      <c r="B1573" s="1" t="s">
        <v>3884</v>
      </c>
      <c r="C1573" s="1">
        <v>7097</v>
      </c>
      <c r="D1573" s="1" t="s">
        <v>3872</v>
      </c>
      <c r="F1573" s="1">
        <v>2023</v>
      </c>
      <c r="G1573" s="5">
        <v>6385</v>
      </c>
      <c r="H1573" s="5">
        <v>6369.13</v>
      </c>
      <c r="I1573" s="5">
        <v>1978413.19</v>
      </c>
      <c r="K1573" s="5">
        <v>448.61200000000002</v>
      </c>
      <c r="L1573" s="5">
        <v>3.4500000000000003E-2</v>
      </c>
      <c r="M1573" s="5">
        <v>2239502.5389999999</v>
      </c>
      <c r="N1573" s="6">
        <v>0.1028</v>
      </c>
      <c r="O1573" s="5">
        <v>1519.587</v>
      </c>
      <c r="P1573" s="6">
        <v>0.14849999999999999</v>
      </c>
      <c r="Q1573" s="5">
        <v>21827513.862</v>
      </c>
      <c r="R1573" s="1" t="s">
        <v>55</v>
      </c>
      <c r="T1573" s="1" t="s">
        <v>43</v>
      </c>
      <c r="U1573" s="1" t="s">
        <v>56</v>
      </c>
      <c r="V1573" s="1" t="s">
        <v>213</v>
      </c>
      <c r="W1573" s="1" t="s">
        <v>232</v>
      </c>
      <c r="Y1573" s="1" t="s">
        <v>337</v>
      </c>
      <c r="Z1573" s="1" t="str">
        <f t="shared" si="72"/>
        <v>7097 **1</v>
      </c>
      <c r="AA1573" s="3">
        <f>IF(INDEX('CAMD Facility Data 2023'!$AA$2:$AE$10000,MATCH(Z1573,'CAMD Facility Data 2023'!$AE$2:$AE$10000,0),1)&gt;0,INDEX('CAMD Facility Data 2023'!$AA$2:$AE$10000,MATCH(Z1573,'CAMD Facility Data 2023'!$AE$2:$AE$10000,0),1),"")</f>
        <v>33948</v>
      </c>
      <c r="AB1573" s="5">
        <f>IF(INDEX('CAMD Facility Data 2023'!$AC$2:$AE$10000,MATCH(Z1573,'CAMD Facility Data 2023'!$AE$2:$AE$10000,0),1)&gt;0,INDEX('CAMD Facility Data 2023'!$AC$2:$AE$10000,MATCH(Z1573,'CAMD Facility Data 2023'!$AE$2:$AE$10000,0),1),"")</f>
        <v>6366</v>
      </c>
      <c r="AC1573" s="1" t="str">
        <f>IF(INDEX('CAMD Facility Data 2023'!$AE$2:$AG$10000,MATCH(Z1573,'CAMD Facility Data 2023'!$AE$2:$AE$10000,0),3)&gt;0,INDEX('CAMD Facility Data 2023'!$AE$2:$AG$10000,MATCH(Z1573,'CAMD Facility Data 2023'!$AE$2:$AE$10000,0),3),"")</f>
        <v/>
      </c>
      <c r="AD1573" s="20">
        <f t="shared" si="73"/>
        <v>1.5361674777350227</v>
      </c>
      <c r="AE1573" s="25">
        <f t="shared" si="74"/>
        <v>0.39141145565697905</v>
      </c>
    </row>
    <row r="1574" spans="1:31" x14ac:dyDescent="0.2">
      <c r="A1574" s="1" t="s">
        <v>383</v>
      </c>
      <c r="B1574" s="1" t="s">
        <v>3884</v>
      </c>
      <c r="C1574" s="1">
        <v>7097</v>
      </c>
      <c r="D1574" s="1" t="s">
        <v>3875</v>
      </c>
      <c r="F1574" s="1">
        <v>2023</v>
      </c>
      <c r="G1574" s="5">
        <v>5916</v>
      </c>
      <c r="H1574" s="5">
        <v>5886.35</v>
      </c>
      <c r="I1574" s="5">
        <v>3431576.97</v>
      </c>
      <c r="K1574" s="5">
        <v>169.446</v>
      </c>
      <c r="L1574" s="5">
        <v>1.03E-2</v>
      </c>
      <c r="M1574" s="5">
        <v>3904858.4419999998</v>
      </c>
      <c r="N1574" s="6">
        <v>0.1026</v>
      </c>
      <c r="O1574" s="5">
        <v>897.14700000000005</v>
      </c>
      <c r="P1574" s="6">
        <v>4.4600000000000001E-2</v>
      </c>
      <c r="Q1574" s="5">
        <v>38059070.229000002</v>
      </c>
      <c r="R1574" s="1" t="s">
        <v>55</v>
      </c>
      <c r="T1574" s="1" t="s">
        <v>43</v>
      </c>
      <c r="U1574" s="1" t="s">
        <v>56</v>
      </c>
      <c r="V1574" s="1" t="s">
        <v>223</v>
      </c>
      <c r="W1574" s="1" t="s">
        <v>232</v>
      </c>
      <c r="Y1574" s="1" t="s">
        <v>337</v>
      </c>
      <c r="Z1574" s="1" t="str">
        <f t="shared" si="72"/>
        <v>7097 **2</v>
      </c>
      <c r="AA1574" s="3">
        <f>IF(INDEX('CAMD Facility Data 2023'!$AA$2:$AE$10000,MATCH(Z1574,'CAMD Facility Data 2023'!$AE$2:$AE$10000,0),1)&gt;0,INDEX('CAMD Facility Data 2023'!$AA$2:$AE$10000,MATCH(Z1574,'CAMD Facility Data 2023'!$AE$2:$AE$10000,0),1),"")</f>
        <v>40139</v>
      </c>
      <c r="AB1574" s="5">
        <f>IF(INDEX('CAMD Facility Data 2023'!$AC$2:$AE$10000,MATCH(Z1574,'CAMD Facility Data 2023'!$AE$2:$AE$10000,0),1)&gt;0,INDEX('CAMD Facility Data 2023'!$AC$2:$AE$10000,MATCH(Z1574,'CAMD Facility Data 2023'!$AE$2:$AE$10000,0),1),"")</f>
        <v>9727.9</v>
      </c>
      <c r="AC1574" s="1" t="str">
        <f>IF(INDEX('CAMD Facility Data 2023'!$AE$2:$AG$10000,MATCH(Z1574,'CAMD Facility Data 2023'!$AE$2:$AE$10000,0),3)&gt;0,INDEX('CAMD Facility Data 2023'!$AE$2:$AG$10000,MATCH(Z1574,'CAMD Facility Data 2023'!$AE$2:$AE$10000,0),3),"")</f>
        <v>Y</v>
      </c>
      <c r="AD1574" s="20">
        <f t="shared" si="73"/>
        <v>0.52287738718563548</v>
      </c>
      <c r="AE1574" s="25">
        <f t="shared" si="74"/>
        <v>0.44661671277516007</v>
      </c>
    </row>
    <row r="1575" spans="1:31" x14ac:dyDescent="0.2">
      <c r="A1575" s="1" t="s">
        <v>1980</v>
      </c>
      <c r="B1575" s="1" t="s">
        <v>3886</v>
      </c>
      <c r="C1575" s="1">
        <v>7138</v>
      </c>
      <c r="D1575" s="1">
        <v>2001</v>
      </c>
      <c r="E1575" s="1" t="s">
        <v>3887</v>
      </c>
      <c r="F1575" s="1">
        <v>2023</v>
      </c>
      <c r="G1575" s="5">
        <v>93</v>
      </c>
      <c r="H1575" s="5">
        <v>73.56</v>
      </c>
      <c r="I1575" s="5">
        <v>2206.6999999999998</v>
      </c>
      <c r="K1575" s="5">
        <v>5.8000000000000003E-2</v>
      </c>
      <c r="L1575" s="5">
        <v>4.0000000000000001E-3</v>
      </c>
      <c r="M1575" s="5">
        <v>1792.6</v>
      </c>
      <c r="N1575" s="6">
        <v>5.8999999999999997E-2</v>
      </c>
      <c r="O1575" s="5">
        <v>3.6629999999999998</v>
      </c>
      <c r="P1575" s="6">
        <v>0.3805</v>
      </c>
      <c r="Q1575" s="5">
        <v>29668.2</v>
      </c>
      <c r="R1575" s="1" t="s">
        <v>94</v>
      </c>
      <c r="S1575" s="1" t="s">
        <v>44</v>
      </c>
      <c r="T1575" s="1" t="s">
        <v>93</v>
      </c>
      <c r="V1575" s="1" t="s">
        <v>95</v>
      </c>
      <c r="Y1575" s="1" t="s">
        <v>1528</v>
      </c>
      <c r="Z1575" s="1" t="str">
        <f t="shared" si="72"/>
        <v>7138 2001</v>
      </c>
      <c r="AA1575" s="3">
        <f>IF(INDEX('CAMD Facility Data 2023'!$AA$2:$AE$10000,MATCH(Z1575,'CAMD Facility Data 2023'!$AE$2:$AE$10000,0),1)&gt;0,INDEX('CAMD Facility Data 2023'!$AA$2:$AE$10000,MATCH(Z1575,'CAMD Facility Data 2023'!$AE$2:$AE$10000,0),1),"")</f>
        <v>32509</v>
      </c>
      <c r="AB1575" s="5">
        <f>IF(INDEX('CAMD Facility Data 2023'!$AC$2:$AE$10000,MATCH(Z1575,'CAMD Facility Data 2023'!$AE$2:$AE$10000,0),1)&gt;0,INDEX('CAMD Facility Data 2023'!$AC$2:$AE$10000,MATCH(Z1575,'CAMD Facility Data 2023'!$AE$2:$AE$10000,0),1),"")</f>
        <v>550</v>
      </c>
      <c r="AC1575" s="1" t="str">
        <f>IF(INDEX('CAMD Facility Data 2023'!$AE$2:$AG$10000,MATCH(Z1575,'CAMD Facility Data 2023'!$AE$2:$AE$10000,0),3)&gt;0,INDEX('CAMD Facility Data 2023'!$AE$2:$AG$10000,MATCH(Z1575,'CAMD Facility Data 2023'!$AE$2:$AE$10000,0),3),"")</f>
        <v/>
      </c>
      <c r="AD1575" s="20">
        <f t="shared" si="73"/>
        <v>3.3198894276521504</v>
      </c>
      <c r="AE1575" s="25">
        <f t="shared" si="74"/>
        <v>6.1577833125778334E-3</v>
      </c>
    </row>
    <row r="1576" spans="1:31" x14ac:dyDescent="0.2">
      <c r="A1576" s="1" t="s">
        <v>1980</v>
      </c>
      <c r="B1576" s="1" t="s">
        <v>3886</v>
      </c>
      <c r="C1576" s="1">
        <v>7138</v>
      </c>
      <c r="D1576" s="1">
        <v>3001</v>
      </c>
      <c r="E1576" s="1" t="s">
        <v>3887</v>
      </c>
      <c r="F1576" s="1">
        <v>2023</v>
      </c>
      <c r="G1576" s="5">
        <v>82</v>
      </c>
      <c r="H1576" s="5">
        <v>61.71</v>
      </c>
      <c r="I1576" s="5">
        <v>1807.1</v>
      </c>
      <c r="K1576" s="5">
        <v>1.0999999999999999E-2</v>
      </c>
      <c r="L1576" s="5">
        <v>1.2999999999999999E-3</v>
      </c>
      <c r="M1576" s="5">
        <v>1387.9</v>
      </c>
      <c r="N1576" s="6">
        <v>5.91E-2</v>
      </c>
      <c r="O1576" s="5">
        <v>3.4569999999999999</v>
      </c>
      <c r="P1576" s="6">
        <v>0.43020000000000003</v>
      </c>
      <c r="Q1576" s="5">
        <v>23480</v>
      </c>
      <c r="R1576" s="1" t="s">
        <v>94</v>
      </c>
      <c r="S1576" s="1" t="s">
        <v>44</v>
      </c>
      <c r="T1576" s="1" t="s">
        <v>93</v>
      </c>
      <c r="V1576" s="1" t="s">
        <v>183</v>
      </c>
      <c r="Y1576" s="1" t="s">
        <v>1528</v>
      </c>
      <c r="Z1576" s="1" t="str">
        <f t="shared" si="72"/>
        <v>7138 3001</v>
      </c>
      <c r="AA1576" s="3">
        <f>IF(INDEX('CAMD Facility Data 2023'!$AA$2:$AE$10000,MATCH(Z1576,'CAMD Facility Data 2023'!$AE$2:$AE$10000,0),1)&gt;0,INDEX('CAMD Facility Data 2023'!$AA$2:$AE$10000,MATCH(Z1576,'CAMD Facility Data 2023'!$AE$2:$AE$10000,0),1),"")</f>
        <v>32509</v>
      </c>
      <c r="AB1576" s="5">
        <f>IF(INDEX('CAMD Facility Data 2023'!$AC$2:$AE$10000,MATCH(Z1576,'CAMD Facility Data 2023'!$AE$2:$AE$10000,0),1)&gt;0,INDEX('CAMD Facility Data 2023'!$AC$2:$AE$10000,MATCH(Z1576,'CAMD Facility Data 2023'!$AE$2:$AE$10000,0),1),"")</f>
        <v>550</v>
      </c>
      <c r="AC1576" s="1" t="str">
        <f>IF(INDEX('CAMD Facility Data 2023'!$AE$2:$AG$10000,MATCH(Z1576,'CAMD Facility Data 2023'!$AE$2:$AE$10000,0),3)&gt;0,INDEX('CAMD Facility Data 2023'!$AE$2:$AG$10000,MATCH(Z1576,'CAMD Facility Data 2023'!$AE$2:$AE$10000,0),3),"")</f>
        <v/>
      </c>
      <c r="AD1576" s="20">
        <f t="shared" si="73"/>
        <v>3.8260195893973772</v>
      </c>
      <c r="AE1576" s="25">
        <f t="shared" si="74"/>
        <v>4.8733914487339141E-3</v>
      </c>
    </row>
    <row r="1577" spans="1:31" x14ac:dyDescent="0.2">
      <c r="A1577" s="1" t="s">
        <v>1186</v>
      </c>
      <c r="B1577" s="1" t="s">
        <v>3893</v>
      </c>
      <c r="C1577" s="1">
        <v>7145</v>
      </c>
      <c r="D1577" s="1">
        <v>1</v>
      </c>
      <c r="F1577" s="1">
        <v>2023</v>
      </c>
      <c r="G1577" s="5">
        <v>239</v>
      </c>
      <c r="H1577" s="5">
        <v>239</v>
      </c>
      <c r="I1577" s="5">
        <v>4118</v>
      </c>
      <c r="K1577" s="5">
        <v>0.182</v>
      </c>
      <c r="L1577" s="5">
        <v>7.0000000000000001E-3</v>
      </c>
      <c r="O1577" s="5">
        <v>6.7320000000000002</v>
      </c>
      <c r="P1577" s="6">
        <v>0.2351</v>
      </c>
      <c r="Q1577" s="5">
        <v>57274.3</v>
      </c>
      <c r="R1577" s="1" t="s">
        <v>44</v>
      </c>
      <c r="S1577" s="1" t="s">
        <v>94</v>
      </c>
      <c r="T1577" s="1" t="s">
        <v>93</v>
      </c>
      <c r="V1577" s="1" t="s">
        <v>95</v>
      </c>
      <c r="Y1577" s="1" t="s">
        <v>1195</v>
      </c>
      <c r="Z1577" s="1" t="str">
        <f t="shared" si="72"/>
        <v>7145 1</v>
      </c>
      <c r="AA1577" s="3">
        <f>IF(INDEX('CAMD Facility Data 2023'!$AA$2:$AE$10000,MATCH(Z1577,'CAMD Facility Data 2023'!$AE$2:$AE$10000,0),1)&gt;0,INDEX('CAMD Facility Data 2023'!$AA$2:$AE$10000,MATCH(Z1577,'CAMD Facility Data 2023'!$AE$2:$AE$10000,0),1),"")</f>
        <v>33032</v>
      </c>
      <c r="AB1577" s="5">
        <f>IF(INDEX('CAMD Facility Data 2023'!$AC$2:$AE$10000,MATCH(Z1577,'CAMD Facility Data 2023'!$AE$2:$AE$10000,0),1)&gt;0,INDEX('CAMD Facility Data 2023'!$AC$2:$AE$10000,MATCH(Z1577,'CAMD Facility Data 2023'!$AE$2:$AE$10000,0),1),"")</f>
        <v>506.8</v>
      </c>
      <c r="AC1577" s="1" t="str">
        <f>IF(INDEX('CAMD Facility Data 2023'!$AE$2:$AG$10000,MATCH(Z1577,'CAMD Facility Data 2023'!$AE$2:$AE$10000,0),3)&gt;0,INDEX('CAMD Facility Data 2023'!$AE$2:$AG$10000,MATCH(Z1577,'CAMD Facility Data 2023'!$AE$2:$AE$10000,0),3),"")</f>
        <v/>
      </c>
      <c r="AD1577" s="20">
        <f t="shared" si="73"/>
        <v>3.2695483244293344</v>
      </c>
      <c r="AE1577" s="25">
        <f t="shared" si="74"/>
        <v>1.2900872337128298E-2</v>
      </c>
    </row>
    <row r="1578" spans="1:31" x14ac:dyDescent="0.2">
      <c r="A1578" s="1" t="s">
        <v>1186</v>
      </c>
      <c r="B1578" s="1" t="s">
        <v>3893</v>
      </c>
      <c r="C1578" s="1">
        <v>7145</v>
      </c>
      <c r="D1578" s="1">
        <v>2</v>
      </c>
      <c r="F1578" s="1">
        <v>2023</v>
      </c>
      <c r="G1578" s="5">
        <v>214</v>
      </c>
      <c r="H1578" s="5">
        <v>214</v>
      </c>
      <c r="I1578" s="5">
        <v>3936</v>
      </c>
      <c r="K1578" s="5">
        <v>8.4000000000000005E-2</v>
      </c>
      <c r="L1578" s="5">
        <v>3.0999999999999999E-3</v>
      </c>
      <c r="O1578" s="5">
        <v>6.6449999999999996</v>
      </c>
      <c r="P1578" s="6">
        <v>0.2346</v>
      </c>
      <c r="Q1578" s="5">
        <v>56685.7</v>
      </c>
      <c r="R1578" s="1" t="s">
        <v>44</v>
      </c>
      <c r="S1578" s="1" t="s">
        <v>94</v>
      </c>
      <c r="T1578" s="1" t="s">
        <v>93</v>
      </c>
      <c r="V1578" s="1" t="s">
        <v>95</v>
      </c>
      <c r="Y1578" s="1" t="s">
        <v>1195</v>
      </c>
      <c r="Z1578" s="1" t="str">
        <f t="shared" si="72"/>
        <v>7145 2</v>
      </c>
      <c r="AA1578" s="3">
        <f>IF(INDEX('CAMD Facility Data 2023'!$AA$2:$AE$10000,MATCH(Z1578,'CAMD Facility Data 2023'!$AE$2:$AE$10000,0),1)&gt;0,INDEX('CAMD Facility Data 2023'!$AA$2:$AE$10000,MATCH(Z1578,'CAMD Facility Data 2023'!$AE$2:$AE$10000,0),1),"")</f>
        <v>33032</v>
      </c>
      <c r="AB1578" s="5">
        <f>IF(INDEX('CAMD Facility Data 2023'!$AC$2:$AE$10000,MATCH(Z1578,'CAMD Facility Data 2023'!$AE$2:$AE$10000,0),1)&gt;0,INDEX('CAMD Facility Data 2023'!$AC$2:$AE$10000,MATCH(Z1578,'CAMD Facility Data 2023'!$AE$2:$AE$10000,0),1),"")</f>
        <v>506.8</v>
      </c>
      <c r="AC1578" s="1" t="str">
        <f>IF(INDEX('CAMD Facility Data 2023'!$AE$2:$AG$10000,MATCH(Z1578,'CAMD Facility Data 2023'!$AE$2:$AE$10000,0),3)&gt;0,INDEX('CAMD Facility Data 2023'!$AE$2:$AG$10000,MATCH(Z1578,'CAMD Facility Data 2023'!$AE$2:$AE$10000,0),3),"")</f>
        <v/>
      </c>
      <c r="AD1578" s="20">
        <f t="shared" si="73"/>
        <v>3.3765243902439024</v>
      </c>
      <c r="AE1578" s="25">
        <f t="shared" si="74"/>
        <v>1.2768291869839587E-2</v>
      </c>
    </row>
    <row r="1579" spans="1:31" x14ac:dyDescent="0.2">
      <c r="A1579" s="1" t="s">
        <v>1186</v>
      </c>
      <c r="B1579" s="1" t="s">
        <v>3893</v>
      </c>
      <c r="C1579" s="1">
        <v>7145</v>
      </c>
      <c r="D1579" s="1">
        <v>3</v>
      </c>
      <c r="F1579" s="1">
        <v>2023</v>
      </c>
      <c r="G1579" s="5">
        <v>251</v>
      </c>
      <c r="H1579" s="5">
        <v>208.55</v>
      </c>
      <c r="I1579" s="5">
        <v>8531.6299999999992</v>
      </c>
      <c r="K1579" s="5">
        <v>0.109</v>
      </c>
      <c r="L1579" s="5">
        <v>3.0999999999999999E-3</v>
      </c>
      <c r="M1579" s="5">
        <v>7344.2439999999997</v>
      </c>
      <c r="N1579" s="6">
        <v>5.9700000000000003E-2</v>
      </c>
      <c r="O1579" s="5">
        <v>12.839</v>
      </c>
      <c r="P1579" s="6">
        <v>0.20610000000000001</v>
      </c>
      <c r="Q1579" s="5">
        <v>123058.99400000001</v>
      </c>
      <c r="R1579" s="1" t="s">
        <v>44</v>
      </c>
      <c r="S1579" s="1" t="s">
        <v>94</v>
      </c>
      <c r="T1579" s="1" t="s">
        <v>93</v>
      </c>
      <c r="V1579" s="1" t="s">
        <v>95</v>
      </c>
      <c r="Y1579" s="1" t="s">
        <v>1207</v>
      </c>
      <c r="Z1579" s="1" t="str">
        <f t="shared" si="72"/>
        <v>7145 3</v>
      </c>
      <c r="AA1579" s="3">
        <f>IF(INDEX('CAMD Facility Data 2023'!$AA$2:$AE$10000,MATCH(Z1579,'CAMD Facility Data 2023'!$AE$2:$AE$10000,0),1)&gt;0,INDEX('CAMD Facility Data 2023'!$AA$2:$AE$10000,MATCH(Z1579,'CAMD Facility Data 2023'!$AE$2:$AE$10000,0),1),"")</f>
        <v>34510</v>
      </c>
      <c r="AB1579" s="5">
        <f>IF(INDEX('CAMD Facility Data 2023'!$AC$2:$AE$10000,MATCH(Z1579,'CAMD Facility Data 2023'!$AE$2:$AE$10000,0),1)&gt;0,INDEX('CAMD Facility Data 2023'!$AC$2:$AE$10000,MATCH(Z1579,'CAMD Facility Data 2023'!$AE$2:$AE$10000,0),1),"")</f>
        <v>1387</v>
      </c>
      <c r="AC1579" s="1" t="str">
        <f>IF(INDEX('CAMD Facility Data 2023'!$AE$2:$AG$10000,MATCH(Z1579,'CAMD Facility Data 2023'!$AE$2:$AE$10000,0),3)&gt;0,INDEX('CAMD Facility Data 2023'!$AE$2:$AG$10000,MATCH(Z1579,'CAMD Facility Data 2023'!$AE$2:$AE$10000,0),3),"")</f>
        <v/>
      </c>
      <c r="AD1579" s="20">
        <f t="shared" si="73"/>
        <v>3.0097413975992868</v>
      </c>
      <c r="AE1579" s="25">
        <f t="shared" si="74"/>
        <v>1.0128212231648741E-2</v>
      </c>
    </row>
    <row r="1580" spans="1:31" x14ac:dyDescent="0.2">
      <c r="A1580" s="1" t="s">
        <v>2089</v>
      </c>
      <c r="B1580" s="1" t="s">
        <v>3898</v>
      </c>
      <c r="C1580" s="1">
        <v>7146</v>
      </c>
      <c r="D1580" s="1" t="s">
        <v>3899</v>
      </c>
      <c r="F1580" s="1">
        <v>2023</v>
      </c>
      <c r="G1580" s="5">
        <v>143</v>
      </c>
      <c r="H1580" s="5">
        <v>93.25</v>
      </c>
      <c r="I1580" s="5">
        <v>5669.89</v>
      </c>
      <c r="K1580" s="5">
        <v>3.7999999999999999E-2</v>
      </c>
      <c r="L1580" s="5">
        <v>1E-3</v>
      </c>
      <c r="M1580" s="5">
        <v>6137.8360000000002</v>
      </c>
      <c r="N1580" s="6">
        <v>8.1000000000000003E-2</v>
      </c>
      <c r="O1580" s="5">
        <v>10.343</v>
      </c>
      <c r="P1580" s="6">
        <v>0.28649999999999998</v>
      </c>
      <c r="Q1580" s="5">
        <v>75642.061000000002</v>
      </c>
      <c r="R1580" s="1" t="s">
        <v>94</v>
      </c>
      <c r="T1580" s="1" t="s">
        <v>93</v>
      </c>
      <c r="V1580" s="1" t="s">
        <v>3900</v>
      </c>
      <c r="Y1580" s="1" t="s">
        <v>1528</v>
      </c>
      <c r="Z1580" s="1" t="str">
        <f t="shared" si="72"/>
        <v>7146 UGT007</v>
      </c>
      <c r="AA1580" s="3">
        <f>IF(INDEX('CAMD Facility Data 2023'!$AA$2:$AE$10000,MATCH(Z1580,'CAMD Facility Data 2023'!$AE$2:$AE$10000,0),1)&gt;0,INDEX('CAMD Facility Data 2023'!$AA$2:$AE$10000,MATCH(Z1580,'CAMD Facility Data 2023'!$AE$2:$AE$10000,0),1),"")</f>
        <v>32690</v>
      </c>
      <c r="AB1580" s="5">
        <f>IF(INDEX('CAMD Facility Data 2023'!$AC$2:$AE$10000,MATCH(Z1580,'CAMD Facility Data 2023'!$AE$2:$AE$10000,0),1)&gt;0,INDEX('CAMD Facility Data 2023'!$AC$2:$AE$10000,MATCH(Z1580,'CAMD Facility Data 2023'!$AE$2:$AE$10000,0),1),"")</f>
        <v>1164</v>
      </c>
      <c r="AC1580" s="1" t="str">
        <f>IF(INDEX('CAMD Facility Data 2023'!$AE$2:$AG$10000,MATCH(Z1580,'CAMD Facility Data 2023'!$AE$2:$AE$10000,0),3)&gt;0,INDEX('CAMD Facility Data 2023'!$AE$2:$AG$10000,MATCH(Z1580,'CAMD Facility Data 2023'!$AE$2:$AE$10000,0),3),"")</f>
        <v/>
      </c>
      <c r="AD1580" s="20">
        <f t="shared" si="73"/>
        <v>3.6483952951468193</v>
      </c>
      <c r="AE1580" s="25">
        <f t="shared" si="74"/>
        <v>7.4183320191749443E-3</v>
      </c>
    </row>
    <row r="1581" spans="1:31" x14ac:dyDescent="0.2">
      <c r="A1581" s="1" t="s">
        <v>2089</v>
      </c>
      <c r="B1581" s="1" t="s">
        <v>3898</v>
      </c>
      <c r="C1581" s="1">
        <v>7146</v>
      </c>
      <c r="D1581" s="1" t="s">
        <v>3902</v>
      </c>
      <c r="F1581" s="1">
        <v>2023</v>
      </c>
      <c r="G1581" s="5">
        <v>89</v>
      </c>
      <c r="H1581" s="5">
        <v>57.81</v>
      </c>
      <c r="I1581" s="5">
        <v>3439.42</v>
      </c>
      <c r="K1581" s="5">
        <v>2.3E-2</v>
      </c>
      <c r="L1581" s="5">
        <v>1E-3</v>
      </c>
      <c r="M1581" s="5">
        <v>3713.8829999999998</v>
      </c>
      <c r="N1581" s="6">
        <v>8.1699999999999995E-2</v>
      </c>
      <c r="O1581" s="5">
        <v>5.085</v>
      </c>
      <c r="P1581" s="6">
        <v>0.2772</v>
      </c>
      <c r="Q1581" s="5">
        <v>45772.934999999998</v>
      </c>
      <c r="R1581" s="1" t="s">
        <v>94</v>
      </c>
      <c r="T1581" s="1" t="s">
        <v>93</v>
      </c>
      <c r="V1581" s="1" t="s">
        <v>3900</v>
      </c>
      <c r="Y1581" s="1" t="s">
        <v>1528</v>
      </c>
      <c r="Z1581" s="1" t="str">
        <f t="shared" si="72"/>
        <v>7146 UGT008</v>
      </c>
      <c r="AA1581" s="3">
        <f>IF(INDEX('CAMD Facility Data 2023'!$AA$2:$AE$10000,MATCH(Z1581,'CAMD Facility Data 2023'!$AE$2:$AE$10000,0),1)&gt;0,INDEX('CAMD Facility Data 2023'!$AA$2:$AE$10000,MATCH(Z1581,'CAMD Facility Data 2023'!$AE$2:$AE$10000,0),1),"")</f>
        <v>32690</v>
      </c>
      <c r="AB1581" s="5">
        <f>IF(INDEX('CAMD Facility Data 2023'!$AC$2:$AE$10000,MATCH(Z1581,'CAMD Facility Data 2023'!$AE$2:$AE$10000,0),1)&gt;0,INDEX('CAMD Facility Data 2023'!$AC$2:$AE$10000,MATCH(Z1581,'CAMD Facility Data 2023'!$AE$2:$AE$10000,0),1),"")</f>
        <v>1164</v>
      </c>
      <c r="AC1581" s="1" t="str">
        <f>IF(INDEX('CAMD Facility Data 2023'!$AE$2:$AG$10000,MATCH(Z1581,'CAMD Facility Data 2023'!$AE$2:$AE$10000,0),3)&gt;0,INDEX('CAMD Facility Data 2023'!$AE$2:$AG$10000,MATCH(Z1581,'CAMD Facility Data 2023'!$AE$2:$AE$10000,0),3),"")</f>
        <v/>
      </c>
      <c r="AD1581" s="20">
        <f t="shared" si="73"/>
        <v>2.9568938949008845</v>
      </c>
      <c r="AE1581" s="25">
        <f t="shared" si="74"/>
        <v>4.4890213835145692E-3</v>
      </c>
    </row>
    <row r="1582" spans="1:31" x14ac:dyDescent="0.2">
      <c r="A1582" s="1" t="s">
        <v>2089</v>
      </c>
      <c r="B1582" s="1" t="s">
        <v>3898</v>
      </c>
      <c r="C1582" s="1">
        <v>7146</v>
      </c>
      <c r="D1582" s="1" t="s">
        <v>3904</v>
      </c>
      <c r="F1582" s="1">
        <v>2023</v>
      </c>
      <c r="G1582" s="5">
        <v>123</v>
      </c>
      <c r="H1582" s="5">
        <v>85.8</v>
      </c>
      <c r="I1582" s="5">
        <v>5276.96</v>
      </c>
      <c r="K1582" s="5">
        <v>3.5000000000000003E-2</v>
      </c>
      <c r="L1582" s="5">
        <v>1E-3</v>
      </c>
      <c r="M1582" s="5">
        <v>5637.4750000000004</v>
      </c>
      <c r="N1582" s="6">
        <v>8.1500000000000003E-2</v>
      </c>
      <c r="O1582" s="5">
        <v>8</v>
      </c>
      <c r="P1582" s="6">
        <v>0.2361</v>
      </c>
      <c r="Q1582" s="5">
        <v>69474.255000000005</v>
      </c>
      <c r="R1582" s="1" t="s">
        <v>94</v>
      </c>
      <c r="T1582" s="1" t="s">
        <v>93</v>
      </c>
      <c r="V1582" s="1" t="s">
        <v>3900</v>
      </c>
      <c r="Y1582" s="1" t="s">
        <v>1528</v>
      </c>
      <c r="Z1582" s="1" t="str">
        <f t="shared" si="72"/>
        <v>7146 UGT009</v>
      </c>
      <c r="AA1582" s="3">
        <f>IF(INDEX('CAMD Facility Data 2023'!$AA$2:$AE$10000,MATCH(Z1582,'CAMD Facility Data 2023'!$AE$2:$AE$10000,0),1)&gt;0,INDEX('CAMD Facility Data 2023'!$AA$2:$AE$10000,MATCH(Z1582,'CAMD Facility Data 2023'!$AE$2:$AE$10000,0),1),"")</f>
        <v>32690</v>
      </c>
      <c r="AB1582" s="5">
        <f>IF(INDEX('CAMD Facility Data 2023'!$AC$2:$AE$10000,MATCH(Z1582,'CAMD Facility Data 2023'!$AE$2:$AE$10000,0),1)&gt;0,INDEX('CAMD Facility Data 2023'!$AC$2:$AE$10000,MATCH(Z1582,'CAMD Facility Data 2023'!$AE$2:$AE$10000,0),1),"")</f>
        <v>1164</v>
      </c>
      <c r="AC1582" s="1" t="str">
        <f>IF(INDEX('CAMD Facility Data 2023'!$AE$2:$AG$10000,MATCH(Z1582,'CAMD Facility Data 2023'!$AE$2:$AE$10000,0),3)&gt;0,INDEX('CAMD Facility Data 2023'!$AE$2:$AG$10000,MATCH(Z1582,'CAMD Facility Data 2023'!$AE$2:$AE$10000,0),3),"")</f>
        <v/>
      </c>
      <c r="AD1582" s="20">
        <f t="shared" si="73"/>
        <v>3.0320487553439861</v>
      </c>
      <c r="AE1582" s="25">
        <f t="shared" si="74"/>
        <v>6.8134458998258254E-3</v>
      </c>
    </row>
    <row r="1583" spans="1:31" x14ac:dyDescent="0.2">
      <c r="A1583" s="1" t="s">
        <v>2089</v>
      </c>
      <c r="B1583" s="1" t="s">
        <v>3898</v>
      </c>
      <c r="C1583" s="1">
        <v>7146</v>
      </c>
      <c r="D1583" s="1" t="s">
        <v>3906</v>
      </c>
      <c r="E1583" s="1" t="s">
        <v>1330</v>
      </c>
      <c r="F1583" s="1">
        <v>2023</v>
      </c>
      <c r="G1583" s="5">
        <v>21</v>
      </c>
      <c r="H1583" s="5">
        <v>21</v>
      </c>
      <c r="I1583" s="5">
        <v>564</v>
      </c>
      <c r="K1583" s="5">
        <v>3.0000000000000001E-3</v>
      </c>
      <c r="L1583" s="5">
        <v>8.9999999999999998E-4</v>
      </c>
      <c r="M1583" s="5">
        <v>664.2</v>
      </c>
      <c r="N1583" s="6">
        <v>8.1100000000000005E-2</v>
      </c>
      <c r="O1583" s="5">
        <v>2.399</v>
      </c>
      <c r="P1583" s="6">
        <v>0.58499999999999996</v>
      </c>
      <c r="Q1583" s="5">
        <v>8200.1</v>
      </c>
      <c r="R1583" s="1" t="s">
        <v>94</v>
      </c>
      <c r="T1583" s="1" t="s">
        <v>93</v>
      </c>
      <c r="Y1583" s="1" t="s">
        <v>1528</v>
      </c>
      <c r="Z1583" s="1" t="str">
        <f t="shared" si="72"/>
        <v>7146 UGT013</v>
      </c>
      <c r="AA1583" s="3">
        <f>IF(INDEX('CAMD Facility Data 2023'!$AA$2:$AE$10000,MATCH(Z1583,'CAMD Facility Data 2023'!$AE$2:$AE$10000,0),1)&gt;0,INDEX('CAMD Facility Data 2023'!$AA$2:$AE$10000,MATCH(Z1583,'CAMD Facility Data 2023'!$AE$2:$AE$10000,0),1),"")</f>
        <v>26115</v>
      </c>
      <c r="AB1583" s="5">
        <f>IF(INDEX('CAMD Facility Data 2023'!$AC$2:$AE$10000,MATCH(Z1583,'CAMD Facility Data 2023'!$AE$2:$AE$10000,0),1)&gt;0,INDEX('CAMD Facility Data 2023'!$AC$2:$AE$10000,MATCH(Z1583,'CAMD Facility Data 2023'!$AE$2:$AE$10000,0),1),"")</f>
        <v>686</v>
      </c>
      <c r="AC1583" s="1" t="str">
        <f>IF(INDEX('CAMD Facility Data 2023'!$AE$2:$AG$10000,MATCH(Z1583,'CAMD Facility Data 2023'!$AE$2:$AE$10000,0),3)&gt;0,INDEX('CAMD Facility Data 2023'!$AE$2:$AG$10000,MATCH(Z1583,'CAMD Facility Data 2023'!$AE$2:$AE$10000,0),3),"")</f>
        <v/>
      </c>
      <c r="AD1583" s="20">
        <f t="shared" si="73"/>
        <v>8.5070921985815602</v>
      </c>
      <c r="AE1583" s="25">
        <f t="shared" si="74"/>
        <v>1.3645546281134764E-3</v>
      </c>
    </row>
    <row r="1584" spans="1:31" x14ac:dyDescent="0.2">
      <c r="A1584" s="1" t="s">
        <v>2089</v>
      </c>
      <c r="B1584" s="1" t="s">
        <v>3898</v>
      </c>
      <c r="C1584" s="1">
        <v>7146</v>
      </c>
      <c r="D1584" s="1" t="s">
        <v>3908</v>
      </c>
      <c r="E1584" s="1" t="s">
        <v>1330</v>
      </c>
      <c r="F1584" s="1">
        <v>2023</v>
      </c>
      <c r="G1584" s="5">
        <v>56</v>
      </c>
      <c r="H1584" s="5">
        <v>56</v>
      </c>
      <c r="I1584" s="5">
        <v>598</v>
      </c>
      <c r="M1584" s="5">
        <v>733.5</v>
      </c>
      <c r="N1584" s="6">
        <v>8.09E-2</v>
      </c>
      <c r="O1584" s="5">
        <v>3.601</v>
      </c>
      <c r="P1584" s="6">
        <v>0.79590000000000005</v>
      </c>
      <c r="Q1584" s="5">
        <v>9047.2000000000007</v>
      </c>
      <c r="R1584" s="1" t="s">
        <v>94</v>
      </c>
      <c r="T1584" s="1" t="s">
        <v>93</v>
      </c>
      <c r="Y1584" s="1" t="s">
        <v>617</v>
      </c>
      <c r="Z1584" s="1" t="str">
        <f t="shared" si="72"/>
        <v>7146 UGT014</v>
      </c>
      <c r="AA1584" s="3">
        <f>IF(INDEX('CAMD Facility Data 2023'!$AA$2:$AE$10000,MATCH(Z1584,'CAMD Facility Data 2023'!$AE$2:$AE$10000,0),1)&gt;0,INDEX('CAMD Facility Data 2023'!$AA$2:$AE$10000,MATCH(Z1584,'CAMD Facility Data 2023'!$AE$2:$AE$10000,0),1),"")</f>
        <v>30864</v>
      </c>
      <c r="AB1584" s="5">
        <f>IF(INDEX('CAMD Facility Data 2023'!$AC$2:$AE$10000,MATCH(Z1584,'CAMD Facility Data 2023'!$AE$2:$AE$10000,0),1)&gt;0,INDEX('CAMD Facility Data 2023'!$AC$2:$AE$10000,MATCH(Z1584,'CAMD Facility Data 2023'!$AE$2:$AE$10000,0),1),"")</f>
        <v>266</v>
      </c>
      <c r="AC1584" s="1" t="str">
        <f>IF(INDEX('CAMD Facility Data 2023'!$AE$2:$AG$10000,MATCH(Z1584,'CAMD Facility Data 2023'!$AE$2:$AE$10000,0),3)&gt;0,INDEX('CAMD Facility Data 2023'!$AE$2:$AG$10000,MATCH(Z1584,'CAMD Facility Data 2023'!$AE$2:$AE$10000,0),3),"")</f>
        <v/>
      </c>
      <c r="AD1584" s="20">
        <f t="shared" si="73"/>
        <v>12.043478260869565</v>
      </c>
      <c r="AE1584" s="25">
        <f t="shared" si="74"/>
        <v>3.88265183506712E-3</v>
      </c>
    </row>
    <row r="1585" spans="1:31" x14ac:dyDescent="0.2">
      <c r="A1585" s="1" t="s">
        <v>660</v>
      </c>
      <c r="B1585" s="1" t="s">
        <v>3909</v>
      </c>
      <c r="C1585" s="1">
        <v>7153</v>
      </c>
      <c r="D1585" s="1">
        <v>1</v>
      </c>
      <c r="F1585" s="1">
        <v>2023</v>
      </c>
      <c r="G1585" s="5">
        <v>2638</v>
      </c>
      <c r="H1585" s="5">
        <v>2424.5700000000002</v>
      </c>
      <c r="I1585" s="5">
        <v>99440.41</v>
      </c>
      <c r="M1585" s="5">
        <v>164281.101</v>
      </c>
      <c r="N1585" s="6">
        <v>5.91E-2</v>
      </c>
      <c r="O1585" s="5">
        <v>93.918999999999997</v>
      </c>
      <c r="P1585" s="6">
        <v>7.4899999999999994E-2</v>
      </c>
      <c r="Q1585" s="5">
        <v>2763957.8330000001</v>
      </c>
      <c r="R1585" s="1" t="s">
        <v>44</v>
      </c>
      <c r="S1585" s="1" t="s">
        <v>94</v>
      </c>
      <c r="T1585" s="1" t="s">
        <v>71</v>
      </c>
      <c r="V1585" s="1" t="s">
        <v>3910</v>
      </c>
      <c r="Y1585" s="1" t="s">
        <v>617</v>
      </c>
      <c r="Z1585" s="1" t="str">
        <f t="shared" si="72"/>
        <v>7153 1</v>
      </c>
      <c r="AA1585" s="3">
        <f>IF(INDEX('CAMD Facility Data 2023'!$AA$2:$AE$10000,MATCH(Z1585,'CAMD Facility Data 2023'!$AE$2:$AE$10000,0),1)&gt;0,INDEX('CAMD Facility Data 2023'!$AA$2:$AE$10000,MATCH(Z1585,'CAMD Facility Data 2023'!$AE$2:$AE$10000,0),1),"")</f>
        <v>32690</v>
      </c>
      <c r="AB1585" s="5">
        <f>IF(INDEX('CAMD Facility Data 2023'!$AC$2:$AE$10000,MATCH(Z1585,'CAMD Facility Data 2023'!$AE$2:$AE$10000,0),1)&gt;0,INDEX('CAMD Facility Data 2023'!$AC$2:$AE$10000,MATCH(Z1585,'CAMD Facility Data 2023'!$AE$2:$AE$10000,0),1),"")</f>
        <v>1751</v>
      </c>
      <c r="AC1585" s="1" t="str">
        <f>IF(INDEX('CAMD Facility Data 2023'!$AE$2:$AG$10000,MATCH(Z1585,'CAMD Facility Data 2023'!$AE$2:$AE$10000,0),3)&gt;0,INDEX('CAMD Facility Data 2023'!$AE$2:$AG$10000,MATCH(Z1585,'CAMD Facility Data 2023'!$AE$2:$AE$10000,0),3),"")</f>
        <v/>
      </c>
      <c r="AD1585" s="20">
        <f t="shared" si="73"/>
        <v>1.8889503774169876</v>
      </c>
      <c r="AE1585" s="25">
        <f t="shared" si="74"/>
        <v>0.18019434641392135</v>
      </c>
    </row>
    <row r="1586" spans="1:31" x14ac:dyDescent="0.2">
      <c r="A1586" s="1" t="s">
        <v>660</v>
      </c>
      <c r="B1586" s="1" t="s">
        <v>3909</v>
      </c>
      <c r="C1586" s="1">
        <v>7153</v>
      </c>
      <c r="D1586" s="1">
        <v>2</v>
      </c>
      <c r="F1586" s="1">
        <v>2023</v>
      </c>
      <c r="G1586" s="5">
        <v>2508</v>
      </c>
      <c r="H1586" s="5">
        <v>2292.5100000000002</v>
      </c>
      <c r="I1586" s="5">
        <v>303839.25</v>
      </c>
      <c r="M1586" s="5">
        <v>154990.54300000001</v>
      </c>
      <c r="N1586" s="6">
        <v>5.91E-2</v>
      </c>
      <c r="O1586" s="5">
        <v>93.558000000000007</v>
      </c>
      <c r="P1586" s="6">
        <v>7.8100000000000003E-2</v>
      </c>
      <c r="Q1586" s="5">
        <v>2607733.9890000001</v>
      </c>
      <c r="R1586" s="1" t="s">
        <v>44</v>
      </c>
      <c r="S1586" s="1" t="s">
        <v>94</v>
      </c>
      <c r="T1586" s="1" t="s">
        <v>71</v>
      </c>
      <c r="V1586" s="1" t="s">
        <v>3910</v>
      </c>
      <c r="Y1586" s="1" t="s">
        <v>617</v>
      </c>
      <c r="Z1586" s="1" t="str">
        <f t="shared" si="72"/>
        <v>7153 2</v>
      </c>
      <c r="AA1586" s="3">
        <f>IF(INDEX('CAMD Facility Data 2023'!$AA$2:$AE$10000,MATCH(Z1586,'CAMD Facility Data 2023'!$AE$2:$AE$10000,0),1)&gt;0,INDEX('CAMD Facility Data 2023'!$AA$2:$AE$10000,MATCH(Z1586,'CAMD Facility Data 2023'!$AE$2:$AE$10000,0),1),"")</f>
        <v>32629</v>
      </c>
      <c r="AB1586" s="5">
        <f>IF(INDEX('CAMD Facility Data 2023'!$AC$2:$AE$10000,MATCH(Z1586,'CAMD Facility Data 2023'!$AE$2:$AE$10000,0),1)&gt;0,INDEX('CAMD Facility Data 2023'!$AC$2:$AE$10000,MATCH(Z1586,'CAMD Facility Data 2023'!$AE$2:$AE$10000,0),1),"")</f>
        <v>1751</v>
      </c>
      <c r="AC1586" s="1" t="str">
        <f>IF(INDEX('CAMD Facility Data 2023'!$AE$2:$AG$10000,MATCH(Z1586,'CAMD Facility Data 2023'!$AE$2:$AE$10000,0),3)&gt;0,INDEX('CAMD Facility Data 2023'!$AE$2:$AG$10000,MATCH(Z1586,'CAMD Facility Data 2023'!$AE$2:$AE$10000,0),3),"")</f>
        <v/>
      </c>
      <c r="AD1586" s="20">
        <f t="shared" si="73"/>
        <v>0.615838802919636</v>
      </c>
      <c r="AE1586" s="25">
        <f t="shared" si="74"/>
        <v>0.17000943942013566</v>
      </c>
    </row>
    <row r="1587" spans="1:31" x14ac:dyDescent="0.2">
      <c r="A1587" s="1" t="s">
        <v>660</v>
      </c>
      <c r="B1587" s="1" t="s">
        <v>3909</v>
      </c>
      <c r="C1587" s="1">
        <v>7153</v>
      </c>
      <c r="D1587" s="1" t="s">
        <v>3876</v>
      </c>
      <c r="F1587" s="1">
        <v>2023</v>
      </c>
      <c r="G1587" s="5">
        <v>2360</v>
      </c>
      <c r="H1587" s="5">
        <v>2152.29</v>
      </c>
      <c r="I1587" s="5">
        <v>295743.92</v>
      </c>
      <c r="K1587" s="5">
        <v>0.751</v>
      </c>
      <c r="L1587" s="5">
        <v>1E-3</v>
      </c>
      <c r="M1587" s="5">
        <v>148705.609</v>
      </c>
      <c r="N1587" s="6">
        <v>5.91E-2</v>
      </c>
      <c r="O1587" s="5">
        <v>89.44</v>
      </c>
      <c r="P1587" s="6">
        <v>7.8100000000000003E-2</v>
      </c>
      <c r="Q1587" s="5">
        <v>2502044.0780000002</v>
      </c>
      <c r="R1587" s="1" t="s">
        <v>44</v>
      </c>
      <c r="S1587" s="1" t="s">
        <v>94</v>
      </c>
      <c r="T1587" s="1" t="s">
        <v>71</v>
      </c>
      <c r="V1587" s="1" t="s">
        <v>3910</v>
      </c>
      <c r="Y1587" s="1" t="s">
        <v>579</v>
      </c>
      <c r="Z1587" s="1" t="str">
        <f t="shared" si="72"/>
        <v>7153 **3</v>
      </c>
      <c r="AA1587" s="3">
        <f>IF(INDEX('CAMD Facility Data 2023'!$AA$2:$AE$10000,MATCH(Z1587,'CAMD Facility Data 2023'!$AE$2:$AE$10000,0),1)&gt;0,INDEX('CAMD Facility Data 2023'!$AA$2:$AE$10000,MATCH(Z1587,'CAMD Facility Data 2023'!$AE$2:$AE$10000,0),1),"")</f>
        <v>32874</v>
      </c>
      <c r="AB1587" s="5">
        <f>IF(INDEX('CAMD Facility Data 2023'!$AC$2:$AE$10000,MATCH(Z1587,'CAMD Facility Data 2023'!$AE$2:$AE$10000,0),1)&gt;0,INDEX('CAMD Facility Data 2023'!$AC$2:$AE$10000,MATCH(Z1587,'CAMD Facility Data 2023'!$AE$2:$AE$10000,0),1),"")</f>
        <v>1751</v>
      </c>
      <c r="AC1587" s="1" t="str">
        <f>IF(INDEX('CAMD Facility Data 2023'!$AE$2:$AG$10000,MATCH(Z1587,'CAMD Facility Data 2023'!$AE$2:$AE$10000,0),3)&gt;0,INDEX('CAMD Facility Data 2023'!$AE$2:$AG$10000,MATCH(Z1587,'CAMD Facility Data 2023'!$AE$2:$AE$10000,0),3),"")</f>
        <v/>
      </c>
      <c r="AD1587" s="20">
        <f t="shared" si="73"/>
        <v>0.6048475992338237</v>
      </c>
      <c r="AE1587" s="25">
        <f t="shared" si="74"/>
        <v>0.16311905773348043</v>
      </c>
    </row>
    <row r="1588" spans="1:31" x14ac:dyDescent="0.2">
      <c r="A1588" s="1" t="s">
        <v>660</v>
      </c>
      <c r="B1588" s="1" t="s">
        <v>3909</v>
      </c>
      <c r="C1588" s="1">
        <v>7153</v>
      </c>
      <c r="D1588" s="1">
        <v>5</v>
      </c>
      <c r="F1588" s="1">
        <v>2023</v>
      </c>
      <c r="G1588" s="5">
        <v>3159</v>
      </c>
      <c r="H1588" s="5">
        <v>2905.41</v>
      </c>
      <c r="I1588" s="5">
        <v>396101.6</v>
      </c>
      <c r="K1588" s="5">
        <v>0.96599999999999997</v>
      </c>
      <c r="L1588" s="5">
        <v>1E-3</v>
      </c>
      <c r="M1588" s="5">
        <v>191345.50399999999</v>
      </c>
      <c r="N1588" s="6">
        <v>5.8999999999999997E-2</v>
      </c>
      <c r="O1588" s="5">
        <v>23.61</v>
      </c>
      <c r="P1588" s="6">
        <v>2.0199999999999999E-2</v>
      </c>
      <c r="Q1588" s="5">
        <v>3219598.1150000002</v>
      </c>
      <c r="R1588" s="1" t="s">
        <v>44</v>
      </c>
      <c r="S1588" s="1" t="s">
        <v>94</v>
      </c>
      <c r="T1588" s="1" t="s">
        <v>71</v>
      </c>
      <c r="V1588" s="1" t="s">
        <v>3913</v>
      </c>
      <c r="Y1588" s="1" t="s">
        <v>579</v>
      </c>
      <c r="Z1588" s="1" t="str">
        <f t="shared" si="72"/>
        <v>7153 5</v>
      </c>
      <c r="AA1588" s="3">
        <f>IF(INDEX('CAMD Facility Data 2023'!$AA$2:$AE$10000,MATCH(Z1588,'CAMD Facility Data 2023'!$AE$2:$AE$10000,0),1)&gt;0,INDEX('CAMD Facility Data 2023'!$AA$2:$AE$10000,MATCH(Z1588,'CAMD Facility Data 2023'!$AE$2:$AE$10000,0),1),"")</f>
        <v>36982</v>
      </c>
      <c r="AB1588" s="5">
        <f>IF(INDEX('CAMD Facility Data 2023'!$AC$2:$AE$10000,MATCH(Z1588,'CAMD Facility Data 2023'!$AE$2:$AE$10000,0),1)&gt;0,INDEX('CAMD Facility Data 2023'!$AC$2:$AE$10000,MATCH(Z1588,'CAMD Facility Data 2023'!$AE$2:$AE$10000,0),1),"")</f>
        <v>1751</v>
      </c>
      <c r="AC1588" s="1" t="str">
        <f>IF(INDEX('CAMD Facility Data 2023'!$AE$2:$AG$10000,MATCH(Z1588,'CAMD Facility Data 2023'!$AE$2:$AE$10000,0),3)&gt;0,INDEX('CAMD Facility Data 2023'!$AE$2:$AG$10000,MATCH(Z1588,'CAMD Facility Data 2023'!$AE$2:$AE$10000,0),3),"")</f>
        <v>Y</v>
      </c>
      <c r="AD1588" s="20">
        <f t="shared" si="73"/>
        <v>0.11921183857878888</v>
      </c>
      <c r="AE1588" s="25">
        <f t="shared" si="74"/>
        <v>0.20989950393643295</v>
      </c>
    </row>
    <row r="1589" spans="1:31" x14ac:dyDescent="0.2">
      <c r="A1589" s="1" t="s">
        <v>660</v>
      </c>
      <c r="B1589" s="1" t="s">
        <v>3909</v>
      </c>
      <c r="C1589" s="1">
        <v>7153</v>
      </c>
      <c r="D1589" s="1">
        <v>6</v>
      </c>
      <c r="F1589" s="1">
        <v>2023</v>
      </c>
      <c r="G1589" s="5">
        <v>2826</v>
      </c>
      <c r="H1589" s="5">
        <v>2566.3200000000002</v>
      </c>
      <c r="I1589" s="5">
        <v>356290.32</v>
      </c>
      <c r="K1589" s="5">
        <v>0.85299999999999998</v>
      </c>
      <c r="L1589" s="5">
        <v>1E-3</v>
      </c>
      <c r="M1589" s="5">
        <v>169036.43900000001</v>
      </c>
      <c r="N1589" s="6">
        <v>5.91E-2</v>
      </c>
      <c r="O1589" s="5">
        <v>28.045999999999999</v>
      </c>
      <c r="P1589" s="6">
        <v>3.3300000000000003E-2</v>
      </c>
      <c r="Q1589" s="5">
        <v>2843493.054</v>
      </c>
      <c r="R1589" s="1" t="s">
        <v>44</v>
      </c>
      <c r="S1589" s="1" t="s">
        <v>94</v>
      </c>
      <c r="T1589" s="1" t="s">
        <v>71</v>
      </c>
      <c r="V1589" s="1" t="s">
        <v>3913</v>
      </c>
      <c r="Y1589" s="1" t="s">
        <v>579</v>
      </c>
      <c r="Z1589" s="1" t="str">
        <f t="shared" si="72"/>
        <v>7153 6</v>
      </c>
      <c r="AA1589" s="3">
        <f>IF(INDEX('CAMD Facility Data 2023'!$AA$2:$AE$10000,MATCH(Z1589,'CAMD Facility Data 2023'!$AE$2:$AE$10000,0),1)&gt;0,INDEX('CAMD Facility Data 2023'!$AA$2:$AE$10000,MATCH(Z1589,'CAMD Facility Data 2023'!$AE$2:$AE$10000,0),1),"")</f>
        <v>36982</v>
      </c>
      <c r="AB1589" s="5">
        <f>IF(INDEX('CAMD Facility Data 2023'!$AC$2:$AE$10000,MATCH(Z1589,'CAMD Facility Data 2023'!$AE$2:$AE$10000,0),1)&gt;0,INDEX('CAMD Facility Data 2023'!$AC$2:$AE$10000,MATCH(Z1589,'CAMD Facility Data 2023'!$AE$2:$AE$10000,0),1),"")</f>
        <v>1751</v>
      </c>
      <c r="AC1589" s="1" t="str">
        <f>IF(INDEX('CAMD Facility Data 2023'!$AE$2:$AG$10000,MATCH(Z1589,'CAMD Facility Data 2023'!$AE$2:$AE$10000,0),3)&gt;0,INDEX('CAMD Facility Data 2023'!$AE$2:$AG$10000,MATCH(Z1589,'CAMD Facility Data 2023'!$AE$2:$AE$10000,0),3),"")</f>
        <v>Y</v>
      </c>
      <c r="AD1589" s="20">
        <f t="shared" si="73"/>
        <v>0.15743340992255977</v>
      </c>
      <c r="AE1589" s="25">
        <f t="shared" si="74"/>
        <v>0.18537959091869224</v>
      </c>
    </row>
    <row r="1590" spans="1:31" x14ac:dyDescent="0.2">
      <c r="A1590" s="1" t="s">
        <v>660</v>
      </c>
      <c r="B1590" s="1" t="s">
        <v>3909</v>
      </c>
      <c r="C1590" s="1">
        <v>7153</v>
      </c>
      <c r="D1590" s="1">
        <v>7</v>
      </c>
      <c r="F1590" s="1">
        <v>2023</v>
      </c>
      <c r="G1590" s="5">
        <v>2830</v>
      </c>
      <c r="H1590" s="5">
        <v>2569.3200000000002</v>
      </c>
      <c r="I1590" s="5">
        <v>361929.57</v>
      </c>
      <c r="K1590" s="5">
        <v>0.89900000000000002</v>
      </c>
      <c r="L1590" s="5">
        <v>1E-3</v>
      </c>
      <c r="M1590" s="5">
        <v>178000.95600000001</v>
      </c>
      <c r="N1590" s="6">
        <v>5.91E-2</v>
      </c>
      <c r="O1590" s="5">
        <v>30.573</v>
      </c>
      <c r="P1590" s="6">
        <v>3.1600000000000003E-2</v>
      </c>
      <c r="Q1590" s="5">
        <v>2994829.45</v>
      </c>
      <c r="R1590" s="1" t="s">
        <v>44</v>
      </c>
      <c r="S1590" s="1" t="s">
        <v>94</v>
      </c>
      <c r="T1590" s="1" t="s">
        <v>71</v>
      </c>
      <c r="V1590" s="1" t="s">
        <v>3913</v>
      </c>
      <c r="Y1590" s="1" t="s">
        <v>579</v>
      </c>
      <c r="Z1590" s="1" t="str">
        <f t="shared" si="72"/>
        <v>7153 7</v>
      </c>
      <c r="AA1590" s="3">
        <f>IF(INDEX('CAMD Facility Data 2023'!$AA$2:$AE$10000,MATCH(Z1590,'CAMD Facility Data 2023'!$AE$2:$AE$10000,0),1)&gt;0,INDEX('CAMD Facility Data 2023'!$AA$2:$AE$10000,MATCH(Z1590,'CAMD Facility Data 2023'!$AE$2:$AE$10000,0),1),"")</f>
        <v>36982</v>
      </c>
      <c r="AB1590" s="5">
        <f>IF(INDEX('CAMD Facility Data 2023'!$AC$2:$AE$10000,MATCH(Z1590,'CAMD Facility Data 2023'!$AE$2:$AE$10000,0),1)&gt;0,INDEX('CAMD Facility Data 2023'!$AC$2:$AE$10000,MATCH(Z1590,'CAMD Facility Data 2023'!$AE$2:$AE$10000,0),1),"")</f>
        <v>2045</v>
      </c>
      <c r="AC1590" s="1" t="str">
        <f>IF(INDEX('CAMD Facility Data 2023'!$AE$2:$AG$10000,MATCH(Z1590,'CAMD Facility Data 2023'!$AE$2:$AE$10000,0),3)&gt;0,INDEX('CAMD Facility Data 2023'!$AE$2:$AG$10000,MATCH(Z1590,'CAMD Facility Data 2023'!$AE$2:$AE$10000,0),3),"")</f>
        <v>Y</v>
      </c>
      <c r="AD1590" s="20">
        <f t="shared" si="73"/>
        <v>0.16894447171033855</v>
      </c>
      <c r="AE1590" s="25">
        <f t="shared" si="74"/>
        <v>0.16717628752609662</v>
      </c>
    </row>
    <row r="1591" spans="1:31" x14ac:dyDescent="0.2">
      <c r="A1591" s="1" t="s">
        <v>1186</v>
      </c>
      <c r="B1591" s="1" t="s">
        <v>3918</v>
      </c>
      <c r="C1591" s="1">
        <v>7155</v>
      </c>
      <c r="D1591" s="1" t="s">
        <v>3872</v>
      </c>
      <c r="F1591" s="1">
        <v>2023</v>
      </c>
      <c r="G1591" s="5">
        <v>31</v>
      </c>
      <c r="H1591" s="5">
        <v>25.65</v>
      </c>
      <c r="I1591" s="5">
        <v>366.94</v>
      </c>
      <c r="K1591" s="5">
        <v>1.2999999999999999E-2</v>
      </c>
      <c r="L1591" s="5">
        <v>4.1000000000000003E-3</v>
      </c>
      <c r="M1591" s="5">
        <v>472.702</v>
      </c>
      <c r="N1591" s="6">
        <v>0.14549999999999999</v>
      </c>
      <c r="O1591" s="5">
        <v>0.66</v>
      </c>
      <c r="P1591" s="6">
        <v>0.22209999999999999</v>
      </c>
      <c r="Q1591" s="5">
        <v>5804.8770000000004</v>
      </c>
      <c r="R1591" s="1" t="s">
        <v>94</v>
      </c>
      <c r="T1591" s="1" t="s">
        <v>93</v>
      </c>
      <c r="V1591" s="1" t="s">
        <v>95</v>
      </c>
      <c r="Y1591" s="1" t="s">
        <v>1207</v>
      </c>
      <c r="Z1591" s="1" t="str">
        <f t="shared" si="72"/>
        <v>7155 **1</v>
      </c>
      <c r="AA1591" s="3">
        <f>IF(INDEX('CAMD Facility Data 2023'!$AA$2:$AE$10000,MATCH(Z1591,'CAMD Facility Data 2023'!$AE$2:$AE$10000,0),1)&gt;0,INDEX('CAMD Facility Data 2023'!$AA$2:$AE$10000,MATCH(Z1591,'CAMD Facility Data 2023'!$AE$2:$AE$10000,0),1),"")</f>
        <v>33359</v>
      </c>
      <c r="AB1591" s="5">
        <f>IF(INDEX('CAMD Facility Data 2023'!$AC$2:$AE$10000,MATCH(Z1591,'CAMD Facility Data 2023'!$AE$2:$AE$10000,0),1)&gt;0,INDEX('CAMD Facility Data 2023'!$AC$2:$AE$10000,MATCH(Z1591,'CAMD Facility Data 2023'!$AE$2:$AE$10000,0),1),"")</f>
        <v>632</v>
      </c>
      <c r="AC1591" s="1" t="str">
        <f>IF(INDEX('CAMD Facility Data 2023'!$AE$2:$AG$10000,MATCH(Z1591,'CAMD Facility Data 2023'!$AE$2:$AE$10000,0),3)&gt;0,INDEX('CAMD Facility Data 2023'!$AE$2:$AG$10000,MATCH(Z1591,'CAMD Facility Data 2023'!$AE$2:$AE$10000,0),3),"")</f>
        <v/>
      </c>
      <c r="AD1591" s="20">
        <f t="shared" si="73"/>
        <v>3.5973183626750966</v>
      </c>
      <c r="AE1591" s="25">
        <f t="shared" si="74"/>
        <v>1.0485082148430727E-3</v>
      </c>
    </row>
    <row r="1592" spans="1:31" x14ac:dyDescent="0.2">
      <c r="A1592" s="1" t="s">
        <v>1186</v>
      </c>
      <c r="B1592" s="1" t="s">
        <v>3918</v>
      </c>
      <c r="C1592" s="1">
        <v>7155</v>
      </c>
      <c r="D1592" s="1" t="s">
        <v>3875</v>
      </c>
      <c r="F1592" s="1">
        <v>2023</v>
      </c>
      <c r="G1592" s="5">
        <v>10</v>
      </c>
      <c r="H1592" s="5">
        <v>5.31</v>
      </c>
      <c r="I1592" s="5">
        <v>70.27</v>
      </c>
      <c r="K1592" s="5">
        <v>2E-3</v>
      </c>
      <c r="L1592" s="5">
        <v>2.8999999999999998E-3</v>
      </c>
      <c r="M1592" s="5">
        <v>75.900000000000006</v>
      </c>
      <c r="N1592" s="6">
        <v>9.0800000000000006E-2</v>
      </c>
      <c r="O1592" s="5">
        <v>0.127</v>
      </c>
      <c r="P1592" s="6">
        <v>0.23050000000000001</v>
      </c>
      <c r="Q1592" s="5">
        <v>933.49099999999999</v>
      </c>
      <c r="R1592" s="1" t="s">
        <v>94</v>
      </c>
      <c r="T1592" s="1" t="s">
        <v>93</v>
      </c>
      <c r="V1592" s="1" t="s">
        <v>95</v>
      </c>
      <c r="Y1592" s="1" t="s">
        <v>1207</v>
      </c>
      <c r="Z1592" s="1" t="str">
        <f t="shared" si="72"/>
        <v>7155 **2</v>
      </c>
      <c r="AA1592" s="3">
        <f>IF(INDEX('CAMD Facility Data 2023'!$AA$2:$AE$10000,MATCH(Z1592,'CAMD Facility Data 2023'!$AE$2:$AE$10000,0),1)&gt;0,INDEX('CAMD Facility Data 2023'!$AA$2:$AE$10000,MATCH(Z1592,'CAMD Facility Data 2023'!$AE$2:$AE$10000,0),1),"")</f>
        <v>33359</v>
      </c>
      <c r="AB1592" s="5">
        <f>IF(INDEX('CAMD Facility Data 2023'!$AC$2:$AE$10000,MATCH(Z1592,'CAMD Facility Data 2023'!$AE$2:$AE$10000,0),1)&gt;0,INDEX('CAMD Facility Data 2023'!$AC$2:$AE$10000,MATCH(Z1592,'CAMD Facility Data 2023'!$AE$2:$AE$10000,0),1),"")</f>
        <v>611.70000000000005</v>
      </c>
      <c r="AC1592" s="1" t="str">
        <f>IF(INDEX('CAMD Facility Data 2023'!$AE$2:$AG$10000,MATCH(Z1592,'CAMD Facility Data 2023'!$AE$2:$AE$10000,0),3)&gt;0,INDEX('CAMD Facility Data 2023'!$AE$2:$AG$10000,MATCH(Z1592,'CAMD Facility Data 2023'!$AE$2:$AE$10000,0),3),"")</f>
        <v/>
      </c>
      <c r="AD1592" s="20">
        <f t="shared" si="73"/>
        <v>3.6146292870357195</v>
      </c>
      <c r="AE1592" s="25">
        <f t="shared" si="74"/>
        <v>1.7420778084580512E-4</v>
      </c>
    </row>
    <row r="1593" spans="1:31" x14ac:dyDescent="0.2">
      <c r="A1593" s="1" t="s">
        <v>2430</v>
      </c>
      <c r="B1593" s="1" t="s">
        <v>3923</v>
      </c>
      <c r="C1593" s="1">
        <v>7158</v>
      </c>
      <c r="D1593" s="1" t="s">
        <v>1822</v>
      </c>
      <c r="F1593" s="1">
        <v>2023</v>
      </c>
      <c r="G1593" s="5">
        <v>1111</v>
      </c>
      <c r="H1593" s="5">
        <v>932.02</v>
      </c>
      <c r="I1593" s="5">
        <v>28738.17</v>
      </c>
      <c r="K1593" s="5">
        <v>0.16300000000000001</v>
      </c>
      <c r="L1593" s="5">
        <v>1E-3</v>
      </c>
      <c r="M1593" s="5">
        <v>30435.257000000001</v>
      </c>
      <c r="N1593" s="6">
        <v>5.9200000000000003E-2</v>
      </c>
      <c r="O1593" s="5">
        <v>31.027000000000001</v>
      </c>
      <c r="P1593" s="6">
        <v>0.1202</v>
      </c>
      <c r="Q1593" s="5">
        <v>511393.261</v>
      </c>
      <c r="R1593" s="1" t="s">
        <v>44</v>
      </c>
      <c r="S1593" s="1" t="s">
        <v>94</v>
      </c>
      <c r="T1593" s="1" t="s">
        <v>93</v>
      </c>
      <c r="V1593" s="1" t="s">
        <v>95</v>
      </c>
      <c r="Y1593" s="1" t="s">
        <v>461</v>
      </c>
      <c r="Z1593" s="1" t="str">
        <f t="shared" si="72"/>
        <v>7158 **GT1</v>
      </c>
      <c r="AA1593" s="3">
        <f>IF(INDEX('CAMD Facility Data 2023'!$AA$2:$AE$10000,MATCH(Z1593,'CAMD Facility Data 2023'!$AE$2:$AE$10000,0),1)&gt;0,INDEX('CAMD Facility Data 2023'!$AA$2:$AE$10000,MATCH(Z1593,'CAMD Facility Data 2023'!$AE$2:$AE$10000,0),1),"")</f>
        <v>34120</v>
      </c>
      <c r="AB1593" s="5">
        <f>IF(INDEX('CAMD Facility Data 2023'!$AC$2:$AE$10000,MATCH(Z1593,'CAMD Facility Data 2023'!$AE$2:$AE$10000,0),1)&gt;0,INDEX('CAMD Facility Data 2023'!$AC$2:$AE$10000,MATCH(Z1593,'CAMD Facility Data 2023'!$AE$2:$AE$10000,0),1),"")</f>
        <v>1314</v>
      </c>
      <c r="AC1593" s="1" t="str">
        <f>IF(INDEX('CAMD Facility Data 2023'!$AE$2:$AG$10000,MATCH(Z1593,'CAMD Facility Data 2023'!$AE$2:$AE$10000,0),3)&gt;0,INDEX('CAMD Facility Data 2023'!$AE$2:$AG$10000,MATCH(Z1593,'CAMD Facility Data 2023'!$AE$2:$AE$10000,0),3),"")</f>
        <v/>
      </c>
      <c r="AD1593" s="20">
        <f t="shared" si="73"/>
        <v>2.1592885002768099</v>
      </c>
      <c r="AE1593" s="25">
        <f t="shared" si="74"/>
        <v>4.4427873775915151E-2</v>
      </c>
    </row>
    <row r="1594" spans="1:31" x14ac:dyDescent="0.2">
      <c r="A1594" s="1" t="s">
        <v>2430</v>
      </c>
      <c r="B1594" s="1" t="s">
        <v>3923</v>
      </c>
      <c r="C1594" s="1">
        <v>7158</v>
      </c>
      <c r="D1594" s="1" t="s">
        <v>1826</v>
      </c>
      <c r="F1594" s="1">
        <v>2023</v>
      </c>
      <c r="G1594" s="5">
        <v>1343</v>
      </c>
      <c r="H1594" s="5">
        <v>1139.33</v>
      </c>
      <c r="I1594" s="5">
        <v>40168.79</v>
      </c>
      <c r="K1594" s="5">
        <v>0.21</v>
      </c>
      <c r="L1594" s="5">
        <v>1E-3</v>
      </c>
      <c r="M1594" s="5">
        <v>39853.565999999999</v>
      </c>
      <c r="N1594" s="6">
        <v>5.9200000000000003E-2</v>
      </c>
      <c r="O1594" s="5">
        <v>45.198999999999998</v>
      </c>
      <c r="P1594" s="6">
        <v>0.13589999999999999</v>
      </c>
      <c r="Q1594" s="5">
        <v>669951.64</v>
      </c>
      <c r="R1594" s="1" t="s">
        <v>44</v>
      </c>
      <c r="S1594" s="1" t="s">
        <v>94</v>
      </c>
      <c r="T1594" s="1" t="s">
        <v>93</v>
      </c>
      <c r="V1594" s="1" t="s">
        <v>95</v>
      </c>
      <c r="Y1594" s="1" t="s">
        <v>461</v>
      </c>
      <c r="Z1594" s="1" t="str">
        <f t="shared" si="72"/>
        <v>7158 **GT2</v>
      </c>
      <c r="AA1594" s="3">
        <f>IF(INDEX('CAMD Facility Data 2023'!$AA$2:$AE$10000,MATCH(Z1594,'CAMD Facility Data 2023'!$AE$2:$AE$10000,0),1)&gt;0,INDEX('CAMD Facility Data 2023'!$AA$2:$AE$10000,MATCH(Z1594,'CAMD Facility Data 2023'!$AE$2:$AE$10000,0),1),"")</f>
        <v>33816</v>
      </c>
      <c r="AB1594" s="5">
        <f>IF(INDEX('CAMD Facility Data 2023'!$AC$2:$AE$10000,MATCH(Z1594,'CAMD Facility Data 2023'!$AE$2:$AE$10000,0),1)&gt;0,INDEX('CAMD Facility Data 2023'!$AC$2:$AE$10000,MATCH(Z1594,'CAMD Facility Data 2023'!$AE$2:$AE$10000,0),1),"")</f>
        <v>1314</v>
      </c>
      <c r="AC1594" s="1" t="str">
        <f>IF(INDEX('CAMD Facility Data 2023'!$AE$2:$AG$10000,MATCH(Z1594,'CAMD Facility Data 2023'!$AE$2:$AE$10000,0),3)&gt;0,INDEX('CAMD Facility Data 2023'!$AE$2:$AG$10000,MATCH(Z1594,'CAMD Facility Data 2023'!$AE$2:$AE$10000,0),3),"")</f>
        <v/>
      </c>
      <c r="AD1594" s="20">
        <f t="shared" si="73"/>
        <v>2.2504536482179325</v>
      </c>
      <c r="AE1594" s="25">
        <f t="shared" si="74"/>
        <v>5.8202814092005312E-2</v>
      </c>
    </row>
    <row r="1595" spans="1:31" x14ac:dyDescent="0.2">
      <c r="A1595" s="1" t="s">
        <v>2430</v>
      </c>
      <c r="B1595" s="1" t="s">
        <v>3923</v>
      </c>
      <c r="C1595" s="1">
        <v>7158</v>
      </c>
      <c r="D1595" s="1" t="s">
        <v>1543</v>
      </c>
      <c r="F1595" s="1">
        <v>2023</v>
      </c>
      <c r="G1595" s="5">
        <v>585</v>
      </c>
      <c r="H1595" s="5">
        <v>489.26</v>
      </c>
      <c r="I1595" s="5">
        <v>16769.43</v>
      </c>
      <c r="K1595" s="5">
        <v>8.2000000000000003E-2</v>
      </c>
      <c r="L1595" s="5">
        <v>1E-3</v>
      </c>
      <c r="M1595" s="5">
        <v>16148.147000000001</v>
      </c>
      <c r="N1595" s="6">
        <v>5.9200000000000003E-2</v>
      </c>
      <c r="O1595" s="5">
        <v>14.57</v>
      </c>
      <c r="P1595" s="6">
        <v>0.1004</v>
      </c>
      <c r="Q1595" s="5">
        <v>271685.75300000003</v>
      </c>
      <c r="R1595" s="1" t="s">
        <v>44</v>
      </c>
      <c r="S1595" s="1" t="s">
        <v>94</v>
      </c>
      <c r="T1595" s="1" t="s">
        <v>93</v>
      </c>
      <c r="V1595" s="1" t="s">
        <v>95</v>
      </c>
      <c r="Y1595" s="1" t="s">
        <v>461</v>
      </c>
      <c r="Z1595" s="1" t="str">
        <f t="shared" si="72"/>
        <v>7158 **GT3</v>
      </c>
      <c r="AA1595" s="3">
        <f>IF(INDEX('CAMD Facility Data 2023'!$AA$2:$AE$10000,MATCH(Z1595,'CAMD Facility Data 2023'!$AE$2:$AE$10000,0),1)&gt;0,INDEX('CAMD Facility Data 2023'!$AA$2:$AE$10000,MATCH(Z1595,'CAMD Facility Data 2023'!$AE$2:$AE$10000,0),1),"")</f>
        <v>33755</v>
      </c>
      <c r="AB1595" s="5">
        <f>IF(INDEX('CAMD Facility Data 2023'!$AC$2:$AE$10000,MATCH(Z1595,'CAMD Facility Data 2023'!$AE$2:$AE$10000,0),1)&gt;0,INDEX('CAMD Facility Data 2023'!$AC$2:$AE$10000,MATCH(Z1595,'CAMD Facility Data 2023'!$AE$2:$AE$10000,0),1),"")</f>
        <v>1314</v>
      </c>
      <c r="AC1595" s="1" t="str">
        <f>IF(INDEX('CAMD Facility Data 2023'!$AE$2:$AG$10000,MATCH(Z1595,'CAMD Facility Data 2023'!$AE$2:$AE$10000,0),3)&gt;0,INDEX('CAMD Facility Data 2023'!$AE$2:$AG$10000,MATCH(Z1595,'CAMD Facility Data 2023'!$AE$2:$AE$10000,0),3),"")</f>
        <v/>
      </c>
      <c r="AD1595" s="20">
        <f t="shared" si="73"/>
        <v>1.7376857770359517</v>
      </c>
      <c r="AE1595" s="25">
        <f t="shared" si="74"/>
        <v>2.3603010171458758E-2</v>
      </c>
    </row>
    <row r="1596" spans="1:31" x14ac:dyDescent="0.2">
      <c r="A1596" s="1" t="s">
        <v>2430</v>
      </c>
      <c r="B1596" s="1" t="s">
        <v>3923</v>
      </c>
      <c r="C1596" s="1">
        <v>7158</v>
      </c>
      <c r="D1596" s="1" t="s">
        <v>1545</v>
      </c>
      <c r="F1596" s="1">
        <v>2023</v>
      </c>
      <c r="G1596" s="5">
        <v>1267</v>
      </c>
      <c r="H1596" s="5">
        <v>1082.02</v>
      </c>
      <c r="I1596" s="5">
        <v>37929.85</v>
      </c>
      <c r="K1596" s="5">
        <v>0.189</v>
      </c>
      <c r="L1596" s="5">
        <v>1E-3</v>
      </c>
      <c r="M1596" s="5">
        <v>37207.531000000003</v>
      </c>
      <c r="N1596" s="6">
        <v>5.9200000000000003E-2</v>
      </c>
      <c r="O1596" s="5">
        <v>44.447000000000003</v>
      </c>
      <c r="P1596" s="6">
        <v>0.1452</v>
      </c>
      <c r="Q1596" s="5">
        <v>626034.90399999998</v>
      </c>
      <c r="R1596" s="1" t="s">
        <v>44</v>
      </c>
      <c r="S1596" s="1" t="s">
        <v>94</v>
      </c>
      <c r="T1596" s="1" t="s">
        <v>93</v>
      </c>
      <c r="V1596" s="1" t="s">
        <v>95</v>
      </c>
      <c r="Y1596" s="1" t="s">
        <v>461</v>
      </c>
      <c r="Z1596" s="1" t="str">
        <f t="shared" si="72"/>
        <v>7158 **GT4</v>
      </c>
      <c r="AA1596" s="3">
        <f>IF(INDEX('CAMD Facility Data 2023'!$AA$2:$AE$10000,MATCH(Z1596,'CAMD Facility Data 2023'!$AE$2:$AE$10000,0),1)&gt;0,INDEX('CAMD Facility Data 2023'!$AA$2:$AE$10000,MATCH(Z1596,'CAMD Facility Data 2023'!$AE$2:$AE$10000,0),1),"")</f>
        <v>33816</v>
      </c>
      <c r="AB1596" s="5">
        <f>IF(INDEX('CAMD Facility Data 2023'!$AC$2:$AE$10000,MATCH(Z1596,'CAMD Facility Data 2023'!$AE$2:$AE$10000,0),1)&gt;0,INDEX('CAMD Facility Data 2023'!$AC$2:$AE$10000,MATCH(Z1596,'CAMD Facility Data 2023'!$AE$2:$AE$10000,0),1),"")</f>
        <v>3200</v>
      </c>
      <c r="AC1596" s="1" t="str">
        <f>IF(INDEX('CAMD Facility Data 2023'!$AE$2:$AG$10000,MATCH(Z1596,'CAMD Facility Data 2023'!$AE$2:$AE$10000,0),3)&gt;0,INDEX('CAMD Facility Data 2023'!$AE$2:$AG$10000,MATCH(Z1596,'CAMD Facility Data 2023'!$AE$2:$AE$10000,0),3),"")</f>
        <v/>
      </c>
      <c r="AD1596" s="20">
        <f t="shared" si="73"/>
        <v>2.3436422764656335</v>
      </c>
      <c r="AE1596" s="25">
        <f t="shared" si="74"/>
        <v>2.2332866152968037E-2</v>
      </c>
    </row>
    <row r="1597" spans="1:31" x14ac:dyDescent="0.2">
      <c r="A1597" s="1" t="s">
        <v>2430</v>
      </c>
      <c r="B1597" s="1" t="s">
        <v>3923</v>
      </c>
      <c r="C1597" s="1">
        <v>7158</v>
      </c>
      <c r="D1597" s="1" t="s">
        <v>1547</v>
      </c>
      <c r="F1597" s="1">
        <v>2023</v>
      </c>
      <c r="G1597" s="5">
        <v>1311</v>
      </c>
      <c r="H1597" s="5">
        <v>1123.3599999999999</v>
      </c>
      <c r="I1597" s="5">
        <v>41659.97</v>
      </c>
      <c r="K1597" s="5">
        <v>0.21</v>
      </c>
      <c r="L1597" s="5">
        <v>1E-3</v>
      </c>
      <c r="M1597" s="5">
        <v>40195.883999999998</v>
      </c>
      <c r="N1597" s="6">
        <v>5.9200000000000003E-2</v>
      </c>
      <c r="O1597" s="5">
        <v>41.334000000000003</v>
      </c>
      <c r="P1597" s="6">
        <v>0.1168</v>
      </c>
      <c r="Q1597" s="5">
        <v>675775.85900000005</v>
      </c>
      <c r="R1597" s="1" t="s">
        <v>44</v>
      </c>
      <c r="S1597" s="1" t="s">
        <v>94</v>
      </c>
      <c r="T1597" s="1" t="s">
        <v>93</v>
      </c>
      <c r="V1597" s="1" t="s">
        <v>95</v>
      </c>
      <c r="Y1597" s="1" t="s">
        <v>461</v>
      </c>
      <c r="Z1597" s="1" t="str">
        <f t="shared" si="72"/>
        <v>7158 **GT5</v>
      </c>
      <c r="AA1597" s="3">
        <f>IF(INDEX('CAMD Facility Data 2023'!$AA$2:$AE$10000,MATCH(Z1597,'CAMD Facility Data 2023'!$AE$2:$AE$10000,0),1)&gt;0,INDEX('CAMD Facility Data 2023'!$AA$2:$AE$10000,MATCH(Z1597,'CAMD Facility Data 2023'!$AE$2:$AE$10000,0),1),"")</f>
        <v>33755</v>
      </c>
      <c r="AB1597" s="5">
        <f>IF(INDEX('CAMD Facility Data 2023'!$AC$2:$AE$10000,MATCH(Z1597,'CAMD Facility Data 2023'!$AE$2:$AE$10000,0),1)&gt;0,INDEX('CAMD Facility Data 2023'!$AC$2:$AE$10000,MATCH(Z1597,'CAMD Facility Data 2023'!$AE$2:$AE$10000,0),1),"")</f>
        <v>1314</v>
      </c>
      <c r="AC1597" s="1" t="str">
        <f>IF(INDEX('CAMD Facility Data 2023'!$AE$2:$AG$10000,MATCH(Z1597,'CAMD Facility Data 2023'!$AE$2:$AE$10000,0),3)&gt;0,INDEX('CAMD Facility Data 2023'!$AE$2:$AG$10000,MATCH(Z1597,'CAMD Facility Data 2023'!$AE$2:$AE$10000,0),3),"")</f>
        <v/>
      </c>
      <c r="AD1597" s="20">
        <f t="shared" si="73"/>
        <v>1.9843509248806468</v>
      </c>
      <c r="AE1597" s="25">
        <f t="shared" si="74"/>
        <v>5.8708799771341996E-2</v>
      </c>
    </row>
    <row r="1598" spans="1:31" x14ac:dyDescent="0.2">
      <c r="A1598" s="1" t="s">
        <v>2430</v>
      </c>
      <c r="B1598" s="1" t="s">
        <v>3923</v>
      </c>
      <c r="C1598" s="1">
        <v>7158</v>
      </c>
      <c r="D1598" s="1" t="s">
        <v>1549</v>
      </c>
      <c r="F1598" s="1">
        <v>2023</v>
      </c>
      <c r="G1598" s="5">
        <v>1187</v>
      </c>
      <c r="H1598" s="5">
        <v>1009.57</v>
      </c>
      <c r="I1598" s="5">
        <v>38258.449999999997</v>
      </c>
      <c r="K1598" s="5">
        <v>0.19400000000000001</v>
      </c>
      <c r="L1598" s="5">
        <v>1E-3</v>
      </c>
      <c r="M1598" s="5">
        <v>36953.095999999998</v>
      </c>
      <c r="N1598" s="6">
        <v>5.9200000000000003E-2</v>
      </c>
      <c r="O1598" s="5">
        <v>33.831000000000003</v>
      </c>
      <c r="P1598" s="6">
        <v>0.1047</v>
      </c>
      <c r="Q1598" s="5">
        <v>621234.47400000005</v>
      </c>
      <c r="R1598" s="1" t="s">
        <v>44</v>
      </c>
      <c r="S1598" s="1" t="s">
        <v>94</v>
      </c>
      <c r="T1598" s="1" t="s">
        <v>93</v>
      </c>
      <c r="V1598" s="1" t="s">
        <v>95</v>
      </c>
      <c r="Y1598" s="1" t="s">
        <v>461</v>
      </c>
      <c r="Z1598" s="1" t="str">
        <f t="shared" si="72"/>
        <v>7158 **GT6</v>
      </c>
      <c r="AA1598" s="3">
        <f>IF(INDEX('CAMD Facility Data 2023'!$AA$2:$AE$10000,MATCH(Z1598,'CAMD Facility Data 2023'!$AE$2:$AE$10000,0),1)&gt;0,INDEX('CAMD Facility Data 2023'!$AA$2:$AE$10000,MATCH(Z1598,'CAMD Facility Data 2023'!$AE$2:$AE$10000,0),1),"")</f>
        <v>33755</v>
      </c>
      <c r="AB1598" s="5">
        <f>IF(INDEX('CAMD Facility Data 2023'!$AC$2:$AE$10000,MATCH(Z1598,'CAMD Facility Data 2023'!$AE$2:$AE$10000,0),1)&gt;0,INDEX('CAMD Facility Data 2023'!$AC$2:$AE$10000,MATCH(Z1598,'CAMD Facility Data 2023'!$AE$2:$AE$10000,0),1),"")</f>
        <v>1314</v>
      </c>
      <c r="AC1598" s="1" t="str">
        <f>IF(INDEX('CAMD Facility Data 2023'!$AE$2:$AG$10000,MATCH(Z1598,'CAMD Facility Data 2023'!$AE$2:$AE$10000,0),3)&gt;0,INDEX('CAMD Facility Data 2023'!$AE$2:$AG$10000,MATCH(Z1598,'CAMD Facility Data 2023'!$AE$2:$AE$10000,0),3),"")</f>
        <v/>
      </c>
      <c r="AD1598" s="20">
        <f t="shared" si="73"/>
        <v>1.7685504770841476</v>
      </c>
      <c r="AE1598" s="25">
        <f t="shared" si="74"/>
        <v>5.3970454640228524E-2</v>
      </c>
    </row>
    <row r="1599" spans="1:31" x14ac:dyDescent="0.2">
      <c r="A1599" s="1" t="s">
        <v>3167</v>
      </c>
      <c r="B1599" s="1" t="s">
        <v>3930</v>
      </c>
      <c r="C1599" s="1">
        <v>7159</v>
      </c>
      <c r="D1599" s="1" t="s">
        <v>3872</v>
      </c>
      <c r="F1599" s="1">
        <v>2023</v>
      </c>
      <c r="G1599" s="5">
        <v>701</v>
      </c>
      <c r="H1599" s="5">
        <v>595.30999999999995</v>
      </c>
      <c r="I1599" s="5">
        <v>39223.43</v>
      </c>
      <c r="K1599" s="5">
        <v>0.155</v>
      </c>
      <c r="L1599" s="5">
        <v>1E-3</v>
      </c>
      <c r="M1599" s="5">
        <v>30773.435000000001</v>
      </c>
      <c r="N1599" s="6">
        <v>5.91E-2</v>
      </c>
      <c r="O1599" s="5">
        <v>20.515000000000001</v>
      </c>
      <c r="P1599" s="6">
        <v>8.0799999999999997E-2</v>
      </c>
      <c r="Q1599" s="5">
        <v>517771.11099999998</v>
      </c>
      <c r="R1599" s="1" t="s">
        <v>44</v>
      </c>
      <c r="S1599" s="1" t="s">
        <v>94</v>
      </c>
      <c r="T1599" s="1" t="s">
        <v>93</v>
      </c>
      <c r="V1599" s="1" t="s">
        <v>95</v>
      </c>
      <c r="Y1599" s="1" t="s">
        <v>461</v>
      </c>
      <c r="Z1599" s="1" t="str">
        <f t="shared" si="72"/>
        <v>7159 **1</v>
      </c>
      <c r="AA1599" s="3">
        <f>IF(INDEX('CAMD Facility Data 2023'!$AA$2:$AE$10000,MATCH(Z1599,'CAMD Facility Data 2023'!$AE$2:$AE$10000,0),1)&gt;0,INDEX('CAMD Facility Data 2023'!$AA$2:$AE$10000,MATCH(Z1599,'CAMD Facility Data 2023'!$AE$2:$AE$10000,0),1),"")</f>
        <v>34157</v>
      </c>
      <c r="AB1599" s="5">
        <f>IF(INDEX('CAMD Facility Data 2023'!$AC$2:$AE$10000,MATCH(Z1599,'CAMD Facility Data 2023'!$AE$2:$AE$10000,0),1)&gt;0,INDEX('CAMD Facility Data 2023'!$AC$2:$AE$10000,MATCH(Z1599,'CAMD Facility Data 2023'!$AE$2:$AE$10000,0),1),"")</f>
        <v>1282</v>
      </c>
      <c r="AC1599" s="1" t="str">
        <f>IF(INDEX('CAMD Facility Data 2023'!$AE$2:$AG$10000,MATCH(Z1599,'CAMD Facility Data 2023'!$AE$2:$AE$10000,0),3)&gt;0,INDEX('CAMD Facility Data 2023'!$AE$2:$AG$10000,MATCH(Z1599,'CAMD Facility Data 2023'!$AE$2:$AE$10000,0),3),"")</f>
        <v/>
      </c>
      <c r="AD1599" s="20">
        <f t="shared" si="73"/>
        <v>1.0460584400701316</v>
      </c>
      <c r="AE1599" s="25">
        <f t="shared" si="74"/>
        <v>4.6104751333888971E-2</v>
      </c>
    </row>
    <row r="1600" spans="1:31" x14ac:dyDescent="0.2">
      <c r="A1600" s="1" t="s">
        <v>3167</v>
      </c>
      <c r="B1600" s="1" t="s">
        <v>3930</v>
      </c>
      <c r="C1600" s="1">
        <v>7159</v>
      </c>
      <c r="D1600" s="1" t="s">
        <v>3875</v>
      </c>
      <c r="F1600" s="1">
        <v>2023</v>
      </c>
      <c r="G1600" s="5">
        <v>743</v>
      </c>
      <c r="H1600" s="5">
        <v>638.37</v>
      </c>
      <c r="I1600" s="5">
        <v>42147.15</v>
      </c>
      <c r="K1600" s="5">
        <v>0.16600000000000001</v>
      </c>
      <c r="L1600" s="5">
        <v>1E-3</v>
      </c>
      <c r="M1600" s="5">
        <v>32922.771000000001</v>
      </c>
      <c r="N1600" s="6">
        <v>5.91E-2</v>
      </c>
      <c r="O1600" s="5">
        <v>19.664000000000001</v>
      </c>
      <c r="P1600" s="6">
        <v>7.1099999999999997E-2</v>
      </c>
      <c r="Q1600" s="5">
        <v>553965.054</v>
      </c>
      <c r="R1600" s="1" t="s">
        <v>44</v>
      </c>
      <c r="S1600" s="1" t="s">
        <v>94</v>
      </c>
      <c r="T1600" s="1" t="s">
        <v>93</v>
      </c>
      <c r="V1600" s="1" t="s">
        <v>95</v>
      </c>
      <c r="Y1600" s="1" t="s">
        <v>461</v>
      </c>
      <c r="Z1600" s="1" t="str">
        <f t="shared" si="72"/>
        <v>7159 **2</v>
      </c>
      <c r="AA1600" s="3">
        <f>IF(INDEX('CAMD Facility Data 2023'!$AA$2:$AE$10000,MATCH(Z1600,'CAMD Facility Data 2023'!$AE$2:$AE$10000,0),1)&gt;0,INDEX('CAMD Facility Data 2023'!$AA$2:$AE$10000,MATCH(Z1600,'CAMD Facility Data 2023'!$AE$2:$AE$10000,0),1),"")</f>
        <v>34157</v>
      </c>
      <c r="AB1600" s="5">
        <f>IF(INDEX('CAMD Facility Data 2023'!$AC$2:$AE$10000,MATCH(Z1600,'CAMD Facility Data 2023'!$AE$2:$AE$10000,0),1)&gt;0,INDEX('CAMD Facility Data 2023'!$AC$2:$AE$10000,MATCH(Z1600,'CAMD Facility Data 2023'!$AE$2:$AE$10000,0),1),"")</f>
        <v>1282</v>
      </c>
      <c r="AC1600" s="1" t="str">
        <f>IF(INDEX('CAMD Facility Data 2023'!$AE$2:$AG$10000,MATCH(Z1600,'CAMD Facility Data 2023'!$AE$2:$AE$10000,0),3)&gt;0,INDEX('CAMD Facility Data 2023'!$AE$2:$AG$10000,MATCH(Z1600,'CAMD Facility Data 2023'!$AE$2:$AE$10000,0),3),"")</f>
        <v/>
      </c>
      <c r="AD1600" s="20">
        <f t="shared" si="73"/>
        <v>0.93311172878830473</v>
      </c>
      <c r="AE1600" s="25">
        <f t="shared" si="74"/>
        <v>4.9327628598294614E-2</v>
      </c>
    </row>
    <row r="1601" spans="1:31" x14ac:dyDescent="0.2">
      <c r="A1601" s="1" t="s">
        <v>3167</v>
      </c>
      <c r="B1601" s="1" t="s">
        <v>3930</v>
      </c>
      <c r="C1601" s="1">
        <v>7159</v>
      </c>
      <c r="D1601" s="1" t="s">
        <v>3876</v>
      </c>
      <c r="F1601" s="1">
        <v>2023</v>
      </c>
      <c r="G1601" s="5">
        <v>440</v>
      </c>
      <c r="H1601" s="5">
        <v>361.49</v>
      </c>
      <c r="I1601" s="5">
        <v>23103.31</v>
      </c>
      <c r="K1601" s="5">
        <v>9.0999999999999998E-2</v>
      </c>
      <c r="L1601" s="5">
        <v>1E-3</v>
      </c>
      <c r="M1601" s="5">
        <v>17939.444</v>
      </c>
      <c r="N1601" s="6">
        <v>5.9400000000000001E-2</v>
      </c>
      <c r="O1601" s="5">
        <v>13.207000000000001</v>
      </c>
      <c r="P1601" s="6">
        <v>8.8099999999999998E-2</v>
      </c>
      <c r="Q1601" s="5">
        <v>301496.99099999998</v>
      </c>
      <c r="R1601" s="1" t="s">
        <v>44</v>
      </c>
      <c r="S1601" s="1" t="s">
        <v>94</v>
      </c>
      <c r="T1601" s="1" t="s">
        <v>93</v>
      </c>
      <c r="V1601" s="1" t="s">
        <v>95</v>
      </c>
      <c r="Y1601" s="1" t="s">
        <v>461</v>
      </c>
      <c r="Z1601" s="1" t="str">
        <f t="shared" si="72"/>
        <v>7159 **3</v>
      </c>
      <c r="AA1601" s="3">
        <f>IF(INDEX('CAMD Facility Data 2023'!$AA$2:$AE$10000,MATCH(Z1601,'CAMD Facility Data 2023'!$AE$2:$AE$10000,0),1)&gt;0,INDEX('CAMD Facility Data 2023'!$AA$2:$AE$10000,MATCH(Z1601,'CAMD Facility Data 2023'!$AE$2:$AE$10000,0),1),"")</f>
        <v>34478</v>
      </c>
      <c r="AB1601" s="5">
        <f>IF(INDEX('CAMD Facility Data 2023'!$AC$2:$AE$10000,MATCH(Z1601,'CAMD Facility Data 2023'!$AE$2:$AE$10000,0),1)&gt;0,INDEX('CAMD Facility Data 2023'!$AC$2:$AE$10000,MATCH(Z1601,'CAMD Facility Data 2023'!$AE$2:$AE$10000,0),1),"")</f>
        <v>1282</v>
      </c>
      <c r="AC1601" s="1" t="str">
        <f>IF(INDEX('CAMD Facility Data 2023'!$AE$2:$AG$10000,MATCH(Z1601,'CAMD Facility Data 2023'!$AE$2:$AE$10000,0),3)&gt;0,INDEX('CAMD Facility Data 2023'!$AE$2:$AG$10000,MATCH(Z1601,'CAMD Facility Data 2023'!$AE$2:$AE$10000,0),3),"")</f>
        <v/>
      </c>
      <c r="AD1601" s="20">
        <f t="shared" si="73"/>
        <v>1.1432993800455431</v>
      </c>
      <c r="AE1601" s="25">
        <f t="shared" si="74"/>
        <v>2.6846696354155535E-2</v>
      </c>
    </row>
    <row r="1602" spans="1:31" x14ac:dyDescent="0.2">
      <c r="A1602" s="1" t="s">
        <v>3167</v>
      </c>
      <c r="B1602" s="1" t="s">
        <v>3930</v>
      </c>
      <c r="C1602" s="1">
        <v>7159</v>
      </c>
      <c r="D1602" s="1" t="s">
        <v>569</v>
      </c>
      <c r="F1602" s="1">
        <v>2023</v>
      </c>
      <c r="G1602" s="5">
        <v>382</v>
      </c>
      <c r="H1602" s="5">
        <v>318.39999999999998</v>
      </c>
      <c r="I1602" s="5">
        <v>20163.669999999998</v>
      </c>
      <c r="K1602" s="5">
        <v>8.1000000000000003E-2</v>
      </c>
      <c r="L1602" s="5">
        <v>1E-3</v>
      </c>
      <c r="M1602" s="5">
        <v>15979.906999999999</v>
      </c>
      <c r="N1602" s="6">
        <v>5.9200000000000003E-2</v>
      </c>
      <c r="O1602" s="5">
        <v>11.105</v>
      </c>
      <c r="P1602" s="6">
        <v>8.3000000000000004E-2</v>
      </c>
      <c r="Q1602" s="5">
        <v>268609.31699999998</v>
      </c>
      <c r="R1602" s="1" t="s">
        <v>44</v>
      </c>
      <c r="S1602" s="1" t="s">
        <v>94</v>
      </c>
      <c r="T1602" s="1" t="s">
        <v>93</v>
      </c>
      <c r="V1602" s="1" t="s">
        <v>95</v>
      </c>
      <c r="Y1602" s="1" t="s">
        <v>461</v>
      </c>
      <c r="Z1602" s="1" t="str">
        <f t="shared" si="72"/>
        <v>7159 **4</v>
      </c>
      <c r="AA1602" s="3">
        <f>IF(INDEX('CAMD Facility Data 2023'!$AA$2:$AE$10000,MATCH(Z1602,'CAMD Facility Data 2023'!$AE$2:$AE$10000,0),1)&gt;0,INDEX('CAMD Facility Data 2023'!$AA$2:$AE$10000,MATCH(Z1602,'CAMD Facility Data 2023'!$AE$2:$AE$10000,0),1),"")</f>
        <v>34479</v>
      </c>
      <c r="AB1602" s="5">
        <f>IF(INDEX('CAMD Facility Data 2023'!$AC$2:$AE$10000,MATCH(Z1602,'CAMD Facility Data 2023'!$AE$2:$AE$10000,0),1)&gt;0,INDEX('CAMD Facility Data 2023'!$AC$2:$AE$10000,MATCH(Z1602,'CAMD Facility Data 2023'!$AE$2:$AE$10000,0),1),"")</f>
        <v>1282</v>
      </c>
      <c r="AC1602" s="1" t="str">
        <f>IF(INDEX('CAMD Facility Data 2023'!$AE$2:$AG$10000,MATCH(Z1602,'CAMD Facility Data 2023'!$AE$2:$AE$10000,0),3)&gt;0,INDEX('CAMD Facility Data 2023'!$AE$2:$AG$10000,MATCH(Z1602,'CAMD Facility Data 2023'!$AE$2:$AE$10000,0),3),"")</f>
        <v/>
      </c>
      <c r="AD1602" s="20">
        <f t="shared" si="73"/>
        <v>1.1014859894056985</v>
      </c>
      <c r="AE1602" s="25">
        <f t="shared" si="74"/>
        <v>2.3918224681042034E-2</v>
      </c>
    </row>
    <row r="1603" spans="1:31" x14ac:dyDescent="0.2">
      <c r="A1603" s="1" t="s">
        <v>3167</v>
      </c>
      <c r="B1603" s="1" t="s">
        <v>3934</v>
      </c>
      <c r="C1603" s="1">
        <v>7203</v>
      </c>
      <c r="D1603" s="1" t="s">
        <v>3935</v>
      </c>
      <c r="F1603" s="1">
        <v>2023</v>
      </c>
      <c r="G1603" s="5">
        <v>40</v>
      </c>
      <c r="H1603" s="5">
        <v>31.65</v>
      </c>
      <c r="I1603" s="5">
        <v>1851.72</v>
      </c>
      <c r="K1603" s="5">
        <v>8.9999999999999993E-3</v>
      </c>
      <c r="L1603" s="5">
        <v>1.1000000000000001E-3</v>
      </c>
      <c r="M1603" s="5">
        <v>1710.297</v>
      </c>
      <c r="N1603" s="6">
        <v>6.0499999999999998E-2</v>
      </c>
      <c r="O1603" s="5">
        <v>1.05</v>
      </c>
      <c r="P1603" s="6">
        <v>7.46E-2</v>
      </c>
      <c r="Q1603" s="5">
        <v>28319.404999999999</v>
      </c>
      <c r="R1603" s="1" t="s">
        <v>44</v>
      </c>
      <c r="T1603" s="1" t="s">
        <v>93</v>
      </c>
      <c r="V1603" s="1" t="s">
        <v>95</v>
      </c>
      <c r="Y1603" s="1" t="s">
        <v>461</v>
      </c>
      <c r="Z1603" s="1" t="str">
        <f t="shared" ref="Z1603:Z1666" si="75">C1603&amp;" "&amp;D1603</f>
        <v>7203 **CT1</v>
      </c>
      <c r="AA1603" s="3">
        <f>IF(INDEX('CAMD Facility Data 2023'!$AA$2:$AE$10000,MATCH(Z1603,'CAMD Facility Data 2023'!$AE$2:$AE$10000,0),1)&gt;0,INDEX('CAMD Facility Data 2023'!$AA$2:$AE$10000,MATCH(Z1603,'CAMD Facility Data 2023'!$AE$2:$AE$10000,0),1),"")</f>
        <v>34099</v>
      </c>
      <c r="AB1603" s="5">
        <f>IF(INDEX('CAMD Facility Data 2023'!$AC$2:$AE$10000,MATCH(Z1603,'CAMD Facility Data 2023'!$AE$2:$AE$10000,0),1)&gt;0,INDEX('CAMD Facility Data 2023'!$AC$2:$AE$10000,MATCH(Z1603,'CAMD Facility Data 2023'!$AE$2:$AE$10000,0),1),"")</f>
        <v>1332</v>
      </c>
      <c r="AC1603" s="1" t="str">
        <f>IF(INDEX('CAMD Facility Data 2023'!$AE$2:$AG$10000,MATCH(Z1603,'CAMD Facility Data 2023'!$AE$2:$AE$10000,0),3)&gt;0,INDEX('CAMD Facility Data 2023'!$AE$2:$AG$10000,MATCH(Z1603,'CAMD Facility Data 2023'!$AE$2:$AE$10000,0),3),"")</f>
        <v/>
      </c>
      <c r="AD1603" s="20">
        <f t="shared" ref="AD1603:AD1666" si="76">IF(ISNUMBER(O1603*2000/I1603),O1603*2000/I1603,"")</f>
        <v>1.1340807465491543</v>
      </c>
      <c r="AE1603" s="25">
        <f t="shared" ref="AE1603:AE1666" si="77">Q1603/(AB1603*8760)</f>
        <v>2.4270336260918454E-3</v>
      </c>
    </row>
    <row r="1604" spans="1:31" x14ac:dyDescent="0.2">
      <c r="A1604" s="1" t="s">
        <v>3167</v>
      </c>
      <c r="B1604" s="1" t="s">
        <v>3934</v>
      </c>
      <c r="C1604" s="1">
        <v>7203</v>
      </c>
      <c r="D1604" s="1" t="s">
        <v>3940</v>
      </c>
      <c r="F1604" s="1">
        <v>2023</v>
      </c>
      <c r="G1604" s="5">
        <v>199</v>
      </c>
      <c r="H1604" s="5">
        <v>173.92</v>
      </c>
      <c r="I1604" s="5">
        <v>8323.35</v>
      </c>
      <c r="K1604" s="5">
        <v>0.04</v>
      </c>
      <c r="L1604" s="5">
        <v>1E-3</v>
      </c>
      <c r="M1604" s="5">
        <v>7837.2290000000003</v>
      </c>
      <c r="N1604" s="6">
        <v>5.91E-2</v>
      </c>
      <c r="O1604" s="5">
        <v>4.899</v>
      </c>
      <c r="P1604" s="6">
        <v>7.3999999999999996E-2</v>
      </c>
      <c r="Q1604" s="5">
        <v>131873.04500000001</v>
      </c>
      <c r="R1604" s="1" t="s">
        <v>44</v>
      </c>
      <c r="T1604" s="1" t="s">
        <v>93</v>
      </c>
      <c r="V1604" s="1" t="s">
        <v>95</v>
      </c>
      <c r="Y1604" s="1" t="s">
        <v>461</v>
      </c>
      <c r="Z1604" s="1" t="str">
        <f t="shared" si="75"/>
        <v>7203 **CT2</v>
      </c>
      <c r="AA1604" s="3">
        <f>IF(INDEX('CAMD Facility Data 2023'!$AA$2:$AE$10000,MATCH(Z1604,'CAMD Facility Data 2023'!$AE$2:$AE$10000,0),1)&gt;0,INDEX('CAMD Facility Data 2023'!$AA$2:$AE$10000,MATCH(Z1604,'CAMD Facility Data 2023'!$AE$2:$AE$10000,0),1),"")</f>
        <v>34564</v>
      </c>
      <c r="AB1604" s="5">
        <f>IF(INDEX('CAMD Facility Data 2023'!$AC$2:$AE$10000,MATCH(Z1604,'CAMD Facility Data 2023'!$AE$2:$AE$10000,0),1)&gt;0,INDEX('CAMD Facility Data 2023'!$AC$2:$AE$10000,MATCH(Z1604,'CAMD Facility Data 2023'!$AE$2:$AE$10000,0),1),"")</f>
        <v>1332</v>
      </c>
      <c r="AC1604" s="1" t="str">
        <f>IF(INDEX('CAMD Facility Data 2023'!$AE$2:$AG$10000,MATCH(Z1604,'CAMD Facility Data 2023'!$AE$2:$AE$10000,0),3)&gt;0,INDEX('CAMD Facility Data 2023'!$AE$2:$AG$10000,MATCH(Z1604,'CAMD Facility Data 2023'!$AE$2:$AE$10000,0),3),"")</f>
        <v/>
      </c>
      <c r="AD1604" s="20">
        <f t="shared" si="76"/>
        <v>1.1771702499594514</v>
      </c>
      <c r="AE1604" s="25">
        <f t="shared" si="77"/>
        <v>1.1301802230312505E-2</v>
      </c>
    </row>
    <row r="1605" spans="1:31" x14ac:dyDescent="0.2">
      <c r="A1605" s="1" t="s">
        <v>3167</v>
      </c>
      <c r="B1605" s="1" t="s">
        <v>3934</v>
      </c>
      <c r="C1605" s="1">
        <v>7203</v>
      </c>
      <c r="D1605" s="1" t="s">
        <v>3942</v>
      </c>
      <c r="F1605" s="1">
        <v>2023</v>
      </c>
      <c r="G1605" s="5">
        <v>159</v>
      </c>
      <c r="H1605" s="5">
        <v>141.52000000000001</v>
      </c>
      <c r="I1605" s="5">
        <v>6988.68</v>
      </c>
      <c r="K1605" s="5">
        <v>3.3000000000000002E-2</v>
      </c>
      <c r="L1605" s="5">
        <v>1E-3</v>
      </c>
      <c r="M1605" s="5">
        <v>6542.3710000000001</v>
      </c>
      <c r="N1605" s="6">
        <v>5.8999999999999997E-2</v>
      </c>
      <c r="O1605" s="5">
        <v>3.331</v>
      </c>
      <c r="P1605" s="6">
        <v>6.0999999999999999E-2</v>
      </c>
      <c r="Q1605" s="5">
        <v>110088.44</v>
      </c>
      <c r="R1605" s="1" t="s">
        <v>44</v>
      </c>
      <c r="T1605" s="1" t="s">
        <v>93</v>
      </c>
      <c r="V1605" s="1" t="s">
        <v>95</v>
      </c>
      <c r="Y1605" s="1" t="s">
        <v>461</v>
      </c>
      <c r="Z1605" s="1" t="str">
        <f t="shared" si="75"/>
        <v>7203 **CT3</v>
      </c>
      <c r="AA1605" s="3">
        <f>IF(INDEX('CAMD Facility Data 2023'!$AA$2:$AE$10000,MATCH(Z1605,'CAMD Facility Data 2023'!$AE$2:$AE$10000,0),1)&gt;0,INDEX('CAMD Facility Data 2023'!$AA$2:$AE$10000,MATCH(Z1605,'CAMD Facility Data 2023'!$AE$2:$AE$10000,0),1),"")</f>
        <v>34564</v>
      </c>
      <c r="AB1605" s="5">
        <f>IF(INDEX('CAMD Facility Data 2023'!$AC$2:$AE$10000,MATCH(Z1605,'CAMD Facility Data 2023'!$AE$2:$AE$10000,0),1)&gt;0,INDEX('CAMD Facility Data 2023'!$AC$2:$AE$10000,MATCH(Z1605,'CAMD Facility Data 2023'!$AE$2:$AE$10000,0),1),"")</f>
        <v>1332</v>
      </c>
      <c r="AC1605" s="1" t="str">
        <f>IF(INDEX('CAMD Facility Data 2023'!$AE$2:$AG$10000,MATCH(Z1605,'CAMD Facility Data 2023'!$AE$2:$AE$10000,0),3)&gt;0,INDEX('CAMD Facility Data 2023'!$AE$2:$AG$10000,MATCH(Z1605,'CAMD Facility Data 2023'!$AE$2:$AE$10000,0),3),"")</f>
        <v/>
      </c>
      <c r="AD1605" s="20">
        <f t="shared" si="76"/>
        <v>0.95325583658144308</v>
      </c>
      <c r="AE1605" s="25">
        <f t="shared" si="77"/>
        <v>9.4348149519382397E-3</v>
      </c>
    </row>
    <row r="1606" spans="1:31" x14ac:dyDescent="0.2">
      <c r="A1606" s="1" t="s">
        <v>3167</v>
      </c>
      <c r="B1606" s="1" t="s">
        <v>3934</v>
      </c>
      <c r="C1606" s="1">
        <v>7203</v>
      </c>
      <c r="D1606" s="1" t="s">
        <v>3944</v>
      </c>
      <c r="F1606" s="1">
        <v>2023</v>
      </c>
      <c r="G1606" s="5">
        <v>179</v>
      </c>
      <c r="H1606" s="5">
        <v>149.63999999999999</v>
      </c>
      <c r="I1606" s="5">
        <v>7074.66</v>
      </c>
      <c r="K1606" s="5">
        <v>3.4000000000000002E-2</v>
      </c>
      <c r="L1606" s="5">
        <v>1E-3</v>
      </c>
      <c r="M1606" s="5">
        <v>6801.2460000000001</v>
      </c>
      <c r="N1606" s="6">
        <v>5.91E-2</v>
      </c>
      <c r="O1606" s="5">
        <v>3.7080000000000002</v>
      </c>
      <c r="P1606" s="6">
        <v>6.8199999999999997E-2</v>
      </c>
      <c r="Q1606" s="5">
        <v>114442.223</v>
      </c>
      <c r="R1606" s="1" t="s">
        <v>44</v>
      </c>
      <c r="T1606" s="1" t="s">
        <v>93</v>
      </c>
      <c r="V1606" s="1" t="s">
        <v>95</v>
      </c>
      <c r="Y1606" s="1" t="s">
        <v>461</v>
      </c>
      <c r="Z1606" s="1" t="str">
        <f t="shared" si="75"/>
        <v>7203 **CT4</v>
      </c>
      <c r="AA1606" s="3">
        <f>IF(INDEX('CAMD Facility Data 2023'!$AA$2:$AE$10000,MATCH(Z1606,'CAMD Facility Data 2023'!$AE$2:$AE$10000,0),1)&gt;0,INDEX('CAMD Facility Data 2023'!$AA$2:$AE$10000,MATCH(Z1606,'CAMD Facility Data 2023'!$AE$2:$AE$10000,0),1),"")</f>
        <v>35217</v>
      </c>
      <c r="AB1606" s="5">
        <f>IF(INDEX('CAMD Facility Data 2023'!$AC$2:$AE$10000,MATCH(Z1606,'CAMD Facility Data 2023'!$AE$2:$AE$10000,0),1)&gt;0,INDEX('CAMD Facility Data 2023'!$AC$2:$AE$10000,MATCH(Z1606,'CAMD Facility Data 2023'!$AE$2:$AE$10000,0),1),"")</f>
        <v>1332</v>
      </c>
      <c r="AC1606" s="1" t="str">
        <f>IF(INDEX('CAMD Facility Data 2023'!$AE$2:$AG$10000,MATCH(Z1606,'CAMD Facility Data 2023'!$AE$2:$AE$10000,0),3)&gt;0,INDEX('CAMD Facility Data 2023'!$AE$2:$AG$10000,MATCH(Z1606,'CAMD Facility Data 2023'!$AE$2:$AE$10000,0),3),"")</f>
        <v/>
      </c>
      <c r="AD1606" s="20">
        <f t="shared" si="76"/>
        <v>1.0482482550398182</v>
      </c>
      <c r="AE1606" s="25">
        <f t="shared" si="77"/>
        <v>9.8079434742962147E-3</v>
      </c>
    </row>
    <row r="1607" spans="1:31" x14ac:dyDescent="0.2">
      <c r="A1607" s="1" t="s">
        <v>291</v>
      </c>
      <c r="B1607" s="1" t="s">
        <v>3946</v>
      </c>
      <c r="C1607" s="1">
        <v>7210</v>
      </c>
      <c r="D1607" s="1" t="s">
        <v>3947</v>
      </c>
      <c r="F1607" s="1">
        <v>2023</v>
      </c>
      <c r="G1607" s="5">
        <v>6420</v>
      </c>
      <c r="H1607" s="5">
        <v>6409.61</v>
      </c>
      <c r="I1607" s="5">
        <v>1476651.41</v>
      </c>
      <c r="K1607" s="5">
        <v>272.108</v>
      </c>
      <c r="L1607" s="5">
        <v>3.0700000000000002E-2</v>
      </c>
      <c r="M1607" s="5">
        <v>1063872.108</v>
      </c>
      <c r="N1607" s="6">
        <v>6.7100000000000007E-2</v>
      </c>
      <c r="O1607" s="5">
        <v>689.34</v>
      </c>
      <c r="P1607" s="6">
        <v>8.3299999999999999E-2</v>
      </c>
      <c r="Q1607" s="5">
        <v>15502013.382999999</v>
      </c>
      <c r="R1607" s="1" t="s">
        <v>44</v>
      </c>
      <c r="S1607" s="1" t="s">
        <v>55</v>
      </c>
      <c r="T1607" s="1" t="s">
        <v>43</v>
      </c>
      <c r="U1607" s="1" t="s">
        <v>212</v>
      </c>
      <c r="V1607" s="1" t="s">
        <v>3950</v>
      </c>
      <c r="W1607" s="1" t="s">
        <v>232</v>
      </c>
      <c r="Y1607" s="1" t="s">
        <v>293</v>
      </c>
      <c r="Z1607" s="1" t="str">
        <f t="shared" si="75"/>
        <v>7210 COP1</v>
      </c>
      <c r="AA1607" s="3">
        <f>IF(INDEX('CAMD Facility Data 2023'!$AA$2:$AE$10000,MATCH(Z1607,'CAMD Facility Data 2023'!$AE$2:$AE$10000,0),1)&gt;0,INDEX('CAMD Facility Data 2023'!$AA$2:$AE$10000,MATCH(Z1607,'CAMD Facility Data 2023'!$AE$2:$AE$10000,0),1),"")</f>
        <v>35125</v>
      </c>
      <c r="AB1607" s="5">
        <f>IF(INDEX('CAMD Facility Data 2023'!$AC$2:$AE$10000,MATCH(Z1607,'CAMD Facility Data 2023'!$AE$2:$AE$10000,0),1)&gt;0,INDEX('CAMD Facility Data 2023'!$AC$2:$AE$10000,MATCH(Z1607,'CAMD Facility Data 2023'!$AE$2:$AE$10000,0),1),"")</f>
        <v>4850</v>
      </c>
      <c r="AC1607" s="1" t="str">
        <f>IF(INDEX('CAMD Facility Data 2023'!$AE$2:$AG$10000,MATCH(Z1607,'CAMD Facility Data 2023'!$AE$2:$AE$10000,0),3)&gt;0,INDEX('CAMD Facility Data 2023'!$AE$2:$AG$10000,MATCH(Z1607,'CAMD Facility Data 2023'!$AE$2:$AE$10000,0),3),"")</f>
        <v>Y</v>
      </c>
      <c r="AD1607" s="20">
        <f t="shared" si="76"/>
        <v>0.93365298720027634</v>
      </c>
      <c r="AE1607" s="25">
        <f t="shared" si="77"/>
        <v>0.36487344967754082</v>
      </c>
    </row>
    <row r="1608" spans="1:31" x14ac:dyDescent="0.2">
      <c r="A1608" s="1" t="s">
        <v>3095</v>
      </c>
      <c r="B1608" s="1" t="s">
        <v>3952</v>
      </c>
      <c r="C1608" s="1">
        <v>7212</v>
      </c>
      <c r="D1608" s="1">
        <v>1</v>
      </c>
      <c r="E1608" s="1" t="s">
        <v>1798</v>
      </c>
      <c r="F1608" s="1">
        <v>2023</v>
      </c>
      <c r="G1608" s="5">
        <v>822</v>
      </c>
      <c r="H1608" s="5">
        <v>750.35</v>
      </c>
      <c r="I1608" s="5">
        <v>43101.85</v>
      </c>
      <c r="K1608" s="5">
        <v>1.3380000000000001</v>
      </c>
      <c r="L1608" s="5">
        <v>7.1000000000000004E-3</v>
      </c>
      <c r="M1608" s="5">
        <v>33934.199999999997</v>
      </c>
      <c r="N1608" s="6">
        <v>5.9700000000000003E-2</v>
      </c>
      <c r="O1608" s="5">
        <v>56.953000000000003</v>
      </c>
      <c r="P1608" s="6">
        <v>0.25900000000000001</v>
      </c>
      <c r="Q1608" s="5">
        <v>570860</v>
      </c>
      <c r="R1608" s="1" t="s">
        <v>44</v>
      </c>
      <c r="S1608" s="1" t="s">
        <v>94</v>
      </c>
      <c r="T1608" s="1" t="s">
        <v>93</v>
      </c>
      <c r="V1608" s="1" t="s">
        <v>95</v>
      </c>
      <c r="Y1608" s="1" t="s">
        <v>1528</v>
      </c>
      <c r="Z1608" s="1" t="str">
        <f t="shared" si="75"/>
        <v>7212 1</v>
      </c>
      <c r="AA1608" s="3">
        <f>IF(INDEX('CAMD Facility Data 2023'!$AA$2:$AE$10000,MATCH(Z1608,'CAMD Facility Data 2023'!$AE$2:$AE$10000,0),1)&gt;0,INDEX('CAMD Facility Data 2023'!$AA$2:$AE$10000,MATCH(Z1608,'CAMD Facility Data 2023'!$AE$2:$AE$10000,0),1),"")</f>
        <v>32994</v>
      </c>
      <c r="AB1608" s="5">
        <f>IF(INDEX('CAMD Facility Data 2023'!$AC$2:$AE$10000,MATCH(Z1608,'CAMD Facility Data 2023'!$AE$2:$AE$10000,0),1)&gt;0,INDEX('CAMD Facility Data 2023'!$AC$2:$AE$10000,MATCH(Z1608,'CAMD Facility Data 2023'!$AE$2:$AE$10000,0),1),"")</f>
        <v>1308</v>
      </c>
      <c r="AC1608" s="1" t="str">
        <f>IF(INDEX('CAMD Facility Data 2023'!$AE$2:$AG$10000,MATCH(Z1608,'CAMD Facility Data 2023'!$AE$2:$AE$10000,0),3)&gt;0,INDEX('CAMD Facility Data 2023'!$AE$2:$AG$10000,MATCH(Z1608,'CAMD Facility Data 2023'!$AE$2:$AE$10000,0),3),"")</f>
        <v/>
      </c>
      <c r="AD1608" s="20">
        <f t="shared" si="76"/>
        <v>2.6427171919534778</v>
      </c>
      <c r="AE1608" s="25">
        <f t="shared" si="77"/>
        <v>4.9821610601427112E-2</v>
      </c>
    </row>
    <row r="1609" spans="1:31" x14ac:dyDescent="0.2">
      <c r="A1609" s="1" t="s">
        <v>3095</v>
      </c>
      <c r="B1609" s="1" t="s">
        <v>3952</v>
      </c>
      <c r="C1609" s="1">
        <v>7212</v>
      </c>
      <c r="D1609" s="1">
        <v>2</v>
      </c>
      <c r="E1609" s="1" t="s">
        <v>1798</v>
      </c>
      <c r="F1609" s="1">
        <v>2023</v>
      </c>
      <c r="G1609" s="5">
        <v>410</v>
      </c>
      <c r="H1609" s="5">
        <v>373.55</v>
      </c>
      <c r="I1609" s="5">
        <v>21620.13</v>
      </c>
      <c r="K1609" s="5">
        <v>1.8440000000000001</v>
      </c>
      <c r="L1609" s="5">
        <v>1.6799999999999999E-2</v>
      </c>
      <c r="M1609" s="5">
        <v>17240.900000000001</v>
      </c>
      <c r="N1609" s="6">
        <v>6.0699999999999997E-2</v>
      </c>
      <c r="O1609" s="5">
        <v>31.858000000000001</v>
      </c>
      <c r="P1609" s="6">
        <v>0.28889999999999999</v>
      </c>
      <c r="Q1609" s="5">
        <v>285707.2</v>
      </c>
      <c r="R1609" s="1" t="s">
        <v>44</v>
      </c>
      <c r="S1609" s="1" t="s">
        <v>94</v>
      </c>
      <c r="T1609" s="1" t="s">
        <v>93</v>
      </c>
      <c r="V1609" s="1" t="s">
        <v>95</v>
      </c>
      <c r="Y1609" s="1" t="s">
        <v>1528</v>
      </c>
      <c r="Z1609" s="1" t="str">
        <f t="shared" si="75"/>
        <v>7212 2</v>
      </c>
      <c r="AA1609" s="3">
        <f>IF(INDEX('CAMD Facility Data 2023'!$AA$2:$AE$10000,MATCH(Z1609,'CAMD Facility Data 2023'!$AE$2:$AE$10000,0),1)&gt;0,INDEX('CAMD Facility Data 2023'!$AA$2:$AE$10000,MATCH(Z1609,'CAMD Facility Data 2023'!$AE$2:$AE$10000,0),1),"")</f>
        <v>32998</v>
      </c>
      <c r="AB1609" s="5">
        <f>IF(INDEX('CAMD Facility Data 2023'!$AC$2:$AE$10000,MATCH(Z1609,'CAMD Facility Data 2023'!$AE$2:$AE$10000,0),1)&gt;0,INDEX('CAMD Facility Data 2023'!$AC$2:$AE$10000,MATCH(Z1609,'CAMD Facility Data 2023'!$AE$2:$AE$10000,0),1),"")</f>
        <v>1308</v>
      </c>
      <c r="AC1609" s="1" t="str">
        <f>IF(INDEX('CAMD Facility Data 2023'!$AE$2:$AG$10000,MATCH(Z1609,'CAMD Facility Data 2023'!$AE$2:$AE$10000,0),3)&gt;0,INDEX('CAMD Facility Data 2023'!$AE$2:$AG$10000,MATCH(Z1609,'CAMD Facility Data 2023'!$AE$2:$AE$10000,0),3),"")</f>
        <v/>
      </c>
      <c r="AD1609" s="20">
        <f t="shared" si="76"/>
        <v>2.9470683108750966</v>
      </c>
      <c r="AE1609" s="25">
        <f t="shared" si="77"/>
        <v>2.4934997835588512E-2</v>
      </c>
    </row>
    <row r="1610" spans="1:31" x14ac:dyDescent="0.2">
      <c r="A1610" s="1" t="s">
        <v>3095</v>
      </c>
      <c r="B1610" s="1" t="s">
        <v>3952</v>
      </c>
      <c r="C1610" s="1">
        <v>7212</v>
      </c>
      <c r="D1610" s="1">
        <v>3</v>
      </c>
      <c r="E1610" s="1" t="s">
        <v>1798</v>
      </c>
      <c r="F1610" s="1">
        <v>2023</v>
      </c>
      <c r="G1610" s="5">
        <v>589</v>
      </c>
      <c r="H1610" s="5">
        <v>532.94000000000005</v>
      </c>
      <c r="I1610" s="5">
        <v>31452.67</v>
      </c>
      <c r="K1610" s="5">
        <v>1.4550000000000001</v>
      </c>
      <c r="L1610" s="5">
        <v>1.1599999999999999E-2</v>
      </c>
      <c r="M1610" s="5">
        <v>24759.1</v>
      </c>
      <c r="N1610" s="6">
        <v>5.9700000000000003E-2</v>
      </c>
      <c r="O1610" s="5">
        <v>43.679000000000002</v>
      </c>
      <c r="P1610" s="6">
        <v>0.27789999999999998</v>
      </c>
      <c r="Q1610" s="5">
        <v>414735.7</v>
      </c>
      <c r="R1610" s="1" t="s">
        <v>44</v>
      </c>
      <c r="S1610" s="1" t="s">
        <v>94</v>
      </c>
      <c r="T1610" s="1" t="s">
        <v>93</v>
      </c>
      <c r="V1610" s="1" t="s">
        <v>95</v>
      </c>
      <c r="Y1610" s="1" t="s">
        <v>1528</v>
      </c>
      <c r="Z1610" s="1" t="str">
        <f t="shared" si="75"/>
        <v>7212 3</v>
      </c>
      <c r="AA1610" s="3">
        <f>IF(INDEX('CAMD Facility Data 2023'!$AA$2:$AE$10000,MATCH(Z1610,'CAMD Facility Data 2023'!$AE$2:$AE$10000,0),1)&gt;0,INDEX('CAMD Facility Data 2023'!$AA$2:$AE$10000,MATCH(Z1610,'CAMD Facility Data 2023'!$AE$2:$AE$10000,0),1),"")</f>
        <v>32965</v>
      </c>
      <c r="AB1610" s="5">
        <f>IF(INDEX('CAMD Facility Data 2023'!$AC$2:$AE$10000,MATCH(Z1610,'CAMD Facility Data 2023'!$AE$2:$AE$10000,0),1)&gt;0,INDEX('CAMD Facility Data 2023'!$AC$2:$AE$10000,MATCH(Z1610,'CAMD Facility Data 2023'!$AE$2:$AE$10000,0),1),"")</f>
        <v>1308</v>
      </c>
      <c r="AC1610" s="1" t="str">
        <f>IF(INDEX('CAMD Facility Data 2023'!$AE$2:$AG$10000,MATCH(Z1610,'CAMD Facility Data 2023'!$AE$2:$AE$10000,0),3)&gt;0,INDEX('CAMD Facility Data 2023'!$AE$2:$AG$10000,MATCH(Z1610,'CAMD Facility Data 2023'!$AE$2:$AE$10000,0),3),"")</f>
        <v/>
      </c>
      <c r="AD1610" s="20">
        <f t="shared" si="76"/>
        <v>2.7774430596830095</v>
      </c>
      <c r="AE1610" s="25">
        <f t="shared" si="77"/>
        <v>3.6195915895158699E-2</v>
      </c>
    </row>
    <row r="1611" spans="1:31" x14ac:dyDescent="0.2">
      <c r="A1611" s="1" t="s">
        <v>3095</v>
      </c>
      <c r="B1611" s="1" t="s">
        <v>3952</v>
      </c>
      <c r="C1611" s="1">
        <v>7212</v>
      </c>
      <c r="D1611" s="1">
        <v>4</v>
      </c>
      <c r="E1611" s="1" t="s">
        <v>1798</v>
      </c>
      <c r="F1611" s="1">
        <v>2023</v>
      </c>
      <c r="G1611" s="5">
        <v>440</v>
      </c>
      <c r="H1611" s="5">
        <v>395.24</v>
      </c>
      <c r="I1611" s="5">
        <v>22616.36</v>
      </c>
      <c r="K1611" s="5">
        <v>1.77</v>
      </c>
      <c r="L1611" s="5">
        <v>1.5699999999999999E-2</v>
      </c>
      <c r="M1611" s="5">
        <v>17995.8</v>
      </c>
      <c r="N1611" s="6">
        <v>6.0499999999999998E-2</v>
      </c>
      <c r="O1611" s="5">
        <v>31.757999999999999</v>
      </c>
      <c r="P1611" s="6">
        <v>0.28339999999999999</v>
      </c>
      <c r="Q1611" s="5">
        <v>298790.59999999998</v>
      </c>
      <c r="R1611" s="1" t="s">
        <v>44</v>
      </c>
      <c r="S1611" s="1" t="s">
        <v>94</v>
      </c>
      <c r="T1611" s="1" t="s">
        <v>93</v>
      </c>
      <c r="V1611" s="1" t="s">
        <v>95</v>
      </c>
      <c r="Y1611" s="1" t="s">
        <v>1528</v>
      </c>
      <c r="Z1611" s="1" t="str">
        <f t="shared" si="75"/>
        <v>7212 4</v>
      </c>
      <c r="AA1611" s="3">
        <f>IF(INDEX('CAMD Facility Data 2023'!$AA$2:$AE$10000,MATCH(Z1611,'CAMD Facility Data 2023'!$AE$2:$AE$10000,0),1)&gt;0,INDEX('CAMD Facility Data 2023'!$AA$2:$AE$10000,MATCH(Z1611,'CAMD Facility Data 2023'!$AE$2:$AE$10000,0),1),"")</f>
        <v>32965</v>
      </c>
      <c r="AB1611" s="5">
        <f>IF(INDEX('CAMD Facility Data 2023'!$AC$2:$AE$10000,MATCH(Z1611,'CAMD Facility Data 2023'!$AE$2:$AE$10000,0),1)&gt;0,INDEX('CAMD Facility Data 2023'!$AC$2:$AE$10000,MATCH(Z1611,'CAMD Facility Data 2023'!$AE$2:$AE$10000,0),1),"")</f>
        <v>1308</v>
      </c>
      <c r="AC1611" s="1" t="str">
        <f>IF(INDEX('CAMD Facility Data 2023'!$AE$2:$AG$10000,MATCH(Z1611,'CAMD Facility Data 2023'!$AE$2:$AE$10000,0),3)&gt;0,INDEX('CAMD Facility Data 2023'!$AE$2:$AG$10000,MATCH(Z1611,'CAMD Facility Data 2023'!$AE$2:$AE$10000,0),3),"")</f>
        <v/>
      </c>
      <c r="AD1611" s="20">
        <f t="shared" si="76"/>
        <v>2.8084094876452266</v>
      </c>
      <c r="AE1611" s="25">
        <f t="shared" si="77"/>
        <v>2.6076847080837275E-2</v>
      </c>
    </row>
    <row r="1612" spans="1:31" x14ac:dyDescent="0.2">
      <c r="A1612" s="1" t="s">
        <v>3095</v>
      </c>
      <c r="B1612" s="1" t="s">
        <v>3959</v>
      </c>
      <c r="C1612" s="1">
        <v>7213</v>
      </c>
      <c r="D1612" s="1">
        <v>1</v>
      </c>
      <c r="F1612" s="1">
        <v>2023</v>
      </c>
      <c r="G1612" s="5">
        <v>627</v>
      </c>
      <c r="H1612" s="5">
        <v>621.1</v>
      </c>
      <c r="I1612" s="5">
        <v>114147.16</v>
      </c>
      <c r="K1612" s="5">
        <v>29.74</v>
      </c>
      <c r="L1612" s="5">
        <v>4.3099999999999999E-2</v>
      </c>
      <c r="M1612" s="5">
        <v>126778.995</v>
      </c>
      <c r="N1612" s="6">
        <v>0.1027</v>
      </c>
      <c r="O1612" s="5">
        <v>144.40299999999999</v>
      </c>
      <c r="P1612" s="6">
        <v>0.20380000000000001</v>
      </c>
      <c r="Q1612" s="5">
        <v>1235661.7120000001</v>
      </c>
      <c r="R1612" s="1" t="s">
        <v>55</v>
      </c>
      <c r="T1612" s="1" t="s">
        <v>43</v>
      </c>
      <c r="U1612" s="1" t="s">
        <v>56</v>
      </c>
      <c r="V1612" s="1" t="s">
        <v>3963</v>
      </c>
      <c r="W1612" s="1" t="s">
        <v>1310</v>
      </c>
      <c r="Y1612" s="1" t="s">
        <v>682</v>
      </c>
      <c r="Z1612" s="1" t="str">
        <f t="shared" si="75"/>
        <v>7213 1</v>
      </c>
      <c r="AA1612" s="3">
        <f>IF(INDEX('CAMD Facility Data 2023'!$AA$2:$AE$10000,MATCH(Z1612,'CAMD Facility Data 2023'!$AE$2:$AE$10000,0),1)&gt;0,INDEX('CAMD Facility Data 2023'!$AA$2:$AE$10000,MATCH(Z1612,'CAMD Facility Data 2023'!$AE$2:$AE$10000,0),1),"")</f>
        <v>34703</v>
      </c>
      <c r="AB1612" s="5">
        <f>IF(INDEX('CAMD Facility Data 2023'!$AC$2:$AE$10000,MATCH(Z1612,'CAMD Facility Data 2023'!$AE$2:$AE$10000,0),1)&gt;0,INDEX('CAMD Facility Data 2023'!$AC$2:$AE$10000,MATCH(Z1612,'CAMD Facility Data 2023'!$AE$2:$AE$10000,0),1),"")</f>
        <v>5173</v>
      </c>
      <c r="AC1612" s="1" t="str">
        <f>IF(INDEX('CAMD Facility Data 2023'!$AE$2:$AG$10000,MATCH(Z1612,'CAMD Facility Data 2023'!$AE$2:$AE$10000,0),3)&gt;0,INDEX('CAMD Facility Data 2023'!$AE$2:$AG$10000,MATCH(Z1612,'CAMD Facility Data 2023'!$AE$2:$AE$10000,0),3),"")</f>
        <v>Y</v>
      </c>
      <c r="AD1612" s="20">
        <f t="shared" si="76"/>
        <v>2.5301198908496714</v>
      </c>
      <c r="AE1612" s="25">
        <f t="shared" si="77"/>
        <v>2.7267982420135461E-2</v>
      </c>
    </row>
    <row r="1613" spans="1:31" x14ac:dyDescent="0.2">
      <c r="A1613" s="1" t="s">
        <v>3095</v>
      </c>
      <c r="B1613" s="1" t="s">
        <v>3959</v>
      </c>
      <c r="C1613" s="1">
        <v>7213</v>
      </c>
      <c r="D1613" s="1">
        <v>2</v>
      </c>
      <c r="F1613" s="1">
        <v>2023</v>
      </c>
      <c r="G1613" s="5">
        <v>846</v>
      </c>
      <c r="H1613" s="5">
        <v>839.03</v>
      </c>
      <c r="I1613" s="5">
        <v>164089.95000000001</v>
      </c>
      <c r="K1613" s="5">
        <v>53.639000000000003</v>
      </c>
      <c r="L1613" s="5">
        <v>5.2200000000000003E-2</v>
      </c>
      <c r="M1613" s="5">
        <v>180201.283</v>
      </c>
      <c r="N1613" s="6">
        <v>0.10299999999999999</v>
      </c>
      <c r="O1613" s="5">
        <v>208.06800000000001</v>
      </c>
      <c r="P1613" s="6">
        <v>0.20399999999999999</v>
      </c>
      <c r="Q1613" s="5">
        <v>1756348.6259999999</v>
      </c>
      <c r="R1613" s="1" t="s">
        <v>55</v>
      </c>
      <c r="T1613" s="1" t="s">
        <v>43</v>
      </c>
      <c r="U1613" s="1" t="s">
        <v>56</v>
      </c>
      <c r="V1613" s="1" t="s">
        <v>3963</v>
      </c>
      <c r="W1613" s="1" t="s">
        <v>1310</v>
      </c>
      <c r="Y1613" s="1" t="s">
        <v>682</v>
      </c>
      <c r="Z1613" s="1" t="str">
        <f t="shared" si="75"/>
        <v>7213 2</v>
      </c>
      <c r="AA1613" s="3">
        <f>IF(INDEX('CAMD Facility Data 2023'!$AA$2:$AE$10000,MATCH(Z1613,'CAMD Facility Data 2023'!$AE$2:$AE$10000,0),1)&gt;0,INDEX('CAMD Facility Data 2023'!$AA$2:$AE$10000,MATCH(Z1613,'CAMD Facility Data 2023'!$AE$2:$AE$10000,0),1),"")</f>
        <v>35050</v>
      </c>
      <c r="AB1613" s="5">
        <f>IF(INDEX('CAMD Facility Data 2023'!$AC$2:$AE$10000,MATCH(Z1613,'CAMD Facility Data 2023'!$AE$2:$AE$10000,0),1)&gt;0,INDEX('CAMD Facility Data 2023'!$AC$2:$AE$10000,MATCH(Z1613,'CAMD Facility Data 2023'!$AE$2:$AE$10000,0),1),"")</f>
        <v>5173</v>
      </c>
      <c r="AC1613" s="1" t="str">
        <f>IF(INDEX('CAMD Facility Data 2023'!$AE$2:$AG$10000,MATCH(Z1613,'CAMD Facility Data 2023'!$AE$2:$AE$10000,0),3)&gt;0,INDEX('CAMD Facility Data 2023'!$AE$2:$AG$10000,MATCH(Z1613,'CAMD Facility Data 2023'!$AE$2:$AE$10000,0),3),"")</f>
        <v>Y</v>
      </c>
      <c r="AD1613" s="20">
        <f t="shared" si="76"/>
        <v>2.5360236870082535</v>
      </c>
      <c r="AE1613" s="25">
        <f t="shared" si="77"/>
        <v>3.8758248307200982E-2</v>
      </c>
    </row>
    <row r="1614" spans="1:31" x14ac:dyDescent="0.2">
      <c r="A1614" s="1" t="s">
        <v>2750</v>
      </c>
      <c r="B1614" s="1" t="s">
        <v>3966</v>
      </c>
      <c r="C1614" s="1">
        <v>7237</v>
      </c>
      <c r="D1614" s="1">
        <v>2</v>
      </c>
      <c r="F1614" s="1">
        <v>2023</v>
      </c>
      <c r="G1614" s="5">
        <v>879</v>
      </c>
      <c r="H1614" s="5">
        <v>812.68</v>
      </c>
      <c r="I1614" s="5">
        <v>60393.97</v>
      </c>
      <c r="K1614" s="5">
        <v>0.249</v>
      </c>
      <c r="L1614" s="5">
        <v>1E-3</v>
      </c>
      <c r="M1614" s="5">
        <v>49436.366999999998</v>
      </c>
      <c r="N1614" s="6">
        <v>5.91E-2</v>
      </c>
      <c r="O1614" s="5">
        <v>29.507000000000001</v>
      </c>
      <c r="P1614" s="6">
        <v>8.0699999999999994E-2</v>
      </c>
      <c r="Q1614" s="5">
        <v>831451.63800000004</v>
      </c>
      <c r="R1614" s="1" t="s">
        <v>44</v>
      </c>
      <c r="S1614" s="1" t="s">
        <v>94</v>
      </c>
      <c r="T1614" s="1" t="s">
        <v>93</v>
      </c>
      <c r="V1614" s="1" t="s">
        <v>95</v>
      </c>
      <c r="Y1614" s="1" t="s">
        <v>247</v>
      </c>
      <c r="Z1614" s="1" t="str">
        <f t="shared" si="75"/>
        <v>7237 2</v>
      </c>
      <c r="AA1614" s="3">
        <f>IF(INDEX('CAMD Facility Data 2023'!$AA$2:$AE$10000,MATCH(Z1614,'CAMD Facility Data 2023'!$AE$2:$AE$10000,0),1)&gt;0,INDEX('CAMD Facility Data 2023'!$AA$2:$AE$10000,MATCH(Z1614,'CAMD Facility Data 2023'!$AE$2:$AE$10000,0),1),"")</f>
        <v>34600</v>
      </c>
      <c r="AB1614" s="5">
        <f>IF(INDEX('CAMD Facility Data 2023'!$AC$2:$AE$10000,MATCH(Z1614,'CAMD Facility Data 2023'!$AE$2:$AE$10000,0),1)&gt;0,INDEX('CAMD Facility Data 2023'!$AC$2:$AE$10000,MATCH(Z1614,'CAMD Facility Data 2023'!$AE$2:$AE$10000,0),1),"")</f>
        <v>1622</v>
      </c>
      <c r="AC1614" s="1" t="str">
        <f>IF(INDEX('CAMD Facility Data 2023'!$AE$2:$AG$10000,MATCH(Z1614,'CAMD Facility Data 2023'!$AE$2:$AE$10000,0),3)&gt;0,INDEX('CAMD Facility Data 2023'!$AE$2:$AG$10000,MATCH(Z1614,'CAMD Facility Data 2023'!$AE$2:$AE$10000,0),3),"")</f>
        <v/>
      </c>
      <c r="AD1614" s="20">
        <f t="shared" si="76"/>
        <v>0.9771505334059013</v>
      </c>
      <c r="AE1614" s="25">
        <f t="shared" si="77"/>
        <v>5.8516997871729474E-2</v>
      </c>
    </row>
    <row r="1615" spans="1:31" x14ac:dyDescent="0.2">
      <c r="A1615" s="1" t="s">
        <v>2750</v>
      </c>
      <c r="B1615" s="1" t="s">
        <v>3966</v>
      </c>
      <c r="C1615" s="1">
        <v>7237</v>
      </c>
      <c r="D1615" s="1">
        <v>3</v>
      </c>
      <c r="F1615" s="1">
        <v>2023</v>
      </c>
      <c r="G1615" s="5">
        <v>632</v>
      </c>
      <c r="H1615" s="5">
        <v>590.27</v>
      </c>
      <c r="I1615" s="5">
        <v>42926.1</v>
      </c>
      <c r="K1615" s="5">
        <v>0.16500000000000001</v>
      </c>
      <c r="L1615" s="5">
        <v>1E-3</v>
      </c>
      <c r="M1615" s="5">
        <v>32685.289000000001</v>
      </c>
      <c r="N1615" s="6">
        <v>5.8999999999999997E-2</v>
      </c>
      <c r="O1615" s="5">
        <v>19.683</v>
      </c>
      <c r="P1615" s="6">
        <v>7.9699999999999993E-2</v>
      </c>
      <c r="Q1615" s="5">
        <v>549828.44700000004</v>
      </c>
      <c r="R1615" s="1" t="s">
        <v>44</v>
      </c>
      <c r="S1615" s="1" t="s">
        <v>94</v>
      </c>
      <c r="T1615" s="1" t="s">
        <v>93</v>
      </c>
      <c r="V1615" s="1" t="s">
        <v>95</v>
      </c>
      <c r="Y1615" s="1" t="s">
        <v>247</v>
      </c>
      <c r="Z1615" s="1" t="str">
        <f t="shared" si="75"/>
        <v>7237 3</v>
      </c>
      <c r="AA1615" s="3">
        <f>IF(INDEX('CAMD Facility Data 2023'!$AA$2:$AE$10000,MATCH(Z1615,'CAMD Facility Data 2023'!$AE$2:$AE$10000,0),1)&gt;0,INDEX('CAMD Facility Data 2023'!$AA$2:$AE$10000,MATCH(Z1615,'CAMD Facility Data 2023'!$AE$2:$AE$10000,0),1),"")</f>
        <v>34600</v>
      </c>
      <c r="AB1615" s="5">
        <f>IF(INDEX('CAMD Facility Data 2023'!$AC$2:$AE$10000,MATCH(Z1615,'CAMD Facility Data 2023'!$AE$2:$AE$10000,0),1)&gt;0,INDEX('CAMD Facility Data 2023'!$AC$2:$AE$10000,MATCH(Z1615,'CAMD Facility Data 2023'!$AE$2:$AE$10000,0),1),"")</f>
        <v>1629</v>
      </c>
      <c r="AC1615" s="1" t="str">
        <f>IF(INDEX('CAMD Facility Data 2023'!$AE$2:$AG$10000,MATCH(Z1615,'CAMD Facility Data 2023'!$AE$2:$AE$10000,0),3)&gt;0,INDEX('CAMD Facility Data 2023'!$AE$2:$AG$10000,MATCH(Z1615,'CAMD Facility Data 2023'!$AE$2:$AE$10000,0),3),"")</f>
        <v/>
      </c>
      <c r="AD1615" s="20">
        <f t="shared" si="76"/>
        <v>0.91706444331071313</v>
      </c>
      <c r="AE1615" s="25">
        <f t="shared" si="77"/>
        <v>3.853026669862173E-2</v>
      </c>
    </row>
    <row r="1616" spans="1:31" x14ac:dyDescent="0.2">
      <c r="A1616" s="1" t="s">
        <v>2750</v>
      </c>
      <c r="B1616" s="1" t="s">
        <v>3966</v>
      </c>
      <c r="C1616" s="1">
        <v>7237</v>
      </c>
      <c r="D1616" s="1">
        <v>4</v>
      </c>
      <c r="F1616" s="1">
        <v>2023</v>
      </c>
      <c r="G1616" s="5">
        <v>1159</v>
      </c>
      <c r="H1616" s="5">
        <v>1049.45</v>
      </c>
      <c r="I1616" s="5">
        <v>135278.98000000001</v>
      </c>
      <c r="K1616" s="5">
        <v>0.47899999999999998</v>
      </c>
      <c r="L1616" s="5">
        <v>1E-3</v>
      </c>
      <c r="M1616" s="5">
        <v>94979.346999999994</v>
      </c>
      <c r="N1616" s="6">
        <v>5.8999999999999997E-2</v>
      </c>
      <c r="O1616" s="5">
        <v>21.268999999999998</v>
      </c>
      <c r="P1616" s="6">
        <v>3.5400000000000001E-2</v>
      </c>
      <c r="Q1616" s="5">
        <v>1598246.273</v>
      </c>
      <c r="R1616" s="1" t="s">
        <v>44</v>
      </c>
      <c r="T1616" s="1" t="s">
        <v>93</v>
      </c>
      <c r="V1616" s="1" t="s">
        <v>140</v>
      </c>
      <c r="Y1616" s="1" t="s">
        <v>247</v>
      </c>
      <c r="Z1616" s="1" t="str">
        <f t="shared" si="75"/>
        <v>7237 4</v>
      </c>
      <c r="AA1616" s="3">
        <f>IF(INDEX('CAMD Facility Data 2023'!$AA$2:$AE$10000,MATCH(Z1616,'CAMD Facility Data 2023'!$AE$2:$AE$10000,0),1)&gt;0,INDEX('CAMD Facility Data 2023'!$AA$2:$AE$10000,MATCH(Z1616,'CAMD Facility Data 2023'!$AE$2:$AE$10000,0),1),"")</f>
        <v>38443</v>
      </c>
      <c r="AB1616" s="5">
        <f>IF(INDEX('CAMD Facility Data 2023'!$AC$2:$AE$10000,MATCH(Z1616,'CAMD Facility Data 2023'!$AE$2:$AE$10000,0),1)&gt;0,INDEX('CAMD Facility Data 2023'!$AC$2:$AE$10000,MATCH(Z1616,'CAMD Facility Data 2023'!$AE$2:$AE$10000,0),1),"")</f>
        <v>1960</v>
      </c>
      <c r="AC1616" s="1" t="str">
        <f>IF(INDEX('CAMD Facility Data 2023'!$AE$2:$AG$10000,MATCH(Z1616,'CAMD Facility Data 2023'!$AE$2:$AE$10000,0),3)&gt;0,INDEX('CAMD Facility Data 2023'!$AE$2:$AG$10000,MATCH(Z1616,'CAMD Facility Data 2023'!$AE$2:$AE$10000,0),3),"")</f>
        <v/>
      </c>
      <c r="AD1616" s="20">
        <f t="shared" si="76"/>
        <v>0.31444648680822401</v>
      </c>
      <c r="AE1616" s="25">
        <f t="shared" si="77"/>
        <v>9.3085818714472093E-2</v>
      </c>
    </row>
    <row r="1617" spans="1:31" x14ac:dyDescent="0.2">
      <c r="A1617" s="1" t="s">
        <v>304</v>
      </c>
      <c r="B1617" s="1" t="s">
        <v>3971</v>
      </c>
      <c r="C1617" s="1">
        <v>7238</v>
      </c>
      <c r="D1617" s="1" t="s">
        <v>3872</v>
      </c>
      <c r="F1617" s="1">
        <v>2023</v>
      </c>
      <c r="G1617" s="5">
        <v>757</v>
      </c>
      <c r="H1617" s="5">
        <v>658.76</v>
      </c>
      <c r="I1617" s="5">
        <v>17824.11</v>
      </c>
      <c r="K1617" s="5">
        <v>7.0999999999999994E-2</v>
      </c>
      <c r="L1617" s="5">
        <v>1.1999999999999999E-3</v>
      </c>
      <c r="M1617" s="5">
        <v>11373.541999999999</v>
      </c>
      <c r="N1617" s="6">
        <v>5.9400000000000001E-2</v>
      </c>
      <c r="O1617" s="5">
        <v>8.0419999999999998</v>
      </c>
      <c r="P1617" s="6">
        <v>8.7900000000000006E-2</v>
      </c>
      <c r="Q1617" s="5">
        <v>191148.84899999999</v>
      </c>
      <c r="R1617" s="1" t="s">
        <v>44</v>
      </c>
      <c r="S1617" s="1" t="s">
        <v>94</v>
      </c>
      <c r="T1617" s="1" t="s">
        <v>93</v>
      </c>
      <c r="V1617" s="1" t="s">
        <v>183</v>
      </c>
      <c r="Y1617" s="1" t="s">
        <v>247</v>
      </c>
      <c r="Z1617" s="1" t="str">
        <f t="shared" si="75"/>
        <v>7238 **1</v>
      </c>
      <c r="AA1617" s="3">
        <f>IF(INDEX('CAMD Facility Data 2023'!$AA$2:$AE$10000,MATCH(Z1617,'CAMD Facility Data 2023'!$AE$2:$AE$10000,0),1)&gt;0,INDEX('CAMD Facility Data 2023'!$AA$2:$AE$10000,MATCH(Z1617,'CAMD Facility Data 2023'!$AE$2:$AE$10000,0),1),"")</f>
        <v>34782</v>
      </c>
      <c r="AB1617" s="5">
        <f>IF(INDEX('CAMD Facility Data 2023'!$AC$2:$AE$10000,MATCH(Z1617,'CAMD Facility Data 2023'!$AE$2:$AE$10000,0),1)&gt;0,INDEX('CAMD Facility Data 2023'!$AC$2:$AE$10000,MATCH(Z1617,'CAMD Facility Data 2023'!$AE$2:$AE$10000,0),1),"")</f>
        <v>435</v>
      </c>
      <c r="AC1617" s="1" t="str">
        <f>IF(INDEX('CAMD Facility Data 2023'!$AE$2:$AG$10000,MATCH(Z1617,'CAMD Facility Data 2023'!$AE$2:$AE$10000,0),3)&gt;0,INDEX('CAMD Facility Data 2023'!$AE$2:$AG$10000,MATCH(Z1617,'CAMD Facility Data 2023'!$AE$2:$AE$10000,0),3),"")</f>
        <v/>
      </c>
      <c r="AD1617" s="20">
        <f t="shared" si="76"/>
        <v>0.90237324612561298</v>
      </c>
      <c r="AE1617" s="25">
        <f t="shared" si="77"/>
        <v>5.0162401983939536E-2</v>
      </c>
    </row>
    <row r="1618" spans="1:31" x14ac:dyDescent="0.2">
      <c r="A1618" s="1" t="s">
        <v>304</v>
      </c>
      <c r="B1618" s="1" t="s">
        <v>3971</v>
      </c>
      <c r="C1618" s="1">
        <v>7238</v>
      </c>
      <c r="D1618" s="1">
        <v>2</v>
      </c>
      <c r="F1618" s="1">
        <v>2023</v>
      </c>
      <c r="G1618" s="5">
        <v>5150</v>
      </c>
      <c r="H1618" s="5">
        <v>5137.21</v>
      </c>
      <c r="I1618" s="5">
        <v>467125.79</v>
      </c>
      <c r="K1618" s="5">
        <v>1.069</v>
      </c>
      <c r="L1618" s="5">
        <v>1E-3</v>
      </c>
      <c r="M1618" s="5">
        <v>211798.571</v>
      </c>
      <c r="N1618" s="6">
        <v>5.8999999999999997E-2</v>
      </c>
      <c r="O1618" s="5">
        <v>51.529000000000003</v>
      </c>
      <c r="P1618" s="6">
        <v>2.9000000000000001E-2</v>
      </c>
      <c r="Q1618" s="5">
        <v>3563959.165</v>
      </c>
      <c r="R1618" s="1" t="s">
        <v>44</v>
      </c>
      <c r="S1618" s="1" t="s">
        <v>94</v>
      </c>
      <c r="T1618" s="1" t="s">
        <v>71</v>
      </c>
      <c r="V1618" s="1" t="s">
        <v>183</v>
      </c>
      <c r="Y1618" s="1" t="s">
        <v>247</v>
      </c>
      <c r="Z1618" s="1" t="str">
        <f t="shared" si="75"/>
        <v>7238 2</v>
      </c>
      <c r="AA1618" s="3">
        <f>IF(INDEX('CAMD Facility Data 2023'!$AA$2:$AE$10000,MATCH(Z1618,'CAMD Facility Data 2023'!$AE$2:$AE$10000,0),1)&gt;0,INDEX('CAMD Facility Data 2023'!$AA$2:$AE$10000,MATCH(Z1618,'CAMD Facility Data 2023'!$AE$2:$AE$10000,0),1),"")</f>
        <v>34881</v>
      </c>
      <c r="AB1618" s="5">
        <f>IF(INDEX('CAMD Facility Data 2023'!$AC$2:$AE$10000,MATCH(Z1618,'CAMD Facility Data 2023'!$AE$2:$AE$10000,0),1)&gt;0,INDEX('CAMD Facility Data 2023'!$AC$2:$AE$10000,MATCH(Z1618,'CAMD Facility Data 2023'!$AE$2:$AE$10000,0),1),"")</f>
        <v>987</v>
      </c>
      <c r="AC1618" s="1" t="str">
        <f>IF(INDEX('CAMD Facility Data 2023'!$AE$2:$AG$10000,MATCH(Z1618,'CAMD Facility Data 2023'!$AE$2:$AE$10000,0),3)&gt;0,INDEX('CAMD Facility Data 2023'!$AE$2:$AG$10000,MATCH(Z1618,'CAMD Facility Data 2023'!$AE$2:$AE$10000,0),3),"")</f>
        <v/>
      </c>
      <c r="AD1618" s="20">
        <f t="shared" si="76"/>
        <v>0.22062151610169073</v>
      </c>
      <c r="AE1618" s="25">
        <f t="shared" si="77"/>
        <v>0.41220329639190761</v>
      </c>
    </row>
    <row r="1619" spans="1:31" x14ac:dyDescent="0.2">
      <c r="A1619" s="1" t="s">
        <v>304</v>
      </c>
      <c r="B1619" s="1" t="s">
        <v>3971</v>
      </c>
      <c r="C1619" s="1">
        <v>7238</v>
      </c>
      <c r="D1619" s="1">
        <v>3</v>
      </c>
      <c r="F1619" s="1">
        <v>2023</v>
      </c>
      <c r="G1619" s="5">
        <v>7521</v>
      </c>
      <c r="H1619" s="5">
        <v>7512.55</v>
      </c>
      <c r="I1619" s="5">
        <v>1625328.4</v>
      </c>
      <c r="K1619" s="5">
        <v>3.3450000000000002</v>
      </c>
      <c r="L1619" s="5">
        <v>1E-3</v>
      </c>
      <c r="M1619" s="5">
        <v>662625.34199999995</v>
      </c>
      <c r="N1619" s="6">
        <v>5.8999999999999997E-2</v>
      </c>
      <c r="O1619" s="5">
        <v>60.314</v>
      </c>
      <c r="P1619" s="6">
        <v>1.14E-2</v>
      </c>
      <c r="Q1619" s="5">
        <v>11149775.861</v>
      </c>
      <c r="R1619" s="1" t="s">
        <v>44</v>
      </c>
      <c r="S1619" s="1" t="s">
        <v>94</v>
      </c>
      <c r="T1619" s="1" t="s">
        <v>71</v>
      </c>
      <c r="V1619" s="1" t="s">
        <v>643</v>
      </c>
      <c r="Y1619" s="1" t="s">
        <v>247</v>
      </c>
      <c r="Z1619" s="1" t="str">
        <f t="shared" si="75"/>
        <v>7238 3</v>
      </c>
      <c r="AA1619" s="3">
        <f>IF(INDEX('CAMD Facility Data 2023'!$AA$2:$AE$10000,MATCH(Z1619,'CAMD Facility Data 2023'!$AE$2:$AE$10000,0),1)&gt;0,INDEX('CAMD Facility Data 2023'!$AA$2:$AE$10000,MATCH(Z1619,'CAMD Facility Data 2023'!$AE$2:$AE$10000,0),1),"")</f>
        <v>36917</v>
      </c>
      <c r="AB1619" s="5">
        <f>IF(INDEX('CAMD Facility Data 2023'!$AC$2:$AE$10000,MATCH(Z1619,'CAMD Facility Data 2023'!$AE$2:$AE$10000,0),1)&gt;0,INDEX('CAMD Facility Data 2023'!$AC$2:$AE$10000,MATCH(Z1619,'CAMD Facility Data 2023'!$AE$2:$AE$10000,0),1),"")</f>
        <v>2076</v>
      </c>
      <c r="AC1619" s="1" t="str">
        <f>IF(INDEX('CAMD Facility Data 2023'!$AE$2:$AG$10000,MATCH(Z1619,'CAMD Facility Data 2023'!$AE$2:$AE$10000,0),3)&gt;0,INDEX('CAMD Facility Data 2023'!$AE$2:$AG$10000,MATCH(Z1619,'CAMD Facility Data 2023'!$AE$2:$AE$10000,0),3),"")</f>
        <v>Y</v>
      </c>
      <c r="AD1619" s="20">
        <f t="shared" si="76"/>
        <v>7.4217616575210282E-2</v>
      </c>
      <c r="AE1619" s="25">
        <f t="shared" si="77"/>
        <v>0.61310475124493002</v>
      </c>
    </row>
    <row r="1620" spans="1:31" x14ac:dyDescent="0.2">
      <c r="A1620" s="1" t="s">
        <v>304</v>
      </c>
      <c r="B1620" s="1" t="s">
        <v>3971</v>
      </c>
      <c r="C1620" s="1">
        <v>7238</v>
      </c>
      <c r="D1620" s="1">
        <v>4</v>
      </c>
      <c r="F1620" s="1">
        <v>2023</v>
      </c>
      <c r="G1620" s="5">
        <v>7944</v>
      </c>
      <c r="H1620" s="5">
        <v>7932.48</v>
      </c>
      <c r="I1620" s="5">
        <v>2196977.4300000002</v>
      </c>
      <c r="K1620" s="5">
        <v>4.556</v>
      </c>
      <c r="L1620" s="5">
        <v>1E-3</v>
      </c>
      <c r="M1620" s="5">
        <v>902460.78099999996</v>
      </c>
      <c r="N1620" s="6">
        <v>5.8999999999999997E-2</v>
      </c>
      <c r="O1620" s="5">
        <v>46.345999999999997</v>
      </c>
      <c r="P1620" s="6">
        <v>6.8999999999999999E-3</v>
      </c>
      <c r="Q1620" s="5">
        <v>15185684.935000001</v>
      </c>
      <c r="R1620" s="1" t="s">
        <v>44</v>
      </c>
      <c r="T1620" s="1" t="s">
        <v>71</v>
      </c>
      <c r="V1620" s="1" t="s">
        <v>223</v>
      </c>
      <c r="Y1620" s="1" t="s">
        <v>247</v>
      </c>
      <c r="Z1620" s="1" t="str">
        <f t="shared" si="75"/>
        <v>7238 4</v>
      </c>
      <c r="AA1620" s="3">
        <f>IF(INDEX('CAMD Facility Data 2023'!$AA$2:$AE$10000,MATCH(Z1620,'CAMD Facility Data 2023'!$AE$2:$AE$10000,0),1)&gt;0,INDEX('CAMD Facility Data 2023'!$AA$2:$AE$10000,MATCH(Z1620,'CAMD Facility Data 2023'!$AE$2:$AE$10000,0),1),"")</f>
        <v>40581</v>
      </c>
      <c r="AB1620" s="5">
        <f>IF(INDEX('CAMD Facility Data 2023'!$AC$2:$AE$10000,MATCH(Z1620,'CAMD Facility Data 2023'!$AE$2:$AE$10000,0),1)&gt;0,INDEX('CAMD Facility Data 2023'!$AC$2:$AE$10000,MATCH(Z1620,'CAMD Facility Data 2023'!$AE$2:$AE$10000,0),1),"")</f>
        <v>2560</v>
      </c>
      <c r="AC1620" s="1" t="str">
        <f>IF(INDEX('CAMD Facility Data 2023'!$AE$2:$AG$10000,MATCH(Z1620,'CAMD Facility Data 2023'!$AE$2:$AE$10000,0),3)&gt;0,INDEX('CAMD Facility Data 2023'!$AE$2:$AG$10000,MATCH(Z1620,'CAMD Facility Data 2023'!$AE$2:$AE$10000,0),3),"")</f>
        <v>Y</v>
      </c>
      <c r="AD1620" s="20">
        <f t="shared" si="76"/>
        <v>4.219069287389083E-2</v>
      </c>
      <c r="AE1620" s="25">
        <f t="shared" si="77"/>
        <v>0.67715846777789668</v>
      </c>
    </row>
    <row r="1621" spans="1:31" x14ac:dyDescent="0.2">
      <c r="A1621" s="1" t="s">
        <v>304</v>
      </c>
      <c r="B1621" s="1" t="s">
        <v>3979</v>
      </c>
      <c r="C1621" s="1">
        <v>7242</v>
      </c>
      <c r="D1621" s="1" t="s">
        <v>3872</v>
      </c>
      <c r="F1621" s="1">
        <v>2023</v>
      </c>
      <c r="G1621" s="5">
        <v>1170</v>
      </c>
      <c r="H1621" s="5">
        <v>1154.3900000000001</v>
      </c>
      <c r="I1621" s="5">
        <v>116032.79</v>
      </c>
      <c r="K1621" s="5">
        <v>0.39700000000000002</v>
      </c>
      <c r="L1621" s="5">
        <v>1E-3</v>
      </c>
      <c r="M1621" s="5">
        <v>78383.44</v>
      </c>
      <c r="N1621" s="6">
        <v>5.8900000000000001E-2</v>
      </c>
      <c r="O1621" s="5">
        <v>98.603999999999999</v>
      </c>
      <c r="P1621" s="6">
        <v>0.1512</v>
      </c>
      <c r="Q1621" s="5">
        <v>1322240.307</v>
      </c>
      <c r="R1621" s="1" t="s">
        <v>44</v>
      </c>
      <c r="S1621" s="1" t="s">
        <v>288</v>
      </c>
      <c r="T1621" s="1" t="s">
        <v>1132</v>
      </c>
      <c r="V1621" s="1" t="s">
        <v>454</v>
      </c>
      <c r="Y1621" s="1" t="s">
        <v>236</v>
      </c>
      <c r="Z1621" s="1" t="str">
        <f t="shared" si="75"/>
        <v>7242 **1</v>
      </c>
      <c r="AA1621" s="3">
        <f>IF(INDEX('CAMD Facility Data 2023'!$AA$2:$AE$10000,MATCH(Z1621,'CAMD Facility Data 2023'!$AE$2:$AE$10000,0),1)&gt;0,INDEX('CAMD Facility Data 2023'!$AA$2:$AE$10000,MATCH(Z1621,'CAMD Facility Data 2023'!$AE$2:$AE$10000,0),1),"")</f>
        <v>35281</v>
      </c>
      <c r="AB1621" s="5">
        <f>IF(INDEX('CAMD Facility Data 2023'!$AC$2:$AE$10000,MATCH(Z1621,'CAMD Facility Data 2023'!$AE$2:$AE$10000,0),1)&gt;0,INDEX('CAMD Facility Data 2023'!$AC$2:$AE$10000,MATCH(Z1621,'CAMD Facility Data 2023'!$AE$2:$AE$10000,0),1),"")</f>
        <v>2100</v>
      </c>
      <c r="AC1621" s="1" t="str">
        <f>IF(INDEX('CAMD Facility Data 2023'!$AE$2:$AG$10000,MATCH(Z1621,'CAMD Facility Data 2023'!$AE$2:$AE$10000,0),3)&gt;0,INDEX('CAMD Facility Data 2023'!$AE$2:$AG$10000,MATCH(Z1621,'CAMD Facility Data 2023'!$AE$2:$AE$10000,0),3),"")</f>
        <v/>
      </c>
      <c r="AD1621" s="20">
        <f t="shared" si="76"/>
        <v>1.6995885387225458</v>
      </c>
      <c r="AE1621" s="25">
        <f t="shared" si="77"/>
        <v>7.1876511578604044E-2</v>
      </c>
    </row>
    <row r="1622" spans="1:31" x14ac:dyDescent="0.2">
      <c r="A1622" s="1" t="s">
        <v>304</v>
      </c>
      <c r="B1622" s="1" t="s">
        <v>3979</v>
      </c>
      <c r="C1622" s="1">
        <v>7242</v>
      </c>
      <c r="D1622" s="1" t="s">
        <v>3875</v>
      </c>
      <c r="F1622" s="1">
        <v>2023</v>
      </c>
      <c r="G1622" s="5">
        <v>7134</v>
      </c>
      <c r="H1622" s="5">
        <v>7049.31</v>
      </c>
      <c r="I1622" s="5">
        <v>1500522.08</v>
      </c>
      <c r="K1622" s="5">
        <v>13.178000000000001</v>
      </c>
      <c r="L1622" s="5">
        <v>5.3E-3</v>
      </c>
      <c r="M1622" s="5">
        <v>612405.647</v>
      </c>
      <c r="N1622" s="6">
        <v>5.91E-2</v>
      </c>
      <c r="O1622" s="5">
        <v>42.633000000000003</v>
      </c>
      <c r="P1622" s="6">
        <v>1.06E-2</v>
      </c>
      <c r="Q1622" s="5">
        <v>10297519.676999999</v>
      </c>
      <c r="R1622" s="1" t="s">
        <v>44</v>
      </c>
      <c r="S1622" s="1" t="s">
        <v>94</v>
      </c>
      <c r="T1622" s="1" t="s">
        <v>71</v>
      </c>
      <c r="V1622" s="1" t="s">
        <v>3404</v>
      </c>
      <c r="Y1622" s="1" t="s">
        <v>247</v>
      </c>
      <c r="Z1622" s="1" t="str">
        <f t="shared" si="75"/>
        <v>7242 **2</v>
      </c>
      <c r="AA1622" s="3">
        <f>IF(INDEX('CAMD Facility Data 2023'!$AA$2:$AE$10000,MATCH(Z1622,'CAMD Facility Data 2023'!$AE$2:$AE$10000,0),1)&gt;0,INDEX('CAMD Facility Data 2023'!$AA$2:$AE$10000,MATCH(Z1622,'CAMD Facility Data 2023'!$AE$2:$AE$10000,0),1),"")</f>
        <v>36702</v>
      </c>
      <c r="AB1622" s="5">
        <f>IF(INDEX('CAMD Facility Data 2023'!$AC$2:$AE$10000,MATCH(Z1622,'CAMD Facility Data 2023'!$AE$2:$AE$10000,0),1)&gt;0,INDEX('CAMD Facility Data 2023'!$AC$2:$AE$10000,MATCH(Z1622,'CAMD Facility Data 2023'!$AE$2:$AE$10000,0),1),"")</f>
        <v>2215</v>
      </c>
      <c r="AC1622" s="1" t="str">
        <f>IF(INDEX('CAMD Facility Data 2023'!$AE$2:$AG$10000,MATCH(Z1622,'CAMD Facility Data 2023'!$AE$2:$AE$10000,0),3)&gt;0,INDEX('CAMD Facility Data 2023'!$AE$2:$AG$10000,MATCH(Z1622,'CAMD Facility Data 2023'!$AE$2:$AE$10000,0),3),"")</f>
        <v>Y</v>
      </c>
      <c r="AD1622" s="20">
        <f t="shared" si="76"/>
        <v>5.6824222140070074E-2</v>
      </c>
      <c r="AE1622" s="25">
        <f t="shared" si="77"/>
        <v>0.53070697285011903</v>
      </c>
    </row>
    <row r="1623" spans="1:31" x14ac:dyDescent="0.2">
      <c r="A1623" s="1" t="s">
        <v>304</v>
      </c>
      <c r="B1623" s="1" t="s">
        <v>3979</v>
      </c>
      <c r="C1623" s="1">
        <v>7242</v>
      </c>
      <c r="D1623" s="1" t="s">
        <v>3876</v>
      </c>
      <c r="F1623" s="1">
        <v>2023</v>
      </c>
      <c r="G1623" s="5">
        <v>6930</v>
      </c>
      <c r="H1623" s="5">
        <v>6855.32</v>
      </c>
      <c r="I1623" s="5">
        <v>1475674.67</v>
      </c>
      <c r="K1623" s="5">
        <v>10.425000000000001</v>
      </c>
      <c r="L1623" s="5">
        <v>4.0000000000000001E-3</v>
      </c>
      <c r="M1623" s="5">
        <v>598523.86600000004</v>
      </c>
      <c r="N1623" s="6">
        <v>5.91E-2</v>
      </c>
      <c r="O1623" s="5">
        <v>38.686999999999998</v>
      </c>
      <c r="P1623" s="6">
        <v>9.7999999999999997E-3</v>
      </c>
      <c r="Q1623" s="5">
        <v>10065840.085000001</v>
      </c>
      <c r="R1623" s="1" t="s">
        <v>44</v>
      </c>
      <c r="S1623" s="1" t="s">
        <v>94</v>
      </c>
      <c r="T1623" s="1" t="s">
        <v>71</v>
      </c>
      <c r="V1623" s="1" t="s">
        <v>3404</v>
      </c>
      <c r="Y1623" s="1" t="s">
        <v>247</v>
      </c>
      <c r="Z1623" s="1" t="str">
        <f t="shared" si="75"/>
        <v>7242 **3</v>
      </c>
      <c r="AA1623" s="3">
        <f>IF(INDEX('CAMD Facility Data 2023'!$AA$2:$AE$10000,MATCH(Z1623,'CAMD Facility Data 2023'!$AE$2:$AE$10000,0),1)&gt;0,INDEX('CAMD Facility Data 2023'!$AA$2:$AE$10000,MATCH(Z1623,'CAMD Facility Data 2023'!$AE$2:$AE$10000,0),1),"")</f>
        <v>37370</v>
      </c>
      <c r="AB1623" s="5">
        <f>IF(INDEX('CAMD Facility Data 2023'!$AC$2:$AE$10000,MATCH(Z1623,'CAMD Facility Data 2023'!$AE$2:$AE$10000,0),1)&gt;0,INDEX('CAMD Facility Data 2023'!$AC$2:$AE$10000,MATCH(Z1623,'CAMD Facility Data 2023'!$AE$2:$AE$10000,0),1),"")</f>
        <v>2215</v>
      </c>
      <c r="AC1623" s="1" t="str">
        <f>IF(INDEX('CAMD Facility Data 2023'!$AE$2:$AG$10000,MATCH(Z1623,'CAMD Facility Data 2023'!$AE$2:$AE$10000,0),3)&gt;0,INDEX('CAMD Facility Data 2023'!$AE$2:$AG$10000,MATCH(Z1623,'CAMD Facility Data 2023'!$AE$2:$AE$10000,0),3),"")</f>
        <v>Y</v>
      </c>
      <c r="AD1623" s="20">
        <f t="shared" si="76"/>
        <v>5.2432966136092857E-2</v>
      </c>
      <c r="AE1623" s="25">
        <f t="shared" si="77"/>
        <v>0.51876681844419026</v>
      </c>
    </row>
    <row r="1624" spans="1:31" x14ac:dyDescent="0.2">
      <c r="A1624" s="1" t="s">
        <v>304</v>
      </c>
      <c r="B1624" s="1" t="s">
        <v>3979</v>
      </c>
      <c r="C1624" s="1">
        <v>7242</v>
      </c>
      <c r="D1624" s="1" t="s">
        <v>569</v>
      </c>
      <c r="F1624" s="1">
        <v>2023</v>
      </c>
      <c r="G1624" s="5">
        <v>6666</v>
      </c>
      <c r="H1624" s="5">
        <v>6576.84</v>
      </c>
      <c r="I1624" s="5">
        <v>1414493.31</v>
      </c>
      <c r="K1624" s="5">
        <v>2.8769999999999998</v>
      </c>
      <c r="L1624" s="5">
        <v>1E-3</v>
      </c>
      <c r="M1624" s="5">
        <v>569937.82700000005</v>
      </c>
      <c r="N1624" s="6">
        <v>5.8999999999999997E-2</v>
      </c>
      <c r="O1624" s="5">
        <v>34.914999999999999</v>
      </c>
      <c r="P1624" s="6">
        <v>8.9999999999999993E-3</v>
      </c>
      <c r="Q1624" s="5">
        <v>9590251.7919999994</v>
      </c>
      <c r="R1624" s="1" t="s">
        <v>44</v>
      </c>
      <c r="T1624" s="1" t="s">
        <v>71</v>
      </c>
      <c r="V1624" s="1" t="s">
        <v>858</v>
      </c>
      <c r="Y1624" s="1" t="s">
        <v>247</v>
      </c>
      <c r="Z1624" s="1" t="str">
        <f t="shared" si="75"/>
        <v>7242 **4</v>
      </c>
      <c r="AA1624" s="3">
        <f>IF(INDEX('CAMD Facility Data 2023'!$AA$2:$AE$10000,MATCH(Z1624,'CAMD Facility Data 2023'!$AE$2:$AE$10000,0),1)&gt;0,INDEX('CAMD Facility Data 2023'!$AA$2:$AE$10000,MATCH(Z1624,'CAMD Facility Data 2023'!$AE$2:$AE$10000,0),1),"")</f>
        <v>39136</v>
      </c>
      <c r="AB1624" s="5">
        <f>IF(INDEX('CAMD Facility Data 2023'!$AC$2:$AE$10000,MATCH(Z1624,'CAMD Facility Data 2023'!$AE$2:$AE$10000,0),1)&gt;0,INDEX('CAMD Facility Data 2023'!$AC$2:$AE$10000,MATCH(Z1624,'CAMD Facility Data 2023'!$AE$2:$AE$10000,0),1),"")</f>
        <v>2215</v>
      </c>
      <c r="AC1624" s="1" t="str">
        <f>IF(INDEX('CAMD Facility Data 2023'!$AE$2:$AG$10000,MATCH(Z1624,'CAMD Facility Data 2023'!$AE$2:$AE$10000,0),3)&gt;0,INDEX('CAMD Facility Data 2023'!$AE$2:$AG$10000,MATCH(Z1624,'CAMD Facility Data 2023'!$AE$2:$AE$10000,0),3),"")</f>
        <v>Y</v>
      </c>
      <c r="AD1624" s="20">
        <f t="shared" si="76"/>
        <v>4.9367501073582308E-2</v>
      </c>
      <c r="AE1624" s="25">
        <f t="shared" si="77"/>
        <v>0.49425625364626813</v>
      </c>
    </row>
    <row r="1625" spans="1:31" x14ac:dyDescent="0.2">
      <c r="A1625" s="1" t="s">
        <v>304</v>
      </c>
      <c r="B1625" s="1" t="s">
        <v>3979</v>
      </c>
      <c r="C1625" s="1">
        <v>7242</v>
      </c>
      <c r="D1625" s="1" t="s">
        <v>2903</v>
      </c>
      <c r="F1625" s="1">
        <v>2023</v>
      </c>
      <c r="G1625" s="5">
        <v>6677</v>
      </c>
      <c r="H1625" s="5">
        <v>6598.4</v>
      </c>
      <c r="I1625" s="5">
        <v>1404264.04</v>
      </c>
      <c r="K1625" s="5">
        <v>2.56</v>
      </c>
      <c r="L1625" s="5">
        <v>1E-3</v>
      </c>
      <c r="M1625" s="5">
        <v>507015.46299999999</v>
      </c>
      <c r="N1625" s="6">
        <v>5.8999999999999997E-2</v>
      </c>
      <c r="O1625" s="5">
        <v>30.989000000000001</v>
      </c>
      <c r="P1625" s="6">
        <v>9.1999999999999998E-3</v>
      </c>
      <c r="Q1625" s="5">
        <v>8531442.9389999993</v>
      </c>
      <c r="R1625" s="1" t="s">
        <v>44</v>
      </c>
      <c r="T1625" s="1" t="s">
        <v>71</v>
      </c>
      <c r="V1625" s="1" t="s">
        <v>858</v>
      </c>
      <c r="Y1625" s="1" t="s">
        <v>247</v>
      </c>
      <c r="Z1625" s="1" t="str">
        <f t="shared" si="75"/>
        <v>7242 **5</v>
      </c>
      <c r="AA1625" s="3">
        <f>IF(INDEX('CAMD Facility Data 2023'!$AA$2:$AE$10000,MATCH(Z1625,'CAMD Facility Data 2023'!$AE$2:$AE$10000,0),1)&gt;0,INDEX('CAMD Facility Data 2023'!$AA$2:$AE$10000,MATCH(Z1625,'CAMD Facility Data 2023'!$AE$2:$AE$10000,0),1),"")</f>
        <v>39174</v>
      </c>
      <c r="AB1625" s="5">
        <f>IF(INDEX('CAMD Facility Data 2023'!$AC$2:$AE$10000,MATCH(Z1625,'CAMD Facility Data 2023'!$AE$2:$AE$10000,0),1)&gt;0,INDEX('CAMD Facility Data 2023'!$AC$2:$AE$10000,MATCH(Z1625,'CAMD Facility Data 2023'!$AE$2:$AE$10000,0),1),"")</f>
        <v>2215</v>
      </c>
      <c r="AC1625" s="1" t="str">
        <f>IF(INDEX('CAMD Facility Data 2023'!$AE$2:$AG$10000,MATCH(Z1625,'CAMD Facility Data 2023'!$AE$2:$AE$10000,0),3)&gt;0,INDEX('CAMD Facility Data 2023'!$AE$2:$AG$10000,MATCH(Z1625,'CAMD Facility Data 2023'!$AE$2:$AE$10000,0),3),"")</f>
        <v>Y</v>
      </c>
      <c r="AD1625" s="20">
        <f t="shared" si="76"/>
        <v>4.4135574389557106E-2</v>
      </c>
      <c r="AE1625" s="25">
        <f t="shared" si="77"/>
        <v>0.43968804121958005</v>
      </c>
    </row>
    <row r="1626" spans="1:31" x14ac:dyDescent="0.2">
      <c r="A1626" s="1" t="s">
        <v>304</v>
      </c>
      <c r="B1626" s="1" t="s">
        <v>3985</v>
      </c>
      <c r="C1626" s="1">
        <v>7254</v>
      </c>
      <c r="D1626" s="1">
        <v>32432</v>
      </c>
      <c r="F1626" s="1">
        <v>2023</v>
      </c>
      <c r="G1626" s="5">
        <v>2426</v>
      </c>
      <c r="H1626" s="5">
        <v>2380.7199999999998</v>
      </c>
      <c r="I1626" s="5">
        <v>0</v>
      </c>
      <c r="K1626" s="5">
        <v>0</v>
      </c>
      <c r="L1626" s="5">
        <v>0</v>
      </c>
      <c r="M1626" s="5">
        <v>7080.0450000000001</v>
      </c>
      <c r="N1626" s="6">
        <v>5.9400000000000001E-2</v>
      </c>
      <c r="O1626" s="5">
        <v>5.7370000000000001</v>
      </c>
      <c r="P1626" s="6">
        <v>9.4399999999999998E-2</v>
      </c>
      <c r="Q1626" s="5">
        <v>119258.32799999999</v>
      </c>
      <c r="R1626" s="1" t="s">
        <v>44</v>
      </c>
      <c r="S1626" s="1" t="s">
        <v>94</v>
      </c>
      <c r="T1626" s="1" t="s">
        <v>71</v>
      </c>
      <c r="V1626" s="1" t="s">
        <v>95</v>
      </c>
      <c r="Y1626" s="1" t="s">
        <v>247</v>
      </c>
      <c r="Z1626" s="1" t="str">
        <f t="shared" si="75"/>
        <v>7254 32432</v>
      </c>
      <c r="AA1626" s="3">
        <f>IF(INDEX('CAMD Facility Data 2023'!$AA$2:$AE$10000,MATCH(Z1626,'CAMD Facility Data 2023'!$AE$2:$AE$10000,0),1)&gt;0,INDEX('CAMD Facility Data 2023'!$AA$2:$AE$10000,MATCH(Z1626,'CAMD Facility Data 2023'!$AE$2:$AE$10000,0),1),"")</f>
        <v>32568</v>
      </c>
      <c r="AB1626" s="5">
        <f>IF(INDEX('CAMD Facility Data 2023'!$AC$2:$AE$10000,MATCH(Z1626,'CAMD Facility Data 2023'!$AE$2:$AE$10000,0),1)&gt;0,INDEX('CAMD Facility Data 2023'!$AC$2:$AE$10000,MATCH(Z1626,'CAMD Facility Data 2023'!$AE$2:$AE$10000,0),1),"")</f>
        <v>505</v>
      </c>
      <c r="AC1626" s="1" t="str">
        <f>IF(INDEX('CAMD Facility Data 2023'!$AE$2:$AG$10000,MATCH(Z1626,'CAMD Facility Data 2023'!$AE$2:$AE$10000,0),3)&gt;0,INDEX('CAMD Facility Data 2023'!$AE$2:$AG$10000,MATCH(Z1626,'CAMD Facility Data 2023'!$AE$2:$AE$10000,0),3),"")</f>
        <v/>
      </c>
      <c r="AD1626" s="20" t="str">
        <f t="shared" si="76"/>
        <v/>
      </c>
      <c r="AE1626" s="25">
        <f t="shared" si="77"/>
        <v>2.6958345313983452E-2</v>
      </c>
    </row>
    <row r="1627" spans="1:31" x14ac:dyDescent="0.2">
      <c r="A1627" s="1" t="s">
        <v>1621</v>
      </c>
      <c r="B1627" s="1" t="s">
        <v>3988</v>
      </c>
      <c r="C1627" s="1">
        <v>7258</v>
      </c>
      <c r="D1627" s="1" t="s">
        <v>3415</v>
      </c>
      <c r="F1627" s="1">
        <v>2023</v>
      </c>
      <c r="G1627" s="5">
        <v>65</v>
      </c>
      <c r="H1627" s="5">
        <v>44.69</v>
      </c>
      <c r="I1627" s="5">
        <v>1020.96</v>
      </c>
      <c r="K1627" s="5">
        <v>4.0000000000000001E-3</v>
      </c>
      <c r="L1627" s="5">
        <v>1E-3</v>
      </c>
      <c r="M1627" s="5">
        <v>748.63699999999994</v>
      </c>
      <c r="N1627" s="6">
        <v>5.9299999999999999E-2</v>
      </c>
      <c r="O1627" s="5">
        <v>0.76500000000000001</v>
      </c>
      <c r="P1627" s="6">
        <v>0.11459999999999999</v>
      </c>
      <c r="Q1627" s="5">
        <v>12589.11</v>
      </c>
      <c r="R1627" s="1" t="s">
        <v>44</v>
      </c>
      <c r="S1627" s="1" t="s">
        <v>94</v>
      </c>
      <c r="T1627" s="1" t="s">
        <v>93</v>
      </c>
      <c r="V1627" s="1" t="s">
        <v>95</v>
      </c>
      <c r="Y1627" s="1" t="s">
        <v>461</v>
      </c>
      <c r="Z1627" s="1" t="str">
        <f t="shared" si="75"/>
        <v>7258 **7</v>
      </c>
      <c r="AA1627" s="3">
        <f>IF(INDEX('CAMD Facility Data 2023'!$AA$2:$AE$10000,MATCH(Z1627,'CAMD Facility Data 2023'!$AE$2:$AE$10000,0),1)&gt;0,INDEX('CAMD Facility Data 2023'!$AA$2:$AE$10000,MATCH(Z1627,'CAMD Facility Data 2023'!$AE$2:$AE$10000,0),1),"")</f>
        <v>33725</v>
      </c>
      <c r="AB1627" s="5">
        <f>IF(INDEX('CAMD Facility Data 2023'!$AC$2:$AE$10000,MATCH(Z1627,'CAMD Facility Data 2023'!$AE$2:$AE$10000,0),1)&gt;0,INDEX('CAMD Facility Data 2023'!$AC$2:$AE$10000,MATCH(Z1627,'CAMD Facility Data 2023'!$AE$2:$AE$10000,0),1),"")</f>
        <v>484</v>
      </c>
      <c r="AC1627" s="1" t="str">
        <f>IF(INDEX('CAMD Facility Data 2023'!$AE$2:$AG$10000,MATCH(Z1627,'CAMD Facility Data 2023'!$AE$2:$AE$10000,0),3)&gt;0,INDEX('CAMD Facility Data 2023'!$AE$2:$AG$10000,MATCH(Z1627,'CAMD Facility Data 2023'!$AE$2:$AE$10000,0),3),"")</f>
        <v/>
      </c>
      <c r="AD1627" s="20">
        <f t="shared" si="76"/>
        <v>1.498589562764457</v>
      </c>
      <c r="AE1627" s="25">
        <f t="shared" si="77"/>
        <v>2.9692417638401448E-3</v>
      </c>
    </row>
    <row r="1628" spans="1:31" x14ac:dyDescent="0.2">
      <c r="A1628" s="1" t="s">
        <v>1621</v>
      </c>
      <c r="B1628" s="1" t="s">
        <v>3988</v>
      </c>
      <c r="C1628" s="1">
        <v>7258</v>
      </c>
      <c r="D1628" s="1" t="s">
        <v>894</v>
      </c>
      <c r="F1628" s="1">
        <v>2023</v>
      </c>
      <c r="G1628" s="5">
        <v>250</v>
      </c>
      <c r="H1628" s="5">
        <v>208.23</v>
      </c>
      <c r="I1628" s="5">
        <v>5867.22</v>
      </c>
      <c r="K1628" s="5">
        <v>0.02</v>
      </c>
      <c r="L1628" s="5">
        <v>1E-3</v>
      </c>
      <c r="M1628" s="5">
        <v>4047.3449999999998</v>
      </c>
      <c r="N1628" s="6">
        <v>5.9299999999999999E-2</v>
      </c>
      <c r="O1628" s="5">
        <v>4.5339999999999998</v>
      </c>
      <c r="P1628" s="6">
        <v>0.13250000000000001</v>
      </c>
      <c r="Q1628" s="5">
        <v>68106.168000000005</v>
      </c>
      <c r="R1628" s="1" t="s">
        <v>44</v>
      </c>
      <c r="S1628" s="1" t="s">
        <v>94</v>
      </c>
      <c r="T1628" s="1" t="s">
        <v>93</v>
      </c>
      <c r="V1628" s="1" t="s">
        <v>95</v>
      </c>
      <c r="Y1628" s="1" t="s">
        <v>461</v>
      </c>
      <c r="Z1628" s="1" t="str">
        <f t="shared" si="75"/>
        <v>7258 **8</v>
      </c>
      <c r="AA1628" s="3">
        <f>IF(INDEX('CAMD Facility Data 2023'!$AA$2:$AE$10000,MATCH(Z1628,'CAMD Facility Data 2023'!$AE$2:$AE$10000,0),1)&gt;0,INDEX('CAMD Facility Data 2023'!$AA$2:$AE$10000,MATCH(Z1628,'CAMD Facility Data 2023'!$AE$2:$AE$10000,0),1),"")</f>
        <v>33756</v>
      </c>
      <c r="AB1628" s="5">
        <f>IF(INDEX('CAMD Facility Data 2023'!$AC$2:$AE$10000,MATCH(Z1628,'CAMD Facility Data 2023'!$AE$2:$AE$10000,0),1)&gt;0,INDEX('CAMD Facility Data 2023'!$AC$2:$AE$10000,MATCH(Z1628,'CAMD Facility Data 2023'!$AE$2:$AE$10000,0),1),"")</f>
        <v>484</v>
      </c>
      <c r="AC1628" s="1" t="str">
        <f>IF(INDEX('CAMD Facility Data 2023'!$AE$2:$AG$10000,MATCH(Z1628,'CAMD Facility Data 2023'!$AE$2:$AE$10000,0),3)&gt;0,INDEX('CAMD Facility Data 2023'!$AE$2:$AG$10000,MATCH(Z1628,'CAMD Facility Data 2023'!$AE$2:$AE$10000,0),3),"")</f>
        <v/>
      </c>
      <c r="AD1628" s="20">
        <f t="shared" si="76"/>
        <v>1.545536046032022</v>
      </c>
      <c r="AE1628" s="25">
        <f t="shared" si="77"/>
        <v>1.606338163704291E-2</v>
      </c>
    </row>
    <row r="1629" spans="1:31" x14ac:dyDescent="0.2">
      <c r="A1629" s="1" t="s">
        <v>1621</v>
      </c>
      <c r="B1629" s="1" t="s">
        <v>3988</v>
      </c>
      <c r="C1629" s="1">
        <v>7258</v>
      </c>
      <c r="D1629" s="1">
        <v>9</v>
      </c>
      <c r="F1629" s="1">
        <v>2023</v>
      </c>
      <c r="G1629" s="5">
        <v>1060</v>
      </c>
      <c r="H1629" s="5">
        <v>942.22</v>
      </c>
      <c r="I1629" s="5">
        <v>57057.99</v>
      </c>
      <c r="K1629" s="5">
        <v>0.19400000000000001</v>
      </c>
      <c r="L1629" s="5">
        <v>1E-3</v>
      </c>
      <c r="M1629" s="5">
        <v>38328.802000000003</v>
      </c>
      <c r="N1629" s="6">
        <v>5.91E-2</v>
      </c>
      <c r="O1629" s="5">
        <v>12.904</v>
      </c>
      <c r="P1629" s="6">
        <v>5.3600000000000002E-2</v>
      </c>
      <c r="Q1629" s="5">
        <v>644918.48</v>
      </c>
      <c r="R1629" s="1" t="s">
        <v>44</v>
      </c>
      <c r="T1629" s="1" t="s">
        <v>93</v>
      </c>
      <c r="V1629" s="1" t="s">
        <v>140</v>
      </c>
      <c r="Y1629" s="1" t="s">
        <v>461</v>
      </c>
      <c r="Z1629" s="1" t="str">
        <f t="shared" si="75"/>
        <v>7258 9</v>
      </c>
      <c r="AA1629" s="3">
        <f>IF(INDEX('CAMD Facility Data 2023'!$AA$2:$AE$10000,MATCH(Z1629,'CAMD Facility Data 2023'!$AE$2:$AE$10000,0),1)&gt;0,INDEX('CAMD Facility Data 2023'!$AA$2:$AE$10000,MATCH(Z1629,'CAMD Facility Data 2023'!$AE$2:$AE$10000,0),1),"")</f>
        <v>36637</v>
      </c>
      <c r="AB1629" s="5">
        <f>IF(INDEX('CAMD Facility Data 2023'!$AC$2:$AE$10000,MATCH(Z1629,'CAMD Facility Data 2023'!$AE$2:$AE$10000,0),1)&gt;0,INDEX('CAMD Facility Data 2023'!$AC$2:$AE$10000,MATCH(Z1629,'CAMD Facility Data 2023'!$AE$2:$AE$10000,0),1),"")</f>
        <v>975</v>
      </c>
      <c r="AC1629" s="1" t="str">
        <f>IF(INDEX('CAMD Facility Data 2023'!$AE$2:$AG$10000,MATCH(Z1629,'CAMD Facility Data 2023'!$AE$2:$AE$10000,0),3)&gt;0,INDEX('CAMD Facility Data 2023'!$AE$2:$AG$10000,MATCH(Z1629,'CAMD Facility Data 2023'!$AE$2:$AE$10000,0),3),"")</f>
        <v/>
      </c>
      <c r="AD1629" s="20">
        <f t="shared" si="76"/>
        <v>0.45231176212130852</v>
      </c>
      <c r="AE1629" s="25">
        <f t="shared" si="77"/>
        <v>7.5508544666900823E-2</v>
      </c>
    </row>
    <row r="1630" spans="1:31" x14ac:dyDescent="0.2">
      <c r="A1630" s="1" t="s">
        <v>370</v>
      </c>
      <c r="B1630" s="1" t="s">
        <v>3995</v>
      </c>
      <c r="C1630" s="1">
        <v>7266</v>
      </c>
      <c r="D1630" s="1">
        <v>1</v>
      </c>
      <c r="F1630" s="1">
        <v>2023</v>
      </c>
      <c r="G1630" s="5">
        <v>611</v>
      </c>
      <c r="H1630" s="5">
        <v>563.03</v>
      </c>
      <c r="I1630" s="5">
        <v>14857.05</v>
      </c>
      <c r="K1630" s="5">
        <v>0.05</v>
      </c>
      <c r="L1630" s="5">
        <v>1E-3</v>
      </c>
      <c r="M1630" s="5">
        <v>9921.777</v>
      </c>
      <c r="N1630" s="6">
        <v>5.9400000000000001E-2</v>
      </c>
      <c r="O1630" s="5">
        <v>1.1879999999999999</v>
      </c>
      <c r="P1630" s="6">
        <v>2.3E-2</v>
      </c>
      <c r="Q1630" s="5">
        <v>166867.33799999999</v>
      </c>
      <c r="R1630" s="1" t="s">
        <v>44</v>
      </c>
      <c r="S1630" s="1" t="s">
        <v>94</v>
      </c>
      <c r="T1630" s="1" t="s">
        <v>93</v>
      </c>
      <c r="V1630" s="1" t="s">
        <v>3999</v>
      </c>
      <c r="Y1630" s="1" t="s">
        <v>247</v>
      </c>
      <c r="Z1630" s="1" t="str">
        <f t="shared" si="75"/>
        <v>7266 1</v>
      </c>
      <c r="AA1630" s="3">
        <f>IF(INDEX('CAMD Facility Data 2023'!$AA$2:$AE$10000,MATCH(Z1630,'CAMD Facility Data 2023'!$AE$2:$AE$10000,0),1)&gt;0,INDEX('CAMD Facility Data 2023'!$AA$2:$AE$10000,MATCH(Z1630,'CAMD Facility Data 2023'!$AE$2:$AE$10000,0),1),"")</f>
        <v>34306</v>
      </c>
      <c r="AB1630" s="5">
        <f>IF(INDEX('CAMD Facility Data 2023'!$AC$2:$AE$10000,MATCH(Z1630,'CAMD Facility Data 2023'!$AE$2:$AE$10000,0),1)&gt;0,INDEX('CAMD Facility Data 2023'!$AC$2:$AE$10000,MATCH(Z1630,'CAMD Facility Data 2023'!$AE$2:$AE$10000,0),1),"")</f>
        <v>525</v>
      </c>
      <c r="AC1630" s="1" t="str">
        <f>IF(INDEX('CAMD Facility Data 2023'!$AE$2:$AG$10000,MATCH(Z1630,'CAMD Facility Data 2023'!$AE$2:$AE$10000,0),3)&gt;0,INDEX('CAMD Facility Data 2023'!$AE$2:$AG$10000,MATCH(Z1630,'CAMD Facility Data 2023'!$AE$2:$AE$10000,0),3),"")</f>
        <v>Y</v>
      </c>
      <c r="AD1630" s="20">
        <f t="shared" si="76"/>
        <v>0.15992407644855475</v>
      </c>
      <c r="AE1630" s="25">
        <f t="shared" si="77"/>
        <v>3.6283395955642526E-2</v>
      </c>
    </row>
    <row r="1631" spans="1:31" x14ac:dyDescent="0.2">
      <c r="A1631" s="1" t="s">
        <v>370</v>
      </c>
      <c r="B1631" s="1" t="s">
        <v>3995</v>
      </c>
      <c r="C1631" s="1">
        <v>7266</v>
      </c>
      <c r="D1631" s="1">
        <v>2</v>
      </c>
      <c r="F1631" s="1">
        <v>2023</v>
      </c>
      <c r="G1631" s="5">
        <v>7203</v>
      </c>
      <c r="H1631" s="5">
        <v>7184.07</v>
      </c>
      <c r="I1631" s="5">
        <v>257347.05</v>
      </c>
      <c r="K1631" s="5">
        <v>0.64800000000000002</v>
      </c>
      <c r="L1631" s="5">
        <v>1E-3</v>
      </c>
      <c r="M1631" s="5">
        <v>128415.719</v>
      </c>
      <c r="N1631" s="6">
        <v>5.9299999999999999E-2</v>
      </c>
      <c r="O1631" s="5">
        <v>6.2830000000000004</v>
      </c>
      <c r="P1631" s="6">
        <v>5.8999999999999999E-3</v>
      </c>
      <c r="Q1631" s="5">
        <v>2160886.3250000002</v>
      </c>
      <c r="R1631" s="1" t="s">
        <v>44</v>
      </c>
      <c r="T1631" s="1" t="s">
        <v>71</v>
      </c>
      <c r="V1631" s="1" t="s">
        <v>176</v>
      </c>
      <c r="Y1631" s="1" t="s">
        <v>247</v>
      </c>
      <c r="Z1631" s="1" t="str">
        <f t="shared" si="75"/>
        <v>7266 2</v>
      </c>
      <c r="AA1631" s="3">
        <f>IF(INDEX('CAMD Facility Data 2023'!$AA$2:$AE$10000,MATCH(Z1631,'CAMD Facility Data 2023'!$AE$2:$AE$10000,0),1)&gt;0,INDEX('CAMD Facility Data 2023'!$AA$2:$AE$10000,MATCH(Z1631,'CAMD Facility Data 2023'!$AE$2:$AE$10000,0),1),"")</f>
        <v>37778</v>
      </c>
      <c r="AB1631" s="5">
        <f>IF(INDEX('CAMD Facility Data 2023'!$AC$2:$AE$10000,MATCH(Z1631,'CAMD Facility Data 2023'!$AE$2:$AE$10000,0),1)&gt;0,INDEX('CAMD Facility Data 2023'!$AC$2:$AE$10000,MATCH(Z1631,'CAMD Facility Data 2023'!$AE$2:$AE$10000,0),1),"")</f>
        <v>525</v>
      </c>
      <c r="AC1631" s="1" t="str">
        <f>IF(INDEX('CAMD Facility Data 2023'!$AE$2:$AG$10000,MATCH(Z1631,'CAMD Facility Data 2023'!$AE$2:$AE$10000,0),3)&gt;0,INDEX('CAMD Facility Data 2023'!$AE$2:$AG$10000,MATCH(Z1631,'CAMD Facility Data 2023'!$AE$2:$AE$10000,0),3),"")</f>
        <v>Y</v>
      </c>
      <c r="AD1631" s="20">
        <f t="shared" si="76"/>
        <v>4.8829003479931091E-2</v>
      </c>
      <c r="AE1631" s="25">
        <f t="shared" si="77"/>
        <v>0.46986004022613614</v>
      </c>
    </row>
    <row r="1632" spans="1:31" x14ac:dyDescent="0.2">
      <c r="A1632" s="1" t="s">
        <v>3167</v>
      </c>
      <c r="B1632" s="1" t="s">
        <v>4002</v>
      </c>
      <c r="C1632" s="1">
        <v>7270</v>
      </c>
      <c r="D1632" s="1" t="s">
        <v>3872</v>
      </c>
      <c r="F1632" s="1">
        <v>2023</v>
      </c>
      <c r="G1632" s="5">
        <v>941</v>
      </c>
      <c r="H1632" s="5">
        <v>819.73</v>
      </c>
      <c r="I1632" s="5">
        <v>54150.1</v>
      </c>
      <c r="K1632" s="5">
        <v>0.217</v>
      </c>
      <c r="L1632" s="5">
        <v>1E-3</v>
      </c>
      <c r="M1632" s="5">
        <v>43041.887999999999</v>
      </c>
      <c r="N1632" s="6">
        <v>5.91E-2</v>
      </c>
      <c r="O1632" s="5">
        <v>29.213999999999999</v>
      </c>
      <c r="P1632" s="6">
        <v>8.0299999999999996E-2</v>
      </c>
      <c r="Q1632" s="5">
        <v>723880.13399999996</v>
      </c>
      <c r="R1632" s="1" t="s">
        <v>44</v>
      </c>
      <c r="T1632" s="1" t="s">
        <v>93</v>
      </c>
      <c r="V1632" s="1" t="s">
        <v>95</v>
      </c>
      <c r="Y1632" s="1" t="s">
        <v>461</v>
      </c>
      <c r="Z1632" s="1" t="str">
        <f t="shared" si="75"/>
        <v>7270 **1</v>
      </c>
      <c r="AA1632" s="3">
        <f>IF(INDEX('CAMD Facility Data 2023'!$AA$2:$AE$10000,MATCH(Z1632,'CAMD Facility Data 2023'!$AE$2:$AE$10000,0),1)&gt;0,INDEX('CAMD Facility Data 2023'!$AA$2:$AE$10000,MATCH(Z1632,'CAMD Facility Data 2023'!$AE$2:$AE$10000,0),1),"")</f>
        <v>34768</v>
      </c>
      <c r="AB1632" s="5">
        <f>IF(INDEX('CAMD Facility Data 2023'!$AC$2:$AE$10000,MATCH(Z1632,'CAMD Facility Data 2023'!$AE$2:$AE$10000,0),1)&gt;0,INDEX('CAMD Facility Data 2023'!$AC$2:$AE$10000,MATCH(Z1632,'CAMD Facility Data 2023'!$AE$2:$AE$10000,0),1),"")</f>
        <v>1282</v>
      </c>
      <c r="AC1632" s="1" t="str">
        <f>IF(INDEX('CAMD Facility Data 2023'!$AE$2:$AG$10000,MATCH(Z1632,'CAMD Facility Data 2023'!$AE$2:$AE$10000,0),3)&gt;0,INDEX('CAMD Facility Data 2023'!$AE$2:$AG$10000,MATCH(Z1632,'CAMD Facility Data 2023'!$AE$2:$AE$10000,0),3),"")</f>
        <v/>
      </c>
      <c r="AD1632" s="20">
        <f t="shared" si="76"/>
        <v>1.0790007774685551</v>
      </c>
      <c r="AE1632" s="25">
        <f t="shared" si="77"/>
        <v>6.445765873100677E-2</v>
      </c>
    </row>
    <row r="1633" spans="1:31" x14ac:dyDescent="0.2">
      <c r="A1633" s="1" t="s">
        <v>3167</v>
      </c>
      <c r="B1633" s="1" t="s">
        <v>4002</v>
      </c>
      <c r="C1633" s="1">
        <v>7270</v>
      </c>
      <c r="D1633" s="1" t="s">
        <v>3875</v>
      </c>
      <c r="F1633" s="1">
        <v>2023</v>
      </c>
      <c r="G1633" s="5">
        <v>673</v>
      </c>
      <c r="H1633" s="5">
        <v>586.14</v>
      </c>
      <c r="I1633" s="5">
        <v>39562.36</v>
      </c>
      <c r="K1633" s="5">
        <v>0.157</v>
      </c>
      <c r="L1633" s="5">
        <v>1E-3</v>
      </c>
      <c r="M1633" s="5">
        <v>31060.319</v>
      </c>
      <c r="N1633" s="6">
        <v>5.91E-2</v>
      </c>
      <c r="O1633" s="5">
        <v>21.166</v>
      </c>
      <c r="P1633" s="6">
        <v>8.1500000000000003E-2</v>
      </c>
      <c r="Q1633" s="5">
        <v>522600.603</v>
      </c>
      <c r="R1633" s="1" t="s">
        <v>44</v>
      </c>
      <c r="T1633" s="1" t="s">
        <v>93</v>
      </c>
      <c r="V1633" s="1" t="s">
        <v>95</v>
      </c>
      <c r="Y1633" s="1" t="s">
        <v>461</v>
      </c>
      <c r="Z1633" s="1" t="str">
        <f t="shared" si="75"/>
        <v>7270 **2</v>
      </c>
      <c r="AA1633" s="3">
        <f>IF(INDEX('CAMD Facility Data 2023'!$AA$2:$AE$10000,MATCH(Z1633,'CAMD Facility Data 2023'!$AE$2:$AE$10000,0),1)&gt;0,INDEX('CAMD Facility Data 2023'!$AA$2:$AE$10000,MATCH(Z1633,'CAMD Facility Data 2023'!$AE$2:$AE$10000,0),1),"")</f>
        <v>34778</v>
      </c>
      <c r="AB1633" s="5">
        <f>IF(INDEX('CAMD Facility Data 2023'!$AC$2:$AE$10000,MATCH(Z1633,'CAMD Facility Data 2023'!$AE$2:$AE$10000,0),1)&gt;0,INDEX('CAMD Facility Data 2023'!$AC$2:$AE$10000,MATCH(Z1633,'CAMD Facility Data 2023'!$AE$2:$AE$10000,0),1),"")</f>
        <v>1282</v>
      </c>
      <c r="AC1633" s="1" t="str">
        <f>IF(INDEX('CAMD Facility Data 2023'!$AE$2:$AG$10000,MATCH(Z1633,'CAMD Facility Data 2023'!$AE$2:$AE$10000,0),3)&gt;0,INDEX('CAMD Facility Data 2023'!$AE$2:$AG$10000,MATCH(Z1633,'CAMD Facility Data 2023'!$AE$2:$AE$10000,0),3),"")</f>
        <v/>
      </c>
      <c r="AD1633" s="20">
        <f t="shared" si="76"/>
        <v>1.0700069459961439</v>
      </c>
      <c r="AE1633" s="25">
        <f t="shared" si="77"/>
        <v>4.6534791795781419E-2</v>
      </c>
    </row>
    <row r="1634" spans="1:31" x14ac:dyDescent="0.2">
      <c r="A1634" s="1" t="s">
        <v>3167</v>
      </c>
      <c r="B1634" s="1" t="s">
        <v>4002</v>
      </c>
      <c r="C1634" s="1">
        <v>7270</v>
      </c>
      <c r="D1634" s="1" t="s">
        <v>3876</v>
      </c>
      <c r="F1634" s="1">
        <v>2023</v>
      </c>
      <c r="G1634" s="5">
        <v>552</v>
      </c>
      <c r="H1634" s="5">
        <v>475.98</v>
      </c>
      <c r="I1634" s="5">
        <v>32794.629999999997</v>
      </c>
      <c r="K1634" s="5">
        <v>0.127</v>
      </c>
      <c r="L1634" s="5">
        <v>1E-3</v>
      </c>
      <c r="M1634" s="5">
        <v>25218.364000000001</v>
      </c>
      <c r="N1634" s="6">
        <v>5.91E-2</v>
      </c>
      <c r="O1634" s="5">
        <v>16.856000000000002</v>
      </c>
      <c r="P1634" s="6">
        <v>7.9500000000000001E-2</v>
      </c>
      <c r="Q1634" s="5">
        <v>424286.79</v>
      </c>
      <c r="R1634" s="1" t="s">
        <v>44</v>
      </c>
      <c r="T1634" s="1" t="s">
        <v>93</v>
      </c>
      <c r="V1634" s="1" t="s">
        <v>95</v>
      </c>
      <c r="Y1634" s="1" t="s">
        <v>461</v>
      </c>
      <c r="Z1634" s="1" t="str">
        <f t="shared" si="75"/>
        <v>7270 **3</v>
      </c>
      <c r="AA1634" s="3">
        <f>IF(INDEX('CAMD Facility Data 2023'!$AA$2:$AE$10000,MATCH(Z1634,'CAMD Facility Data 2023'!$AE$2:$AE$10000,0),1)&gt;0,INDEX('CAMD Facility Data 2023'!$AA$2:$AE$10000,MATCH(Z1634,'CAMD Facility Data 2023'!$AE$2:$AE$10000,0),1),"")</f>
        <v>34871</v>
      </c>
      <c r="AB1634" s="5">
        <f>IF(INDEX('CAMD Facility Data 2023'!$AC$2:$AE$10000,MATCH(Z1634,'CAMD Facility Data 2023'!$AE$2:$AE$10000,0),1)&gt;0,INDEX('CAMD Facility Data 2023'!$AC$2:$AE$10000,MATCH(Z1634,'CAMD Facility Data 2023'!$AE$2:$AE$10000,0),1),"")</f>
        <v>1282</v>
      </c>
      <c r="AC1634" s="1" t="str">
        <f>IF(INDEX('CAMD Facility Data 2023'!$AE$2:$AG$10000,MATCH(Z1634,'CAMD Facility Data 2023'!$AE$2:$AE$10000,0),3)&gt;0,INDEX('CAMD Facility Data 2023'!$AE$2:$AG$10000,MATCH(Z1634,'CAMD Facility Data 2023'!$AE$2:$AE$10000,0),3),"")</f>
        <v/>
      </c>
      <c r="AD1634" s="20">
        <f t="shared" si="76"/>
        <v>1.0279731773159204</v>
      </c>
      <c r="AE1634" s="25">
        <f t="shared" si="77"/>
        <v>3.7780471972303546E-2</v>
      </c>
    </row>
    <row r="1635" spans="1:31" x14ac:dyDescent="0.2">
      <c r="A1635" s="1" t="s">
        <v>3167</v>
      </c>
      <c r="B1635" s="1" t="s">
        <v>4002</v>
      </c>
      <c r="C1635" s="1">
        <v>7270</v>
      </c>
      <c r="D1635" s="1" t="s">
        <v>569</v>
      </c>
      <c r="F1635" s="1">
        <v>2023</v>
      </c>
      <c r="G1635" s="5">
        <v>670</v>
      </c>
      <c r="H1635" s="5">
        <v>569.58000000000004</v>
      </c>
      <c r="I1635" s="5">
        <v>37176.230000000003</v>
      </c>
      <c r="K1635" s="5">
        <v>0.14799999999999999</v>
      </c>
      <c r="L1635" s="5">
        <v>1E-3</v>
      </c>
      <c r="M1635" s="5">
        <v>29385.3</v>
      </c>
      <c r="N1635" s="6">
        <v>5.91E-2</v>
      </c>
      <c r="O1635" s="5">
        <v>19.209</v>
      </c>
      <c r="P1635" s="6">
        <v>7.8E-2</v>
      </c>
      <c r="Q1635" s="5">
        <v>494217.19199999998</v>
      </c>
      <c r="R1635" s="1" t="s">
        <v>44</v>
      </c>
      <c r="T1635" s="1" t="s">
        <v>93</v>
      </c>
      <c r="V1635" s="1" t="s">
        <v>95</v>
      </c>
      <c r="Y1635" s="1" t="s">
        <v>461</v>
      </c>
      <c r="Z1635" s="1" t="str">
        <f t="shared" si="75"/>
        <v>7270 **4</v>
      </c>
      <c r="AA1635" s="3">
        <f>IF(INDEX('CAMD Facility Data 2023'!$AA$2:$AE$10000,MATCH(Z1635,'CAMD Facility Data 2023'!$AE$2:$AE$10000,0),1)&gt;0,INDEX('CAMD Facility Data 2023'!$AA$2:$AE$10000,MATCH(Z1635,'CAMD Facility Data 2023'!$AE$2:$AE$10000,0),1),"")</f>
        <v>34871</v>
      </c>
      <c r="AB1635" s="5">
        <f>IF(INDEX('CAMD Facility Data 2023'!$AC$2:$AE$10000,MATCH(Z1635,'CAMD Facility Data 2023'!$AE$2:$AE$10000,0),1)&gt;0,INDEX('CAMD Facility Data 2023'!$AC$2:$AE$10000,MATCH(Z1635,'CAMD Facility Data 2023'!$AE$2:$AE$10000,0),1),"")</f>
        <v>1282</v>
      </c>
      <c r="AC1635" s="1" t="str">
        <f>IF(INDEX('CAMD Facility Data 2023'!$AE$2:$AG$10000,MATCH(Z1635,'CAMD Facility Data 2023'!$AE$2:$AE$10000,0),3)&gt;0,INDEX('CAMD Facility Data 2023'!$AE$2:$AG$10000,MATCH(Z1635,'CAMD Facility Data 2023'!$AE$2:$AE$10000,0),3),"")</f>
        <v/>
      </c>
      <c r="AD1635" s="20">
        <f t="shared" si="76"/>
        <v>1.0334022573025827</v>
      </c>
      <c r="AE1635" s="25">
        <f t="shared" si="77"/>
        <v>4.4007400679588825E-2</v>
      </c>
    </row>
    <row r="1636" spans="1:31" x14ac:dyDescent="0.2">
      <c r="A1636" s="1" t="s">
        <v>1153</v>
      </c>
      <c r="B1636" s="1" t="s">
        <v>4005</v>
      </c>
      <c r="C1636" s="1">
        <v>7277</v>
      </c>
      <c r="D1636" s="1">
        <v>1</v>
      </c>
      <c r="F1636" s="1">
        <v>2023</v>
      </c>
      <c r="G1636" s="5">
        <v>17</v>
      </c>
      <c r="H1636" s="5">
        <v>12.33</v>
      </c>
      <c r="I1636" s="5">
        <v>715.35</v>
      </c>
      <c r="K1636" s="5">
        <v>7.0000000000000001E-3</v>
      </c>
      <c r="L1636" s="5">
        <v>1.4E-3</v>
      </c>
      <c r="M1636" s="5">
        <v>630.62599999999998</v>
      </c>
      <c r="N1636" s="6">
        <v>6.4600000000000005E-2</v>
      </c>
      <c r="O1636" s="5">
        <v>0.52500000000000002</v>
      </c>
      <c r="P1636" s="6">
        <v>0.10489999999999999</v>
      </c>
      <c r="Q1636" s="5">
        <v>9763.9570000000003</v>
      </c>
      <c r="R1636" s="1" t="s">
        <v>94</v>
      </c>
      <c r="S1636" s="1" t="s">
        <v>284</v>
      </c>
      <c r="T1636" s="1" t="s">
        <v>93</v>
      </c>
      <c r="V1636" s="1" t="s">
        <v>95</v>
      </c>
      <c r="Y1636" s="1" t="s">
        <v>2319</v>
      </c>
      <c r="Z1636" s="1" t="str">
        <f t="shared" si="75"/>
        <v>7277 1</v>
      </c>
      <c r="AA1636" s="3">
        <f>IF(INDEX('CAMD Facility Data 2023'!$AA$2:$AE$10000,MATCH(Z1636,'CAMD Facility Data 2023'!$AE$2:$AE$10000,0),1)&gt;0,INDEX('CAMD Facility Data 2023'!$AA$2:$AE$10000,MATCH(Z1636,'CAMD Facility Data 2023'!$AE$2:$AE$10000,0),1),"")</f>
        <v>34824</v>
      </c>
      <c r="AB1636" s="5">
        <f>IF(INDEX('CAMD Facility Data 2023'!$AC$2:$AE$10000,MATCH(Z1636,'CAMD Facility Data 2023'!$AE$2:$AE$10000,0),1)&gt;0,INDEX('CAMD Facility Data 2023'!$AC$2:$AE$10000,MATCH(Z1636,'CAMD Facility Data 2023'!$AE$2:$AE$10000,0),1),"")</f>
        <v>1446</v>
      </c>
      <c r="AC1636" s="1" t="str">
        <f>IF(INDEX('CAMD Facility Data 2023'!$AE$2:$AG$10000,MATCH(Z1636,'CAMD Facility Data 2023'!$AE$2:$AE$10000,0),3)&gt;0,INDEX('CAMD Facility Data 2023'!$AE$2:$AG$10000,MATCH(Z1636,'CAMD Facility Data 2023'!$AE$2:$AE$10000,0),3),"")</f>
        <v/>
      </c>
      <c r="AD1636" s="20">
        <f t="shared" si="76"/>
        <v>1.4678129586915496</v>
      </c>
      <c r="AE1636" s="25">
        <f t="shared" si="77"/>
        <v>7.7082085993798038E-4</v>
      </c>
    </row>
    <row r="1637" spans="1:31" x14ac:dyDescent="0.2">
      <c r="A1637" s="1" t="s">
        <v>1153</v>
      </c>
      <c r="B1637" s="1" t="s">
        <v>4005</v>
      </c>
      <c r="C1637" s="1">
        <v>7277</v>
      </c>
      <c r="D1637" s="1">
        <v>10</v>
      </c>
      <c r="F1637" s="1">
        <v>2023</v>
      </c>
      <c r="G1637" s="5">
        <v>18</v>
      </c>
      <c r="H1637" s="5">
        <v>13.15</v>
      </c>
      <c r="I1637" s="5">
        <v>803.85</v>
      </c>
      <c r="K1637" s="5">
        <v>7.0000000000000001E-3</v>
      </c>
      <c r="L1637" s="5">
        <v>1.4E-3</v>
      </c>
      <c r="M1637" s="5">
        <v>667.02300000000002</v>
      </c>
      <c r="N1637" s="6">
        <v>6.4399999999999999E-2</v>
      </c>
      <c r="O1637" s="5">
        <v>0.58699999999999997</v>
      </c>
      <c r="P1637" s="6">
        <v>0.1142</v>
      </c>
      <c r="Q1637" s="5">
        <v>10432.824000000001</v>
      </c>
      <c r="R1637" s="1" t="s">
        <v>94</v>
      </c>
      <c r="S1637" s="1" t="s">
        <v>284</v>
      </c>
      <c r="T1637" s="1" t="s">
        <v>93</v>
      </c>
      <c r="V1637" s="1" t="s">
        <v>95</v>
      </c>
      <c r="Y1637" s="1" t="s">
        <v>2319</v>
      </c>
      <c r="Z1637" s="1" t="str">
        <f t="shared" si="75"/>
        <v>7277 10</v>
      </c>
      <c r="AA1637" s="3">
        <f>IF(INDEX('CAMD Facility Data 2023'!$AA$2:$AE$10000,MATCH(Z1637,'CAMD Facility Data 2023'!$AE$2:$AE$10000,0),1)&gt;0,INDEX('CAMD Facility Data 2023'!$AA$2:$AE$10000,MATCH(Z1637,'CAMD Facility Data 2023'!$AE$2:$AE$10000,0),1),"")</f>
        <v>35004</v>
      </c>
      <c r="AB1637" s="5">
        <f>IF(INDEX('CAMD Facility Data 2023'!$AC$2:$AE$10000,MATCH(Z1637,'CAMD Facility Data 2023'!$AE$2:$AE$10000,0),1)&gt;0,INDEX('CAMD Facility Data 2023'!$AC$2:$AE$10000,MATCH(Z1637,'CAMD Facility Data 2023'!$AE$2:$AE$10000,0),1),"")</f>
        <v>1446</v>
      </c>
      <c r="AC1637" s="1" t="str">
        <f>IF(INDEX('CAMD Facility Data 2023'!$AE$2:$AG$10000,MATCH(Z1637,'CAMD Facility Data 2023'!$AE$2:$AE$10000,0),3)&gt;0,INDEX('CAMD Facility Data 2023'!$AE$2:$AG$10000,MATCH(Z1637,'CAMD Facility Data 2023'!$AE$2:$AE$10000,0),3),"")</f>
        <v/>
      </c>
      <c r="AD1637" s="20">
        <f t="shared" si="76"/>
        <v>1.4604714809976986</v>
      </c>
      <c r="AE1637" s="25">
        <f t="shared" si="77"/>
        <v>8.2362492658064762E-4</v>
      </c>
    </row>
    <row r="1638" spans="1:31" x14ac:dyDescent="0.2">
      <c r="A1638" s="1" t="s">
        <v>1153</v>
      </c>
      <c r="B1638" s="1" t="s">
        <v>4005</v>
      </c>
      <c r="C1638" s="1">
        <v>7277</v>
      </c>
      <c r="D1638" s="1">
        <v>11</v>
      </c>
      <c r="F1638" s="1">
        <v>2023</v>
      </c>
      <c r="G1638" s="5">
        <v>19</v>
      </c>
      <c r="H1638" s="5">
        <v>13.68</v>
      </c>
      <c r="I1638" s="5">
        <v>815.56</v>
      </c>
      <c r="K1638" s="5">
        <v>7.0000000000000001E-3</v>
      </c>
      <c r="L1638" s="5">
        <v>1.1999999999999999E-3</v>
      </c>
      <c r="M1638" s="5">
        <v>710.64400000000001</v>
      </c>
      <c r="N1638" s="6">
        <v>6.3399999999999998E-2</v>
      </c>
      <c r="O1638" s="5">
        <v>0.61199999999999999</v>
      </c>
      <c r="P1638" s="6">
        <v>0.10639999999999999</v>
      </c>
      <c r="Q1638" s="5">
        <v>11123.924999999999</v>
      </c>
      <c r="R1638" s="1" t="s">
        <v>94</v>
      </c>
      <c r="S1638" s="1" t="s">
        <v>284</v>
      </c>
      <c r="T1638" s="1" t="s">
        <v>93</v>
      </c>
      <c r="V1638" s="1" t="s">
        <v>95</v>
      </c>
      <c r="Y1638" s="1" t="s">
        <v>2319</v>
      </c>
      <c r="Z1638" s="1" t="str">
        <f t="shared" si="75"/>
        <v>7277 11</v>
      </c>
      <c r="AA1638" s="3">
        <f>IF(INDEX('CAMD Facility Data 2023'!$AA$2:$AE$10000,MATCH(Z1638,'CAMD Facility Data 2023'!$AE$2:$AE$10000,0),1)&gt;0,INDEX('CAMD Facility Data 2023'!$AA$2:$AE$10000,MATCH(Z1638,'CAMD Facility Data 2023'!$AE$2:$AE$10000,0),1),"")</f>
        <v>35004</v>
      </c>
      <c r="AB1638" s="5">
        <f>IF(INDEX('CAMD Facility Data 2023'!$AC$2:$AE$10000,MATCH(Z1638,'CAMD Facility Data 2023'!$AE$2:$AE$10000,0),1)&gt;0,INDEX('CAMD Facility Data 2023'!$AC$2:$AE$10000,MATCH(Z1638,'CAMD Facility Data 2023'!$AE$2:$AE$10000,0),1),"")</f>
        <v>1446</v>
      </c>
      <c r="AC1638" s="1" t="str">
        <f>IF(INDEX('CAMD Facility Data 2023'!$AE$2:$AG$10000,MATCH(Z1638,'CAMD Facility Data 2023'!$AE$2:$AE$10000,0),3)&gt;0,INDEX('CAMD Facility Data 2023'!$AE$2:$AG$10000,MATCH(Z1638,'CAMD Facility Data 2023'!$AE$2:$AE$10000,0),3),"")</f>
        <v/>
      </c>
      <c r="AD1638" s="20">
        <f t="shared" si="76"/>
        <v>1.5008092598950415</v>
      </c>
      <c r="AE1638" s="25">
        <f t="shared" si="77"/>
        <v>8.7818426836431152E-4</v>
      </c>
    </row>
    <row r="1639" spans="1:31" x14ac:dyDescent="0.2">
      <c r="A1639" s="1" t="s">
        <v>1153</v>
      </c>
      <c r="B1639" s="1" t="s">
        <v>4005</v>
      </c>
      <c r="C1639" s="1">
        <v>7277</v>
      </c>
      <c r="D1639" s="1">
        <v>12</v>
      </c>
      <c r="F1639" s="1">
        <v>2023</v>
      </c>
      <c r="G1639" s="5">
        <v>19</v>
      </c>
      <c r="H1639" s="5">
        <v>13.63</v>
      </c>
      <c r="I1639" s="5">
        <v>821.71</v>
      </c>
      <c r="K1639" s="5">
        <v>7.0000000000000001E-3</v>
      </c>
      <c r="L1639" s="5">
        <v>1.2999999999999999E-3</v>
      </c>
      <c r="M1639" s="5">
        <v>693.91600000000005</v>
      </c>
      <c r="N1639" s="6">
        <v>6.3700000000000007E-2</v>
      </c>
      <c r="O1639" s="5">
        <v>0.60799999999999998</v>
      </c>
      <c r="P1639" s="6">
        <v>0.1123</v>
      </c>
      <c r="Q1639" s="5">
        <v>10864.52</v>
      </c>
      <c r="R1639" s="1" t="s">
        <v>94</v>
      </c>
      <c r="S1639" s="1" t="s">
        <v>284</v>
      </c>
      <c r="T1639" s="1" t="s">
        <v>93</v>
      </c>
      <c r="V1639" s="1" t="s">
        <v>95</v>
      </c>
      <c r="Y1639" s="1" t="s">
        <v>2319</v>
      </c>
      <c r="Z1639" s="1" t="str">
        <f t="shared" si="75"/>
        <v>7277 12</v>
      </c>
      <c r="AA1639" s="3">
        <f>IF(INDEX('CAMD Facility Data 2023'!$AA$2:$AE$10000,MATCH(Z1639,'CAMD Facility Data 2023'!$AE$2:$AE$10000,0),1)&gt;0,INDEX('CAMD Facility Data 2023'!$AA$2:$AE$10000,MATCH(Z1639,'CAMD Facility Data 2023'!$AE$2:$AE$10000,0),1),"")</f>
        <v>35034</v>
      </c>
      <c r="AB1639" s="5">
        <f>IF(INDEX('CAMD Facility Data 2023'!$AC$2:$AE$10000,MATCH(Z1639,'CAMD Facility Data 2023'!$AE$2:$AE$10000,0),1)&gt;0,INDEX('CAMD Facility Data 2023'!$AC$2:$AE$10000,MATCH(Z1639,'CAMD Facility Data 2023'!$AE$2:$AE$10000,0),1),"")</f>
        <v>1446</v>
      </c>
      <c r="AC1639" s="1" t="str">
        <f>IF(INDEX('CAMD Facility Data 2023'!$AE$2:$AG$10000,MATCH(Z1639,'CAMD Facility Data 2023'!$AE$2:$AE$10000,0),3)&gt;0,INDEX('CAMD Facility Data 2023'!$AE$2:$AG$10000,MATCH(Z1639,'CAMD Facility Data 2023'!$AE$2:$AE$10000,0),3),"")</f>
        <v/>
      </c>
      <c r="AD1639" s="20">
        <f t="shared" si="76"/>
        <v>1.4798408197539277</v>
      </c>
      <c r="AE1639" s="25">
        <f t="shared" si="77"/>
        <v>8.5770540050651462E-4</v>
      </c>
    </row>
    <row r="1640" spans="1:31" x14ac:dyDescent="0.2">
      <c r="A1640" s="1" t="s">
        <v>1153</v>
      </c>
      <c r="B1640" s="1" t="s">
        <v>4005</v>
      </c>
      <c r="C1640" s="1">
        <v>7277</v>
      </c>
      <c r="D1640" s="1">
        <v>13</v>
      </c>
      <c r="F1640" s="1">
        <v>2023</v>
      </c>
      <c r="G1640" s="5">
        <v>12</v>
      </c>
      <c r="H1640" s="5">
        <v>7.94</v>
      </c>
      <c r="I1640" s="5">
        <v>461.74</v>
      </c>
      <c r="K1640" s="5">
        <v>6.0000000000000001E-3</v>
      </c>
      <c r="L1640" s="5">
        <v>2.3E-3</v>
      </c>
      <c r="M1640" s="5">
        <v>406.99400000000003</v>
      </c>
      <c r="N1640" s="6">
        <v>6.8099999999999994E-2</v>
      </c>
      <c r="O1640" s="5">
        <v>0.42799999999999999</v>
      </c>
      <c r="P1640" s="6">
        <v>0.13789999999999999</v>
      </c>
      <c r="Q1640" s="5">
        <v>6022.9030000000002</v>
      </c>
      <c r="R1640" s="1" t="s">
        <v>94</v>
      </c>
      <c r="S1640" s="1" t="s">
        <v>284</v>
      </c>
      <c r="T1640" s="1" t="s">
        <v>93</v>
      </c>
      <c r="V1640" s="1" t="s">
        <v>95</v>
      </c>
      <c r="Y1640" s="1" t="s">
        <v>2319</v>
      </c>
      <c r="Z1640" s="1" t="str">
        <f t="shared" si="75"/>
        <v>7277 13</v>
      </c>
      <c r="AA1640" s="3">
        <f>IF(INDEX('CAMD Facility Data 2023'!$AA$2:$AE$10000,MATCH(Z1640,'CAMD Facility Data 2023'!$AE$2:$AE$10000,0),1)&gt;0,INDEX('CAMD Facility Data 2023'!$AA$2:$AE$10000,MATCH(Z1640,'CAMD Facility Data 2023'!$AE$2:$AE$10000,0),1),"")</f>
        <v>35096</v>
      </c>
      <c r="AB1640" s="5">
        <f>IF(INDEX('CAMD Facility Data 2023'!$AC$2:$AE$10000,MATCH(Z1640,'CAMD Facility Data 2023'!$AE$2:$AE$10000,0),1)&gt;0,INDEX('CAMD Facility Data 2023'!$AC$2:$AE$10000,MATCH(Z1640,'CAMD Facility Data 2023'!$AE$2:$AE$10000,0),1),"")</f>
        <v>1446</v>
      </c>
      <c r="AC1640" s="1" t="str">
        <f>IF(INDEX('CAMD Facility Data 2023'!$AE$2:$AG$10000,MATCH(Z1640,'CAMD Facility Data 2023'!$AE$2:$AE$10000,0),3)&gt;0,INDEX('CAMD Facility Data 2023'!$AE$2:$AG$10000,MATCH(Z1640,'CAMD Facility Data 2023'!$AE$2:$AE$10000,0),3),"")</f>
        <v/>
      </c>
      <c r="AD1640" s="20">
        <f t="shared" si="76"/>
        <v>1.8538571490449169</v>
      </c>
      <c r="AE1640" s="25">
        <f t="shared" si="77"/>
        <v>4.7548133095865153E-4</v>
      </c>
    </row>
    <row r="1641" spans="1:31" x14ac:dyDescent="0.2">
      <c r="A1641" s="1" t="s">
        <v>1153</v>
      </c>
      <c r="B1641" s="1" t="s">
        <v>4005</v>
      </c>
      <c r="C1641" s="1">
        <v>7277</v>
      </c>
      <c r="D1641" s="1">
        <v>14</v>
      </c>
      <c r="F1641" s="1">
        <v>2023</v>
      </c>
      <c r="G1641" s="5">
        <v>11</v>
      </c>
      <c r="H1641" s="5">
        <v>7.3</v>
      </c>
      <c r="I1641" s="5">
        <v>415.54</v>
      </c>
      <c r="K1641" s="5">
        <v>6.0000000000000001E-3</v>
      </c>
      <c r="L1641" s="5">
        <v>1.8E-3</v>
      </c>
      <c r="M1641" s="5">
        <v>370.62</v>
      </c>
      <c r="N1641" s="6">
        <v>6.5799999999999997E-2</v>
      </c>
      <c r="O1641" s="5">
        <v>0.35799999999999998</v>
      </c>
      <c r="P1641" s="6">
        <v>0.122</v>
      </c>
      <c r="Q1641" s="5">
        <v>5475.1049999999996</v>
      </c>
      <c r="R1641" s="1" t="s">
        <v>94</v>
      </c>
      <c r="S1641" s="1" t="s">
        <v>284</v>
      </c>
      <c r="T1641" s="1" t="s">
        <v>93</v>
      </c>
      <c r="V1641" s="1" t="s">
        <v>95</v>
      </c>
      <c r="Y1641" s="1" t="s">
        <v>2319</v>
      </c>
      <c r="Z1641" s="1" t="str">
        <f t="shared" si="75"/>
        <v>7277 14</v>
      </c>
      <c r="AA1641" s="3">
        <f>IF(INDEX('CAMD Facility Data 2023'!$AA$2:$AE$10000,MATCH(Z1641,'CAMD Facility Data 2023'!$AE$2:$AE$10000,0),1)&gt;0,INDEX('CAMD Facility Data 2023'!$AA$2:$AE$10000,MATCH(Z1641,'CAMD Facility Data 2023'!$AE$2:$AE$10000,0),1),"")</f>
        <v>35096</v>
      </c>
      <c r="AB1641" s="5">
        <f>IF(INDEX('CAMD Facility Data 2023'!$AC$2:$AE$10000,MATCH(Z1641,'CAMD Facility Data 2023'!$AE$2:$AE$10000,0),1)&gt;0,INDEX('CAMD Facility Data 2023'!$AC$2:$AE$10000,MATCH(Z1641,'CAMD Facility Data 2023'!$AE$2:$AE$10000,0),1),"")</f>
        <v>1446</v>
      </c>
      <c r="AC1641" s="1" t="str">
        <f>IF(INDEX('CAMD Facility Data 2023'!$AE$2:$AG$10000,MATCH(Z1641,'CAMD Facility Data 2023'!$AE$2:$AE$10000,0),3)&gt;0,INDEX('CAMD Facility Data 2023'!$AE$2:$AG$10000,MATCH(Z1641,'CAMD Facility Data 2023'!$AE$2:$AE$10000,0),3),"")</f>
        <v/>
      </c>
      <c r="AD1641" s="20">
        <f t="shared" si="76"/>
        <v>1.7230591519468643</v>
      </c>
      <c r="AE1641" s="25">
        <f t="shared" si="77"/>
        <v>4.3223512192349224E-4</v>
      </c>
    </row>
    <row r="1642" spans="1:31" x14ac:dyDescent="0.2">
      <c r="A1642" s="1" t="s">
        <v>1153</v>
      </c>
      <c r="B1642" s="1" t="s">
        <v>4005</v>
      </c>
      <c r="C1642" s="1">
        <v>7277</v>
      </c>
      <c r="D1642" s="1">
        <v>15</v>
      </c>
      <c r="F1642" s="1">
        <v>2023</v>
      </c>
      <c r="G1642" s="5">
        <v>17</v>
      </c>
      <c r="H1642" s="5">
        <v>10.93</v>
      </c>
      <c r="I1642" s="5">
        <v>694.99</v>
      </c>
      <c r="K1642" s="5">
        <v>7.0000000000000001E-3</v>
      </c>
      <c r="L1642" s="5">
        <v>1.4E-3</v>
      </c>
      <c r="M1642" s="5">
        <v>571.19000000000005</v>
      </c>
      <c r="N1642" s="6">
        <v>5.6500000000000002E-2</v>
      </c>
      <c r="O1642" s="5">
        <v>0.48099999999999998</v>
      </c>
      <c r="P1642" s="6">
        <v>0.11020000000000001</v>
      </c>
      <c r="Q1642" s="5">
        <v>8847.25</v>
      </c>
      <c r="R1642" s="1" t="s">
        <v>94</v>
      </c>
      <c r="S1642" s="1" t="s">
        <v>284</v>
      </c>
      <c r="T1642" s="1" t="s">
        <v>93</v>
      </c>
      <c r="V1642" s="1" t="s">
        <v>95</v>
      </c>
      <c r="Y1642" s="1" t="s">
        <v>2319</v>
      </c>
      <c r="Z1642" s="1" t="str">
        <f t="shared" si="75"/>
        <v>7277 15</v>
      </c>
      <c r="AA1642" s="3">
        <f>IF(INDEX('CAMD Facility Data 2023'!$AA$2:$AE$10000,MATCH(Z1642,'CAMD Facility Data 2023'!$AE$2:$AE$10000,0),1)&gt;0,INDEX('CAMD Facility Data 2023'!$AA$2:$AE$10000,MATCH(Z1642,'CAMD Facility Data 2023'!$AE$2:$AE$10000,0),1),"")</f>
        <v>35125</v>
      </c>
      <c r="AB1642" s="5">
        <f>IF(INDEX('CAMD Facility Data 2023'!$AC$2:$AE$10000,MATCH(Z1642,'CAMD Facility Data 2023'!$AE$2:$AE$10000,0),1)&gt;0,INDEX('CAMD Facility Data 2023'!$AC$2:$AE$10000,MATCH(Z1642,'CAMD Facility Data 2023'!$AE$2:$AE$10000,0),1),"")</f>
        <v>1446</v>
      </c>
      <c r="AC1642" s="1" t="str">
        <f>IF(INDEX('CAMD Facility Data 2023'!$AE$2:$AG$10000,MATCH(Z1642,'CAMD Facility Data 2023'!$AE$2:$AE$10000,0),3)&gt;0,INDEX('CAMD Facility Data 2023'!$AE$2:$AG$10000,MATCH(Z1642,'CAMD Facility Data 2023'!$AE$2:$AE$10000,0),3),"")</f>
        <v/>
      </c>
      <c r="AD1642" s="20">
        <f t="shared" si="76"/>
        <v>1.3841925783104794</v>
      </c>
      <c r="AE1642" s="25">
        <f t="shared" si="77"/>
        <v>6.9845093061002793E-4</v>
      </c>
    </row>
    <row r="1643" spans="1:31" x14ac:dyDescent="0.2">
      <c r="A1643" s="1" t="s">
        <v>1153</v>
      </c>
      <c r="B1643" s="1" t="s">
        <v>4005</v>
      </c>
      <c r="C1643" s="1">
        <v>7277</v>
      </c>
      <c r="D1643" s="1">
        <v>16</v>
      </c>
      <c r="F1643" s="1">
        <v>2023</v>
      </c>
      <c r="G1643" s="5">
        <v>13</v>
      </c>
      <c r="H1643" s="5">
        <v>8.7899999999999991</v>
      </c>
      <c r="I1643" s="5">
        <v>541.97</v>
      </c>
      <c r="K1643" s="5">
        <v>7.0000000000000001E-3</v>
      </c>
      <c r="L1643" s="5">
        <v>1.8E-3</v>
      </c>
      <c r="M1643" s="5">
        <v>465.18200000000002</v>
      </c>
      <c r="N1643" s="6">
        <v>6.4500000000000002E-2</v>
      </c>
      <c r="O1643" s="5">
        <v>0.42499999999999999</v>
      </c>
      <c r="P1643" s="6">
        <v>0.1118</v>
      </c>
      <c r="Q1643" s="5">
        <v>7069.3509999999997</v>
      </c>
      <c r="R1643" s="1" t="s">
        <v>94</v>
      </c>
      <c r="S1643" s="1" t="s">
        <v>284</v>
      </c>
      <c r="T1643" s="1" t="s">
        <v>93</v>
      </c>
      <c r="V1643" s="1" t="s">
        <v>95</v>
      </c>
      <c r="Y1643" s="1" t="s">
        <v>2319</v>
      </c>
      <c r="Z1643" s="1" t="str">
        <f t="shared" si="75"/>
        <v>7277 16</v>
      </c>
      <c r="AA1643" s="3">
        <f>IF(INDEX('CAMD Facility Data 2023'!$AA$2:$AE$10000,MATCH(Z1643,'CAMD Facility Data 2023'!$AE$2:$AE$10000,0),1)&gt;0,INDEX('CAMD Facility Data 2023'!$AA$2:$AE$10000,MATCH(Z1643,'CAMD Facility Data 2023'!$AE$2:$AE$10000,0),1),"")</f>
        <v>35125</v>
      </c>
      <c r="AB1643" s="5">
        <f>IF(INDEX('CAMD Facility Data 2023'!$AC$2:$AE$10000,MATCH(Z1643,'CAMD Facility Data 2023'!$AE$2:$AE$10000,0),1)&gt;0,INDEX('CAMD Facility Data 2023'!$AC$2:$AE$10000,MATCH(Z1643,'CAMD Facility Data 2023'!$AE$2:$AE$10000,0),1),"")</f>
        <v>1446</v>
      </c>
      <c r="AC1643" s="1" t="str">
        <f>IF(INDEX('CAMD Facility Data 2023'!$AE$2:$AG$10000,MATCH(Z1643,'CAMD Facility Data 2023'!$AE$2:$AE$10000,0),3)&gt;0,INDEX('CAMD Facility Data 2023'!$AE$2:$AG$10000,MATCH(Z1643,'CAMD Facility Data 2023'!$AE$2:$AE$10000,0),3),"")</f>
        <v/>
      </c>
      <c r="AD1643" s="20">
        <f t="shared" si="76"/>
        <v>1.5683524918353413</v>
      </c>
      <c r="AE1643" s="25">
        <f t="shared" si="77"/>
        <v>5.5809373361880043E-4</v>
      </c>
    </row>
    <row r="1644" spans="1:31" x14ac:dyDescent="0.2">
      <c r="A1644" s="1" t="s">
        <v>1153</v>
      </c>
      <c r="B1644" s="1" t="s">
        <v>4005</v>
      </c>
      <c r="C1644" s="1">
        <v>7277</v>
      </c>
      <c r="D1644" s="1">
        <v>17</v>
      </c>
      <c r="F1644" s="1">
        <v>2023</v>
      </c>
      <c r="G1644" s="5">
        <v>98</v>
      </c>
      <c r="H1644" s="5">
        <v>73.23</v>
      </c>
      <c r="I1644" s="5">
        <v>18902.37</v>
      </c>
      <c r="K1644" s="5">
        <v>3.5999999999999997E-2</v>
      </c>
      <c r="L1644" s="5">
        <v>0</v>
      </c>
      <c r="M1644" s="5">
        <v>11049.727999999999</v>
      </c>
      <c r="N1644" s="6">
        <v>5.8999999999999997E-2</v>
      </c>
      <c r="O1644" s="5">
        <v>8.4649999999999999</v>
      </c>
      <c r="P1644" s="6">
        <v>7.5899999999999995E-2</v>
      </c>
      <c r="Q1644" s="5">
        <v>185925.389</v>
      </c>
      <c r="R1644" s="1" t="s">
        <v>284</v>
      </c>
      <c r="S1644" s="1" t="s">
        <v>94</v>
      </c>
      <c r="T1644" s="1" t="s">
        <v>93</v>
      </c>
      <c r="V1644" s="1" t="s">
        <v>64</v>
      </c>
      <c r="Y1644" s="1" t="s">
        <v>2326</v>
      </c>
      <c r="Z1644" s="1" t="str">
        <f t="shared" si="75"/>
        <v>7277 17</v>
      </c>
      <c r="AA1644" s="3">
        <f>IF(INDEX('CAMD Facility Data 2023'!$AA$2:$AE$10000,MATCH(Z1644,'CAMD Facility Data 2023'!$AE$2:$AE$10000,0),1)&gt;0,INDEX('CAMD Facility Data 2023'!$AA$2:$AE$10000,MATCH(Z1644,'CAMD Facility Data 2023'!$AE$2:$AE$10000,0),1),"")</f>
        <v>43959</v>
      </c>
      <c r="AB1644" s="5">
        <f>IF(INDEX('CAMD Facility Data 2023'!$AC$2:$AE$10000,MATCH(Z1644,'CAMD Facility Data 2023'!$AE$2:$AE$10000,0),1)&gt;0,INDEX('CAMD Facility Data 2023'!$AC$2:$AE$10000,MATCH(Z1644,'CAMD Facility Data 2023'!$AE$2:$AE$10000,0),1),"")</f>
        <v>3915</v>
      </c>
      <c r="AC1644" s="1" t="str">
        <f>IF(INDEX('CAMD Facility Data 2023'!$AE$2:$AG$10000,MATCH(Z1644,'CAMD Facility Data 2023'!$AE$2:$AE$10000,0),3)&gt;0,INDEX('CAMD Facility Data 2023'!$AE$2:$AG$10000,MATCH(Z1644,'CAMD Facility Data 2023'!$AE$2:$AE$10000,0),3),"")</f>
        <v>Y</v>
      </c>
      <c r="AD1644" s="20">
        <f t="shared" si="76"/>
        <v>0.89565488348815525</v>
      </c>
      <c r="AE1644" s="25">
        <f t="shared" si="77"/>
        <v>5.4212923307498965E-3</v>
      </c>
    </row>
    <row r="1645" spans="1:31" x14ac:dyDescent="0.2">
      <c r="A1645" s="1" t="s">
        <v>1153</v>
      </c>
      <c r="B1645" s="1" t="s">
        <v>4005</v>
      </c>
      <c r="C1645" s="1">
        <v>7277</v>
      </c>
      <c r="D1645" s="1">
        <v>2</v>
      </c>
      <c r="F1645" s="1">
        <v>2023</v>
      </c>
      <c r="G1645" s="5">
        <v>20</v>
      </c>
      <c r="H1645" s="5">
        <v>14.67</v>
      </c>
      <c r="I1645" s="5">
        <v>828.85</v>
      </c>
      <c r="K1645" s="5">
        <v>7.0000000000000001E-3</v>
      </c>
      <c r="L1645" s="5">
        <v>1.1999999999999999E-3</v>
      </c>
      <c r="M1645" s="5">
        <v>741.91</v>
      </c>
      <c r="N1645" s="6">
        <v>6.3600000000000004E-2</v>
      </c>
      <c r="O1645" s="5">
        <v>0.63300000000000001</v>
      </c>
      <c r="P1645" s="6">
        <v>0.1069</v>
      </c>
      <c r="Q1645" s="5">
        <v>11639.396000000001</v>
      </c>
      <c r="R1645" s="1" t="s">
        <v>94</v>
      </c>
      <c r="S1645" s="1" t="s">
        <v>284</v>
      </c>
      <c r="T1645" s="1" t="s">
        <v>93</v>
      </c>
      <c r="V1645" s="1" t="s">
        <v>95</v>
      </c>
      <c r="Y1645" s="1" t="s">
        <v>2319</v>
      </c>
      <c r="Z1645" s="1" t="str">
        <f t="shared" si="75"/>
        <v>7277 2</v>
      </c>
      <c r="AA1645" s="3">
        <f>IF(INDEX('CAMD Facility Data 2023'!$AA$2:$AE$10000,MATCH(Z1645,'CAMD Facility Data 2023'!$AE$2:$AE$10000,0),1)&gt;0,INDEX('CAMD Facility Data 2023'!$AA$2:$AE$10000,MATCH(Z1645,'CAMD Facility Data 2023'!$AE$2:$AE$10000,0),1),"")</f>
        <v>34824</v>
      </c>
      <c r="AB1645" s="5">
        <f>IF(INDEX('CAMD Facility Data 2023'!$AC$2:$AE$10000,MATCH(Z1645,'CAMD Facility Data 2023'!$AE$2:$AE$10000,0),1)&gt;0,INDEX('CAMD Facility Data 2023'!$AC$2:$AE$10000,MATCH(Z1645,'CAMD Facility Data 2023'!$AE$2:$AE$10000,0),1),"")</f>
        <v>1446</v>
      </c>
      <c r="AC1645" s="1" t="str">
        <f>IF(INDEX('CAMD Facility Data 2023'!$AE$2:$AG$10000,MATCH(Z1645,'CAMD Facility Data 2023'!$AE$2:$AE$10000,0),3)&gt;0,INDEX('CAMD Facility Data 2023'!$AE$2:$AG$10000,MATCH(Z1645,'CAMD Facility Data 2023'!$AE$2:$AE$10000,0),3),"")</f>
        <v/>
      </c>
      <c r="AD1645" s="20">
        <f t="shared" si="76"/>
        <v>1.527417506183266</v>
      </c>
      <c r="AE1645" s="25">
        <f t="shared" si="77"/>
        <v>9.1887840492114927E-4</v>
      </c>
    </row>
    <row r="1646" spans="1:31" x14ac:dyDescent="0.2">
      <c r="A1646" s="1" t="s">
        <v>1153</v>
      </c>
      <c r="B1646" s="1" t="s">
        <v>4005</v>
      </c>
      <c r="C1646" s="1">
        <v>7277</v>
      </c>
      <c r="D1646" s="1">
        <v>3</v>
      </c>
      <c r="F1646" s="1">
        <v>2023</v>
      </c>
      <c r="G1646" s="5">
        <v>15</v>
      </c>
      <c r="H1646" s="5">
        <v>11.17</v>
      </c>
      <c r="I1646" s="5">
        <v>687.82</v>
      </c>
      <c r="K1646" s="5">
        <v>7.0000000000000001E-3</v>
      </c>
      <c r="L1646" s="5">
        <v>1.4E-3</v>
      </c>
      <c r="M1646" s="5">
        <v>587.721</v>
      </c>
      <c r="N1646" s="6">
        <v>6.4699999999999994E-2</v>
      </c>
      <c r="O1646" s="5">
        <v>0.52400000000000002</v>
      </c>
      <c r="P1646" s="6">
        <v>0.1119</v>
      </c>
      <c r="Q1646" s="5">
        <v>9059.9290000000001</v>
      </c>
      <c r="R1646" s="1" t="s">
        <v>94</v>
      </c>
      <c r="S1646" s="1" t="s">
        <v>284</v>
      </c>
      <c r="T1646" s="1" t="s">
        <v>93</v>
      </c>
      <c r="V1646" s="1" t="s">
        <v>95</v>
      </c>
      <c r="Y1646" s="1" t="s">
        <v>2319</v>
      </c>
      <c r="Z1646" s="1" t="str">
        <f t="shared" si="75"/>
        <v>7277 3</v>
      </c>
      <c r="AA1646" s="3">
        <f>IF(INDEX('CAMD Facility Data 2023'!$AA$2:$AE$10000,MATCH(Z1646,'CAMD Facility Data 2023'!$AE$2:$AE$10000,0),1)&gt;0,INDEX('CAMD Facility Data 2023'!$AA$2:$AE$10000,MATCH(Z1646,'CAMD Facility Data 2023'!$AE$2:$AE$10000,0),1),"")</f>
        <v>34851</v>
      </c>
      <c r="AB1646" s="5">
        <f>IF(INDEX('CAMD Facility Data 2023'!$AC$2:$AE$10000,MATCH(Z1646,'CAMD Facility Data 2023'!$AE$2:$AE$10000,0),1)&gt;0,INDEX('CAMD Facility Data 2023'!$AC$2:$AE$10000,MATCH(Z1646,'CAMD Facility Data 2023'!$AE$2:$AE$10000,0),1),"")</f>
        <v>1446</v>
      </c>
      <c r="AC1646" s="1" t="str">
        <f>IF(INDEX('CAMD Facility Data 2023'!$AE$2:$AG$10000,MATCH(Z1646,'CAMD Facility Data 2023'!$AE$2:$AE$10000,0),3)&gt;0,INDEX('CAMD Facility Data 2023'!$AE$2:$AG$10000,MATCH(Z1646,'CAMD Facility Data 2023'!$AE$2:$AE$10000,0),3),"")</f>
        <v/>
      </c>
      <c r="AD1646" s="20">
        <f t="shared" si="76"/>
        <v>1.5236544444767526</v>
      </c>
      <c r="AE1646" s="25">
        <f t="shared" si="77"/>
        <v>7.1524098915604062E-4</v>
      </c>
    </row>
    <row r="1647" spans="1:31" x14ac:dyDescent="0.2">
      <c r="A1647" s="1" t="s">
        <v>1153</v>
      </c>
      <c r="B1647" s="1" t="s">
        <v>4005</v>
      </c>
      <c r="C1647" s="1">
        <v>7277</v>
      </c>
      <c r="D1647" s="1">
        <v>4</v>
      </c>
      <c r="F1647" s="1">
        <v>2023</v>
      </c>
      <c r="G1647" s="5">
        <v>21</v>
      </c>
      <c r="H1647" s="5">
        <v>15.6</v>
      </c>
      <c r="I1647" s="5">
        <v>1047.82</v>
      </c>
      <c r="K1647" s="5">
        <v>8.0000000000000002E-3</v>
      </c>
      <c r="L1647" s="5">
        <v>1.1999999999999999E-3</v>
      </c>
      <c r="M1647" s="5">
        <v>842.49199999999996</v>
      </c>
      <c r="N1647" s="6">
        <v>6.4299999999999996E-2</v>
      </c>
      <c r="O1647" s="5">
        <v>0.67700000000000005</v>
      </c>
      <c r="P1647" s="6">
        <v>0.10639999999999999</v>
      </c>
      <c r="Q1647" s="5">
        <v>13345.111000000001</v>
      </c>
      <c r="R1647" s="1" t="s">
        <v>94</v>
      </c>
      <c r="S1647" s="1" t="s">
        <v>284</v>
      </c>
      <c r="T1647" s="1" t="s">
        <v>93</v>
      </c>
      <c r="V1647" s="1" t="s">
        <v>95</v>
      </c>
      <c r="Y1647" s="1" t="s">
        <v>2319</v>
      </c>
      <c r="Z1647" s="1" t="str">
        <f t="shared" si="75"/>
        <v>7277 4</v>
      </c>
      <c r="AA1647" s="3">
        <f>IF(INDEX('CAMD Facility Data 2023'!$AA$2:$AE$10000,MATCH(Z1647,'CAMD Facility Data 2023'!$AE$2:$AE$10000,0),1)&gt;0,INDEX('CAMD Facility Data 2023'!$AA$2:$AE$10000,MATCH(Z1647,'CAMD Facility Data 2023'!$AE$2:$AE$10000,0),1),"")</f>
        <v>34851</v>
      </c>
      <c r="AB1647" s="5">
        <f>IF(INDEX('CAMD Facility Data 2023'!$AC$2:$AE$10000,MATCH(Z1647,'CAMD Facility Data 2023'!$AE$2:$AE$10000,0),1)&gt;0,INDEX('CAMD Facility Data 2023'!$AC$2:$AE$10000,MATCH(Z1647,'CAMD Facility Data 2023'!$AE$2:$AE$10000,0),1),"")</f>
        <v>1446</v>
      </c>
      <c r="AC1647" s="1" t="str">
        <f>IF(INDEX('CAMD Facility Data 2023'!$AE$2:$AG$10000,MATCH(Z1647,'CAMD Facility Data 2023'!$AE$2:$AE$10000,0),3)&gt;0,INDEX('CAMD Facility Data 2023'!$AE$2:$AG$10000,MATCH(Z1647,'CAMD Facility Data 2023'!$AE$2:$AE$10000,0),3),"")</f>
        <v/>
      </c>
      <c r="AD1647" s="20">
        <f t="shared" si="76"/>
        <v>1.2922066767192839</v>
      </c>
      <c r="AE1647" s="25">
        <f t="shared" si="77"/>
        <v>1.0535369970379634E-3</v>
      </c>
    </row>
    <row r="1648" spans="1:31" x14ac:dyDescent="0.2">
      <c r="A1648" s="1" t="s">
        <v>1153</v>
      </c>
      <c r="B1648" s="1" t="s">
        <v>4005</v>
      </c>
      <c r="C1648" s="1">
        <v>7277</v>
      </c>
      <c r="D1648" s="1">
        <v>5</v>
      </c>
      <c r="F1648" s="1">
        <v>2023</v>
      </c>
      <c r="G1648" s="5">
        <v>19</v>
      </c>
      <c r="H1648" s="5">
        <v>11.31</v>
      </c>
      <c r="I1648" s="5">
        <v>603.1</v>
      </c>
      <c r="K1648" s="5">
        <v>8.0000000000000002E-3</v>
      </c>
      <c r="L1648" s="5">
        <v>1.5E-3</v>
      </c>
      <c r="M1648" s="5">
        <v>562.97799999999995</v>
      </c>
      <c r="N1648" s="6">
        <v>6.5299999999999997E-2</v>
      </c>
      <c r="O1648" s="5">
        <v>0.52800000000000002</v>
      </c>
      <c r="P1648" s="6">
        <v>0.11119999999999999</v>
      </c>
      <c r="Q1648" s="5">
        <v>8404.3799999999992</v>
      </c>
      <c r="R1648" s="1" t="s">
        <v>94</v>
      </c>
      <c r="S1648" s="1" t="s">
        <v>284</v>
      </c>
      <c r="T1648" s="1" t="s">
        <v>93</v>
      </c>
      <c r="V1648" s="1" t="s">
        <v>95</v>
      </c>
      <c r="Y1648" s="1" t="s">
        <v>2319</v>
      </c>
      <c r="Z1648" s="1" t="str">
        <f t="shared" si="75"/>
        <v>7277 5</v>
      </c>
      <c r="AA1648" s="3">
        <f>IF(INDEX('CAMD Facility Data 2023'!$AA$2:$AE$10000,MATCH(Z1648,'CAMD Facility Data 2023'!$AE$2:$AE$10000,0),1)&gt;0,INDEX('CAMD Facility Data 2023'!$AA$2:$AE$10000,MATCH(Z1648,'CAMD Facility Data 2023'!$AE$2:$AE$10000,0),1),"")</f>
        <v>34898</v>
      </c>
      <c r="AB1648" s="5">
        <f>IF(INDEX('CAMD Facility Data 2023'!$AC$2:$AE$10000,MATCH(Z1648,'CAMD Facility Data 2023'!$AE$2:$AE$10000,0),1)&gt;0,INDEX('CAMD Facility Data 2023'!$AC$2:$AE$10000,MATCH(Z1648,'CAMD Facility Data 2023'!$AE$2:$AE$10000,0),1),"")</f>
        <v>1446</v>
      </c>
      <c r="AC1648" s="1" t="str">
        <f>IF(INDEX('CAMD Facility Data 2023'!$AE$2:$AG$10000,MATCH(Z1648,'CAMD Facility Data 2023'!$AE$2:$AE$10000,0),3)&gt;0,INDEX('CAMD Facility Data 2023'!$AE$2:$AG$10000,MATCH(Z1648,'CAMD Facility Data 2023'!$AE$2:$AE$10000,0),3),"")</f>
        <v/>
      </c>
      <c r="AD1648" s="20">
        <f t="shared" si="76"/>
        <v>1.7509534073951252</v>
      </c>
      <c r="AE1648" s="25">
        <f t="shared" si="77"/>
        <v>6.6348831921787072E-4</v>
      </c>
    </row>
    <row r="1649" spans="1:31" x14ac:dyDescent="0.2">
      <c r="A1649" s="1" t="s">
        <v>1153</v>
      </c>
      <c r="B1649" s="1" t="s">
        <v>4005</v>
      </c>
      <c r="C1649" s="1">
        <v>7277</v>
      </c>
      <c r="D1649" s="1">
        <v>6</v>
      </c>
      <c r="F1649" s="1">
        <v>2023</v>
      </c>
      <c r="G1649" s="5">
        <v>13</v>
      </c>
      <c r="H1649" s="5">
        <v>9.86</v>
      </c>
      <c r="I1649" s="5">
        <v>527.69000000000005</v>
      </c>
      <c r="K1649" s="5">
        <v>7.0000000000000001E-3</v>
      </c>
      <c r="L1649" s="5">
        <v>1.5E-3</v>
      </c>
      <c r="M1649" s="5">
        <v>487.916</v>
      </c>
      <c r="N1649" s="6">
        <v>6.54E-2</v>
      </c>
      <c r="O1649" s="5">
        <v>0.47799999999999998</v>
      </c>
      <c r="P1649" s="6">
        <v>0.1208</v>
      </c>
      <c r="Q1649" s="5">
        <v>7330.1270000000004</v>
      </c>
      <c r="R1649" s="1" t="s">
        <v>94</v>
      </c>
      <c r="S1649" s="1" t="s">
        <v>284</v>
      </c>
      <c r="T1649" s="1" t="s">
        <v>93</v>
      </c>
      <c r="V1649" s="1" t="s">
        <v>95</v>
      </c>
      <c r="Y1649" s="1" t="s">
        <v>2319</v>
      </c>
      <c r="Z1649" s="1" t="str">
        <f t="shared" si="75"/>
        <v>7277 6</v>
      </c>
      <c r="AA1649" s="3">
        <f>IF(INDEX('CAMD Facility Data 2023'!$AA$2:$AE$10000,MATCH(Z1649,'CAMD Facility Data 2023'!$AE$2:$AE$10000,0),1)&gt;0,INDEX('CAMD Facility Data 2023'!$AA$2:$AE$10000,MATCH(Z1649,'CAMD Facility Data 2023'!$AE$2:$AE$10000,0),1),"")</f>
        <v>34898</v>
      </c>
      <c r="AB1649" s="5">
        <f>IF(INDEX('CAMD Facility Data 2023'!$AC$2:$AE$10000,MATCH(Z1649,'CAMD Facility Data 2023'!$AE$2:$AE$10000,0),1)&gt;0,INDEX('CAMD Facility Data 2023'!$AC$2:$AE$10000,MATCH(Z1649,'CAMD Facility Data 2023'!$AE$2:$AE$10000,0),1),"")</f>
        <v>1446</v>
      </c>
      <c r="AC1649" s="1" t="str">
        <f>IF(INDEX('CAMD Facility Data 2023'!$AE$2:$AG$10000,MATCH(Z1649,'CAMD Facility Data 2023'!$AE$2:$AE$10000,0),3)&gt;0,INDEX('CAMD Facility Data 2023'!$AE$2:$AG$10000,MATCH(Z1649,'CAMD Facility Data 2023'!$AE$2:$AE$10000,0),3),"")</f>
        <v/>
      </c>
      <c r="AD1649" s="20">
        <f t="shared" si="76"/>
        <v>1.8116697303340974</v>
      </c>
      <c r="AE1649" s="25">
        <f t="shared" si="77"/>
        <v>5.7868083581222329E-4</v>
      </c>
    </row>
    <row r="1650" spans="1:31" x14ac:dyDescent="0.2">
      <c r="A1650" s="1" t="s">
        <v>1153</v>
      </c>
      <c r="B1650" s="1" t="s">
        <v>4005</v>
      </c>
      <c r="C1650" s="1">
        <v>7277</v>
      </c>
      <c r="D1650" s="1">
        <v>7</v>
      </c>
      <c r="F1650" s="1">
        <v>2023</v>
      </c>
      <c r="G1650" s="5">
        <v>31</v>
      </c>
      <c r="H1650" s="5">
        <v>21.33</v>
      </c>
      <c r="I1650" s="5">
        <v>1298.7</v>
      </c>
      <c r="K1650" s="5">
        <v>0.01</v>
      </c>
      <c r="L1650" s="5">
        <v>1.1000000000000001E-3</v>
      </c>
      <c r="M1650" s="5">
        <v>1107.4690000000001</v>
      </c>
      <c r="N1650" s="6">
        <v>6.1199999999999997E-2</v>
      </c>
      <c r="O1650" s="5">
        <v>0.92100000000000004</v>
      </c>
      <c r="P1650" s="6">
        <v>0.1057</v>
      </c>
      <c r="Q1650" s="5">
        <v>17697.47</v>
      </c>
      <c r="R1650" s="1" t="s">
        <v>94</v>
      </c>
      <c r="S1650" s="1" t="s">
        <v>284</v>
      </c>
      <c r="T1650" s="1" t="s">
        <v>93</v>
      </c>
      <c r="V1650" s="1" t="s">
        <v>95</v>
      </c>
      <c r="Y1650" s="1" t="s">
        <v>2319</v>
      </c>
      <c r="Z1650" s="1" t="str">
        <f t="shared" si="75"/>
        <v>7277 7</v>
      </c>
      <c r="AA1650" s="3">
        <f>IF(INDEX('CAMD Facility Data 2023'!$AA$2:$AE$10000,MATCH(Z1650,'CAMD Facility Data 2023'!$AE$2:$AE$10000,0),1)&gt;0,INDEX('CAMD Facility Data 2023'!$AA$2:$AE$10000,MATCH(Z1650,'CAMD Facility Data 2023'!$AE$2:$AE$10000,0),1),"")</f>
        <v>34943</v>
      </c>
      <c r="AB1650" s="5">
        <f>IF(INDEX('CAMD Facility Data 2023'!$AC$2:$AE$10000,MATCH(Z1650,'CAMD Facility Data 2023'!$AE$2:$AE$10000,0),1)&gt;0,INDEX('CAMD Facility Data 2023'!$AC$2:$AE$10000,MATCH(Z1650,'CAMD Facility Data 2023'!$AE$2:$AE$10000,0),1),"")</f>
        <v>1446</v>
      </c>
      <c r="AC1650" s="1" t="str">
        <f>IF(INDEX('CAMD Facility Data 2023'!$AE$2:$AG$10000,MATCH(Z1650,'CAMD Facility Data 2023'!$AE$2:$AE$10000,0),3)&gt;0,INDEX('CAMD Facility Data 2023'!$AE$2:$AG$10000,MATCH(Z1650,'CAMD Facility Data 2023'!$AE$2:$AE$10000,0),3),"")</f>
        <v/>
      </c>
      <c r="AD1650" s="20">
        <f t="shared" si="76"/>
        <v>1.4183414183414182</v>
      </c>
      <c r="AE1650" s="25">
        <f t="shared" si="77"/>
        <v>1.3971363294744755E-3</v>
      </c>
    </row>
    <row r="1651" spans="1:31" x14ac:dyDescent="0.2">
      <c r="A1651" s="1" t="s">
        <v>1153</v>
      </c>
      <c r="B1651" s="1" t="s">
        <v>4005</v>
      </c>
      <c r="C1651" s="1">
        <v>7277</v>
      </c>
      <c r="D1651" s="1">
        <v>8</v>
      </c>
      <c r="F1651" s="1">
        <v>2023</v>
      </c>
      <c r="G1651" s="5">
        <v>24</v>
      </c>
      <c r="H1651" s="5">
        <v>15.18</v>
      </c>
      <c r="I1651" s="5">
        <v>906.76</v>
      </c>
      <c r="K1651" s="5">
        <v>8.0000000000000002E-3</v>
      </c>
      <c r="L1651" s="5">
        <v>1.2999999999999999E-3</v>
      </c>
      <c r="M1651" s="5">
        <v>776.62699999999995</v>
      </c>
      <c r="N1651" s="6">
        <v>6.1800000000000001E-2</v>
      </c>
      <c r="O1651" s="5">
        <v>0.67200000000000004</v>
      </c>
      <c r="P1651" s="6">
        <v>0.1114</v>
      </c>
      <c r="Q1651" s="5">
        <v>12198.268</v>
      </c>
      <c r="R1651" s="1" t="s">
        <v>94</v>
      </c>
      <c r="S1651" s="1" t="s">
        <v>284</v>
      </c>
      <c r="T1651" s="1" t="s">
        <v>93</v>
      </c>
      <c r="V1651" s="1" t="s">
        <v>95</v>
      </c>
      <c r="Y1651" s="1" t="s">
        <v>2319</v>
      </c>
      <c r="Z1651" s="1" t="str">
        <f t="shared" si="75"/>
        <v>7277 8</v>
      </c>
      <c r="AA1651" s="3">
        <f>IF(INDEX('CAMD Facility Data 2023'!$AA$2:$AE$10000,MATCH(Z1651,'CAMD Facility Data 2023'!$AE$2:$AE$10000,0),1)&gt;0,INDEX('CAMD Facility Data 2023'!$AA$2:$AE$10000,MATCH(Z1651,'CAMD Facility Data 2023'!$AE$2:$AE$10000,0),1),"")</f>
        <v>34943</v>
      </c>
      <c r="AB1651" s="5">
        <f>IF(INDEX('CAMD Facility Data 2023'!$AC$2:$AE$10000,MATCH(Z1651,'CAMD Facility Data 2023'!$AE$2:$AE$10000,0),1)&gt;0,INDEX('CAMD Facility Data 2023'!$AC$2:$AE$10000,MATCH(Z1651,'CAMD Facility Data 2023'!$AE$2:$AE$10000,0),1),"")</f>
        <v>1446</v>
      </c>
      <c r="AC1651" s="1" t="str">
        <f>IF(INDEX('CAMD Facility Data 2023'!$AE$2:$AG$10000,MATCH(Z1651,'CAMD Facility Data 2023'!$AE$2:$AE$10000,0),3)&gt;0,INDEX('CAMD Facility Data 2023'!$AE$2:$AG$10000,MATCH(Z1651,'CAMD Facility Data 2023'!$AE$2:$AE$10000,0),3),"")</f>
        <v/>
      </c>
      <c r="AD1651" s="20">
        <f t="shared" si="76"/>
        <v>1.4822003617274693</v>
      </c>
      <c r="AE1651" s="25">
        <f t="shared" si="77"/>
        <v>9.6299885686857779E-4</v>
      </c>
    </row>
    <row r="1652" spans="1:31" x14ac:dyDescent="0.2">
      <c r="A1652" s="1" t="s">
        <v>1153</v>
      </c>
      <c r="B1652" s="1" t="s">
        <v>4005</v>
      </c>
      <c r="C1652" s="1">
        <v>7277</v>
      </c>
      <c r="D1652" s="1">
        <v>9</v>
      </c>
      <c r="F1652" s="1">
        <v>2023</v>
      </c>
      <c r="G1652" s="5">
        <v>22</v>
      </c>
      <c r="H1652" s="5">
        <v>16.43</v>
      </c>
      <c r="I1652" s="5">
        <v>964.86</v>
      </c>
      <c r="K1652" s="5">
        <v>8.9999999999999993E-3</v>
      </c>
      <c r="L1652" s="5">
        <v>1.2999999999999999E-3</v>
      </c>
      <c r="M1652" s="5">
        <v>827.63499999999999</v>
      </c>
      <c r="N1652" s="6">
        <v>6.3899999999999998E-2</v>
      </c>
      <c r="O1652" s="5">
        <v>0.747</v>
      </c>
      <c r="P1652" s="6">
        <v>0.11169999999999999</v>
      </c>
      <c r="Q1652" s="5">
        <v>12925.3</v>
      </c>
      <c r="R1652" s="1" t="s">
        <v>94</v>
      </c>
      <c r="S1652" s="1" t="s">
        <v>284</v>
      </c>
      <c r="T1652" s="1" t="s">
        <v>93</v>
      </c>
      <c r="V1652" s="1" t="s">
        <v>95</v>
      </c>
      <c r="Y1652" s="1" t="s">
        <v>2319</v>
      </c>
      <c r="Z1652" s="1" t="str">
        <f t="shared" si="75"/>
        <v>7277 9</v>
      </c>
      <c r="AA1652" s="3">
        <f>IF(INDEX('CAMD Facility Data 2023'!$AA$2:$AE$10000,MATCH(Z1652,'CAMD Facility Data 2023'!$AE$2:$AE$10000,0),1)&gt;0,INDEX('CAMD Facility Data 2023'!$AA$2:$AE$10000,MATCH(Z1652,'CAMD Facility Data 2023'!$AE$2:$AE$10000,0),1),"")</f>
        <v>35004</v>
      </c>
      <c r="AB1652" s="5">
        <f>IF(INDEX('CAMD Facility Data 2023'!$AC$2:$AE$10000,MATCH(Z1652,'CAMD Facility Data 2023'!$AE$2:$AE$10000,0),1)&gt;0,INDEX('CAMD Facility Data 2023'!$AC$2:$AE$10000,MATCH(Z1652,'CAMD Facility Data 2023'!$AE$2:$AE$10000,0),1),"")</f>
        <v>1446</v>
      </c>
      <c r="AC1652" s="1" t="str">
        <f>IF(INDEX('CAMD Facility Data 2023'!$AE$2:$AG$10000,MATCH(Z1652,'CAMD Facility Data 2023'!$AE$2:$AE$10000,0),3)&gt;0,INDEX('CAMD Facility Data 2023'!$AE$2:$AG$10000,MATCH(Z1652,'CAMD Facility Data 2023'!$AE$2:$AE$10000,0),3),"")</f>
        <v/>
      </c>
      <c r="AD1652" s="20">
        <f t="shared" si="76"/>
        <v>1.5484111684596729</v>
      </c>
      <c r="AE1652" s="25">
        <f t="shared" si="77"/>
        <v>1.0203947908574748E-3</v>
      </c>
    </row>
    <row r="1653" spans="1:31" x14ac:dyDescent="0.2">
      <c r="A1653" s="1" t="s">
        <v>1980</v>
      </c>
      <c r="B1653" s="1" t="s">
        <v>4025</v>
      </c>
      <c r="C1653" s="1">
        <v>7288</v>
      </c>
      <c r="D1653" s="1">
        <v>1</v>
      </c>
      <c r="F1653" s="1">
        <v>2023</v>
      </c>
      <c r="G1653" s="5">
        <v>549</v>
      </c>
      <c r="H1653" s="5">
        <v>459.39</v>
      </c>
      <c r="I1653" s="5">
        <v>32994.82</v>
      </c>
      <c r="K1653" s="5">
        <v>0.13100000000000001</v>
      </c>
      <c r="L1653" s="5">
        <v>1E-3</v>
      </c>
      <c r="M1653" s="5">
        <v>26476.203000000001</v>
      </c>
      <c r="N1653" s="6">
        <v>6.0100000000000001E-2</v>
      </c>
      <c r="O1653" s="5">
        <v>16.146000000000001</v>
      </c>
      <c r="P1653" s="6">
        <v>7.3700000000000002E-2</v>
      </c>
      <c r="Q1653" s="5">
        <v>438479.36599999998</v>
      </c>
      <c r="R1653" s="1" t="s">
        <v>44</v>
      </c>
      <c r="S1653" s="1" t="s">
        <v>94</v>
      </c>
      <c r="T1653" s="1" t="s">
        <v>93</v>
      </c>
      <c r="V1653" s="1" t="s">
        <v>95</v>
      </c>
      <c r="Y1653" s="1" t="s">
        <v>1515</v>
      </c>
      <c r="Z1653" s="1" t="str">
        <f t="shared" si="75"/>
        <v>7288 1</v>
      </c>
      <c r="AA1653" s="3">
        <f>IF(INDEX('CAMD Facility Data 2023'!$AA$2:$AE$10000,MATCH(Z1653,'CAMD Facility Data 2023'!$AE$2:$AE$10000,0),1)&gt;0,INDEX('CAMD Facility Data 2023'!$AA$2:$AE$10000,MATCH(Z1653,'CAMD Facility Data 2023'!$AE$2:$AE$10000,0),1),"")</f>
        <v>33359</v>
      </c>
      <c r="AB1653" s="5">
        <f>IF(INDEX('CAMD Facility Data 2023'!$AC$2:$AE$10000,MATCH(Z1653,'CAMD Facility Data 2023'!$AE$2:$AE$10000,0),1)&gt;0,INDEX('CAMD Facility Data 2023'!$AC$2:$AE$10000,MATCH(Z1653,'CAMD Facility Data 2023'!$AE$2:$AE$10000,0),1),"")</f>
        <v>1210</v>
      </c>
      <c r="AC1653" s="1" t="str">
        <f>IF(INDEX('CAMD Facility Data 2023'!$AE$2:$AG$10000,MATCH(Z1653,'CAMD Facility Data 2023'!$AE$2:$AE$10000,0),3)&gt;0,INDEX('CAMD Facility Data 2023'!$AE$2:$AG$10000,MATCH(Z1653,'CAMD Facility Data 2023'!$AE$2:$AE$10000,0),3),"")</f>
        <v/>
      </c>
      <c r="AD1653" s="20">
        <f t="shared" si="76"/>
        <v>0.9786990806435677</v>
      </c>
      <c r="AE1653" s="25">
        <f t="shared" si="77"/>
        <v>4.1367538963734476E-2</v>
      </c>
    </row>
    <row r="1654" spans="1:31" x14ac:dyDescent="0.2">
      <c r="A1654" s="1" t="s">
        <v>1755</v>
      </c>
      <c r="B1654" s="1" t="s">
        <v>4027</v>
      </c>
      <c r="C1654" s="1">
        <v>7296</v>
      </c>
      <c r="D1654" s="1">
        <v>1</v>
      </c>
      <c r="F1654" s="1">
        <v>2023</v>
      </c>
      <c r="G1654" s="5">
        <v>451</v>
      </c>
      <c r="H1654" s="5">
        <v>410.06</v>
      </c>
      <c r="I1654" s="5">
        <v>28239.7</v>
      </c>
      <c r="K1654" s="5">
        <v>0.218</v>
      </c>
      <c r="L1654" s="5">
        <v>1.9E-3</v>
      </c>
      <c r="M1654" s="5">
        <v>12893.669</v>
      </c>
      <c r="N1654" s="6">
        <v>6.0199999999999997E-2</v>
      </c>
      <c r="O1654" s="5">
        <v>9.0440000000000005</v>
      </c>
      <c r="P1654" s="6">
        <v>8.5099999999999995E-2</v>
      </c>
      <c r="Q1654" s="5">
        <v>211090.06700000001</v>
      </c>
      <c r="R1654" s="1" t="s">
        <v>44</v>
      </c>
      <c r="S1654" s="1" t="s">
        <v>94</v>
      </c>
      <c r="T1654" s="1" t="s">
        <v>93</v>
      </c>
      <c r="V1654" s="1" t="s">
        <v>183</v>
      </c>
      <c r="Y1654" s="1" t="s">
        <v>1207</v>
      </c>
      <c r="Z1654" s="1" t="str">
        <f t="shared" si="75"/>
        <v>7296 1</v>
      </c>
      <c r="AA1654" s="3">
        <f>IF(INDEX('CAMD Facility Data 2023'!$AA$2:$AE$10000,MATCH(Z1654,'CAMD Facility Data 2023'!$AE$2:$AE$10000,0),1)&gt;0,INDEX('CAMD Facility Data 2023'!$AA$2:$AE$10000,MATCH(Z1654,'CAMD Facility Data 2023'!$AE$2:$AE$10000,0),1),"")</f>
        <v>36526</v>
      </c>
      <c r="AB1654" s="5">
        <f>IF(INDEX('CAMD Facility Data 2023'!$AC$2:$AE$10000,MATCH(Z1654,'CAMD Facility Data 2023'!$AE$2:$AE$10000,0),1)&gt;0,INDEX('CAMD Facility Data 2023'!$AC$2:$AE$10000,MATCH(Z1654,'CAMD Facility Data 2023'!$AE$2:$AE$10000,0),1),"")</f>
        <v>1350</v>
      </c>
      <c r="AC1654" s="1" t="str">
        <f>IF(INDEX('CAMD Facility Data 2023'!$AE$2:$AG$10000,MATCH(Z1654,'CAMD Facility Data 2023'!$AE$2:$AE$10000,0),3)&gt;0,INDEX('CAMD Facility Data 2023'!$AE$2:$AG$10000,MATCH(Z1654,'CAMD Facility Data 2023'!$AE$2:$AE$10000,0),3),"")</f>
        <v/>
      </c>
      <c r="AD1654" s="20">
        <f t="shared" si="76"/>
        <v>0.64051671937024823</v>
      </c>
      <c r="AE1654" s="25">
        <f t="shared" si="77"/>
        <v>1.7849658971757144E-2</v>
      </c>
    </row>
    <row r="1655" spans="1:31" x14ac:dyDescent="0.2">
      <c r="A1655" s="1" t="s">
        <v>1755</v>
      </c>
      <c r="B1655" s="1" t="s">
        <v>4027</v>
      </c>
      <c r="C1655" s="1">
        <v>7296</v>
      </c>
      <c r="D1655" s="2">
        <v>45323</v>
      </c>
      <c r="F1655" s="1">
        <v>2023</v>
      </c>
      <c r="G1655" s="5">
        <v>5735</v>
      </c>
      <c r="H1655" s="5">
        <v>5703.18</v>
      </c>
      <c r="I1655" s="5">
        <v>1165101.1299999999</v>
      </c>
      <c r="K1655" s="5">
        <v>2.4140000000000001</v>
      </c>
      <c r="L1655" s="5">
        <v>1E-3</v>
      </c>
      <c r="M1655" s="5">
        <v>478197.32699999999</v>
      </c>
      <c r="N1655" s="6">
        <v>5.8999999999999997E-2</v>
      </c>
      <c r="O1655" s="5">
        <v>53.744999999999997</v>
      </c>
      <c r="P1655" s="6">
        <v>1.3899999999999999E-2</v>
      </c>
      <c r="Q1655" s="5">
        <v>8046584.9500000002</v>
      </c>
      <c r="R1655" s="1" t="s">
        <v>44</v>
      </c>
      <c r="T1655" s="1" t="s">
        <v>71</v>
      </c>
      <c r="V1655" s="1" t="s">
        <v>223</v>
      </c>
      <c r="Y1655" s="1" t="s">
        <v>1207</v>
      </c>
      <c r="Z1655" s="1" t="str">
        <f t="shared" si="75"/>
        <v>7296 45323</v>
      </c>
      <c r="AA1655" s="3">
        <f>IF(INDEX('CAMD Facility Data 2023'!$AA$2:$AE$10000,MATCH(Z1655,'CAMD Facility Data 2023'!$AE$2:$AE$10000,0),1)&gt;0,INDEX('CAMD Facility Data 2023'!$AA$2:$AE$10000,MATCH(Z1655,'CAMD Facility Data 2023'!$AE$2:$AE$10000,0),1),"")</f>
        <v>36770</v>
      </c>
      <c r="AB1655" s="5">
        <f>IF(INDEX('CAMD Facility Data 2023'!$AC$2:$AE$10000,MATCH(Z1655,'CAMD Facility Data 2023'!$AE$2:$AE$10000,0),1)&gt;0,INDEX('CAMD Facility Data 2023'!$AC$2:$AE$10000,MATCH(Z1655,'CAMD Facility Data 2023'!$AE$2:$AE$10000,0),1),"")</f>
        <v>2045</v>
      </c>
      <c r="AC1655" s="1" t="str">
        <f>IF(INDEX('CAMD Facility Data 2023'!$AE$2:$AG$10000,MATCH(Z1655,'CAMD Facility Data 2023'!$AE$2:$AE$10000,0),3)&gt;0,INDEX('CAMD Facility Data 2023'!$AE$2:$AG$10000,MATCH(Z1655,'CAMD Facility Data 2023'!$AE$2:$AE$10000,0),3),"")</f>
        <v>Y</v>
      </c>
      <c r="AD1655" s="20">
        <f t="shared" si="76"/>
        <v>9.2258085785222793E-2</v>
      </c>
      <c r="AE1655" s="25">
        <f t="shared" si="77"/>
        <v>0.4491735578479642</v>
      </c>
    </row>
    <row r="1656" spans="1:31" x14ac:dyDescent="0.2">
      <c r="A1656" s="1" t="s">
        <v>1755</v>
      </c>
      <c r="B1656" s="1" t="s">
        <v>4027</v>
      </c>
      <c r="C1656" s="1">
        <v>7296</v>
      </c>
      <c r="D1656" s="2">
        <v>45324</v>
      </c>
      <c r="F1656" s="1">
        <v>2023</v>
      </c>
      <c r="G1656" s="5">
        <v>5832</v>
      </c>
      <c r="H1656" s="5">
        <v>5799.32</v>
      </c>
      <c r="I1656" s="5">
        <v>1192117.93</v>
      </c>
      <c r="K1656" s="5">
        <v>2.4590000000000001</v>
      </c>
      <c r="L1656" s="5">
        <v>1E-3</v>
      </c>
      <c r="M1656" s="5">
        <v>487058.39899999998</v>
      </c>
      <c r="N1656" s="6">
        <v>5.8999999999999997E-2</v>
      </c>
      <c r="O1656" s="5">
        <v>49.792000000000002</v>
      </c>
      <c r="P1656" s="6">
        <v>1.2699999999999999E-2</v>
      </c>
      <c r="Q1656" s="5">
        <v>8195666.1500000004</v>
      </c>
      <c r="R1656" s="1" t="s">
        <v>44</v>
      </c>
      <c r="T1656" s="1" t="s">
        <v>71</v>
      </c>
      <c r="V1656" s="1" t="s">
        <v>223</v>
      </c>
      <c r="Y1656" s="1" t="s">
        <v>1207</v>
      </c>
      <c r="Z1656" s="1" t="str">
        <f t="shared" si="75"/>
        <v>7296 45324</v>
      </c>
      <c r="AA1656" s="3">
        <f>IF(INDEX('CAMD Facility Data 2023'!$AA$2:$AE$10000,MATCH(Z1656,'CAMD Facility Data 2023'!$AE$2:$AE$10000,0),1)&gt;0,INDEX('CAMD Facility Data 2023'!$AA$2:$AE$10000,MATCH(Z1656,'CAMD Facility Data 2023'!$AE$2:$AE$10000,0),1),"")</f>
        <v>36526</v>
      </c>
      <c r="AB1656" s="5">
        <f>IF(INDEX('CAMD Facility Data 2023'!$AC$2:$AE$10000,MATCH(Z1656,'CAMD Facility Data 2023'!$AE$2:$AE$10000,0),1)&gt;0,INDEX('CAMD Facility Data 2023'!$AC$2:$AE$10000,MATCH(Z1656,'CAMD Facility Data 2023'!$AE$2:$AE$10000,0),1),"")</f>
        <v>2045</v>
      </c>
      <c r="AC1656" s="1" t="str">
        <f>IF(INDEX('CAMD Facility Data 2023'!$AE$2:$AG$10000,MATCH(Z1656,'CAMD Facility Data 2023'!$AE$2:$AE$10000,0),3)&gt;0,INDEX('CAMD Facility Data 2023'!$AE$2:$AG$10000,MATCH(Z1656,'CAMD Facility Data 2023'!$AE$2:$AE$10000,0),3),"")</f>
        <v>Y</v>
      </c>
      <c r="AD1656" s="20">
        <f t="shared" si="76"/>
        <v>8.3535359626710756E-2</v>
      </c>
      <c r="AE1656" s="25">
        <f t="shared" si="77"/>
        <v>0.45749551473133049</v>
      </c>
    </row>
    <row r="1657" spans="1:31" x14ac:dyDescent="0.2">
      <c r="A1657" s="1" t="s">
        <v>304</v>
      </c>
      <c r="B1657" s="1" t="s">
        <v>4032</v>
      </c>
      <c r="C1657" s="1">
        <v>7302</v>
      </c>
      <c r="D1657" s="1" t="s">
        <v>372</v>
      </c>
      <c r="F1657" s="1">
        <v>2023</v>
      </c>
      <c r="G1657" s="5">
        <v>6096</v>
      </c>
      <c r="H1657" s="5">
        <v>6083.71</v>
      </c>
      <c r="I1657" s="5">
        <v>726804.92</v>
      </c>
      <c r="K1657" s="5">
        <v>2.4020000000000001</v>
      </c>
      <c r="L1657" s="5">
        <v>1E-3</v>
      </c>
      <c r="M1657" s="5">
        <v>478904.97</v>
      </c>
      <c r="N1657" s="6">
        <v>5.8999999999999997E-2</v>
      </c>
      <c r="O1657" s="5">
        <v>151.09399999999999</v>
      </c>
      <c r="P1657" s="6">
        <v>3.8300000000000001E-2</v>
      </c>
      <c r="Q1657" s="5">
        <v>8058537.8650000002</v>
      </c>
      <c r="R1657" s="1" t="s">
        <v>44</v>
      </c>
      <c r="S1657" s="1" t="s">
        <v>94</v>
      </c>
      <c r="T1657" s="1" t="s">
        <v>71</v>
      </c>
      <c r="V1657" s="1" t="s">
        <v>64</v>
      </c>
      <c r="Y1657" s="1" t="s">
        <v>247</v>
      </c>
      <c r="Z1657" s="1" t="str">
        <f t="shared" si="75"/>
        <v>7302 1A</v>
      </c>
      <c r="AA1657" s="3">
        <f>IF(INDEX('CAMD Facility Data 2023'!$AA$2:$AE$10000,MATCH(Z1657,'CAMD Facility Data 2023'!$AE$2:$AE$10000,0),1)&gt;0,INDEX('CAMD Facility Data 2023'!$AA$2:$AE$10000,MATCH(Z1657,'CAMD Facility Data 2023'!$AE$2:$AE$10000,0),1),"")</f>
        <v>36020</v>
      </c>
      <c r="AB1657" s="5">
        <f>IF(INDEX('CAMD Facility Data 2023'!$AC$2:$AE$10000,MATCH(Z1657,'CAMD Facility Data 2023'!$AE$2:$AE$10000,0),1)&gt;0,INDEX('CAMD Facility Data 2023'!$AC$2:$AE$10000,MATCH(Z1657,'CAMD Facility Data 2023'!$AE$2:$AE$10000,0),1),"")</f>
        <v>2050</v>
      </c>
      <c r="AC1657" s="1" t="str">
        <f>IF(INDEX('CAMD Facility Data 2023'!$AE$2:$AG$10000,MATCH(Z1657,'CAMD Facility Data 2023'!$AE$2:$AE$10000,0),3)&gt;0,INDEX('CAMD Facility Data 2023'!$AE$2:$AG$10000,MATCH(Z1657,'CAMD Facility Data 2023'!$AE$2:$AE$10000,0),3),"")</f>
        <v>Y</v>
      </c>
      <c r="AD1657" s="20">
        <f t="shared" si="76"/>
        <v>0.41577594163781939</v>
      </c>
      <c r="AE1657" s="25">
        <f t="shared" si="77"/>
        <v>0.44874361649404165</v>
      </c>
    </row>
    <row r="1658" spans="1:31" x14ac:dyDescent="0.2">
      <c r="A1658" s="1" t="s">
        <v>304</v>
      </c>
      <c r="B1658" s="1" t="s">
        <v>4032</v>
      </c>
      <c r="C1658" s="1">
        <v>7302</v>
      </c>
      <c r="D1658" s="1" t="s">
        <v>1199</v>
      </c>
      <c r="F1658" s="1">
        <v>2023</v>
      </c>
      <c r="G1658" s="5">
        <v>6316</v>
      </c>
      <c r="H1658" s="5">
        <v>6302.11</v>
      </c>
      <c r="I1658" s="5">
        <v>752711.83</v>
      </c>
      <c r="K1658" s="5">
        <v>2.528</v>
      </c>
      <c r="L1658" s="5">
        <v>1E-3</v>
      </c>
      <c r="M1658" s="5">
        <v>506607.22399999999</v>
      </c>
      <c r="N1658" s="6">
        <v>5.8999999999999997E-2</v>
      </c>
      <c r="O1658" s="5">
        <v>158.601</v>
      </c>
      <c r="P1658" s="6">
        <v>3.8600000000000002E-2</v>
      </c>
      <c r="Q1658" s="5">
        <v>8524623.5730000008</v>
      </c>
      <c r="R1658" s="1" t="s">
        <v>44</v>
      </c>
      <c r="S1658" s="1" t="s">
        <v>94</v>
      </c>
      <c r="T1658" s="1" t="s">
        <v>71</v>
      </c>
      <c r="V1658" s="1" t="s">
        <v>64</v>
      </c>
      <c r="Y1658" s="1" t="s">
        <v>247</v>
      </c>
      <c r="Z1658" s="1" t="str">
        <f t="shared" si="75"/>
        <v>7302 1B</v>
      </c>
      <c r="AA1658" s="3">
        <f>IF(INDEX('CAMD Facility Data 2023'!$AA$2:$AE$10000,MATCH(Z1658,'CAMD Facility Data 2023'!$AE$2:$AE$10000,0),1)&gt;0,INDEX('CAMD Facility Data 2023'!$AA$2:$AE$10000,MATCH(Z1658,'CAMD Facility Data 2023'!$AE$2:$AE$10000,0),1),"")</f>
        <v>36016</v>
      </c>
      <c r="AB1658" s="5">
        <f>IF(INDEX('CAMD Facility Data 2023'!$AC$2:$AE$10000,MATCH(Z1658,'CAMD Facility Data 2023'!$AE$2:$AE$10000,0),1)&gt;0,INDEX('CAMD Facility Data 2023'!$AC$2:$AE$10000,MATCH(Z1658,'CAMD Facility Data 2023'!$AE$2:$AE$10000,0),1),"")</f>
        <v>2050</v>
      </c>
      <c r="AC1658" s="1" t="str">
        <f>IF(INDEX('CAMD Facility Data 2023'!$AE$2:$AG$10000,MATCH(Z1658,'CAMD Facility Data 2023'!$AE$2:$AE$10000,0),3)&gt;0,INDEX('CAMD Facility Data 2023'!$AE$2:$AG$10000,MATCH(Z1658,'CAMD Facility Data 2023'!$AE$2:$AE$10000,0),3),"")</f>
        <v>Y</v>
      </c>
      <c r="AD1658" s="20">
        <f t="shared" si="76"/>
        <v>0.42141226875629151</v>
      </c>
      <c r="AE1658" s="25">
        <f t="shared" si="77"/>
        <v>0.47469782676244576</v>
      </c>
    </row>
    <row r="1659" spans="1:31" x14ac:dyDescent="0.2">
      <c r="A1659" s="1" t="s">
        <v>304</v>
      </c>
      <c r="B1659" s="1" t="s">
        <v>4032</v>
      </c>
      <c r="C1659" s="1">
        <v>7302</v>
      </c>
      <c r="D1659" s="1" t="s">
        <v>377</v>
      </c>
      <c r="F1659" s="1">
        <v>2023</v>
      </c>
      <c r="G1659" s="5">
        <v>6352</v>
      </c>
      <c r="H1659" s="5">
        <v>6339.38</v>
      </c>
      <c r="I1659" s="5">
        <v>873757.82</v>
      </c>
      <c r="K1659" s="5">
        <v>2.9860000000000002</v>
      </c>
      <c r="L1659" s="5">
        <v>1E-3</v>
      </c>
      <c r="M1659" s="5">
        <v>588000.16700000002</v>
      </c>
      <c r="N1659" s="6">
        <v>5.8999999999999997E-2</v>
      </c>
      <c r="O1659" s="5">
        <v>59.988999999999997</v>
      </c>
      <c r="P1659" s="6">
        <v>1.2500000000000001E-2</v>
      </c>
      <c r="Q1659" s="5">
        <v>9894280.1579999998</v>
      </c>
      <c r="R1659" s="1" t="s">
        <v>44</v>
      </c>
      <c r="S1659" s="1" t="s">
        <v>94</v>
      </c>
      <c r="T1659" s="1" t="s">
        <v>71</v>
      </c>
      <c r="V1659" s="1" t="s">
        <v>643</v>
      </c>
      <c r="Y1659" s="1" t="s">
        <v>247</v>
      </c>
      <c r="Z1659" s="1" t="str">
        <f t="shared" si="75"/>
        <v>7302 2A</v>
      </c>
      <c r="AA1659" s="3">
        <f>IF(INDEX('CAMD Facility Data 2023'!$AA$2:$AE$10000,MATCH(Z1659,'CAMD Facility Data 2023'!$AE$2:$AE$10000,0),1)&gt;0,INDEX('CAMD Facility Data 2023'!$AA$2:$AE$10000,MATCH(Z1659,'CAMD Facility Data 2023'!$AE$2:$AE$10000,0),1),"")</f>
        <v>37850</v>
      </c>
      <c r="AB1659" s="5">
        <f>IF(INDEX('CAMD Facility Data 2023'!$AC$2:$AE$10000,MATCH(Z1659,'CAMD Facility Data 2023'!$AE$2:$AE$10000,0),1)&gt;0,INDEX('CAMD Facility Data 2023'!$AC$2:$AE$10000,MATCH(Z1659,'CAMD Facility Data 2023'!$AE$2:$AE$10000,0),1),"")</f>
        <v>2100</v>
      </c>
      <c r="AC1659" s="1" t="str">
        <f>IF(INDEX('CAMD Facility Data 2023'!$AE$2:$AG$10000,MATCH(Z1659,'CAMD Facility Data 2023'!$AE$2:$AE$10000,0),3)&gt;0,INDEX('CAMD Facility Data 2023'!$AE$2:$AG$10000,MATCH(Z1659,'CAMD Facility Data 2023'!$AE$2:$AE$10000,0),3),"")</f>
        <v>Y</v>
      </c>
      <c r="AD1659" s="20">
        <f t="shared" si="76"/>
        <v>0.13731264802871809</v>
      </c>
      <c r="AE1659" s="25">
        <f t="shared" si="77"/>
        <v>0.53784954109589045</v>
      </c>
    </row>
    <row r="1660" spans="1:31" x14ac:dyDescent="0.2">
      <c r="A1660" s="1" t="s">
        <v>304</v>
      </c>
      <c r="B1660" s="1" t="s">
        <v>4032</v>
      </c>
      <c r="C1660" s="1">
        <v>7302</v>
      </c>
      <c r="D1660" s="1" t="s">
        <v>1201</v>
      </c>
      <c r="F1660" s="1">
        <v>2023</v>
      </c>
      <c r="G1660" s="5">
        <v>5863</v>
      </c>
      <c r="H1660" s="5">
        <v>5854.59</v>
      </c>
      <c r="I1660" s="5">
        <v>795825.11</v>
      </c>
      <c r="K1660" s="5">
        <v>2.7290000000000001</v>
      </c>
      <c r="L1660" s="5">
        <v>1E-3</v>
      </c>
      <c r="M1660" s="5">
        <v>538738.93500000006</v>
      </c>
      <c r="N1660" s="6">
        <v>5.8999999999999997E-2</v>
      </c>
      <c r="O1660" s="5">
        <v>54.716999999999999</v>
      </c>
      <c r="P1660" s="6">
        <v>1.23E-2</v>
      </c>
      <c r="Q1660" s="5">
        <v>9065301.3460000008</v>
      </c>
      <c r="R1660" s="1" t="s">
        <v>44</v>
      </c>
      <c r="S1660" s="1" t="s">
        <v>94</v>
      </c>
      <c r="T1660" s="1" t="s">
        <v>71</v>
      </c>
      <c r="V1660" s="1" t="s">
        <v>643</v>
      </c>
      <c r="Y1660" s="1" t="s">
        <v>247</v>
      </c>
      <c r="Z1660" s="1" t="str">
        <f t="shared" si="75"/>
        <v>7302 2B</v>
      </c>
      <c r="AA1660" s="3">
        <f>IF(INDEX('CAMD Facility Data 2023'!$AA$2:$AE$10000,MATCH(Z1660,'CAMD Facility Data 2023'!$AE$2:$AE$10000,0),1)&gt;0,INDEX('CAMD Facility Data 2023'!$AA$2:$AE$10000,MATCH(Z1660,'CAMD Facility Data 2023'!$AE$2:$AE$10000,0),1),"")</f>
        <v>37852</v>
      </c>
      <c r="AB1660" s="5">
        <f>IF(INDEX('CAMD Facility Data 2023'!$AC$2:$AE$10000,MATCH(Z1660,'CAMD Facility Data 2023'!$AE$2:$AE$10000,0),1)&gt;0,INDEX('CAMD Facility Data 2023'!$AC$2:$AE$10000,MATCH(Z1660,'CAMD Facility Data 2023'!$AE$2:$AE$10000,0),1),"")</f>
        <v>2100</v>
      </c>
      <c r="AC1660" s="1" t="str">
        <f>IF(INDEX('CAMD Facility Data 2023'!$AE$2:$AG$10000,MATCH(Z1660,'CAMD Facility Data 2023'!$AE$2:$AE$10000,0),3)&gt;0,INDEX('CAMD Facility Data 2023'!$AE$2:$AG$10000,MATCH(Z1660,'CAMD Facility Data 2023'!$AE$2:$AE$10000,0),3),"")</f>
        <v>Y</v>
      </c>
      <c r="AD1660" s="20">
        <f t="shared" si="76"/>
        <v>0.1375101119893038</v>
      </c>
      <c r="AE1660" s="25">
        <f t="shared" si="77"/>
        <v>0.49278654848880193</v>
      </c>
    </row>
    <row r="1661" spans="1:31" x14ac:dyDescent="0.2">
      <c r="A1661" s="1" t="s">
        <v>304</v>
      </c>
      <c r="B1661" s="1" t="s">
        <v>4032</v>
      </c>
      <c r="C1661" s="1">
        <v>7302</v>
      </c>
      <c r="D1661" s="1" t="s">
        <v>379</v>
      </c>
      <c r="F1661" s="1">
        <v>2023</v>
      </c>
      <c r="G1661" s="5">
        <v>6148</v>
      </c>
      <c r="H1661" s="5">
        <v>6133.78</v>
      </c>
      <c r="I1661" s="5">
        <v>813070.84</v>
      </c>
      <c r="K1661" s="5">
        <v>2.7189999999999999</v>
      </c>
      <c r="L1661" s="5">
        <v>1E-3</v>
      </c>
      <c r="M1661" s="5">
        <v>539323.76899999997</v>
      </c>
      <c r="N1661" s="6">
        <v>5.8999999999999997E-2</v>
      </c>
      <c r="O1661" s="5">
        <v>39.688000000000002</v>
      </c>
      <c r="P1661" s="6">
        <v>9.2999999999999992E-3</v>
      </c>
      <c r="Q1661" s="5">
        <v>9075238.8029999994</v>
      </c>
      <c r="R1661" s="1" t="s">
        <v>44</v>
      </c>
      <c r="S1661" s="1" t="s">
        <v>94</v>
      </c>
      <c r="T1661" s="1" t="s">
        <v>71</v>
      </c>
      <c r="V1661" s="1" t="s">
        <v>643</v>
      </c>
      <c r="Y1661" s="1" t="s">
        <v>247</v>
      </c>
      <c r="Z1661" s="1" t="str">
        <f t="shared" si="75"/>
        <v>7302 3A</v>
      </c>
      <c r="AA1661" s="3">
        <f>IF(INDEX('CAMD Facility Data 2023'!$AA$2:$AE$10000,MATCH(Z1661,'CAMD Facility Data 2023'!$AE$2:$AE$10000,0),1)&gt;0,INDEX('CAMD Facility Data 2023'!$AA$2:$AE$10000,MATCH(Z1661,'CAMD Facility Data 2023'!$AE$2:$AE$10000,0),1),"")</f>
        <v>38575</v>
      </c>
      <c r="AB1661" s="5">
        <f>IF(INDEX('CAMD Facility Data 2023'!$AC$2:$AE$10000,MATCH(Z1661,'CAMD Facility Data 2023'!$AE$2:$AE$10000,0),1)&gt;0,INDEX('CAMD Facility Data 2023'!$AC$2:$AE$10000,MATCH(Z1661,'CAMD Facility Data 2023'!$AE$2:$AE$10000,0),1),"")</f>
        <v>2155</v>
      </c>
      <c r="AC1661" s="1" t="str">
        <f>IF(INDEX('CAMD Facility Data 2023'!$AE$2:$AG$10000,MATCH(Z1661,'CAMD Facility Data 2023'!$AE$2:$AE$10000,0),3)&gt;0,INDEX('CAMD Facility Data 2023'!$AE$2:$AG$10000,MATCH(Z1661,'CAMD Facility Data 2023'!$AE$2:$AE$10000,0),3),"")</f>
        <v>Y</v>
      </c>
      <c r="AD1661" s="20">
        <f t="shared" si="76"/>
        <v>9.7624949875216291E-2</v>
      </c>
      <c r="AE1661" s="25">
        <f t="shared" si="77"/>
        <v>0.48073603931602193</v>
      </c>
    </row>
    <row r="1662" spans="1:31" x14ac:dyDescent="0.2">
      <c r="A1662" s="1" t="s">
        <v>304</v>
      </c>
      <c r="B1662" s="1" t="s">
        <v>4032</v>
      </c>
      <c r="C1662" s="1">
        <v>7302</v>
      </c>
      <c r="D1662" s="1" t="s">
        <v>965</v>
      </c>
      <c r="F1662" s="1">
        <v>2023</v>
      </c>
      <c r="G1662" s="5">
        <v>6558</v>
      </c>
      <c r="H1662" s="5">
        <v>6543.43</v>
      </c>
      <c r="I1662" s="5">
        <v>877181.43999999994</v>
      </c>
      <c r="K1662" s="5">
        <v>2.8780000000000001</v>
      </c>
      <c r="L1662" s="5">
        <v>1E-3</v>
      </c>
      <c r="M1662" s="5">
        <v>570994.63100000005</v>
      </c>
      <c r="N1662" s="6">
        <v>5.8999999999999997E-2</v>
      </c>
      <c r="O1662" s="5">
        <v>44.441000000000003</v>
      </c>
      <c r="P1662" s="6">
        <v>1.01E-2</v>
      </c>
      <c r="Q1662" s="5">
        <v>9608106.4629999995</v>
      </c>
      <c r="R1662" s="1" t="s">
        <v>44</v>
      </c>
      <c r="S1662" s="1" t="s">
        <v>94</v>
      </c>
      <c r="T1662" s="1" t="s">
        <v>71</v>
      </c>
      <c r="V1662" s="1" t="s">
        <v>643</v>
      </c>
      <c r="Y1662" s="1" t="s">
        <v>247</v>
      </c>
      <c r="Z1662" s="1" t="str">
        <f t="shared" si="75"/>
        <v>7302 3B</v>
      </c>
      <c r="AA1662" s="3">
        <f>IF(INDEX('CAMD Facility Data 2023'!$AA$2:$AE$10000,MATCH(Z1662,'CAMD Facility Data 2023'!$AE$2:$AE$10000,0),1)&gt;0,INDEX('CAMD Facility Data 2023'!$AA$2:$AE$10000,MATCH(Z1662,'CAMD Facility Data 2023'!$AE$2:$AE$10000,0),1),"")</f>
        <v>38576</v>
      </c>
      <c r="AB1662" s="5">
        <f>IF(INDEX('CAMD Facility Data 2023'!$AC$2:$AE$10000,MATCH(Z1662,'CAMD Facility Data 2023'!$AE$2:$AE$10000,0),1)&gt;0,INDEX('CAMD Facility Data 2023'!$AC$2:$AE$10000,MATCH(Z1662,'CAMD Facility Data 2023'!$AE$2:$AE$10000,0),1),"")</f>
        <v>2155</v>
      </c>
      <c r="AC1662" s="1" t="str">
        <f>IF(INDEX('CAMD Facility Data 2023'!$AE$2:$AG$10000,MATCH(Z1662,'CAMD Facility Data 2023'!$AE$2:$AE$10000,0),3)&gt;0,INDEX('CAMD Facility Data 2023'!$AE$2:$AG$10000,MATCH(Z1662,'CAMD Facility Data 2023'!$AE$2:$AE$10000,0),3),"")</f>
        <v>Y</v>
      </c>
      <c r="AD1662" s="20">
        <f t="shared" si="76"/>
        <v>0.10132681329874012</v>
      </c>
      <c r="AE1662" s="25">
        <f t="shared" si="77"/>
        <v>0.50896325117333585</v>
      </c>
    </row>
    <row r="1663" spans="1:31" x14ac:dyDescent="0.2">
      <c r="A1663" s="1" t="s">
        <v>304</v>
      </c>
      <c r="B1663" s="1" t="s">
        <v>4032</v>
      </c>
      <c r="C1663" s="1">
        <v>7302</v>
      </c>
      <c r="D1663" s="1" t="s">
        <v>381</v>
      </c>
      <c r="F1663" s="1">
        <v>2023</v>
      </c>
      <c r="G1663" s="5">
        <v>8485</v>
      </c>
      <c r="H1663" s="5">
        <v>8479.3700000000008</v>
      </c>
      <c r="I1663" s="5">
        <v>1191680.0900000001</v>
      </c>
      <c r="K1663" s="5">
        <v>3.895</v>
      </c>
      <c r="L1663" s="5">
        <v>1E-3</v>
      </c>
      <c r="M1663" s="5">
        <v>767550.76399999997</v>
      </c>
      <c r="N1663" s="6">
        <v>5.8999999999999997E-2</v>
      </c>
      <c r="O1663" s="5">
        <v>49.822000000000003</v>
      </c>
      <c r="P1663" s="6">
        <v>7.9000000000000008E-3</v>
      </c>
      <c r="Q1663" s="5">
        <v>12915567.052999999</v>
      </c>
      <c r="R1663" s="1" t="s">
        <v>44</v>
      </c>
      <c r="S1663" s="1" t="s">
        <v>94</v>
      </c>
      <c r="T1663" s="1" t="s">
        <v>71</v>
      </c>
      <c r="V1663" s="1" t="s">
        <v>643</v>
      </c>
      <c r="Y1663" s="1" t="s">
        <v>247</v>
      </c>
      <c r="Z1663" s="1" t="str">
        <f t="shared" si="75"/>
        <v>7302 4A</v>
      </c>
      <c r="AA1663" s="3">
        <f>IF(INDEX('CAMD Facility Data 2023'!$AA$2:$AE$10000,MATCH(Z1663,'CAMD Facility Data 2023'!$AE$2:$AE$10000,0),1)&gt;0,INDEX('CAMD Facility Data 2023'!$AA$2:$AE$10000,MATCH(Z1663,'CAMD Facility Data 2023'!$AE$2:$AE$10000,0),1),"")</f>
        <v>39334</v>
      </c>
      <c r="AB1663" s="5">
        <f>IF(INDEX('CAMD Facility Data 2023'!$AC$2:$AE$10000,MATCH(Z1663,'CAMD Facility Data 2023'!$AE$2:$AE$10000,0),1)&gt;0,INDEX('CAMD Facility Data 2023'!$AC$2:$AE$10000,MATCH(Z1663,'CAMD Facility Data 2023'!$AE$2:$AE$10000,0),1),"")</f>
        <v>2122</v>
      </c>
      <c r="AC1663" s="1" t="str">
        <f>IF(INDEX('CAMD Facility Data 2023'!$AE$2:$AG$10000,MATCH(Z1663,'CAMD Facility Data 2023'!$AE$2:$AE$10000,0),3)&gt;0,INDEX('CAMD Facility Data 2023'!$AE$2:$AG$10000,MATCH(Z1663,'CAMD Facility Data 2023'!$AE$2:$AE$10000,0),3),"")</f>
        <v>Y</v>
      </c>
      <c r="AD1663" s="20">
        <f t="shared" si="76"/>
        <v>8.3616400774137289E-2</v>
      </c>
      <c r="AE1663" s="25">
        <f t="shared" si="77"/>
        <v>0.69480669206916879</v>
      </c>
    </row>
    <row r="1664" spans="1:31" x14ac:dyDescent="0.2">
      <c r="A1664" s="1" t="s">
        <v>304</v>
      </c>
      <c r="B1664" s="1" t="s">
        <v>4032</v>
      </c>
      <c r="C1664" s="1">
        <v>7302</v>
      </c>
      <c r="D1664" s="1" t="s">
        <v>815</v>
      </c>
      <c r="F1664" s="1">
        <v>2023</v>
      </c>
      <c r="G1664" s="5">
        <v>7371</v>
      </c>
      <c r="H1664" s="5">
        <v>7360.07</v>
      </c>
      <c r="I1664" s="5">
        <v>1031075.6</v>
      </c>
      <c r="K1664" s="5">
        <v>3.448</v>
      </c>
      <c r="L1664" s="5">
        <v>1E-3</v>
      </c>
      <c r="M1664" s="5">
        <v>680852.66700000002</v>
      </c>
      <c r="N1664" s="6">
        <v>5.8999999999999997E-2</v>
      </c>
      <c r="O1664" s="5">
        <v>45.383000000000003</v>
      </c>
      <c r="P1664" s="6">
        <v>8.0999999999999996E-3</v>
      </c>
      <c r="Q1664" s="5">
        <v>11456702.273</v>
      </c>
      <c r="R1664" s="1" t="s">
        <v>44</v>
      </c>
      <c r="S1664" s="1" t="s">
        <v>94</v>
      </c>
      <c r="T1664" s="1" t="s">
        <v>71</v>
      </c>
      <c r="V1664" s="1" t="s">
        <v>643</v>
      </c>
      <c r="Y1664" s="1" t="s">
        <v>247</v>
      </c>
      <c r="Z1664" s="1" t="str">
        <f t="shared" si="75"/>
        <v>7302 4B</v>
      </c>
      <c r="AA1664" s="3">
        <f>IF(INDEX('CAMD Facility Data 2023'!$AA$2:$AE$10000,MATCH(Z1664,'CAMD Facility Data 2023'!$AE$2:$AE$10000,0),1)&gt;0,INDEX('CAMD Facility Data 2023'!$AA$2:$AE$10000,MATCH(Z1664,'CAMD Facility Data 2023'!$AE$2:$AE$10000,0),1),"")</f>
        <v>39331</v>
      </c>
      <c r="AB1664" s="5">
        <f>IF(INDEX('CAMD Facility Data 2023'!$AC$2:$AE$10000,MATCH(Z1664,'CAMD Facility Data 2023'!$AE$2:$AE$10000,0),1)&gt;0,INDEX('CAMD Facility Data 2023'!$AC$2:$AE$10000,MATCH(Z1664,'CAMD Facility Data 2023'!$AE$2:$AE$10000,0),1),"")</f>
        <v>2122</v>
      </c>
      <c r="AC1664" s="1" t="str">
        <f>IF(INDEX('CAMD Facility Data 2023'!$AE$2:$AG$10000,MATCH(Z1664,'CAMD Facility Data 2023'!$AE$2:$AE$10000,0),3)&gt;0,INDEX('CAMD Facility Data 2023'!$AE$2:$AG$10000,MATCH(Z1664,'CAMD Facility Data 2023'!$AE$2:$AE$10000,0),3),"")</f>
        <v>Y</v>
      </c>
      <c r="AD1664" s="20">
        <f t="shared" si="76"/>
        <v>8.8030402426359428E-2</v>
      </c>
      <c r="AE1664" s="25">
        <f t="shared" si="77"/>
        <v>0.61632550670514163</v>
      </c>
    </row>
    <row r="1665" spans="1:31" x14ac:dyDescent="0.2">
      <c r="A1665" s="1" t="s">
        <v>370</v>
      </c>
      <c r="B1665" s="1" t="s">
        <v>4041</v>
      </c>
      <c r="C1665" s="1">
        <v>7307</v>
      </c>
      <c r="D1665" s="1">
        <v>5</v>
      </c>
      <c r="F1665" s="1">
        <v>2023</v>
      </c>
      <c r="G1665" s="5">
        <v>3913</v>
      </c>
      <c r="H1665" s="5">
        <v>3899.54</v>
      </c>
      <c r="I1665" s="5">
        <v>156080.79</v>
      </c>
      <c r="K1665" s="5">
        <v>0.38300000000000001</v>
      </c>
      <c r="L1665" s="5">
        <v>1E-3</v>
      </c>
      <c r="M1665" s="5">
        <v>75920.373999999996</v>
      </c>
      <c r="N1665" s="6">
        <v>5.9299999999999999E-2</v>
      </c>
      <c r="O1665" s="5">
        <v>1.8069999999999999</v>
      </c>
      <c r="P1665" s="6">
        <v>3.2000000000000002E-3</v>
      </c>
      <c r="Q1665" s="5">
        <v>1277471.5959999999</v>
      </c>
      <c r="R1665" s="1" t="s">
        <v>44</v>
      </c>
      <c r="T1665" s="1" t="s">
        <v>71</v>
      </c>
      <c r="V1665" s="1" t="s">
        <v>454</v>
      </c>
      <c r="Y1665" s="1" t="s">
        <v>247</v>
      </c>
      <c r="Z1665" s="1" t="str">
        <f t="shared" si="75"/>
        <v>7307 5</v>
      </c>
      <c r="AA1665" s="3">
        <f>IF(INDEX('CAMD Facility Data 2023'!$AA$2:$AE$10000,MATCH(Z1665,'CAMD Facility Data 2023'!$AE$2:$AE$10000,0),1)&gt;0,INDEX('CAMD Facility Data 2023'!$AA$2:$AE$10000,MATCH(Z1665,'CAMD Facility Data 2023'!$AE$2:$AE$10000,0),1),"")</f>
        <v>37408</v>
      </c>
      <c r="AB1665" s="5">
        <f>IF(INDEX('CAMD Facility Data 2023'!$AC$2:$AE$10000,MATCH(Z1665,'CAMD Facility Data 2023'!$AE$2:$AE$10000,0),1)&gt;0,INDEX('CAMD Facility Data 2023'!$AC$2:$AE$10000,MATCH(Z1665,'CAMD Facility Data 2023'!$AE$2:$AE$10000,0),1),"")</f>
        <v>508.5</v>
      </c>
      <c r="AC1665" s="1" t="str">
        <f>IF(INDEX('CAMD Facility Data 2023'!$AE$2:$AG$10000,MATCH(Z1665,'CAMD Facility Data 2023'!$AE$2:$AE$10000,0),3)&gt;0,INDEX('CAMD Facility Data 2023'!$AE$2:$AG$10000,MATCH(Z1665,'CAMD Facility Data 2023'!$AE$2:$AE$10000,0),3),"")</f>
        <v/>
      </c>
      <c r="AD1665" s="20">
        <f t="shared" si="76"/>
        <v>2.3154675216597764E-2</v>
      </c>
      <c r="AE1665" s="25">
        <f t="shared" si="77"/>
        <v>0.28678483946426725</v>
      </c>
    </row>
    <row r="1666" spans="1:31" x14ac:dyDescent="0.2">
      <c r="A1666" s="1" t="s">
        <v>370</v>
      </c>
      <c r="B1666" s="1" t="s">
        <v>4041</v>
      </c>
      <c r="C1666" s="1">
        <v>7307</v>
      </c>
      <c r="D1666" s="1">
        <v>6</v>
      </c>
      <c r="F1666" s="1">
        <v>2023</v>
      </c>
      <c r="G1666" s="5">
        <v>5637</v>
      </c>
      <c r="H1666" s="5">
        <v>5623.43</v>
      </c>
      <c r="I1666" s="5">
        <v>215265.05</v>
      </c>
      <c r="K1666" s="5">
        <v>0.54800000000000004</v>
      </c>
      <c r="L1666" s="5">
        <v>1E-3</v>
      </c>
      <c r="M1666" s="5">
        <v>108498.584</v>
      </c>
      <c r="N1666" s="6">
        <v>5.9299999999999999E-2</v>
      </c>
      <c r="O1666" s="5">
        <v>1.7290000000000001</v>
      </c>
      <c r="P1666" s="6">
        <v>2.0999999999999999E-3</v>
      </c>
      <c r="Q1666" s="5">
        <v>1825697.24</v>
      </c>
      <c r="R1666" s="1" t="s">
        <v>44</v>
      </c>
      <c r="T1666" s="1" t="s">
        <v>93</v>
      </c>
      <c r="V1666" s="1" t="s">
        <v>454</v>
      </c>
      <c r="Y1666" s="1" t="s">
        <v>247</v>
      </c>
      <c r="Z1666" s="1" t="str">
        <f t="shared" si="75"/>
        <v>7307 6</v>
      </c>
      <c r="AA1666" s="3">
        <f>IF(INDEX('CAMD Facility Data 2023'!$AA$2:$AE$10000,MATCH(Z1666,'CAMD Facility Data 2023'!$AE$2:$AE$10000,0),1)&gt;0,INDEX('CAMD Facility Data 2023'!$AA$2:$AE$10000,MATCH(Z1666,'CAMD Facility Data 2023'!$AE$2:$AE$10000,0),1),"")</f>
        <v>40494</v>
      </c>
      <c r="AB1666" s="5">
        <f>IF(INDEX('CAMD Facility Data 2023'!$AC$2:$AE$10000,MATCH(Z1666,'CAMD Facility Data 2023'!$AE$2:$AE$10000,0),1)&gt;0,INDEX('CAMD Facility Data 2023'!$AC$2:$AE$10000,MATCH(Z1666,'CAMD Facility Data 2023'!$AE$2:$AE$10000,0),1),"")</f>
        <v>508</v>
      </c>
      <c r="AC1666" s="1" t="str">
        <f>IF(INDEX('CAMD Facility Data 2023'!$AE$2:$AG$10000,MATCH(Z1666,'CAMD Facility Data 2023'!$AE$2:$AE$10000,0),3)&gt;0,INDEX('CAMD Facility Data 2023'!$AE$2:$AG$10000,MATCH(Z1666,'CAMD Facility Data 2023'!$AE$2:$AE$10000,0),3),"")</f>
        <v/>
      </c>
      <c r="AD1666" s="20">
        <f t="shared" si="76"/>
        <v>1.6063917482192304E-2</v>
      </c>
      <c r="AE1666" s="25">
        <f t="shared" si="77"/>
        <v>0.41026166720598284</v>
      </c>
    </row>
    <row r="1667" spans="1:31" x14ac:dyDescent="0.2">
      <c r="A1667" s="1" t="s">
        <v>2089</v>
      </c>
      <c r="B1667" s="1" t="s">
        <v>4045</v>
      </c>
      <c r="C1667" s="1">
        <v>7314</v>
      </c>
      <c r="D1667" s="1">
        <v>1</v>
      </c>
      <c r="F1667" s="1">
        <v>2023</v>
      </c>
      <c r="G1667" s="5">
        <v>3765</v>
      </c>
      <c r="H1667" s="5">
        <v>3654.9</v>
      </c>
      <c r="I1667" s="5">
        <v>270792.31</v>
      </c>
      <c r="K1667" s="5">
        <v>1.0640000000000001</v>
      </c>
      <c r="L1667" s="5">
        <v>1E-3</v>
      </c>
      <c r="M1667" s="5">
        <v>207504.69399999999</v>
      </c>
      <c r="N1667" s="6">
        <v>5.9299999999999999E-2</v>
      </c>
      <c r="O1667" s="5">
        <v>67.492000000000004</v>
      </c>
      <c r="P1667" s="6">
        <v>4.65E-2</v>
      </c>
      <c r="Q1667" s="5">
        <v>3474834.8339999998</v>
      </c>
      <c r="R1667" s="1" t="s">
        <v>44</v>
      </c>
      <c r="S1667" s="1" t="s">
        <v>94</v>
      </c>
      <c r="T1667" s="1" t="s">
        <v>71</v>
      </c>
      <c r="V1667" s="1" t="s">
        <v>140</v>
      </c>
      <c r="Y1667" s="1" t="s">
        <v>1515</v>
      </c>
      <c r="Z1667" s="1" t="str">
        <f t="shared" ref="Z1667:Z1730" si="78">C1667&amp;" "&amp;D1667</f>
        <v>7314 1</v>
      </c>
      <c r="AA1667" s="3">
        <f>IF(INDEX('CAMD Facility Data 2023'!$AA$2:$AE$10000,MATCH(Z1667,'CAMD Facility Data 2023'!$AE$2:$AE$10000,0),1)&gt;0,INDEX('CAMD Facility Data 2023'!$AA$2:$AE$10000,MATCH(Z1667,'CAMD Facility Data 2023'!$AE$2:$AE$10000,0),1),"")</f>
        <v>34425</v>
      </c>
      <c r="AB1667" s="5">
        <f>IF(INDEX('CAMD Facility Data 2023'!$AC$2:$AE$10000,MATCH(Z1667,'CAMD Facility Data 2023'!$AE$2:$AE$10000,0),1)&gt;0,INDEX('CAMD Facility Data 2023'!$AC$2:$AE$10000,MATCH(Z1667,'CAMD Facility Data 2023'!$AE$2:$AE$10000,0),1),"")</f>
        <v>1325</v>
      </c>
      <c r="AC1667" s="1" t="str">
        <f>IF(INDEX('CAMD Facility Data 2023'!$AE$2:$AG$10000,MATCH(Z1667,'CAMD Facility Data 2023'!$AE$2:$AE$10000,0),3)&gt;0,INDEX('CAMD Facility Data 2023'!$AE$2:$AG$10000,MATCH(Z1667,'CAMD Facility Data 2023'!$AE$2:$AE$10000,0),3),"")</f>
        <v/>
      </c>
      <c r="AD1667" s="20">
        <f t="shared" ref="AD1667:AD1730" si="79">IF(ISNUMBER(O1667*2000/I1667),O1667*2000/I1667,"")</f>
        <v>0.49847796637947361</v>
      </c>
      <c r="AE1667" s="25">
        <f t="shared" ref="AE1667:AE1730" si="80">Q1667/(AB1667*8760)</f>
        <v>0.29937407030240371</v>
      </c>
    </row>
    <row r="1668" spans="1:31" x14ac:dyDescent="0.2">
      <c r="A1668" s="1" t="s">
        <v>370</v>
      </c>
      <c r="B1668" s="1" t="s">
        <v>4048</v>
      </c>
      <c r="C1668" s="1">
        <v>7315</v>
      </c>
      <c r="D1668" s="1">
        <v>1</v>
      </c>
      <c r="F1668" s="1">
        <v>2023</v>
      </c>
      <c r="G1668" s="5">
        <v>2100</v>
      </c>
      <c r="H1668" s="5">
        <v>1948.25</v>
      </c>
      <c r="I1668" s="5">
        <v>66121.91</v>
      </c>
      <c r="K1668" s="5">
        <v>0.187</v>
      </c>
      <c r="L1668" s="5">
        <v>1E-3</v>
      </c>
      <c r="M1668" s="5">
        <v>37041.427000000003</v>
      </c>
      <c r="N1668" s="6">
        <v>5.9299999999999999E-2</v>
      </c>
      <c r="O1668" s="5">
        <v>4.1230000000000002</v>
      </c>
      <c r="P1668" s="6">
        <v>2.3699999999999999E-2</v>
      </c>
      <c r="Q1668" s="5">
        <v>623311.29599999997</v>
      </c>
      <c r="R1668" s="1" t="s">
        <v>44</v>
      </c>
      <c r="T1668" s="1" t="s">
        <v>93</v>
      </c>
      <c r="V1668" s="1" t="s">
        <v>4050</v>
      </c>
      <c r="Y1668" s="1" t="s">
        <v>247</v>
      </c>
      <c r="Z1668" s="1" t="str">
        <f t="shared" si="78"/>
        <v>7315 1</v>
      </c>
      <c r="AA1668" s="3">
        <f>IF(INDEX('CAMD Facility Data 2023'!$AA$2:$AE$10000,MATCH(Z1668,'CAMD Facility Data 2023'!$AE$2:$AE$10000,0),1)&gt;0,INDEX('CAMD Facility Data 2023'!$AA$2:$AE$10000,MATCH(Z1668,'CAMD Facility Data 2023'!$AE$2:$AE$10000,0),1),"")</f>
        <v>35163</v>
      </c>
      <c r="AB1668" s="5">
        <f>IF(INDEX('CAMD Facility Data 2023'!$AC$2:$AE$10000,MATCH(Z1668,'CAMD Facility Data 2023'!$AE$2:$AE$10000,0),1)&gt;0,INDEX('CAMD Facility Data 2023'!$AC$2:$AE$10000,MATCH(Z1668,'CAMD Facility Data 2023'!$AE$2:$AE$10000,0),1),"")</f>
        <v>459</v>
      </c>
      <c r="AC1668" s="1" t="str">
        <f>IF(INDEX('CAMD Facility Data 2023'!$AE$2:$AG$10000,MATCH(Z1668,'CAMD Facility Data 2023'!$AE$2:$AE$10000,0),3)&gt;0,INDEX('CAMD Facility Data 2023'!$AE$2:$AG$10000,MATCH(Z1668,'CAMD Facility Data 2023'!$AE$2:$AE$10000,0),3),"")</f>
        <v>Y</v>
      </c>
      <c r="AD1668" s="20">
        <f t="shared" si="79"/>
        <v>0.12470904122400578</v>
      </c>
      <c r="AE1668" s="25">
        <f t="shared" si="80"/>
        <v>0.15502016891992718</v>
      </c>
    </row>
    <row r="1669" spans="1:31" x14ac:dyDescent="0.2">
      <c r="A1669" s="1" t="s">
        <v>370</v>
      </c>
      <c r="B1669" s="1" t="s">
        <v>4048</v>
      </c>
      <c r="C1669" s="1">
        <v>7315</v>
      </c>
      <c r="D1669" s="1">
        <v>2</v>
      </c>
      <c r="F1669" s="1">
        <v>2023</v>
      </c>
      <c r="G1669" s="5">
        <v>1486</v>
      </c>
      <c r="H1669" s="5">
        <v>1249.1400000000001</v>
      </c>
      <c r="I1669" s="5">
        <v>48195.76</v>
      </c>
      <c r="K1669" s="5">
        <v>0.14499999999999999</v>
      </c>
      <c r="L1669" s="5">
        <v>1E-3</v>
      </c>
      <c r="M1669" s="5">
        <v>28650.077000000001</v>
      </c>
      <c r="N1669" s="6">
        <v>5.9200000000000003E-2</v>
      </c>
      <c r="O1669" s="5">
        <v>2.2690000000000001</v>
      </c>
      <c r="P1669" s="6">
        <v>1.54E-2</v>
      </c>
      <c r="Q1669" s="5">
        <v>482090.08100000001</v>
      </c>
      <c r="R1669" s="1" t="s">
        <v>44</v>
      </c>
      <c r="T1669" s="1" t="s">
        <v>93</v>
      </c>
      <c r="V1669" s="1" t="s">
        <v>176</v>
      </c>
      <c r="Y1669" s="1" t="s">
        <v>247</v>
      </c>
      <c r="Z1669" s="1" t="str">
        <f t="shared" si="78"/>
        <v>7315 2</v>
      </c>
      <c r="AA1669" s="3">
        <f>IF(INDEX('CAMD Facility Data 2023'!$AA$2:$AE$10000,MATCH(Z1669,'CAMD Facility Data 2023'!$AE$2:$AE$10000,0),1)&gt;0,INDEX('CAMD Facility Data 2023'!$AA$2:$AE$10000,MATCH(Z1669,'CAMD Facility Data 2023'!$AE$2:$AE$10000,0),1),"")</f>
        <v>41040</v>
      </c>
      <c r="AB1669" s="5">
        <f>IF(INDEX('CAMD Facility Data 2023'!$AC$2:$AE$10000,MATCH(Z1669,'CAMD Facility Data 2023'!$AE$2:$AE$10000,0),1)&gt;0,INDEX('CAMD Facility Data 2023'!$AC$2:$AE$10000,MATCH(Z1669,'CAMD Facility Data 2023'!$AE$2:$AE$10000,0),1),"")</f>
        <v>501.1</v>
      </c>
      <c r="AC1669" s="1" t="str">
        <f>IF(INDEX('CAMD Facility Data 2023'!$AE$2:$AG$10000,MATCH(Z1669,'CAMD Facility Data 2023'!$AE$2:$AE$10000,0),3)&gt;0,INDEX('CAMD Facility Data 2023'!$AE$2:$AG$10000,MATCH(Z1669,'CAMD Facility Data 2023'!$AE$2:$AE$10000,0),3),"")</f>
        <v>Y</v>
      </c>
      <c r="AD1669" s="20">
        <f t="shared" si="79"/>
        <v>9.4157660341905591E-2</v>
      </c>
      <c r="AE1669" s="25">
        <f t="shared" si="80"/>
        <v>0.10982461438716103</v>
      </c>
    </row>
    <row r="1670" spans="1:31" x14ac:dyDescent="0.2">
      <c r="A1670" s="1" t="s">
        <v>370</v>
      </c>
      <c r="B1670" s="1" t="s">
        <v>4048</v>
      </c>
      <c r="C1670" s="1">
        <v>7315</v>
      </c>
      <c r="D1670" s="1">
        <v>3</v>
      </c>
      <c r="F1670" s="1">
        <v>2023</v>
      </c>
      <c r="G1670" s="5">
        <v>1954</v>
      </c>
      <c r="H1670" s="5">
        <v>1622.11</v>
      </c>
      <c r="I1670" s="5">
        <v>59667.1</v>
      </c>
      <c r="K1670" s="5">
        <v>0.18</v>
      </c>
      <c r="L1670" s="5">
        <v>1E-3</v>
      </c>
      <c r="M1670" s="5">
        <v>35693.99</v>
      </c>
      <c r="N1670" s="6">
        <v>5.9200000000000003E-2</v>
      </c>
      <c r="O1670" s="5">
        <v>2.7530000000000001</v>
      </c>
      <c r="P1670" s="6">
        <v>1.55E-2</v>
      </c>
      <c r="Q1670" s="5">
        <v>600630.348</v>
      </c>
      <c r="R1670" s="1" t="s">
        <v>44</v>
      </c>
      <c r="T1670" s="1" t="s">
        <v>93</v>
      </c>
      <c r="V1670" s="1" t="s">
        <v>176</v>
      </c>
      <c r="Y1670" s="1" t="s">
        <v>247</v>
      </c>
      <c r="Z1670" s="1" t="str">
        <f t="shared" si="78"/>
        <v>7315 3</v>
      </c>
      <c r="AA1670" s="3">
        <f>IF(INDEX('CAMD Facility Data 2023'!$AA$2:$AE$10000,MATCH(Z1670,'CAMD Facility Data 2023'!$AE$2:$AE$10000,0),1)&gt;0,INDEX('CAMD Facility Data 2023'!$AA$2:$AE$10000,MATCH(Z1670,'CAMD Facility Data 2023'!$AE$2:$AE$10000,0),1),"")</f>
        <v>41032</v>
      </c>
      <c r="AB1670" s="5">
        <f>IF(INDEX('CAMD Facility Data 2023'!$AC$2:$AE$10000,MATCH(Z1670,'CAMD Facility Data 2023'!$AE$2:$AE$10000,0),1)&gt;0,INDEX('CAMD Facility Data 2023'!$AC$2:$AE$10000,MATCH(Z1670,'CAMD Facility Data 2023'!$AE$2:$AE$10000,0),1),"")</f>
        <v>501.1</v>
      </c>
      <c r="AC1670" s="1" t="str">
        <f>IF(INDEX('CAMD Facility Data 2023'!$AE$2:$AG$10000,MATCH(Z1670,'CAMD Facility Data 2023'!$AE$2:$AE$10000,0),3)&gt;0,INDEX('CAMD Facility Data 2023'!$AE$2:$AG$10000,MATCH(Z1670,'CAMD Facility Data 2023'!$AE$2:$AE$10000,0),3),"")</f>
        <v>Y</v>
      </c>
      <c r="AD1670" s="20">
        <f t="shared" si="79"/>
        <v>9.2278659428730411E-2</v>
      </c>
      <c r="AE1670" s="25">
        <f t="shared" si="80"/>
        <v>0.13682919221548209</v>
      </c>
    </row>
    <row r="1671" spans="1:31" x14ac:dyDescent="0.2">
      <c r="A1671" s="1" t="s">
        <v>370</v>
      </c>
      <c r="B1671" s="1" t="s">
        <v>4048</v>
      </c>
      <c r="C1671" s="1">
        <v>7315</v>
      </c>
      <c r="D1671" s="1">
        <v>4</v>
      </c>
      <c r="F1671" s="1">
        <v>2023</v>
      </c>
      <c r="G1671" s="5">
        <v>852</v>
      </c>
      <c r="H1671" s="5">
        <v>636.76</v>
      </c>
      <c r="I1671" s="5">
        <v>26192.639999999999</v>
      </c>
      <c r="K1671" s="5">
        <v>7.8E-2</v>
      </c>
      <c r="L1671" s="5">
        <v>1E-3</v>
      </c>
      <c r="M1671" s="5">
        <v>15413.151</v>
      </c>
      <c r="N1671" s="6">
        <v>5.9200000000000003E-2</v>
      </c>
      <c r="O1671" s="5">
        <v>1.4239999999999999</v>
      </c>
      <c r="P1671" s="6">
        <v>2.2100000000000002E-2</v>
      </c>
      <c r="Q1671" s="5">
        <v>259366.995</v>
      </c>
      <c r="R1671" s="1" t="s">
        <v>44</v>
      </c>
      <c r="T1671" s="1" t="s">
        <v>93</v>
      </c>
      <c r="V1671" s="1" t="s">
        <v>176</v>
      </c>
      <c r="Y1671" s="1" t="s">
        <v>247</v>
      </c>
      <c r="Z1671" s="1" t="str">
        <f t="shared" si="78"/>
        <v>7315 4</v>
      </c>
      <c r="AA1671" s="3">
        <f>IF(INDEX('CAMD Facility Data 2023'!$AA$2:$AE$10000,MATCH(Z1671,'CAMD Facility Data 2023'!$AE$2:$AE$10000,0),1)&gt;0,INDEX('CAMD Facility Data 2023'!$AA$2:$AE$10000,MATCH(Z1671,'CAMD Facility Data 2023'!$AE$2:$AE$10000,0),1),"")</f>
        <v>41028</v>
      </c>
      <c r="AB1671" s="5">
        <f>IF(INDEX('CAMD Facility Data 2023'!$AC$2:$AE$10000,MATCH(Z1671,'CAMD Facility Data 2023'!$AE$2:$AE$10000,0),1)&gt;0,INDEX('CAMD Facility Data 2023'!$AC$2:$AE$10000,MATCH(Z1671,'CAMD Facility Data 2023'!$AE$2:$AE$10000,0),1),"")</f>
        <v>501.1</v>
      </c>
      <c r="AC1671" s="1" t="str">
        <f>IF(INDEX('CAMD Facility Data 2023'!$AE$2:$AG$10000,MATCH(Z1671,'CAMD Facility Data 2023'!$AE$2:$AE$10000,0),3)&gt;0,INDEX('CAMD Facility Data 2023'!$AE$2:$AG$10000,MATCH(Z1671,'CAMD Facility Data 2023'!$AE$2:$AE$10000,0),3),"")</f>
        <v>Y</v>
      </c>
      <c r="AD1671" s="20">
        <f t="shared" si="79"/>
        <v>0.10873283487269707</v>
      </c>
      <c r="AE1671" s="25">
        <f t="shared" si="80"/>
        <v>5.9086219221821577E-2</v>
      </c>
    </row>
    <row r="1672" spans="1:31" x14ac:dyDescent="0.2">
      <c r="A1672" s="1" t="s">
        <v>660</v>
      </c>
      <c r="B1672" s="1" t="s">
        <v>4055</v>
      </c>
      <c r="C1672" s="1">
        <v>7318</v>
      </c>
      <c r="D1672" s="1" t="s">
        <v>4056</v>
      </c>
      <c r="F1672" s="1">
        <v>2023</v>
      </c>
      <c r="G1672" s="5">
        <v>48</v>
      </c>
      <c r="H1672" s="5">
        <v>30.95</v>
      </c>
      <c r="I1672" s="5">
        <v>657.43</v>
      </c>
      <c r="K1672" s="5">
        <v>4.0000000000000001E-3</v>
      </c>
      <c r="L1672" s="5">
        <v>1.5E-3</v>
      </c>
      <c r="M1672" s="5">
        <v>623.82100000000003</v>
      </c>
      <c r="N1672" s="6">
        <v>5.96E-2</v>
      </c>
      <c r="O1672" s="5">
        <v>0.67300000000000004</v>
      </c>
      <c r="P1672" s="6">
        <v>0.13450000000000001</v>
      </c>
      <c r="Q1672" s="5">
        <v>10483.853999999999</v>
      </c>
      <c r="R1672" s="1" t="s">
        <v>44</v>
      </c>
      <c r="S1672" s="1" t="s">
        <v>94</v>
      </c>
      <c r="T1672" s="1" t="s">
        <v>93</v>
      </c>
      <c r="V1672" s="1" t="s">
        <v>95</v>
      </c>
      <c r="Y1672" s="1" t="s">
        <v>579</v>
      </c>
      <c r="Z1672" s="1" t="str">
        <f t="shared" si="78"/>
        <v>7318 **11</v>
      </c>
      <c r="AA1672" s="3">
        <f>IF(INDEX('CAMD Facility Data 2023'!$AA$2:$AE$10000,MATCH(Z1672,'CAMD Facility Data 2023'!$AE$2:$AE$10000,0),1)&gt;0,INDEX('CAMD Facility Data 2023'!$AA$2:$AE$10000,MATCH(Z1672,'CAMD Facility Data 2023'!$AE$2:$AE$10000,0),1),"")</f>
        <v>33390</v>
      </c>
      <c r="AB1672" s="5">
        <f>IF(INDEX('CAMD Facility Data 2023'!$AC$2:$AE$10000,MATCH(Z1672,'CAMD Facility Data 2023'!$AE$2:$AE$10000,0),1)&gt;0,INDEX('CAMD Facility Data 2023'!$AC$2:$AE$10000,MATCH(Z1672,'CAMD Facility Data 2023'!$AE$2:$AE$10000,0),1),"")</f>
        <v>572</v>
      </c>
      <c r="AC1672" s="1" t="str">
        <f>IF(INDEX('CAMD Facility Data 2023'!$AE$2:$AG$10000,MATCH(Z1672,'CAMD Facility Data 2023'!$AE$2:$AE$10000,0),3)&gt;0,INDEX('CAMD Facility Data 2023'!$AE$2:$AG$10000,MATCH(Z1672,'CAMD Facility Data 2023'!$AE$2:$AE$10000,0),3),"")</f>
        <v/>
      </c>
      <c r="AD1672" s="20">
        <f t="shared" si="79"/>
        <v>2.0473662595257291</v>
      </c>
      <c r="AE1672" s="25">
        <f t="shared" si="80"/>
        <v>2.0922849410863107E-3</v>
      </c>
    </row>
    <row r="1673" spans="1:31" x14ac:dyDescent="0.2">
      <c r="A1673" s="1" t="s">
        <v>383</v>
      </c>
      <c r="B1673" s="1" t="s">
        <v>4061</v>
      </c>
      <c r="C1673" s="1">
        <v>7325</v>
      </c>
      <c r="D1673" s="1" t="s">
        <v>4062</v>
      </c>
      <c r="E1673" s="1" t="s">
        <v>1156</v>
      </c>
      <c r="F1673" s="1">
        <v>2023</v>
      </c>
      <c r="G1673" s="5">
        <v>7382</v>
      </c>
      <c r="H1673" s="5">
        <v>7368.91</v>
      </c>
      <c r="I1673" s="5">
        <v>509449.72</v>
      </c>
      <c r="K1673" s="5">
        <v>2.12</v>
      </c>
      <c r="L1673" s="5">
        <v>1E-3</v>
      </c>
      <c r="M1673" s="5">
        <v>420003.272</v>
      </c>
      <c r="N1673" s="6">
        <v>5.8999999999999997E-2</v>
      </c>
      <c r="O1673" s="5">
        <v>70.403999999999996</v>
      </c>
      <c r="P1673" s="6">
        <v>1.9599999999999999E-2</v>
      </c>
      <c r="Q1673" s="5">
        <v>7066633.2340000002</v>
      </c>
      <c r="R1673" s="1" t="s">
        <v>44</v>
      </c>
      <c r="T1673" s="1" t="s">
        <v>93</v>
      </c>
      <c r="V1673" s="1" t="s">
        <v>183</v>
      </c>
      <c r="Y1673" s="1" t="s">
        <v>346</v>
      </c>
      <c r="Z1673" s="1" t="str">
        <f t="shared" si="78"/>
        <v>7325 SJS1</v>
      </c>
      <c r="AA1673" s="3">
        <f>IF(INDEX('CAMD Facility Data 2023'!$AA$2:$AE$10000,MATCH(Z1673,'CAMD Facility Data 2023'!$AE$2:$AE$10000,0),1)&gt;0,INDEX('CAMD Facility Data 2023'!$AA$2:$AE$10000,MATCH(Z1673,'CAMD Facility Data 2023'!$AE$2:$AE$10000,0),1),"")</f>
        <v>34810</v>
      </c>
      <c r="AB1673" s="5">
        <f>IF(INDEX('CAMD Facility Data 2023'!$AC$2:$AE$10000,MATCH(Z1673,'CAMD Facility Data 2023'!$AE$2:$AE$10000,0),1)&gt;0,INDEX('CAMD Facility Data 2023'!$AC$2:$AE$10000,MATCH(Z1673,'CAMD Facility Data 2023'!$AE$2:$AE$10000,0),1),"")</f>
        <v>2000</v>
      </c>
      <c r="AC1673" s="1" t="str">
        <f>IF(INDEX('CAMD Facility Data 2023'!$AE$2:$AG$10000,MATCH(Z1673,'CAMD Facility Data 2023'!$AE$2:$AE$10000,0),3)&gt;0,INDEX('CAMD Facility Data 2023'!$AE$2:$AG$10000,MATCH(Z1673,'CAMD Facility Data 2023'!$AE$2:$AE$10000,0),3),"")</f>
        <v/>
      </c>
      <c r="AD1673" s="20">
        <f t="shared" si="79"/>
        <v>0.27639233956198861</v>
      </c>
      <c r="AE1673" s="25">
        <f t="shared" si="80"/>
        <v>0.40334664577625573</v>
      </c>
    </row>
    <row r="1674" spans="1:31" x14ac:dyDescent="0.2">
      <c r="A1674" s="1" t="s">
        <v>383</v>
      </c>
      <c r="B1674" s="1" t="s">
        <v>4061</v>
      </c>
      <c r="C1674" s="1">
        <v>7325</v>
      </c>
      <c r="D1674" s="1" t="s">
        <v>4066</v>
      </c>
      <c r="E1674" s="1" t="s">
        <v>1156</v>
      </c>
      <c r="F1674" s="1">
        <v>2023</v>
      </c>
      <c r="G1674" s="5">
        <v>3085</v>
      </c>
      <c r="H1674" s="5">
        <v>3071.34</v>
      </c>
      <c r="I1674" s="5">
        <v>209811.5</v>
      </c>
      <c r="K1674" s="5">
        <v>0.83499999999999996</v>
      </c>
      <c r="L1674" s="5">
        <v>1E-3</v>
      </c>
      <c r="M1674" s="5">
        <v>165440.67000000001</v>
      </c>
      <c r="N1674" s="6">
        <v>5.8999999999999997E-2</v>
      </c>
      <c r="O1674" s="5">
        <v>27.529</v>
      </c>
      <c r="P1674" s="6">
        <v>1.9900000000000001E-2</v>
      </c>
      <c r="Q1674" s="5">
        <v>2783594.9190000002</v>
      </c>
      <c r="R1674" s="1" t="s">
        <v>44</v>
      </c>
      <c r="T1674" s="1" t="s">
        <v>93</v>
      </c>
      <c r="V1674" s="1" t="s">
        <v>183</v>
      </c>
      <c r="Y1674" s="1" t="s">
        <v>346</v>
      </c>
      <c r="Z1674" s="1" t="str">
        <f t="shared" si="78"/>
        <v>7325 SJS2</v>
      </c>
      <c r="AA1674" s="3">
        <f>IF(INDEX('CAMD Facility Data 2023'!$AA$2:$AE$10000,MATCH(Z1674,'CAMD Facility Data 2023'!$AE$2:$AE$10000,0),1)&gt;0,INDEX('CAMD Facility Data 2023'!$AA$2:$AE$10000,MATCH(Z1674,'CAMD Facility Data 2023'!$AE$2:$AE$10000,0),1),"")</f>
        <v>34810</v>
      </c>
      <c r="AB1674" s="5">
        <f>IF(INDEX('CAMD Facility Data 2023'!$AC$2:$AE$10000,MATCH(Z1674,'CAMD Facility Data 2023'!$AE$2:$AE$10000,0),1)&gt;0,INDEX('CAMD Facility Data 2023'!$AC$2:$AE$10000,MATCH(Z1674,'CAMD Facility Data 2023'!$AE$2:$AE$10000,0),1),"")</f>
        <v>2000</v>
      </c>
      <c r="AC1674" s="1" t="str">
        <f>IF(INDEX('CAMD Facility Data 2023'!$AE$2:$AG$10000,MATCH(Z1674,'CAMD Facility Data 2023'!$AE$2:$AE$10000,0),3)&gt;0,INDEX('CAMD Facility Data 2023'!$AE$2:$AG$10000,MATCH(Z1674,'CAMD Facility Data 2023'!$AE$2:$AE$10000,0),3),"")</f>
        <v/>
      </c>
      <c r="AD1674" s="20">
        <f t="shared" si="79"/>
        <v>0.26241650243194486</v>
      </c>
      <c r="AE1674" s="25">
        <f t="shared" si="80"/>
        <v>0.15888098852739727</v>
      </c>
    </row>
    <row r="1675" spans="1:31" x14ac:dyDescent="0.2">
      <c r="A1675" s="1" t="s">
        <v>1071</v>
      </c>
      <c r="B1675" s="1" t="s">
        <v>4068</v>
      </c>
      <c r="C1675" s="1">
        <v>7335</v>
      </c>
      <c r="D1675" s="1" t="s">
        <v>4069</v>
      </c>
      <c r="F1675" s="1">
        <v>2023</v>
      </c>
      <c r="G1675" s="5">
        <v>272</v>
      </c>
      <c r="H1675" s="5">
        <v>232.26</v>
      </c>
      <c r="I1675" s="5">
        <v>7823.09</v>
      </c>
      <c r="K1675" s="5">
        <v>0.03</v>
      </c>
      <c r="L1675" s="5">
        <v>1E-3</v>
      </c>
      <c r="M1675" s="5">
        <v>5784.5789999999997</v>
      </c>
      <c r="N1675" s="6">
        <v>5.9299999999999999E-2</v>
      </c>
      <c r="O1675" s="5">
        <v>6.601</v>
      </c>
      <c r="P1675" s="6">
        <v>0.1366</v>
      </c>
      <c r="Q1675" s="5">
        <v>97297.467000000004</v>
      </c>
      <c r="R1675" s="1" t="s">
        <v>44</v>
      </c>
      <c r="S1675" s="1" t="s">
        <v>94</v>
      </c>
      <c r="T1675" s="1" t="s">
        <v>93</v>
      </c>
      <c r="V1675" s="1" t="s">
        <v>95</v>
      </c>
      <c r="Y1675" s="1" t="s">
        <v>461</v>
      </c>
      <c r="Z1675" s="1" t="str">
        <f t="shared" si="78"/>
        <v>7335 RCT1</v>
      </c>
      <c r="AA1675" s="3">
        <f>IF(INDEX('CAMD Facility Data 2023'!$AA$2:$AE$10000,MATCH(Z1675,'CAMD Facility Data 2023'!$AE$2:$AE$10000,0),1)&gt;0,INDEX('CAMD Facility Data 2023'!$AA$2:$AE$10000,MATCH(Z1675,'CAMD Facility Data 2023'!$AE$2:$AE$10000,0),1),"")</f>
        <v>33725</v>
      </c>
      <c r="AB1675" s="5">
        <f>IF(INDEX('CAMD Facility Data 2023'!$AC$2:$AE$10000,MATCH(Z1675,'CAMD Facility Data 2023'!$AE$2:$AE$10000,0),1)&gt;0,INDEX('CAMD Facility Data 2023'!$AC$2:$AE$10000,MATCH(Z1675,'CAMD Facility Data 2023'!$AE$2:$AE$10000,0),1),"")</f>
        <v>560</v>
      </c>
      <c r="AC1675" s="1" t="str">
        <f>IF(INDEX('CAMD Facility Data 2023'!$AE$2:$AG$10000,MATCH(Z1675,'CAMD Facility Data 2023'!$AE$2:$AE$10000,0),3)&gt;0,INDEX('CAMD Facility Data 2023'!$AE$2:$AG$10000,MATCH(Z1675,'CAMD Facility Data 2023'!$AE$2:$AE$10000,0),3),"")</f>
        <v/>
      </c>
      <c r="AD1675" s="20">
        <f t="shared" si="79"/>
        <v>1.6875684671913527</v>
      </c>
      <c r="AE1675" s="25">
        <f t="shared" si="80"/>
        <v>1.9833958537181996E-2</v>
      </c>
    </row>
    <row r="1676" spans="1:31" x14ac:dyDescent="0.2">
      <c r="A1676" s="1" t="s">
        <v>1071</v>
      </c>
      <c r="B1676" s="1" t="s">
        <v>4068</v>
      </c>
      <c r="C1676" s="1">
        <v>7335</v>
      </c>
      <c r="D1676" s="1" t="s">
        <v>4073</v>
      </c>
      <c r="F1676" s="1">
        <v>2023</v>
      </c>
      <c r="G1676" s="5">
        <v>217</v>
      </c>
      <c r="H1676" s="5">
        <v>180.91</v>
      </c>
      <c r="I1676" s="5">
        <v>6026.37</v>
      </c>
      <c r="K1676" s="5">
        <v>2.9000000000000001E-2</v>
      </c>
      <c r="L1676" s="5">
        <v>1.1999999999999999E-3</v>
      </c>
      <c r="M1676" s="5">
        <v>4497.8</v>
      </c>
      <c r="N1676" s="6">
        <v>5.96E-2</v>
      </c>
      <c r="O1676" s="5">
        <v>4.6890000000000001</v>
      </c>
      <c r="P1676" s="6">
        <v>0.1255</v>
      </c>
      <c r="Q1676" s="5">
        <v>75256.600000000006</v>
      </c>
      <c r="R1676" s="1" t="s">
        <v>44</v>
      </c>
      <c r="S1676" s="1" t="s">
        <v>94</v>
      </c>
      <c r="T1676" s="1" t="s">
        <v>93</v>
      </c>
      <c r="V1676" s="1" t="s">
        <v>95</v>
      </c>
      <c r="Y1676" s="1" t="s">
        <v>461</v>
      </c>
      <c r="Z1676" s="1" t="str">
        <f t="shared" si="78"/>
        <v>7335 RCT2</v>
      </c>
      <c r="AA1676" s="3">
        <f>IF(INDEX('CAMD Facility Data 2023'!$AA$2:$AE$10000,MATCH(Z1676,'CAMD Facility Data 2023'!$AE$2:$AE$10000,0),1)&gt;0,INDEX('CAMD Facility Data 2023'!$AA$2:$AE$10000,MATCH(Z1676,'CAMD Facility Data 2023'!$AE$2:$AE$10000,0),1),"")</f>
        <v>33725</v>
      </c>
      <c r="AB1676" s="5">
        <f>IF(INDEX('CAMD Facility Data 2023'!$AC$2:$AE$10000,MATCH(Z1676,'CAMD Facility Data 2023'!$AE$2:$AE$10000,0),1)&gt;0,INDEX('CAMD Facility Data 2023'!$AC$2:$AE$10000,MATCH(Z1676,'CAMD Facility Data 2023'!$AE$2:$AE$10000,0),1),"")</f>
        <v>560</v>
      </c>
      <c r="AC1676" s="1" t="str">
        <f>IF(INDEX('CAMD Facility Data 2023'!$AE$2:$AG$10000,MATCH(Z1676,'CAMD Facility Data 2023'!$AE$2:$AE$10000,0),3)&gt;0,INDEX('CAMD Facility Data 2023'!$AE$2:$AG$10000,MATCH(Z1676,'CAMD Facility Data 2023'!$AE$2:$AE$10000,0),3),"")</f>
        <v/>
      </c>
      <c r="AD1676" s="20">
        <f t="shared" si="79"/>
        <v>1.5561606738384799</v>
      </c>
      <c r="AE1676" s="25">
        <f t="shared" si="80"/>
        <v>1.5340957273320289E-2</v>
      </c>
    </row>
    <row r="1677" spans="1:31" x14ac:dyDescent="0.2">
      <c r="A1677" s="1" t="s">
        <v>1071</v>
      </c>
      <c r="B1677" s="1" t="s">
        <v>4075</v>
      </c>
      <c r="C1677" s="1">
        <v>7336</v>
      </c>
      <c r="D1677" s="1" t="s">
        <v>4076</v>
      </c>
      <c r="F1677" s="1">
        <v>2023</v>
      </c>
      <c r="G1677" s="5">
        <v>300</v>
      </c>
      <c r="H1677" s="5">
        <v>253.76</v>
      </c>
      <c r="I1677" s="5">
        <v>8258.61</v>
      </c>
      <c r="K1677" s="5">
        <v>3.2000000000000001E-2</v>
      </c>
      <c r="L1677" s="5">
        <v>1E-3</v>
      </c>
      <c r="M1677" s="5">
        <v>6240.55</v>
      </c>
      <c r="N1677" s="6">
        <v>5.8400000000000001E-2</v>
      </c>
      <c r="O1677" s="5">
        <v>6.806</v>
      </c>
      <c r="P1677" s="6">
        <v>0.13059999999999999</v>
      </c>
      <c r="Q1677" s="5">
        <v>105001.69</v>
      </c>
      <c r="R1677" s="1" t="s">
        <v>44</v>
      </c>
      <c r="S1677" s="1" t="s">
        <v>94</v>
      </c>
      <c r="T1677" s="1" t="s">
        <v>93</v>
      </c>
      <c r="V1677" s="1" t="s">
        <v>95</v>
      </c>
      <c r="Y1677" s="1" t="s">
        <v>461</v>
      </c>
      <c r="Z1677" s="1" t="str">
        <f t="shared" si="78"/>
        <v>7336 ACT1</v>
      </c>
      <c r="AA1677" s="3">
        <f>IF(INDEX('CAMD Facility Data 2023'!$AA$2:$AE$10000,MATCH(Z1677,'CAMD Facility Data 2023'!$AE$2:$AE$10000,0),1)&gt;0,INDEX('CAMD Facility Data 2023'!$AA$2:$AE$10000,MATCH(Z1677,'CAMD Facility Data 2023'!$AE$2:$AE$10000,0),1),"")</f>
        <v>33756</v>
      </c>
      <c r="AB1677" s="5">
        <f>IF(INDEX('CAMD Facility Data 2023'!$AC$2:$AE$10000,MATCH(Z1677,'CAMD Facility Data 2023'!$AE$2:$AE$10000,0),1)&gt;0,INDEX('CAMD Facility Data 2023'!$AC$2:$AE$10000,MATCH(Z1677,'CAMD Facility Data 2023'!$AE$2:$AE$10000,0),1),"")</f>
        <v>560</v>
      </c>
      <c r="AC1677" s="1" t="str">
        <f>IF(INDEX('CAMD Facility Data 2023'!$AE$2:$AG$10000,MATCH(Z1677,'CAMD Facility Data 2023'!$AE$2:$AE$10000,0),3)&gt;0,INDEX('CAMD Facility Data 2023'!$AE$2:$AG$10000,MATCH(Z1677,'CAMD Facility Data 2023'!$AE$2:$AE$10000,0),3),"")</f>
        <v/>
      </c>
      <c r="AD1677" s="20">
        <f t="shared" si="79"/>
        <v>1.6482192523923516</v>
      </c>
      <c r="AE1677" s="25">
        <f t="shared" si="80"/>
        <v>2.140445409328115E-2</v>
      </c>
    </row>
    <row r="1678" spans="1:31" x14ac:dyDescent="0.2">
      <c r="A1678" s="1" t="s">
        <v>1071</v>
      </c>
      <c r="B1678" s="1" t="s">
        <v>4075</v>
      </c>
      <c r="C1678" s="1">
        <v>7336</v>
      </c>
      <c r="D1678" s="1" t="s">
        <v>4079</v>
      </c>
      <c r="F1678" s="1">
        <v>2023</v>
      </c>
      <c r="G1678" s="5">
        <v>285</v>
      </c>
      <c r="H1678" s="5">
        <v>245.19</v>
      </c>
      <c r="I1678" s="5">
        <v>8254.81</v>
      </c>
      <c r="K1678" s="5">
        <v>3.1E-2</v>
      </c>
      <c r="L1678" s="5">
        <v>1E-3</v>
      </c>
      <c r="M1678" s="5">
        <v>6105.8739999999998</v>
      </c>
      <c r="N1678" s="6">
        <v>5.9200000000000003E-2</v>
      </c>
      <c r="O1678" s="5">
        <v>7.5359999999999996</v>
      </c>
      <c r="P1678" s="6">
        <v>0.14699999999999999</v>
      </c>
      <c r="Q1678" s="5">
        <v>102737.943</v>
      </c>
      <c r="R1678" s="1" t="s">
        <v>44</v>
      </c>
      <c r="S1678" s="1" t="s">
        <v>94</v>
      </c>
      <c r="T1678" s="1" t="s">
        <v>93</v>
      </c>
      <c r="V1678" s="1" t="s">
        <v>95</v>
      </c>
      <c r="Y1678" s="1" t="s">
        <v>461</v>
      </c>
      <c r="Z1678" s="1" t="str">
        <f t="shared" si="78"/>
        <v>7336 ACT2</v>
      </c>
      <c r="AA1678" s="3">
        <f>IF(INDEX('CAMD Facility Data 2023'!$AA$2:$AE$10000,MATCH(Z1678,'CAMD Facility Data 2023'!$AE$2:$AE$10000,0),1)&gt;0,INDEX('CAMD Facility Data 2023'!$AA$2:$AE$10000,MATCH(Z1678,'CAMD Facility Data 2023'!$AE$2:$AE$10000,0),1),"")</f>
        <v>33878</v>
      </c>
      <c r="AB1678" s="5">
        <f>IF(INDEX('CAMD Facility Data 2023'!$AC$2:$AE$10000,MATCH(Z1678,'CAMD Facility Data 2023'!$AE$2:$AE$10000,0),1)&gt;0,INDEX('CAMD Facility Data 2023'!$AC$2:$AE$10000,MATCH(Z1678,'CAMD Facility Data 2023'!$AE$2:$AE$10000,0),1),"")</f>
        <v>560</v>
      </c>
      <c r="AC1678" s="1" t="str">
        <f>IF(INDEX('CAMD Facility Data 2023'!$AE$2:$AG$10000,MATCH(Z1678,'CAMD Facility Data 2023'!$AE$2:$AE$10000,0),3)&gt;0,INDEX('CAMD Facility Data 2023'!$AE$2:$AG$10000,MATCH(Z1678,'CAMD Facility Data 2023'!$AE$2:$AE$10000,0),3),"")</f>
        <v/>
      </c>
      <c r="AD1678" s="20">
        <f t="shared" si="79"/>
        <v>1.8258445681972089</v>
      </c>
      <c r="AE1678" s="25">
        <f t="shared" si="80"/>
        <v>2.0942992294520547E-2</v>
      </c>
    </row>
    <row r="1679" spans="1:31" x14ac:dyDescent="0.2">
      <c r="A1679" s="1" t="s">
        <v>1071</v>
      </c>
      <c r="B1679" s="1" t="s">
        <v>4075</v>
      </c>
      <c r="C1679" s="1">
        <v>7336</v>
      </c>
      <c r="D1679" s="1" t="s">
        <v>4081</v>
      </c>
      <c r="F1679" s="1">
        <v>2023</v>
      </c>
      <c r="G1679" s="5">
        <v>530</v>
      </c>
      <c r="H1679" s="5">
        <v>469.53</v>
      </c>
      <c r="I1679" s="5">
        <v>33345</v>
      </c>
      <c r="K1679" s="5">
        <v>0.122</v>
      </c>
      <c r="L1679" s="5">
        <v>1E-3</v>
      </c>
      <c r="M1679" s="5">
        <v>24152.554</v>
      </c>
      <c r="N1679" s="6">
        <v>5.8999999999999997E-2</v>
      </c>
      <c r="O1679" s="5">
        <v>6.6740000000000004</v>
      </c>
      <c r="P1679" s="6">
        <v>3.3099999999999997E-2</v>
      </c>
      <c r="Q1679" s="5">
        <v>406300.51699999999</v>
      </c>
      <c r="R1679" s="1" t="s">
        <v>44</v>
      </c>
      <c r="S1679" s="1" t="s">
        <v>94</v>
      </c>
      <c r="T1679" s="1" t="s">
        <v>93</v>
      </c>
      <c r="V1679" s="1" t="s">
        <v>183</v>
      </c>
      <c r="Y1679" s="1" t="s">
        <v>461</v>
      </c>
      <c r="Z1679" s="1" t="str">
        <f t="shared" si="78"/>
        <v>7336 ACT3</v>
      </c>
      <c r="AA1679" s="3">
        <f>IF(INDEX('CAMD Facility Data 2023'!$AA$2:$AE$10000,MATCH(Z1679,'CAMD Facility Data 2023'!$AE$2:$AE$10000,0),1)&gt;0,INDEX('CAMD Facility Data 2023'!$AA$2:$AE$10000,MATCH(Z1679,'CAMD Facility Data 2023'!$AE$2:$AE$10000,0),1),"")</f>
        <v>38055</v>
      </c>
      <c r="AB1679" s="5">
        <f>IF(INDEX('CAMD Facility Data 2023'!$AC$2:$AE$10000,MATCH(Z1679,'CAMD Facility Data 2023'!$AE$2:$AE$10000,0),1)&gt;0,INDEX('CAMD Facility Data 2023'!$AC$2:$AE$10000,MATCH(Z1679,'CAMD Facility Data 2023'!$AE$2:$AE$10000,0),1),"")</f>
        <v>1103.8</v>
      </c>
      <c r="AC1679" s="1" t="str">
        <f>IF(INDEX('CAMD Facility Data 2023'!$AE$2:$AG$10000,MATCH(Z1679,'CAMD Facility Data 2023'!$AE$2:$AE$10000,0),3)&gt;0,INDEX('CAMD Facility Data 2023'!$AE$2:$AG$10000,MATCH(Z1679,'CAMD Facility Data 2023'!$AE$2:$AE$10000,0),3),"")</f>
        <v/>
      </c>
      <c r="AD1679" s="20">
        <f t="shared" si="79"/>
        <v>0.40029989503673713</v>
      </c>
      <c r="AE1679" s="25">
        <f t="shared" si="80"/>
        <v>4.2019693383835502E-2</v>
      </c>
    </row>
    <row r="1680" spans="1:31" x14ac:dyDescent="0.2">
      <c r="A1680" s="1" t="s">
        <v>1186</v>
      </c>
      <c r="B1680" s="1" t="s">
        <v>4083</v>
      </c>
      <c r="C1680" s="1">
        <v>7343</v>
      </c>
      <c r="D1680" s="1">
        <v>4</v>
      </c>
      <c r="F1680" s="1">
        <v>2023</v>
      </c>
      <c r="G1680" s="5">
        <v>2554</v>
      </c>
      <c r="H1680" s="5">
        <v>2533.06</v>
      </c>
      <c r="I1680" s="5">
        <v>1083582.51</v>
      </c>
      <c r="K1680" s="5">
        <v>1771.3610000000001</v>
      </c>
      <c r="L1680" s="5">
        <v>0.33750000000000002</v>
      </c>
      <c r="M1680" s="5">
        <v>1053692.5009999999</v>
      </c>
      <c r="N1680" s="6">
        <v>0.105</v>
      </c>
      <c r="O1680" s="5">
        <v>857.00099999999998</v>
      </c>
      <c r="P1680" s="6">
        <v>0.15229999999999999</v>
      </c>
      <c r="Q1680" s="5">
        <v>10046662.761</v>
      </c>
      <c r="R1680" s="1" t="s">
        <v>55</v>
      </c>
      <c r="S1680" s="1" t="s">
        <v>94</v>
      </c>
      <c r="T1680" s="1" t="s">
        <v>89</v>
      </c>
      <c r="U1680" s="1" t="s">
        <v>212</v>
      </c>
      <c r="V1680" s="1" t="s">
        <v>1221</v>
      </c>
      <c r="W1680" s="1" t="s">
        <v>123</v>
      </c>
      <c r="Y1680" s="1" t="s">
        <v>1188</v>
      </c>
      <c r="Z1680" s="1" t="str">
        <f t="shared" si="78"/>
        <v>7343 4</v>
      </c>
      <c r="AA1680" s="3">
        <f>IF(INDEX('CAMD Facility Data 2023'!$AA$2:$AE$10000,MATCH(Z1680,'CAMD Facility Data 2023'!$AE$2:$AE$10000,0),1)&gt;0,INDEX('CAMD Facility Data 2023'!$AA$2:$AE$10000,MATCH(Z1680,'CAMD Facility Data 2023'!$AE$2:$AE$10000,0),1),"")</f>
        <v>29037</v>
      </c>
      <c r="AB1680" s="5">
        <f>IF(INDEX('CAMD Facility Data 2023'!$AC$2:$AE$10000,MATCH(Z1680,'CAMD Facility Data 2023'!$AE$2:$AE$10000,0),1)&gt;0,INDEX('CAMD Facility Data 2023'!$AC$2:$AE$10000,MATCH(Z1680,'CAMD Facility Data 2023'!$AE$2:$AE$10000,0),1),"")</f>
        <v>7400</v>
      </c>
      <c r="AC1680" s="1" t="str">
        <f>IF(INDEX('CAMD Facility Data 2023'!$AE$2:$AG$10000,MATCH(Z1680,'CAMD Facility Data 2023'!$AE$2:$AE$10000,0),3)&gt;0,INDEX('CAMD Facility Data 2023'!$AE$2:$AG$10000,MATCH(Z1680,'CAMD Facility Data 2023'!$AE$2:$AE$10000,0),3),"")</f>
        <v>Y</v>
      </c>
      <c r="AD1680" s="20">
        <f t="shared" si="79"/>
        <v>1.5817918655774539</v>
      </c>
      <c r="AE1680" s="25">
        <f t="shared" si="80"/>
        <v>0.15498369062384301</v>
      </c>
    </row>
    <row r="1681" spans="1:31" x14ac:dyDescent="0.2">
      <c r="A1681" s="1" t="s">
        <v>304</v>
      </c>
      <c r="B1681" s="1" t="s">
        <v>4086</v>
      </c>
      <c r="C1681" s="1">
        <v>7345</v>
      </c>
      <c r="D1681" s="1">
        <v>1</v>
      </c>
      <c r="F1681" s="1">
        <v>2023</v>
      </c>
      <c r="G1681" s="5">
        <v>7838</v>
      </c>
      <c r="H1681" s="5">
        <v>7822.28</v>
      </c>
      <c r="J1681" s="5">
        <v>958828.94</v>
      </c>
      <c r="K1681" s="5">
        <v>0.96199999999999997</v>
      </c>
      <c r="L1681" s="5">
        <v>1E-3</v>
      </c>
      <c r="M1681" s="5">
        <v>190559.755</v>
      </c>
      <c r="N1681" s="6">
        <v>5.9200000000000003E-2</v>
      </c>
      <c r="O1681" s="5">
        <v>126.96899999999999</v>
      </c>
      <c r="P1681" s="6">
        <v>8.0500000000000002E-2</v>
      </c>
      <c r="Q1681" s="5">
        <v>3206621.0180000002</v>
      </c>
      <c r="R1681" s="1" t="s">
        <v>44</v>
      </c>
      <c r="T1681" s="1" t="s">
        <v>71</v>
      </c>
      <c r="V1681" s="1" t="s">
        <v>1606</v>
      </c>
      <c r="Y1681" s="1" t="s">
        <v>247</v>
      </c>
      <c r="Z1681" s="1" t="str">
        <f t="shared" si="78"/>
        <v>7345 1</v>
      </c>
      <c r="AA1681" s="3">
        <f>IF(INDEX('CAMD Facility Data 2023'!$AA$2:$AE$10000,MATCH(Z1681,'CAMD Facility Data 2023'!$AE$2:$AE$10000,0),1)&gt;0,INDEX('CAMD Facility Data 2023'!$AA$2:$AE$10000,MATCH(Z1681,'CAMD Facility Data 2023'!$AE$2:$AE$10000,0),1),"")</f>
        <v>34320</v>
      </c>
      <c r="AB1681" s="5">
        <f>IF(INDEX('CAMD Facility Data 2023'!$AC$2:$AE$10000,MATCH(Z1681,'CAMD Facility Data 2023'!$AE$2:$AE$10000,0),1)&gt;0,INDEX('CAMD Facility Data 2023'!$AC$2:$AE$10000,MATCH(Z1681,'CAMD Facility Data 2023'!$AE$2:$AE$10000,0),1),"")</f>
        <v>586</v>
      </c>
      <c r="AC1681" s="1" t="str">
        <f>IF(INDEX('CAMD Facility Data 2023'!$AE$2:$AG$10000,MATCH(Z1681,'CAMD Facility Data 2023'!$AE$2:$AE$10000,0),3)&gt;0,INDEX('CAMD Facility Data 2023'!$AE$2:$AG$10000,MATCH(Z1681,'CAMD Facility Data 2023'!$AE$2:$AE$10000,0),3),"")</f>
        <v/>
      </c>
      <c r="AD1681" s="20" t="str">
        <f t="shared" si="79"/>
        <v/>
      </c>
      <c r="AE1681" s="25">
        <f t="shared" si="80"/>
        <v>0.62466318707435287</v>
      </c>
    </row>
    <row r="1682" spans="1:31" x14ac:dyDescent="0.2">
      <c r="A1682" s="1" t="s">
        <v>921</v>
      </c>
      <c r="B1682" s="1" t="s">
        <v>4088</v>
      </c>
      <c r="C1682" s="1">
        <v>7348</v>
      </c>
      <c r="D1682" s="1" t="s">
        <v>311</v>
      </c>
      <c r="F1682" s="1">
        <v>2023</v>
      </c>
      <c r="G1682" s="5">
        <v>17</v>
      </c>
      <c r="H1682" s="5">
        <v>17</v>
      </c>
      <c r="I1682" s="5">
        <v>657</v>
      </c>
      <c r="K1682" s="5">
        <v>0.376</v>
      </c>
      <c r="L1682" s="5">
        <v>0.1419</v>
      </c>
      <c r="M1682" s="5">
        <v>405.7</v>
      </c>
      <c r="N1682" s="6">
        <v>6.93E-2</v>
      </c>
      <c r="O1682" s="5">
        <v>1.871</v>
      </c>
      <c r="P1682" s="6">
        <v>0.74099999999999999</v>
      </c>
      <c r="Q1682" s="5">
        <v>5952.9</v>
      </c>
      <c r="R1682" s="1" t="s">
        <v>44</v>
      </c>
      <c r="S1682" s="1" t="s">
        <v>94</v>
      </c>
      <c r="T1682" s="1" t="s">
        <v>93</v>
      </c>
      <c r="V1682" s="1" t="s">
        <v>95</v>
      </c>
      <c r="Y1682" s="1" t="s">
        <v>952</v>
      </c>
      <c r="Z1682" s="1" t="str">
        <f t="shared" si="78"/>
        <v>7348 CT1</v>
      </c>
      <c r="AA1682" s="3">
        <f>IF(INDEX('CAMD Facility Data 2023'!$AA$2:$AE$10000,MATCH(Z1682,'CAMD Facility Data 2023'!$AE$2:$AE$10000,0),1)&gt;0,INDEX('CAMD Facility Data 2023'!$AA$2:$AE$10000,MATCH(Z1682,'CAMD Facility Data 2023'!$AE$2:$AE$10000,0),1),"")</f>
        <v>34836</v>
      </c>
      <c r="AB1682" s="5">
        <f>IF(INDEX('CAMD Facility Data 2023'!$AC$2:$AE$10000,MATCH(Z1682,'CAMD Facility Data 2023'!$AE$2:$AE$10000,0),1)&gt;0,INDEX('CAMD Facility Data 2023'!$AC$2:$AE$10000,MATCH(Z1682,'CAMD Facility Data 2023'!$AE$2:$AE$10000,0),1),"")</f>
        <v>1155</v>
      </c>
      <c r="AC1682" s="1" t="str">
        <f>IF(INDEX('CAMD Facility Data 2023'!$AE$2:$AG$10000,MATCH(Z1682,'CAMD Facility Data 2023'!$AE$2:$AE$10000,0),3)&gt;0,INDEX('CAMD Facility Data 2023'!$AE$2:$AG$10000,MATCH(Z1682,'CAMD Facility Data 2023'!$AE$2:$AE$10000,0),3),"")</f>
        <v/>
      </c>
      <c r="AD1682" s="20">
        <f t="shared" si="79"/>
        <v>5.6955859969558595</v>
      </c>
      <c r="AE1682" s="25">
        <f t="shared" si="80"/>
        <v>5.8835912945501983E-4</v>
      </c>
    </row>
    <row r="1683" spans="1:31" x14ac:dyDescent="0.2">
      <c r="A1683" s="1" t="s">
        <v>921</v>
      </c>
      <c r="B1683" s="1" t="s">
        <v>4088</v>
      </c>
      <c r="C1683" s="1">
        <v>7348</v>
      </c>
      <c r="D1683" s="1" t="s">
        <v>98</v>
      </c>
      <c r="F1683" s="1">
        <v>2023</v>
      </c>
      <c r="G1683" s="5">
        <v>27</v>
      </c>
      <c r="H1683" s="5">
        <v>27</v>
      </c>
      <c r="I1683" s="5">
        <v>873</v>
      </c>
      <c r="K1683" s="5">
        <v>0.34399999999999997</v>
      </c>
      <c r="L1683" s="5">
        <v>0.1106</v>
      </c>
      <c r="M1683" s="5">
        <v>525.9</v>
      </c>
      <c r="N1683" s="6">
        <v>6.6799999999999998E-2</v>
      </c>
      <c r="O1683" s="5">
        <v>1.6419999999999999</v>
      </c>
      <c r="P1683" s="6">
        <v>0.61770000000000003</v>
      </c>
      <c r="Q1683" s="5">
        <v>8069.1</v>
      </c>
      <c r="R1683" s="1" t="s">
        <v>44</v>
      </c>
      <c r="S1683" s="1" t="s">
        <v>94</v>
      </c>
      <c r="T1683" s="1" t="s">
        <v>93</v>
      </c>
      <c r="V1683" s="1" t="s">
        <v>95</v>
      </c>
      <c r="Y1683" s="1" t="s">
        <v>952</v>
      </c>
      <c r="Z1683" s="1" t="str">
        <f t="shared" si="78"/>
        <v>7348 CT2</v>
      </c>
      <c r="AA1683" s="3">
        <f>IF(INDEX('CAMD Facility Data 2023'!$AA$2:$AE$10000,MATCH(Z1683,'CAMD Facility Data 2023'!$AE$2:$AE$10000,0),1)&gt;0,INDEX('CAMD Facility Data 2023'!$AA$2:$AE$10000,MATCH(Z1683,'CAMD Facility Data 2023'!$AE$2:$AE$10000,0),1),"")</f>
        <v>34843</v>
      </c>
      <c r="AB1683" s="5">
        <f>IF(INDEX('CAMD Facility Data 2023'!$AC$2:$AE$10000,MATCH(Z1683,'CAMD Facility Data 2023'!$AE$2:$AE$10000,0),1)&gt;0,INDEX('CAMD Facility Data 2023'!$AC$2:$AE$10000,MATCH(Z1683,'CAMD Facility Data 2023'!$AE$2:$AE$10000,0),1),"")</f>
        <v>1155</v>
      </c>
      <c r="AC1683" s="1" t="str">
        <f>IF(INDEX('CAMD Facility Data 2023'!$AE$2:$AG$10000,MATCH(Z1683,'CAMD Facility Data 2023'!$AE$2:$AE$10000,0),3)&gt;0,INDEX('CAMD Facility Data 2023'!$AE$2:$AG$10000,MATCH(Z1683,'CAMD Facility Data 2023'!$AE$2:$AE$10000,0),3),"")</f>
        <v/>
      </c>
      <c r="AD1683" s="20">
        <f t="shared" si="79"/>
        <v>3.7617411225658648</v>
      </c>
      <c r="AE1683" s="25">
        <f t="shared" si="80"/>
        <v>7.9751527011800993E-4</v>
      </c>
    </row>
    <row r="1684" spans="1:31" x14ac:dyDescent="0.2">
      <c r="A1684" s="1" t="s">
        <v>4093</v>
      </c>
      <c r="B1684" s="1" t="s">
        <v>4094</v>
      </c>
      <c r="C1684" s="1">
        <v>7350</v>
      </c>
      <c r="D1684" s="1" t="s">
        <v>1129</v>
      </c>
      <c r="F1684" s="1">
        <v>2023</v>
      </c>
      <c r="G1684" s="5">
        <v>7862</v>
      </c>
      <c r="H1684" s="5">
        <v>7853.88</v>
      </c>
      <c r="I1684" s="5">
        <v>1976288.39</v>
      </c>
      <c r="K1684" s="5">
        <v>3.9740000000000002</v>
      </c>
      <c r="L1684" s="5">
        <v>1E-3</v>
      </c>
      <c r="M1684" s="5">
        <v>787147.78099999996</v>
      </c>
      <c r="N1684" s="6">
        <v>5.8999999999999997E-2</v>
      </c>
      <c r="O1684" s="5">
        <v>99.116</v>
      </c>
      <c r="P1684" s="6">
        <v>1.55E-2</v>
      </c>
      <c r="Q1684" s="5">
        <v>13245309.075999999</v>
      </c>
      <c r="R1684" s="1" t="s">
        <v>44</v>
      </c>
      <c r="S1684" s="1" t="s">
        <v>94</v>
      </c>
      <c r="T1684" s="1" t="s">
        <v>71</v>
      </c>
      <c r="V1684" s="1" t="s">
        <v>4099</v>
      </c>
      <c r="Y1684" s="1" t="s">
        <v>247</v>
      </c>
      <c r="Z1684" s="1" t="str">
        <f t="shared" si="78"/>
        <v>7350 CTG1</v>
      </c>
      <c r="AA1684" s="3">
        <f>IF(INDEX('CAMD Facility Data 2023'!$AA$2:$AE$10000,MATCH(Z1684,'CAMD Facility Data 2023'!$AE$2:$AE$10000,0),1)&gt;0,INDEX('CAMD Facility Data 2023'!$AA$2:$AE$10000,MATCH(Z1684,'CAMD Facility Data 2023'!$AE$2:$AE$10000,0),1),"")</f>
        <v>35029</v>
      </c>
      <c r="AB1684" s="5">
        <f>IF(INDEX('CAMD Facility Data 2023'!$AC$2:$AE$10000,MATCH(Z1684,'CAMD Facility Data 2023'!$AE$2:$AE$10000,0),1)&gt;0,INDEX('CAMD Facility Data 2023'!$AC$2:$AE$10000,MATCH(Z1684,'CAMD Facility Data 2023'!$AE$2:$AE$10000,0),1),"")</f>
        <v>2000</v>
      </c>
      <c r="AC1684" s="1" t="str">
        <f>IF(INDEX('CAMD Facility Data 2023'!$AE$2:$AG$10000,MATCH(Z1684,'CAMD Facility Data 2023'!$AE$2:$AE$10000,0),3)&gt;0,INDEX('CAMD Facility Data 2023'!$AE$2:$AG$10000,MATCH(Z1684,'CAMD Facility Data 2023'!$AE$2:$AE$10000,0),3),"")</f>
        <v>Y</v>
      </c>
      <c r="AD1684" s="20">
        <f t="shared" si="79"/>
        <v>0.1003051988783884</v>
      </c>
      <c r="AE1684" s="25">
        <f t="shared" si="80"/>
        <v>0.75601079200913235</v>
      </c>
    </row>
    <row r="1685" spans="1:31" x14ac:dyDescent="0.2">
      <c r="A1685" s="1" t="s">
        <v>4093</v>
      </c>
      <c r="B1685" s="1" t="s">
        <v>4094</v>
      </c>
      <c r="C1685" s="1">
        <v>7350</v>
      </c>
      <c r="D1685" s="1" t="s">
        <v>1135</v>
      </c>
      <c r="F1685" s="1">
        <v>2023</v>
      </c>
      <c r="G1685" s="5">
        <v>8020</v>
      </c>
      <c r="H1685" s="5">
        <v>8012.11</v>
      </c>
      <c r="I1685" s="5">
        <v>2294894.0299999998</v>
      </c>
      <c r="K1685" s="5">
        <v>4.6840000000000002</v>
      </c>
      <c r="L1685" s="5">
        <v>1E-3</v>
      </c>
      <c r="M1685" s="5">
        <v>927777.41799999995</v>
      </c>
      <c r="N1685" s="6">
        <v>5.8999999999999997E-2</v>
      </c>
      <c r="O1685" s="5">
        <v>87.980999999999995</v>
      </c>
      <c r="P1685" s="6">
        <v>1.17E-2</v>
      </c>
      <c r="Q1685" s="5">
        <v>15611561.107000001</v>
      </c>
      <c r="R1685" s="1" t="s">
        <v>44</v>
      </c>
      <c r="T1685" s="1" t="s">
        <v>71</v>
      </c>
      <c r="V1685" s="1" t="s">
        <v>64</v>
      </c>
      <c r="Y1685" s="1" t="s">
        <v>247</v>
      </c>
      <c r="Z1685" s="1" t="str">
        <f t="shared" si="78"/>
        <v>7350 CTG2</v>
      </c>
      <c r="AA1685" s="3">
        <f>IF(INDEX('CAMD Facility Data 2023'!$AA$2:$AE$10000,MATCH(Z1685,'CAMD Facility Data 2023'!$AE$2:$AE$10000,0),1)&gt;0,INDEX('CAMD Facility Data 2023'!$AA$2:$AE$10000,MATCH(Z1685,'CAMD Facility Data 2023'!$AE$2:$AE$10000,0),1),"")</f>
        <v>37775</v>
      </c>
      <c r="AB1685" s="5">
        <f>IF(INDEX('CAMD Facility Data 2023'!$AC$2:$AE$10000,MATCH(Z1685,'CAMD Facility Data 2023'!$AE$2:$AE$10000,0),1)&gt;0,INDEX('CAMD Facility Data 2023'!$AC$2:$AE$10000,MATCH(Z1685,'CAMD Facility Data 2023'!$AE$2:$AE$10000,0),1),"")</f>
        <v>2250</v>
      </c>
      <c r="AC1685" s="1" t="str">
        <f>IF(INDEX('CAMD Facility Data 2023'!$AE$2:$AG$10000,MATCH(Z1685,'CAMD Facility Data 2023'!$AE$2:$AE$10000,0),3)&gt;0,INDEX('CAMD Facility Data 2023'!$AE$2:$AG$10000,MATCH(Z1685,'CAMD Facility Data 2023'!$AE$2:$AE$10000,0),3),"")</f>
        <v>Y</v>
      </c>
      <c r="AD1685" s="20">
        <f t="shared" si="79"/>
        <v>7.6675435858796506E-2</v>
      </c>
      <c r="AE1685" s="25">
        <f t="shared" si="80"/>
        <v>0.79206296839167945</v>
      </c>
    </row>
    <row r="1686" spans="1:31" x14ac:dyDescent="0.2">
      <c r="A1686" s="1" t="s">
        <v>304</v>
      </c>
      <c r="B1686" s="1" t="s">
        <v>4103</v>
      </c>
      <c r="C1686" s="1">
        <v>7380</v>
      </c>
      <c r="D1686" s="1">
        <v>1</v>
      </c>
      <c r="F1686" s="1">
        <v>2023</v>
      </c>
      <c r="G1686" s="5">
        <v>5202</v>
      </c>
      <c r="H1686" s="5">
        <v>5177.3599999999997</v>
      </c>
      <c r="I1686" s="5">
        <v>757520.47</v>
      </c>
      <c r="K1686" s="5">
        <v>2.4870000000000001</v>
      </c>
      <c r="L1686" s="5">
        <v>1E-3</v>
      </c>
      <c r="M1686" s="5">
        <v>492573.875</v>
      </c>
      <c r="N1686" s="6">
        <v>5.8999999999999997E-2</v>
      </c>
      <c r="O1686" s="5">
        <v>126.718</v>
      </c>
      <c r="P1686" s="6">
        <v>3.0700000000000002E-2</v>
      </c>
      <c r="Q1686" s="5">
        <v>8288577.0609999998</v>
      </c>
      <c r="R1686" s="1" t="s">
        <v>44</v>
      </c>
      <c r="S1686" s="1" t="s">
        <v>94</v>
      </c>
      <c r="T1686" s="1" t="s">
        <v>71</v>
      </c>
      <c r="V1686" s="1" t="s">
        <v>643</v>
      </c>
      <c r="Y1686" s="1" t="s">
        <v>247</v>
      </c>
      <c r="Z1686" s="1" t="str">
        <f t="shared" si="78"/>
        <v>7380 1</v>
      </c>
      <c r="AA1686" s="3">
        <f>IF(INDEX('CAMD Facility Data 2023'!$AA$2:$AE$10000,MATCH(Z1686,'CAMD Facility Data 2023'!$AE$2:$AE$10000,0),1)&gt;0,INDEX('CAMD Facility Data 2023'!$AA$2:$AE$10000,MATCH(Z1686,'CAMD Facility Data 2023'!$AE$2:$AE$10000,0),1),"")</f>
        <v>37147</v>
      </c>
      <c r="AB1686" s="5">
        <f>IF(INDEX('CAMD Facility Data 2023'!$AC$2:$AE$10000,MATCH(Z1686,'CAMD Facility Data 2023'!$AE$2:$AE$10000,0),1)&gt;0,INDEX('CAMD Facility Data 2023'!$AC$2:$AE$10000,MATCH(Z1686,'CAMD Facility Data 2023'!$AE$2:$AE$10000,0),1),"")</f>
        <v>2235</v>
      </c>
      <c r="AC1686" s="1" t="str">
        <f>IF(INDEX('CAMD Facility Data 2023'!$AE$2:$AG$10000,MATCH(Z1686,'CAMD Facility Data 2023'!$AE$2:$AE$10000,0),3)&gt;0,INDEX('CAMD Facility Data 2023'!$AE$2:$AG$10000,MATCH(Z1686,'CAMD Facility Data 2023'!$AE$2:$AE$10000,0),3),"")</f>
        <v>Y</v>
      </c>
      <c r="AD1686" s="20">
        <f t="shared" si="79"/>
        <v>0.33455993605030898</v>
      </c>
      <c r="AE1686" s="25">
        <f t="shared" si="80"/>
        <v>0.42334881253000722</v>
      </c>
    </row>
    <row r="1687" spans="1:31" x14ac:dyDescent="0.2">
      <c r="A1687" s="1" t="s">
        <v>304</v>
      </c>
      <c r="B1687" s="1" t="s">
        <v>4103</v>
      </c>
      <c r="C1687" s="1">
        <v>7380</v>
      </c>
      <c r="D1687" s="1">
        <v>2</v>
      </c>
      <c r="F1687" s="1">
        <v>2023</v>
      </c>
      <c r="G1687" s="5">
        <v>6233</v>
      </c>
      <c r="H1687" s="5">
        <v>6228.81</v>
      </c>
      <c r="I1687" s="5">
        <v>916722.36</v>
      </c>
      <c r="K1687" s="5">
        <v>3.05</v>
      </c>
      <c r="L1687" s="5">
        <v>1E-3</v>
      </c>
      <c r="M1687" s="5">
        <v>604232.27599999995</v>
      </c>
      <c r="N1687" s="6">
        <v>5.8999999999999997E-2</v>
      </c>
      <c r="O1687" s="5">
        <v>155.19</v>
      </c>
      <c r="P1687" s="6">
        <v>3.0599999999999999E-2</v>
      </c>
      <c r="Q1687" s="5">
        <v>10167390.709000001</v>
      </c>
      <c r="R1687" s="1" t="s">
        <v>44</v>
      </c>
      <c r="S1687" s="1" t="s">
        <v>94</v>
      </c>
      <c r="T1687" s="1" t="s">
        <v>71</v>
      </c>
      <c r="V1687" s="1" t="s">
        <v>643</v>
      </c>
      <c r="Y1687" s="1" t="s">
        <v>247</v>
      </c>
      <c r="Z1687" s="1" t="str">
        <f t="shared" si="78"/>
        <v>7380 2</v>
      </c>
      <c r="AA1687" s="3">
        <f>IF(INDEX('CAMD Facility Data 2023'!$AA$2:$AE$10000,MATCH(Z1687,'CAMD Facility Data 2023'!$AE$2:$AE$10000,0),1)&gt;0,INDEX('CAMD Facility Data 2023'!$AA$2:$AE$10000,MATCH(Z1687,'CAMD Facility Data 2023'!$AE$2:$AE$10000,0),1),"")</f>
        <v>37150</v>
      </c>
      <c r="AB1687" s="5">
        <f>IF(INDEX('CAMD Facility Data 2023'!$AC$2:$AE$10000,MATCH(Z1687,'CAMD Facility Data 2023'!$AE$2:$AE$10000,0),1)&gt;0,INDEX('CAMD Facility Data 2023'!$AC$2:$AE$10000,MATCH(Z1687,'CAMD Facility Data 2023'!$AE$2:$AE$10000,0),1),"")</f>
        <v>2235</v>
      </c>
      <c r="AC1687" s="1" t="str">
        <f>IF(INDEX('CAMD Facility Data 2023'!$AE$2:$AG$10000,MATCH(Z1687,'CAMD Facility Data 2023'!$AE$2:$AE$10000,0),3)&gt;0,INDEX('CAMD Facility Data 2023'!$AE$2:$AG$10000,MATCH(Z1687,'CAMD Facility Data 2023'!$AE$2:$AE$10000,0),3),"")</f>
        <v>Y</v>
      </c>
      <c r="AD1687" s="20">
        <f t="shared" si="79"/>
        <v>0.33857579300236551</v>
      </c>
      <c r="AE1687" s="25">
        <f t="shared" si="80"/>
        <v>0.51931142722155832</v>
      </c>
    </row>
    <row r="1688" spans="1:31" x14ac:dyDescent="0.2">
      <c r="A1688" s="1" t="s">
        <v>304</v>
      </c>
      <c r="B1688" s="1" t="s">
        <v>4103</v>
      </c>
      <c r="C1688" s="1">
        <v>7380</v>
      </c>
      <c r="D1688" s="1" t="s">
        <v>381</v>
      </c>
      <c r="F1688" s="1">
        <v>2023</v>
      </c>
      <c r="G1688" s="5">
        <v>1104</v>
      </c>
      <c r="H1688" s="5">
        <v>938.04</v>
      </c>
      <c r="I1688" s="5">
        <v>18173.21</v>
      </c>
      <c r="K1688" s="5">
        <v>6.3E-2</v>
      </c>
      <c r="L1688" s="5">
        <v>1E-3</v>
      </c>
      <c r="M1688" s="5">
        <v>12478.341</v>
      </c>
      <c r="N1688" s="6">
        <v>5.9299999999999999E-2</v>
      </c>
      <c r="O1688" s="5">
        <v>8.0540000000000003</v>
      </c>
      <c r="P1688" s="6">
        <v>8.4000000000000005E-2</v>
      </c>
      <c r="Q1688" s="5">
        <v>209904.42199999999</v>
      </c>
      <c r="R1688" s="1" t="s">
        <v>44</v>
      </c>
      <c r="S1688" s="1" t="s">
        <v>94</v>
      </c>
      <c r="T1688" s="1" t="s">
        <v>93</v>
      </c>
      <c r="V1688" s="1" t="s">
        <v>183</v>
      </c>
      <c r="Y1688" s="1" t="s">
        <v>247</v>
      </c>
      <c r="Z1688" s="1" t="str">
        <f t="shared" si="78"/>
        <v>7380 4A</v>
      </c>
      <c r="AA1688" s="3">
        <f>IF(INDEX('CAMD Facility Data 2023'!$AA$2:$AE$10000,MATCH(Z1688,'CAMD Facility Data 2023'!$AE$2:$AE$10000,0),1)&gt;0,INDEX('CAMD Facility Data 2023'!$AA$2:$AE$10000,MATCH(Z1688,'CAMD Facility Data 2023'!$AE$2:$AE$10000,0),1),"")</f>
        <v>38964</v>
      </c>
      <c r="AB1688" s="5">
        <f>IF(INDEX('CAMD Facility Data 2023'!$AC$2:$AE$10000,MATCH(Z1688,'CAMD Facility Data 2023'!$AE$2:$AE$10000,0),1)&gt;0,INDEX('CAMD Facility Data 2023'!$AC$2:$AE$10000,MATCH(Z1688,'CAMD Facility Data 2023'!$AE$2:$AE$10000,0),1),"")</f>
        <v>572</v>
      </c>
      <c r="AC1688" s="1" t="str">
        <f>IF(INDEX('CAMD Facility Data 2023'!$AE$2:$AG$10000,MATCH(Z1688,'CAMD Facility Data 2023'!$AE$2:$AE$10000,0),3)&gt;0,INDEX('CAMD Facility Data 2023'!$AE$2:$AG$10000,MATCH(Z1688,'CAMD Facility Data 2023'!$AE$2:$AE$10000,0),3),"")</f>
        <v/>
      </c>
      <c r="AD1688" s="20">
        <f t="shared" si="79"/>
        <v>0.88635964697486025</v>
      </c>
      <c r="AE1688" s="25">
        <f t="shared" si="80"/>
        <v>4.1891069946035697E-2</v>
      </c>
    </row>
    <row r="1689" spans="1:31" x14ac:dyDescent="0.2">
      <c r="A1689" s="1" t="s">
        <v>304</v>
      </c>
      <c r="B1689" s="1" t="s">
        <v>4103</v>
      </c>
      <c r="C1689" s="1">
        <v>7380</v>
      </c>
      <c r="D1689" s="1" t="s">
        <v>815</v>
      </c>
      <c r="F1689" s="1">
        <v>2023</v>
      </c>
      <c r="G1689" s="5">
        <v>1096</v>
      </c>
      <c r="H1689" s="5">
        <v>932.68</v>
      </c>
      <c r="I1689" s="5">
        <v>19264.66</v>
      </c>
      <c r="K1689" s="5">
        <v>6.9000000000000006E-2</v>
      </c>
      <c r="L1689" s="5">
        <v>1E-3</v>
      </c>
      <c r="M1689" s="5">
        <v>13722.684999999999</v>
      </c>
      <c r="N1689" s="6">
        <v>5.9299999999999999E-2</v>
      </c>
      <c r="O1689" s="5">
        <v>7.9829999999999997</v>
      </c>
      <c r="P1689" s="6">
        <v>7.6200000000000004E-2</v>
      </c>
      <c r="Q1689" s="5">
        <v>230860.628</v>
      </c>
      <c r="R1689" s="1" t="s">
        <v>44</v>
      </c>
      <c r="S1689" s="1" t="s">
        <v>94</v>
      </c>
      <c r="T1689" s="1" t="s">
        <v>93</v>
      </c>
      <c r="V1689" s="1" t="s">
        <v>183</v>
      </c>
      <c r="Y1689" s="1" t="s">
        <v>247</v>
      </c>
      <c r="Z1689" s="1" t="str">
        <f t="shared" si="78"/>
        <v>7380 4B</v>
      </c>
      <c r="AA1689" s="3">
        <f>IF(INDEX('CAMD Facility Data 2023'!$AA$2:$AE$10000,MATCH(Z1689,'CAMD Facility Data 2023'!$AE$2:$AE$10000,0),1)&gt;0,INDEX('CAMD Facility Data 2023'!$AA$2:$AE$10000,MATCH(Z1689,'CAMD Facility Data 2023'!$AE$2:$AE$10000,0),1),"")</f>
        <v>38964</v>
      </c>
      <c r="AB1689" s="5">
        <f>IF(INDEX('CAMD Facility Data 2023'!$AC$2:$AE$10000,MATCH(Z1689,'CAMD Facility Data 2023'!$AE$2:$AE$10000,0),1)&gt;0,INDEX('CAMD Facility Data 2023'!$AC$2:$AE$10000,MATCH(Z1689,'CAMD Facility Data 2023'!$AE$2:$AE$10000,0),1),"")</f>
        <v>572</v>
      </c>
      <c r="AC1689" s="1" t="str">
        <f>IF(INDEX('CAMD Facility Data 2023'!$AE$2:$AG$10000,MATCH(Z1689,'CAMD Facility Data 2023'!$AE$2:$AE$10000,0),3)&gt;0,INDEX('CAMD Facility Data 2023'!$AE$2:$AG$10000,MATCH(Z1689,'CAMD Facility Data 2023'!$AE$2:$AE$10000,0),3),"")</f>
        <v/>
      </c>
      <c r="AD1689" s="20">
        <f t="shared" si="79"/>
        <v>0.82877143951671095</v>
      </c>
      <c r="AE1689" s="25">
        <f t="shared" si="80"/>
        <v>4.6073344349714211E-2</v>
      </c>
    </row>
    <row r="1690" spans="1:31" x14ac:dyDescent="0.2">
      <c r="A1690" s="1" t="s">
        <v>304</v>
      </c>
      <c r="B1690" s="1" t="s">
        <v>4103</v>
      </c>
      <c r="C1690" s="1">
        <v>7380</v>
      </c>
      <c r="D1690" s="1" t="s">
        <v>955</v>
      </c>
      <c r="F1690" s="1">
        <v>2023</v>
      </c>
      <c r="G1690" s="5">
        <v>473</v>
      </c>
      <c r="H1690" s="5">
        <v>386.71</v>
      </c>
      <c r="I1690" s="5">
        <v>7588.2</v>
      </c>
      <c r="K1690" s="5">
        <v>2.8000000000000001E-2</v>
      </c>
      <c r="L1690" s="5">
        <v>1E-3</v>
      </c>
      <c r="M1690" s="5">
        <v>5470.52</v>
      </c>
      <c r="N1690" s="6">
        <v>5.9400000000000001E-2</v>
      </c>
      <c r="O1690" s="5">
        <v>3.8540000000000001</v>
      </c>
      <c r="P1690" s="6">
        <v>9.6199999999999994E-2</v>
      </c>
      <c r="Q1690" s="5">
        <v>92011.054000000004</v>
      </c>
      <c r="R1690" s="1" t="s">
        <v>44</v>
      </c>
      <c r="S1690" s="1" t="s">
        <v>94</v>
      </c>
      <c r="T1690" s="1" t="s">
        <v>93</v>
      </c>
      <c r="V1690" s="1" t="s">
        <v>183</v>
      </c>
      <c r="Y1690" s="1" t="s">
        <v>247</v>
      </c>
      <c r="Z1690" s="1" t="str">
        <f t="shared" si="78"/>
        <v>7380 5A</v>
      </c>
      <c r="AA1690" s="3">
        <f>IF(INDEX('CAMD Facility Data 2023'!$AA$2:$AE$10000,MATCH(Z1690,'CAMD Facility Data 2023'!$AE$2:$AE$10000,0),1)&gt;0,INDEX('CAMD Facility Data 2023'!$AA$2:$AE$10000,MATCH(Z1690,'CAMD Facility Data 2023'!$AE$2:$AE$10000,0),1),"")</f>
        <v>38961</v>
      </c>
      <c r="AB1690" s="5">
        <f>IF(INDEX('CAMD Facility Data 2023'!$AC$2:$AE$10000,MATCH(Z1690,'CAMD Facility Data 2023'!$AE$2:$AE$10000,0),1)&gt;0,INDEX('CAMD Facility Data 2023'!$AC$2:$AE$10000,MATCH(Z1690,'CAMD Facility Data 2023'!$AE$2:$AE$10000,0),1),"")</f>
        <v>572</v>
      </c>
      <c r="AC1690" s="1" t="str">
        <f>IF(INDEX('CAMD Facility Data 2023'!$AE$2:$AG$10000,MATCH(Z1690,'CAMD Facility Data 2023'!$AE$2:$AE$10000,0),3)&gt;0,INDEX('CAMD Facility Data 2023'!$AE$2:$AG$10000,MATCH(Z1690,'CAMD Facility Data 2023'!$AE$2:$AE$10000,0),3),"")</f>
        <v/>
      </c>
      <c r="AD1690" s="20">
        <f t="shared" si="79"/>
        <v>1.0157876703302495</v>
      </c>
      <c r="AE1690" s="25">
        <f t="shared" si="80"/>
        <v>1.8362840869176486E-2</v>
      </c>
    </row>
    <row r="1691" spans="1:31" x14ac:dyDescent="0.2">
      <c r="A1691" s="1" t="s">
        <v>304</v>
      </c>
      <c r="B1691" s="1" t="s">
        <v>4103</v>
      </c>
      <c r="C1691" s="1">
        <v>7380</v>
      </c>
      <c r="D1691" s="1" t="s">
        <v>957</v>
      </c>
      <c r="F1691" s="1">
        <v>2023</v>
      </c>
      <c r="G1691" s="5">
        <v>433</v>
      </c>
      <c r="H1691" s="5">
        <v>354.94</v>
      </c>
      <c r="I1691" s="5">
        <v>7092.15</v>
      </c>
      <c r="K1691" s="5">
        <v>2.4E-2</v>
      </c>
      <c r="L1691" s="5">
        <v>1E-3</v>
      </c>
      <c r="M1691" s="5">
        <v>4758.232</v>
      </c>
      <c r="N1691" s="6">
        <v>5.9400000000000001E-2</v>
      </c>
      <c r="O1691" s="5">
        <v>3.145</v>
      </c>
      <c r="P1691" s="6">
        <v>8.6599999999999996E-2</v>
      </c>
      <c r="Q1691" s="5">
        <v>80024.739000000001</v>
      </c>
      <c r="R1691" s="1" t="s">
        <v>44</v>
      </c>
      <c r="S1691" s="1" t="s">
        <v>94</v>
      </c>
      <c r="T1691" s="1" t="s">
        <v>93</v>
      </c>
      <c r="V1691" s="1" t="s">
        <v>183</v>
      </c>
      <c r="Y1691" s="1" t="s">
        <v>247</v>
      </c>
      <c r="Z1691" s="1" t="str">
        <f t="shared" si="78"/>
        <v>7380 5B</v>
      </c>
      <c r="AA1691" s="3">
        <f>IF(INDEX('CAMD Facility Data 2023'!$AA$2:$AE$10000,MATCH(Z1691,'CAMD Facility Data 2023'!$AE$2:$AE$10000,0),1)&gt;0,INDEX('CAMD Facility Data 2023'!$AA$2:$AE$10000,MATCH(Z1691,'CAMD Facility Data 2023'!$AE$2:$AE$10000,0),1),"")</f>
        <v>38961</v>
      </c>
      <c r="AB1691" s="5">
        <f>IF(INDEX('CAMD Facility Data 2023'!$AC$2:$AE$10000,MATCH(Z1691,'CAMD Facility Data 2023'!$AE$2:$AE$10000,0),1)&gt;0,INDEX('CAMD Facility Data 2023'!$AC$2:$AE$10000,MATCH(Z1691,'CAMD Facility Data 2023'!$AE$2:$AE$10000,0),1),"")</f>
        <v>572</v>
      </c>
      <c r="AC1691" s="1" t="str">
        <f>IF(INDEX('CAMD Facility Data 2023'!$AE$2:$AG$10000,MATCH(Z1691,'CAMD Facility Data 2023'!$AE$2:$AE$10000,0),3)&gt;0,INDEX('CAMD Facility Data 2023'!$AE$2:$AG$10000,MATCH(Z1691,'CAMD Facility Data 2023'!$AE$2:$AE$10000,0),3),"")</f>
        <v/>
      </c>
      <c r="AD1691" s="20">
        <f t="shared" si="79"/>
        <v>0.88689607523811542</v>
      </c>
      <c r="AE1691" s="25">
        <f t="shared" si="80"/>
        <v>1.5970706605038798E-2</v>
      </c>
    </row>
    <row r="1692" spans="1:31" x14ac:dyDescent="0.2">
      <c r="A1692" s="1" t="s">
        <v>304</v>
      </c>
      <c r="B1692" s="1" t="s">
        <v>4103</v>
      </c>
      <c r="C1692" s="1">
        <v>7380</v>
      </c>
      <c r="D1692" s="1" t="s">
        <v>70</v>
      </c>
      <c r="F1692" s="1">
        <v>2023</v>
      </c>
      <c r="G1692" s="5">
        <v>1177</v>
      </c>
      <c r="H1692" s="5">
        <v>1005.75</v>
      </c>
      <c r="I1692" s="5">
        <v>20981.62</v>
      </c>
      <c r="K1692" s="5">
        <v>7.8E-2</v>
      </c>
      <c r="L1692" s="5">
        <v>1E-3</v>
      </c>
      <c r="M1692" s="5">
        <v>15457.302</v>
      </c>
      <c r="N1692" s="6">
        <v>5.9299999999999999E-2</v>
      </c>
      <c r="O1692" s="5">
        <v>9.3109999999999999</v>
      </c>
      <c r="P1692" s="6">
        <v>7.9299999999999995E-2</v>
      </c>
      <c r="Q1692" s="5">
        <v>260035.22</v>
      </c>
      <c r="R1692" s="1" t="s">
        <v>44</v>
      </c>
      <c r="S1692" s="1" t="s">
        <v>94</v>
      </c>
      <c r="T1692" s="1" t="s">
        <v>93</v>
      </c>
      <c r="V1692" s="1" t="s">
        <v>183</v>
      </c>
      <c r="Y1692" s="1" t="s">
        <v>247</v>
      </c>
      <c r="Z1692" s="1" t="str">
        <f t="shared" si="78"/>
        <v>7380 6A</v>
      </c>
      <c r="AA1692" s="3">
        <f>IF(INDEX('CAMD Facility Data 2023'!$AA$2:$AE$10000,MATCH(Z1692,'CAMD Facility Data 2023'!$AE$2:$AE$10000,0),1)&gt;0,INDEX('CAMD Facility Data 2023'!$AA$2:$AE$10000,MATCH(Z1692,'CAMD Facility Data 2023'!$AE$2:$AE$10000,0),1),"")</f>
        <v>38939</v>
      </c>
      <c r="AB1692" s="5">
        <f>IF(INDEX('CAMD Facility Data 2023'!$AC$2:$AE$10000,MATCH(Z1692,'CAMD Facility Data 2023'!$AE$2:$AE$10000,0),1)&gt;0,INDEX('CAMD Facility Data 2023'!$AC$2:$AE$10000,MATCH(Z1692,'CAMD Facility Data 2023'!$AE$2:$AE$10000,0),1),"")</f>
        <v>572</v>
      </c>
      <c r="AC1692" s="1" t="str">
        <f>IF(INDEX('CAMD Facility Data 2023'!$AE$2:$AG$10000,MATCH(Z1692,'CAMD Facility Data 2023'!$AE$2:$AE$10000,0),3)&gt;0,INDEX('CAMD Facility Data 2023'!$AE$2:$AG$10000,MATCH(Z1692,'CAMD Facility Data 2023'!$AE$2:$AE$10000,0),3),"")</f>
        <v/>
      </c>
      <c r="AD1692" s="20">
        <f t="shared" si="79"/>
        <v>0.88753871245404314</v>
      </c>
      <c r="AE1692" s="25">
        <f t="shared" si="80"/>
        <v>5.1895779448861638E-2</v>
      </c>
    </row>
    <row r="1693" spans="1:31" x14ac:dyDescent="0.2">
      <c r="A1693" s="1" t="s">
        <v>304</v>
      </c>
      <c r="B1693" s="1" t="s">
        <v>4103</v>
      </c>
      <c r="C1693" s="1">
        <v>7380</v>
      </c>
      <c r="D1693" s="1" t="s">
        <v>73</v>
      </c>
      <c r="F1693" s="1">
        <v>2023</v>
      </c>
      <c r="G1693" s="5">
        <v>1128</v>
      </c>
      <c r="H1693" s="5">
        <v>970.31</v>
      </c>
      <c r="I1693" s="5">
        <v>19729.02</v>
      </c>
      <c r="K1693" s="5">
        <v>6.5000000000000002E-2</v>
      </c>
      <c r="L1693" s="5">
        <v>1E-3</v>
      </c>
      <c r="M1693" s="5">
        <v>12913.22</v>
      </c>
      <c r="N1693" s="6">
        <v>5.9400000000000001E-2</v>
      </c>
      <c r="O1693" s="5">
        <v>7.7750000000000004</v>
      </c>
      <c r="P1693" s="6">
        <v>7.8299999999999995E-2</v>
      </c>
      <c r="Q1693" s="5">
        <v>217197.46299999999</v>
      </c>
      <c r="R1693" s="1" t="s">
        <v>44</v>
      </c>
      <c r="S1693" s="1" t="s">
        <v>94</v>
      </c>
      <c r="T1693" s="1" t="s">
        <v>93</v>
      </c>
      <c r="V1693" s="1" t="s">
        <v>183</v>
      </c>
      <c r="Y1693" s="1" t="s">
        <v>247</v>
      </c>
      <c r="Z1693" s="1" t="str">
        <f t="shared" si="78"/>
        <v>7380 6B</v>
      </c>
      <c r="AA1693" s="3">
        <f>IF(INDEX('CAMD Facility Data 2023'!$AA$2:$AE$10000,MATCH(Z1693,'CAMD Facility Data 2023'!$AE$2:$AE$10000,0),1)&gt;0,INDEX('CAMD Facility Data 2023'!$AA$2:$AE$10000,MATCH(Z1693,'CAMD Facility Data 2023'!$AE$2:$AE$10000,0),1),"")</f>
        <v>38939</v>
      </c>
      <c r="AB1693" s="5">
        <f>IF(INDEX('CAMD Facility Data 2023'!$AC$2:$AE$10000,MATCH(Z1693,'CAMD Facility Data 2023'!$AE$2:$AE$10000,0),1)&gt;0,INDEX('CAMD Facility Data 2023'!$AC$2:$AE$10000,MATCH(Z1693,'CAMD Facility Data 2023'!$AE$2:$AE$10000,0),1),"")</f>
        <v>572</v>
      </c>
      <c r="AC1693" s="1" t="str">
        <f>IF(INDEX('CAMD Facility Data 2023'!$AE$2:$AG$10000,MATCH(Z1693,'CAMD Facility Data 2023'!$AE$2:$AE$10000,0),3)&gt;0,INDEX('CAMD Facility Data 2023'!$AE$2:$AG$10000,MATCH(Z1693,'CAMD Facility Data 2023'!$AE$2:$AE$10000,0),3),"")</f>
        <v/>
      </c>
      <c r="AD1693" s="20">
        <f t="shared" si="79"/>
        <v>0.78817903778292076</v>
      </c>
      <c r="AE1693" s="25">
        <f t="shared" si="80"/>
        <v>4.3346557580547306E-2</v>
      </c>
    </row>
    <row r="1694" spans="1:31" x14ac:dyDescent="0.2">
      <c r="A1694" s="1" t="s">
        <v>304</v>
      </c>
      <c r="B1694" s="1" t="s">
        <v>4103</v>
      </c>
      <c r="C1694" s="1">
        <v>7380</v>
      </c>
      <c r="D1694" s="1" t="s">
        <v>75</v>
      </c>
      <c r="F1694" s="1">
        <v>2023</v>
      </c>
      <c r="G1694" s="5">
        <v>612</v>
      </c>
      <c r="H1694" s="5">
        <v>523.49</v>
      </c>
      <c r="I1694" s="5">
        <v>10847.84</v>
      </c>
      <c r="K1694" s="5">
        <v>3.7999999999999999E-2</v>
      </c>
      <c r="L1694" s="5">
        <v>1E-3</v>
      </c>
      <c r="M1694" s="5">
        <v>7491.402</v>
      </c>
      <c r="N1694" s="6">
        <v>5.9400000000000001E-2</v>
      </c>
      <c r="O1694" s="5">
        <v>5.6449999999999996</v>
      </c>
      <c r="P1694" s="6">
        <v>9.4500000000000001E-2</v>
      </c>
      <c r="Q1694" s="5">
        <v>126034.976</v>
      </c>
      <c r="R1694" s="1" t="s">
        <v>44</v>
      </c>
      <c r="S1694" s="1" t="s">
        <v>94</v>
      </c>
      <c r="T1694" s="1" t="s">
        <v>93</v>
      </c>
      <c r="V1694" s="1" t="s">
        <v>183</v>
      </c>
      <c r="Y1694" s="1" t="s">
        <v>247</v>
      </c>
      <c r="Z1694" s="1" t="str">
        <f t="shared" si="78"/>
        <v>7380 7A</v>
      </c>
      <c r="AA1694" s="3">
        <f>IF(INDEX('CAMD Facility Data 2023'!$AA$2:$AE$10000,MATCH(Z1694,'CAMD Facility Data 2023'!$AE$2:$AE$10000,0),1)&gt;0,INDEX('CAMD Facility Data 2023'!$AA$2:$AE$10000,MATCH(Z1694,'CAMD Facility Data 2023'!$AE$2:$AE$10000,0),1),"")</f>
        <v>38938</v>
      </c>
      <c r="AB1694" s="5">
        <f>IF(INDEX('CAMD Facility Data 2023'!$AC$2:$AE$10000,MATCH(Z1694,'CAMD Facility Data 2023'!$AE$2:$AE$10000,0),1)&gt;0,INDEX('CAMD Facility Data 2023'!$AC$2:$AE$10000,MATCH(Z1694,'CAMD Facility Data 2023'!$AE$2:$AE$10000,0),1),"")</f>
        <v>572</v>
      </c>
      <c r="AC1694" s="1" t="str">
        <f>IF(INDEX('CAMD Facility Data 2023'!$AE$2:$AG$10000,MATCH(Z1694,'CAMD Facility Data 2023'!$AE$2:$AE$10000,0),3)&gt;0,INDEX('CAMD Facility Data 2023'!$AE$2:$AG$10000,MATCH(Z1694,'CAMD Facility Data 2023'!$AE$2:$AE$10000,0),3),"")</f>
        <v/>
      </c>
      <c r="AD1694" s="20">
        <f t="shared" si="79"/>
        <v>1.0407601882033659</v>
      </c>
      <c r="AE1694" s="25">
        <f t="shared" si="80"/>
        <v>2.51530670242999E-2</v>
      </c>
    </row>
    <row r="1695" spans="1:31" x14ac:dyDescent="0.2">
      <c r="A1695" s="1" t="s">
        <v>304</v>
      </c>
      <c r="B1695" s="1" t="s">
        <v>4103</v>
      </c>
      <c r="C1695" s="1">
        <v>7380</v>
      </c>
      <c r="D1695" s="1" t="s">
        <v>78</v>
      </c>
      <c r="F1695" s="1">
        <v>2023</v>
      </c>
      <c r="G1695" s="5">
        <v>0</v>
      </c>
      <c r="H1695" s="5">
        <v>0</v>
      </c>
      <c r="R1695" s="1" t="s">
        <v>44</v>
      </c>
      <c r="S1695" s="1" t="s">
        <v>94</v>
      </c>
      <c r="T1695" s="1" t="s">
        <v>93</v>
      </c>
      <c r="V1695" s="1" t="s">
        <v>183</v>
      </c>
      <c r="Y1695" s="1" t="s">
        <v>247</v>
      </c>
      <c r="Z1695" s="1" t="str">
        <f t="shared" si="78"/>
        <v>7380 7B</v>
      </c>
      <c r="AA1695" s="3">
        <f>IF(INDEX('CAMD Facility Data 2023'!$AA$2:$AE$10000,MATCH(Z1695,'CAMD Facility Data 2023'!$AE$2:$AE$10000,0),1)&gt;0,INDEX('CAMD Facility Data 2023'!$AA$2:$AE$10000,MATCH(Z1695,'CAMD Facility Data 2023'!$AE$2:$AE$10000,0),1),"")</f>
        <v>38938</v>
      </c>
      <c r="AB1695" s="5">
        <f>IF(INDEX('CAMD Facility Data 2023'!$AC$2:$AE$10000,MATCH(Z1695,'CAMD Facility Data 2023'!$AE$2:$AE$10000,0),1)&gt;0,INDEX('CAMD Facility Data 2023'!$AC$2:$AE$10000,MATCH(Z1695,'CAMD Facility Data 2023'!$AE$2:$AE$10000,0),1),"")</f>
        <v>572</v>
      </c>
      <c r="AC1695" s="1" t="str">
        <f>IF(INDEX('CAMD Facility Data 2023'!$AE$2:$AG$10000,MATCH(Z1695,'CAMD Facility Data 2023'!$AE$2:$AE$10000,0),3)&gt;0,INDEX('CAMD Facility Data 2023'!$AE$2:$AG$10000,MATCH(Z1695,'CAMD Facility Data 2023'!$AE$2:$AE$10000,0),3),"")</f>
        <v/>
      </c>
      <c r="AD1695" s="20" t="str">
        <f t="shared" si="79"/>
        <v/>
      </c>
      <c r="AE1695" s="25">
        <f t="shared" si="80"/>
        <v>0</v>
      </c>
    </row>
    <row r="1696" spans="1:31" x14ac:dyDescent="0.2">
      <c r="A1696" s="1" t="s">
        <v>304</v>
      </c>
      <c r="B1696" s="1" t="s">
        <v>4103</v>
      </c>
      <c r="C1696" s="1">
        <v>7380</v>
      </c>
      <c r="D1696" s="1" t="s">
        <v>830</v>
      </c>
      <c r="F1696" s="1">
        <v>2023</v>
      </c>
      <c r="G1696" s="5">
        <v>0</v>
      </c>
      <c r="H1696" s="5">
        <v>0</v>
      </c>
      <c r="R1696" s="1" t="s">
        <v>44</v>
      </c>
      <c r="S1696" s="1" t="s">
        <v>94</v>
      </c>
      <c r="T1696" s="1" t="s">
        <v>93</v>
      </c>
      <c r="V1696" s="1" t="s">
        <v>183</v>
      </c>
      <c r="Y1696" s="1" t="s">
        <v>247</v>
      </c>
      <c r="Z1696" s="1" t="str">
        <f t="shared" si="78"/>
        <v>7380 8A</v>
      </c>
      <c r="AA1696" s="3">
        <f>IF(INDEX('CAMD Facility Data 2023'!$AA$2:$AE$10000,MATCH(Z1696,'CAMD Facility Data 2023'!$AE$2:$AE$10000,0),1)&gt;0,INDEX('CAMD Facility Data 2023'!$AA$2:$AE$10000,MATCH(Z1696,'CAMD Facility Data 2023'!$AE$2:$AE$10000,0),1),"")</f>
        <v>38971</v>
      </c>
      <c r="AB1696" s="5">
        <f>IF(INDEX('CAMD Facility Data 2023'!$AC$2:$AE$10000,MATCH(Z1696,'CAMD Facility Data 2023'!$AE$2:$AE$10000,0),1)&gt;0,INDEX('CAMD Facility Data 2023'!$AC$2:$AE$10000,MATCH(Z1696,'CAMD Facility Data 2023'!$AE$2:$AE$10000,0),1),"")</f>
        <v>572</v>
      </c>
      <c r="AC1696" s="1" t="str">
        <f>IF(INDEX('CAMD Facility Data 2023'!$AE$2:$AG$10000,MATCH(Z1696,'CAMD Facility Data 2023'!$AE$2:$AE$10000,0),3)&gt;0,INDEX('CAMD Facility Data 2023'!$AE$2:$AG$10000,MATCH(Z1696,'CAMD Facility Data 2023'!$AE$2:$AE$10000,0),3),"")</f>
        <v/>
      </c>
      <c r="AD1696" s="20" t="str">
        <f t="shared" si="79"/>
        <v/>
      </c>
      <c r="AE1696" s="25">
        <f t="shared" si="80"/>
        <v>0</v>
      </c>
    </row>
    <row r="1697" spans="1:31" x14ac:dyDescent="0.2">
      <c r="A1697" s="1" t="s">
        <v>304</v>
      </c>
      <c r="B1697" s="1" t="s">
        <v>4103</v>
      </c>
      <c r="C1697" s="1">
        <v>7380</v>
      </c>
      <c r="D1697" s="1" t="s">
        <v>832</v>
      </c>
      <c r="F1697" s="1">
        <v>2023</v>
      </c>
      <c r="G1697" s="5">
        <v>626</v>
      </c>
      <c r="H1697" s="5">
        <v>520.83000000000004</v>
      </c>
      <c r="I1697" s="5">
        <v>10878.33</v>
      </c>
      <c r="K1697" s="5">
        <v>3.7999999999999999E-2</v>
      </c>
      <c r="L1697" s="5">
        <v>1E-3</v>
      </c>
      <c r="M1697" s="5">
        <v>7539.232</v>
      </c>
      <c r="N1697" s="6">
        <v>5.9299999999999999E-2</v>
      </c>
      <c r="O1697" s="5">
        <v>5.4340000000000002</v>
      </c>
      <c r="P1697" s="6">
        <v>9.1499999999999998E-2</v>
      </c>
      <c r="Q1697" s="5">
        <v>126812.80899999999</v>
      </c>
      <c r="R1697" s="1" t="s">
        <v>44</v>
      </c>
      <c r="S1697" s="1" t="s">
        <v>94</v>
      </c>
      <c r="T1697" s="1" t="s">
        <v>93</v>
      </c>
      <c r="V1697" s="1" t="s">
        <v>183</v>
      </c>
      <c r="Y1697" s="1" t="s">
        <v>247</v>
      </c>
      <c r="Z1697" s="1" t="str">
        <f t="shared" si="78"/>
        <v>7380 8B</v>
      </c>
      <c r="AA1697" s="3">
        <f>IF(INDEX('CAMD Facility Data 2023'!$AA$2:$AE$10000,MATCH(Z1697,'CAMD Facility Data 2023'!$AE$2:$AE$10000,0),1)&gt;0,INDEX('CAMD Facility Data 2023'!$AA$2:$AE$10000,MATCH(Z1697,'CAMD Facility Data 2023'!$AE$2:$AE$10000,0),1),"")</f>
        <v>38971</v>
      </c>
      <c r="AB1697" s="5">
        <f>IF(INDEX('CAMD Facility Data 2023'!$AC$2:$AE$10000,MATCH(Z1697,'CAMD Facility Data 2023'!$AE$2:$AE$10000,0),1)&gt;0,INDEX('CAMD Facility Data 2023'!$AC$2:$AE$10000,MATCH(Z1697,'CAMD Facility Data 2023'!$AE$2:$AE$10000,0),1),"")</f>
        <v>572</v>
      </c>
      <c r="AC1697" s="1" t="str">
        <f>IF(INDEX('CAMD Facility Data 2023'!$AE$2:$AG$10000,MATCH(Z1697,'CAMD Facility Data 2023'!$AE$2:$AE$10000,0),3)&gt;0,INDEX('CAMD Facility Data 2023'!$AE$2:$AG$10000,MATCH(Z1697,'CAMD Facility Data 2023'!$AE$2:$AE$10000,0),3),"")</f>
        <v/>
      </c>
      <c r="AD1697" s="20">
        <f t="shared" si="79"/>
        <v>0.99905040571484782</v>
      </c>
      <c r="AE1697" s="25">
        <f t="shared" si="80"/>
        <v>2.53083008030782E-2</v>
      </c>
    </row>
    <row r="1698" spans="1:31" x14ac:dyDescent="0.2">
      <c r="A1698" s="1" t="s">
        <v>458</v>
      </c>
      <c r="B1698" s="1" t="s">
        <v>4109</v>
      </c>
      <c r="C1698" s="1">
        <v>7425</v>
      </c>
      <c r="D1698" s="1">
        <v>1</v>
      </c>
      <c r="F1698" s="1">
        <v>2023</v>
      </c>
      <c r="G1698" s="5">
        <v>553</v>
      </c>
      <c r="H1698" s="5">
        <v>491.66</v>
      </c>
      <c r="I1698" s="5">
        <v>39524.1</v>
      </c>
      <c r="K1698" s="5">
        <v>0.154</v>
      </c>
      <c r="L1698" s="5">
        <v>1E-3</v>
      </c>
      <c r="M1698" s="5">
        <v>30633.378000000001</v>
      </c>
      <c r="N1698" s="6">
        <v>5.96E-2</v>
      </c>
      <c r="O1698" s="5">
        <v>38.017000000000003</v>
      </c>
      <c r="P1698" s="6">
        <v>0.1474</v>
      </c>
      <c r="Q1698" s="5">
        <v>511740.20699999999</v>
      </c>
      <c r="R1698" s="1" t="s">
        <v>44</v>
      </c>
      <c r="S1698" s="1" t="s">
        <v>94</v>
      </c>
      <c r="T1698" s="1" t="s">
        <v>93</v>
      </c>
      <c r="V1698" s="1" t="s">
        <v>95</v>
      </c>
      <c r="Y1698" s="1" t="s">
        <v>461</v>
      </c>
      <c r="Z1698" s="1" t="str">
        <f t="shared" si="78"/>
        <v>7425 1</v>
      </c>
      <c r="AA1698" s="3">
        <f>IF(INDEX('CAMD Facility Data 2023'!$AA$2:$AE$10000,MATCH(Z1698,'CAMD Facility Data 2023'!$AE$2:$AE$10000,0),1)&gt;0,INDEX('CAMD Facility Data 2023'!$AA$2:$AE$10000,MATCH(Z1698,'CAMD Facility Data 2023'!$AE$2:$AE$10000,0),1),"")</f>
        <v>35674</v>
      </c>
      <c r="AB1698" s="5">
        <f>IF(INDEX('CAMD Facility Data 2023'!$AC$2:$AE$10000,MATCH(Z1698,'CAMD Facility Data 2023'!$AE$2:$AE$10000,0),1)&gt;0,INDEX('CAMD Facility Data 2023'!$AC$2:$AE$10000,MATCH(Z1698,'CAMD Facility Data 2023'!$AE$2:$AE$10000,0),1),"")</f>
        <v>1370</v>
      </c>
      <c r="AC1698" s="1" t="str">
        <f>IF(INDEX('CAMD Facility Data 2023'!$AE$2:$AG$10000,MATCH(Z1698,'CAMD Facility Data 2023'!$AE$2:$AE$10000,0),3)&gt;0,INDEX('CAMD Facility Data 2023'!$AE$2:$AG$10000,MATCH(Z1698,'CAMD Facility Data 2023'!$AE$2:$AE$10000,0),3),"")</f>
        <v/>
      </c>
      <c r="AD1698" s="20">
        <f t="shared" si="79"/>
        <v>1.9237376689159273</v>
      </c>
      <c r="AE1698" s="25">
        <f t="shared" si="80"/>
        <v>4.2640753174682529E-2</v>
      </c>
    </row>
    <row r="1699" spans="1:31" x14ac:dyDescent="0.2">
      <c r="A1699" s="1" t="s">
        <v>370</v>
      </c>
      <c r="B1699" s="1" t="s">
        <v>4111</v>
      </c>
      <c r="C1699" s="1">
        <v>7449</v>
      </c>
      <c r="D1699" s="1" t="s">
        <v>4112</v>
      </c>
      <c r="F1699" s="1">
        <v>2023</v>
      </c>
      <c r="G1699" s="5">
        <v>211</v>
      </c>
      <c r="H1699" s="5">
        <v>173.41</v>
      </c>
      <c r="I1699" s="5">
        <v>7140.32</v>
      </c>
      <c r="K1699" s="5">
        <v>1.7000000000000001E-2</v>
      </c>
      <c r="L1699" s="5">
        <v>1E-3</v>
      </c>
      <c r="M1699" s="5">
        <v>3433.4319999999998</v>
      </c>
      <c r="N1699" s="6">
        <v>5.9299999999999999E-2</v>
      </c>
      <c r="O1699" s="5">
        <v>0.49399999999999999</v>
      </c>
      <c r="P1699" s="6">
        <v>2.6499999999999999E-2</v>
      </c>
      <c r="Q1699" s="5">
        <v>57776.538999999997</v>
      </c>
      <c r="R1699" s="1" t="s">
        <v>44</v>
      </c>
      <c r="T1699" s="1" t="s">
        <v>93</v>
      </c>
      <c r="V1699" s="1" t="s">
        <v>223</v>
      </c>
      <c r="Y1699" s="1" t="s">
        <v>247</v>
      </c>
      <c r="Z1699" s="1" t="str">
        <f t="shared" si="78"/>
        <v>7449 NA1</v>
      </c>
      <c r="AA1699" s="3">
        <f>IF(INDEX('CAMD Facility Data 2023'!$AA$2:$AE$10000,MATCH(Z1699,'CAMD Facility Data 2023'!$AE$2:$AE$10000,0),1)&gt;0,INDEX('CAMD Facility Data 2023'!$AA$2:$AE$10000,MATCH(Z1699,'CAMD Facility Data 2023'!$AE$2:$AE$10000,0),1),"")</f>
        <v>35156</v>
      </c>
      <c r="AB1699" s="5">
        <f>IF(INDEX('CAMD Facility Data 2023'!$AC$2:$AE$10000,MATCH(Z1699,'CAMD Facility Data 2023'!$AE$2:$AE$10000,0),1)&gt;0,INDEX('CAMD Facility Data 2023'!$AC$2:$AE$10000,MATCH(Z1699,'CAMD Facility Data 2023'!$AE$2:$AE$10000,0),1),"")</f>
        <v>463</v>
      </c>
      <c r="AC1699" s="1" t="str">
        <f>IF(INDEX('CAMD Facility Data 2023'!$AE$2:$AG$10000,MATCH(Z1699,'CAMD Facility Data 2023'!$AE$2:$AE$10000,0),3)&gt;0,INDEX('CAMD Facility Data 2023'!$AE$2:$AG$10000,MATCH(Z1699,'CAMD Facility Data 2023'!$AE$2:$AE$10000,0),3),"")</f>
        <v>Y</v>
      </c>
      <c r="AD1699" s="20">
        <f t="shared" si="79"/>
        <v>0.13836914872162592</v>
      </c>
      <c r="AE1699" s="25">
        <f t="shared" si="80"/>
        <v>1.4245130279988558E-2</v>
      </c>
    </row>
    <row r="1700" spans="1:31" x14ac:dyDescent="0.2">
      <c r="A1700" s="1" t="s">
        <v>4118</v>
      </c>
      <c r="B1700" s="1" t="s">
        <v>4119</v>
      </c>
      <c r="C1700" s="1">
        <v>7456</v>
      </c>
      <c r="D1700" s="1">
        <v>1</v>
      </c>
      <c r="F1700" s="1">
        <v>2023</v>
      </c>
      <c r="G1700" s="5">
        <v>5662</v>
      </c>
      <c r="H1700" s="5">
        <v>5542.96</v>
      </c>
      <c r="I1700" s="5">
        <v>388387.57</v>
      </c>
      <c r="K1700" s="5">
        <v>1.216</v>
      </c>
      <c r="L1700" s="5">
        <v>1E-3</v>
      </c>
      <c r="M1700" s="5">
        <v>240815.24100000001</v>
      </c>
      <c r="N1700" s="6">
        <v>5.8999999999999997E-2</v>
      </c>
      <c r="O1700" s="5">
        <v>121.438</v>
      </c>
      <c r="P1700" s="6">
        <v>6.1600000000000002E-2</v>
      </c>
      <c r="Q1700" s="5">
        <v>4052164.949</v>
      </c>
      <c r="R1700" s="1" t="s">
        <v>44</v>
      </c>
      <c r="T1700" s="1" t="s">
        <v>93</v>
      </c>
      <c r="V1700" s="1" t="s">
        <v>140</v>
      </c>
      <c r="Y1700" s="1" t="s">
        <v>247</v>
      </c>
      <c r="Z1700" s="1" t="str">
        <f t="shared" si="78"/>
        <v>7456 1</v>
      </c>
      <c r="AA1700" s="3">
        <f>IF(INDEX('CAMD Facility Data 2023'!$AA$2:$AE$10000,MATCH(Z1700,'CAMD Facility Data 2023'!$AE$2:$AE$10000,0),1)&gt;0,INDEX('CAMD Facility Data 2023'!$AA$2:$AE$10000,MATCH(Z1700,'CAMD Facility Data 2023'!$AE$2:$AE$10000,0),1),"")</f>
        <v>34700</v>
      </c>
      <c r="AB1700" s="5">
        <f>IF(INDEX('CAMD Facility Data 2023'!$AC$2:$AE$10000,MATCH(Z1700,'CAMD Facility Data 2023'!$AE$2:$AE$10000,0),1)&gt;0,INDEX('CAMD Facility Data 2023'!$AC$2:$AE$10000,MATCH(Z1700,'CAMD Facility Data 2023'!$AE$2:$AE$10000,0),1),"")</f>
        <v>1200</v>
      </c>
      <c r="AC1700" s="1" t="str">
        <f>IF(INDEX('CAMD Facility Data 2023'!$AE$2:$AG$10000,MATCH(Z1700,'CAMD Facility Data 2023'!$AE$2:$AE$10000,0),3)&gt;0,INDEX('CAMD Facility Data 2023'!$AE$2:$AG$10000,MATCH(Z1700,'CAMD Facility Data 2023'!$AE$2:$AE$10000,0),3),"")</f>
        <v/>
      </c>
      <c r="AD1700" s="20">
        <f t="shared" si="79"/>
        <v>0.62534442078051056</v>
      </c>
      <c r="AE1700" s="25">
        <f t="shared" si="80"/>
        <v>0.3854799228500761</v>
      </c>
    </row>
    <row r="1701" spans="1:31" x14ac:dyDescent="0.2">
      <c r="A1701" s="1" t="s">
        <v>4118</v>
      </c>
      <c r="B1701" s="1" t="s">
        <v>4119</v>
      </c>
      <c r="C1701" s="1">
        <v>7456</v>
      </c>
      <c r="D1701" s="1">
        <v>2</v>
      </c>
      <c r="F1701" s="1">
        <v>2023</v>
      </c>
      <c r="G1701" s="5">
        <v>5775</v>
      </c>
      <c r="H1701" s="5">
        <v>5667.02</v>
      </c>
      <c r="I1701" s="5">
        <v>393759.33</v>
      </c>
      <c r="K1701" s="5">
        <v>1.2090000000000001</v>
      </c>
      <c r="L1701" s="5">
        <v>1E-3</v>
      </c>
      <c r="M1701" s="5">
        <v>239451.35699999999</v>
      </c>
      <c r="N1701" s="6">
        <v>5.8999999999999997E-2</v>
      </c>
      <c r="O1701" s="5">
        <v>82.512</v>
      </c>
      <c r="P1701" s="6">
        <v>4.1500000000000002E-2</v>
      </c>
      <c r="Q1701" s="5">
        <v>4029186.2969999998</v>
      </c>
      <c r="R1701" s="1" t="s">
        <v>44</v>
      </c>
      <c r="T1701" s="1" t="s">
        <v>93</v>
      </c>
      <c r="V1701" s="1" t="s">
        <v>140</v>
      </c>
      <c r="Y1701" s="1" t="s">
        <v>247</v>
      </c>
      <c r="Z1701" s="1" t="str">
        <f t="shared" si="78"/>
        <v>7456 2</v>
      </c>
      <c r="AA1701" s="3">
        <f>IF(INDEX('CAMD Facility Data 2023'!$AA$2:$AE$10000,MATCH(Z1701,'CAMD Facility Data 2023'!$AE$2:$AE$10000,0),1)&gt;0,INDEX('CAMD Facility Data 2023'!$AA$2:$AE$10000,MATCH(Z1701,'CAMD Facility Data 2023'!$AE$2:$AE$10000,0),1),"")</f>
        <v>34700</v>
      </c>
      <c r="AB1701" s="5">
        <f>IF(INDEX('CAMD Facility Data 2023'!$AC$2:$AE$10000,MATCH(Z1701,'CAMD Facility Data 2023'!$AE$2:$AE$10000,0),1)&gt;0,INDEX('CAMD Facility Data 2023'!$AC$2:$AE$10000,MATCH(Z1701,'CAMD Facility Data 2023'!$AE$2:$AE$10000,0),1),"")</f>
        <v>1200</v>
      </c>
      <c r="AC1701" s="1" t="str">
        <f>IF(INDEX('CAMD Facility Data 2023'!$AE$2:$AG$10000,MATCH(Z1701,'CAMD Facility Data 2023'!$AE$2:$AE$10000,0),3)&gt;0,INDEX('CAMD Facility Data 2023'!$AE$2:$AG$10000,MATCH(Z1701,'CAMD Facility Data 2023'!$AE$2:$AE$10000,0),3),"")</f>
        <v/>
      </c>
      <c r="AD1701" s="20">
        <f t="shared" si="79"/>
        <v>0.41909864078649256</v>
      </c>
      <c r="AE1701" s="25">
        <f t="shared" si="80"/>
        <v>0.38329397802511411</v>
      </c>
    </row>
    <row r="1702" spans="1:31" x14ac:dyDescent="0.2">
      <c r="A1702" s="1" t="s">
        <v>3253</v>
      </c>
      <c r="B1702" s="1" t="s">
        <v>4125</v>
      </c>
      <c r="C1702" s="1">
        <v>7504</v>
      </c>
      <c r="D1702" s="1">
        <v>1</v>
      </c>
      <c r="F1702" s="1">
        <v>2023</v>
      </c>
      <c r="G1702" s="5">
        <v>8309</v>
      </c>
      <c r="H1702" s="5">
        <v>8295.6200000000008</v>
      </c>
      <c r="I1702" s="5">
        <v>677923.87</v>
      </c>
      <c r="K1702" s="5">
        <v>413.13400000000001</v>
      </c>
      <c r="L1702" s="5">
        <v>9.8500000000000004E-2</v>
      </c>
      <c r="M1702" s="5">
        <v>867631.995</v>
      </c>
      <c r="N1702" s="6">
        <v>0.105</v>
      </c>
      <c r="O1702" s="5">
        <v>651.96299999999997</v>
      </c>
      <c r="P1702" s="6">
        <v>0.1573</v>
      </c>
      <c r="Q1702" s="5">
        <v>8272704.4479999999</v>
      </c>
      <c r="R1702" s="1" t="s">
        <v>55</v>
      </c>
      <c r="T1702" s="1" t="s">
        <v>89</v>
      </c>
      <c r="U1702" s="1" t="s">
        <v>212</v>
      </c>
      <c r="V1702" s="1" t="s">
        <v>289</v>
      </c>
      <c r="W1702" s="1" t="s">
        <v>58</v>
      </c>
      <c r="X1702" s="1" t="s">
        <v>3674</v>
      </c>
      <c r="Y1702" s="1" t="s">
        <v>236</v>
      </c>
      <c r="Z1702" s="1" t="str">
        <f t="shared" si="78"/>
        <v>7504 1</v>
      </c>
      <c r="AA1702" s="3">
        <f>IF(INDEX('CAMD Facility Data 2023'!$AA$2:$AE$10000,MATCH(Z1702,'CAMD Facility Data 2023'!$AE$2:$AE$10000,0),1)&gt;0,INDEX('CAMD Facility Data 2023'!$AA$2:$AE$10000,MATCH(Z1702,'CAMD Facility Data 2023'!$AE$2:$AE$10000,0),1),"")</f>
        <v>34865</v>
      </c>
      <c r="AB1702" s="5">
        <f>IF(INDEX('CAMD Facility Data 2023'!$AC$2:$AE$10000,MATCH(Z1702,'CAMD Facility Data 2023'!$AE$2:$AE$10000,0),1)&gt;0,INDEX('CAMD Facility Data 2023'!$AC$2:$AE$10000,MATCH(Z1702,'CAMD Facility Data 2023'!$AE$2:$AE$10000,0),1),"")</f>
        <v>1300</v>
      </c>
      <c r="AC1702" s="1" t="str">
        <f>IF(INDEX('CAMD Facility Data 2023'!$AE$2:$AG$10000,MATCH(Z1702,'CAMD Facility Data 2023'!$AE$2:$AE$10000,0),3)&gt;0,INDEX('CAMD Facility Data 2023'!$AE$2:$AG$10000,MATCH(Z1702,'CAMD Facility Data 2023'!$AE$2:$AE$10000,0),3),"")</f>
        <v/>
      </c>
      <c r="AD1702" s="20">
        <f t="shared" si="79"/>
        <v>1.9234106626161431</v>
      </c>
      <c r="AE1702" s="25">
        <f t="shared" si="80"/>
        <v>0.72644050298559881</v>
      </c>
    </row>
    <row r="1703" spans="1:31" x14ac:dyDescent="0.2">
      <c r="A1703" s="1" t="s">
        <v>3253</v>
      </c>
      <c r="B1703" s="1" t="s">
        <v>4125</v>
      </c>
      <c r="C1703" s="1">
        <v>7504</v>
      </c>
      <c r="D1703" s="1" t="s">
        <v>311</v>
      </c>
      <c r="F1703" s="1">
        <v>2023</v>
      </c>
      <c r="G1703" s="5">
        <v>3009</v>
      </c>
      <c r="H1703" s="5">
        <v>2739.19</v>
      </c>
      <c r="I1703" s="5">
        <v>74908.89</v>
      </c>
      <c r="K1703" s="5">
        <v>0.23499999999999999</v>
      </c>
      <c r="L1703" s="5">
        <v>1E-3</v>
      </c>
      <c r="M1703" s="5">
        <v>46484.178</v>
      </c>
      <c r="N1703" s="6">
        <v>5.9299999999999999E-2</v>
      </c>
      <c r="O1703" s="5">
        <v>24.190999999999999</v>
      </c>
      <c r="P1703" s="6">
        <v>6.1199999999999997E-2</v>
      </c>
      <c r="Q1703" s="5">
        <v>782181.60199999996</v>
      </c>
      <c r="R1703" s="1" t="s">
        <v>44</v>
      </c>
      <c r="T1703" s="1" t="s">
        <v>93</v>
      </c>
      <c r="V1703" s="1" t="s">
        <v>140</v>
      </c>
      <c r="Y1703" s="1" t="s">
        <v>247</v>
      </c>
      <c r="Z1703" s="1" t="str">
        <f t="shared" si="78"/>
        <v>7504 CT1</v>
      </c>
      <c r="AA1703" s="3">
        <f>IF(INDEX('CAMD Facility Data 2023'!$AA$2:$AE$10000,MATCH(Z1703,'CAMD Facility Data 2023'!$AE$2:$AE$10000,0),1)&gt;0,INDEX('CAMD Facility Data 2023'!$AA$2:$AE$10000,MATCH(Z1703,'CAMD Facility Data 2023'!$AE$2:$AE$10000,0),1),"")</f>
        <v>36692</v>
      </c>
      <c r="AB1703" s="5">
        <f>IF(INDEX('CAMD Facility Data 2023'!$AC$2:$AE$10000,MATCH(Z1703,'CAMD Facility Data 2023'!$AE$2:$AE$10000,0),1)&gt;0,INDEX('CAMD Facility Data 2023'!$AC$2:$AE$10000,MATCH(Z1703,'CAMD Facility Data 2023'!$AE$2:$AE$10000,0),1),"")</f>
        <v>393</v>
      </c>
      <c r="AC1703" s="1" t="str">
        <f>IF(INDEX('CAMD Facility Data 2023'!$AE$2:$AG$10000,MATCH(Z1703,'CAMD Facility Data 2023'!$AE$2:$AE$10000,0),3)&gt;0,INDEX('CAMD Facility Data 2023'!$AE$2:$AG$10000,MATCH(Z1703,'CAMD Facility Data 2023'!$AE$2:$AE$10000,0),3),"")</f>
        <v/>
      </c>
      <c r="AD1703" s="20">
        <f t="shared" si="79"/>
        <v>0.64587794586196645</v>
      </c>
      <c r="AE1703" s="25">
        <f t="shared" si="80"/>
        <v>0.22720136695829993</v>
      </c>
    </row>
    <row r="1704" spans="1:31" x14ac:dyDescent="0.2">
      <c r="A1704" s="1" t="s">
        <v>225</v>
      </c>
      <c r="B1704" s="1" t="s">
        <v>4128</v>
      </c>
      <c r="C1704" s="1">
        <v>7515</v>
      </c>
      <c r="D1704" s="1">
        <v>1</v>
      </c>
      <c r="F1704" s="1">
        <v>2023</v>
      </c>
      <c r="G1704" s="5">
        <v>607</v>
      </c>
      <c r="H1704" s="5">
        <v>526.67999999999995</v>
      </c>
      <c r="I1704" s="5">
        <v>13237.53</v>
      </c>
      <c r="K1704" s="5">
        <v>6.2E-2</v>
      </c>
      <c r="L1704" s="5">
        <v>1E-3</v>
      </c>
      <c r="M1704" s="5">
        <v>12298.194</v>
      </c>
      <c r="N1704" s="6">
        <v>5.9400000000000001E-2</v>
      </c>
      <c r="O1704" s="5">
        <v>17.047000000000001</v>
      </c>
      <c r="P1704" s="6">
        <v>0.16500000000000001</v>
      </c>
      <c r="Q1704" s="5">
        <v>206637.361</v>
      </c>
      <c r="R1704" s="1" t="s">
        <v>44</v>
      </c>
      <c r="S1704" s="1" t="s">
        <v>94</v>
      </c>
      <c r="T1704" s="1" t="s">
        <v>93</v>
      </c>
      <c r="V1704" s="1" t="s">
        <v>95</v>
      </c>
      <c r="Y1704" s="1" t="s">
        <v>35</v>
      </c>
      <c r="Z1704" s="1" t="str">
        <f t="shared" si="78"/>
        <v>7515 1</v>
      </c>
      <c r="AA1704" s="3">
        <f>IF(INDEX('CAMD Facility Data 2023'!$AA$2:$AE$10000,MATCH(Z1704,'CAMD Facility Data 2023'!$AE$2:$AE$10000,0),1)&gt;0,INDEX('CAMD Facility Data 2023'!$AA$2:$AE$10000,MATCH(Z1704,'CAMD Facility Data 2023'!$AE$2:$AE$10000,0),1),"")</f>
        <v>36097</v>
      </c>
      <c r="AB1704" s="5">
        <f>IF(INDEX('CAMD Facility Data 2023'!$AC$2:$AE$10000,MATCH(Z1704,'CAMD Facility Data 2023'!$AE$2:$AE$10000,0),1)&gt;0,INDEX('CAMD Facility Data 2023'!$AC$2:$AE$10000,MATCH(Z1704,'CAMD Facility Data 2023'!$AE$2:$AE$10000,0),1),"")</f>
        <v>1200</v>
      </c>
      <c r="AC1704" s="1" t="str">
        <f>IF(INDEX('CAMD Facility Data 2023'!$AE$2:$AG$10000,MATCH(Z1704,'CAMD Facility Data 2023'!$AE$2:$AE$10000,0),3)&gt;0,INDEX('CAMD Facility Data 2023'!$AE$2:$AG$10000,MATCH(Z1704,'CAMD Facility Data 2023'!$AE$2:$AE$10000,0),3),"")</f>
        <v/>
      </c>
      <c r="AD1704" s="20">
        <f t="shared" si="79"/>
        <v>2.5755560138485047</v>
      </c>
      <c r="AE1704" s="25">
        <f t="shared" si="80"/>
        <v>1.9657283200152208E-2</v>
      </c>
    </row>
    <row r="1705" spans="1:31" x14ac:dyDescent="0.2">
      <c r="A1705" s="1" t="s">
        <v>370</v>
      </c>
      <c r="B1705" s="1" t="s">
        <v>4130</v>
      </c>
      <c r="C1705" s="1">
        <v>7527</v>
      </c>
      <c r="D1705" s="1">
        <v>1</v>
      </c>
      <c r="F1705" s="1">
        <v>2023</v>
      </c>
      <c r="G1705" s="5">
        <v>3810</v>
      </c>
      <c r="H1705" s="5">
        <v>3791.83</v>
      </c>
      <c r="I1705" s="5">
        <v>151418.72</v>
      </c>
      <c r="K1705" s="5">
        <v>0.40500000000000003</v>
      </c>
      <c r="L1705" s="5">
        <v>1E-3</v>
      </c>
      <c r="M1705" s="5">
        <v>82935.172000000006</v>
      </c>
      <c r="N1705" s="6">
        <v>6.0400000000000002E-2</v>
      </c>
      <c r="O1705" s="5">
        <v>4.7699999999999996</v>
      </c>
      <c r="P1705" s="6">
        <v>7.1999999999999998E-3</v>
      </c>
      <c r="Q1705" s="5">
        <v>1368776.682</v>
      </c>
      <c r="R1705" s="1" t="s">
        <v>284</v>
      </c>
      <c r="S1705" s="1" t="s">
        <v>288</v>
      </c>
      <c r="T1705" s="1" t="s">
        <v>71</v>
      </c>
      <c r="V1705" s="1" t="s">
        <v>176</v>
      </c>
      <c r="Y1705" s="1" t="s">
        <v>247</v>
      </c>
      <c r="Z1705" s="1" t="str">
        <f t="shared" si="78"/>
        <v>7527 1</v>
      </c>
      <c r="AA1705" s="3">
        <f>IF(INDEX('CAMD Facility Data 2023'!$AA$2:$AE$10000,MATCH(Z1705,'CAMD Facility Data 2023'!$AE$2:$AE$10000,0),1)&gt;0,INDEX('CAMD Facility Data 2023'!$AA$2:$AE$10000,MATCH(Z1705,'CAMD Facility Data 2023'!$AE$2:$AE$10000,0),1),"")</f>
        <v>34983</v>
      </c>
      <c r="AB1705" s="5">
        <f>IF(INDEX('CAMD Facility Data 2023'!$AC$2:$AE$10000,MATCH(Z1705,'CAMD Facility Data 2023'!$AE$2:$AE$10000,0),1)&gt;0,INDEX('CAMD Facility Data 2023'!$AC$2:$AE$10000,MATCH(Z1705,'CAMD Facility Data 2023'!$AE$2:$AE$10000,0),1),"")</f>
        <v>599</v>
      </c>
      <c r="AC1705" s="1" t="str">
        <f>IF(INDEX('CAMD Facility Data 2023'!$AE$2:$AG$10000,MATCH(Z1705,'CAMD Facility Data 2023'!$AE$2:$AE$10000,0),3)&gt;0,INDEX('CAMD Facility Data 2023'!$AE$2:$AG$10000,MATCH(Z1705,'CAMD Facility Data 2023'!$AE$2:$AE$10000,0),3),"")</f>
        <v>Y</v>
      </c>
      <c r="AD1705" s="20">
        <f t="shared" si="79"/>
        <v>6.3004098832693867E-2</v>
      </c>
      <c r="AE1705" s="25">
        <f t="shared" si="80"/>
        <v>0.2608565039906694</v>
      </c>
    </row>
    <row r="1706" spans="1:31" x14ac:dyDescent="0.2">
      <c r="A1706" s="1" t="s">
        <v>370</v>
      </c>
      <c r="B1706" s="1" t="s">
        <v>4130</v>
      </c>
      <c r="C1706" s="1">
        <v>7527</v>
      </c>
      <c r="D1706" s="1">
        <v>2</v>
      </c>
      <c r="F1706" s="1">
        <v>2023</v>
      </c>
      <c r="G1706" s="5">
        <v>203</v>
      </c>
      <c r="H1706" s="5">
        <v>163.02000000000001</v>
      </c>
      <c r="I1706" s="5">
        <v>5194.41</v>
      </c>
      <c r="K1706" s="5">
        <v>1.7999999999999999E-2</v>
      </c>
      <c r="L1706" s="5">
        <v>1E-3</v>
      </c>
      <c r="M1706" s="5">
        <v>3497.5259999999998</v>
      </c>
      <c r="N1706" s="6">
        <v>5.9200000000000003E-2</v>
      </c>
      <c r="O1706" s="5">
        <v>0.48099999999999998</v>
      </c>
      <c r="P1706" s="6">
        <v>2.4899999999999999E-2</v>
      </c>
      <c r="Q1706" s="5">
        <v>58857.834999999999</v>
      </c>
      <c r="R1706" s="1" t="s">
        <v>284</v>
      </c>
      <c r="T1706" s="1" t="s">
        <v>93</v>
      </c>
      <c r="V1706" s="1" t="s">
        <v>176</v>
      </c>
      <c r="Y1706" s="1" t="s">
        <v>247</v>
      </c>
      <c r="Z1706" s="1" t="str">
        <f t="shared" si="78"/>
        <v>7527 2</v>
      </c>
      <c r="AA1706" s="3">
        <f>IF(INDEX('CAMD Facility Data 2023'!$AA$2:$AE$10000,MATCH(Z1706,'CAMD Facility Data 2023'!$AE$2:$AE$10000,0),1)&gt;0,INDEX('CAMD Facility Data 2023'!$AA$2:$AE$10000,MATCH(Z1706,'CAMD Facility Data 2023'!$AE$2:$AE$10000,0),1),"")</f>
        <v>34983</v>
      </c>
      <c r="AB1706" s="5">
        <f>IF(INDEX('CAMD Facility Data 2023'!$AC$2:$AE$10000,MATCH(Z1706,'CAMD Facility Data 2023'!$AE$2:$AE$10000,0),1)&gt;0,INDEX('CAMD Facility Data 2023'!$AC$2:$AE$10000,MATCH(Z1706,'CAMD Facility Data 2023'!$AE$2:$AE$10000,0),1),"")</f>
        <v>450</v>
      </c>
      <c r="AC1706" s="1" t="str">
        <f>IF(INDEX('CAMD Facility Data 2023'!$AE$2:$AG$10000,MATCH(Z1706,'CAMD Facility Data 2023'!$AE$2:$AE$10000,0),3)&gt;0,INDEX('CAMD Facility Data 2023'!$AE$2:$AG$10000,MATCH(Z1706,'CAMD Facility Data 2023'!$AE$2:$AE$10000,0),3),"")</f>
        <v>Y</v>
      </c>
      <c r="AD1706" s="20">
        <f t="shared" si="79"/>
        <v>0.18519908902069726</v>
      </c>
      <c r="AE1706" s="25">
        <f t="shared" si="80"/>
        <v>1.4930957635717909E-2</v>
      </c>
    </row>
    <row r="1707" spans="1:31" x14ac:dyDescent="0.2">
      <c r="A1707" s="1" t="s">
        <v>370</v>
      </c>
      <c r="B1707" s="1" t="s">
        <v>4136</v>
      </c>
      <c r="C1707" s="1">
        <v>7551</v>
      </c>
      <c r="D1707" s="1" t="s">
        <v>372</v>
      </c>
      <c r="F1707" s="1">
        <v>2023</v>
      </c>
      <c r="G1707" s="5">
        <v>6637</v>
      </c>
      <c r="H1707" s="5">
        <v>6606.76</v>
      </c>
      <c r="I1707" s="5">
        <v>303019.51</v>
      </c>
      <c r="K1707" s="5">
        <v>0.74199999999999999</v>
      </c>
      <c r="L1707" s="5">
        <v>1E-3</v>
      </c>
      <c r="M1707" s="5">
        <v>146910.86600000001</v>
      </c>
      <c r="N1707" s="6">
        <v>5.9200000000000003E-2</v>
      </c>
      <c r="O1707" s="5">
        <v>8.5619999999999994</v>
      </c>
      <c r="P1707" s="6">
        <v>7.1000000000000004E-3</v>
      </c>
      <c r="Q1707" s="5">
        <v>2472077.3590000002</v>
      </c>
      <c r="R1707" s="1" t="s">
        <v>44</v>
      </c>
      <c r="T1707" s="1" t="s">
        <v>71</v>
      </c>
      <c r="V1707" s="1" t="s">
        <v>223</v>
      </c>
      <c r="Y1707" s="1" t="s">
        <v>247</v>
      </c>
      <c r="Z1707" s="1" t="str">
        <f t="shared" si="78"/>
        <v>7551 1A</v>
      </c>
      <c r="AA1707" s="3">
        <f>IF(INDEX('CAMD Facility Data 2023'!$AA$2:$AE$10000,MATCH(Z1707,'CAMD Facility Data 2023'!$AE$2:$AE$10000,0),1)&gt;0,INDEX('CAMD Facility Data 2023'!$AA$2:$AE$10000,MATCH(Z1707,'CAMD Facility Data 2023'!$AE$2:$AE$10000,0),1),"")</f>
        <v>35527</v>
      </c>
      <c r="AB1707" s="5">
        <f>IF(INDEX('CAMD Facility Data 2023'!$AC$2:$AE$10000,MATCH(Z1707,'CAMD Facility Data 2023'!$AE$2:$AE$10000,0),1)&gt;0,INDEX('CAMD Facility Data 2023'!$AC$2:$AE$10000,MATCH(Z1707,'CAMD Facility Data 2023'!$AE$2:$AE$10000,0),1),"")</f>
        <v>583</v>
      </c>
      <c r="AC1707" s="1" t="str">
        <f>IF(INDEX('CAMD Facility Data 2023'!$AE$2:$AG$10000,MATCH(Z1707,'CAMD Facility Data 2023'!$AE$2:$AE$10000,0),3)&gt;0,INDEX('CAMD Facility Data 2023'!$AE$2:$AG$10000,MATCH(Z1707,'CAMD Facility Data 2023'!$AE$2:$AE$10000,0),3),"")</f>
        <v>Y</v>
      </c>
      <c r="AD1707" s="20">
        <f t="shared" si="79"/>
        <v>5.6511212759864864E-2</v>
      </c>
      <c r="AE1707" s="25">
        <f t="shared" si="80"/>
        <v>0.48404907677185399</v>
      </c>
    </row>
    <row r="1708" spans="1:31" x14ac:dyDescent="0.2">
      <c r="A1708" s="1" t="s">
        <v>370</v>
      </c>
      <c r="B1708" s="1" t="s">
        <v>4136</v>
      </c>
      <c r="C1708" s="1">
        <v>7551</v>
      </c>
      <c r="D1708" s="1" t="s">
        <v>1199</v>
      </c>
      <c r="F1708" s="1">
        <v>2023</v>
      </c>
      <c r="G1708" s="5">
        <v>6587</v>
      </c>
      <c r="H1708" s="5">
        <v>6557.53</v>
      </c>
      <c r="I1708" s="5">
        <v>309166.95</v>
      </c>
      <c r="K1708" s="5">
        <v>0.81499999999999995</v>
      </c>
      <c r="L1708" s="5">
        <v>1E-3</v>
      </c>
      <c r="M1708" s="5">
        <v>161330.74900000001</v>
      </c>
      <c r="N1708" s="6">
        <v>5.9200000000000003E-2</v>
      </c>
      <c r="O1708" s="5">
        <v>9.4209999999999994</v>
      </c>
      <c r="P1708" s="6">
        <v>7.1000000000000004E-3</v>
      </c>
      <c r="Q1708" s="5">
        <v>2714717.284</v>
      </c>
      <c r="R1708" s="1" t="s">
        <v>44</v>
      </c>
      <c r="T1708" s="1" t="s">
        <v>71</v>
      </c>
      <c r="V1708" s="1" t="s">
        <v>223</v>
      </c>
      <c r="Y1708" s="1" t="s">
        <v>247</v>
      </c>
      <c r="Z1708" s="1" t="str">
        <f t="shared" si="78"/>
        <v>7551 1B</v>
      </c>
      <c r="AA1708" s="3">
        <f>IF(INDEX('CAMD Facility Data 2023'!$AA$2:$AE$10000,MATCH(Z1708,'CAMD Facility Data 2023'!$AE$2:$AE$10000,0),1)&gt;0,INDEX('CAMD Facility Data 2023'!$AA$2:$AE$10000,MATCH(Z1708,'CAMD Facility Data 2023'!$AE$2:$AE$10000,0),1),"")</f>
        <v>35527</v>
      </c>
      <c r="AB1708" s="5">
        <f>IF(INDEX('CAMD Facility Data 2023'!$AC$2:$AE$10000,MATCH(Z1708,'CAMD Facility Data 2023'!$AE$2:$AE$10000,0),1)&gt;0,INDEX('CAMD Facility Data 2023'!$AC$2:$AE$10000,MATCH(Z1708,'CAMD Facility Data 2023'!$AE$2:$AE$10000,0),1),"")</f>
        <v>583</v>
      </c>
      <c r="AC1708" s="1" t="str">
        <f>IF(INDEX('CAMD Facility Data 2023'!$AE$2:$AG$10000,MATCH(Z1708,'CAMD Facility Data 2023'!$AE$2:$AE$10000,0),3)&gt;0,INDEX('CAMD Facility Data 2023'!$AE$2:$AG$10000,MATCH(Z1708,'CAMD Facility Data 2023'!$AE$2:$AE$10000,0),3),"")</f>
        <v>Y</v>
      </c>
      <c r="AD1708" s="20">
        <f t="shared" si="79"/>
        <v>6.0944418541503224E-2</v>
      </c>
      <c r="AE1708" s="25">
        <f t="shared" si="80"/>
        <v>0.53155957690108635</v>
      </c>
    </row>
    <row r="1709" spans="1:31" x14ac:dyDescent="0.2">
      <c r="A1709" s="1" t="s">
        <v>370</v>
      </c>
      <c r="B1709" s="1" t="s">
        <v>4136</v>
      </c>
      <c r="C1709" s="1">
        <v>7551</v>
      </c>
      <c r="D1709" s="1" t="s">
        <v>3753</v>
      </c>
      <c r="F1709" s="1">
        <v>2023</v>
      </c>
      <c r="G1709" s="5">
        <v>485</v>
      </c>
      <c r="H1709" s="5">
        <v>429.64</v>
      </c>
      <c r="I1709" s="5">
        <v>17889.68</v>
      </c>
      <c r="K1709" s="5">
        <v>5.1999999999999998E-2</v>
      </c>
      <c r="L1709" s="5">
        <v>1E-3</v>
      </c>
      <c r="M1709" s="5">
        <v>10218.571</v>
      </c>
      <c r="N1709" s="6">
        <v>5.9200000000000003E-2</v>
      </c>
      <c r="O1709" s="5">
        <v>0.81599999999999995</v>
      </c>
      <c r="P1709" s="6">
        <v>1.26E-2</v>
      </c>
      <c r="Q1709" s="5">
        <v>171955.02600000001</v>
      </c>
      <c r="R1709" s="1" t="s">
        <v>44</v>
      </c>
      <c r="T1709" s="1" t="s">
        <v>93</v>
      </c>
      <c r="V1709" s="1" t="s">
        <v>223</v>
      </c>
      <c r="Y1709" s="1" t="s">
        <v>247</v>
      </c>
      <c r="Z1709" s="1" t="str">
        <f t="shared" si="78"/>
        <v>7551 1C</v>
      </c>
      <c r="AA1709" s="3">
        <f>IF(INDEX('CAMD Facility Data 2023'!$AA$2:$AE$10000,MATCH(Z1709,'CAMD Facility Data 2023'!$AE$2:$AE$10000,0),1)&gt;0,INDEX('CAMD Facility Data 2023'!$AA$2:$AE$10000,MATCH(Z1709,'CAMD Facility Data 2023'!$AE$2:$AE$10000,0),1),"")</f>
        <v>36951</v>
      </c>
      <c r="AB1709" s="5">
        <f>IF(INDEX('CAMD Facility Data 2023'!$AC$2:$AE$10000,MATCH(Z1709,'CAMD Facility Data 2023'!$AE$2:$AE$10000,0),1)&gt;0,INDEX('CAMD Facility Data 2023'!$AC$2:$AE$10000,MATCH(Z1709,'CAMD Facility Data 2023'!$AE$2:$AE$10000,0),1),"")</f>
        <v>500</v>
      </c>
      <c r="AC1709" s="1" t="str">
        <f>IF(INDEX('CAMD Facility Data 2023'!$AE$2:$AG$10000,MATCH(Z1709,'CAMD Facility Data 2023'!$AE$2:$AE$10000,0),3)&gt;0,INDEX('CAMD Facility Data 2023'!$AE$2:$AG$10000,MATCH(Z1709,'CAMD Facility Data 2023'!$AE$2:$AE$10000,0),3),"")</f>
        <v>Y</v>
      </c>
      <c r="AD1709" s="20">
        <f t="shared" si="79"/>
        <v>9.1225779331994758E-2</v>
      </c>
      <c r="AE1709" s="25">
        <f t="shared" si="80"/>
        <v>3.9259138356164389E-2</v>
      </c>
    </row>
    <row r="1710" spans="1:31" x14ac:dyDescent="0.2">
      <c r="A1710" s="1" t="s">
        <v>370</v>
      </c>
      <c r="B1710" s="1" t="s">
        <v>4140</v>
      </c>
      <c r="C1710" s="1">
        <v>7552</v>
      </c>
      <c r="D1710" s="1">
        <v>1</v>
      </c>
      <c r="F1710" s="1">
        <v>2023</v>
      </c>
      <c r="G1710" s="5">
        <v>4819</v>
      </c>
      <c r="H1710" s="5">
        <v>4807.09</v>
      </c>
      <c r="I1710" s="5">
        <v>709561.38</v>
      </c>
      <c r="K1710" s="5">
        <v>1.5289999999999999</v>
      </c>
      <c r="L1710" s="5">
        <v>1E-3</v>
      </c>
      <c r="M1710" s="5">
        <v>302867.44799999997</v>
      </c>
      <c r="N1710" s="6">
        <v>5.8999999999999997E-2</v>
      </c>
      <c r="O1710" s="5">
        <v>23.715</v>
      </c>
      <c r="P1710" s="6">
        <v>9.7000000000000003E-3</v>
      </c>
      <c r="Q1710" s="5">
        <v>5096392.443</v>
      </c>
      <c r="R1710" s="1" t="s">
        <v>44</v>
      </c>
      <c r="T1710" s="1" t="s">
        <v>71</v>
      </c>
      <c r="V1710" s="1" t="s">
        <v>223</v>
      </c>
      <c r="Y1710" s="1" t="s">
        <v>247</v>
      </c>
      <c r="Z1710" s="1" t="str">
        <f t="shared" si="78"/>
        <v>7552 1</v>
      </c>
      <c r="AA1710" s="3">
        <f>IF(INDEX('CAMD Facility Data 2023'!$AA$2:$AE$10000,MATCH(Z1710,'CAMD Facility Data 2023'!$AE$2:$AE$10000,0),1)&gt;0,INDEX('CAMD Facility Data 2023'!$AA$2:$AE$10000,MATCH(Z1710,'CAMD Facility Data 2023'!$AE$2:$AE$10000,0),1),"")</f>
        <v>35652</v>
      </c>
      <c r="AB1710" s="5">
        <f>IF(INDEX('CAMD Facility Data 2023'!$AC$2:$AE$10000,MATCH(Z1710,'CAMD Facility Data 2023'!$AE$2:$AE$10000,0),1)&gt;0,INDEX('CAMD Facility Data 2023'!$AC$2:$AE$10000,MATCH(Z1710,'CAMD Facility Data 2023'!$AE$2:$AE$10000,0),1),"")</f>
        <v>1610</v>
      </c>
      <c r="AC1710" s="1" t="str">
        <f>IF(INDEX('CAMD Facility Data 2023'!$AE$2:$AG$10000,MATCH(Z1710,'CAMD Facility Data 2023'!$AE$2:$AE$10000,0),3)&gt;0,INDEX('CAMD Facility Data 2023'!$AE$2:$AG$10000,MATCH(Z1710,'CAMD Facility Data 2023'!$AE$2:$AE$10000,0),3),"")</f>
        <v>Y</v>
      </c>
      <c r="AD1710" s="20">
        <f t="shared" si="79"/>
        <v>6.6844111498852998E-2</v>
      </c>
      <c r="AE1710" s="25">
        <f t="shared" si="80"/>
        <v>0.36135401195439459</v>
      </c>
    </row>
    <row r="1711" spans="1:31" x14ac:dyDescent="0.2">
      <c r="A1711" s="1" t="s">
        <v>1755</v>
      </c>
      <c r="B1711" s="1" t="s">
        <v>4142</v>
      </c>
      <c r="C1711" s="1">
        <v>7604</v>
      </c>
      <c r="D1711" s="1">
        <v>1</v>
      </c>
      <c r="F1711" s="1">
        <v>2023</v>
      </c>
      <c r="G1711" s="5">
        <v>5320</v>
      </c>
      <c r="H1711" s="5">
        <v>5230.01</v>
      </c>
      <c r="I1711" s="5">
        <v>1046199.91</v>
      </c>
      <c r="K1711" s="5">
        <v>2.327</v>
      </c>
      <c r="L1711" s="5">
        <v>1E-3</v>
      </c>
      <c r="M1711" s="5">
        <v>460914.27799999999</v>
      </c>
      <c r="N1711" s="6">
        <v>5.8999999999999997E-2</v>
      </c>
      <c r="O1711" s="5">
        <v>45.692999999999998</v>
      </c>
      <c r="P1711" s="6">
        <v>1.34E-2</v>
      </c>
      <c r="Q1711" s="5">
        <v>7755819.2259999998</v>
      </c>
      <c r="R1711" s="1" t="s">
        <v>44</v>
      </c>
      <c r="T1711" s="1" t="s">
        <v>71</v>
      </c>
      <c r="V1711" s="1" t="s">
        <v>64</v>
      </c>
      <c r="Y1711" s="1" t="s">
        <v>1207</v>
      </c>
      <c r="Z1711" s="1" t="str">
        <f t="shared" si="78"/>
        <v>7604 1</v>
      </c>
      <c r="AA1711" s="3">
        <f>IF(INDEX('CAMD Facility Data 2023'!$AA$2:$AE$10000,MATCH(Z1711,'CAMD Facility Data 2023'!$AE$2:$AE$10000,0),1)&gt;0,INDEX('CAMD Facility Data 2023'!$AA$2:$AE$10000,MATCH(Z1711,'CAMD Facility Data 2023'!$AE$2:$AE$10000,0),1),"")</f>
        <v>36365</v>
      </c>
      <c r="AB1711" s="5">
        <f>IF(INDEX('CAMD Facility Data 2023'!$AC$2:$AE$10000,MATCH(Z1711,'CAMD Facility Data 2023'!$AE$2:$AE$10000,0),1)&gt;0,INDEX('CAMD Facility Data 2023'!$AC$2:$AE$10000,MATCH(Z1711,'CAMD Facility Data 2023'!$AE$2:$AE$10000,0),1),"")</f>
        <v>1920</v>
      </c>
      <c r="AC1711" s="1" t="str">
        <f>IF(INDEX('CAMD Facility Data 2023'!$AE$2:$AG$10000,MATCH(Z1711,'CAMD Facility Data 2023'!$AE$2:$AE$10000,0),3)&gt;0,INDEX('CAMD Facility Data 2023'!$AE$2:$AG$10000,MATCH(Z1711,'CAMD Facility Data 2023'!$AE$2:$AE$10000,0),3),"")</f>
        <v>Y</v>
      </c>
      <c r="AD1711" s="20">
        <f t="shared" si="79"/>
        <v>8.7350418525652521E-2</v>
      </c>
      <c r="AE1711" s="25">
        <f t="shared" si="80"/>
        <v>0.46112890185026634</v>
      </c>
    </row>
    <row r="1712" spans="1:31" x14ac:dyDescent="0.2">
      <c r="A1712" s="1" t="s">
        <v>1755</v>
      </c>
      <c r="B1712" s="1" t="s">
        <v>4142</v>
      </c>
      <c r="C1712" s="1">
        <v>7604</v>
      </c>
      <c r="D1712" s="1">
        <v>2</v>
      </c>
      <c r="F1712" s="1">
        <v>2023</v>
      </c>
      <c r="G1712" s="5">
        <v>4931</v>
      </c>
      <c r="H1712" s="5">
        <v>4848.43</v>
      </c>
      <c r="I1712" s="5">
        <v>964610.15</v>
      </c>
      <c r="K1712" s="5">
        <v>2.1059999999999999</v>
      </c>
      <c r="L1712" s="5">
        <v>1E-3</v>
      </c>
      <c r="M1712" s="5">
        <v>417163.58</v>
      </c>
      <c r="N1712" s="6">
        <v>5.8999999999999997E-2</v>
      </c>
      <c r="O1712" s="5">
        <v>40.527999999999999</v>
      </c>
      <c r="P1712" s="6">
        <v>1.32E-2</v>
      </c>
      <c r="Q1712" s="5">
        <v>7019579.6440000003</v>
      </c>
      <c r="R1712" s="1" t="s">
        <v>44</v>
      </c>
      <c r="T1712" s="1" t="s">
        <v>71</v>
      </c>
      <c r="V1712" s="1" t="s">
        <v>64</v>
      </c>
      <c r="Y1712" s="1" t="s">
        <v>1207</v>
      </c>
      <c r="Z1712" s="1" t="str">
        <f t="shared" si="78"/>
        <v>7604 2</v>
      </c>
      <c r="AA1712" s="3">
        <f>IF(INDEX('CAMD Facility Data 2023'!$AA$2:$AE$10000,MATCH(Z1712,'CAMD Facility Data 2023'!$AE$2:$AE$10000,0),1)&gt;0,INDEX('CAMD Facility Data 2023'!$AA$2:$AE$10000,MATCH(Z1712,'CAMD Facility Data 2023'!$AE$2:$AE$10000,0),1),"")</f>
        <v>36923</v>
      </c>
      <c r="AB1712" s="5">
        <f>IF(INDEX('CAMD Facility Data 2023'!$AC$2:$AE$10000,MATCH(Z1712,'CAMD Facility Data 2023'!$AE$2:$AE$10000,0),1)&gt;0,INDEX('CAMD Facility Data 2023'!$AC$2:$AE$10000,MATCH(Z1712,'CAMD Facility Data 2023'!$AE$2:$AE$10000,0),1),"")</f>
        <v>2053.6999999999998</v>
      </c>
      <c r="AC1712" s="1" t="str">
        <f>IF(INDEX('CAMD Facility Data 2023'!$AE$2:$AG$10000,MATCH(Z1712,'CAMD Facility Data 2023'!$AE$2:$AE$10000,0),3)&gt;0,INDEX('CAMD Facility Data 2023'!$AE$2:$AG$10000,MATCH(Z1712,'CAMD Facility Data 2023'!$AE$2:$AE$10000,0),3),"")</f>
        <v>Y</v>
      </c>
      <c r="AD1712" s="20">
        <f t="shared" si="79"/>
        <v>8.402980209154963E-2</v>
      </c>
      <c r="AE1712" s="25">
        <f t="shared" si="80"/>
        <v>0.39018448515798304</v>
      </c>
    </row>
    <row r="1713" spans="1:31" x14ac:dyDescent="0.2">
      <c r="A1713" s="1" t="s">
        <v>690</v>
      </c>
      <c r="B1713" s="1" t="s">
        <v>4148</v>
      </c>
      <c r="C1713" s="1">
        <v>7605</v>
      </c>
      <c r="D1713" s="1">
        <v>1</v>
      </c>
      <c r="F1713" s="1">
        <v>2023</v>
      </c>
      <c r="G1713" s="5">
        <v>7571</v>
      </c>
      <c r="H1713" s="5">
        <v>7560.9</v>
      </c>
      <c r="I1713" s="5">
        <v>1859457.55</v>
      </c>
      <c r="K1713" s="5">
        <v>4.9980000000000002</v>
      </c>
      <c r="L1713" s="5">
        <v>1.1999999999999999E-3</v>
      </c>
      <c r="M1713" s="5">
        <v>771101.27099999995</v>
      </c>
      <c r="N1713" s="6">
        <v>5.8999999999999997E-2</v>
      </c>
      <c r="O1713" s="5">
        <v>81.546000000000006</v>
      </c>
      <c r="P1713" s="6">
        <v>1.5100000000000001E-2</v>
      </c>
      <c r="Q1713" s="5">
        <v>12975327.551000001</v>
      </c>
      <c r="R1713" s="1" t="s">
        <v>284</v>
      </c>
      <c r="T1713" s="1" t="s">
        <v>71</v>
      </c>
      <c r="V1713" s="1" t="s">
        <v>223</v>
      </c>
      <c r="Y1713" s="1" t="s">
        <v>247</v>
      </c>
      <c r="Z1713" s="1" t="str">
        <f t="shared" si="78"/>
        <v>7605 1</v>
      </c>
      <c r="AA1713" s="3">
        <f>IF(INDEX('CAMD Facility Data 2023'!$AA$2:$AE$10000,MATCH(Z1713,'CAMD Facility Data 2023'!$AE$2:$AE$10000,0),1)&gt;0,INDEX('CAMD Facility Data 2023'!$AA$2:$AE$10000,MATCH(Z1713,'CAMD Facility Data 2023'!$AE$2:$AE$10000,0),1),"")</f>
        <v>35772</v>
      </c>
      <c r="AB1713" s="5">
        <f>IF(INDEX('CAMD Facility Data 2023'!$AC$2:$AE$10000,MATCH(Z1713,'CAMD Facility Data 2023'!$AE$2:$AE$10000,0),1)&gt;0,INDEX('CAMD Facility Data 2023'!$AC$2:$AE$10000,MATCH(Z1713,'CAMD Facility Data 2023'!$AE$2:$AE$10000,0),1),"")</f>
        <v>1985</v>
      </c>
      <c r="AC1713" s="1" t="str">
        <f>IF(INDEX('CAMD Facility Data 2023'!$AE$2:$AG$10000,MATCH(Z1713,'CAMD Facility Data 2023'!$AE$2:$AE$10000,0),3)&gt;0,INDEX('CAMD Facility Data 2023'!$AE$2:$AG$10000,MATCH(Z1713,'CAMD Facility Data 2023'!$AE$2:$AE$10000,0),3),"")</f>
        <v>Y</v>
      </c>
      <c r="AD1713" s="20">
        <f t="shared" si="79"/>
        <v>8.770945053303314E-2</v>
      </c>
      <c r="AE1713" s="25">
        <f t="shared" si="80"/>
        <v>0.74619736787320434</v>
      </c>
    </row>
    <row r="1714" spans="1:31" x14ac:dyDescent="0.2">
      <c r="A1714" s="1" t="s">
        <v>32</v>
      </c>
      <c r="B1714" s="1" t="s">
        <v>4151</v>
      </c>
      <c r="C1714" s="1">
        <v>7697</v>
      </c>
      <c r="D1714" s="1" t="s">
        <v>194</v>
      </c>
      <c r="F1714" s="1">
        <v>2023</v>
      </c>
      <c r="G1714" s="5">
        <v>8326</v>
      </c>
      <c r="H1714" s="5">
        <v>8320</v>
      </c>
      <c r="I1714" s="5">
        <v>1141633.5</v>
      </c>
      <c r="K1714" s="5">
        <v>2.4430000000000001</v>
      </c>
      <c r="L1714" s="5">
        <v>1E-3</v>
      </c>
      <c r="M1714" s="5">
        <v>483988.4</v>
      </c>
      <c r="N1714" s="6">
        <v>5.8999999999999997E-2</v>
      </c>
      <c r="O1714" s="5">
        <v>105.83799999999999</v>
      </c>
      <c r="P1714" s="6">
        <v>2.5999999999999999E-2</v>
      </c>
      <c r="Q1714" s="5">
        <v>8144070.7000000002</v>
      </c>
      <c r="R1714" s="1" t="s">
        <v>44</v>
      </c>
      <c r="S1714" s="1" t="s">
        <v>1432</v>
      </c>
      <c r="T1714" s="1" t="s">
        <v>71</v>
      </c>
      <c r="V1714" s="1" t="s">
        <v>140</v>
      </c>
      <c r="Y1714" s="1" t="s">
        <v>35</v>
      </c>
      <c r="Z1714" s="1" t="str">
        <f t="shared" si="78"/>
        <v>7697 CC1</v>
      </c>
      <c r="AA1714" s="3">
        <f>IF(INDEX('CAMD Facility Data 2023'!$AA$2:$AE$10000,MATCH(Z1714,'CAMD Facility Data 2023'!$AE$2:$AE$10000,0),1)&gt;0,INDEX('CAMD Facility Data 2023'!$AA$2:$AE$10000,MATCH(Z1714,'CAMD Facility Data 2023'!$AE$2:$AE$10000,0),1),"")</f>
        <v>36202</v>
      </c>
      <c r="AB1714" s="5">
        <f>IF(INDEX('CAMD Facility Data 2023'!$AC$2:$AE$10000,MATCH(Z1714,'CAMD Facility Data 2023'!$AE$2:$AE$10000,0),1)&gt;0,INDEX('CAMD Facility Data 2023'!$AC$2:$AE$10000,MATCH(Z1714,'CAMD Facility Data 2023'!$AE$2:$AE$10000,0),1),"")</f>
        <v>1400</v>
      </c>
      <c r="AC1714" s="1" t="str">
        <f>IF(INDEX('CAMD Facility Data 2023'!$AE$2:$AG$10000,MATCH(Z1714,'CAMD Facility Data 2023'!$AE$2:$AE$10000,0),3)&gt;0,INDEX('CAMD Facility Data 2023'!$AE$2:$AG$10000,MATCH(Z1714,'CAMD Facility Data 2023'!$AE$2:$AE$10000,0),3),"")</f>
        <v/>
      </c>
      <c r="AD1714" s="20">
        <f t="shared" si="79"/>
        <v>0.18541502154588141</v>
      </c>
      <c r="AE1714" s="25">
        <f t="shared" si="80"/>
        <v>0.66406316862361381</v>
      </c>
    </row>
    <row r="1715" spans="1:31" x14ac:dyDescent="0.2">
      <c r="A1715" s="1" t="s">
        <v>32</v>
      </c>
      <c r="B1715" s="1" t="s">
        <v>4153</v>
      </c>
      <c r="C1715" s="1">
        <v>7698</v>
      </c>
      <c r="D1715" s="1" t="s">
        <v>194</v>
      </c>
      <c r="F1715" s="1">
        <v>2023</v>
      </c>
      <c r="G1715" s="5">
        <v>8121</v>
      </c>
      <c r="H1715" s="5">
        <v>8118.75</v>
      </c>
      <c r="I1715" s="5">
        <v>940079.75</v>
      </c>
      <c r="K1715" s="5">
        <v>1.9339999999999999</v>
      </c>
      <c r="L1715" s="5">
        <v>1E-3</v>
      </c>
      <c r="M1715" s="5">
        <v>382996.6</v>
      </c>
      <c r="N1715" s="6">
        <v>5.8999999999999997E-2</v>
      </c>
      <c r="O1715" s="5">
        <v>98.341999999999999</v>
      </c>
      <c r="P1715" s="6">
        <v>3.0599999999999999E-2</v>
      </c>
      <c r="Q1715" s="5">
        <v>6444564.375</v>
      </c>
      <c r="R1715" s="1" t="s">
        <v>44</v>
      </c>
      <c r="S1715" s="1" t="s">
        <v>1432</v>
      </c>
      <c r="T1715" s="1" t="s">
        <v>71</v>
      </c>
      <c r="V1715" s="1" t="s">
        <v>140</v>
      </c>
      <c r="Y1715" s="1" t="s">
        <v>35</v>
      </c>
      <c r="Z1715" s="1" t="str">
        <f t="shared" si="78"/>
        <v>7698 CC1</v>
      </c>
      <c r="AA1715" s="3">
        <f>IF(INDEX('CAMD Facility Data 2023'!$AA$2:$AE$10000,MATCH(Z1715,'CAMD Facility Data 2023'!$AE$2:$AE$10000,0),1)&gt;0,INDEX('CAMD Facility Data 2023'!$AA$2:$AE$10000,MATCH(Z1715,'CAMD Facility Data 2023'!$AE$2:$AE$10000,0),1),"")</f>
        <v>36296</v>
      </c>
      <c r="AB1715" s="5">
        <f>IF(INDEX('CAMD Facility Data 2023'!$AC$2:$AE$10000,MATCH(Z1715,'CAMD Facility Data 2023'!$AE$2:$AE$10000,0),1)&gt;0,INDEX('CAMD Facility Data 2023'!$AC$2:$AE$10000,MATCH(Z1715,'CAMD Facility Data 2023'!$AE$2:$AE$10000,0),1),"")</f>
        <v>1365</v>
      </c>
      <c r="AC1715" s="1" t="str">
        <f>IF(INDEX('CAMD Facility Data 2023'!$AE$2:$AG$10000,MATCH(Z1715,'CAMD Facility Data 2023'!$AE$2:$AE$10000,0),3)&gt;0,INDEX('CAMD Facility Data 2023'!$AE$2:$AG$10000,MATCH(Z1715,'CAMD Facility Data 2023'!$AE$2:$AE$10000,0),3),"")</f>
        <v/>
      </c>
      <c r="AD1715" s="20">
        <f t="shared" si="79"/>
        <v>0.20922054751205948</v>
      </c>
      <c r="AE1715" s="25">
        <f t="shared" si="80"/>
        <v>0.53896034045862817</v>
      </c>
    </row>
    <row r="1716" spans="1:31" x14ac:dyDescent="0.2">
      <c r="A1716" s="1" t="s">
        <v>304</v>
      </c>
      <c r="B1716" s="1" t="s">
        <v>4158</v>
      </c>
      <c r="C1716" s="1">
        <v>7699</v>
      </c>
      <c r="D1716" s="1">
        <v>1</v>
      </c>
      <c r="F1716" s="1">
        <v>2023</v>
      </c>
      <c r="G1716" s="5">
        <v>5998</v>
      </c>
      <c r="H1716" s="5">
        <v>5992.62</v>
      </c>
      <c r="I1716" s="5">
        <v>736121.22</v>
      </c>
      <c r="K1716" s="5">
        <v>2.4569999999999999</v>
      </c>
      <c r="L1716" s="5">
        <v>1E-3</v>
      </c>
      <c r="M1716" s="5">
        <v>486729.17499999999</v>
      </c>
      <c r="N1716" s="6">
        <v>5.8999999999999997E-2</v>
      </c>
      <c r="O1716" s="5">
        <v>159.03399999999999</v>
      </c>
      <c r="P1716" s="6">
        <v>3.9100000000000003E-2</v>
      </c>
      <c r="Q1716" s="5">
        <v>8190140.5939999996</v>
      </c>
      <c r="R1716" s="1" t="s">
        <v>44</v>
      </c>
      <c r="T1716" s="1" t="s">
        <v>71</v>
      </c>
      <c r="V1716" s="1" t="s">
        <v>140</v>
      </c>
      <c r="Y1716" s="1" t="s">
        <v>247</v>
      </c>
      <c r="Z1716" s="1" t="str">
        <f t="shared" si="78"/>
        <v>7699 1</v>
      </c>
      <c r="AA1716" s="3">
        <f>IF(INDEX('CAMD Facility Data 2023'!$AA$2:$AE$10000,MATCH(Z1716,'CAMD Facility Data 2023'!$AE$2:$AE$10000,0),1)&gt;0,INDEX('CAMD Facility Data 2023'!$AA$2:$AE$10000,MATCH(Z1716,'CAMD Facility Data 2023'!$AE$2:$AE$10000,0),1),"")</f>
        <v>35625</v>
      </c>
      <c r="AB1716" s="5">
        <f>IF(INDEX('CAMD Facility Data 2023'!$AC$2:$AE$10000,MATCH(Z1716,'CAMD Facility Data 2023'!$AE$2:$AE$10000,0),1)&gt;0,INDEX('CAMD Facility Data 2023'!$AC$2:$AE$10000,MATCH(Z1716,'CAMD Facility Data 2023'!$AE$2:$AE$10000,0),1),"")</f>
        <v>1850</v>
      </c>
      <c r="AC1716" s="1" t="str">
        <f>IF(INDEX('CAMD Facility Data 2023'!$AE$2:$AG$10000,MATCH(Z1716,'CAMD Facility Data 2023'!$AE$2:$AE$10000,0),3)&gt;0,INDEX('CAMD Facility Data 2023'!$AE$2:$AG$10000,MATCH(Z1716,'CAMD Facility Data 2023'!$AE$2:$AE$10000,0),3),"")</f>
        <v/>
      </c>
      <c r="AD1716" s="20">
        <f t="shared" si="79"/>
        <v>0.43208644358873394</v>
      </c>
      <c r="AE1716" s="25">
        <f t="shared" si="80"/>
        <v>0.5053770575095643</v>
      </c>
    </row>
    <row r="1717" spans="1:31" x14ac:dyDescent="0.2">
      <c r="A1717" s="1" t="s">
        <v>32</v>
      </c>
      <c r="B1717" s="1" t="s">
        <v>4160</v>
      </c>
      <c r="C1717" s="1">
        <v>7710</v>
      </c>
      <c r="D1717" s="1" t="s">
        <v>372</v>
      </c>
      <c r="F1717" s="1">
        <v>2023</v>
      </c>
      <c r="G1717" s="5">
        <v>7933</v>
      </c>
      <c r="H1717" s="5">
        <v>7906.75</v>
      </c>
      <c r="I1717" s="5">
        <v>2179866</v>
      </c>
      <c r="K1717" s="5">
        <v>4.2919999999999998</v>
      </c>
      <c r="L1717" s="5">
        <v>1E-3</v>
      </c>
      <c r="M1717" s="5">
        <v>850139.625</v>
      </c>
      <c r="N1717" s="6">
        <v>5.8999999999999997E-2</v>
      </c>
      <c r="O1717" s="5">
        <v>60.408000000000001</v>
      </c>
      <c r="P1717" s="6">
        <v>9.4000000000000004E-3</v>
      </c>
      <c r="Q1717" s="5">
        <v>14305226.925000001</v>
      </c>
      <c r="R1717" s="1" t="s">
        <v>44</v>
      </c>
      <c r="T1717" s="1" t="s">
        <v>71</v>
      </c>
      <c r="V1717" s="1" t="s">
        <v>64</v>
      </c>
      <c r="Y1717" s="1" t="s">
        <v>35</v>
      </c>
      <c r="Z1717" s="1" t="str">
        <f t="shared" si="78"/>
        <v>7710 1A</v>
      </c>
      <c r="AA1717" s="3">
        <f>IF(INDEX('CAMD Facility Data 2023'!$AA$2:$AE$10000,MATCH(Z1717,'CAMD Facility Data 2023'!$AE$2:$AE$10000,0),1)&gt;0,INDEX('CAMD Facility Data 2023'!$AA$2:$AE$10000,MATCH(Z1717,'CAMD Facility Data 2023'!$AE$2:$AE$10000,0),1),"")</f>
        <v>37232</v>
      </c>
      <c r="AB1717" s="5">
        <f>IF(INDEX('CAMD Facility Data 2023'!$AC$2:$AE$10000,MATCH(Z1717,'CAMD Facility Data 2023'!$AE$2:$AE$10000,0),1)&gt;0,INDEX('CAMD Facility Data 2023'!$AC$2:$AE$10000,MATCH(Z1717,'CAMD Facility Data 2023'!$AE$2:$AE$10000,0),1),"")</f>
        <v>2600</v>
      </c>
      <c r="AC1717" s="1" t="str">
        <f>IF(INDEX('CAMD Facility Data 2023'!$AE$2:$AG$10000,MATCH(Z1717,'CAMD Facility Data 2023'!$AE$2:$AE$10000,0),3)&gt;0,INDEX('CAMD Facility Data 2023'!$AE$2:$AG$10000,MATCH(Z1717,'CAMD Facility Data 2023'!$AE$2:$AE$10000,0),3),"")</f>
        <v>Y</v>
      </c>
      <c r="AD1717" s="20">
        <f t="shared" si="79"/>
        <v>5.542359025738279E-2</v>
      </c>
      <c r="AE1717" s="25">
        <f t="shared" si="80"/>
        <v>0.62808337394625924</v>
      </c>
    </row>
    <row r="1718" spans="1:31" x14ac:dyDescent="0.2">
      <c r="A1718" s="1" t="s">
        <v>32</v>
      </c>
      <c r="B1718" s="1" t="s">
        <v>4160</v>
      </c>
      <c r="C1718" s="1">
        <v>7710</v>
      </c>
      <c r="D1718" s="1" t="s">
        <v>1199</v>
      </c>
      <c r="F1718" s="1">
        <v>2023</v>
      </c>
      <c r="G1718" s="5">
        <v>7962</v>
      </c>
      <c r="H1718" s="5">
        <v>7935</v>
      </c>
      <c r="I1718" s="5">
        <v>2190635</v>
      </c>
      <c r="K1718" s="5">
        <v>4.3440000000000003</v>
      </c>
      <c r="L1718" s="5">
        <v>1E-3</v>
      </c>
      <c r="M1718" s="5">
        <v>860436.9</v>
      </c>
      <c r="N1718" s="6">
        <v>5.8999999999999997E-2</v>
      </c>
      <c r="O1718" s="5">
        <v>61.305</v>
      </c>
      <c r="P1718" s="6">
        <v>9.4999999999999998E-3</v>
      </c>
      <c r="Q1718" s="5">
        <v>14478521.625</v>
      </c>
      <c r="R1718" s="1" t="s">
        <v>44</v>
      </c>
      <c r="T1718" s="1" t="s">
        <v>71</v>
      </c>
      <c r="V1718" s="1" t="s">
        <v>64</v>
      </c>
      <c r="Y1718" s="1" t="s">
        <v>35</v>
      </c>
      <c r="Z1718" s="1" t="str">
        <f t="shared" si="78"/>
        <v>7710 1B</v>
      </c>
      <c r="AA1718" s="3">
        <f>IF(INDEX('CAMD Facility Data 2023'!$AA$2:$AE$10000,MATCH(Z1718,'CAMD Facility Data 2023'!$AE$2:$AE$10000,0),1)&gt;0,INDEX('CAMD Facility Data 2023'!$AA$2:$AE$10000,MATCH(Z1718,'CAMD Facility Data 2023'!$AE$2:$AE$10000,0),1),"")</f>
        <v>37233</v>
      </c>
      <c r="AB1718" s="5">
        <f>IF(INDEX('CAMD Facility Data 2023'!$AC$2:$AE$10000,MATCH(Z1718,'CAMD Facility Data 2023'!$AE$2:$AE$10000,0),1)&gt;0,INDEX('CAMD Facility Data 2023'!$AC$2:$AE$10000,MATCH(Z1718,'CAMD Facility Data 2023'!$AE$2:$AE$10000,0),1),"")</f>
        <v>2600</v>
      </c>
      <c r="AC1718" s="1" t="str">
        <f>IF(INDEX('CAMD Facility Data 2023'!$AE$2:$AG$10000,MATCH(Z1718,'CAMD Facility Data 2023'!$AE$2:$AE$10000,0),3)&gt;0,INDEX('CAMD Facility Data 2023'!$AE$2:$AG$10000,MATCH(Z1718,'CAMD Facility Data 2023'!$AE$2:$AE$10000,0),3),"")</f>
        <v>Y</v>
      </c>
      <c r="AD1718" s="20">
        <f t="shared" si="79"/>
        <v>5.5970072604518778E-2</v>
      </c>
      <c r="AE1718" s="25">
        <f t="shared" si="80"/>
        <v>0.63569202779241307</v>
      </c>
    </row>
    <row r="1719" spans="1:31" x14ac:dyDescent="0.2">
      <c r="A1719" s="1" t="s">
        <v>32</v>
      </c>
      <c r="B1719" s="1" t="s">
        <v>4160</v>
      </c>
      <c r="C1719" s="1">
        <v>7710</v>
      </c>
      <c r="D1719" s="1" t="s">
        <v>377</v>
      </c>
      <c r="F1719" s="1">
        <v>2023</v>
      </c>
      <c r="G1719" s="5">
        <v>8332</v>
      </c>
      <c r="H1719" s="5">
        <v>8321.75</v>
      </c>
      <c r="I1719" s="5">
        <v>2391550.25</v>
      </c>
      <c r="K1719" s="5">
        <v>4.8949999999999996</v>
      </c>
      <c r="L1719" s="5">
        <v>1E-3</v>
      </c>
      <c r="M1719" s="5">
        <v>969553.32499999995</v>
      </c>
      <c r="N1719" s="6">
        <v>5.8999999999999997E-2</v>
      </c>
      <c r="O1719" s="5">
        <v>66.506</v>
      </c>
      <c r="P1719" s="6">
        <v>8.6E-3</v>
      </c>
      <c r="Q1719" s="5">
        <v>16314656.6</v>
      </c>
      <c r="R1719" s="1" t="s">
        <v>44</v>
      </c>
      <c r="T1719" s="1" t="s">
        <v>71</v>
      </c>
      <c r="V1719" s="1" t="s">
        <v>64</v>
      </c>
      <c r="Y1719" s="1" t="s">
        <v>35</v>
      </c>
      <c r="Z1719" s="1" t="str">
        <f t="shared" si="78"/>
        <v>7710 2A</v>
      </c>
      <c r="AA1719" s="3">
        <f>IF(INDEX('CAMD Facility Data 2023'!$AA$2:$AE$10000,MATCH(Z1719,'CAMD Facility Data 2023'!$AE$2:$AE$10000,0),1)&gt;0,INDEX('CAMD Facility Data 2023'!$AA$2:$AE$10000,MATCH(Z1719,'CAMD Facility Data 2023'!$AE$2:$AE$10000,0),1),"")</f>
        <v>37630</v>
      </c>
      <c r="AB1719" s="5">
        <f>IF(INDEX('CAMD Facility Data 2023'!$AC$2:$AE$10000,MATCH(Z1719,'CAMD Facility Data 2023'!$AE$2:$AE$10000,0),1)&gt;0,INDEX('CAMD Facility Data 2023'!$AC$2:$AE$10000,MATCH(Z1719,'CAMD Facility Data 2023'!$AE$2:$AE$10000,0),1),"")</f>
        <v>2600</v>
      </c>
      <c r="AC1719" s="1" t="str">
        <f>IF(INDEX('CAMD Facility Data 2023'!$AE$2:$AG$10000,MATCH(Z1719,'CAMD Facility Data 2023'!$AE$2:$AE$10000,0),3)&gt;0,INDEX('CAMD Facility Data 2023'!$AE$2:$AG$10000,MATCH(Z1719,'CAMD Facility Data 2023'!$AE$2:$AE$10000,0),3),"")</f>
        <v>Y</v>
      </c>
      <c r="AD1719" s="20">
        <f t="shared" si="79"/>
        <v>5.5617480753331443E-2</v>
      </c>
      <c r="AE1719" s="25">
        <f t="shared" si="80"/>
        <v>0.71630912363891819</v>
      </c>
    </row>
    <row r="1720" spans="1:31" x14ac:dyDescent="0.2">
      <c r="A1720" s="1" t="s">
        <v>32</v>
      </c>
      <c r="B1720" s="1" t="s">
        <v>4160</v>
      </c>
      <c r="C1720" s="1">
        <v>7710</v>
      </c>
      <c r="D1720" s="1" t="s">
        <v>1201</v>
      </c>
      <c r="F1720" s="1">
        <v>2023</v>
      </c>
      <c r="G1720" s="5">
        <v>8335</v>
      </c>
      <c r="H1720" s="5">
        <v>8330.75</v>
      </c>
      <c r="I1720" s="5">
        <v>2404925.75</v>
      </c>
      <c r="K1720" s="5">
        <v>4.843</v>
      </c>
      <c r="L1720" s="5">
        <v>1E-3</v>
      </c>
      <c r="M1720" s="5">
        <v>959390.82499999995</v>
      </c>
      <c r="N1720" s="6">
        <v>5.8999999999999997E-2</v>
      </c>
      <c r="O1720" s="5">
        <v>65.805000000000007</v>
      </c>
      <c r="P1720" s="6">
        <v>8.5000000000000006E-3</v>
      </c>
      <c r="Q1720" s="5">
        <v>16143577.925000001</v>
      </c>
      <c r="R1720" s="1" t="s">
        <v>44</v>
      </c>
      <c r="T1720" s="1" t="s">
        <v>71</v>
      </c>
      <c r="V1720" s="1" t="s">
        <v>64</v>
      </c>
      <c r="Y1720" s="1" t="s">
        <v>35</v>
      </c>
      <c r="Z1720" s="1" t="str">
        <f t="shared" si="78"/>
        <v>7710 2B</v>
      </c>
      <c r="AA1720" s="3">
        <f>IF(INDEX('CAMD Facility Data 2023'!$AA$2:$AE$10000,MATCH(Z1720,'CAMD Facility Data 2023'!$AE$2:$AE$10000,0),1)&gt;0,INDEX('CAMD Facility Data 2023'!$AA$2:$AE$10000,MATCH(Z1720,'CAMD Facility Data 2023'!$AE$2:$AE$10000,0),1),"")</f>
        <v>37636</v>
      </c>
      <c r="AB1720" s="5">
        <f>IF(INDEX('CAMD Facility Data 2023'!$AC$2:$AE$10000,MATCH(Z1720,'CAMD Facility Data 2023'!$AE$2:$AE$10000,0),1)&gt;0,INDEX('CAMD Facility Data 2023'!$AC$2:$AE$10000,MATCH(Z1720,'CAMD Facility Data 2023'!$AE$2:$AE$10000,0),1),"")</f>
        <v>2600</v>
      </c>
      <c r="AC1720" s="1" t="str">
        <f>IF(INDEX('CAMD Facility Data 2023'!$AE$2:$AG$10000,MATCH(Z1720,'CAMD Facility Data 2023'!$AE$2:$AE$10000,0),3)&gt;0,INDEX('CAMD Facility Data 2023'!$AE$2:$AG$10000,MATCH(Z1720,'CAMD Facility Data 2023'!$AE$2:$AE$10000,0),3),"")</f>
        <v>Y</v>
      </c>
      <c r="AD1720" s="20">
        <f t="shared" si="79"/>
        <v>5.4725182263943073E-2</v>
      </c>
      <c r="AE1720" s="25">
        <f t="shared" si="80"/>
        <v>0.7087977662890762</v>
      </c>
    </row>
    <row r="1721" spans="1:31" x14ac:dyDescent="0.2">
      <c r="A1721" s="1" t="s">
        <v>32</v>
      </c>
      <c r="B1721" s="1" t="s">
        <v>4160</v>
      </c>
      <c r="C1721" s="1">
        <v>7710</v>
      </c>
      <c r="D1721" s="1" t="s">
        <v>379</v>
      </c>
      <c r="F1721" s="1">
        <v>2023</v>
      </c>
      <c r="G1721" s="5">
        <v>8340</v>
      </c>
      <c r="H1721" s="5">
        <v>8329.25</v>
      </c>
      <c r="I1721" s="5">
        <v>2431526.25</v>
      </c>
      <c r="K1721" s="5">
        <v>4.9550000000000001</v>
      </c>
      <c r="L1721" s="5">
        <v>1E-3</v>
      </c>
      <c r="M1721" s="5">
        <v>981461.82499999995</v>
      </c>
      <c r="N1721" s="6">
        <v>5.8999999999999997E-2</v>
      </c>
      <c r="O1721" s="5">
        <v>70.289000000000001</v>
      </c>
      <c r="P1721" s="6">
        <v>8.9999999999999993E-3</v>
      </c>
      <c r="Q1721" s="5">
        <v>16514983.975</v>
      </c>
      <c r="R1721" s="1" t="s">
        <v>44</v>
      </c>
      <c r="T1721" s="1" t="s">
        <v>71</v>
      </c>
      <c r="V1721" s="1" t="s">
        <v>64</v>
      </c>
      <c r="Y1721" s="1" t="s">
        <v>35</v>
      </c>
      <c r="Z1721" s="1" t="str">
        <f t="shared" si="78"/>
        <v>7710 3A</v>
      </c>
      <c r="AA1721" s="3">
        <f>IF(INDEX('CAMD Facility Data 2023'!$AA$2:$AE$10000,MATCH(Z1721,'CAMD Facility Data 2023'!$AE$2:$AE$10000,0),1)&gt;0,INDEX('CAMD Facility Data 2023'!$AA$2:$AE$10000,MATCH(Z1721,'CAMD Facility Data 2023'!$AE$2:$AE$10000,0),1),"")</f>
        <v>39458</v>
      </c>
      <c r="AB1721" s="5">
        <f>IF(INDEX('CAMD Facility Data 2023'!$AC$2:$AE$10000,MATCH(Z1721,'CAMD Facility Data 2023'!$AE$2:$AE$10000,0),1)&gt;0,INDEX('CAMD Facility Data 2023'!$AC$2:$AE$10000,MATCH(Z1721,'CAMD Facility Data 2023'!$AE$2:$AE$10000,0),1),"")</f>
        <v>2600</v>
      </c>
      <c r="AC1721" s="1" t="str">
        <f>IF(INDEX('CAMD Facility Data 2023'!$AE$2:$AG$10000,MATCH(Z1721,'CAMD Facility Data 2023'!$AE$2:$AE$10000,0),3)&gt;0,INDEX('CAMD Facility Data 2023'!$AE$2:$AG$10000,MATCH(Z1721,'CAMD Facility Data 2023'!$AE$2:$AE$10000,0),3),"")</f>
        <v>Y</v>
      </c>
      <c r="AD1721" s="20">
        <f t="shared" si="79"/>
        <v>5.7814716168497052E-2</v>
      </c>
      <c r="AE1721" s="25">
        <f t="shared" si="80"/>
        <v>0.72510467048647698</v>
      </c>
    </row>
    <row r="1722" spans="1:31" x14ac:dyDescent="0.2">
      <c r="A1722" s="1" t="s">
        <v>32</v>
      </c>
      <c r="B1722" s="1" t="s">
        <v>4160</v>
      </c>
      <c r="C1722" s="1">
        <v>7710</v>
      </c>
      <c r="D1722" s="1" t="s">
        <v>965</v>
      </c>
      <c r="F1722" s="1">
        <v>2023</v>
      </c>
      <c r="G1722" s="5">
        <v>8363</v>
      </c>
      <c r="H1722" s="5">
        <v>8352.25</v>
      </c>
      <c r="I1722" s="5">
        <v>2420319</v>
      </c>
      <c r="K1722" s="5">
        <v>4.9029999999999996</v>
      </c>
      <c r="L1722" s="5">
        <v>1E-3</v>
      </c>
      <c r="M1722" s="5">
        <v>971242.9</v>
      </c>
      <c r="N1722" s="6">
        <v>5.8999999999999997E-2</v>
      </c>
      <c r="O1722" s="5">
        <v>70.608000000000004</v>
      </c>
      <c r="P1722" s="6">
        <v>9.1999999999999998E-3</v>
      </c>
      <c r="Q1722" s="5">
        <v>16343051.074999999</v>
      </c>
      <c r="R1722" s="1" t="s">
        <v>44</v>
      </c>
      <c r="T1722" s="1" t="s">
        <v>71</v>
      </c>
      <c r="V1722" s="1" t="s">
        <v>64</v>
      </c>
      <c r="Y1722" s="1" t="s">
        <v>35</v>
      </c>
      <c r="Z1722" s="1" t="str">
        <f t="shared" si="78"/>
        <v>7710 3B</v>
      </c>
      <c r="AA1722" s="3">
        <f>IF(INDEX('CAMD Facility Data 2023'!$AA$2:$AE$10000,MATCH(Z1722,'CAMD Facility Data 2023'!$AE$2:$AE$10000,0),1)&gt;0,INDEX('CAMD Facility Data 2023'!$AA$2:$AE$10000,MATCH(Z1722,'CAMD Facility Data 2023'!$AE$2:$AE$10000,0),1),"")</f>
        <v>39465</v>
      </c>
      <c r="AB1722" s="5">
        <f>IF(INDEX('CAMD Facility Data 2023'!$AC$2:$AE$10000,MATCH(Z1722,'CAMD Facility Data 2023'!$AE$2:$AE$10000,0),1)&gt;0,INDEX('CAMD Facility Data 2023'!$AC$2:$AE$10000,MATCH(Z1722,'CAMD Facility Data 2023'!$AE$2:$AE$10000,0),1),"")</f>
        <v>2600</v>
      </c>
      <c r="AC1722" s="1" t="str">
        <f>IF(INDEX('CAMD Facility Data 2023'!$AE$2:$AG$10000,MATCH(Z1722,'CAMD Facility Data 2023'!$AE$2:$AE$10000,0),3)&gt;0,INDEX('CAMD Facility Data 2023'!$AE$2:$AG$10000,MATCH(Z1722,'CAMD Facility Data 2023'!$AE$2:$AE$10000,0),3),"")</f>
        <v>Y</v>
      </c>
      <c r="AD1722" s="20">
        <f t="shared" si="79"/>
        <v>5.8346027940944976E-2</v>
      </c>
      <c r="AE1722" s="25">
        <f t="shared" si="80"/>
        <v>0.71755580764840177</v>
      </c>
    </row>
    <row r="1723" spans="1:31" x14ac:dyDescent="0.2">
      <c r="A1723" s="1" t="s">
        <v>32</v>
      </c>
      <c r="B1723" s="1" t="s">
        <v>4170</v>
      </c>
      <c r="C1723" s="1">
        <v>7721</v>
      </c>
      <c r="D1723" s="1" t="s">
        <v>194</v>
      </c>
      <c r="F1723" s="1">
        <v>2023</v>
      </c>
      <c r="G1723" s="5">
        <v>8276</v>
      </c>
      <c r="H1723" s="5">
        <v>8271.5</v>
      </c>
      <c r="I1723" s="5">
        <v>2080924.25</v>
      </c>
      <c r="K1723" s="5">
        <v>4.0910000000000002</v>
      </c>
      <c r="L1723" s="5">
        <v>1E-3</v>
      </c>
      <c r="M1723" s="5">
        <v>810352.85</v>
      </c>
      <c r="N1723" s="6">
        <v>5.8999999999999997E-2</v>
      </c>
      <c r="O1723" s="5">
        <v>44.012</v>
      </c>
      <c r="P1723" s="6">
        <v>6.7000000000000002E-3</v>
      </c>
      <c r="Q1723" s="5">
        <v>13635664.85</v>
      </c>
      <c r="R1723" s="1" t="s">
        <v>44</v>
      </c>
      <c r="T1723" s="1" t="s">
        <v>71</v>
      </c>
      <c r="V1723" s="1" t="s">
        <v>64</v>
      </c>
      <c r="Y1723" s="1" t="s">
        <v>35</v>
      </c>
      <c r="Z1723" s="1" t="str">
        <f t="shared" si="78"/>
        <v>7721 CC1</v>
      </c>
      <c r="AA1723" s="3">
        <f>IF(INDEX('CAMD Facility Data 2023'!$AA$2:$AE$10000,MATCH(Z1723,'CAMD Facility Data 2023'!$AE$2:$AE$10000,0),1)&gt;0,INDEX('CAMD Facility Data 2023'!$AA$2:$AE$10000,MATCH(Z1723,'CAMD Facility Data 2023'!$AE$2:$AE$10000,0),1),"")</f>
        <v>36812</v>
      </c>
      <c r="AB1723" s="5">
        <f>IF(INDEX('CAMD Facility Data 2023'!$AC$2:$AE$10000,MATCH(Z1723,'CAMD Facility Data 2023'!$AE$2:$AE$10000,0),1)&gt;0,INDEX('CAMD Facility Data 2023'!$AC$2:$AE$10000,MATCH(Z1723,'CAMD Facility Data 2023'!$AE$2:$AE$10000,0),1),"")</f>
        <v>2500</v>
      </c>
      <c r="AC1723" s="1" t="str">
        <f>IF(INDEX('CAMD Facility Data 2023'!$AE$2:$AG$10000,MATCH(Z1723,'CAMD Facility Data 2023'!$AE$2:$AE$10000,0),3)&gt;0,INDEX('CAMD Facility Data 2023'!$AE$2:$AG$10000,MATCH(Z1723,'CAMD Facility Data 2023'!$AE$2:$AE$10000,0),3),"")</f>
        <v>Y</v>
      </c>
      <c r="AD1723" s="20">
        <f t="shared" si="79"/>
        <v>4.2300434530473656E-2</v>
      </c>
      <c r="AE1723" s="25">
        <f t="shared" si="80"/>
        <v>0.62263309817351598</v>
      </c>
    </row>
    <row r="1724" spans="1:31" x14ac:dyDescent="0.2">
      <c r="A1724" s="1" t="s">
        <v>1755</v>
      </c>
      <c r="B1724" s="1" t="s">
        <v>4172</v>
      </c>
      <c r="C1724" s="1">
        <v>7749</v>
      </c>
      <c r="D1724" s="1">
        <v>1</v>
      </c>
      <c r="F1724" s="1">
        <v>2023</v>
      </c>
      <c r="G1724" s="5">
        <v>1005</v>
      </c>
      <c r="H1724" s="5">
        <v>908.18</v>
      </c>
      <c r="I1724" s="5">
        <v>73788.479999999996</v>
      </c>
      <c r="K1724" s="5">
        <v>0.27300000000000002</v>
      </c>
      <c r="L1724" s="5">
        <v>1E-3</v>
      </c>
      <c r="M1724" s="5">
        <v>54015.991000000002</v>
      </c>
      <c r="N1724" s="6">
        <v>5.8999999999999997E-2</v>
      </c>
      <c r="O1724" s="5">
        <v>44.57</v>
      </c>
      <c r="P1724" s="6">
        <v>0.1014</v>
      </c>
      <c r="Q1724" s="5">
        <v>908932.62199999997</v>
      </c>
      <c r="R1724" s="1" t="s">
        <v>44</v>
      </c>
      <c r="T1724" s="1" t="s">
        <v>93</v>
      </c>
      <c r="V1724" s="1" t="s">
        <v>140</v>
      </c>
      <c r="Y1724" s="1" t="s">
        <v>1207</v>
      </c>
      <c r="Z1724" s="1" t="str">
        <f t="shared" si="78"/>
        <v>7749 1</v>
      </c>
      <c r="AA1724" s="3">
        <f>IF(INDEX('CAMD Facility Data 2023'!$AA$2:$AE$10000,MATCH(Z1724,'CAMD Facility Data 2023'!$AE$2:$AE$10000,0),1)&gt;0,INDEX('CAMD Facility Data 2023'!$AA$2:$AE$10000,MATCH(Z1724,'CAMD Facility Data 2023'!$AE$2:$AE$10000,0),1),"")</f>
        <v>36333</v>
      </c>
      <c r="AB1724" s="5">
        <f>IF(INDEX('CAMD Facility Data 2023'!$AC$2:$AE$10000,MATCH(Z1724,'CAMD Facility Data 2023'!$AE$2:$AE$10000,0),1)&gt;0,INDEX('CAMD Facility Data 2023'!$AC$2:$AE$10000,MATCH(Z1724,'CAMD Facility Data 2023'!$AE$2:$AE$10000,0),1),"")</f>
        <v>1470.6</v>
      </c>
      <c r="AC1724" s="1" t="str">
        <f>IF(INDEX('CAMD Facility Data 2023'!$AE$2:$AG$10000,MATCH(Z1724,'CAMD Facility Data 2023'!$AE$2:$AE$10000,0),3)&gt;0,INDEX('CAMD Facility Data 2023'!$AE$2:$AG$10000,MATCH(Z1724,'CAMD Facility Data 2023'!$AE$2:$AE$10000,0),3),"")</f>
        <v/>
      </c>
      <c r="AD1724" s="20">
        <f t="shared" si="79"/>
        <v>1.2080476518827872</v>
      </c>
      <c r="AE1724" s="25">
        <f t="shared" si="80"/>
        <v>7.0555849133115606E-2</v>
      </c>
    </row>
    <row r="1725" spans="1:31" x14ac:dyDescent="0.2">
      <c r="A1725" s="1" t="s">
        <v>1755</v>
      </c>
      <c r="B1725" s="1" t="s">
        <v>4176</v>
      </c>
      <c r="C1725" s="1">
        <v>7754</v>
      </c>
      <c r="D1725" s="1">
        <v>1</v>
      </c>
      <c r="F1725" s="1">
        <v>2023</v>
      </c>
      <c r="G1725" s="5">
        <v>105</v>
      </c>
      <c r="H1725" s="5">
        <v>88.45</v>
      </c>
      <c r="I1725" s="5">
        <v>6342.15</v>
      </c>
      <c r="K1725" s="5">
        <v>2.5000000000000001E-2</v>
      </c>
      <c r="L1725" s="5">
        <v>1E-3</v>
      </c>
      <c r="M1725" s="5">
        <v>4887.5249999999996</v>
      </c>
      <c r="N1725" s="6">
        <v>5.91E-2</v>
      </c>
      <c r="O1725" s="5">
        <v>3.4969999999999999</v>
      </c>
      <c r="P1725" s="6">
        <v>8.3799999999999999E-2</v>
      </c>
      <c r="Q1725" s="5">
        <v>82237.944000000003</v>
      </c>
      <c r="R1725" s="1" t="s">
        <v>44</v>
      </c>
      <c r="T1725" s="1" t="s">
        <v>93</v>
      </c>
      <c r="V1725" s="1" t="s">
        <v>140</v>
      </c>
      <c r="Y1725" s="1" t="s">
        <v>1207</v>
      </c>
      <c r="Z1725" s="1" t="str">
        <f t="shared" si="78"/>
        <v>7754 1</v>
      </c>
      <c r="AA1725" s="3">
        <f>IF(INDEX('CAMD Facility Data 2023'!$AA$2:$AE$10000,MATCH(Z1725,'CAMD Facility Data 2023'!$AE$2:$AE$10000,0),1)&gt;0,INDEX('CAMD Facility Data 2023'!$AA$2:$AE$10000,MATCH(Z1725,'CAMD Facility Data 2023'!$AE$2:$AE$10000,0),1),"")</f>
        <v>36339</v>
      </c>
      <c r="AB1725" s="5">
        <f>IF(INDEX('CAMD Facility Data 2023'!$AC$2:$AE$10000,MATCH(Z1725,'CAMD Facility Data 2023'!$AE$2:$AE$10000,0),1)&gt;0,INDEX('CAMD Facility Data 2023'!$AC$2:$AE$10000,MATCH(Z1725,'CAMD Facility Data 2023'!$AE$2:$AE$10000,0),1),"")</f>
        <v>1300</v>
      </c>
      <c r="AC1725" s="1" t="str">
        <f>IF(INDEX('CAMD Facility Data 2023'!$AE$2:$AG$10000,MATCH(Z1725,'CAMD Facility Data 2023'!$AE$2:$AE$10000,0),3)&gt;0,INDEX('CAMD Facility Data 2023'!$AE$2:$AG$10000,MATCH(Z1725,'CAMD Facility Data 2023'!$AE$2:$AE$10000,0),3),"")</f>
        <v/>
      </c>
      <c r="AD1725" s="20">
        <f t="shared" si="79"/>
        <v>1.1027806027924285</v>
      </c>
      <c r="AE1725" s="25">
        <f t="shared" si="80"/>
        <v>7.2214562697576401E-3</v>
      </c>
    </row>
    <row r="1726" spans="1:31" x14ac:dyDescent="0.2">
      <c r="A1726" s="1" t="s">
        <v>1755</v>
      </c>
      <c r="B1726" s="1" t="s">
        <v>4176</v>
      </c>
      <c r="C1726" s="1">
        <v>7754</v>
      </c>
      <c r="D1726" s="1">
        <v>2</v>
      </c>
      <c r="F1726" s="1">
        <v>2023</v>
      </c>
      <c r="G1726" s="5">
        <v>94</v>
      </c>
      <c r="H1726" s="5">
        <v>79.040000000000006</v>
      </c>
      <c r="I1726" s="5">
        <v>5560.15</v>
      </c>
      <c r="K1726" s="5">
        <v>2.1999999999999999E-2</v>
      </c>
      <c r="L1726" s="5">
        <v>1E-3</v>
      </c>
      <c r="M1726" s="5">
        <v>4316.2489999999998</v>
      </c>
      <c r="N1726" s="6">
        <v>5.91E-2</v>
      </c>
      <c r="O1726" s="5">
        <v>2.5960000000000001</v>
      </c>
      <c r="P1726" s="6">
        <v>7.3899999999999993E-2</v>
      </c>
      <c r="Q1726" s="5">
        <v>72628.422000000006</v>
      </c>
      <c r="R1726" s="1" t="s">
        <v>44</v>
      </c>
      <c r="T1726" s="1" t="s">
        <v>93</v>
      </c>
      <c r="V1726" s="1" t="s">
        <v>140</v>
      </c>
      <c r="Y1726" s="1" t="s">
        <v>1207</v>
      </c>
      <c r="Z1726" s="1" t="str">
        <f t="shared" si="78"/>
        <v>7754 2</v>
      </c>
      <c r="AA1726" s="3">
        <f>IF(INDEX('CAMD Facility Data 2023'!$AA$2:$AE$10000,MATCH(Z1726,'CAMD Facility Data 2023'!$AE$2:$AE$10000,0),1)&gt;0,INDEX('CAMD Facility Data 2023'!$AA$2:$AE$10000,MATCH(Z1726,'CAMD Facility Data 2023'!$AE$2:$AE$10000,0),1),"")</f>
        <v>36348</v>
      </c>
      <c r="AB1726" s="5">
        <f>IF(INDEX('CAMD Facility Data 2023'!$AC$2:$AE$10000,MATCH(Z1726,'CAMD Facility Data 2023'!$AE$2:$AE$10000,0),1)&gt;0,INDEX('CAMD Facility Data 2023'!$AC$2:$AE$10000,MATCH(Z1726,'CAMD Facility Data 2023'!$AE$2:$AE$10000,0),1),"")</f>
        <v>1300</v>
      </c>
      <c r="AC1726" s="1" t="str">
        <f>IF(INDEX('CAMD Facility Data 2023'!$AE$2:$AG$10000,MATCH(Z1726,'CAMD Facility Data 2023'!$AE$2:$AE$10000,0),3)&gt;0,INDEX('CAMD Facility Data 2023'!$AE$2:$AG$10000,MATCH(Z1726,'CAMD Facility Data 2023'!$AE$2:$AE$10000,0),3),"")</f>
        <v/>
      </c>
      <c r="AD1726" s="20">
        <f t="shared" si="79"/>
        <v>0.93378775752452725</v>
      </c>
      <c r="AE1726" s="25">
        <f t="shared" si="80"/>
        <v>6.3776275026343528E-3</v>
      </c>
    </row>
    <row r="1727" spans="1:31" x14ac:dyDescent="0.2">
      <c r="A1727" s="1" t="s">
        <v>335</v>
      </c>
      <c r="B1727" s="1" t="s">
        <v>4181</v>
      </c>
      <c r="C1727" s="1">
        <v>7757</v>
      </c>
      <c r="D1727" s="1">
        <v>1</v>
      </c>
      <c r="F1727" s="1">
        <v>2023</v>
      </c>
      <c r="G1727" s="5">
        <v>7693</v>
      </c>
      <c r="H1727" s="5">
        <v>7639.19</v>
      </c>
      <c r="I1727" s="5">
        <v>1652568.85</v>
      </c>
      <c r="K1727" s="5">
        <v>3.4689999999999999</v>
      </c>
      <c r="L1727" s="5">
        <v>1E-3</v>
      </c>
      <c r="M1727" s="5">
        <v>687195.674</v>
      </c>
      <c r="N1727" s="6">
        <v>5.8999999999999997E-2</v>
      </c>
      <c r="O1727" s="5">
        <v>151.36199999999999</v>
      </c>
      <c r="P1727" s="6">
        <v>2.6499999999999999E-2</v>
      </c>
      <c r="Q1727" s="5">
        <v>11563423.32</v>
      </c>
      <c r="R1727" s="1" t="s">
        <v>44</v>
      </c>
      <c r="T1727" s="1" t="s">
        <v>71</v>
      </c>
      <c r="V1727" s="1" t="s">
        <v>64</v>
      </c>
      <c r="Y1727" s="1" t="s">
        <v>346</v>
      </c>
      <c r="Z1727" s="1" t="str">
        <f t="shared" si="78"/>
        <v>7757 1</v>
      </c>
      <c r="AA1727" s="3">
        <f>IF(INDEX('CAMD Facility Data 2023'!$AA$2:$AE$10000,MATCH(Z1727,'CAMD Facility Data 2023'!$AE$2:$AE$10000,0),1)&gt;0,INDEX('CAMD Facility Data 2023'!$AA$2:$AE$10000,MATCH(Z1727,'CAMD Facility Data 2023'!$AE$2:$AE$10000,0),1),"")</f>
        <v>36691</v>
      </c>
      <c r="AB1727" s="5">
        <f>IF(INDEX('CAMD Facility Data 2023'!$AC$2:$AE$10000,MATCH(Z1727,'CAMD Facility Data 2023'!$AE$2:$AE$10000,0),1)&gt;0,INDEX('CAMD Facility Data 2023'!$AC$2:$AE$10000,MATCH(Z1727,'CAMD Facility Data 2023'!$AE$2:$AE$10000,0),1),"")</f>
        <v>1783</v>
      </c>
      <c r="AC1727" s="1" t="str">
        <f>IF(INDEX('CAMD Facility Data 2023'!$AE$2:$AG$10000,MATCH(Z1727,'CAMD Facility Data 2023'!$AE$2:$AE$10000,0),3)&gt;0,INDEX('CAMD Facility Data 2023'!$AE$2:$AG$10000,MATCH(Z1727,'CAMD Facility Data 2023'!$AE$2:$AE$10000,0),3),"")</f>
        <v>Y</v>
      </c>
      <c r="AD1727" s="20">
        <f t="shared" si="79"/>
        <v>0.18318389578745842</v>
      </c>
      <c r="AE1727" s="25">
        <f t="shared" si="80"/>
        <v>0.74033959234474755</v>
      </c>
    </row>
    <row r="1728" spans="1:31" x14ac:dyDescent="0.2">
      <c r="A1728" s="1" t="s">
        <v>335</v>
      </c>
      <c r="B1728" s="1" t="s">
        <v>4181</v>
      </c>
      <c r="C1728" s="1">
        <v>7757</v>
      </c>
      <c r="D1728" s="1">
        <v>2</v>
      </c>
      <c r="F1728" s="1">
        <v>2023</v>
      </c>
      <c r="G1728" s="5">
        <v>7085</v>
      </c>
      <c r="H1728" s="5">
        <v>7051.05</v>
      </c>
      <c r="I1728" s="5">
        <v>1523671.46</v>
      </c>
      <c r="K1728" s="5">
        <v>3.2210000000000001</v>
      </c>
      <c r="L1728" s="5">
        <v>1E-3</v>
      </c>
      <c r="M1728" s="5">
        <v>637946.59400000004</v>
      </c>
      <c r="N1728" s="6">
        <v>5.8999999999999997E-2</v>
      </c>
      <c r="O1728" s="5">
        <v>145.41300000000001</v>
      </c>
      <c r="P1728" s="6">
        <v>2.7400000000000001E-2</v>
      </c>
      <c r="Q1728" s="5">
        <v>10734666.732000001</v>
      </c>
      <c r="R1728" s="1" t="s">
        <v>44</v>
      </c>
      <c r="T1728" s="1" t="s">
        <v>71</v>
      </c>
      <c r="V1728" s="1" t="s">
        <v>64</v>
      </c>
      <c r="Y1728" s="1" t="s">
        <v>346</v>
      </c>
      <c r="Z1728" s="1" t="str">
        <f t="shared" si="78"/>
        <v>7757 2</v>
      </c>
      <c r="AA1728" s="3">
        <f>IF(INDEX('CAMD Facility Data 2023'!$AA$2:$AE$10000,MATCH(Z1728,'CAMD Facility Data 2023'!$AE$2:$AE$10000,0),1)&gt;0,INDEX('CAMD Facility Data 2023'!$AA$2:$AE$10000,MATCH(Z1728,'CAMD Facility Data 2023'!$AE$2:$AE$10000,0),1),"")</f>
        <v>36691</v>
      </c>
      <c r="AB1728" s="5">
        <f>IF(INDEX('CAMD Facility Data 2023'!$AC$2:$AE$10000,MATCH(Z1728,'CAMD Facility Data 2023'!$AE$2:$AE$10000,0),1)&gt;0,INDEX('CAMD Facility Data 2023'!$AC$2:$AE$10000,MATCH(Z1728,'CAMD Facility Data 2023'!$AE$2:$AE$10000,0),1),"")</f>
        <v>1870.5</v>
      </c>
      <c r="AC1728" s="1" t="str">
        <f>IF(INDEX('CAMD Facility Data 2023'!$AE$2:$AG$10000,MATCH(Z1728,'CAMD Facility Data 2023'!$AE$2:$AE$10000,0),3)&gt;0,INDEX('CAMD Facility Data 2023'!$AE$2:$AG$10000,MATCH(Z1728,'CAMD Facility Data 2023'!$AE$2:$AE$10000,0),3),"")</f>
        <v>Y</v>
      </c>
      <c r="AD1728" s="20">
        <f t="shared" si="79"/>
        <v>0.19087185632524745</v>
      </c>
      <c r="AE1728" s="25">
        <f t="shared" si="80"/>
        <v>0.6551288835671365</v>
      </c>
    </row>
    <row r="1729" spans="1:31" x14ac:dyDescent="0.2">
      <c r="A1729" s="1" t="s">
        <v>335</v>
      </c>
      <c r="B1729" s="1" t="s">
        <v>4181</v>
      </c>
      <c r="C1729" s="1">
        <v>7757</v>
      </c>
      <c r="D1729" s="1">
        <v>3</v>
      </c>
      <c r="F1729" s="1">
        <v>2023</v>
      </c>
      <c r="G1729" s="5">
        <v>8183</v>
      </c>
      <c r="H1729" s="5">
        <v>8168.46</v>
      </c>
      <c r="I1729" s="5">
        <v>1916599.38</v>
      </c>
      <c r="K1729" s="5">
        <v>3.843</v>
      </c>
      <c r="L1729" s="5">
        <v>1E-3</v>
      </c>
      <c r="M1729" s="5">
        <v>761325.679</v>
      </c>
      <c r="N1729" s="6">
        <v>5.8999999999999997E-2</v>
      </c>
      <c r="O1729" s="5">
        <v>25.515999999999998</v>
      </c>
      <c r="P1729" s="6">
        <v>4.1000000000000003E-3</v>
      </c>
      <c r="Q1729" s="5">
        <v>12810815.858999999</v>
      </c>
      <c r="R1729" s="1" t="s">
        <v>44</v>
      </c>
      <c r="T1729" s="1" t="s">
        <v>71</v>
      </c>
      <c r="V1729" s="1" t="s">
        <v>64</v>
      </c>
      <c r="Y1729" s="1" t="s">
        <v>346</v>
      </c>
      <c r="Z1729" s="1" t="str">
        <f t="shared" si="78"/>
        <v>7757 3</v>
      </c>
      <c r="AA1729" s="3">
        <f>IF(INDEX('CAMD Facility Data 2023'!$AA$2:$AE$10000,MATCH(Z1729,'CAMD Facility Data 2023'!$AE$2:$AE$10000,0),1)&gt;0,INDEX('CAMD Facility Data 2023'!$AA$2:$AE$10000,MATCH(Z1729,'CAMD Facility Data 2023'!$AE$2:$AE$10000,0),1),"")</f>
        <v>40613</v>
      </c>
      <c r="AB1729" s="5">
        <f>IF(INDEX('CAMD Facility Data 2023'!$AC$2:$AE$10000,MATCH(Z1729,'CAMD Facility Data 2023'!$AE$2:$AE$10000,0),1)&gt;0,INDEX('CAMD Facility Data 2023'!$AC$2:$AE$10000,MATCH(Z1729,'CAMD Facility Data 2023'!$AE$2:$AE$10000,0),1),"")</f>
        <v>1882</v>
      </c>
      <c r="AC1729" s="1" t="str">
        <f>IF(INDEX('CAMD Facility Data 2023'!$AE$2:$AG$10000,MATCH(Z1729,'CAMD Facility Data 2023'!$AE$2:$AE$10000,0),3)&gt;0,INDEX('CAMD Facility Data 2023'!$AE$2:$AG$10000,MATCH(Z1729,'CAMD Facility Data 2023'!$AE$2:$AE$10000,0),3),"")</f>
        <v>Y</v>
      </c>
      <c r="AD1729" s="20">
        <f t="shared" si="79"/>
        <v>2.6626326050465488E-2</v>
      </c>
      <c r="AE1729" s="25">
        <f t="shared" si="80"/>
        <v>0.7770573335347124</v>
      </c>
    </row>
    <row r="1730" spans="1:31" x14ac:dyDescent="0.2">
      <c r="A1730" s="1" t="s">
        <v>335</v>
      </c>
      <c r="B1730" s="1" t="s">
        <v>4181</v>
      </c>
      <c r="C1730" s="1">
        <v>7757</v>
      </c>
      <c r="D1730" s="1">
        <v>4</v>
      </c>
      <c r="F1730" s="1">
        <v>2023</v>
      </c>
      <c r="G1730" s="5">
        <v>8313</v>
      </c>
      <c r="H1730" s="5">
        <v>8300.11</v>
      </c>
      <c r="I1730" s="5">
        <v>1944565.89</v>
      </c>
      <c r="K1730" s="5">
        <v>3.9340000000000002</v>
      </c>
      <c r="L1730" s="5">
        <v>1E-3</v>
      </c>
      <c r="M1730" s="5">
        <v>779173.89399999997</v>
      </c>
      <c r="N1730" s="6">
        <v>5.8999999999999997E-2</v>
      </c>
      <c r="O1730" s="5">
        <v>26.004000000000001</v>
      </c>
      <c r="P1730" s="6">
        <v>4.0000000000000001E-3</v>
      </c>
      <c r="Q1730" s="5">
        <v>13111067.578</v>
      </c>
      <c r="R1730" s="1" t="s">
        <v>44</v>
      </c>
      <c r="T1730" s="1" t="s">
        <v>71</v>
      </c>
      <c r="V1730" s="1" t="s">
        <v>64</v>
      </c>
      <c r="Y1730" s="1" t="s">
        <v>346</v>
      </c>
      <c r="Z1730" s="1" t="str">
        <f t="shared" si="78"/>
        <v>7757 4</v>
      </c>
      <c r="AA1730" s="3">
        <f>IF(INDEX('CAMD Facility Data 2023'!$AA$2:$AE$10000,MATCH(Z1730,'CAMD Facility Data 2023'!$AE$2:$AE$10000,0),1)&gt;0,INDEX('CAMD Facility Data 2023'!$AA$2:$AE$10000,MATCH(Z1730,'CAMD Facility Data 2023'!$AE$2:$AE$10000,0),1),"")</f>
        <v>40601</v>
      </c>
      <c r="AB1730" s="5">
        <f>IF(INDEX('CAMD Facility Data 2023'!$AC$2:$AE$10000,MATCH(Z1730,'CAMD Facility Data 2023'!$AE$2:$AE$10000,0),1)&gt;0,INDEX('CAMD Facility Data 2023'!$AC$2:$AE$10000,MATCH(Z1730,'CAMD Facility Data 2023'!$AE$2:$AE$10000,0),1),"")</f>
        <v>1882</v>
      </c>
      <c r="AC1730" s="1" t="str">
        <f>IF(INDEX('CAMD Facility Data 2023'!$AE$2:$AG$10000,MATCH(Z1730,'CAMD Facility Data 2023'!$AE$2:$AE$10000,0),3)&gt;0,INDEX('CAMD Facility Data 2023'!$AE$2:$AG$10000,MATCH(Z1730,'CAMD Facility Data 2023'!$AE$2:$AE$10000,0),3),"")</f>
        <v>Y</v>
      </c>
      <c r="AD1730" s="20">
        <f t="shared" si="79"/>
        <v>2.6745300978204448E-2</v>
      </c>
      <c r="AE1730" s="25">
        <f t="shared" si="80"/>
        <v>0.79526950696092269</v>
      </c>
    </row>
    <row r="1731" spans="1:31" x14ac:dyDescent="0.2">
      <c r="A1731" s="1" t="s">
        <v>1071</v>
      </c>
      <c r="B1731" s="1" t="s">
        <v>4186</v>
      </c>
      <c r="C1731" s="1">
        <v>7759</v>
      </c>
      <c r="D1731" s="1" t="s">
        <v>280</v>
      </c>
      <c r="F1731" s="1">
        <v>2023</v>
      </c>
      <c r="G1731" s="5">
        <v>1989</v>
      </c>
      <c r="H1731" s="5">
        <v>1832.26</v>
      </c>
      <c r="I1731" s="5">
        <v>118496.78</v>
      </c>
      <c r="K1731" s="5">
        <v>0.435</v>
      </c>
      <c r="L1731" s="5">
        <v>1E-3</v>
      </c>
      <c r="M1731" s="5">
        <v>86098.001000000004</v>
      </c>
      <c r="N1731" s="6">
        <v>5.8999999999999997E-2</v>
      </c>
      <c r="O1731" s="5">
        <v>15.458</v>
      </c>
      <c r="P1731" s="6">
        <v>2.1499999999999998E-2</v>
      </c>
      <c r="Q1731" s="5">
        <v>1448764.4650000001</v>
      </c>
      <c r="R1731" s="1" t="s">
        <v>44</v>
      </c>
      <c r="T1731" s="1" t="s">
        <v>93</v>
      </c>
      <c r="V1731" s="1" t="s">
        <v>140</v>
      </c>
      <c r="Y1731" s="1" t="s">
        <v>461</v>
      </c>
      <c r="Z1731" s="1" t="str">
        <f t="shared" ref="Z1731:Z1794" si="81">C1731&amp;" "&amp;D1731</f>
        <v>7759 GT1</v>
      </c>
      <c r="AA1731" s="3">
        <f>IF(INDEX('CAMD Facility Data 2023'!$AA$2:$AE$10000,MATCH(Z1731,'CAMD Facility Data 2023'!$AE$2:$AE$10000,0),1)&gt;0,INDEX('CAMD Facility Data 2023'!$AA$2:$AE$10000,MATCH(Z1731,'CAMD Facility Data 2023'!$AE$2:$AE$10000,0),1),"")</f>
        <v>36643</v>
      </c>
      <c r="AB1731" s="5">
        <f>IF(INDEX('CAMD Facility Data 2023'!$AC$2:$AE$10000,MATCH(Z1731,'CAMD Facility Data 2023'!$AE$2:$AE$10000,0),1)&gt;0,INDEX('CAMD Facility Data 2023'!$AC$2:$AE$10000,MATCH(Z1731,'CAMD Facility Data 2023'!$AE$2:$AE$10000,0),1),"")</f>
        <v>1100</v>
      </c>
      <c r="AC1731" s="1" t="str">
        <f>IF(INDEX('CAMD Facility Data 2023'!$AE$2:$AG$10000,MATCH(Z1731,'CAMD Facility Data 2023'!$AE$2:$AE$10000,0),3)&gt;0,INDEX('CAMD Facility Data 2023'!$AE$2:$AG$10000,MATCH(Z1731,'CAMD Facility Data 2023'!$AE$2:$AE$10000,0),3),"")</f>
        <v/>
      </c>
      <c r="AD1731" s="20">
        <f t="shared" ref="AD1731:AD1794" si="82">IF(ISNUMBER(O1731*2000/I1731),O1731*2000/I1731,"")</f>
        <v>0.2609016042461238</v>
      </c>
      <c r="AE1731" s="25">
        <f t="shared" ref="AE1731:AE1794" si="83">Q1731/(AB1731*8760)</f>
        <v>0.15034915577002905</v>
      </c>
    </row>
    <row r="1732" spans="1:31" x14ac:dyDescent="0.2">
      <c r="A1732" s="1" t="s">
        <v>1071</v>
      </c>
      <c r="B1732" s="1" t="s">
        <v>4186</v>
      </c>
      <c r="C1732" s="1">
        <v>7759</v>
      </c>
      <c r="D1732" s="1" t="s">
        <v>1102</v>
      </c>
      <c r="F1732" s="1">
        <v>2023</v>
      </c>
      <c r="G1732" s="5">
        <v>820</v>
      </c>
      <c r="H1732" s="5">
        <v>736.51</v>
      </c>
      <c r="I1732" s="5">
        <v>48208.800000000003</v>
      </c>
      <c r="K1732" s="5">
        <v>0.17399999999999999</v>
      </c>
      <c r="L1732" s="5">
        <v>1E-3</v>
      </c>
      <c r="M1732" s="5">
        <v>34439.430999999997</v>
      </c>
      <c r="N1732" s="6">
        <v>5.8999999999999997E-2</v>
      </c>
      <c r="O1732" s="5">
        <v>10.000999999999999</v>
      </c>
      <c r="P1732" s="6">
        <v>3.3700000000000001E-2</v>
      </c>
      <c r="Q1732" s="5">
        <v>579527.16</v>
      </c>
      <c r="R1732" s="1" t="s">
        <v>44</v>
      </c>
      <c r="T1732" s="1" t="s">
        <v>93</v>
      </c>
      <c r="V1732" s="1" t="s">
        <v>140</v>
      </c>
      <c r="Y1732" s="1" t="s">
        <v>461</v>
      </c>
      <c r="Z1732" s="1" t="str">
        <f t="shared" si="81"/>
        <v>7759 GT2</v>
      </c>
      <c r="AA1732" s="3">
        <f>IF(INDEX('CAMD Facility Data 2023'!$AA$2:$AE$10000,MATCH(Z1732,'CAMD Facility Data 2023'!$AE$2:$AE$10000,0),1)&gt;0,INDEX('CAMD Facility Data 2023'!$AA$2:$AE$10000,MATCH(Z1732,'CAMD Facility Data 2023'!$AE$2:$AE$10000,0),1),"")</f>
        <v>36635</v>
      </c>
      <c r="AB1732" s="5">
        <f>IF(INDEX('CAMD Facility Data 2023'!$AC$2:$AE$10000,MATCH(Z1732,'CAMD Facility Data 2023'!$AE$2:$AE$10000,0),1)&gt;0,INDEX('CAMD Facility Data 2023'!$AC$2:$AE$10000,MATCH(Z1732,'CAMD Facility Data 2023'!$AE$2:$AE$10000,0),1),"")</f>
        <v>1100</v>
      </c>
      <c r="AC1732" s="1" t="str">
        <f>IF(INDEX('CAMD Facility Data 2023'!$AE$2:$AG$10000,MATCH(Z1732,'CAMD Facility Data 2023'!$AE$2:$AE$10000,0),3)&gt;0,INDEX('CAMD Facility Data 2023'!$AE$2:$AG$10000,MATCH(Z1732,'CAMD Facility Data 2023'!$AE$2:$AE$10000,0),3),"")</f>
        <v/>
      </c>
      <c r="AD1732" s="20">
        <f t="shared" si="82"/>
        <v>0.41490350309487062</v>
      </c>
      <c r="AE1732" s="25">
        <f t="shared" si="83"/>
        <v>6.0141880448318807E-2</v>
      </c>
    </row>
    <row r="1733" spans="1:31" x14ac:dyDescent="0.2">
      <c r="A1733" s="1" t="s">
        <v>1071</v>
      </c>
      <c r="B1733" s="1" t="s">
        <v>4186</v>
      </c>
      <c r="C1733" s="1">
        <v>7759</v>
      </c>
      <c r="D1733" s="1" t="s">
        <v>246</v>
      </c>
      <c r="F1733" s="1">
        <v>2023</v>
      </c>
      <c r="G1733" s="5">
        <v>835</v>
      </c>
      <c r="H1733" s="5">
        <v>757.97</v>
      </c>
      <c r="I1733" s="5">
        <v>50816.66</v>
      </c>
      <c r="K1733" s="5">
        <v>0.182</v>
      </c>
      <c r="L1733" s="5">
        <v>1E-3</v>
      </c>
      <c r="M1733" s="5">
        <v>36135.879000000001</v>
      </c>
      <c r="N1733" s="6">
        <v>5.8999999999999997E-2</v>
      </c>
      <c r="O1733" s="5">
        <v>10.53</v>
      </c>
      <c r="P1733" s="6">
        <v>3.3300000000000003E-2</v>
      </c>
      <c r="Q1733" s="5">
        <v>608034.147</v>
      </c>
      <c r="R1733" s="1" t="s">
        <v>44</v>
      </c>
      <c r="T1733" s="1" t="s">
        <v>93</v>
      </c>
      <c r="V1733" s="1" t="s">
        <v>140</v>
      </c>
      <c r="Y1733" s="1" t="s">
        <v>461</v>
      </c>
      <c r="Z1733" s="1" t="str">
        <f t="shared" si="81"/>
        <v>7759 GT3</v>
      </c>
      <c r="AA1733" s="3">
        <f>IF(INDEX('CAMD Facility Data 2023'!$AA$2:$AE$10000,MATCH(Z1733,'CAMD Facility Data 2023'!$AE$2:$AE$10000,0),1)&gt;0,INDEX('CAMD Facility Data 2023'!$AA$2:$AE$10000,MATCH(Z1733,'CAMD Facility Data 2023'!$AE$2:$AE$10000,0),1),"")</f>
        <v>36651</v>
      </c>
      <c r="AB1733" s="5">
        <f>IF(INDEX('CAMD Facility Data 2023'!$AC$2:$AE$10000,MATCH(Z1733,'CAMD Facility Data 2023'!$AE$2:$AE$10000,0),1)&gt;0,INDEX('CAMD Facility Data 2023'!$AC$2:$AE$10000,MATCH(Z1733,'CAMD Facility Data 2023'!$AE$2:$AE$10000,0),1),"")</f>
        <v>1150</v>
      </c>
      <c r="AC1733" s="1" t="str">
        <f>IF(INDEX('CAMD Facility Data 2023'!$AE$2:$AG$10000,MATCH(Z1733,'CAMD Facility Data 2023'!$AE$2:$AE$10000,0),3)&gt;0,INDEX('CAMD Facility Data 2023'!$AE$2:$AG$10000,MATCH(Z1733,'CAMD Facility Data 2023'!$AE$2:$AE$10000,0),3),"")</f>
        <v/>
      </c>
      <c r="AD1733" s="20">
        <f t="shared" si="82"/>
        <v>0.41443101534024468</v>
      </c>
      <c r="AE1733" s="25">
        <f t="shared" si="83"/>
        <v>6.0356774568195354E-2</v>
      </c>
    </row>
    <row r="1734" spans="1:31" x14ac:dyDescent="0.2">
      <c r="A1734" s="1" t="s">
        <v>1071</v>
      </c>
      <c r="B1734" s="1" t="s">
        <v>4186</v>
      </c>
      <c r="C1734" s="1">
        <v>7759</v>
      </c>
      <c r="D1734" s="1" t="s">
        <v>251</v>
      </c>
      <c r="F1734" s="1">
        <v>2023</v>
      </c>
      <c r="G1734" s="5">
        <v>2044</v>
      </c>
      <c r="H1734" s="5">
        <v>1883.32</v>
      </c>
      <c r="I1734" s="5">
        <v>122990.33</v>
      </c>
      <c r="K1734" s="5">
        <v>0.46600000000000003</v>
      </c>
      <c r="L1734" s="5">
        <v>1E-3</v>
      </c>
      <c r="M1734" s="5">
        <v>92303.630999999994</v>
      </c>
      <c r="N1734" s="6">
        <v>5.8999999999999997E-2</v>
      </c>
      <c r="O1734" s="5">
        <v>21.385999999999999</v>
      </c>
      <c r="P1734" s="6">
        <v>2.76E-2</v>
      </c>
      <c r="Q1734" s="5">
        <v>1553196.916</v>
      </c>
      <c r="R1734" s="1" t="s">
        <v>44</v>
      </c>
      <c r="T1734" s="1" t="s">
        <v>93</v>
      </c>
      <c r="V1734" s="1" t="s">
        <v>140</v>
      </c>
      <c r="Y1734" s="1" t="s">
        <v>461</v>
      </c>
      <c r="Z1734" s="1" t="str">
        <f t="shared" si="81"/>
        <v>7759 GT4</v>
      </c>
      <c r="AA1734" s="3">
        <f>IF(INDEX('CAMD Facility Data 2023'!$AA$2:$AE$10000,MATCH(Z1734,'CAMD Facility Data 2023'!$AE$2:$AE$10000,0),1)&gt;0,INDEX('CAMD Facility Data 2023'!$AA$2:$AE$10000,MATCH(Z1734,'CAMD Facility Data 2023'!$AE$2:$AE$10000,0),1),"")</f>
        <v>36970</v>
      </c>
      <c r="AB1734" s="5">
        <f>IF(INDEX('CAMD Facility Data 2023'!$AC$2:$AE$10000,MATCH(Z1734,'CAMD Facility Data 2023'!$AE$2:$AE$10000,0),1)&gt;0,INDEX('CAMD Facility Data 2023'!$AC$2:$AE$10000,MATCH(Z1734,'CAMD Facility Data 2023'!$AE$2:$AE$10000,0),1),"")</f>
        <v>1150</v>
      </c>
      <c r="AC1734" s="1" t="str">
        <f>IF(INDEX('CAMD Facility Data 2023'!$AE$2:$AG$10000,MATCH(Z1734,'CAMD Facility Data 2023'!$AE$2:$AE$10000,0),3)&gt;0,INDEX('CAMD Facility Data 2023'!$AE$2:$AG$10000,MATCH(Z1734,'CAMD Facility Data 2023'!$AE$2:$AE$10000,0),3),"")</f>
        <v/>
      </c>
      <c r="AD1734" s="20">
        <f t="shared" si="82"/>
        <v>0.34776717811880009</v>
      </c>
      <c r="AE1734" s="25">
        <f t="shared" si="83"/>
        <v>0.15417876871153463</v>
      </c>
    </row>
    <row r="1735" spans="1:31" x14ac:dyDescent="0.2">
      <c r="A1735" s="1" t="s">
        <v>458</v>
      </c>
      <c r="B1735" s="1" t="s">
        <v>4191</v>
      </c>
      <c r="C1735" s="1">
        <v>7760</v>
      </c>
      <c r="D1735" s="1">
        <v>1</v>
      </c>
      <c r="E1735" s="1" t="s">
        <v>3061</v>
      </c>
      <c r="F1735" s="1">
        <v>2023</v>
      </c>
      <c r="G1735" s="5">
        <v>866</v>
      </c>
      <c r="H1735" s="5">
        <v>694.31</v>
      </c>
      <c r="I1735" s="5">
        <v>18871.02</v>
      </c>
      <c r="K1735" s="5">
        <v>6.0999999999999999E-2</v>
      </c>
      <c r="L1735" s="5">
        <v>1E-3</v>
      </c>
      <c r="M1735" s="5">
        <v>12142.221</v>
      </c>
      <c r="N1735" s="6">
        <v>5.8999999999999997E-2</v>
      </c>
      <c r="O1735" s="5">
        <v>11.006</v>
      </c>
      <c r="P1735" s="6">
        <v>0.113</v>
      </c>
      <c r="Q1735" s="5">
        <v>204319.59</v>
      </c>
      <c r="R1735" s="1" t="s">
        <v>44</v>
      </c>
      <c r="T1735" s="1" t="s">
        <v>93</v>
      </c>
      <c r="V1735" s="1" t="s">
        <v>95</v>
      </c>
      <c r="Y1735" s="1" t="s">
        <v>461</v>
      </c>
      <c r="Z1735" s="1" t="str">
        <f t="shared" si="81"/>
        <v>7760 1</v>
      </c>
      <c r="AA1735" s="3">
        <f>IF(INDEX('CAMD Facility Data 2023'!$AA$2:$AE$10000,MATCH(Z1735,'CAMD Facility Data 2023'!$AE$2:$AE$10000,0),1)&gt;0,INDEX('CAMD Facility Data 2023'!$AA$2:$AE$10000,MATCH(Z1735,'CAMD Facility Data 2023'!$AE$2:$AE$10000,0),1),"")</f>
        <v>36285</v>
      </c>
      <c r="AB1735" s="5">
        <f>IF(INDEX('CAMD Facility Data 2023'!$AC$2:$AE$10000,MATCH(Z1735,'CAMD Facility Data 2023'!$AE$2:$AE$10000,0),1)&gt;0,INDEX('CAMD Facility Data 2023'!$AC$2:$AE$10000,MATCH(Z1735,'CAMD Facility Data 2023'!$AE$2:$AE$10000,0),1),"")</f>
        <v>630</v>
      </c>
      <c r="AC1735" s="1" t="str">
        <f>IF(INDEX('CAMD Facility Data 2023'!$AE$2:$AG$10000,MATCH(Z1735,'CAMD Facility Data 2023'!$AE$2:$AE$10000,0),3)&gt;0,INDEX('CAMD Facility Data 2023'!$AE$2:$AG$10000,MATCH(Z1735,'CAMD Facility Data 2023'!$AE$2:$AE$10000,0),3),"")</f>
        <v/>
      </c>
      <c r="AD1735" s="20">
        <f t="shared" si="82"/>
        <v>1.1664446330934946</v>
      </c>
      <c r="AE1735" s="25">
        <f t="shared" si="83"/>
        <v>3.7022466840617524E-2</v>
      </c>
    </row>
    <row r="1736" spans="1:31" x14ac:dyDescent="0.2">
      <c r="A1736" s="1" t="s">
        <v>458</v>
      </c>
      <c r="B1736" s="1" t="s">
        <v>4191</v>
      </c>
      <c r="C1736" s="1">
        <v>7760</v>
      </c>
      <c r="D1736" s="1">
        <v>2</v>
      </c>
      <c r="E1736" s="1" t="s">
        <v>3061</v>
      </c>
      <c r="F1736" s="1">
        <v>2023</v>
      </c>
      <c r="G1736" s="5">
        <v>862</v>
      </c>
      <c r="H1736" s="5">
        <v>689.06</v>
      </c>
      <c r="I1736" s="5">
        <v>19218.71</v>
      </c>
      <c r="K1736" s="5">
        <v>6.0999999999999999E-2</v>
      </c>
      <c r="L1736" s="5">
        <v>1E-3</v>
      </c>
      <c r="M1736" s="5">
        <v>12123.383</v>
      </c>
      <c r="N1736" s="6">
        <v>5.91E-2</v>
      </c>
      <c r="O1736" s="5">
        <v>10.95</v>
      </c>
      <c r="P1736" s="6">
        <v>0.11700000000000001</v>
      </c>
      <c r="Q1736" s="5">
        <v>203998.628</v>
      </c>
      <c r="R1736" s="1" t="s">
        <v>44</v>
      </c>
      <c r="T1736" s="1" t="s">
        <v>93</v>
      </c>
      <c r="V1736" s="1" t="s">
        <v>95</v>
      </c>
      <c r="Y1736" s="1" t="s">
        <v>461</v>
      </c>
      <c r="Z1736" s="1" t="str">
        <f t="shared" si="81"/>
        <v>7760 2</v>
      </c>
      <c r="AA1736" s="3">
        <f>IF(INDEX('CAMD Facility Data 2023'!$AA$2:$AE$10000,MATCH(Z1736,'CAMD Facility Data 2023'!$AE$2:$AE$10000,0),1)&gt;0,INDEX('CAMD Facility Data 2023'!$AA$2:$AE$10000,MATCH(Z1736,'CAMD Facility Data 2023'!$AE$2:$AE$10000,0),1),"")</f>
        <v>36299</v>
      </c>
      <c r="AB1736" s="5">
        <f>IF(INDEX('CAMD Facility Data 2023'!$AC$2:$AE$10000,MATCH(Z1736,'CAMD Facility Data 2023'!$AE$2:$AE$10000,0),1)&gt;0,INDEX('CAMD Facility Data 2023'!$AC$2:$AE$10000,MATCH(Z1736,'CAMD Facility Data 2023'!$AE$2:$AE$10000,0),1),"")</f>
        <v>630</v>
      </c>
      <c r="AC1736" s="1" t="str">
        <f>IF(INDEX('CAMD Facility Data 2023'!$AE$2:$AG$10000,MATCH(Z1736,'CAMD Facility Data 2023'!$AE$2:$AE$10000,0),3)&gt;0,INDEX('CAMD Facility Data 2023'!$AE$2:$AG$10000,MATCH(Z1736,'CAMD Facility Data 2023'!$AE$2:$AE$10000,0),3),"")</f>
        <v/>
      </c>
      <c r="AD1736" s="20">
        <f t="shared" si="82"/>
        <v>1.1395145667945457</v>
      </c>
      <c r="AE1736" s="25">
        <f t="shared" si="83"/>
        <v>3.6964308907733563E-2</v>
      </c>
    </row>
    <row r="1737" spans="1:31" x14ac:dyDescent="0.2">
      <c r="A1737" s="1" t="s">
        <v>458</v>
      </c>
      <c r="B1737" s="1" t="s">
        <v>4191</v>
      </c>
      <c r="C1737" s="1">
        <v>7760</v>
      </c>
      <c r="D1737" s="1">
        <v>3</v>
      </c>
      <c r="E1737" s="1" t="s">
        <v>3061</v>
      </c>
      <c r="F1737" s="1">
        <v>2023</v>
      </c>
      <c r="G1737" s="5">
        <v>824</v>
      </c>
      <c r="H1737" s="5">
        <v>657.74</v>
      </c>
      <c r="I1737" s="5">
        <v>19049.330000000002</v>
      </c>
      <c r="K1737" s="5">
        <v>5.8999999999999997E-2</v>
      </c>
      <c r="L1737" s="5">
        <v>1E-3</v>
      </c>
      <c r="M1737" s="5">
        <v>11703.871999999999</v>
      </c>
      <c r="N1737" s="6">
        <v>5.8999999999999997E-2</v>
      </c>
      <c r="O1737" s="5">
        <v>11.371</v>
      </c>
      <c r="P1737" s="6">
        <v>0.12139999999999999</v>
      </c>
      <c r="Q1737" s="5">
        <v>196940.495</v>
      </c>
      <c r="R1737" s="1" t="s">
        <v>44</v>
      </c>
      <c r="T1737" s="1" t="s">
        <v>93</v>
      </c>
      <c r="V1737" s="1" t="s">
        <v>95</v>
      </c>
      <c r="Y1737" s="1" t="s">
        <v>461</v>
      </c>
      <c r="Z1737" s="1" t="str">
        <f t="shared" si="81"/>
        <v>7760 3</v>
      </c>
      <c r="AA1737" s="3">
        <f>IF(INDEX('CAMD Facility Data 2023'!$AA$2:$AE$10000,MATCH(Z1737,'CAMD Facility Data 2023'!$AE$2:$AE$10000,0),1)&gt;0,INDEX('CAMD Facility Data 2023'!$AA$2:$AE$10000,MATCH(Z1737,'CAMD Facility Data 2023'!$AE$2:$AE$10000,0),1),"")</f>
        <v>36304</v>
      </c>
      <c r="AB1737" s="5">
        <f>IF(INDEX('CAMD Facility Data 2023'!$AC$2:$AE$10000,MATCH(Z1737,'CAMD Facility Data 2023'!$AE$2:$AE$10000,0),1)&gt;0,INDEX('CAMD Facility Data 2023'!$AC$2:$AE$10000,MATCH(Z1737,'CAMD Facility Data 2023'!$AE$2:$AE$10000,0),1),"")</f>
        <v>630</v>
      </c>
      <c r="AC1737" s="1" t="str">
        <f>IF(INDEX('CAMD Facility Data 2023'!$AE$2:$AG$10000,MATCH(Z1737,'CAMD Facility Data 2023'!$AE$2:$AE$10000,0),3)&gt;0,INDEX('CAMD Facility Data 2023'!$AE$2:$AG$10000,MATCH(Z1737,'CAMD Facility Data 2023'!$AE$2:$AE$10000,0),3),"")</f>
        <v/>
      </c>
      <c r="AD1737" s="20">
        <f t="shared" si="82"/>
        <v>1.1938477626247221</v>
      </c>
      <c r="AE1737" s="25">
        <f t="shared" si="83"/>
        <v>3.5685383597883598E-2</v>
      </c>
    </row>
    <row r="1738" spans="1:31" x14ac:dyDescent="0.2">
      <c r="A1738" s="1" t="s">
        <v>458</v>
      </c>
      <c r="B1738" s="1" t="s">
        <v>4191</v>
      </c>
      <c r="C1738" s="1">
        <v>7760</v>
      </c>
      <c r="D1738" s="1">
        <v>4</v>
      </c>
      <c r="E1738" s="1" t="s">
        <v>3061</v>
      </c>
      <c r="F1738" s="1">
        <v>2023</v>
      </c>
      <c r="G1738" s="5">
        <v>781</v>
      </c>
      <c r="H1738" s="5">
        <v>623.07000000000005</v>
      </c>
      <c r="I1738" s="5">
        <v>17950.830000000002</v>
      </c>
      <c r="K1738" s="5">
        <v>5.8000000000000003E-2</v>
      </c>
      <c r="L1738" s="5">
        <v>1E-3</v>
      </c>
      <c r="M1738" s="5">
        <v>11515.674999999999</v>
      </c>
      <c r="N1738" s="6">
        <v>5.8999999999999997E-2</v>
      </c>
      <c r="O1738" s="5">
        <v>11.361000000000001</v>
      </c>
      <c r="P1738" s="6">
        <v>0.1178</v>
      </c>
      <c r="Q1738" s="5">
        <v>193776.87299999999</v>
      </c>
      <c r="R1738" s="1" t="s">
        <v>44</v>
      </c>
      <c r="T1738" s="1" t="s">
        <v>93</v>
      </c>
      <c r="V1738" s="1" t="s">
        <v>95</v>
      </c>
      <c r="Y1738" s="1" t="s">
        <v>461</v>
      </c>
      <c r="Z1738" s="1" t="str">
        <f t="shared" si="81"/>
        <v>7760 4</v>
      </c>
      <c r="AA1738" s="3">
        <f>IF(INDEX('CAMD Facility Data 2023'!$AA$2:$AE$10000,MATCH(Z1738,'CAMD Facility Data 2023'!$AE$2:$AE$10000,0),1)&gt;0,INDEX('CAMD Facility Data 2023'!$AA$2:$AE$10000,MATCH(Z1738,'CAMD Facility Data 2023'!$AE$2:$AE$10000,0),1),"")</f>
        <v>36320</v>
      </c>
      <c r="AB1738" s="5">
        <f>IF(INDEX('CAMD Facility Data 2023'!$AC$2:$AE$10000,MATCH(Z1738,'CAMD Facility Data 2023'!$AE$2:$AE$10000,0),1)&gt;0,INDEX('CAMD Facility Data 2023'!$AC$2:$AE$10000,MATCH(Z1738,'CAMD Facility Data 2023'!$AE$2:$AE$10000,0),1),"")</f>
        <v>630</v>
      </c>
      <c r="AC1738" s="1" t="str">
        <f>IF(INDEX('CAMD Facility Data 2023'!$AE$2:$AG$10000,MATCH(Z1738,'CAMD Facility Data 2023'!$AE$2:$AE$10000,0),3)&gt;0,INDEX('CAMD Facility Data 2023'!$AE$2:$AG$10000,MATCH(Z1738,'CAMD Facility Data 2023'!$AE$2:$AE$10000,0),3),"")</f>
        <v/>
      </c>
      <c r="AD1738" s="20">
        <f t="shared" si="82"/>
        <v>1.2657910525585723</v>
      </c>
      <c r="AE1738" s="25">
        <f t="shared" si="83"/>
        <v>3.5112139051967819E-2</v>
      </c>
    </row>
    <row r="1739" spans="1:31" x14ac:dyDescent="0.2">
      <c r="A1739" s="1" t="s">
        <v>383</v>
      </c>
      <c r="B1739" s="1" t="s">
        <v>4200</v>
      </c>
      <c r="C1739" s="1">
        <v>7762</v>
      </c>
      <c r="D1739" s="1" t="s">
        <v>4201</v>
      </c>
      <c r="F1739" s="1">
        <v>2023</v>
      </c>
      <c r="G1739" s="5">
        <v>6572</v>
      </c>
      <c r="H1739" s="5">
        <v>6506.04</v>
      </c>
      <c r="I1739" s="5">
        <v>1445344.69</v>
      </c>
      <c r="K1739" s="5">
        <v>2.9820000000000002</v>
      </c>
      <c r="L1739" s="5">
        <v>1E-3</v>
      </c>
      <c r="M1739" s="5">
        <v>590769.23800000001</v>
      </c>
      <c r="N1739" s="6">
        <v>5.8999999999999997E-2</v>
      </c>
      <c r="O1739" s="5">
        <v>161.566</v>
      </c>
      <c r="P1739" s="6">
        <v>3.4200000000000001E-2</v>
      </c>
      <c r="Q1739" s="5">
        <v>9940792.0439999998</v>
      </c>
      <c r="R1739" s="1" t="s">
        <v>44</v>
      </c>
      <c r="T1739" s="1" t="s">
        <v>71</v>
      </c>
      <c r="V1739" s="1" t="s">
        <v>140</v>
      </c>
      <c r="Y1739" s="1" t="s">
        <v>346</v>
      </c>
      <c r="Z1739" s="1" t="str">
        <f t="shared" si="81"/>
        <v>7762 HRSG1</v>
      </c>
      <c r="AA1739" s="3">
        <f>IF(INDEX('CAMD Facility Data 2023'!$AA$2:$AE$10000,MATCH(Z1739,'CAMD Facility Data 2023'!$AE$2:$AE$10000,0),1)&gt;0,INDEX('CAMD Facility Data 2023'!$AA$2:$AE$10000,MATCH(Z1739,'CAMD Facility Data 2023'!$AE$2:$AE$10000,0),1),"")</f>
        <v>36629</v>
      </c>
      <c r="AB1739" s="5">
        <f>IF(INDEX('CAMD Facility Data 2023'!$AC$2:$AE$10000,MATCH(Z1739,'CAMD Facility Data 2023'!$AE$2:$AE$10000,0),1)&gt;0,INDEX('CAMD Facility Data 2023'!$AC$2:$AE$10000,MATCH(Z1739,'CAMD Facility Data 2023'!$AE$2:$AE$10000,0),1),"")</f>
        <v>1950</v>
      </c>
      <c r="AC1739" s="1" t="str">
        <f>IF(INDEX('CAMD Facility Data 2023'!$AE$2:$AG$10000,MATCH(Z1739,'CAMD Facility Data 2023'!$AE$2:$AE$10000,0),3)&gt;0,INDEX('CAMD Facility Data 2023'!$AE$2:$AG$10000,MATCH(Z1739,'CAMD Facility Data 2023'!$AE$2:$AE$10000,0),3),"")</f>
        <v/>
      </c>
      <c r="AD1739" s="20">
        <f t="shared" si="82"/>
        <v>0.22356743151697608</v>
      </c>
      <c r="AE1739" s="25">
        <f t="shared" si="83"/>
        <v>0.58194544221988054</v>
      </c>
    </row>
    <row r="1740" spans="1:31" x14ac:dyDescent="0.2">
      <c r="A1740" s="1" t="s">
        <v>383</v>
      </c>
      <c r="B1740" s="1" t="s">
        <v>4200</v>
      </c>
      <c r="C1740" s="1">
        <v>7762</v>
      </c>
      <c r="D1740" s="1" t="s">
        <v>4206</v>
      </c>
      <c r="F1740" s="1">
        <v>2023</v>
      </c>
      <c r="G1740" s="5">
        <v>6277</v>
      </c>
      <c r="H1740" s="5">
        <v>6189.52</v>
      </c>
      <c r="I1740" s="5">
        <v>1380937.11</v>
      </c>
      <c r="K1740" s="5">
        <v>2.923</v>
      </c>
      <c r="L1740" s="5">
        <v>1E-3</v>
      </c>
      <c r="M1740" s="5">
        <v>578936.19200000004</v>
      </c>
      <c r="N1740" s="6">
        <v>5.8999999999999997E-2</v>
      </c>
      <c r="O1740" s="5">
        <v>163.93899999999999</v>
      </c>
      <c r="P1740" s="6">
        <v>3.5499999999999997E-2</v>
      </c>
      <c r="Q1740" s="5">
        <v>9741668.2780000009</v>
      </c>
      <c r="R1740" s="1" t="s">
        <v>44</v>
      </c>
      <c r="T1740" s="1" t="s">
        <v>71</v>
      </c>
      <c r="V1740" s="1" t="s">
        <v>140</v>
      </c>
      <c r="Y1740" s="1" t="s">
        <v>346</v>
      </c>
      <c r="Z1740" s="1" t="str">
        <f t="shared" si="81"/>
        <v>7762 HRSG2</v>
      </c>
      <c r="AA1740" s="3">
        <f>IF(INDEX('CAMD Facility Data 2023'!$AA$2:$AE$10000,MATCH(Z1740,'CAMD Facility Data 2023'!$AE$2:$AE$10000,0),1)&gt;0,INDEX('CAMD Facility Data 2023'!$AA$2:$AE$10000,MATCH(Z1740,'CAMD Facility Data 2023'!$AE$2:$AE$10000,0),1),"")</f>
        <v>36644</v>
      </c>
      <c r="AB1740" s="5">
        <f>IF(INDEX('CAMD Facility Data 2023'!$AC$2:$AE$10000,MATCH(Z1740,'CAMD Facility Data 2023'!$AE$2:$AE$10000,0),1)&gt;0,INDEX('CAMD Facility Data 2023'!$AC$2:$AE$10000,MATCH(Z1740,'CAMD Facility Data 2023'!$AE$2:$AE$10000,0),1),"")</f>
        <v>1950</v>
      </c>
      <c r="AC1740" s="1" t="str">
        <f>IF(INDEX('CAMD Facility Data 2023'!$AE$2:$AG$10000,MATCH(Z1740,'CAMD Facility Data 2023'!$AE$2:$AE$10000,0),3)&gt;0,INDEX('CAMD Facility Data 2023'!$AE$2:$AG$10000,MATCH(Z1740,'CAMD Facility Data 2023'!$AE$2:$AE$10000,0),3),"")</f>
        <v/>
      </c>
      <c r="AD1740" s="20">
        <f t="shared" si="82"/>
        <v>0.23743152213499424</v>
      </c>
      <c r="AE1740" s="25">
        <f t="shared" si="83"/>
        <v>0.57028850708347978</v>
      </c>
    </row>
    <row r="1741" spans="1:31" x14ac:dyDescent="0.2">
      <c r="A1741" s="1" t="s">
        <v>1071</v>
      </c>
      <c r="B1741" s="1" t="s">
        <v>4208</v>
      </c>
      <c r="C1741" s="1">
        <v>7763</v>
      </c>
      <c r="D1741" s="1">
        <v>1</v>
      </c>
      <c r="F1741" s="1">
        <v>2023</v>
      </c>
      <c r="G1741" s="5">
        <v>2832</v>
      </c>
      <c r="H1741" s="5">
        <v>2518.12</v>
      </c>
      <c r="I1741" s="5">
        <v>89626.1</v>
      </c>
      <c r="K1741" s="5">
        <v>0.28000000000000003</v>
      </c>
      <c r="L1741" s="5">
        <v>1E-3</v>
      </c>
      <c r="M1741" s="5">
        <v>55466.362999999998</v>
      </c>
      <c r="N1741" s="6">
        <v>5.9200000000000003E-2</v>
      </c>
      <c r="O1741" s="5">
        <v>39.021000000000001</v>
      </c>
      <c r="P1741" s="6">
        <v>9.2999999999999999E-2</v>
      </c>
      <c r="Q1741" s="5">
        <v>933341.31499999994</v>
      </c>
      <c r="R1741" s="1" t="s">
        <v>44</v>
      </c>
      <c r="T1741" s="1" t="s">
        <v>93</v>
      </c>
      <c r="V1741" s="1" t="s">
        <v>95</v>
      </c>
      <c r="Y1741" s="1" t="s">
        <v>461</v>
      </c>
      <c r="Z1741" s="1" t="str">
        <f t="shared" si="81"/>
        <v>7763 1</v>
      </c>
      <c r="AA1741" s="3">
        <f>IF(INDEX('CAMD Facility Data 2023'!$AA$2:$AE$10000,MATCH(Z1741,'CAMD Facility Data 2023'!$AE$2:$AE$10000,0),1)&gt;0,INDEX('CAMD Facility Data 2023'!$AA$2:$AE$10000,MATCH(Z1741,'CAMD Facility Data 2023'!$AE$2:$AE$10000,0),1),"")</f>
        <v>37089</v>
      </c>
      <c r="AB1741" s="5">
        <f>IF(INDEX('CAMD Facility Data 2023'!$AC$2:$AE$10000,MATCH(Z1741,'CAMD Facility Data 2023'!$AE$2:$AE$10000,0),1)&gt;0,INDEX('CAMD Facility Data 2023'!$AC$2:$AE$10000,MATCH(Z1741,'CAMD Facility Data 2023'!$AE$2:$AE$10000,0),1),"")</f>
        <v>700</v>
      </c>
      <c r="AC1741" s="1" t="str">
        <f>IF(INDEX('CAMD Facility Data 2023'!$AE$2:$AG$10000,MATCH(Z1741,'CAMD Facility Data 2023'!$AE$2:$AE$10000,0),3)&gt;0,INDEX('CAMD Facility Data 2023'!$AE$2:$AG$10000,MATCH(Z1741,'CAMD Facility Data 2023'!$AE$2:$AE$10000,0),3),"")</f>
        <v/>
      </c>
      <c r="AD1741" s="20">
        <f t="shared" si="82"/>
        <v>0.87075081923680708</v>
      </c>
      <c r="AE1741" s="25">
        <f t="shared" si="83"/>
        <v>0.15220830316373124</v>
      </c>
    </row>
    <row r="1742" spans="1:31" x14ac:dyDescent="0.2">
      <c r="A1742" s="1" t="s">
        <v>1071</v>
      </c>
      <c r="B1742" s="1" t="s">
        <v>4208</v>
      </c>
      <c r="C1742" s="1">
        <v>7763</v>
      </c>
      <c r="D1742" s="1">
        <v>2</v>
      </c>
      <c r="F1742" s="1">
        <v>2023</v>
      </c>
      <c r="G1742" s="5">
        <v>3012</v>
      </c>
      <c r="H1742" s="5">
        <v>2678.76</v>
      </c>
      <c r="I1742" s="5">
        <v>96232.57</v>
      </c>
      <c r="K1742" s="5">
        <v>0.29599999999999999</v>
      </c>
      <c r="L1742" s="5">
        <v>1E-3</v>
      </c>
      <c r="M1742" s="5">
        <v>58581.830999999998</v>
      </c>
      <c r="N1742" s="6">
        <v>5.9200000000000003E-2</v>
      </c>
      <c r="O1742" s="5">
        <v>41.683999999999997</v>
      </c>
      <c r="P1742" s="6">
        <v>9.3200000000000005E-2</v>
      </c>
      <c r="Q1742" s="5">
        <v>985789.772</v>
      </c>
      <c r="R1742" s="1" t="s">
        <v>44</v>
      </c>
      <c r="T1742" s="1" t="s">
        <v>93</v>
      </c>
      <c r="V1742" s="1" t="s">
        <v>95</v>
      </c>
      <c r="Y1742" s="1" t="s">
        <v>461</v>
      </c>
      <c r="Z1742" s="1" t="str">
        <f t="shared" si="81"/>
        <v>7763 2</v>
      </c>
      <c r="AA1742" s="3">
        <f>IF(INDEX('CAMD Facility Data 2023'!$AA$2:$AE$10000,MATCH(Z1742,'CAMD Facility Data 2023'!$AE$2:$AE$10000,0),1)&gt;0,INDEX('CAMD Facility Data 2023'!$AA$2:$AE$10000,MATCH(Z1742,'CAMD Facility Data 2023'!$AE$2:$AE$10000,0),1),"")</f>
        <v>37103</v>
      </c>
      <c r="AB1742" s="5">
        <f>IF(INDEX('CAMD Facility Data 2023'!$AC$2:$AE$10000,MATCH(Z1742,'CAMD Facility Data 2023'!$AE$2:$AE$10000,0),1)&gt;0,INDEX('CAMD Facility Data 2023'!$AC$2:$AE$10000,MATCH(Z1742,'CAMD Facility Data 2023'!$AE$2:$AE$10000,0),1),"")</f>
        <v>705</v>
      </c>
      <c r="AC1742" s="1" t="str">
        <f>IF(INDEX('CAMD Facility Data 2023'!$AE$2:$AG$10000,MATCH(Z1742,'CAMD Facility Data 2023'!$AE$2:$AE$10000,0),3)&gt;0,INDEX('CAMD Facility Data 2023'!$AE$2:$AG$10000,MATCH(Z1742,'CAMD Facility Data 2023'!$AE$2:$AE$10000,0),3),"")</f>
        <v/>
      </c>
      <c r="AD1742" s="20">
        <f t="shared" si="82"/>
        <v>0.86631792126096174</v>
      </c>
      <c r="AE1742" s="25">
        <f t="shared" si="83"/>
        <v>0.15962138864600536</v>
      </c>
    </row>
    <row r="1743" spans="1:31" x14ac:dyDescent="0.2">
      <c r="A1743" s="1" t="s">
        <v>1071</v>
      </c>
      <c r="B1743" s="1" t="s">
        <v>4208</v>
      </c>
      <c r="C1743" s="1">
        <v>7763</v>
      </c>
      <c r="D1743" s="1">
        <v>3</v>
      </c>
      <c r="F1743" s="1">
        <v>2023</v>
      </c>
      <c r="G1743" s="5">
        <v>2125</v>
      </c>
      <c r="H1743" s="5">
        <v>1898.55</v>
      </c>
      <c r="I1743" s="5">
        <v>68114.22</v>
      </c>
      <c r="K1743" s="5">
        <v>0.21099999999999999</v>
      </c>
      <c r="L1743" s="5">
        <v>1E-3</v>
      </c>
      <c r="M1743" s="5">
        <v>41869.665000000001</v>
      </c>
      <c r="N1743" s="6">
        <v>5.9200000000000003E-2</v>
      </c>
      <c r="O1743" s="5">
        <v>29.472000000000001</v>
      </c>
      <c r="P1743" s="6">
        <v>9.2299999999999993E-2</v>
      </c>
      <c r="Q1743" s="5">
        <v>704556.31299999997</v>
      </c>
      <c r="R1743" s="1" t="s">
        <v>44</v>
      </c>
      <c r="T1743" s="1" t="s">
        <v>93</v>
      </c>
      <c r="V1743" s="1" t="s">
        <v>95</v>
      </c>
      <c r="Y1743" s="1" t="s">
        <v>461</v>
      </c>
      <c r="Z1743" s="1" t="str">
        <f t="shared" si="81"/>
        <v>7763 3</v>
      </c>
      <c r="AA1743" s="3">
        <f>IF(INDEX('CAMD Facility Data 2023'!$AA$2:$AE$10000,MATCH(Z1743,'CAMD Facility Data 2023'!$AE$2:$AE$10000,0),1)&gt;0,INDEX('CAMD Facility Data 2023'!$AA$2:$AE$10000,MATCH(Z1743,'CAMD Facility Data 2023'!$AE$2:$AE$10000,0),1),"")</f>
        <v>37121</v>
      </c>
      <c r="AB1743" s="5">
        <f>IF(INDEX('CAMD Facility Data 2023'!$AC$2:$AE$10000,MATCH(Z1743,'CAMD Facility Data 2023'!$AE$2:$AE$10000,0),1)&gt;0,INDEX('CAMD Facility Data 2023'!$AC$2:$AE$10000,MATCH(Z1743,'CAMD Facility Data 2023'!$AE$2:$AE$10000,0),1),"")</f>
        <v>675</v>
      </c>
      <c r="AC1743" s="1" t="str">
        <f>IF(INDEX('CAMD Facility Data 2023'!$AE$2:$AG$10000,MATCH(Z1743,'CAMD Facility Data 2023'!$AE$2:$AE$10000,0),3)&gt;0,INDEX('CAMD Facility Data 2023'!$AE$2:$AG$10000,MATCH(Z1743,'CAMD Facility Data 2023'!$AE$2:$AE$10000,0),3),"")</f>
        <v/>
      </c>
      <c r="AD1743" s="20">
        <f t="shared" si="82"/>
        <v>0.86536996239551744</v>
      </c>
      <c r="AE1743" s="25">
        <f t="shared" si="83"/>
        <v>0.11915378200575004</v>
      </c>
    </row>
    <row r="1744" spans="1:31" x14ac:dyDescent="0.2">
      <c r="A1744" s="1" t="s">
        <v>921</v>
      </c>
      <c r="B1744" s="1" t="s">
        <v>4214</v>
      </c>
      <c r="C1744" s="1">
        <v>7764</v>
      </c>
      <c r="D1744" s="1">
        <v>1</v>
      </c>
      <c r="F1744" s="1">
        <v>2023</v>
      </c>
      <c r="G1744" s="5">
        <v>203</v>
      </c>
      <c r="H1744" s="5">
        <v>179.02</v>
      </c>
      <c r="I1744" s="5">
        <v>25302.94</v>
      </c>
      <c r="K1744" s="5">
        <v>8.6999999999999994E-2</v>
      </c>
      <c r="L1744" s="5">
        <v>1E-3</v>
      </c>
      <c r="M1744" s="5">
        <v>17228.487000000001</v>
      </c>
      <c r="N1744" s="6">
        <v>5.9299999999999999E-2</v>
      </c>
      <c r="O1744" s="5">
        <v>15.45</v>
      </c>
      <c r="P1744" s="6">
        <v>0.1222</v>
      </c>
      <c r="Q1744" s="5">
        <v>289284.36599999998</v>
      </c>
      <c r="R1744" s="1" t="s">
        <v>44</v>
      </c>
      <c r="S1744" s="1" t="s">
        <v>94</v>
      </c>
      <c r="T1744" s="1" t="s">
        <v>93</v>
      </c>
      <c r="V1744" s="1" t="s">
        <v>95</v>
      </c>
      <c r="Y1744" s="1" t="s">
        <v>952</v>
      </c>
      <c r="Z1744" s="1" t="str">
        <f t="shared" si="81"/>
        <v>7764 1</v>
      </c>
      <c r="AA1744" s="3">
        <f>IF(INDEX('CAMD Facility Data 2023'!$AA$2:$AE$10000,MATCH(Z1744,'CAMD Facility Data 2023'!$AE$2:$AE$10000,0),1)&gt;0,INDEX('CAMD Facility Data 2023'!$AA$2:$AE$10000,MATCH(Z1744,'CAMD Facility Data 2023'!$AE$2:$AE$10000,0),1),"")</f>
        <v>36455</v>
      </c>
      <c r="AB1744" s="5">
        <f>IF(INDEX('CAMD Facility Data 2023'!$AC$2:$AE$10000,MATCH(Z1744,'CAMD Facility Data 2023'!$AE$2:$AE$10000,0),1)&gt;0,INDEX('CAMD Facility Data 2023'!$AC$2:$AE$10000,MATCH(Z1744,'CAMD Facility Data 2023'!$AE$2:$AE$10000,0),1),"")</f>
        <v>1980</v>
      </c>
      <c r="AC1744" s="1" t="str">
        <f>IF(INDEX('CAMD Facility Data 2023'!$AE$2:$AG$10000,MATCH(Z1744,'CAMD Facility Data 2023'!$AE$2:$AE$10000,0),3)&gt;0,INDEX('CAMD Facility Data 2023'!$AE$2:$AG$10000,MATCH(Z1744,'CAMD Facility Data 2023'!$AE$2:$AE$10000,0),3),"")</f>
        <v/>
      </c>
      <c r="AD1744" s="20">
        <f t="shared" si="82"/>
        <v>1.2212019630920361</v>
      </c>
      <c r="AE1744" s="25">
        <f t="shared" si="83"/>
        <v>1.667844921820949E-2</v>
      </c>
    </row>
    <row r="1745" spans="1:31" x14ac:dyDescent="0.2">
      <c r="A1745" s="1" t="s">
        <v>921</v>
      </c>
      <c r="B1745" s="1" t="s">
        <v>4214</v>
      </c>
      <c r="C1745" s="1">
        <v>7764</v>
      </c>
      <c r="D1745" s="1">
        <v>2</v>
      </c>
      <c r="F1745" s="1">
        <v>2023</v>
      </c>
      <c r="G1745" s="5">
        <v>178</v>
      </c>
      <c r="H1745" s="5">
        <v>151.52000000000001</v>
      </c>
      <c r="I1745" s="5">
        <v>22271.42</v>
      </c>
      <c r="K1745" s="5">
        <v>7.5999999999999998E-2</v>
      </c>
      <c r="L1745" s="5">
        <v>1E-3</v>
      </c>
      <c r="M1745" s="5">
        <v>15120.502</v>
      </c>
      <c r="N1745" s="6">
        <v>5.9799999999999999E-2</v>
      </c>
      <c r="O1745" s="5">
        <v>13.472</v>
      </c>
      <c r="P1745" s="6">
        <v>0.1172</v>
      </c>
      <c r="Q1745" s="5">
        <v>253641.22899999999</v>
      </c>
      <c r="R1745" s="1" t="s">
        <v>44</v>
      </c>
      <c r="S1745" s="1" t="s">
        <v>94</v>
      </c>
      <c r="T1745" s="1" t="s">
        <v>93</v>
      </c>
      <c r="V1745" s="1" t="s">
        <v>95</v>
      </c>
      <c r="Y1745" s="1" t="s">
        <v>952</v>
      </c>
      <c r="Z1745" s="1" t="str">
        <f t="shared" si="81"/>
        <v>7764 2</v>
      </c>
      <c r="AA1745" s="3">
        <f>IF(INDEX('CAMD Facility Data 2023'!$AA$2:$AE$10000,MATCH(Z1745,'CAMD Facility Data 2023'!$AE$2:$AE$10000,0),1)&gt;0,INDEX('CAMD Facility Data 2023'!$AA$2:$AE$10000,MATCH(Z1745,'CAMD Facility Data 2023'!$AE$2:$AE$10000,0),1),"")</f>
        <v>36943</v>
      </c>
      <c r="AB1745" s="5">
        <f>IF(INDEX('CAMD Facility Data 2023'!$AC$2:$AE$10000,MATCH(Z1745,'CAMD Facility Data 2023'!$AE$2:$AE$10000,0),1)&gt;0,INDEX('CAMD Facility Data 2023'!$AC$2:$AE$10000,MATCH(Z1745,'CAMD Facility Data 2023'!$AE$2:$AE$10000,0),1),"")</f>
        <v>2030</v>
      </c>
      <c r="AC1745" s="1" t="str">
        <f>IF(INDEX('CAMD Facility Data 2023'!$AE$2:$AG$10000,MATCH(Z1745,'CAMD Facility Data 2023'!$AE$2:$AE$10000,0),3)&gt;0,INDEX('CAMD Facility Data 2023'!$AE$2:$AG$10000,MATCH(Z1745,'CAMD Facility Data 2023'!$AE$2:$AE$10000,0),3),"")</f>
        <v/>
      </c>
      <c r="AD1745" s="20">
        <f t="shared" si="82"/>
        <v>1.2098016201930546</v>
      </c>
      <c r="AE1745" s="25">
        <f t="shared" si="83"/>
        <v>1.426328975189509E-2</v>
      </c>
    </row>
    <row r="1746" spans="1:31" x14ac:dyDescent="0.2">
      <c r="A1746" s="1" t="s">
        <v>921</v>
      </c>
      <c r="B1746" s="1" t="s">
        <v>4220</v>
      </c>
      <c r="C1746" s="1">
        <v>7765</v>
      </c>
      <c r="D1746" s="1">
        <v>1</v>
      </c>
      <c r="F1746" s="1">
        <v>2023</v>
      </c>
      <c r="G1746" s="5">
        <v>312</v>
      </c>
      <c r="H1746" s="5">
        <v>258.49</v>
      </c>
      <c r="I1746" s="5">
        <v>18052.759999999998</v>
      </c>
      <c r="K1746" s="5">
        <v>7.1999999999999995E-2</v>
      </c>
      <c r="L1746" s="5">
        <v>1E-3</v>
      </c>
      <c r="M1746" s="5">
        <v>14027.304</v>
      </c>
      <c r="N1746" s="6">
        <v>0.28199999999999997</v>
      </c>
      <c r="O1746" s="5">
        <v>4.2210000000000001</v>
      </c>
      <c r="P1746" s="6">
        <v>4.87E-2</v>
      </c>
      <c r="Q1746" s="5">
        <v>229326.49400000001</v>
      </c>
      <c r="R1746" s="1" t="s">
        <v>44</v>
      </c>
      <c r="S1746" s="1" t="s">
        <v>94</v>
      </c>
      <c r="T1746" s="1" t="s">
        <v>93</v>
      </c>
      <c r="V1746" s="1" t="s">
        <v>183</v>
      </c>
      <c r="Y1746" s="1" t="s">
        <v>952</v>
      </c>
      <c r="Z1746" s="1" t="str">
        <f t="shared" si="81"/>
        <v>7765 1</v>
      </c>
      <c r="AA1746" s="3">
        <f>IF(INDEX('CAMD Facility Data 2023'!$AA$2:$AE$10000,MATCH(Z1746,'CAMD Facility Data 2023'!$AE$2:$AE$10000,0),1)&gt;0,INDEX('CAMD Facility Data 2023'!$AA$2:$AE$10000,MATCH(Z1746,'CAMD Facility Data 2023'!$AE$2:$AE$10000,0),1),"")</f>
        <v>36662</v>
      </c>
      <c r="AB1746" s="5">
        <f>IF(INDEX('CAMD Facility Data 2023'!$AC$2:$AE$10000,MATCH(Z1746,'CAMD Facility Data 2023'!$AE$2:$AE$10000,0),1)&gt;0,INDEX('CAMD Facility Data 2023'!$AC$2:$AE$10000,MATCH(Z1746,'CAMD Facility Data 2023'!$AE$2:$AE$10000,0),1),"")</f>
        <v>1250</v>
      </c>
      <c r="AC1746" s="1" t="str">
        <f>IF(INDEX('CAMD Facility Data 2023'!$AE$2:$AG$10000,MATCH(Z1746,'CAMD Facility Data 2023'!$AE$2:$AE$10000,0),3)&gt;0,INDEX('CAMD Facility Data 2023'!$AE$2:$AG$10000,MATCH(Z1746,'CAMD Facility Data 2023'!$AE$2:$AE$10000,0),3),"")</f>
        <v/>
      </c>
      <c r="AD1746" s="20">
        <f t="shared" si="82"/>
        <v>0.46762932648525768</v>
      </c>
      <c r="AE1746" s="25">
        <f t="shared" si="83"/>
        <v>2.0943058812785388E-2</v>
      </c>
    </row>
    <row r="1747" spans="1:31" x14ac:dyDescent="0.2">
      <c r="A1747" s="1" t="s">
        <v>921</v>
      </c>
      <c r="B1747" s="1" t="s">
        <v>4220</v>
      </c>
      <c r="C1747" s="1">
        <v>7765</v>
      </c>
      <c r="D1747" s="1">
        <v>10</v>
      </c>
      <c r="F1747" s="1">
        <v>2023</v>
      </c>
      <c r="G1747" s="5">
        <v>507</v>
      </c>
      <c r="H1747" s="5">
        <v>433.97</v>
      </c>
      <c r="I1747" s="5">
        <v>30806.42</v>
      </c>
      <c r="K1747" s="5">
        <v>0.114</v>
      </c>
      <c r="L1747" s="5">
        <v>1E-3</v>
      </c>
      <c r="M1747" s="5">
        <v>22881.4</v>
      </c>
      <c r="N1747" s="6">
        <v>0.15989999999999999</v>
      </c>
      <c r="O1747" s="5">
        <v>5.36</v>
      </c>
      <c r="P1747" s="6">
        <v>3.7900000000000003E-2</v>
      </c>
      <c r="Q1747" s="5">
        <v>377905.43</v>
      </c>
      <c r="R1747" s="1" t="s">
        <v>44</v>
      </c>
      <c r="S1747" s="1" t="s">
        <v>94</v>
      </c>
      <c r="T1747" s="1" t="s">
        <v>93</v>
      </c>
      <c r="V1747" s="1" t="s">
        <v>183</v>
      </c>
      <c r="Y1747" s="1" t="s">
        <v>952</v>
      </c>
      <c r="Z1747" s="1" t="str">
        <f t="shared" si="81"/>
        <v>7765 10</v>
      </c>
      <c r="AA1747" s="3">
        <f>IF(INDEX('CAMD Facility Data 2023'!$AA$2:$AE$10000,MATCH(Z1747,'CAMD Facility Data 2023'!$AE$2:$AE$10000,0),1)&gt;0,INDEX('CAMD Facility Data 2023'!$AA$2:$AE$10000,MATCH(Z1747,'CAMD Facility Data 2023'!$AE$2:$AE$10000,0),1),"")</f>
        <v>37016</v>
      </c>
      <c r="AB1747" s="5">
        <f>IF(INDEX('CAMD Facility Data 2023'!$AC$2:$AE$10000,MATCH(Z1747,'CAMD Facility Data 2023'!$AE$2:$AE$10000,0),1)&gt;0,INDEX('CAMD Facility Data 2023'!$AC$2:$AE$10000,MATCH(Z1747,'CAMD Facility Data 2023'!$AE$2:$AE$10000,0),1),"")</f>
        <v>1250</v>
      </c>
      <c r="AC1747" s="1" t="str">
        <f>IF(INDEX('CAMD Facility Data 2023'!$AE$2:$AG$10000,MATCH(Z1747,'CAMD Facility Data 2023'!$AE$2:$AE$10000,0),3)&gt;0,INDEX('CAMD Facility Data 2023'!$AE$2:$AG$10000,MATCH(Z1747,'CAMD Facility Data 2023'!$AE$2:$AE$10000,0),3),"")</f>
        <v/>
      </c>
      <c r="AD1747" s="20">
        <f t="shared" si="82"/>
        <v>0.34797941468044652</v>
      </c>
      <c r="AE1747" s="25">
        <f t="shared" si="83"/>
        <v>3.4511911415525114E-2</v>
      </c>
    </row>
    <row r="1748" spans="1:31" x14ac:dyDescent="0.2">
      <c r="A1748" s="1" t="s">
        <v>921</v>
      </c>
      <c r="B1748" s="1" t="s">
        <v>4220</v>
      </c>
      <c r="C1748" s="1">
        <v>7765</v>
      </c>
      <c r="D1748" s="1">
        <v>2</v>
      </c>
      <c r="F1748" s="1">
        <v>2023</v>
      </c>
      <c r="G1748" s="5">
        <v>585</v>
      </c>
      <c r="H1748" s="5">
        <v>498.88</v>
      </c>
      <c r="I1748" s="5">
        <v>35603.03</v>
      </c>
      <c r="K1748" s="5">
        <v>0.13600000000000001</v>
      </c>
      <c r="L1748" s="5">
        <v>1E-3</v>
      </c>
      <c r="M1748" s="5">
        <v>27211.776999999998</v>
      </c>
      <c r="N1748" s="6">
        <v>4.0242000000000004</v>
      </c>
      <c r="O1748" s="5">
        <v>6.1340000000000003</v>
      </c>
      <c r="P1748" s="6">
        <v>3.6400000000000002E-2</v>
      </c>
      <c r="Q1748" s="5">
        <v>448452.31300000002</v>
      </c>
      <c r="R1748" s="1" t="s">
        <v>44</v>
      </c>
      <c r="S1748" s="1" t="s">
        <v>94</v>
      </c>
      <c r="T1748" s="1" t="s">
        <v>93</v>
      </c>
      <c r="V1748" s="1" t="s">
        <v>183</v>
      </c>
      <c r="Y1748" s="1" t="s">
        <v>952</v>
      </c>
      <c r="Z1748" s="1" t="str">
        <f t="shared" si="81"/>
        <v>7765 2</v>
      </c>
      <c r="AA1748" s="3">
        <f>IF(INDEX('CAMD Facility Data 2023'!$AA$2:$AE$10000,MATCH(Z1748,'CAMD Facility Data 2023'!$AE$2:$AE$10000,0),1)&gt;0,INDEX('CAMD Facility Data 2023'!$AA$2:$AE$10000,MATCH(Z1748,'CAMD Facility Data 2023'!$AE$2:$AE$10000,0),1),"")</f>
        <v>36676</v>
      </c>
      <c r="AB1748" s="5">
        <f>IF(INDEX('CAMD Facility Data 2023'!$AC$2:$AE$10000,MATCH(Z1748,'CAMD Facility Data 2023'!$AE$2:$AE$10000,0),1)&gt;0,INDEX('CAMD Facility Data 2023'!$AC$2:$AE$10000,MATCH(Z1748,'CAMD Facility Data 2023'!$AE$2:$AE$10000,0),1),"")</f>
        <v>1250</v>
      </c>
      <c r="AC1748" s="1" t="str">
        <f>IF(INDEX('CAMD Facility Data 2023'!$AE$2:$AG$10000,MATCH(Z1748,'CAMD Facility Data 2023'!$AE$2:$AE$10000,0),3)&gt;0,INDEX('CAMD Facility Data 2023'!$AE$2:$AG$10000,MATCH(Z1748,'CAMD Facility Data 2023'!$AE$2:$AE$10000,0),3),"")</f>
        <v/>
      </c>
      <c r="AD1748" s="20">
        <f t="shared" si="82"/>
        <v>0.34457741377629941</v>
      </c>
      <c r="AE1748" s="25">
        <f t="shared" si="83"/>
        <v>4.0954549132420096E-2</v>
      </c>
    </row>
    <row r="1749" spans="1:31" x14ac:dyDescent="0.2">
      <c r="A1749" s="1" t="s">
        <v>921</v>
      </c>
      <c r="B1749" s="1" t="s">
        <v>4220</v>
      </c>
      <c r="C1749" s="1">
        <v>7765</v>
      </c>
      <c r="D1749" s="1">
        <v>3</v>
      </c>
      <c r="F1749" s="1">
        <v>2023</v>
      </c>
      <c r="G1749" s="5">
        <v>298</v>
      </c>
      <c r="H1749" s="5">
        <v>247.46</v>
      </c>
      <c r="I1749" s="5">
        <v>17516.14</v>
      </c>
      <c r="K1749" s="5">
        <v>6.9000000000000006E-2</v>
      </c>
      <c r="L1749" s="5">
        <v>1E-3</v>
      </c>
      <c r="M1749" s="5">
        <v>13309.995000000001</v>
      </c>
      <c r="N1749" s="6">
        <v>7.9737999999999998</v>
      </c>
      <c r="O1749" s="5">
        <v>3.835</v>
      </c>
      <c r="P1749" s="6">
        <v>4.4600000000000001E-2</v>
      </c>
      <c r="Q1749" s="5">
        <v>217541.39799999999</v>
      </c>
      <c r="R1749" s="1" t="s">
        <v>44</v>
      </c>
      <c r="S1749" s="1" t="s">
        <v>94</v>
      </c>
      <c r="T1749" s="1" t="s">
        <v>93</v>
      </c>
      <c r="V1749" s="1" t="s">
        <v>183</v>
      </c>
      <c r="Y1749" s="1" t="s">
        <v>952</v>
      </c>
      <c r="Z1749" s="1" t="str">
        <f t="shared" si="81"/>
        <v>7765 3</v>
      </c>
      <c r="AA1749" s="3">
        <f>IF(INDEX('CAMD Facility Data 2023'!$AA$2:$AE$10000,MATCH(Z1749,'CAMD Facility Data 2023'!$AE$2:$AE$10000,0),1)&gt;0,INDEX('CAMD Facility Data 2023'!$AA$2:$AE$10000,MATCH(Z1749,'CAMD Facility Data 2023'!$AE$2:$AE$10000,0),1),"")</f>
        <v>36668</v>
      </c>
      <c r="AB1749" s="5">
        <f>IF(INDEX('CAMD Facility Data 2023'!$AC$2:$AE$10000,MATCH(Z1749,'CAMD Facility Data 2023'!$AE$2:$AE$10000,0),1)&gt;0,INDEX('CAMD Facility Data 2023'!$AC$2:$AE$10000,MATCH(Z1749,'CAMD Facility Data 2023'!$AE$2:$AE$10000,0),1),"")</f>
        <v>1250</v>
      </c>
      <c r="AC1749" s="1" t="str">
        <f>IF(INDEX('CAMD Facility Data 2023'!$AE$2:$AG$10000,MATCH(Z1749,'CAMD Facility Data 2023'!$AE$2:$AE$10000,0),3)&gt;0,INDEX('CAMD Facility Data 2023'!$AE$2:$AG$10000,MATCH(Z1749,'CAMD Facility Data 2023'!$AE$2:$AE$10000,0),3),"")</f>
        <v/>
      </c>
      <c r="AD1749" s="20">
        <f t="shared" si="82"/>
        <v>0.43788186209975488</v>
      </c>
      <c r="AE1749" s="25">
        <f t="shared" si="83"/>
        <v>1.9866794337899542E-2</v>
      </c>
    </row>
    <row r="1750" spans="1:31" x14ac:dyDescent="0.2">
      <c r="A1750" s="1" t="s">
        <v>921</v>
      </c>
      <c r="B1750" s="1" t="s">
        <v>4220</v>
      </c>
      <c r="C1750" s="1">
        <v>7765</v>
      </c>
      <c r="D1750" s="1">
        <v>4</v>
      </c>
      <c r="F1750" s="1">
        <v>2023</v>
      </c>
      <c r="G1750" s="5">
        <v>380</v>
      </c>
      <c r="H1750" s="5">
        <v>324.39</v>
      </c>
      <c r="I1750" s="5">
        <v>22896.05</v>
      </c>
      <c r="K1750" s="5">
        <v>9.6000000000000002E-2</v>
      </c>
      <c r="L1750" s="5">
        <v>1E-3</v>
      </c>
      <c r="M1750" s="5">
        <v>19132.810000000001</v>
      </c>
      <c r="N1750" s="6">
        <v>0.17979999999999999</v>
      </c>
      <c r="O1750" s="5">
        <v>5.032</v>
      </c>
      <c r="P1750" s="6">
        <v>4.19E-2</v>
      </c>
      <c r="Q1750" s="5">
        <v>314806.29200000002</v>
      </c>
      <c r="R1750" s="1" t="s">
        <v>44</v>
      </c>
      <c r="S1750" s="1" t="s">
        <v>94</v>
      </c>
      <c r="T1750" s="1" t="s">
        <v>93</v>
      </c>
      <c r="V1750" s="1" t="s">
        <v>183</v>
      </c>
      <c r="Y1750" s="1" t="s">
        <v>952</v>
      </c>
      <c r="Z1750" s="1" t="str">
        <f t="shared" si="81"/>
        <v>7765 4</v>
      </c>
      <c r="AA1750" s="3">
        <f>IF(INDEX('CAMD Facility Data 2023'!$AA$2:$AE$10000,MATCH(Z1750,'CAMD Facility Data 2023'!$AE$2:$AE$10000,0),1)&gt;0,INDEX('CAMD Facility Data 2023'!$AA$2:$AE$10000,MATCH(Z1750,'CAMD Facility Data 2023'!$AE$2:$AE$10000,0),1),"")</f>
        <v>36662</v>
      </c>
      <c r="AB1750" s="5">
        <f>IF(INDEX('CAMD Facility Data 2023'!$AC$2:$AE$10000,MATCH(Z1750,'CAMD Facility Data 2023'!$AE$2:$AE$10000,0),1)&gt;0,INDEX('CAMD Facility Data 2023'!$AC$2:$AE$10000,MATCH(Z1750,'CAMD Facility Data 2023'!$AE$2:$AE$10000,0),1),"")</f>
        <v>1250</v>
      </c>
      <c r="AC1750" s="1" t="str">
        <f>IF(INDEX('CAMD Facility Data 2023'!$AE$2:$AG$10000,MATCH(Z1750,'CAMD Facility Data 2023'!$AE$2:$AE$10000,0),3)&gt;0,INDEX('CAMD Facility Data 2023'!$AE$2:$AG$10000,MATCH(Z1750,'CAMD Facility Data 2023'!$AE$2:$AE$10000,0),3),"")</f>
        <v/>
      </c>
      <c r="AD1750" s="20">
        <f t="shared" si="82"/>
        <v>0.43955180041972308</v>
      </c>
      <c r="AE1750" s="25">
        <f t="shared" si="83"/>
        <v>2.8749433059360733E-2</v>
      </c>
    </row>
    <row r="1751" spans="1:31" x14ac:dyDescent="0.2">
      <c r="A1751" s="1" t="s">
        <v>921</v>
      </c>
      <c r="B1751" s="1" t="s">
        <v>4220</v>
      </c>
      <c r="C1751" s="1">
        <v>7765</v>
      </c>
      <c r="D1751" s="1">
        <v>5</v>
      </c>
      <c r="F1751" s="1">
        <v>2023</v>
      </c>
      <c r="G1751" s="5">
        <v>279</v>
      </c>
      <c r="H1751" s="5">
        <v>232.36</v>
      </c>
      <c r="I1751" s="5">
        <v>15856.15</v>
      </c>
      <c r="K1751" s="5">
        <v>6.0999999999999999E-2</v>
      </c>
      <c r="L1751" s="5">
        <v>1E-3</v>
      </c>
      <c r="M1751" s="5">
        <v>12296.293</v>
      </c>
      <c r="N1751" s="6">
        <v>0.48020000000000002</v>
      </c>
      <c r="O1751" s="5">
        <v>2.9860000000000002</v>
      </c>
      <c r="P1751" s="6">
        <v>4.0599999999999997E-2</v>
      </c>
      <c r="Q1751" s="5">
        <v>203241.15299999999</v>
      </c>
      <c r="R1751" s="1" t="s">
        <v>44</v>
      </c>
      <c r="S1751" s="1" t="s">
        <v>94</v>
      </c>
      <c r="T1751" s="1" t="s">
        <v>93</v>
      </c>
      <c r="V1751" s="1" t="s">
        <v>183</v>
      </c>
      <c r="Y1751" s="1" t="s">
        <v>952</v>
      </c>
      <c r="Z1751" s="1" t="str">
        <f t="shared" si="81"/>
        <v>7765 5</v>
      </c>
      <c r="AA1751" s="3">
        <f>IF(INDEX('CAMD Facility Data 2023'!$AA$2:$AE$10000,MATCH(Z1751,'CAMD Facility Data 2023'!$AE$2:$AE$10000,0),1)&gt;0,INDEX('CAMD Facility Data 2023'!$AA$2:$AE$10000,MATCH(Z1751,'CAMD Facility Data 2023'!$AE$2:$AE$10000,0),1),"")</f>
        <v>36672</v>
      </c>
      <c r="AB1751" s="5">
        <f>IF(INDEX('CAMD Facility Data 2023'!$AC$2:$AE$10000,MATCH(Z1751,'CAMD Facility Data 2023'!$AE$2:$AE$10000,0),1)&gt;0,INDEX('CAMD Facility Data 2023'!$AC$2:$AE$10000,MATCH(Z1751,'CAMD Facility Data 2023'!$AE$2:$AE$10000,0),1),"")</f>
        <v>1250</v>
      </c>
      <c r="AC1751" s="1" t="str">
        <f>IF(INDEX('CAMD Facility Data 2023'!$AE$2:$AG$10000,MATCH(Z1751,'CAMD Facility Data 2023'!$AE$2:$AE$10000,0),3)&gt;0,INDEX('CAMD Facility Data 2023'!$AE$2:$AG$10000,MATCH(Z1751,'CAMD Facility Data 2023'!$AE$2:$AE$10000,0),3),"")</f>
        <v/>
      </c>
      <c r="AD1751" s="20">
        <f t="shared" si="82"/>
        <v>0.3766361947887728</v>
      </c>
      <c r="AE1751" s="25">
        <f t="shared" si="83"/>
        <v>1.8560835890410958E-2</v>
      </c>
    </row>
    <row r="1752" spans="1:31" x14ac:dyDescent="0.2">
      <c r="A1752" s="1" t="s">
        <v>921</v>
      </c>
      <c r="B1752" s="1" t="s">
        <v>4220</v>
      </c>
      <c r="C1752" s="1">
        <v>7765</v>
      </c>
      <c r="D1752" s="1">
        <v>6</v>
      </c>
      <c r="F1752" s="1">
        <v>2023</v>
      </c>
      <c r="G1752" s="5">
        <v>580</v>
      </c>
      <c r="H1752" s="5">
        <v>498.14</v>
      </c>
      <c r="I1752" s="5">
        <v>35752.620000000003</v>
      </c>
      <c r="K1752" s="5">
        <v>0.13400000000000001</v>
      </c>
      <c r="L1752" s="5">
        <v>1E-3</v>
      </c>
      <c r="M1752" s="5">
        <v>26770.987000000001</v>
      </c>
      <c r="N1752" s="6">
        <v>7.2328999999999999</v>
      </c>
      <c r="O1752" s="5">
        <v>6.48</v>
      </c>
      <c r="P1752" s="6">
        <v>3.8399999999999997E-2</v>
      </c>
      <c r="Q1752" s="5">
        <v>441005.02299999999</v>
      </c>
      <c r="R1752" s="1" t="s">
        <v>44</v>
      </c>
      <c r="S1752" s="1" t="s">
        <v>94</v>
      </c>
      <c r="T1752" s="1" t="s">
        <v>93</v>
      </c>
      <c r="V1752" s="1" t="s">
        <v>183</v>
      </c>
      <c r="Y1752" s="1" t="s">
        <v>952</v>
      </c>
      <c r="Z1752" s="1" t="str">
        <f t="shared" si="81"/>
        <v>7765 6</v>
      </c>
      <c r="AA1752" s="3">
        <f>IF(INDEX('CAMD Facility Data 2023'!$AA$2:$AE$10000,MATCH(Z1752,'CAMD Facility Data 2023'!$AE$2:$AE$10000,0),1)&gt;0,INDEX('CAMD Facility Data 2023'!$AA$2:$AE$10000,MATCH(Z1752,'CAMD Facility Data 2023'!$AE$2:$AE$10000,0),1),"")</f>
        <v>36671</v>
      </c>
      <c r="AB1752" s="5">
        <f>IF(INDEX('CAMD Facility Data 2023'!$AC$2:$AE$10000,MATCH(Z1752,'CAMD Facility Data 2023'!$AE$2:$AE$10000,0),1)&gt;0,INDEX('CAMD Facility Data 2023'!$AC$2:$AE$10000,MATCH(Z1752,'CAMD Facility Data 2023'!$AE$2:$AE$10000,0),1),"")</f>
        <v>1250</v>
      </c>
      <c r="AC1752" s="1" t="str">
        <f>IF(INDEX('CAMD Facility Data 2023'!$AE$2:$AG$10000,MATCH(Z1752,'CAMD Facility Data 2023'!$AE$2:$AE$10000,0),3)&gt;0,INDEX('CAMD Facility Data 2023'!$AE$2:$AG$10000,MATCH(Z1752,'CAMD Facility Data 2023'!$AE$2:$AE$10000,0),3),"")</f>
        <v/>
      </c>
      <c r="AD1752" s="20">
        <f t="shared" si="82"/>
        <v>0.3624909167495976</v>
      </c>
      <c r="AE1752" s="25">
        <f t="shared" si="83"/>
        <v>4.0274431324200909E-2</v>
      </c>
    </row>
    <row r="1753" spans="1:31" x14ac:dyDescent="0.2">
      <c r="A1753" s="1" t="s">
        <v>921</v>
      </c>
      <c r="B1753" s="1" t="s">
        <v>4220</v>
      </c>
      <c r="C1753" s="1">
        <v>7765</v>
      </c>
      <c r="D1753" s="1">
        <v>7</v>
      </c>
      <c r="F1753" s="1">
        <v>2023</v>
      </c>
      <c r="G1753" s="5">
        <v>285</v>
      </c>
      <c r="H1753" s="5">
        <v>238.72</v>
      </c>
      <c r="I1753" s="5">
        <v>16605.23</v>
      </c>
      <c r="K1753" s="5">
        <v>6.6000000000000003E-2</v>
      </c>
      <c r="L1753" s="5">
        <v>1E-3</v>
      </c>
      <c r="M1753" s="5">
        <v>12937.004000000001</v>
      </c>
      <c r="N1753" s="6">
        <v>0.16819999999999999</v>
      </c>
      <c r="O1753" s="5">
        <v>4.0149999999999997</v>
      </c>
      <c r="P1753" s="6">
        <v>4.5699999999999998E-2</v>
      </c>
      <c r="Q1753" s="5">
        <v>212376.48699999999</v>
      </c>
      <c r="R1753" s="1" t="s">
        <v>44</v>
      </c>
      <c r="S1753" s="1" t="s">
        <v>94</v>
      </c>
      <c r="T1753" s="1" t="s">
        <v>93</v>
      </c>
      <c r="V1753" s="1" t="s">
        <v>183</v>
      </c>
      <c r="Y1753" s="1" t="s">
        <v>952</v>
      </c>
      <c r="Z1753" s="1" t="str">
        <f t="shared" si="81"/>
        <v>7765 7</v>
      </c>
      <c r="AA1753" s="3">
        <f>IF(INDEX('CAMD Facility Data 2023'!$AA$2:$AE$10000,MATCH(Z1753,'CAMD Facility Data 2023'!$AE$2:$AE$10000,0),1)&gt;0,INDEX('CAMD Facility Data 2023'!$AA$2:$AE$10000,MATCH(Z1753,'CAMD Facility Data 2023'!$AE$2:$AE$10000,0),1),"")</f>
        <v>36683</v>
      </c>
      <c r="AB1753" s="5">
        <f>IF(INDEX('CAMD Facility Data 2023'!$AC$2:$AE$10000,MATCH(Z1753,'CAMD Facility Data 2023'!$AE$2:$AE$10000,0),1)&gt;0,INDEX('CAMD Facility Data 2023'!$AC$2:$AE$10000,MATCH(Z1753,'CAMD Facility Data 2023'!$AE$2:$AE$10000,0),1),"")</f>
        <v>1250</v>
      </c>
      <c r="AC1753" s="1" t="str">
        <f>IF(INDEX('CAMD Facility Data 2023'!$AE$2:$AG$10000,MATCH(Z1753,'CAMD Facility Data 2023'!$AE$2:$AE$10000,0),3)&gt;0,INDEX('CAMD Facility Data 2023'!$AE$2:$AG$10000,MATCH(Z1753,'CAMD Facility Data 2023'!$AE$2:$AE$10000,0),3),"")</f>
        <v/>
      </c>
      <c r="AD1753" s="20">
        <f t="shared" si="82"/>
        <v>0.48358258211418931</v>
      </c>
      <c r="AE1753" s="25">
        <f t="shared" si="83"/>
        <v>1.9395112968036528E-2</v>
      </c>
    </row>
    <row r="1754" spans="1:31" x14ac:dyDescent="0.2">
      <c r="A1754" s="1" t="s">
        <v>921</v>
      </c>
      <c r="B1754" s="1" t="s">
        <v>4220</v>
      </c>
      <c r="C1754" s="1">
        <v>7765</v>
      </c>
      <c r="D1754" s="1">
        <v>8</v>
      </c>
      <c r="F1754" s="1">
        <v>2023</v>
      </c>
      <c r="G1754" s="5">
        <v>572</v>
      </c>
      <c r="H1754" s="5">
        <v>490.15</v>
      </c>
      <c r="I1754" s="5">
        <v>35046.639999999999</v>
      </c>
      <c r="K1754" s="5">
        <v>0.13300000000000001</v>
      </c>
      <c r="L1754" s="5">
        <v>1E-3</v>
      </c>
      <c r="M1754" s="5">
        <v>26681.395</v>
      </c>
      <c r="N1754" s="6">
        <v>0.17119999999999999</v>
      </c>
      <c r="O1754" s="5">
        <v>7.3029999999999999</v>
      </c>
      <c r="P1754" s="6">
        <v>4.0800000000000003E-2</v>
      </c>
      <c r="Q1754" s="5">
        <v>439867.59299999999</v>
      </c>
      <c r="R1754" s="1" t="s">
        <v>44</v>
      </c>
      <c r="S1754" s="1" t="s">
        <v>94</v>
      </c>
      <c r="T1754" s="1" t="s">
        <v>93</v>
      </c>
      <c r="V1754" s="1" t="s">
        <v>183</v>
      </c>
      <c r="Y1754" s="1" t="s">
        <v>952</v>
      </c>
      <c r="Z1754" s="1" t="str">
        <f t="shared" si="81"/>
        <v>7765 8</v>
      </c>
      <c r="AA1754" s="3">
        <f>IF(INDEX('CAMD Facility Data 2023'!$AA$2:$AE$10000,MATCH(Z1754,'CAMD Facility Data 2023'!$AE$2:$AE$10000,0),1)&gt;0,INDEX('CAMD Facility Data 2023'!$AA$2:$AE$10000,MATCH(Z1754,'CAMD Facility Data 2023'!$AE$2:$AE$10000,0),1),"")</f>
        <v>36691</v>
      </c>
      <c r="AB1754" s="5">
        <f>IF(INDEX('CAMD Facility Data 2023'!$AC$2:$AE$10000,MATCH(Z1754,'CAMD Facility Data 2023'!$AE$2:$AE$10000,0),1)&gt;0,INDEX('CAMD Facility Data 2023'!$AC$2:$AE$10000,MATCH(Z1754,'CAMD Facility Data 2023'!$AE$2:$AE$10000,0),1),"")</f>
        <v>1250</v>
      </c>
      <c r="AC1754" s="1" t="str">
        <f>IF(INDEX('CAMD Facility Data 2023'!$AE$2:$AG$10000,MATCH(Z1754,'CAMD Facility Data 2023'!$AE$2:$AE$10000,0),3)&gt;0,INDEX('CAMD Facility Data 2023'!$AE$2:$AG$10000,MATCH(Z1754,'CAMD Facility Data 2023'!$AE$2:$AE$10000,0),3),"")</f>
        <v/>
      </c>
      <c r="AD1754" s="20">
        <f t="shared" si="82"/>
        <v>0.41675892467865677</v>
      </c>
      <c r="AE1754" s="25">
        <f t="shared" si="83"/>
        <v>4.0170556438356167E-2</v>
      </c>
    </row>
    <row r="1755" spans="1:31" x14ac:dyDescent="0.2">
      <c r="A1755" s="1" t="s">
        <v>921</v>
      </c>
      <c r="B1755" s="1" t="s">
        <v>4220</v>
      </c>
      <c r="C1755" s="1">
        <v>7765</v>
      </c>
      <c r="D1755" s="1">
        <v>9</v>
      </c>
      <c r="F1755" s="1">
        <v>2023</v>
      </c>
      <c r="G1755" s="5">
        <v>277</v>
      </c>
      <c r="H1755" s="5">
        <v>232.32</v>
      </c>
      <c r="I1755" s="5">
        <v>16144.1</v>
      </c>
      <c r="K1755" s="5">
        <v>6.0999999999999999E-2</v>
      </c>
      <c r="L1755" s="5">
        <v>1E-3</v>
      </c>
      <c r="M1755" s="5">
        <v>12307.394</v>
      </c>
      <c r="N1755" s="6">
        <v>0.28610000000000002</v>
      </c>
      <c r="O1755" s="5">
        <v>3.472</v>
      </c>
      <c r="P1755" s="6">
        <v>4.41E-2</v>
      </c>
      <c r="Q1755" s="5">
        <v>203220.80300000001</v>
      </c>
      <c r="R1755" s="1" t="s">
        <v>44</v>
      </c>
      <c r="S1755" s="1" t="s">
        <v>94</v>
      </c>
      <c r="T1755" s="1" t="s">
        <v>93</v>
      </c>
      <c r="V1755" s="1" t="s">
        <v>183</v>
      </c>
      <c r="Y1755" s="1" t="s">
        <v>952</v>
      </c>
      <c r="Z1755" s="1" t="str">
        <f t="shared" si="81"/>
        <v>7765 9</v>
      </c>
      <c r="AA1755" s="3">
        <f>IF(INDEX('CAMD Facility Data 2023'!$AA$2:$AE$10000,MATCH(Z1755,'CAMD Facility Data 2023'!$AE$2:$AE$10000,0),1)&gt;0,INDEX('CAMD Facility Data 2023'!$AA$2:$AE$10000,MATCH(Z1755,'CAMD Facility Data 2023'!$AE$2:$AE$10000,0),1),"")</f>
        <v>37036</v>
      </c>
      <c r="AB1755" s="5">
        <f>IF(INDEX('CAMD Facility Data 2023'!$AC$2:$AE$10000,MATCH(Z1755,'CAMD Facility Data 2023'!$AE$2:$AE$10000,0),1)&gt;0,INDEX('CAMD Facility Data 2023'!$AC$2:$AE$10000,MATCH(Z1755,'CAMD Facility Data 2023'!$AE$2:$AE$10000,0),1),"")</f>
        <v>1250</v>
      </c>
      <c r="AC1755" s="1" t="str">
        <f>IF(INDEX('CAMD Facility Data 2023'!$AE$2:$AG$10000,MATCH(Z1755,'CAMD Facility Data 2023'!$AE$2:$AE$10000,0),3)&gt;0,INDEX('CAMD Facility Data 2023'!$AE$2:$AG$10000,MATCH(Z1755,'CAMD Facility Data 2023'!$AE$2:$AE$10000,0),3),"")</f>
        <v/>
      </c>
      <c r="AD1755" s="20">
        <f t="shared" si="82"/>
        <v>0.43012617612626286</v>
      </c>
      <c r="AE1755" s="25">
        <f t="shared" si="83"/>
        <v>1.8558977442922377E-2</v>
      </c>
    </row>
    <row r="1756" spans="1:31" x14ac:dyDescent="0.2">
      <c r="A1756" s="1" t="s">
        <v>921</v>
      </c>
      <c r="B1756" s="1" t="s">
        <v>4231</v>
      </c>
      <c r="C1756" s="1">
        <v>7768</v>
      </c>
      <c r="D1756" s="1" t="s">
        <v>98</v>
      </c>
      <c r="F1756" s="1">
        <v>2023</v>
      </c>
      <c r="G1756" s="5">
        <v>1090</v>
      </c>
      <c r="H1756" s="5">
        <v>934.16</v>
      </c>
      <c r="I1756" s="5">
        <v>42926.57</v>
      </c>
      <c r="K1756" s="5">
        <v>0.125</v>
      </c>
      <c r="L1756" s="5">
        <v>1E-3</v>
      </c>
      <c r="M1756" s="5">
        <v>24762.720000000001</v>
      </c>
      <c r="N1756" s="6">
        <v>5.9200000000000003E-2</v>
      </c>
      <c r="O1756" s="5">
        <v>19.521999999999998</v>
      </c>
      <c r="P1756" s="6">
        <v>9.3700000000000006E-2</v>
      </c>
      <c r="Q1756" s="5">
        <v>416701.31800000003</v>
      </c>
      <c r="R1756" s="1" t="s">
        <v>44</v>
      </c>
      <c r="S1756" s="1" t="s">
        <v>94</v>
      </c>
      <c r="T1756" s="1" t="s">
        <v>93</v>
      </c>
      <c r="V1756" s="1" t="s">
        <v>95</v>
      </c>
      <c r="Y1756" s="1" t="s">
        <v>952</v>
      </c>
      <c r="Z1756" s="1" t="str">
        <f t="shared" si="81"/>
        <v>7768 CT2</v>
      </c>
      <c r="AA1756" s="3">
        <f>IF(INDEX('CAMD Facility Data 2023'!$AA$2:$AE$10000,MATCH(Z1756,'CAMD Facility Data 2023'!$AE$2:$AE$10000,0),1)&gt;0,INDEX('CAMD Facility Data 2023'!$AA$2:$AE$10000,MATCH(Z1756,'CAMD Facility Data 2023'!$AE$2:$AE$10000,0),1),"")</f>
        <v>36339</v>
      </c>
      <c r="AB1756" s="5">
        <f>IF(INDEX('CAMD Facility Data 2023'!$AC$2:$AE$10000,MATCH(Z1756,'CAMD Facility Data 2023'!$AE$2:$AE$10000,0),1)&gt;0,INDEX('CAMD Facility Data 2023'!$AC$2:$AE$10000,MATCH(Z1756,'CAMD Facility Data 2023'!$AE$2:$AE$10000,0),1),"")</f>
        <v>614</v>
      </c>
      <c r="AC1756" s="1" t="str">
        <f>IF(INDEX('CAMD Facility Data 2023'!$AE$2:$AG$10000,MATCH(Z1756,'CAMD Facility Data 2023'!$AE$2:$AE$10000,0),3)&gt;0,INDEX('CAMD Facility Data 2023'!$AE$2:$AG$10000,MATCH(Z1756,'CAMD Facility Data 2023'!$AE$2:$AE$10000,0),3),"")</f>
        <v/>
      </c>
      <c r="AD1756" s="20">
        <f t="shared" si="82"/>
        <v>0.90955322076746403</v>
      </c>
      <c r="AE1756" s="25">
        <f t="shared" si="83"/>
        <v>7.7473360923951046E-2</v>
      </c>
    </row>
    <row r="1757" spans="1:31" x14ac:dyDescent="0.2">
      <c r="A1757" s="1" t="s">
        <v>921</v>
      </c>
      <c r="B1757" s="1" t="s">
        <v>4231</v>
      </c>
      <c r="C1757" s="1">
        <v>7768</v>
      </c>
      <c r="D1757" s="1" t="s">
        <v>101</v>
      </c>
      <c r="F1757" s="1">
        <v>2023</v>
      </c>
      <c r="G1757" s="5">
        <v>982</v>
      </c>
      <c r="H1757" s="5">
        <v>833.54</v>
      </c>
      <c r="I1757" s="5">
        <v>37011.129999999997</v>
      </c>
      <c r="K1757" s="5">
        <v>0.109</v>
      </c>
      <c r="L1757" s="5">
        <v>1E-3</v>
      </c>
      <c r="M1757" s="5">
        <v>21595.280999999999</v>
      </c>
      <c r="N1757" s="6">
        <v>5.8999999999999997E-2</v>
      </c>
      <c r="O1757" s="5">
        <v>17.356999999999999</v>
      </c>
      <c r="P1757" s="6">
        <v>9.8500000000000004E-2</v>
      </c>
      <c r="Q1757" s="5">
        <v>363378.39600000001</v>
      </c>
      <c r="R1757" s="1" t="s">
        <v>44</v>
      </c>
      <c r="S1757" s="1" t="s">
        <v>94</v>
      </c>
      <c r="T1757" s="1" t="s">
        <v>93</v>
      </c>
      <c r="V1757" s="1" t="s">
        <v>95</v>
      </c>
      <c r="Y1757" s="1" t="s">
        <v>952</v>
      </c>
      <c r="Z1757" s="1" t="str">
        <f t="shared" si="81"/>
        <v>7768 CT3</v>
      </c>
      <c r="AA1757" s="3">
        <f>IF(INDEX('CAMD Facility Data 2023'!$AA$2:$AE$10000,MATCH(Z1757,'CAMD Facility Data 2023'!$AE$2:$AE$10000,0),1)&gt;0,INDEX('CAMD Facility Data 2023'!$AA$2:$AE$10000,MATCH(Z1757,'CAMD Facility Data 2023'!$AE$2:$AE$10000,0),1),"")</f>
        <v>36361</v>
      </c>
      <c r="AB1757" s="5">
        <f>IF(INDEX('CAMD Facility Data 2023'!$AC$2:$AE$10000,MATCH(Z1757,'CAMD Facility Data 2023'!$AE$2:$AE$10000,0),1)&gt;0,INDEX('CAMD Facility Data 2023'!$AC$2:$AE$10000,MATCH(Z1757,'CAMD Facility Data 2023'!$AE$2:$AE$10000,0),1),"")</f>
        <v>614</v>
      </c>
      <c r="AC1757" s="1" t="str">
        <f>IF(INDEX('CAMD Facility Data 2023'!$AE$2:$AG$10000,MATCH(Z1757,'CAMD Facility Data 2023'!$AE$2:$AE$10000,0),3)&gt;0,INDEX('CAMD Facility Data 2023'!$AE$2:$AG$10000,MATCH(Z1757,'CAMD Facility Data 2023'!$AE$2:$AE$10000,0),3),"")</f>
        <v/>
      </c>
      <c r="AD1757" s="20">
        <f t="shared" si="82"/>
        <v>0.93793407550647612</v>
      </c>
      <c r="AE1757" s="25">
        <f t="shared" si="83"/>
        <v>6.7559531033867304E-2</v>
      </c>
    </row>
    <row r="1758" spans="1:31" x14ac:dyDescent="0.2">
      <c r="A1758" s="1" t="s">
        <v>2430</v>
      </c>
      <c r="B1758" s="1" t="s">
        <v>4238</v>
      </c>
      <c r="C1758" s="1">
        <v>7782</v>
      </c>
      <c r="D1758" s="1" t="s">
        <v>4239</v>
      </c>
      <c r="F1758" s="1">
        <v>2023</v>
      </c>
      <c r="G1758" s="5">
        <v>65</v>
      </c>
      <c r="H1758" s="5">
        <v>53.51</v>
      </c>
      <c r="I1758" s="5">
        <v>1259.79</v>
      </c>
      <c r="K1758" s="5">
        <v>7.0000000000000001E-3</v>
      </c>
      <c r="L1758" s="5">
        <v>5.9999999999999995E-4</v>
      </c>
      <c r="M1758" s="5">
        <v>1376.7</v>
      </c>
      <c r="N1758" s="6">
        <v>5.91E-2</v>
      </c>
      <c r="O1758" s="5">
        <v>1.5169999999999999</v>
      </c>
      <c r="P1758" s="6">
        <v>0.12989999999999999</v>
      </c>
      <c r="Q1758" s="5">
        <v>23336.5</v>
      </c>
      <c r="R1758" s="1" t="s">
        <v>44</v>
      </c>
      <c r="T1758" s="1" t="s">
        <v>93</v>
      </c>
      <c r="V1758" s="1" t="s">
        <v>95</v>
      </c>
      <c r="Y1758" s="1" t="s">
        <v>461</v>
      </c>
      <c r="Z1758" s="1" t="str">
        <f t="shared" si="81"/>
        <v>7782 P001</v>
      </c>
      <c r="AA1758" s="3">
        <f>IF(INDEX('CAMD Facility Data 2023'!$AA$2:$AE$10000,MATCH(Z1758,'CAMD Facility Data 2023'!$AE$2:$AE$10000,0),1)&gt;0,INDEX('CAMD Facility Data 2023'!$AA$2:$AE$10000,MATCH(Z1758,'CAMD Facility Data 2023'!$AE$2:$AE$10000,0),1),"")</f>
        <v>36654</v>
      </c>
      <c r="AB1758" s="5">
        <f>IF(INDEX('CAMD Facility Data 2023'!$AC$2:$AE$10000,MATCH(Z1758,'CAMD Facility Data 2023'!$AE$2:$AE$10000,0),1)&gt;0,INDEX('CAMD Facility Data 2023'!$AC$2:$AE$10000,MATCH(Z1758,'CAMD Facility Data 2023'!$AE$2:$AE$10000,0),1),"")</f>
        <v>423</v>
      </c>
      <c r="AC1758" s="1" t="str">
        <f>IF(INDEX('CAMD Facility Data 2023'!$AE$2:$AG$10000,MATCH(Z1758,'CAMD Facility Data 2023'!$AE$2:$AE$10000,0),3)&gt;0,INDEX('CAMD Facility Data 2023'!$AE$2:$AG$10000,MATCH(Z1758,'CAMD Facility Data 2023'!$AE$2:$AE$10000,0),3),"")</f>
        <v/>
      </c>
      <c r="AD1758" s="20">
        <f t="shared" si="82"/>
        <v>2.4083378975861058</v>
      </c>
      <c r="AE1758" s="25">
        <f t="shared" si="83"/>
        <v>6.2978345585457214E-3</v>
      </c>
    </row>
    <row r="1759" spans="1:31" x14ac:dyDescent="0.2">
      <c r="A1759" s="1" t="s">
        <v>2430</v>
      </c>
      <c r="B1759" s="1" t="s">
        <v>4242</v>
      </c>
      <c r="C1759" s="1">
        <v>7783</v>
      </c>
      <c r="D1759" s="1" t="s">
        <v>4239</v>
      </c>
      <c r="F1759" s="1">
        <v>2023</v>
      </c>
      <c r="G1759" s="5">
        <v>75</v>
      </c>
      <c r="H1759" s="5">
        <v>63.91</v>
      </c>
      <c r="I1759" s="5">
        <v>1416.7</v>
      </c>
      <c r="K1759" s="5">
        <v>7.0000000000000001E-3</v>
      </c>
      <c r="L1759" s="5">
        <v>5.9999999999999995E-4</v>
      </c>
      <c r="M1759" s="5">
        <v>1408.1</v>
      </c>
      <c r="N1759" s="6">
        <v>5.8799999999999998E-2</v>
      </c>
      <c r="O1759" s="5">
        <v>1.516</v>
      </c>
      <c r="P1759" s="6">
        <v>0.1268</v>
      </c>
      <c r="Q1759" s="5">
        <v>23866</v>
      </c>
      <c r="R1759" s="1" t="s">
        <v>44</v>
      </c>
      <c r="T1759" s="1" t="s">
        <v>93</v>
      </c>
      <c r="V1759" s="1" t="s">
        <v>95</v>
      </c>
      <c r="Y1759" s="1" t="s">
        <v>461</v>
      </c>
      <c r="Z1759" s="1" t="str">
        <f t="shared" si="81"/>
        <v>7783 P001</v>
      </c>
      <c r="AA1759" s="3">
        <f>IF(INDEX('CAMD Facility Data 2023'!$AA$2:$AE$10000,MATCH(Z1759,'CAMD Facility Data 2023'!$AE$2:$AE$10000,0),1)&gt;0,INDEX('CAMD Facility Data 2023'!$AA$2:$AE$10000,MATCH(Z1759,'CAMD Facility Data 2023'!$AE$2:$AE$10000,0),1),"")</f>
        <v>36654</v>
      </c>
      <c r="AB1759" s="5">
        <f>IF(INDEX('CAMD Facility Data 2023'!$AC$2:$AE$10000,MATCH(Z1759,'CAMD Facility Data 2023'!$AE$2:$AE$10000,0),1)&gt;0,INDEX('CAMD Facility Data 2023'!$AC$2:$AE$10000,MATCH(Z1759,'CAMD Facility Data 2023'!$AE$2:$AE$10000,0),1),"")</f>
        <v>423</v>
      </c>
      <c r="AC1759" s="1" t="str">
        <f>IF(INDEX('CAMD Facility Data 2023'!$AE$2:$AG$10000,MATCH(Z1759,'CAMD Facility Data 2023'!$AE$2:$AE$10000,0),3)&gt;0,INDEX('CAMD Facility Data 2023'!$AE$2:$AG$10000,MATCH(Z1759,'CAMD Facility Data 2023'!$AE$2:$AE$10000,0),3),"")</f>
        <v/>
      </c>
      <c r="AD1759" s="20">
        <f t="shared" si="82"/>
        <v>2.1401849368250159</v>
      </c>
      <c r="AE1759" s="25">
        <f t="shared" si="83"/>
        <v>6.4407310254002183E-3</v>
      </c>
    </row>
    <row r="1760" spans="1:31" x14ac:dyDescent="0.2">
      <c r="A1760" s="1" t="s">
        <v>3076</v>
      </c>
      <c r="B1760" s="1" t="s">
        <v>4245</v>
      </c>
      <c r="C1760" s="1">
        <v>7790</v>
      </c>
      <c r="D1760" s="2">
        <v>45292</v>
      </c>
      <c r="F1760" s="1">
        <v>2023</v>
      </c>
      <c r="G1760" s="5">
        <v>8475</v>
      </c>
      <c r="H1760" s="5">
        <v>8472.74</v>
      </c>
      <c r="I1760" s="5">
        <v>3662057.25</v>
      </c>
      <c r="K1760" s="5">
        <v>613.87</v>
      </c>
      <c r="L1760" s="5">
        <v>3.1099999999999999E-2</v>
      </c>
      <c r="M1760" s="5">
        <v>3865499.4780000001</v>
      </c>
      <c r="N1760" s="6">
        <v>0.10299999999999999</v>
      </c>
      <c r="O1760" s="5">
        <v>4773.8649999999998</v>
      </c>
      <c r="P1760" s="6">
        <v>0.2475</v>
      </c>
      <c r="Q1760" s="5">
        <v>37675447.115000002</v>
      </c>
      <c r="R1760" s="1" t="s">
        <v>55</v>
      </c>
      <c r="S1760" s="1" t="s">
        <v>94</v>
      </c>
      <c r="T1760" s="1" t="s">
        <v>89</v>
      </c>
      <c r="U1760" s="1" t="s">
        <v>56</v>
      </c>
      <c r="V1760" s="1" t="s">
        <v>90</v>
      </c>
      <c r="W1760" s="1" t="s">
        <v>232</v>
      </c>
      <c r="Y1760" s="1" t="s">
        <v>236</v>
      </c>
      <c r="Z1760" s="1" t="str">
        <f t="shared" si="81"/>
        <v>7790 45292</v>
      </c>
      <c r="AA1760" s="3">
        <f>IF(INDEX('CAMD Facility Data 2023'!$AA$2:$AE$10000,MATCH(Z1760,'CAMD Facility Data 2023'!$AE$2:$AE$10000,0),1)&gt;0,INDEX('CAMD Facility Data 2023'!$AA$2:$AE$10000,MATCH(Z1760,'CAMD Facility Data 2023'!$AE$2:$AE$10000,0),1),"")</f>
        <v>31382</v>
      </c>
      <c r="AB1760" s="5">
        <f>IF(INDEX('CAMD Facility Data 2023'!$AC$2:$AE$10000,MATCH(Z1760,'CAMD Facility Data 2023'!$AE$2:$AE$10000,0),1)&gt;0,INDEX('CAMD Facility Data 2023'!$AC$2:$AE$10000,MATCH(Z1760,'CAMD Facility Data 2023'!$AE$2:$AE$10000,0),1),"")</f>
        <v>5500</v>
      </c>
      <c r="AC1760" s="1" t="str">
        <f>IF(INDEX('CAMD Facility Data 2023'!$AE$2:$AG$10000,MATCH(Z1760,'CAMD Facility Data 2023'!$AE$2:$AE$10000,0),3)&gt;0,INDEX('CAMD Facility Data 2023'!$AE$2:$AG$10000,MATCH(Z1760,'CAMD Facility Data 2023'!$AE$2:$AE$10000,0),3),"")</f>
        <v/>
      </c>
      <c r="AD1760" s="20">
        <f t="shared" si="82"/>
        <v>2.6072039152309814</v>
      </c>
      <c r="AE1760" s="25">
        <f t="shared" si="83"/>
        <v>0.78197275041511005</v>
      </c>
    </row>
    <row r="1761" spans="1:31" x14ac:dyDescent="0.2">
      <c r="A1761" s="1" t="s">
        <v>1153</v>
      </c>
      <c r="B1761" s="1" t="s">
        <v>4249</v>
      </c>
      <c r="C1761" s="1">
        <v>7805</v>
      </c>
      <c r="D1761" s="1">
        <v>1</v>
      </c>
      <c r="F1761" s="1">
        <v>2023</v>
      </c>
      <c r="G1761" s="5">
        <v>2324</v>
      </c>
      <c r="H1761" s="5">
        <v>2107.9</v>
      </c>
      <c r="I1761" s="5">
        <v>310659.71999999997</v>
      </c>
      <c r="K1761" s="5">
        <v>0.76</v>
      </c>
      <c r="L1761" s="5">
        <v>2.0000000000000001E-4</v>
      </c>
      <c r="M1761" s="5">
        <v>191494.67199999999</v>
      </c>
      <c r="N1761" s="6">
        <v>5.91E-2</v>
      </c>
      <c r="O1761" s="5">
        <v>52.183</v>
      </c>
      <c r="P1761" s="6">
        <v>3.8600000000000002E-2</v>
      </c>
      <c r="Q1761" s="5">
        <v>3220156.574</v>
      </c>
      <c r="R1761" s="1" t="s">
        <v>284</v>
      </c>
      <c r="S1761" s="1" t="s">
        <v>94</v>
      </c>
      <c r="T1761" s="1" t="s">
        <v>93</v>
      </c>
      <c r="V1761" s="1" t="s">
        <v>183</v>
      </c>
      <c r="Y1761" s="1" t="s">
        <v>2319</v>
      </c>
      <c r="Z1761" s="1" t="str">
        <f t="shared" si="81"/>
        <v>7805 1</v>
      </c>
      <c r="AA1761" s="3">
        <f>IF(INDEX('CAMD Facility Data 2023'!$AA$2:$AE$10000,MATCH(Z1761,'CAMD Facility Data 2023'!$AE$2:$AE$10000,0),1)&gt;0,INDEX('CAMD Facility Data 2023'!$AA$2:$AE$10000,MATCH(Z1761,'CAMD Facility Data 2023'!$AE$2:$AE$10000,0),1),"")</f>
        <v>36975</v>
      </c>
      <c r="AB1761" s="5">
        <f>IF(INDEX('CAMD Facility Data 2023'!$AC$2:$AE$10000,MATCH(Z1761,'CAMD Facility Data 2023'!$AE$2:$AE$10000,0),1)&gt;0,INDEX('CAMD Facility Data 2023'!$AC$2:$AE$10000,MATCH(Z1761,'CAMD Facility Data 2023'!$AE$2:$AE$10000,0),1),"")</f>
        <v>2100</v>
      </c>
      <c r="AC1761" s="1" t="str">
        <f>IF(INDEX('CAMD Facility Data 2023'!$AE$2:$AG$10000,MATCH(Z1761,'CAMD Facility Data 2023'!$AE$2:$AE$10000,0),3)&gt;0,INDEX('CAMD Facility Data 2023'!$AE$2:$AG$10000,MATCH(Z1761,'CAMD Facility Data 2023'!$AE$2:$AE$10000,0),3),"")</f>
        <v/>
      </c>
      <c r="AD1761" s="20">
        <f t="shared" si="82"/>
        <v>0.33594957209129012</v>
      </c>
      <c r="AE1761" s="25">
        <f t="shared" si="83"/>
        <v>0.17504656305718636</v>
      </c>
    </row>
    <row r="1762" spans="1:31" x14ac:dyDescent="0.2">
      <c r="A1762" s="1" t="s">
        <v>1153</v>
      </c>
      <c r="B1762" s="1" t="s">
        <v>4249</v>
      </c>
      <c r="C1762" s="1">
        <v>7805</v>
      </c>
      <c r="D1762" s="1">
        <v>10</v>
      </c>
      <c r="F1762" s="1">
        <v>2023</v>
      </c>
      <c r="G1762" s="5">
        <v>7681</v>
      </c>
      <c r="H1762" s="5">
        <v>7668.64</v>
      </c>
      <c r="I1762" s="5">
        <v>2292234.92</v>
      </c>
      <c r="K1762" s="5">
        <v>3.673</v>
      </c>
      <c r="L1762" s="5">
        <v>2.0000000000000001E-4</v>
      </c>
      <c r="M1762" s="5">
        <v>934554.05700000003</v>
      </c>
      <c r="N1762" s="6">
        <v>5.8999999999999997E-2</v>
      </c>
      <c r="O1762" s="5">
        <v>51.424999999999997</v>
      </c>
      <c r="P1762" s="6">
        <v>7.1000000000000004E-3</v>
      </c>
      <c r="Q1762" s="5">
        <v>15725390.468</v>
      </c>
      <c r="R1762" s="1" t="s">
        <v>284</v>
      </c>
      <c r="S1762" s="1" t="s">
        <v>94</v>
      </c>
      <c r="T1762" s="1" t="s">
        <v>71</v>
      </c>
      <c r="V1762" s="1" t="s">
        <v>643</v>
      </c>
      <c r="Y1762" s="1" t="s">
        <v>2319</v>
      </c>
      <c r="Z1762" s="1" t="str">
        <f t="shared" si="81"/>
        <v>7805 10</v>
      </c>
      <c r="AA1762" s="3">
        <f>IF(INDEX('CAMD Facility Data 2023'!$AA$2:$AE$10000,MATCH(Z1762,'CAMD Facility Data 2023'!$AE$2:$AE$10000,0),1)&gt;0,INDEX('CAMD Facility Data 2023'!$AA$2:$AE$10000,MATCH(Z1762,'CAMD Facility Data 2023'!$AE$2:$AE$10000,0),1),"")</f>
        <v>40560</v>
      </c>
      <c r="AB1762" s="5">
        <f>IF(INDEX('CAMD Facility Data 2023'!$AC$2:$AE$10000,MATCH(Z1762,'CAMD Facility Data 2023'!$AE$2:$AE$10000,0),1)&gt;0,INDEX('CAMD Facility Data 2023'!$AC$2:$AE$10000,MATCH(Z1762,'CAMD Facility Data 2023'!$AE$2:$AE$10000,0),1),"")</f>
        <v>2540</v>
      </c>
      <c r="AC1762" s="1" t="str">
        <f>IF(INDEX('CAMD Facility Data 2023'!$AE$2:$AG$10000,MATCH(Z1762,'CAMD Facility Data 2023'!$AE$2:$AE$10000,0),3)&gt;0,INDEX('CAMD Facility Data 2023'!$AE$2:$AG$10000,MATCH(Z1762,'CAMD Facility Data 2023'!$AE$2:$AE$10000,0),3),"")</f>
        <v>Y</v>
      </c>
      <c r="AD1762" s="20">
        <f t="shared" si="82"/>
        <v>4.486887408555839E-2</v>
      </c>
      <c r="AE1762" s="25">
        <f t="shared" si="83"/>
        <v>0.70674641660374649</v>
      </c>
    </row>
    <row r="1763" spans="1:31" x14ac:dyDescent="0.2">
      <c r="A1763" s="1" t="s">
        <v>1153</v>
      </c>
      <c r="B1763" s="1" t="s">
        <v>4249</v>
      </c>
      <c r="C1763" s="1">
        <v>7805</v>
      </c>
      <c r="D1763" s="1">
        <v>2</v>
      </c>
      <c r="F1763" s="1">
        <v>2023</v>
      </c>
      <c r="G1763" s="5">
        <v>1951</v>
      </c>
      <c r="H1763" s="5">
        <v>1734.15</v>
      </c>
      <c r="I1763" s="5">
        <v>249463.2</v>
      </c>
      <c r="K1763" s="5">
        <v>0.63300000000000001</v>
      </c>
      <c r="L1763" s="5">
        <v>2.9999999999999997E-4</v>
      </c>
      <c r="M1763" s="5">
        <v>151705.76199999999</v>
      </c>
      <c r="N1763" s="6">
        <v>5.91E-2</v>
      </c>
      <c r="O1763" s="5">
        <v>41.268999999999998</v>
      </c>
      <c r="P1763" s="6">
        <v>3.9100000000000003E-2</v>
      </c>
      <c r="Q1763" s="5">
        <v>2550723.3280000002</v>
      </c>
      <c r="R1763" s="1" t="s">
        <v>284</v>
      </c>
      <c r="S1763" s="1" t="s">
        <v>94</v>
      </c>
      <c r="T1763" s="1" t="s">
        <v>93</v>
      </c>
      <c r="V1763" s="1" t="s">
        <v>183</v>
      </c>
      <c r="Y1763" s="1" t="s">
        <v>2319</v>
      </c>
      <c r="Z1763" s="1" t="str">
        <f t="shared" si="81"/>
        <v>7805 2</v>
      </c>
      <c r="AA1763" s="3">
        <f>IF(INDEX('CAMD Facility Data 2023'!$AA$2:$AE$10000,MATCH(Z1763,'CAMD Facility Data 2023'!$AE$2:$AE$10000,0),1)&gt;0,INDEX('CAMD Facility Data 2023'!$AA$2:$AE$10000,MATCH(Z1763,'CAMD Facility Data 2023'!$AE$2:$AE$10000,0),1),"")</f>
        <v>36982</v>
      </c>
      <c r="AB1763" s="5">
        <f>IF(INDEX('CAMD Facility Data 2023'!$AC$2:$AE$10000,MATCH(Z1763,'CAMD Facility Data 2023'!$AE$2:$AE$10000,0),1)&gt;0,INDEX('CAMD Facility Data 2023'!$AC$2:$AE$10000,MATCH(Z1763,'CAMD Facility Data 2023'!$AE$2:$AE$10000,0),1),"")</f>
        <v>2100</v>
      </c>
      <c r="AC1763" s="1" t="str">
        <f>IF(INDEX('CAMD Facility Data 2023'!$AE$2:$AG$10000,MATCH(Z1763,'CAMD Facility Data 2023'!$AE$2:$AE$10000,0),3)&gt;0,INDEX('CAMD Facility Data 2023'!$AE$2:$AG$10000,MATCH(Z1763,'CAMD Facility Data 2023'!$AE$2:$AE$10000,0),3),"")</f>
        <v/>
      </c>
      <c r="AD1763" s="20">
        <f t="shared" si="82"/>
        <v>0.33086242780498282</v>
      </c>
      <c r="AE1763" s="25">
        <f t="shared" si="83"/>
        <v>0.13865641052402697</v>
      </c>
    </row>
    <row r="1764" spans="1:31" x14ac:dyDescent="0.2">
      <c r="A1764" s="1" t="s">
        <v>1153</v>
      </c>
      <c r="B1764" s="1" t="s">
        <v>4249</v>
      </c>
      <c r="C1764" s="1">
        <v>7805</v>
      </c>
      <c r="D1764" s="1">
        <v>3</v>
      </c>
      <c r="F1764" s="1">
        <v>2023</v>
      </c>
      <c r="G1764" s="5">
        <v>2135</v>
      </c>
      <c r="H1764" s="5">
        <v>1897.9</v>
      </c>
      <c r="I1764" s="5">
        <v>274244.95</v>
      </c>
      <c r="K1764" s="5">
        <v>0.68200000000000005</v>
      </c>
      <c r="L1764" s="5">
        <v>2.0000000000000001E-4</v>
      </c>
      <c r="M1764" s="5">
        <v>174708.75399999999</v>
      </c>
      <c r="N1764" s="6">
        <v>5.91E-2</v>
      </c>
      <c r="O1764" s="5">
        <v>46.804000000000002</v>
      </c>
      <c r="P1764" s="6">
        <v>3.8300000000000001E-2</v>
      </c>
      <c r="Q1764" s="5">
        <v>2937672.4849999999</v>
      </c>
      <c r="R1764" s="1" t="s">
        <v>284</v>
      </c>
      <c r="S1764" s="1" t="s">
        <v>94</v>
      </c>
      <c r="T1764" s="1" t="s">
        <v>93</v>
      </c>
      <c r="V1764" s="1" t="s">
        <v>183</v>
      </c>
      <c r="Y1764" s="1" t="s">
        <v>2319</v>
      </c>
      <c r="Z1764" s="1" t="str">
        <f t="shared" si="81"/>
        <v>7805 3</v>
      </c>
      <c r="AA1764" s="3">
        <f>IF(INDEX('CAMD Facility Data 2023'!$AA$2:$AE$10000,MATCH(Z1764,'CAMD Facility Data 2023'!$AE$2:$AE$10000,0),1)&gt;0,INDEX('CAMD Facility Data 2023'!$AA$2:$AE$10000,MATCH(Z1764,'CAMD Facility Data 2023'!$AE$2:$AE$10000,0),1),"")</f>
        <v>36989</v>
      </c>
      <c r="AB1764" s="5">
        <f>IF(INDEX('CAMD Facility Data 2023'!$AC$2:$AE$10000,MATCH(Z1764,'CAMD Facility Data 2023'!$AE$2:$AE$10000,0),1)&gt;0,INDEX('CAMD Facility Data 2023'!$AC$2:$AE$10000,MATCH(Z1764,'CAMD Facility Data 2023'!$AE$2:$AE$10000,0),1),"")</f>
        <v>2100</v>
      </c>
      <c r="AC1764" s="1" t="str">
        <f>IF(INDEX('CAMD Facility Data 2023'!$AE$2:$AG$10000,MATCH(Z1764,'CAMD Facility Data 2023'!$AE$2:$AE$10000,0),3)&gt;0,INDEX('CAMD Facility Data 2023'!$AE$2:$AG$10000,MATCH(Z1764,'CAMD Facility Data 2023'!$AE$2:$AE$10000,0),3),"")</f>
        <v/>
      </c>
      <c r="AD1764" s="20">
        <f t="shared" si="82"/>
        <v>0.3413298950445578</v>
      </c>
      <c r="AE1764" s="25">
        <f t="shared" si="83"/>
        <v>0.15969082871276363</v>
      </c>
    </row>
    <row r="1765" spans="1:31" x14ac:dyDescent="0.2">
      <c r="A1765" s="1" t="s">
        <v>1153</v>
      </c>
      <c r="B1765" s="1" t="s">
        <v>4249</v>
      </c>
      <c r="C1765" s="1">
        <v>7805</v>
      </c>
      <c r="D1765" s="1">
        <v>4</v>
      </c>
      <c r="F1765" s="1">
        <v>2023</v>
      </c>
      <c r="G1765" s="5">
        <v>1532</v>
      </c>
      <c r="H1765" s="5">
        <v>1338.4</v>
      </c>
      <c r="I1765" s="5">
        <v>188712.58</v>
      </c>
      <c r="K1765" s="5">
        <v>0.48699999999999999</v>
      </c>
      <c r="L1765" s="5">
        <v>2.9999999999999997E-4</v>
      </c>
      <c r="M1765" s="5">
        <v>117229.757</v>
      </c>
      <c r="N1765" s="6">
        <v>5.91E-2</v>
      </c>
      <c r="O1765" s="5">
        <v>33.594000000000001</v>
      </c>
      <c r="P1765" s="6">
        <v>4.24E-2</v>
      </c>
      <c r="Q1765" s="5">
        <v>1971700.487</v>
      </c>
      <c r="R1765" s="1" t="s">
        <v>284</v>
      </c>
      <c r="S1765" s="1" t="s">
        <v>94</v>
      </c>
      <c r="T1765" s="1" t="s">
        <v>93</v>
      </c>
      <c r="V1765" s="1" t="s">
        <v>183</v>
      </c>
      <c r="Y1765" s="1" t="s">
        <v>2319</v>
      </c>
      <c r="Z1765" s="1" t="str">
        <f t="shared" si="81"/>
        <v>7805 4</v>
      </c>
      <c r="AA1765" s="3">
        <f>IF(INDEX('CAMD Facility Data 2023'!$AA$2:$AE$10000,MATCH(Z1765,'CAMD Facility Data 2023'!$AE$2:$AE$10000,0),1)&gt;0,INDEX('CAMD Facility Data 2023'!$AA$2:$AE$10000,MATCH(Z1765,'CAMD Facility Data 2023'!$AE$2:$AE$10000,0),1),"")</f>
        <v>36996</v>
      </c>
      <c r="AB1765" s="5">
        <f>IF(INDEX('CAMD Facility Data 2023'!$AC$2:$AE$10000,MATCH(Z1765,'CAMD Facility Data 2023'!$AE$2:$AE$10000,0),1)&gt;0,INDEX('CAMD Facility Data 2023'!$AC$2:$AE$10000,MATCH(Z1765,'CAMD Facility Data 2023'!$AE$2:$AE$10000,0),1),"")</f>
        <v>2100</v>
      </c>
      <c r="AC1765" s="1" t="str">
        <f>IF(INDEX('CAMD Facility Data 2023'!$AE$2:$AG$10000,MATCH(Z1765,'CAMD Facility Data 2023'!$AE$2:$AE$10000,0),3)&gt;0,INDEX('CAMD Facility Data 2023'!$AE$2:$AG$10000,MATCH(Z1765,'CAMD Facility Data 2023'!$AE$2:$AE$10000,0),3),"")</f>
        <v/>
      </c>
      <c r="AD1765" s="20">
        <f t="shared" si="82"/>
        <v>0.35603349813775004</v>
      </c>
      <c r="AE1765" s="25">
        <f t="shared" si="83"/>
        <v>0.107180935366384</v>
      </c>
    </row>
    <row r="1766" spans="1:31" x14ac:dyDescent="0.2">
      <c r="A1766" s="1" t="s">
        <v>1153</v>
      </c>
      <c r="B1766" s="1" t="s">
        <v>4249</v>
      </c>
      <c r="C1766" s="1">
        <v>7805</v>
      </c>
      <c r="D1766" s="1">
        <v>6</v>
      </c>
      <c r="F1766" s="1">
        <v>2023</v>
      </c>
      <c r="G1766" s="5">
        <v>1637</v>
      </c>
      <c r="H1766" s="5">
        <v>1446.92</v>
      </c>
      <c r="I1766" s="5">
        <v>203524.67</v>
      </c>
      <c r="K1766" s="5">
        <v>0.46300000000000002</v>
      </c>
      <c r="L1766" s="5">
        <v>1E-4</v>
      </c>
      <c r="M1766" s="5">
        <v>129116.701</v>
      </c>
      <c r="N1766" s="6">
        <v>5.91E-2</v>
      </c>
      <c r="O1766" s="5">
        <v>37.774000000000001</v>
      </c>
      <c r="P1766" s="6">
        <v>4.4499999999999998E-2</v>
      </c>
      <c r="Q1766" s="5">
        <v>2171526.1060000001</v>
      </c>
      <c r="R1766" s="1" t="s">
        <v>284</v>
      </c>
      <c r="S1766" s="1" t="s">
        <v>94</v>
      </c>
      <c r="T1766" s="1" t="s">
        <v>93</v>
      </c>
      <c r="V1766" s="1" t="s">
        <v>183</v>
      </c>
      <c r="Y1766" s="1" t="s">
        <v>2319</v>
      </c>
      <c r="Z1766" s="1" t="str">
        <f t="shared" si="81"/>
        <v>7805 6</v>
      </c>
      <c r="AA1766" s="3">
        <f>IF(INDEX('CAMD Facility Data 2023'!$AA$2:$AE$10000,MATCH(Z1766,'CAMD Facility Data 2023'!$AE$2:$AE$10000,0),1)&gt;0,INDEX('CAMD Facility Data 2023'!$AA$2:$AE$10000,MATCH(Z1766,'CAMD Facility Data 2023'!$AE$2:$AE$10000,0),1),"")</f>
        <v>37347</v>
      </c>
      <c r="AB1766" s="5">
        <f>IF(INDEX('CAMD Facility Data 2023'!$AC$2:$AE$10000,MATCH(Z1766,'CAMD Facility Data 2023'!$AE$2:$AE$10000,0),1)&gt;0,INDEX('CAMD Facility Data 2023'!$AC$2:$AE$10000,MATCH(Z1766,'CAMD Facility Data 2023'!$AE$2:$AE$10000,0),1),"")</f>
        <v>2100</v>
      </c>
      <c r="AC1766" s="1" t="str">
        <f>IF(INDEX('CAMD Facility Data 2023'!$AE$2:$AG$10000,MATCH(Z1766,'CAMD Facility Data 2023'!$AE$2:$AE$10000,0),3)&gt;0,INDEX('CAMD Facility Data 2023'!$AE$2:$AG$10000,MATCH(Z1766,'CAMD Facility Data 2023'!$AE$2:$AE$10000,0),3),"")</f>
        <v/>
      </c>
      <c r="AD1766" s="20">
        <f t="shared" si="82"/>
        <v>0.37119824343653274</v>
      </c>
      <c r="AE1766" s="25">
        <f t="shared" si="83"/>
        <v>0.11804338475755601</v>
      </c>
    </row>
    <row r="1767" spans="1:31" x14ac:dyDescent="0.2">
      <c r="A1767" s="1" t="s">
        <v>1153</v>
      </c>
      <c r="B1767" s="1" t="s">
        <v>4249</v>
      </c>
      <c r="C1767" s="1">
        <v>7805</v>
      </c>
      <c r="D1767" s="1">
        <v>7</v>
      </c>
      <c r="F1767" s="1">
        <v>2023</v>
      </c>
      <c r="G1767" s="5">
        <v>6312</v>
      </c>
      <c r="H1767" s="5">
        <v>6299.18</v>
      </c>
      <c r="I1767" s="5">
        <v>975316.12</v>
      </c>
      <c r="K1767" s="5">
        <v>2.4369999999999998</v>
      </c>
      <c r="L1767" s="5">
        <v>2.0000000000000001E-4</v>
      </c>
      <c r="M1767" s="5">
        <v>608387.54299999995</v>
      </c>
      <c r="N1767" s="6">
        <v>5.8999999999999997E-2</v>
      </c>
      <c r="O1767" s="5">
        <v>40.344000000000001</v>
      </c>
      <c r="P1767" s="6">
        <v>8.9999999999999993E-3</v>
      </c>
      <c r="Q1767" s="5">
        <v>10237243.081</v>
      </c>
      <c r="R1767" s="1" t="s">
        <v>284</v>
      </c>
      <c r="S1767" s="1" t="s">
        <v>94</v>
      </c>
      <c r="T1767" s="1" t="s">
        <v>71</v>
      </c>
      <c r="V1767" s="1" t="s">
        <v>643</v>
      </c>
      <c r="Y1767" s="1" t="s">
        <v>2319</v>
      </c>
      <c r="Z1767" s="1" t="str">
        <f t="shared" si="81"/>
        <v>7805 7</v>
      </c>
      <c r="AA1767" s="3">
        <f>IF(INDEX('CAMD Facility Data 2023'!$AA$2:$AE$10000,MATCH(Z1767,'CAMD Facility Data 2023'!$AE$2:$AE$10000,0),1)&gt;0,INDEX('CAMD Facility Data 2023'!$AA$2:$AE$10000,MATCH(Z1767,'CAMD Facility Data 2023'!$AE$2:$AE$10000,0),1),"")</f>
        <v>37347</v>
      </c>
      <c r="AB1767" s="5">
        <f>IF(INDEX('CAMD Facility Data 2023'!$AC$2:$AE$10000,MATCH(Z1767,'CAMD Facility Data 2023'!$AE$2:$AE$10000,0),1)&gt;0,INDEX('CAMD Facility Data 2023'!$AC$2:$AE$10000,MATCH(Z1767,'CAMD Facility Data 2023'!$AE$2:$AE$10000,0),1),"")</f>
        <v>2015</v>
      </c>
      <c r="AC1767" s="1" t="str">
        <f>IF(INDEX('CAMD Facility Data 2023'!$AE$2:$AG$10000,MATCH(Z1767,'CAMD Facility Data 2023'!$AE$2:$AE$10000,0),3)&gt;0,INDEX('CAMD Facility Data 2023'!$AE$2:$AG$10000,MATCH(Z1767,'CAMD Facility Data 2023'!$AE$2:$AE$10000,0),3),"")</f>
        <v>Y</v>
      </c>
      <c r="AD1767" s="20">
        <f t="shared" si="82"/>
        <v>8.2730099857264747E-2</v>
      </c>
      <c r="AE1767" s="25">
        <f t="shared" si="83"/>
        <v>0.57996776918544701</v>
      </c>
    </row>
    <row r="1768" spans="1:31" x14ac:dyDescent="0.2">
      <c r="A1768" s="1" t="s">
        <v>1153</v>
      </c>
      <c r="B1768" s="1" t="s">
        <v>4249</v>
      </c>
      <c r="C1768" s="1">
        <v>7805</v>
      </c>
      <c r="D1768" s="1">
        <v>8</v>
      </c>
      <c r="F1768" s="1">
        <v>2023</v>
      </c>
      <c r="G1768" s="5">
        <v>6172</v>
      </c>
      <c r="H1768" s="5">
        <v>6150.27</v>
      </c>
      <c r="I1768" s="5">
        <v>949853.25</v>
      </c>
      <c r="K1768" s="5">
        <v>2.3530000000000002</v>
      </c>
      <c r="L1768" s="5">
        <v>2.0000000000000001E-4</v>
      </c>
      <c r="M1768" s="5">
        <v>589914.625</v>
      </c>
      <c r="N1768" s="6">
        <v>5.8999999999999997E-2</v>
      </c>
      <c r="O1768" s="5">
        <v>44.280999999999999</v>
      </c>
      <c r="P1768" s="6">
        <v>1.0699999999999999E-2</v>
      </c>
      <c r="Q1768" s="5">
        <v>9926402.4360000007</v>
      </c>
      <c r="R1768" s="1" t="s">
        <v>284</v>
      </c>
      <c r="S1768" s="1" t="s">
        <v>94</v>
      </c>
      <c r="T1768" s="1" t="s">
        <v>71</v>
      </c>
      <c r="V1768" s="1" t="s">
        <v>643</v>
      </c>
      <c r="Y1768" s="1" t="s">
        <v>2319</v>
      </c>
      <c r="Z1768" s="1" t="str">
        <f t="shared" si="81"/>
        <v>7805 8</v>
      </c>
      <c r="AA1768" s="3">
        <f>IF(INDEX('CAMD Facility Data 2023'!$AA$2:$AE$10000,MATCH(Z1768,'CAMD Facility Data 2023'!$AE$2:$AE$10000,0),1)&gt;0,INDEX('CAMD Facility Data 2023'!$AA$2:$AE$10000,MATCH(Z1768,'CAMD Facility Data 2023'!$AE$2:$AE$10000,0),1),"")</f>
        <v>37347</v>
      </c>
      <c r="AB1768" s="5">
        <f>IF(INDEX('CAMD Facility Data 2023'!$AC$2:$AE$10000,MATCH(Z1768,'CAMD Facility Data 2023'!$AE$2:$AE$10000,0),1)&gt;0,INDEX('CAMD Facility Data 2023'!$AC$2:$AE$10000,MATCH(Z1768,'CAMD Facility Data 2023'!$AE$2:$AE$10000,0),1),"")</f>
        <v>2015</v>
      </c>
      <c r="AC1768" s="1" t="str">
        <f>IF(INDEX('CAMD Facility Data 2023'!$AE$2:$AG$10000,MATCH(Z1768,'CAMD Facility Data 2023'!$AE$2:$AE$10000,0),3)&gt;0,INDEX('CAMD Facility Data 2023'!$AE$2:$AG$10000,MATCH(Z1768,'CAMD Facility Data 2023'!$AE$2:$AE$10000,0),3),"")</f>
        <v>Y</v>
      </c>
      <c r="AD1768" s="20">
        <f t="shared" si="82"/>
        <v>9.3237560644236356E-2</v>
      </c>
      <c r="AE1768" s="25">
        <f t="shared" si="83"/>
        <v>0.56235779802168673</v>
      </c>
    </row>
    <row r="1769" spans="1:31" x14ac:dyDescent="0.2">
      <c r="A1769" s="1" t="s">
        <v>1153</v>
      </c>
      <c r="B1769" s="1" t="s">
        <v>4249</v>
      </c>
      <c r="C1769" s="1">
        <v>7805</v>
      </c>
      <c r="D1769" s="1">
        <v>9</v>
      </c>
      <c r="F1769" s="1">
        <v>2023</v>
      </c>
      <c r="G1769" s="5">
        <v>7672</v>
      </c>
      <c r="H1769" s="5">
        <v>7657.44</v>
      </c>
      <c r="I1769" s="5">
        <v>2283176.9700000002</v>
      </c>
      <c r="K1769" s="5">
        <v>3.6890000000000001</v>
      </c>
      <c r="L1769" s="5">
        <v>2.0000000000000001E-4</v>
      </c>
      <c r="M1769" s="5">
        <v>935870.52099999995</v>
      </c>
      <c r="N1769" s="6">
        <v>5.8999999999999997E-2</v>
      </c>
      <c r="O1769" s="5">
        <v>47.362000000000002</v>
      </c>
      <c r="P1769" s="6">
        <v>6.7000000000000002E-3</v>
      </c>
      <c r="Q1769" s="5">
        <v>15747750.801999999</v>
      </c>
      <c r="R1769" s="1" t="s">
        <v>284</v>
      </c>
      <c r="S1769" s="1" t="s">
        <v>94</v>
      </c>
      <c r="T1769" s="1" t="s">
        <v>71</v>
      </c>
      <c r="V1769" s="1" t="s">
        <v>643</v>
      </c>
      <c r="Y1769" s="1" t="s">
        <v>2319</v>
      </c>
      <c r="Z1769" s="1" t="str">
        <f t="shared" si="81"/>
        <v>7805 9</v>
      </c>
      <c r="AA1769" s="3">
        <f>IF(INDEX('CAMD Facility Data 2023'!$AA$2:$AE$10000,MATCH(Z1769,'CAMD Facility Data 2023'!$AE$2:$AE$10000,0),1)&gt;0,INDEX('CAMD Facility Data 2023'!$AA$2:$AE$10000,MATCH(Z1769,'CAMD Facility Data 2023'!$AE$2:$AE$10000,0),1),"")</f>
        <v>40561</v>
      </c>
      <c r="AB1769" s="5">
        <f>IF(INDEX('CAMD Facility Data 2023'!$AC$2:$AE$10000,MATCH(Z1769,'CAMD Facility Data 2023'!$AE$2:$AE$10000,0),1)&gt;0,INDEX('CAMD Facility Data 2023'!$AC$2:$AE$10000,MATCH(Z1769,'CAMD Facility Data 2023'!$AE$2:$AE$10000,0),1),"")</f>
        <v>2540</v>
      </c>
      <c r="AC1769" s="1" t="str">
        <f>IF(INDEX('CAMD Facility Data 2023'!$AE$2:$AG$10000,MATCH(Z1769,'CAMD Facility Data 2023'!$AE$2:$AE$10000,0),3)&gt;0,INDEX('CAMD Facility Data 2023'!$AE$2:$AG$10000,MATCH(Z1769,'CAMD Facility Data 2023'!$AE$2:$AE$10000,0),3),"")</f>
        <v>Y</v>
      </c>
      <c r="AD1769" s="20">
        <f t="shared" si="82"/>
        <v>4.148780460062191E-2</v>
      </c>
      <c r="AE1769" s="25">
        <f t="shared" si="83"/>
        <v>0.7077513573688563</v>
      </c>
    </row>
    <row r="1770" spans="1:31" x14ac:dyDescent="0.2">
      <c r="A1770" s="1" t="s">
        <v>921</v>
      </c>
      <c r="B1770" s="1" t="s">
        <v>4260</v>
      </c>
      <c r="C1770" s="1">
        <v>7813</v>
      </c>
      <c r="D1770" s="1">
        <v>1</v>
      </c>
      <c r="F1770" s="1">
        <v>2023</v>
      </c>
      <c r="G1770" s="5">
        <v>977</v>
      </c>
      <c r="H1770" s="5">
        <v>857.72</v>
      </c>
      <c r="I1770" s="5">
        <v>80622.34</v>
      </c>
      <c r="K1770" s="5">
        <v>0.28799999999999998</v>
      </c>
      <c r="L1770" s="5">
        <v>1E-3</v>
      </c>
      <c r="M1770" s="5">
        <v>57006.836000000003</v>
      </c>
      <c r="N1770" s="6">
        <v>5.8999999999999997E-2</v>
      </c>
      <c r="O1770" s="5">
        <v>18.672000000000001</v>
      </c>
      <c r="P1770" s="6">
        <v>4.8000000000000001E-2</v>
      </c>
      <c r="Q1770" s="5">
        <v>959238.85</v>
      </c>
      <c r="R1770" s="1" t="s">
        <v>44</v>
      </c>
      <c r="T1770" s="1" t="s">
        <v>93</v>
      </c>
      <c r="V1770" s="1" t="s">
        <v>140</v>
      </c>
      <c r="Y1770" s="1" t="s">
        <v>952</v>
      </c>
      <c r="Z1770" s="1" t="str">
        <f t="shared" si="81"/>
        <v>7813 1</v>
      </c>
      <c r="AA1770" s="3">
        <f>IF(INDEX('CAMD Facility Data 2023'!$AA$2:$AE$10000,MATCH(Z1770,'CAMD Facility Data 2023'!$AE$2:$AE$10000,0),1)&gt;0,INDEX('CAMD Facility Data 2023'!$AA$2:$AE$10000,MATCH(Z1770,'CAMD Facility Data 2023'!$AE$2:$AE$10000,0),1),"")</f>
        <v>36685</v>
      </c>
      <c r="AB1770" s="5">
        <f>IF(INDEX('CAMD Facility Data 2023'!$AC$2:$AE$10000,MATCH(Z1770,'CAMD Facility Data 2023'!$AE$2:$AE$10000,0),1)&gt;0,INDEX('CAMD Facility Data 2023'!$AC$2:$AE$10000,MATCH(Z1770,'CAMD Facility Data 2023'!$AE$2:$AE$10000,0),1),"")</f>
        <v>1560</v>
      </c>
      <c r="AC1770" s="1" t="str">
        <f>IF(INDEX('CAMD Facility Data 2023'!$AE$2:$AG$10000,MATCH(Z1770,'CAMD Facility Data 2023'!$AE$2:$AE$10000,0),3)&gt;0,INDEX('CAMD Facility Data 2023'!$AE$2:$AG$10000,MATCH(Z1770,'CAMD Facility Data 2023'!$AE$2:$AE$10000,0),3),"")</f>
        <v/>
      </c>
      <c r="AD1770" s="20">
        <f t="shared" si="82"/>
        <v>0.46319667724851449</v>
      </c>
      <c r="AE1770" s="25">
        <f t="shared" si="83"/>
        <v>7.0193687068258986E-2</v>
      </c>
    </row>
    <row r="1771" spans="1:31" x14ac:dyDescent="0.2">
      <c r="A1771" s="1" t="s">
        <v>921</v>
      </c>
      <c r="B1771" s="1" t="s">
        <v>4260</v>
      </c>
      <c r="C1771" s="1">
        <v>7813</v>
      </c>
      <c r="D1771" s="1">
        <v>2</v>
      </c>
      <c r="F1771" s="1">
        <v>2023</v>
      </c>
      <c r="G1771" s="5">
        <v>995</v>
      </c>
      <c r="H1771" s="5">
        <v>869.01</v>
      </c>
      <c r="I1771" s="5">
        <v>83136.259999999995</v>
      </c>
      <c r="K1771" s="5">
        <v>0.29499999999999998</v>
      </c>
      <c r="L1771" s="5">
        <v>1E-3</v>
      </c>
      <c r="M1771" s="5">
        <v>58432.432999999997</v>
      </c>
      <c r="N1771" s="6">
        <v>5.8999999999999997E-2</v>
      </c>
      <c r="O1771" s="5">
        <v>23.196000000000002</v>
      </c>
      <c r="P1771" s="6">
        <v>5.6500000000000002E-2</v>
      </c>
      <c r="Q1771" s="5">
        <v>983253.49199999997</v>
      </c>
      <c r="R1771" s="1" t="s">
        <v>44</v>
      </c>
      <c r="T1771" s="1" t="s">
        <v>93</v>
      </c>
      <c r="V1771" s="1" t="s">
        <v>140</v>
      </c>
      <c r="Y1771" s="1" t="s">
        <v>952</v>
      </c>
      <c r="Z1771" s="1" t="str">
        <f t="shared" si="81"/>
        <v>7813 2</v>
      </c>
      <c r="AA1771" s="3">
        <f>IF(INDEX('CAMD Facility Data 2023'!$AA$2:$AE$10000,MATCH(Z1771,'CAMD Facility Data 2023'!$AE$2:$AE$10000,0),1)&gt;0,INDEX('CAMD Facility Data 2023'!$AA$2:$AE$10000,MATCH(Z1771,'CAMD Facility Data 2023'!$AE$2:$AE$10000,0),1),"")</f>
        <v>36698</v>
      </c>
      <c r="AB1771" s="5">
        <f>IF(INDEX('CAMD Facility Data 2023'!$AC$2:$AE$10000,MATCH(Z1771,'CAMD Facility Data 2023'!$AE$2:$AE$10000,0),1)&gt;0,INDEX('CAMD Facility Data 2023'!$AC$2:$AE$10000,MATCH(Z1771,'CAMD Facility Data 2023'!$AE$2:$AE$10000,0),1),"")</f>
        <v>1335</v>
      </c>
      <c r="AC1771" s="1" t="str">
        <f>IF(INDEX('CAMD Facility Data 2023'!$AE$2:$AG$10000,MATCH(Z1771,'CAMD Facility Data 2023'!$AE$2:$AE$10000,0),3)&gt;0,INDEX('CAMD Facility Data 2023'!$AE$2:$AG$10000,MATCH(Z1771,'CAMD Facility Data 2023'!$AE$2:$AE$10000,0),3),"")</f>
        <v/>
      </c>
      <c r="AD1771" s="20">
        <f t="shared" si="82"/>
        <v>0.55802365899067385</v>
      </c>
      <c r="AE1771" s="25">
        <f t="shared" si="83"/>
        <v>8.4077565030013846E-2</v>
      </c>
    </row>
    <row r="1772" spans="1:31" x14ac:dyDescent="0.2">
      <c r="A1772" s="1" t="s">
        <v>921</v>
      </c>
      <c r="B1772" s="1" t="s">
        <v>4260</v>
      </c>
      <c r="C1772" s="1">
        <v>7813</v>
      </c>
      <c r="D1772" s="1">
        <v>3</v>
      </c>
      <c r="F1772" s="1">
        <v>2023</v>
      </c>
      <c r="G1772" s="5">
        <v>1292</v>
      </c>
      <c r="H1772" s="5">
        <v>1136.73</v>
      </c>
      <c r="I1772" s="5">
        <v>135299.29</v>
      </c>
      <c r="K1772" s="5">
        <v>0.45100000000000001</v>
      </c>
      <c r="L1772" s="5">
        <v>1E-3</v>
      </c>
      <c r="M1772" s="5">
        <v>89263.293000000005</v>
      </c>
      <c r="N1772" s="6">
        <v>5.8999999999999997E-2</v>
      </c>
      <c r="O1772" s="5">
        <v>60.164000000000001</v>
      </c>
      <c r="P1772" s="6">
        <v>9.01E-2</v>
      </c>
      <c r="Q1772" s="5">
        <v>1502057.612</v>
      </c>
      <c r="R1772" s="1" t="s">
        <v>44</v>
      </c>
      <c r="T1772" s="1" t="s">
        <v>93</v>
      </c>
      <c r="V1772" s="1" t="s">
        <v>140</v>
      </c>
      <c r="Y1772" s="1" t="s">
        <v>952</v>
      </c>
      <c r="Z1772" s="1" t="str">
        <f t="shared" si="81"/>
        <v>7813 3</v>
      </c>
      <c r="AA1772" s="3">
        <f>IF(INDEX('CAMD Facility Data 2023'!$AA$2:$AE$10000,MATCH(Z1772,'CAMD Facility Data 2023'!$AE$2:$AE$10000,0),1)&gt;0,INDEX('CAMD Facility Data 2023'!$AA$2:$AE$10000,MATCH(Z1772,'CAMD Facility Data 2023'!$AE$2:$AE$10000,0),1),"")</f>
        <v>36765</v>
      </c>
      <c r="AB1772" s="5">
        <f>IF(INDEX('CAMD Facility Data 2023'!$AC$2:$AE$10000,MATCH(Z1772,'CAMD Facility Data 2023'!$AE$2:$AE$10000,0),1)&gt;0,INDEX('CAMD Facility Data 2023'!$AC$2:$AE$10000,MATCH(Z1772,'CAMD Facility Data 2023'!$AE$2:$AE$10000,0),1),"")</f>
        <v>1570</v>
      </c>
      <c r="AC1772" s="1" t="str">
        <f>IF(INDEX('CAMD Facility Data 2023'!$AE$2:$AG$10000,MATCH(Z1772,'CAMD Facility Data 2023'!$AE$2:$AE$10000,0),3)&gt;0,INDEX('CAMD Facility Data 2023'!$AE$2:$AG$10000,MATCH(Z1772,'CAMD Facility Data 2023'!$AE$2:$AE$10000,0),3),"")</f>
        <v/>
      </c>
      <c r="AD1772" s="20">
        <f t="shared" si="82"/>
        <v>0.88934686944772579</v>
      </c>
      <c r="AE1772" s="25">
        <f t="shared" si="83"/>
        <v>0.10921513625919786</v>
      </c>
    </row>
    <row r="1773" spans="1:31" x14ac:dyDescent="0.2">
      <c r="A1773" s="1" t="s">
        <v>921</v>
      </c>
      <c r="B1773" s="1" t="s">
        <v>4260</v>
      </c>
      <c r="C1773" s="1">
        <v>7813</v>
      </c>
      <c r="D1773" s="1">
        <v>4</v>
      </c>
      <c r="F1773" s="1">
        <v>2023</v>
      </c>
      <c r="G1773" s="5">
        <v>1229</v>
      </c>
      <c r="H1773" s="5">
        <v>1080.48</v>
      </c>
      <c r="I1773" s="5">
        <v>129523.51</v>
      </c>
      <c r="K1773" s="5">
        <v>0.42799999999999999</v>
      </c>
      <c r="L1773" s="5">
        <v>1E-3</v>
      </c>
      <c r="M1773" s="5">
        <v>84710.995999999999</v>
      </c>
      <c r="N1773" s="6">
        <v>5.8999999999999997E-2</v>
      </c>
      <c r="O1773" s="5">
        <v>52.545000000000002</v>
      </c>
      <c r="P1773" s="6">
        <v>8.1900000000000001E-2</v>
      </c>
      <c r="Q1773" s="5">
        <v>1425416.781</v>
      </c>
      <c r="R1773" s="1" t="s">
        <v>44</v>
      </c>
      <c r="T1773" s="1" t="s">
        <v>93</v>
      </c>
      <c r="V1773" s="1" t="s">
        <v>140</v>
      </c>
      <c r="Y1773" s="1" t="s">
        <v>952</v>
      </c>
      <c r="Z1773" s="1" t="str">
        <f t="shared" si="81"/>
        <v>7813 4</v>
      </c>
      <c r="AA1773" s="3">
        <f>IF(INDEX('CAMD Facility Data 2023'!$AA$2:$AE$10000,MATCH(Z1773,'CAMD Facility Data 2023'!$AE$2:$AE$10000,0),1)&gt;0,INDEX('CAMD Facility Data 2023'!$AA$2:$AE$10000,MATCH(Z1773,'CAMD Facility Data 2023'!$AE$2:$AE$10000,0),1),"")</f>
        <v>36671</v>
      </c>
      <c r="AB1773" s="5">
        <f>IF(INDEX('CAMD Facility Data 2023'!$AC$2:$AE$10000,MATCH(Z1773,'CAMD Facility Data 2023'!$AE$2:$AE$10000,0),1)&gt;0,INDEX('CAMD Facility Data 2023'!$AC$2:$AE$10000,MATCH(Z1773,'CAMD Facility Data 2023'!$AE$2:$AE$10000,0),1),"")</f>
        <v>1606</v>
      </c>
      <c r="AC1773" s="1" t="str">
        <f>IF(INDEX('CAMD Facility Data 2023'!$AE$2:$AG$10000,MATCH(Z1773,'CAMD Facility Data 2023'!$AE$2:$AE$10000,0),3)&gt;0,INDEX('CAMD Facility Data 2023'!$AE$2:$AG$10000,MATCH(Z1773,'CAMD Facility Data 2023'!$AE$2:$AE$10000,0),3),"")</f>
        <v/>
      </c>
      <c r="AD1773" s="20">
        <f t="shared" si="82"/>
        <v>0.81135849391357606</v>
      </c>
      <c r="AE1773" s="25">
        <f t="shared" si="83"/>
        <v>0.10131930922567768</v>
      </c>
    </row>
    <row r="1774" spans="1:31" x14ac:dyDescent="0.2">
      <c r="A1774" s="1" t="s">
        <v>458</v>
      </c>
      <c r="B1774" s="1" t="s">
        <v>4268</v>
      </c>
      <c r="C1774" s="1">
        <v>7818</v>
      </c>
      <c r="D1774" s="1" t="s">
        <v>4076</v>
      </c>
      <c r="F1774" s="1">
        <v>2023</v>
      </c>
      <c r="G1774" s="5">
        <v>50</v>
      </c>
      <c r="H1774" s="5">
        <v>39.49</v>
      </c>
      <c r="I1774" s="5">
        <v>843.48</v>
      </c>
      <c r="K1774" s="5">
        <v>4.0000000000000001E-3</v>
      </c>
      <c r="L1774" s="5">
        <v>1E-3</v>
      </c>
      <c r="O1774" s="5">
        <v>1.802</v>
      </c>
      <c r="P1774" s="6">
        <v>0.24299999999999999</v>
      </c>
      <c r="Q1774" s="5">
        <v>14830.679</v>
      </c>
      <c r="R1774" s="1" t="s">
        <v>44</v>
      </c>
      <c r="T1774" s="1" t="s">
        <v>93</v>
      </c>
      <c r="V1774" s="1" t="s">
        <v>95</v>
      </c>
      <c r="Y1774" s="1" t="s">
        <v>1020</v>
      </c>
      <c r="Z1774" s="1" t="str">
        <f t="shared" si="81"/>
        <v>7818 ACT1</v>
      </c>
      <c r="AA1774" s="3">
        <f>IF(INDEX('CAMD Facility Data 2023'!$AA$2:$AE$10000,MATCH(Z1774,'CAMD Facility Data 2023'!$AE$2:$AE$10000,0),1)&gt;0,INDEX('CAMD Facility Data 2023'!$AA$2:$AE$10000,MATCH(Z1774,'CAMD Facility Data 2023'!$AE$2:$AE$10000,0),1),"")</f>
        <v>36312</v>
      </c>
      <c r="AB1774" s="5">
        <f>IF(INDEX('CAMD Facility Data 2023'!$AC$2:$AE$10000,MATCH(Z1774,'CAMD Facility Data 2023'!$AE$2:$AE$10000,0),1)&gt;0,INDEX('CAMD Facility Data 2023'!$AC$2:$AE$10000,MATCH(Z1774,'CAMD Facility Data 2023'!$AE$2:$AE$10000,0),1),"")</f>
        <v>473</v>
      </c>
      <c r="AC1774" s="1" t="str">
        <f>IF(INDEX('CAMD Facility Data 2023'!$AE$2:$AG$10000,MATCH(Z1774,'CAMD Facility Data 2023'!$AE$2:$AE$10000,0),3)&gt;0,INDEX('CAMD Facility Data 2023'!$AE$2:$AG$10000,MATCH(Z1774,'CAMD Facility Data 2023'!$AE$2:$AE$10000,0),3),"")</f>
        <v/>
      </c>
      <c r="AD1774" s="20">
        <f t="shared" si="82"/>
        <v>4.2727746953099066</v>
      </c>
      <c r="AE1774" s="25">
        <f t="shared" si="83"/>
        <v>3.5792809425893211E-3</v>
      </c>
    </row>
    <row r="1775" spans="1:31" x14ac:dyDescent="0.2">
      <c r="A1775" s="1" t="s">
        <v>458</v>
      </c>
      <c r="B1775" s="1" t="s">
        <v>4268</v>
      </c>
      <c r="C1775" s="1">
        <v>7818</v>
      </c>
      <c r="D1775" s="1" t="s">
        <v>4079</v>
      </c>
      <c r="F1775" s="1">
        <v>2023</v>
      </c>
      <c r="G1775" s="5">
        <v>38</v>
      </c>
      <c r="H1775" s="5">
        <v>32.31</v>
      </c>
      <c r="I1775" s="5">
        <v>741.6</v>
      </c>
      <c r="K1775" s="5">
        <v>4.0000000000000001E-3</v>
      </c>
      <c r="L1775" s="5">
        <v>1E-3</v>
      </c>
      <c r="O1775" s="5">
        <v>1.365</v>
      </c>
      <c r="P1775" s="6">
        <v>0.21299999999999999</v>
      </c>
      <c r="Q1775" s="5">
        <v>12814.083000000001</v>
      </c>
      <c r="R1775" s="1" t="s">
        <v>44</v>
      </c>
      <c r="T1775" s="1" t="s">
        <v>93</v>
      </c>
      <c r="V1775" s="1" t="s">
        <v>95</v>
      </c>
      <c r="Y1775" s="1" t="s">
        <v>1020</v>
      </c>
      <c r="Z1775" s="1" t="str">
        <f t="shared" si="81"/>
        <v>7818 ACT2</v>
      </c>
      <c r="AA1775" s="3">
        <f>IF(INDEX('CAMD Facility Data 2023'!$AA$2:$AE$10000,MATCH(Z1775,'CAMD Facility Data 2023'!$AE$2:$AE$10000,0),1)&gt;0,INDEX('CAMD Facility Data 2023'!$AA$2:$AE$10000,MATCH(Z1775,'CAMD Facility Data 2023'!$AE$2:$AE$10000,0),1),"")</f>
        <v>36312</v>
      </c>
      <c r="AB1775" s="5">
        <f>IF(INDEX('CAMD Facility Data 2023'!$AC$2:$AE$10000,MATCH(Z1775,'CAMD Facility Data 2023'!$AE$2:$AE$10000,0),1)&gt;0,INDEX('CAMD Facility Data 2023'!$AC$2:$AE$10000,MATCH(Z1775,'CAMD Facility Data 2023'!$AE$2:$AE$10000,0),1),"")</f>
        <v>460</v>
      </c>
      <c r="AC1775" s="1" t="str">
        <f>IF(INDEX('CAMD Facility Data 2023'!$AE$2:$AG$10000,MATCH(Z1775,'CAMD Facility Data 2023'!$AE$2:$AE$10000,0),3)&gt;0,INDEX('CAMD Facility Data 2023'!$AE$2:$AG$10000,MATCH(Z1775,'CAMD Facility Data 2023'!$AE$2:$AE$10000,0),3),"")</f>
        <v/>
      </c>
      <c r="AD1775" s="20">
        <f t="shared" si="82"/>
        <v>3.6812297734627832</v>
      </c>
      <c r="AE1775" s="25">
        <f t="shared" si="83"/>
        <v>3.1799888326384754E-3</v>
      </c>
    </row>
    <row r="1776" spans="1:31" x14ac:dyDescent="0.2">
      <c r="A1776" s="1" t="s">
        <v>458</v>
      </c>
      <c r="B1776" s="1" t="s">
        <v>4268</v>
      </c>
      <c r="C1776" s="1">
        <v>7818</v>
      </c>
      <c r="D1776" s="1" t="s">
        <v>4274</v>
      </c>
      <c r="F1776" s="1">
        <v>2023</v>
      </c>
      <c r="G1776" s="5">
        <v>32</v>
      </c>
      <c r="H1776" s="5">
        <v>23.73</v>
      </c>
      <c r="I1776" s="5">
        <v>446.77</v>
      </c>
      <c r="K1776" s="5">
        <v>3.0000000000000001E-3</v>
      </c>
      <c r="L1776" s="5">
        <v>1E-3</v>
      </c>
      <c r="O1776" s="5">
        <v>1.2270000000000001</v>
      </c>
      <c r="P1776" s="6">
        <v>0.28360000000000002</v>
      </c>
      <c r="Q1776" s="5">
        <v>8361.91</v>
      </c>
      <c r="R1776" s="1" t="s">
        <v>44</v>
      </c>
      <c r="T1776" s="1" t="s">
        <v>93</v>
      </c>
      <c r="Y1776" s="1" t="s">
        <v>1020</v>
      </c>
      <c r="Z1776" s="1" t="str">
        <f t="shared" si="81"/>
        <v>7818 ACT5</v>
      </c>
      <c r="AA1776" s="3">
        <f>IF(INDEX('CAMD Facility Data 2023'!$AA$2:$AE$10000,MATCH(Z1776,'CAMD Facility Data 2023'!$AE$2:$AE$10000,0),1)&gt;0,INDEX('CAMD Facility Data 2023'!$AA$2:$AE$10000,MATCH(Z1776,'CAMD Facility Data 2023'!$AE$2:$AE$10000,0),1),"")</f>
        <v>36312</v>
      </c>
      <c r="AB1776" s="5">
        <f>IF(INDEX('CAMD Facility Data 2023'!$AC$2:$AE$10000,MATCH(Z1776,'CAMD Facility Data 2023'!$AE$2:$AE$10000,0),1)&gt;0,INDEX('CAMD Facility Data 2023'!$AC$2:$AE$10000,MATCH(Z1776,'CAMD Facility Data 2023'!$AE$2:$AE$10000,0),1),"")</f>
        <v>430</v>
      </c>
      <c r="AC1776" s="1" t="str">
        <f>IF(INDEX('CAMD Facility Data 2023'!$AE$2:$AG$10000,MATCH(Z1776,'CAMD Facility Data 2023'!$AE$2:$AE$10000,0),3)&gt;0,INDEX('CAMD Facility Data 2023'!$AE$2:$AG$10000,MATCH(Z1776,'CAMD Facility Data 2023'!$AE$2:$AE$10000,0),3),"")</f>
        <v/>
      </c>
      <c r="AD1776" s="20">
        <f t="shared" si="82"/>
        <v>5.4927591378114018</v>
      </c>
      <c r="AE1776" s="25">
        <f t="shared" si="83"/>
        <v>2.2198975257513008E-3</v>
      </c>
    </row>
    <row r="1777" spans="1:31" x14ac:dyDescent="0.2">
      <c r="A1777" s="1" t="s">
        <v>458</v>
      </c>
      <c r="B1777" s="1" t="s">
        <v>4268</v>
      </c>
      <c r="C1777" s="1">
        <v>7818</v>
      </c>
      <c r="D1777" s="1" t="s">
        <v>4276</v>
      </c>
      <c r="F1777" s="1">
        <v>2023</v>
      </c>
      <c r="G1777" s="5">
        <v>449</v>
      </c>
      <c r="H1777" s="5">
        <v>373.92</v>
      </c>
      <c r="I1777" s="5">
        <v>15190.48</v>
      </c>
      <c r="K1777" s="5">
        <v>4.1000000000000002E-2</v>
      </c>
      <c r="L1777" s="5">
        <v>1E-3</v>
      </c>
      <c r="M1777" s="5">
        <v>8156.076</v>
      </c>
      <c r="N1777" s="6">
        <v>5.9299999999999999E-2</v>
      </c>
      <c r="O1777" s="5">
        <v>6.4210000000000003</v>
      </c>
      <c r="P1777" s="6">
        <v>0.10050000000000001</v>
      </c>
      <c r="Q1777" s="5">
        <v>137242.72700000001</v>
      </c>
      <c r="R1777" s="1" t="s">
        <v>44</v>
      </c>
      <c r="S1777" s="1" t="s">
        <v>94</v>
      </c>
      <c r="T1777" s="1" t="s">
        <v>93</v>
      </c>
      <c r="V1777" s="1" t="s">
        <v>95</v>
      </c>
      <c r="Y1777" s="1" t="s">
        <v>461</v>
      </c>
      <c r="Z1777" s="1" t="str">
        <f t="shared" si="81"/>
        <v>7818 ACT6</v>
      </c>
      <c r="AA1777" s="3">
        <f>IF(INDEX('CAMD Facility Data 2023'!$AA$2:$AE$10000,MATCH(Z1777,'CAMD Facility Data 2023'!$AE$2:$AE$10000,0),1)&gt;0,INDEX('CAMD Facility Data 2023'!$AA$2:$AE$10000,MATCH(Z1777,'CAMD Facility Data 2023'!$AE$2:$AE$10000,0),1),"")</f>
        <v>42717</v>
      </c>
      <c r="AB1777" s="5">
        <f>IF(INDEX('CAMD Facility Data 2023'!$AC$2:$AE$10000,MATCH(Z1777,'CAMD Facility Data 2023'!$AE$2:$AE$10000,0),1)&gt;0,INDEX('CAMD Facility Data 2023'!$AC$2:$AE$10000,MATCH(Z1777,'CAMD Facility Data 2023'!$AE$2:$AE$10000,0),1),"")</f>
        <v>487</v>
      </c>
      <c r="AC1777" s="1" t="str">
        <f>IF(INDEX('CAMD Facility Data 2023'!$AE$2:$AG$10000,MATCH(Z1777,'CAMD Facility Data 2023'!$AE$2:$AE$10000,0),3)&gt;0,INDEX('CAMD Facility Data 2023'!$AE$2:$AG$10000,MATCH(Z1777,'CAMD Facility Data 2023'!$AE$2:$AE$10000,0),3),"")</f>
        <v/>
      </c>
      <c r="AD1777" s="20">
        <f t="shared" si="82"/>
        <v>0.84539790711024276</v>
      </c>
      <c r="AE1777" s="25">
        <f t="shared" si="83"/>
        <v>3.2170385971327577E-2</v>
      </c>
    </row>
    <row r="1778" spans="1:31" x14ac:dyDescent="0.2">
      <c r="A1778" s="1" t="s">
        <v>348</v>
      </c>
      <c r="B1778" s="1" t="s">
        <v>4278</v>
      </c>
      <c r="C1778" s="1">
        <v>7825</v>
      </c>
      <c r="D1778" s="1" t="s">
        <v>311</v>
      </c>
      <c r="F1778" s="1">
        <v>2023</v>
      </c>
      <c r="G1778" s="5">
        <v>1229</v>
      </c>
      <c r="H1778" s="5">
        <v>1091.17</v>
      </c>
      <c r="I1778" s="5">
        <v>146823.89000000001</v>
      </c>
      <c r="K1778" s="5">
        <v>0.47199999999999998</v>
      </c>
      <c r="L1778" s="5">
        <v>1E-3</v>
      </c>
      <c r="M1778" s="5">
        <v>93497.191000000006</v>
      </c>
      <c r="N1778" s="6">
        <v>5.8999999999999997E-2</v>
      </c>
      <c r="O1778" s="5">
        <v>39.341999999999999</v>
      </c>
      <c r="P1778" s="6">
        <v>5.4899999999999997E-2</v>
      </c>
      <c r="Q1778" s="5">
        <v>1573164.125</v>
      </c>
      <c r="R1778" s="1" t="s">
        <v>44</v>
      </c>
      <c r="T1778" s="1" t="s">
        <v>93</v>
      </c>
      <c r="V1778" s="1" t="s">
        <v>140</v>
      </c>
      <c r="Y1778" s="1" t="s">
        <v>346</v>
      </c>
      <c r="Z1778" s="1" t="str">
        <f t="shared" si="81"/>
        <v>7825 CT1</v>
      </c>
      <c r="AA1778" s="3">
        <f>IF(INDEX('CAMD Facility Data 2023'!$AA$2:$AE$10000,MATCH(Z1778,'CAMD Facility Data 2023'!$AE$2:$AE$10000,0),1)&gt;0,INDEX('CAMD Facility Data 2023'!$AA$2:$AE$10000,MATCH(Z1778,'CAMD Facility Data 2023'!$AE$2:$AE$10000,0),1),"")</f>
        <v>37002</v>
      </c>
      <c r="AB1778" s="5">
        <f>IF(INDEX('CAMD Facility Data 2023'!$AC$2:$AE$10000,MATCH(Z1778,'CAMD Facility Data 2023'!$AE$2:$AE$10000,0),1)&gt;0,INDEX('CAMD Facility Data 2023'!$AC$2:$AE$10000,MATCH(Z1778,'CAMD Facility Data 2023'!$AE$2:$AE$10000,0),1),"")</f>
        <v>1692</v>
      </c>
      <c r="AC1778" s="1" t="str">
        <f>IF(INDEX('CAMD Facility Data 2023'!$AE$2:$AG$10000,MATCH(Z1778,'CAMD Facility Data 2023'!$AE$2:$AE$10000,0),3)&gt;0,INDEX('CAMD Facility Data 2023'!$AE$2:$AG$10000,MATCH(Z1778,'CAMD Facility Data 2023'!$AE$2:$AE$10000,0),3),"")</f>
        <v/>
      </c>
      <c r="AD1778" s="20">
        <f t="shared" si="82"/>
        <v>0.53590733769552079</v>
      </c>
      <c r="AE1778" s="25">
        <f t="shared" si="83"/>
        <v>0.10613767480866176</v>
      </c>
    </row>
    <row r="1779" spans="1:31" x14ac:dyDescent="0.2">
      <c r="A1779" s="1" t="s">
        <v>1153</v>
      </c>
      <c r="B1779" s="1" t="s">
        <v>4282</v>
      </c>
      <c r="C1779" s="1">
        <v>7826</v>
      </c>
      <c r="D1779" s="1">
        <v>1</v>
      </c>
      <c r="F1779" s="1">
        <v>2023</v>
      </c>
      <c r="G1779" s="5">
        <v>815</v>
      </c>
      <c r="H1779" s="5">
        <v>703.39</v>
      </c>
      <c r="I1779" s="5">
        <v>103454.08</v>
      </c>
      <c r="K1779" s="5">
        <v>0.33700000000000002</v>
      </c>
      <c r="L1779" s="5">
        <v>1E-3</v>
      </c>
      <c r="M1779" s="5">
        <v>66402.512000000002</v>
      </c>
      <c r="N1779" s="6">
        <v>5.91E-2</v>
      </c>
      <c r="O1779" s="5">
        <v>18.454000000000001</v>
      </c>
      <c r="P1779" s="6">
        <v>4.2599999999999999E-2</v>
      </c>
      <c r="Q1779" s="5">
        <v>1116920.9469999999</v>
      </c>
      <c r="R1779" s="1" t="s">
        <v>44</v>
      </c>
      <c r="S1779" s="1" t="s">
        <v>94</v>
      </c>
      <c r="T1779" s="1" t="s">
        <v>93</v>
      </c>
      <c r="V1779" s="1" t="s">
        <v>183</v>
      </c>
      <c r="Y1779" s="1" t="s">
        <v>2319</v>
      </c>
      <c r="Z1779" s="1" t="str">
        <f t="shared" si="81"/>
        <v>7826 1</v>
      </c>
      <c r="AA1779" s="3">
        <f>IF(INDEX('CAMD Facility Data 2023'!$AA$2:$AE$10000,MATCH(Z1779,'CAMD Facility Data 2023'!$AE$2:$AE$10000,0),1)&gt;0,INDEX('CAMD Facility Data 2023'!$AA$2:$AE$10000,MATCH(Z1779,'CAMD Facility Data 2023'!$AE$2:$AE$10000,0),1),"")</f>
        <v>37026</v>
      </c>
      <c r="AB1779" s="5">
        <f>IF(INDEX('CAMD Facility Data 2023'!$AC$2:$AE$10000,MATCH(Z1779,'CAMD Facility Data 2023'!$AE$2:$AE$10000,0),1)&gt;0,INDEX('CAMD Facility Data 2023'!$AC$2:$AE$10000,MATCH(Z1779,'CAMD Facility Data 2023'!$AE$2:$AE$10000,0),1),"")</f>
        <v>1962</v>
      </c>
      <c r="AC1779" s="1" t="str">
        <f>IF(INDEX('CAMD Facility Data 2023'!$AE$2:$AG$10000,MATCH(Z1779,'CAMD Facility Data 2023'!$AE$2:$AE$10000,0),3)&gt;0,INDEX('CAMD Facility Data 2023'!$AE$2:$AG$10000,MATCH(Z1779,'CAMD Facility Data 2023'!$AE$2:$AE$10000,0),3),"")</f>
        <v/>
      </c>
      <c r="AD1779" s="20">
        <f t="shared" si="82"/>
        <v>0.35675731686947482</v>
      </c>
      <c r="AE1779" s="25">
        <f t="shared" si="83"/>
        <v>6.4985928241613478E-2</v>
      </c>
    </row>
    <row r="1780" spans="1:31" x14ac:dyDescent="0.2">
      <c r="A1780" s="1" t="s">
        <v>1153</v>
      </c>
      <c r="B1780" s="1" t="s">
        <v>4282</v>
      </c>
      <c r="C1780" s="1">
        <v>7826</v>
      </c>
      <c r="D1780" s="1">
        <v>2</v>
      </c>
      <c r="F1780" s="1">
        <v>2023</v>
      </c>
      <c r="G1780" s="5">
        <v>593</v>
      </c>
      <c r="H1780" s="5">
        <v>511.09</v>
      </c>
      <c r="I1780" s="5">
        <v>80081.83</v>
      </c>
      <c r="K1780" s="5">
        <v>0.25900000000000001</v>
      </c>
      <c r="L1780" s="5">
        <v>1E-3</v>
      </c>
      <c r="M1780" s="5">
        <v>51235.442000000003</v>
      </c>
      <c r="N1780" s="6">
        <v>5.91E-2</v>
      </c>
      <c r="O1780" s="5">
        <v>14.984</v>
      </c>
      <c r="P1780" s="6">
        <v>4.1799999999999997E-2</v>
      </c>
      <c r="Q1780" s="5">
        <v>861970.65899999999</v>
      </c>
      <c r="R1780" s="1" t="s">
        <v>44</v>
      </c>
      <c r="S1780" s="1" t="s">
        <v>94</v>
      </c>
      <c r="T1780" s="1" t="s">
        <v>93</v>
      </c>
      <c r="V1780" s="1" t="s">
        <v>183</v>
      </c>
      <c r="Y1780" s="1" t="s">
        <v>2319</v>
      </c>
      <c r="Z1780" s="1" t="str">
        <f t="shared" si="81"/>
        <v>7826 2</v>
      </c>
      <c r="AA1780" s="3">
        <f>IF(INDEX('CAMD Facility Data 2023'!$AA$2:$AE$10000,MATCH(Z1780,'CAMD Facility Data 2023'!$AE$2:$AE$10000,0),1)&gt;0,INDEX('CAMD Facility Data 2023'!$AA$2:$AE$10000,MATCH(Z1780,'CAMD Facility Data 2023'!$AE$2:$AE$10000,0),1),"")</f>
        <v>37022</v>
      </c>
      <c r="AB1780" s="5">
        <f>IF(INDEX('CAMD Facility Data 2023'!$AC$2:$AE$10000,MATCH(Z1780,'CAMD Facility Data 2023'!$AE$2:$AE$10000,0),1)&gt;0,INDEX('CAMD Facility Data 2023'!$AC$2:$AE$10000,MATCH(Z1780,'CAMD Facility Data 2023'!$AE$2:$AE$10000,0),1),"")</f>
        <v>1960</v>
      </c>
      <c r="AC1780" s="1" t="str">
        <f>IF(INDEX('CAMD Facility Data 2023'!$AE$2:$AG$10000,MATCH(Z1780,'CAMD Facility Data 2023'!$AE$2:$AE$10000,0),3)&gt;0,INDEX('CAMD Facility Data 2023'!$AE$2:$AG$10000,MATCH(Z1780,'CAMD Facility Data 2023'!$AE$2:$AE$10000,0),3),"")</f>
        <v/>
      </c>
      <c r="AD1780" s="20">
        <f t="shared" si="82"/>
        <v>0.3742172225584755</v>
      </c>
      <c r="AE1780" s="25">
        <f t="shared" si="83"/>
        <v>5.0203304619793124E-2</v>
      </c>
    </row>
    <row r="1781" spans="1:31" x14ac:dyDescent="0.2">
      <c r="A1781" s="1" t="s">
        <v>1153</v>
      </c>
      <c r="B1781" s="1" t="s">
        <v>4282</v>
      </c>
      <c r="C1781" s="1">
        <v>7826</v>
      </c>
      <c r="D1781" s="1">
        <v>3</v>
      </c>
      <c r="F1781" s="1">
        <v>2023</v>
      </c>
      <c r="G1781" s="5">
        <v>683</v>
      </c>
      <c r="H1781" s="5">
        <v>591.29</v>
      </c>
      <c r="I1781" s="5">
        <v>83465.31</v>
      </c>
      <c r="K1781" s="5">
        <v>0.28499999999999998</v>
      </c>
      <c r="L1781" s="5">
        <v>1E-3</v>
      </c>
      <c r="M1781" s="5">
        <v>56170.749000000003</v>
      </c>
      <c r="N1781" s="6">
        <v>5.91E-2</v>
      </c>
      <c r="O1781" s="5">
        <v>16.359000000000002</v>
      </c>
      <c r="P1781" s="6">
        <v>4.9299999999999997E-2</v>
      </c>
      <c r="Q1781" s="5">
        <v>944870.85</v>
      </c>
      <c r="R1781" s="1" t="s">
        <v>44</v>
      </c>
      <c r="S1781" s="1" t="s">
        <v>94</v>
      </c>
      <c r="T1781" s="1" t="s">
        <v>93</v>
      </c>
      <c r="V1781" s="1" t="s">
        <v>183</v>
      </c>
      <c r="Y1781" s="1" t="s">
        <v>2319</v>
      </c>
      <c r="Z1781" s="1" t="str">
        <f t="shared" si="81"/>
        <v>7826 3</v>
      </c>
      <c r="AA1781" s="3">
        <f>IF(INDEX('CAMD Facility Data 2023'!$AA$2:$AE$10000,MATCH(Z1781,'CAMD Facility Data 2023'!$AE$2:$AE$10000,0),1)&gt;0,INDEX('CAMD Facility Data 2023'!$AA$2:$AE$10000,MATCH(Z1781,'CAMD Facility Data 2023'!$AE$2:$AE$10000,0),1),"")</f>
        <v>37026</v>
      </c>
      <c r="AB1781" s="5">
        <f>IF(INDEX('CAMD Facility Data 2023'!$AC$2:$AE$10000,MATCH(Z1781,'CAMD Facility Data 2023'!$AE$2:$AE$10000,0),1)&gt;0,INDEX('CAMD Facility Data 2023'!$AC$2:$AE$10000,MATCH(Z1781,'CAMD Facility Data 2023'!$AE$2:$AE$10000,0),1),"")</f>
        <v>1962</v>
      </c>
      <c r="AC1781" s="1" t="str">
        <f>IF(INDEX('CAMD Facility Data 2023'!$AE$2:$AG$10000,MATCH(Z1781,'CAMD Facility Data 2023'!$AE$2:$AE$10000,0),3)&gt;0,INDEX('CAMD Facility Data 2023'!$AE$2:$AG$10000,MATCH(Z1781,'CAMD Facility Data 2023'!$AE$2:$AE$10000,0),3),"")</f>
        <v/>
      </c>
      <c r="AD1781" s="20">
        <f t="shared" si="82"/>
        <v>0.39199518937867728</v>
      </c>
      <c r="AE1781" s="25">
        <f t="shared" si="83"/>
        <v>5.4975519458757484E-2</v>
      </c>
    </row>
    <row r="1782" spans="1:31" x14ac:dyDescent="0.2">
      <c r="A1782" s="1" t="s">
        <v>1153</v>
      </c>
      <c r="B1782" s="1" t="s">
        <v>4282</v>
      </c>
      <c r="C1782" s="1">
        <v>7826</v>
      </c>
      <c r="D1782" s="1">
        <v>4</v>
      </c>
      <c r="F1782" s="1">
        <v>2023</v>
      </c>
      <c r="G1782" s="5">
        <v>7809</v>
      </c>
      <c r="H1782" s="5">
        <v>7733.31</v>
      </c>
      <c r="I1782" s="5">
        <v>1341800.72</v>
      </c>
      <c r="K1782" s="5">
        <v>4.2089999999999996</v>
      </c>
      <c r="L1782" s="5">
        <v>1E-3</v>
      </c>
      <c r="M1782" s="5">
        <v>833625.27099999995</v>
      </c>
      <c r="N1782" s="6">
        <v>5.8999999999999997E-2</v>
      </c>
      <c r="O1782" s="5">
        <v>72.866</v>
      </c>
      <c r="P1782" s="6">
        <v>1.2200000000000001E-2</v>
      </c>
      <c r="Q1782" s="5">
        <v>14027154.880000001</v>
      </c>
      <c r="R1782" s="1" t="s">
        <v>44</v>
      </c>
      <c r="S1782" s="1" t="s">
        <v>94</v>
      </c>
      <c r="T1782" s="1" t="s">
        <v>71</v>
      </c>
      <c r="V1782" s="1" t="s">
        <v>64</v>
      </c>
      <c r="Y1782" s="1" t="s">
        <v>2319</v>
      </c>
      <c r="Z1782" s="1" t="str">
        <f t="shared" si="81"/>
        <v>7826 4</v>
      </c>
      <c r="AA1782" s="3">
        <f>IF(INDEX('CAMD Facility Data 2023'!$AA$2:$AE$10000,MATCH(Z1782,'CAMD Facility Data 2023'!$AE$2:$AE$10000,0),1)&gt;0,INDEX('CAMD Facility Data 2023'!$AA$2:$AE$10000,MATCH(Z1782,'CAMD Facility Data 2023'!$AE$2:$AE$10000,0),1),"")</f>
        <v>37740</v>
      </c>
      <c r="AB1782" s="5">
        <f>IF(INDEX('CAMD Facility Data 2023'!$AC$2:$AE$10000,MATCH(Z1782,'CAMD Facility Data 2023'!$AE$2:$AE$10000,0),1)&gt;0,INDEX('CAMD Facility Data 2023'!$AC$2:$AE$10000,MATCH(Z1782,'CAMD Facility Data 2023'!$AE$2:$AE$10000,0),1),"")</f>
        <v>2050</v>
      </c>
      <c r="AC1782" s="1" t="str">
        <f>IF(INDEX('CAMD Facility Data 2023'!$AE$2:$AG$10000,MATCH(Z1782,'CAMD Facility Data 2023'!$AE$2:$AE$10000,0),3)&gt;0,INDEX('CAMD Facility Data 2023'!$AE$2:$AG$10000,MATCH(Z1782,'CAMD Facility Data 2023'!$AE$2:$AE$10000,0),3),"")</f>
        <v>Y</v>
      </c>
      <c r="AD1782" s="20">
        <f t="shared" si="82"/>
        <v>0.10860927247080326</v>
      </c>
      <c r="AE1782" s="25">
        <f t="shared" si="83"/>
        <v>0.78110896981846534</v>
      </c>
    </row>
    <row r="1783" spans="1:31" x14ac:dyDescent="0.2">
      <c r="A1783" s="1" t="s">
        <v>1153</v>
      </c>
      <c r="B1783" s="1" t="s">
        <v>4282</v>
      </c>
      <c r="C1783" s="1">
        <v>7826</v>
      </c>
      <c r="D1783" s="1">
        <v>5</v>
      </c>
      <c r="F1783" s="1">
        <v>2023</v>
      </c>
      <c r="G1783" s="5">
        <v>7858</v>
      </c>
      <c r="H1783" s="5">
        <v>7783.01</v>
      </c>
      <c r="I1783" s="5">
        <v>1359097.81</v>
      </c>
      <c r="K1783" s="5">
        <v>4.2320000000000002</v>
      </c>
      <c r="L1783" s="5">
        <v>1E-3</v>
      </c>
      <c r="M1783" s="5">
        <v>838295.87600000005</v>
      </c>
      <c r="N1783" s="6">
        <v>5.8999999999999997E-2</v>
      </c>
      <c r="O1783" s="5">
        <v>73.406000000000006</v>
      </c>
      <c r="P1783" s="6">
        <v>1.2200000000000001E-2</v>
      </c>
      <c r="Q1783" s="5">
        <v>14105994.749</v>
      </c>
      <c r="R1783" s="1" t="s">
        <v>44</v>
      </c>
      <c r="T1783" s="1" t="s">
        <v>71</v>
      </c>
      <c r="V1783" s="1" t="s">
        <v>64</v>
      </c>
      <c r="Y1783" s="1" t="s">
        <v>2319</v>
      </c>
      <c r="Z1783" s="1" t="str">
        <f t="shared" si="81"/>
        <v>7826 5</v>
      </c>
      <c r="AA1783" s="3">
        <f>IF(INDEX('CAMD Facility Data 2023'!$AA$2:$AE$10000,MATCH(Z1783,'CAMD Facility Data 2023'!$AE$2:$AE$10000,0),1)&gt;0,INDEX('CAMD Facility Data 2023'!$AA$2:$AE$10000,MATCH(Z1783,'CAMD Facility Data 2023'!$AE$2:$AE$10000,0),1),"")</f>
        <v>37740</v>
      </c>
      <c r="AB1783" s="5">
        <f>IF(INDEX('CAMD Facility Data 2023'!$AC$2:$AE$10000,MATCH(Z1783,'CAMD Facility Data 2023'!$AE$2:$AE$10000,0),1)&gt;0,INDEX('CAMD Facility Data 2023'!$AC$2:$AE$10000,MATCH(Z1783,'CAMD Facility Data 2023'!$AE$2:$AE$10000,0),1),"")</f>
        <v>2050</v>
      </c>
      <c r="AC1783" s="1" t="str">
        <f>IF(INDEX('CAMD Facility Data 2023'!$AE$2:$AG$10000,MATCH(Z1783,'CAMD Facility Data 2023'!$AE$2:$AE$10000,0),3)&gt;0,INDEX('CAMD Facility Data 2023'!$AE$2:$AG$10000,MATCH(Z1783,'CAMD Facility Data 2023'!$AE$2:$AE$10000,0),3),"")</f>
        <v>Y</v>
      </c>
      <c r="AD1783" s="20">
        <f t="shared" si="82"/>
        <v>0.10802165886795152</v>
      </c>
      <c r="AE1783" s="25">
        <f t="shared" si="83"/>
        <v>0.78549920642610538</v>
      </c>
    </row>
    <row r="1784" spans="1:31" x14ac:dyDescent="0.2">
      <c r="A1784" s="1" t="s">
        <v>921</v>
      </c>
      <c r="B1784" s="1" t="s">
        <v>4289</v>
      </c>
      <c r="C1784" s="1">
        <v>7829</v>
      </c>
      <c r="D1784" s="1">
        <v>1</v>
      </c>
      <c r="F1784" s="1">
        <v>2023</v>
      </c>
      <c r="G1784" s="5">
        <v>902</v>
      </c>
      <c r="H1784" s="5">
        <v>798.98</v>
      </c>
      <c r="I1784" s="5">
        <v>73877.41</v>
      </c>
      <c r="K1784" s="5">
        <v>0.30099999999999999</v>
      </c>
      <c r="L1784" s="5">
        <v>1E-3</v>
      </c>
      <c r="M1784" s="5">
        <v>59696.637999999999</v>
      </c>
      <c r="N1784" s="6">
        <v>5.8999999999999997E-2</v>
      </c>
      <c r="O1784" s="5">
        <v>20.798999999999999</v>
      </c>
      <c r="P1784" s="6">
        <v>4.8300000000000003E-2</v>
      </c>
      <c r="Q1784" s="5">
        <v>1004511.394</v>
      </c>
      <c r="R1784" s="1" t="s">
        <v>44</v>
      </c>
      <c r="T1784" s="1" t="s">
        <v>93</v>
      </c>
      <c r="V1784" s="1" t="s">
        <v>140</v>
      </c>
      <c r="Y1784" s="1" t="s">
        <v>952</v>
      </c>
      <c r="Z1784" s="1" t="str">
        <f t="shared" si="81"/>
        <v>7829 1</v>
      </c>
      <c r="AA1784" s="3">
        <f>IF(INDEX('CAMD Facility Data 2023'!$AA$2:$AE$10000,MATCH(Z1784,'CAMD Facility Data 2023'!$AE$2:$AE$10000,0),1)&gt;0,INDEX('CAMD Facility Data 2023'!$AA$2:$AE$10000,MATCH(Z1784,'CAMD Facility Data 2023'!$AE$2:$AE$10000,0),1),"")</f>
        <v>36312</v>
      </c>
      <c r="AB1784" s="5">
        <f>IF(INDEX('CAMD Facility Data 2023'!$AC$2:$AE$10000,MATCH(Z1784,'CAMD Facility Data 2023'!$AE$2:$AE$10000,0),1)&gt;0,INDEX('CAMD Facility Data 2023'!$AC$2:$AE$10000,MATCH(Z1784,'CAMD Facility Data 2023'!$AE$2:$AE$10000,0),1),"")</f>
        <v>1590</v>
      </c>
      <c r="AC1784" s="1" t="str">
        <f>IF(INDEX('CAMD Facility Data 2023'!$AE$2:$AG$10000,MATCH(Z1784,'CAMD Facility Data 2023'!$AE$2:$AE$10000,0),3)&gt;0,INDEX('CAMD Facility Data 2023'!$AE$2:$AG$10000,MATCH(Z1784,'CAMD Facility Data 2023'!$AE$2:$AE$10000,0),3),"")</f>
        <v/>
      </c>
      <c r="AD1784" s="20">
        <f t="shared" si="82"/>
        <v>0.56306792563518404</v>
      </c>
      <c r="AE1784" s="25">
        <f t="shared" si="83"/>
        <v>7.2119654375233336E-2</v>
      </c>
    </row>
    <row r="1785" spans="1:31" x14ac:dyDescent="0.2">
      <c r="A1785" s="1" t="s">
        <v>921</v>
      </c>
      <c r="B1785" s="1" t="s">
        <v>4289</v>
      </c>
      <c r="C1785" s="1">
        <v>7829</v>
      </c>
      <c r="D1785" s="1">
        <v>2</v>
      </c>
      <c r="F1785" s="1">
        <v>2023</v>
      </c>
      <c r="G1785" s="5">
        <v>1015</v>
      </c>
      <c r="H1785" s="5">
        <v>898.38</v>
      </c>
      <c r="I1785" s="5">
        <v>82492.77</v>
      </c>
      <c r="K1785" s="5">
        <v>0.316</v>
      </c>
      <c r="L1785" s="5">
        <v>1E-3</v>
      </c>
      <c r="M1785" s="5">
        <v>62610.082000000002</v>
      </c>
      <c r="N1785" s="6">
        <v>5.8999999999999997E-2</v>
      </c>
      <c r="O1785" s="5">
        <v>22.399000000000001</v>
      </c>
      <c r="P1785" s="6">
        <v>4.87E-2</v>
      </c>
      <c r="Q1785" s="5">
        <v>1053550.635</v>
      </c>
      <c r="R1785" s="1" t="s">
        <v>44</v>
      </c>
      <c r="T1785" s="1" t="s">
        <v>93</v>
      </c>
      <c r="V1785" s="1" t="s">
        <v>140</v>
      </c>
      <c r="Y1785" s="1" t="s">
        <v>952</v>
      </c>
      <c r="Z1785" s="1" t="str">
        <f t="shared" si="81"/>
        <v>7829 2</v>
      </c>
      <c r="AA1785" s="3">
        <f>IF(INDEX('CAMD Facility Data 2023'!$AA$2:$AE$10000,MATCH(Z1785,'CAMD Facility Data 2023'!$AE$2:$AE$10000,0),1)&gt;0,INDEX('CAMD Facility Data 2023'!$AA$2:$AE$10000,MATCH(Z1785,'CAMD Facility Data 2023'!$AE$2:$AE$10000,0),1),"")</f>
        <v>36323</v>
      </c>
      <c r="AB1785" s="5">
        <f>IF(INDEX('CAMD Facility Data 2023'!$AC$2:$AE$10000,MATCH(Z1785,'CAMD Facility Data 2023'!$AE$2:$AE$10000,0),1)&gt;0,INDEX('CAMD Facility Data 2023'!$AC$2:$AE$10000,MATCH(Z1785,'CAMD Facility Data 2023'!$AE$2:$AE$10000,0),1),"")</f>
        <v>1404</v>
      </c>
      <c r="AC1785" s="1" t="str">
        <f>IF(INDEX('CAMD Facility Data 2023'!$AE$2:$AG$10000,MATCH(Z1785,'CAMD Facility Data 2023'!$AE$2:$AE$10000,0),3)&gt;0,INDEX('CAMD Facility Data 2023'!$AE$2:$AG$10000,MATCH(Z1785,'CAMD Facility Data 2023'!$AE$2:$AE$10000,0),3),"")</f>
        <v/>
      </c>
      <c r="AD1785" s="20">
        <f t="shared" si="82"/>
        <v>0.5430536518533684</v>
      </c>
      <c r="AE1785" s="25">
        <f t="shared" si="83"/>
        <v>8.5661208923623305E-2</v>
      </c>
    </row>
    <row r="1786" spans="1:31" x14ac:dyDescent="0.2">
      <c r="A1786" s="1" t="s">
        <v>291</v>
      </c>
      <c r="B1786" s="1" t="s">
        <v>4290</v>
      </c>
      <c r="C1786" s="1">
        <v>7834</v>
      </c>
      <c r="D1786" s="1" t="s">
        <v>3676</v>
      </c>
      <c r="F1786" s="1">
        <v>2023</v>
      </c>
      <c r="G1786" s="5">
        <v>7832</v>
      </c>
      <c r="H1786" s="5">
        <v>7822.47</v>
      </c>
      <c r="I1786" s="5">
        <v>1221143.54</v>
      </c>
      <c r="K1786" s="5">
        <v>3.9020000000000001</v>
      </c>
      <c r="L1786" s="5">
        <v>1E-3</v>
      </c>
      <c r="M1786" s="5">
        <v>773003.30500000005</v>
      </c>
      <c r="N1786" s="6">
        <v>5.8999999999999997E-2</v>
      </c>
      <c r="O1786" s="5">
        <v>97.915999999999997</v>
      </c>
      <c r="P1786" s="6">
        <v>1.5100000000000001E-2</v>
      </c>
      <c r="Q1786" s="5">
        <v>13007274.306</v>
      </c>
      <c r="R1786" s="1" t="s">
        <v>44</v>
      </c>
      <c r="S1786" s="1" t="s">
        <v>94</v>
      </c>
      <c r="T1786" s="1" t="s">
        <v>71</v>
      </c>
      <c r="V1786" s="1" t="s">
        <v>3404</v>
      </c>
      <c r="Y1786" s="1" t="s">
        <v>2690</v>
      </c>
      <c r="Z1786" s="1" t="str">
        <f t="shared" si="81"/>
        <v>7834 CT1A</v>
      </c>
      <c r="AA1786" s="3">
        <f>IF(INDEX('CAMD Facility Data 2023'!$AA$2:$AE$10000,MATCH(Z1786,'CAMD Facility Data 2023'!$AE$2:$AE$10000,0),1)&gt;0,INDEX('CAMD Facility Data 2023'!$AA$2:$AE$10000,MATCH(Z1786,'CAMD Facility Data 2023'!$AE$2:$AE$10000,0),1),"")</f>
        <v>37228</v>
      </c>
      <c r="AB1786" s="5">
        <f>IF(INDEX('CAMD Facility Data 2023'!$AC$2:$AE$10000,MATCH(Z1786,'CAMD Facility Data 2023'!$AE$2:$AE$10000,0),1)&gt;0,INDEX('CAMD Facility Data 2023'!$AC$2:$AE$10000,MATCH(Z1786,'CAMD Facility Data 2023'!$AE$2:$AE$10000,0),1),"")</f>
        <v>1980</v>
      </c>
      <c r="AC1786" s="1" t="str">
        <f>IF(INDEX('CAMD Facility Data 2023'!$AE$2:$AG$10000,MATCH(Z1786,'CAMD Facility Data 2023'!$AE$2:$AE$10000,0),3)&gt;0,INDEX('CAMD Facility Data 2023'!$AE$2:$AG$10000,MATCH(Z1786,'CAMD Facility Data 2023'!$AE$2:$AE$10000,0),3),"")</f>
        <v>Y</v>
      </c>
      <c r="AD1786" s="20">
        <f t="shared" si="82"/>
        <v>0.16036771565773503</v>
      </c>
      <c r="AE1786" s="25">
        <f t="shared" si="83"/>
        <v>0.74992356821641071</v>
      </c>
    </row>
    <row r="1787" spans="1:31" x14ac:dyDescent="0.2">
      <c r="A1787" s="1" t="s">
        <v>291</v>
      </c>
      <c r="B1787" s="1" t="s">
        <v>4290</v>
      </c>
      <c r="C1787" s="1">
        <v>7834</v>
      </c>
      <c r="D1787" s="1" t="s">
        <v>3678</v>
      </c>
      <c r="F1787" s="1">
        <v>2023</v>
      </c>
      <c r="G1787" s="5">
        <v>6556</v>
      </c>
      <c r="H1787" s="5">
        <v>6551.8</v>
      </c>
      <c r="I1787" s="5">
        <v>1011384.52</v>
      </c>
      <c r="K1787" s="5">
        <v>3.2189999999999999</v>
      </c>
      <c r="L1787" s="5">
        <v>1E-3</v>
      </c>
      <c r="M1787" s="5">
        <v>637721.65399999998</v>
      </c>
      <c r="N1787" s="6">
        <v>5.8999999999999997E-2</v>
      </c>
      <c r="O1787" s="5">
        <v>85.665000000000006</v>
      </c>
      <c r="P1787" s="6">
        <v>1.6199999999999999E-2</v>
      </c>
      <c r="Q1787" s="5">
        <v>10730853.537</v>
      </c>
      <c r="R1787" s="1" t="s">
        <v>44</v>
      </c>
      <c r="S1787" s="1" t="s">
        <v>94</v>
      </c>
      <c r="T1787" s="1" t="s">
        <v>71</v>
      </c>
      <c r="V1787" s="1" t="s">
        <v>3404</v>
      </c>
      <c r="Y1787" s="1" t="s">
        <v>2690</v>
      </c>
      <c r="Z1787" s="1" t="str">
        <f t="shared" si="81"/>
        <v>7834 CT1B</v>
      </c>
      <c r="AA1787" s="3">
        <f>IF(INDEX('CAMD Facility Data 2023'!$AA$2:$AE$10000,MATCH(Z1787,'CAMD Facility Data 2023'!$AE$2:$AE$10000,0),1)&gt;0,INDEX('CAMD Facility Data 2023'!$AA$2:$AE$10000,MATCH(Z1787,'CAMD Facility Data 2023'!$AE$2:$AE$10000,0),1),"")</f>
        <v>37228</v>
      </c>
      <c r="AB1787" s="5">
        <f>IF(INDEX('CAMD Facility Data 2023'!$AC$2:$AE$10000,MATCH(Z1787,'CAMD Facility Data 2023'!$AE$2:$AE$10000,0),1)&gt;0,INDEX('CAMD Facility Data 2023'!$AC$2:$AE$10000,MATCH(Z1787,'CAMD Facility Data 2023'!$AE$2:$AE$10000,0),1),"")</f>
        <v>1980</v>
      </c>
      <c r="AC1787" s="1" t="str">
        <f>IF(INDEX('CAMD Facility Data 2023'!$AE$2:$AG$10000,MATCH(Z1787,'CAMD Facility Data 2023'!$AE$2:$AE$10000,0),3)&gt;0,INDEX('CAMD Facility Data 2023'!$AE$2:$AG$10000,MATCH(Z1787,'CAMD Facility Data 2023'!$AE$2:$AE$10000,0),3),"")</f>
        <v>Y</v>
      </c>
      <c r="AD1787" s="20">
        <f t="shared" si="82"/>
        <v>0.16940144585167272</v>
      </c>
      <c r="AE1787" s="25">
        <f t="shared" si="83"/>
        <v>0.61867842448457178</v>
      </c>
    </row>
    <row r="1788" spans="1:31" x14ac:dyDescent="0.2">
      <c r="A1788" s="1" t="s">
        <v>291</v>
      </c>
      <c r="B1788" s="1" t="s">
        <v>4290</v>
      </c>
      <c r="C1788" s="1">
        <v>7834</v>
      </c>
      <c r="D1788" s="1" t="s">
        <v>1052</v>
      </c>
      <c r="F1788" s="1">
        <v>2023</v>
      </c>
      <c r="G1788" s="5">
        <v>7357</v>
      </c>
      <c r="H1788" s="5">
        <v>7338.79</v>
      </c>
      <c r="I1788" s="5">
        <v>1009832.83</v>
      </c>
      <c r="K1788" s="5">
        <v>3.36</v>
      </c>
      <c r="L1788" s="5">
        <v>1E-3</v>
      </c>
      <c r="M1788" s="5">
        <v>665626.00300000003</v>
      </c>
      <c r="N1788" s="6">
        <v>5.8999999999999997E-2</v>
      </c>
      <c r="O1788" s="5">
        <v>154.75800000000001</v>
      </c>
      <c r="P1788" s="6">
        <v>2.7900000000000001E-2</v>
      </c>
      <c r="Q1788" s="5">
        <v>11200390.668</v>
      </c>
      <c r="R1788" s="1" t="s">
        <v>44</v>
      </c>
      <c r="S1788" s="1" t="s">
        <v>94</v>
      </c>
      <c r="T1788" s="1" t="s">
        <v>93</v>
      </c>
      <c r="V1788" s="1" t="s">
        <v>183</v>
      </c>
      <c r="Y1788" s="1" t="s">
        <v>2690</v>
      </c>
      <c r="Z1788" s="1" t="str">
        <f t="shared" si="81"/>
        <v>7834 CT2A</v>
      </c>
      <c r="AA1788" s="3">
        <f>IF(INDEX('CAMD Facility Data 2023'!$AA$2:$AE$10000,MATCH(Z1788,'CAMD Facility Data 2023'!$AE$2:$AE$10000,0),1)&gt;0,INDEX('CAMD Facility Data 2023'!$AA$2:$AE$10000,MATCH(Z1788,'CAMD Facility Data 2023'!$AE$2:$AE$10000,0),1),"")</f>
        <v>37336</v>
      </c>
      <c r="AB1788" s="5">
        <f>IF(INDEX('CAMD Facility Data 2023'!$AC$2:$AE$10000,MATCH(Z1788,'CAMD Facility Data 2023'!$AE$2:$AE$10000,0),1)&gt;0,INDEX('CAMD Facility Data 2023'!$AC$2:$AE$10000,MATCH(Z1788,'CAMD Facility Data 2023'!$AE$2:$AE$10000,0),1),"")</f>
        <v>1980</v>
      </c>
      <c r="AC1788" s="1" t="str">
        <f>IF(INDEX('CAMD Facility Data 2023'!$AE$2:$AG$10000,MATCH(Z1788,'CAMD Facility Data 2023'!$AE$2:$AE$10000,0),3)&gt;0,INDEX('CAMD Facility Data 2023'!$AE$2:$AG$10000,MATCH(Z1788,'CAMD Facility Data 2023'!$AE$2:$AE$10000,0),3),"")</f>
        <v/>
      </c>
      <c r="AD1788" s="20">
        <f t="shared" si="82"/>
        <v>0.30650221581724574</v>
      </c>
      <c r="AE1788" s="25">
        <f t="shared" si="83"/>
        <v>0.64574919676214193</v>
      </c>
    </row>
    <row r="1789" spans="1:31" x14ac:dyDescent="0.2">
      <c r="A1789" s="1" t="s">
        <v>291</v>
      </c>
      <c r="B1789" s="1" t="s">
        <v>4290</v>
      </c>
      <c r="C1789" s="1">
        <v>7834</v>
      </c>
      <c r="D1789" s="1" t="s">
        <v>1054</v>
      </c>
      <c r="F1789" s="1">
        <v>2023</v>
      </c>
      <c r="G1789" s="5">
        <v>7831</v>
      </c>
      <c r="H1789" s="5">
        <v>7810.76</v>
      </c>
      <c r="I1789" s="5">
        <v>1081718.1100000001</v>
      </c>
      <c r="K1789" s="5">
        <v>3.51</v>
      </c>
      <c r="L1789" s="5">
        <v>1E-3</v>
      </c>
      <c r="M1789" s="5">
        <v>695308.60600000003</v>
      </c>
      <c r="N1789" s="6">
        <v>5.8999999999999997E-2</v>
      </c>
      <c r="O1789" s="5">
        <v>163.185</v>
      </c>
      <c r="P1789" s="6">
        <v>2.81E-2</v>
      </c>
      <c r="Q1789" s="5">
        <v>11699871.096999999</v>
      </c>
      <c r="R1789" s="1" t="s">
        <v>44</v>
      </c>
      <c r="S1789" s="1" t="s">
        <v>94</v>
      </c>
      <c r="T1789" s="1" t="s">
        <v>93</v>
      </c>
      <c r="V1789" s="1" t="s">
        <v>183</v>
      </c>
      <c r="Y1789" s="1" t="s">
        <v>2690</v>
      </c>
      <c r="Z1789" s="1" t="str">
        <f t="shared" si="81"/>
        <v>7834 CT2B</v>
      </c>
      <c r="AA1789" s="3">
        <f>IF(INDEX('CAMD Facility Data 2023'!$AA$2:$AE$10000,MATCH(Z1789,'CAMD Facility Data 2023'!$AE$2:$AE$10000,0),1)&gt;0,INDEX('CAMD Facility Data 2023'!$AA$2:$AE$10000,MATCH(Z1789,'CAMD Facility Data 2023'!$AE$2:$AE$10000,0),1),"")</f>
        <v>37383</v>
      </c>
      <c r="AB1789" s="5">
        <f>IF(INDEX('CAMD Facility Data 2023'!$AC$2:$AE$10000,MATCH(Z1789,'CAMD Facility Data 2023'!$AE$2:$AE$10000,0),1)&gt;0,INDEX('CAMD Facility Data 2023'!$AC$2:$AE$10000,MATCH(Z1789,'CAMD Facility Data 2023'!$AE$2:$AE$10000,0),1),"")</f>
        <v>1980</v>
      </c>
      <c r="AC1789" s="1" t="str">
        <f>IF(INDEX('CAMD Facility Data 2023'!$AE$2:$AG$10000,MATCH(Z1789,'CAMD Facility Data 2023'!$AE$2:$AE$10000,0),3)&gt;0,INDEX('CAMD Facility Data 2023'!$AE$2:$AG$10000,MATCH(Z1789,'CAMD Facility Data 2023'!$AE$2:$AE$10000,0),3),"")</f>
        <v/>
      </c>
      <c r="AD1789" s="20">
        <f t="shared" si="82"/>
        <v>0.3017144642239557</v>
      </c>
      <c r="AE1789" s="25">
        <f t="shared" si="83"/>
        <v>0.67454632495041733</v>
      </c>
    </row>
    <row r="1790" spans="1:31" x14ac:dyDescent="0.2">
      <c r="A1790" s="1" t="s">
        <v>291</v>
      </c>
      <c r="B1790" s="1" t="s">
        <v>4290</v>
      </c>
      <c r="C1790" s="1">
        <v>7834</v>
      </c>
      <c r="D1790" s="1" t="s">
        <v>101</v>
      </c>
      <c r="F1790" s="1">
        <v>2023</v>
      </c>
      <c r="G1790" s="5">
        <v>860</v>
      </c>
      <c r="H1790" s="5">
        <v>781.99</v>
      </c>
      <c r="I1790" s="5">
        <v>43695.58</v>
      </c>
      <c r="K1790" s="5">
        <v>0.17399999999999999</v>
      </c>
      <c r="L1790" s="5">
        <v>1E-3</v>
      </c>
      <c r="M1790" s="5">
        <v>33943.4</v>
      </c>
      <c r="N1790" s="6">
        <v>5.8999999999999997E-2</v>
      </c>
      <c r="O1790" s="5">
        <v>8.0519999999999996</v>
      </c>
      <c r="P1790" s="6">
        <v>2.8000000000000001E-2</v>
      </c>
      <c r="Q1790" s="5">
        <v>575291.5</v>
      </c>
      <c r="R1790" s="1" t="s">
        <v>44</v>
      </c>
      <c r="T1790" s="1" t="s">
        <v>93</v>
      </c>
      <c r="Y1790" s="1" t="s">
        <v>2690</v>
      </c>
      <c r="Z1790" s="1" t="str">
        <f t="shared" si="81"/>
        <v>7834 CT3</v>
      </c>
      <c r="AA1790" s="3">
        <f>IF(INDEX('CAMD Facility Data 2023'!$AA$2:$AE$10000,MATCH(Z1790,'CAMD Facility Data 2023'!$AE$2:$AE$10000,0),1)&gt;0,INDEX('CAMD Facility Data 2023'!$AA$2:$AE$10000,MATCH(Z1790,'CAMD Facility Data 2023'!$AE$2:$AE$10000,0),1),"")</f>
        <v>37938</v>
      </c>
      <c r="AB1790" s="5">
        <f>IF(INDEX('CAMD Facility Data 2023'!$AC$2:$AE$10000,MATCH(Z1790,'CAMD Facility Data 2023'!$AE$2:$AE$10000,0),1)&gt;0,INDEX('CAMD Facility Data 2023'!$AC$2:$AE$10000,MATCH(Z1790,'CAMD Facility Data 2023'!$AE$2:$AE$10000,0),1),"")</f>
        <v>874.6</v>
      </c>
      <c r="AC1790" s="1" t="str">
        <f>IF(INDEX('CAMD Facility Data 2023'!$AE$2:$AG$10000,MATCH(Z1790,'CAMD Facility Data 2023'!$AE$2:$AE$10000,0),3)&gt;0,INDEX('CAMD Facility Data 2023'!$AE$2:$AG$10000,MATCH(Z1790,'CAMD Facility Data 2023'!$AE$2:$AE$10000,0),3),"")</f>
        <v/>
      </c>
      <c r="AD1790" s="20">
        <f t="shared" si="82"/>
        <v>0.36854986248036986</v>
      </c>
      <c r="AE1790" s="25">
        <f t="shared" si="83"/>
        <v>7.508866414601012E-2</v>
      </c>
    </row>
    <row r="1791" spans="1:31" x14ac:dyDescent="0.2">
      <c r="A1791" s="1" t="s">
        <v>291</v>
      </c>
      <c r="B1791" s="1" t="s">
        <v>4290</v>
      </c>
      <c r="C1791" s="1">
        <v>7834</v>
      </c>
      <c r="D1791" s="1" t="s">
        <v>103</v>
      </c>
      <c r="F1791" s="1">
        <v>2023</v>
      </c>
      <c r="G1791" s="5">
        <v>1294</v>
      </c>
      <c r="H1791" s="5">
        <v>1204.8</v>
      </c>
      <c r="I1791" s="5">
        <v>66495.13</v>
      </c>
      <c r="K1791" s="5">
        <v>0.26700000000000002</v>
      </c>
      <c r="L1791" s="5">
        <v>1E-3</v>
      </c>
      <c r="M1791" s="5">
        <v>52128</v>
      </c>
      <c r="N1791" s="6">
        <v>5.8999999999999997E-2</v>
      </c>
      <c r="O1791" s="5">
        <v>12.367000000000001</v>
      </c>
      <c r="P1791" s="6">
        <v>2.8000000000000001E-2</v>
      </c>
      <c r="Q1791" s="5">
        <v>883361.7</v>
      </c>
      <c r="R1791" s="1" t="s">
        <v>44</v>
      </c>
      <c r="T1791" s="1" t="s">
        <v>93</v>
      </c>
      <c r="Y1791" s="1" t="s">
        <v>2690</v>
      </c>
      <c r="Z1791" s="1" t="str">
        <f t="shared" si="81"/>
        <v>7834 CT4</v>
      </c>
      <c r="AA1791" s="3">
        <f>IF(INDEX('CAMD Facility Data 2023'!$AA$2:$AE$10000,MATCH(Z1791,'CAMD Facility Data 2023'!$AE$2:$AE$10000,0),1)&gt;0,INDEX('CAMD Facility Data 2023'!$AA$2:$AE$10000,MATCH(Z1791,'CAMD Facility Data 2023'!$AE$2:$AE$10000,0),1),"")</f>
        <v>37944</v>
      </c>
      <c r="AB1791" s="5">
        <f>IF(INDEX('CAMD Facility Data 2023'!$AC$2:$AE$10000,MATCH(Z1791,'CAMD Facility Data 2023'!$AE$2:$AE$10000,0),1)&gt;0,INDEX('CAMD Facility Data 2023'!$AC$2:$AE$10000,MATCH(Z1791,'CAMD Facility Data 2023'!$AE$2:$AE$10000,0),1),"")</f>
        <v>874.6</v>
      </c>
      <c r="AC1791" s="1" t="str">
        <f>IF(INDEX('CAMD Facility Data 2023'!$AE$2:$AG$10000,MATCH(Z1791,'CAMD Facility Data 2023'!$AE$2:$AE$10000,0),3)&gt;0,INDEX('CAMD Facility Data 2023'!$AE$2:$AG$10000,MATCH(Z1791,'CAMD Facility Data 2023'!$AE$2:$AE$10000,0),3),"")</f>
        <v/>
      </c>
      <c r="AD1791" s="20">
        <f t="shared" si="82"/>
        <v>0.37196708992072047</v>
      </c>
      <c r="AE1791" s="25">
        <f t="shared" si="83"/>
        <v>0.11529885286111223</v>
      </c>
    </row>
    <row r="1792" spans="1:31" x14ac:dyDescent="0.2">
      <c r="A1792" s="1" t="s">
        <v>291</v>
      </c>
      <c r="B1792" s="1" t="s">
        <v>4290</v>
      </c>
      <c r="C1792" s="1">
        <v>7834</v>
      </c>
      <c r="D1792" s="1" t="s">
        <v>105</v>
      </c>
      <c r="F1792" s="1">
        <v>2023</v>
      </c>
      <c r="G1792" s="5">
        <v>1050</v>
      </c>
      <c r="H1792" s="5">
        <v>961.45</v>
      </c>
      <c r="I1792" s="5">
        <v>52183.69</v>
      </c>
      <c r="K1792" s="5">
        <v>0.21099999999999999</v>
      </c>
      <c r="L1792" s="5">
        <v>8.9999999999999998E-4</v>
      </c>
      <c r="M1792" s="5">
        <v>41220.9</v>
      </c>
      <c r="N1792" s="6">
        <v>5.8999999999999997E-2</v>
      </c>
      <c r="O1792" s="5">
        <v>9.7789999999999999</v>
      </c>
      <c r="P1792" s="6">
        <v>2.8000000000000001E-2</v>
      </c>
      <c r="Q1792" s="5">
        <v>698690</v>
      </c>
      <c r="R1792" s="1" t="s">
        <v>44</v>
      </c>
      <c r="T1792" s="1" t="s">
        <v>93</v>
      </c>
      <c r="Y1792" s="1" t="s">
        <v>2690</v>
      </c>
      <c r="Z1792" s="1" t="str">
        <f t="shared" si="81"/>
        <v>7834 CT5</v>
      </c>
      <c r="AA1792" s="3">
        <f>IF(INDEX('CAMD Facility Data 2023'!$AA$2:$AE$10000,MATCH(Z1792,'CAMD Facility Data 2023'!$AE$2:$AE$10000,0),1)&gt;0,INDEX('CAMD Facility Data 2023'!$AA$2:$AE$10000,MATCH(Z1792,'CAMD Facility Data 2023'!$AE$2:$AE$10000,0),1),"")</f>
        <v>37957</v>
      </c>
      <c r="AB1792" s="5">
        <f>IF(INDEX('CAMD Facility Data 2023'!$AC$2:$AE$10000,MATCH(Z1792,'CAMD Facility Data 2023'!$AE$2:$AE$10000,0),1)&gt;0,INDEX('CAMD Facility Data 2023'!$AC$2:$AE$10000,MATCH(Z1792,'CAMD Facility Data 2023'!$AE$2:$AE$10000,0),1),"")</f>
        <v>874.6</v>
      </c>
      <c r="AC1792" s="1" t="str">
        <f>IF(INDEX('CAMD Facility Data 2023'!$AE$2:$AG$10000,MATCH(Z1792,'CAMD Facility Data 2023'!$AE$2:$AE$10000,0),3)&gt;0,INDEX('CAMD Facility Data 2023'!$AE$2:$AG$10000,MATCH(Z1792,'CAMD Facility Data 2023'!$AE$2:$AE$10000,0),3),"")</f>
        <v/>
      </c>
      <c r="AD1792" s="20">
        <f t="shared" si="82"/>
        <v>0.3747914338752204</v>
      </c>
      <c r="AE1792" s="25">
        <f t="shared" si="83"/>
        <v>9.1194983329626486E-2</v>
      </c>
    </row>
    <row r="1793" spans="1:31" x14ac:dyDescent="0.2">
      <c r="A1793" s="1" t="s">
        <v>680</v>
      </c>
      <c r="B1793" s="1" t="s">
        <v>4298</v>
      </c>
      <c r="C1793" s="1">
        <v>7835</v>
      </c>
      <c r="D1793" s="1">
        <v>1</v>
      </c>
      <c r="F1793" s="1">
        <v>2023</v>
      </c>
      <c r="G1793" s="5">
        <v>292</v>
      </c>
      <c r="H1793" s="5">
        <v>250.85</v>
      </c>
      <c r="I1793" s="5">
        <v>39565.67</v>
      </c>
      <c r="K1793" s="5">
        <v>0.123</v>
      </c>
      <c r="L1793" s="5">
        <v>1E-3</v>
      </c>
      <c r="M1793" s="5">
        <v>24357.352999999999</v>
      </c>
      <c r="N1793" s="6">
        <v>5.8999999999999997E-2</v>
      </c>
      <c r="O1793" s="5">
        <v>7.5739999999999998</v>
      </c>
      <c r="P1793" s="6">
        <v>4.9700000000000001E-2</v>
      </c>
      <c r="Q1793" s="5">
        <v>409857.42700000003</v>
      </c>
      <c r="R1793" s="1" t="s">
        <v>44</v>
      </c>
      <c r="T1793" s="1" t="s">
        <v>93</v>
      </c>
      <c r="V1793" s="1" t="s">
        <v>140</v>
      </c>
      <c r="Y1793" s="1" t="s">
        <v>1515</v>
      </c>
      <c r="Z1793" s="1" t="str">
        <f t="shared" si="81"/>
        <v>7835 1</v>
      </c>
      <c r="AA1793" s="3">
        <f>IF(INDEX('CAMD Facility Data 2023'!$AA$2:$AE$10000,MATCH(Z1793,'CAMD Facility Data 2023'!$AE$2:$AE$10000,0),1)&gt;0,INDEX('CAMD Facility Data 2023'!$AA$2:$AE$10000,MATCH(Z1793,'CAMD Facility Data 2023'!$AE$2:$AE$10000,0),1),"")</f>
        <v>37762</v>
      </c>
      <c r="AB1793" s="5">
        <f>IF(INDEX('CAMD Facility Data 2023'!$AC$2:$AE$10000,MATCH(Z1793,'CAMD Facility Data 2023'!$AE$2:$AE$10000,0),1)&gt;0,INDEX('CAMD Facility Data 2023'!$AC$2:$AE$10000,MATCH(Z1793,'CAMD Facility Data 2023'!$AE$2:$AE$10000,0),1),"")</f>
        <v>2000</v>
      </c>
      <c r="AC1793" s="1" t="str">
        <f>IF(INDEX('CAMD Facility Data 2023'!$AE$2:$AG$10000,MATCH(Z1793,'CAMD Facility Data 2023'!$AE$2:$AE$10000,0),3)&gt;0,INDEX('CAMD Facility Data 2023'!$AE$2:$AG$10000,MATCH(Z1793,'CAMD Facility Data 2023'!$AE$2:$AE$10000,0),3),"")</f>
        <v/>
      </c>
      <c r="AD1793" s="20">
        <f t="shared" si="82"/>
        <v>0.38285715874393134</v>
      </c>
      <c r="AE1793" s="25">
        <f t="shared" si="83"/>
        <v>2.3393688755707763E-2</v>
      </c>
    </row>
    <row r="1794" spans="1:31" x14ac:dyDescent="0.2">
      <c r="A1794" s="1" t="s">
        <v>680</v>
      </c>
      <c r="B1794" s="1" t="s">
        <v>4298</v>
      </c>
      <c r="C1794" s="1">
        <v>7835</v>
      </c>
      <c r="D1794" s="1">
        <v>2</v>
      </c>
      <c r="F1794" s="1">
        <v>2023</v>
      </c>
      <c r="G1794" s="5">
        <v>279</v>
      </c>
      <c r="H1794" s="5">
        <v>247.14</v>
      </c>
      <c r="I1794" s="5">
        <v>39182.1</v>
      </c>
      <c r="K1794" s="5">
        <v>0.122</v>
      </c>
      <c r="L1794" s="5">
        <v>1E-3</v>
      </c>
      <c r="M1794" s="5">
        <v>24182.651999999998</v>
      </c>
      <c r="N1794" s="6">
        <v>5.8999999999999997E-2</v>
      </c>
      <c r="O1794" s="5">
        <v>7.298</v>
      </c>
      <c r="P1794" s="6">
        <v>4.48E-2</v>
      </c>
      <c r="Q1794" s="5">
        <v>406913.31800000003</v>
      </c>
      <c r="R1794" s="1" t="s">
        <v>44</v>
      </c>
      <c r="T1794" s="1" t="s">
        <v>93</v>
      </c>
      <c r="V1794" s="1" t="s">
        <v>140</v>
      </c>
      <c r="Y1794" s="1" t="s">
        <v>1515</v>
      </c>
      <c r="Z1794" s="1" t="str">
        <f t="shared" si="81"/>
        <v>7835 2</v>
      </c>
      <c r="AA1794" s="3">
        <f>IF(INDEX('CAMD Facility Data 2023'!$AA$2:$AE$10000,MATCH(Z1794,'CAMD Facility Data 2023'!$AE$2:$AE$10000,0),1)&gt;0,INDEX('CAMD Facility Data 2023'!$AA$2:$AE$10000,MATCH(Z1794,'CAMD Facility Data 2023'!$AE$2:$AE$10000,0),1),"")</f>
        <v>37769</v>
      </c>
      <c r="AB1794" s="5">
        <f>IF(INDEX('CAMD Facility Data 2023'!$AC$2:$AE$10000,MATCH(Z1794,'CAMD Facility Data 2023'!$AE$2:$AE$10000,0),1)&gt;0,INDEX('CAMD Facility Data 2023'!$AC$2:$AE$10000,MATCH(Z1794,'CAMD Facility Data 2023'!$AE$2:$AE$10000,0),1),"")</f>
        <v>2000</v>
      </c>
      <c r="AC1794" s="1" t="str">
        <f>IF(INDEX('CAMD Facility Data 2023'!$AE$2:$AG$10000,MATCH(Z1794,'CAMD Facility Data 2023'!$AE$2:$AE$10000,0),3)&gt;0,INDEX('CAMD Facility Data 2023'!$AE$2:$AG$10000,MATCH(Z1794,'CAMD Facility Data 2023'!$AE$2:$AE$10000,0),3),"")</f>
        <v/>
      </c>
      <c r="AD1794" s="20">
        <f t="shared" si="82"/>
        <v>0.37251704222081</v>
      </c>
      <c r="AE1794" s="25">
        <f t="shared" si="83"/>
        <v>2.3225646004566211E-2</v>
      </c>
    </row>
    <row r="1795" spans="1:31" x14ac:dyDescent="0.2">
      <c r="A1795" s="1" t="s">
        <v>680</v>
      </c>
      <c r="B1795" s="1" t="s">
        <v>4298</v>
      </c>
      <c r="C1795" s="1">
        <v>7835</v>
      </c>
      <c r="D1795" s="1">
        <v>3</v>
      </c>
      <c r="F1795" s="1">
        <v>2023</v>
      </c>
      <c r="G1795" s="5">
        <v>488</v>
      </c>
      <c r="H1795" s="5">
        <v>441.56</v>
      </c>
      <c r="I1795" s="5">
        <v>73646.52</v>
      </c>
      <c r="K1795" s="5">
        <v>0.22700000000000001</v>
      </c>
      <c r="L1795" s="5">
        <v>1E-3</v>
      </c>
      <c r="M1795" s="5">
        <v>44977.203000000001</v>
      </c>
      <c r="N1795" s="6">
        <v>5.8999999999999997E-2</v>
      </c>
      <c r="O1795" s="5">
        <v>12.446999999999999</v>
      </c>
      <c r="P1795" s="6">
        <v>0.04</v>
      </c>
      <c r="Q1795" s="5">
        <v>756836.99600000004</v>
      </c>
      <c r="R1795" s="1" t="s">
        <v>44</v>
      </c>
      <c r="T1795" s="1" t="s">
        <v>93</v>
      </c>
      <c r="V1795" s="1" t="s">
        <v>140</v>
      </c>
      <c r="Y1795" s="1" t="s">
        <v>1515</v>
      </c>
      <c r="Z1795" s="1" t="str">
        <f t="shared" ref="Z1795:Z1858" si="84">C1795&amp;" "&amp;D1795</f>
        <v>7835 3</v>
      </c>
      <c r="AA1795" s="3">
        <f>IF(INDEX('CAMD Facility Data 2023'!$AA$2:$AE$10000,MATCH(Z1795,'CAMD Facility Data 2023'!$AE$2:$AE$10000,0),1)&gt;0,INDEX('CAMD Facility Data 2023'!$AA$2:$AE$10000,MATCH(Z1795,'CAMD Facility Data 2023'!$AE$2:$AE$10000,0),1),"")</f>
        <v>37580</v>
      </c>
      <c r="AB1795" s="5">
        <f>IF(INDEX('CAMD Facility Data 2023'!$AC$2:$AE$10000,MATCH(Z1795,'CAMD Facility Data 2023'!$AE$2:$AE$10000,0),1)&gt;0,INDEX('CAMD Facility Data 2023'!$AC$2:$AE$10000,MATCH(Z1795,'CAMD Facility Data 2023'!$AE$2:$AE$10000,0),1),"")</f>
        <v>2000</v>
      </c>
      <c r="AC1795" s="1" t="str">
        <f>IF(INDEX('CAMD Facility Data 2023'!$AE$2:$AG$10000,MATCH(Z1795,'CAMD Facility Data 2023'!$AE$2:$AE$10000,0),3)&gt;0,INDEX('CAMD Facility Data 2023'!$AE$2:$AG$10000,MATCH(Z1795,'CAMD Facility Data 2023'!$AE$2:$AE$10000,0),3),"")</f>
        <v/>
      </c>
      <c r="AD1795" s="20">
        <f t="shared" ref="AD1795:AD1858" si="85">IF(ISNUMBER(O1795*2000/I1795),O1795*2000/I1795,"")</f>
        <v>0.33802004493898691</v>
      </c>
      <c r="AE1795" s="25">
        <f t="shared" ref="AE1795:AE1858" si="86">Q1795/(AB1795*8760)</f>
        <v>4.3198458675799092E-2</v>
      </c>
    </row>
    <row r="1796" spans="1:31" x14ac:dyDescent="0.2">
      <c r="A1796" s="1" t="s">
        <v>680</v>
      </c>
      <c r="B1796" s="1" t="s">
        <v>4298</v>
      </c>
      <c r="C1796" s="1">
        <v>7835</v>
      </c>
      <c r="D1796" s="1">
        <v>4</v>
      </c>
      <c r="F1796" s="1">
        <v>2023</v>
      </c>
      <c r="G1796" s="5">
        <v>424</v>
      </c>
      <c r="H1796" s="5">
        <v>380.36</v>
      </c>
      <c r="I1796" s="5">
        <v>61394.16</v>
      </c>
      <c r="K1796" s="5">
        <v>0.192</v>
      </c>
      <c r="L1796" s="5">
        <v>1E-3</v>
      </c>
      <c r="M1796" s="5">
        <v>38042.756999999998</v>
      </c>
      <c r="N1796" s="6">
        <v>5.8999999999999997E-2</v>
      </c>
      <c r="O1796" s="5">
        <v>11.324999999999999</v>
      </c>
      <c r="P1796" s="6">
        <v>4.0800000000000003E-2</v>
      </c>
      <c r="Q1796" s="5">
        <v>640126.88399999996</v>
      </c>
      <c r="R1796" s="1" t="s">
        <v>44</v>
      </c>
      <c r="T1796" s="1" t="s">
        <v>93</v>
      </c>
      <c r="V1796" s="1" t="s">
        <v>140</v>
      </c>
      <c r="Y1796" s="1" t="s">
        <v>1515</v>
      </c>
      <c r="Z1796" s="1" t="str">
        <f t="shared" si="84"/>
        <v>7835 4</v>
      </c>
      <c r="AA1796" s="3">
        <f>IF(INDEX('CAMD Facility Data 2023'!$AA$2:$AE$10000,MATCH(Z1796,'CAMD Facility Data 2023'!$AE$2:$AE$10000,0),1)&gt;0,INDEX('CAMD Facility Data 2023'!$AA$2:$AE$10000,MATCH(Z1796,'CAMD Facility Data 2023'!$AE$2:$AE$10000,0),1),"")</f>
        <v>37586</v>
      </c>
      <c r="AB1796" s="5">
        <f>IF(INDEX('CAMD Facility Data 2023'!$AC$2:$AE$10000,MATCH(Z1796,'CAMD Facility Data 2023'!$AE$2:$AE$10000,0),1)&gt;0,INDEX('CAMD Facility Data 2023'!$AC$2:$AE$10000,MATCH(Z1796,'CAMD Facility Data 2023'!$AE$2:$AE$10000,0),1),"")</f>
        <v>2000</v>
      </c>
      <c r="AC1796" s="1" t="str">
        <f>IF(INDEX('CAMD Facility Data 2023'!$AE$2:$AG$10000,MATCH(Z1796,'CAMD Facility Data 2023'!$AE$2:$AE$10000,0),3)&gt;0,INDEX('CAMD Facility Data 2023'!$AE$2:$AG$10000,MATCH(Z1796,'CAMD Facility Data 2023'!$AE$2:$AE$10000,0),3),"")</f>
        <v/>
      </c>
      <c r="AD1796" s="20">
        <f t="shared" si="85"/>
        <v>0.36892759832531302</v>
      </c>
      <c r="AE1796" s="25">
        <f t="shared" si="86"/>
        <v>3.6536922602739726E-2</v>
      </c>
    </row>
    <row r="1797" spans="1:31" x14ac:dyDescent="0.2">
      <c r="A1797" s="1" t="s">
        <v>3095</v>
      </c>
      <c r="B1797" s="1" t="s">
        <v>4307</v>
      </c>
      <c r="C1797" s="1">
        <v>7836</v>
      </c>
      <c r="D1797" s="1" t="s">
        <v>4308</v>
      </c>
      <c r="F1797" s="1">
        <v>2023</v>
      </c>
      <c r="G1797" s="5">
        <v>784</v>
      </c>
      <c r="H1797" s="5">
        <v>677.48</v>
      </c>
      <c r="I1797" s="5">
        <v>81165.48</v>
      </c>
      <c r="K1797" s="5">
        <v>0.26500000000000001</v>
      </c>
      <c r="L1797" s="5">
        <v>1E-3</v>
      </c>
      <c r="M1797" s="5">
        <v>52442.425999999999</v>
      </c>
      <c r="N1797" s="6">
        <v>5.9200000000000003E-2</v>
      </c>
      <c r="O1797" s="5">
        <v>16.084</v>
      </c>
      <c r="P1797" s="6">
        <v>4.8800000000000003E-2</v>
      </c>
      <c r="Q1797" s="5">
        <v>880896.33400000003</v>
      </c>
      <c r="R1797" s="1" t="s">
        <v>44</v>
      </c>
      <c r="S1797" s="1" t="s">
        <v>94</v>
      </c>
      <c r="T1797" s="1" t="s">
        <v>93</v>
      </c>
      <c r="V1797" s="1" t="s">
        <v>183</v>
      </c>
      <c r="Y1797" s="1" t="s">
        <v>1515</v>
      </c>
      <c r="Z1797" s="1" t="str">
        <f t="shared" si="84"/>
        <v>7836 EU1</v>
      </c>
      <c r="AA1797" s="3">
        <f>IF(INDEX('CAMD Facility Data 2023'!$AA$2:$AE$10000,MATCH(Z1797,'CAMD Facility Data 2023'!$AE$2:$AE$10000,0),1)&gt;0,INDEX('CAMD Facility Data 2023'!$AA$2:$AE$10000,MATCH(Z1797,'CAMD Facility Data 2023'!$AE$2:$AE$10000,0),1),"")</f>
        <v>38196</v>
      </c>
      <c r="AB1797" s="5">
        <f>IF(INDEX('CAMD Facility Data 2023'!$AC$2:$AE$10000,MATCH(Z1797,'CAMD Facility Data 2023'!$AE$2:$AE$10000,0),1)&gt;0,INDEX('CAMD Facility Data 2023'!$AC$2:$AE$10000,MATCH(Z1797,'CAMD Facility Data 2023'!$AE$2:$AE$10000,0),1),"")</f>
        <v>2400</v>
      </c>
      <c r="AC1797" s="1" t="str">
        <f>IF(INDEX('CAMD Facility Data 2023'!$AE$2:$AG$10000,MATCH(Z1797,'CAMD Facility Data 2023'!$AE$2:$AE$10000,0),3)&gt;0,INDEX('CAMD Facility Data 2023'!$AE$2:$AG$10000,MATCH(Z1797,'CAMD Facility Data 2023'!$AE$2:$AE$10000,0),3),"")</f>
        <v/>
      </c>
      <c r="AD1797" s="20">
        <f t="shared" si="85"/>
        <v>0.39632612287883967</v>
      </c>
      <c r="AE1797" s="25">
        <f t="shared" si="86"/>
        <v>4.1899559265601218E-2</v>
      </c>
    </row>
    <row r="1798" spans="1:31" x14ac:dyDescent="0.2">
      <c r="A1798" s="1" t="s">
        <v>3095</v>
      </c>
      <c r="B1798" s="1" t="s">
        <v>4307</v>
      </c>
      <c r="C1798" s="1">
        <v>7836</v>
      </c>
      <c r="D1798" s="1" t="s">
        <v>4313</v>
      </c>
      <c r="F1798" s="1">
        <v>2023</v>
      </c>
      <c r="G1798" s="5">
        <v>649</v>
      </c>
      <c r="H1798" s="5">
        <v>553.16999999999996</v>
      </c>
      <c r="I1798" s="5">
        <v>65204.73</v>
      </c>
      <c r="K1798" s="5">
        <v>0.215</v>
      </c>
      <c r="L1798" s="5">
        <v>1E-3</v>
      </c>
      <c r="M1798" s="5">
        <v>42623.65</v>
      </c>
      <c r="N1798" s="6">
        <v>5.9200000000000003E-2</v>
      </c>
      <c r="O1798" s="5">
        <v>12.827999999999999</v>
      </c>
      <c r="P1798" s="6">
        <v>4.9700000000000001E-2</v>
      </c>
      <c r="Q1798" s="5">
        <v>716042.14099999995</v>
      </c>
      <c r="R1798" s="1" t="s">
        <v>44</v>
      </c>
      <c r="S1798" s="1" t="s">
        <v>94</v>
      </c>
      <c r="T1798" s="1" t="s">
        <v>93</v>
      </c>
      <c r="V1798" s="1" t="s">
        <v>183</v>
      </c>
      <c r="Y1798" s="1" t="s">
        <v>1515</v>
      </c>
      <c r="Z1798" s="1" t="str">
        <f t="shared" si="84"/>
        <v>7836 EU2</v>
      </c>
      <c r="AA1798" s="3">
        <f>IF(INDEX('CAMD Facility Data 2023'!$AA$2:$AE$10000,MATCH(Z1798,'CAMD Facility Data 2023'!$AE$2:$AE$10000,0),1)&gt;0,INDEX('CAMD Facility Data 2023'!$AA$2:$AE$10000,MATCH(Z1798,'CAMD Facility Data 2023'!$AE$2:$AE$10000,0),1),"")</f>
        <v>38168</v>
      </c>
      <c r="AB1798" s="5">
        <f>IF(INDEX('CAMD Facility Data 2023'!$AC$2:$AE$10000,MATCH(Z1798,'CAMD Facility Data 2023'!$AE$2:$AE$10000,0),1)&gt;0,INDEX('CAMD Facility Data 2023'!$AC$2:$AE$10000,MATCH(Z1798,'CAMD Facility Data 2023'!$AE$2:$AE$10000,0),1),"")</f>
        <v>2400</v>
      </c>
      <c r="AC1798" s="1" t="str">
        <f>IF(INDEX('CAMD Facility Data 2023'!$AE$2:$AG$10000,MATCH(Z1798,'CAMD Facility Data 2023'!$AE$2:$AE$10000,0),3)&gt;0,INDEX('CAMD Facility Data 2023'!$AE$2:$AG$10000,MATCH(Z1798,'CAMD Facility Data 2023'!$AE$2:$AE$10000,0),3),"")</f>
        <v/>
      </c>
      <c r="AD1798" s="20">
        <f t="shared" si="85"/>
        <v>0.39346838795283712</v>
      </c>
      <c r="AE1798" s="25">
        <f t="shared" si="86"/>
        <v>3.4058321014079143E-2</v>
      </c>
    </row>
    <row r="1799" spans="1:31" x14ac:dyDescent="0.2">
      <c r="A1799" s="1" t="s">
        <v>3095</v>
      </c>
      <c r="B1799" s="1" t="s">
        <v>4307</v>
      </c>
      <c r="C1799" s="1">
        <v>7836</v>
      </c>
      <c r="D1799" s="1" t="s">
        <v>4315</v>
      </c>
      <c r="F1799" s="1">
        <v>2023</v>
      </c>
      <c r="G1799" s="5">
        <v>742</v>
      </c>
      <c r="H1799" s="5">
        <v>624.79999999999995</v>
      </c>
      <c r="I1799" s="5">
        <v>74523.48</v>
      </c>
      <c r="K1799" s="5">
        <v>0.24399999999999999</v>
      </c>
      <c r="L1799" s="5">
        <v>1E-3</v>
      </c>
      <c r="M1799" s="5">
        <v>48303.557999999997</v>
      </c>
      <c r="N1799" s="6">
        <v>5.91E-2</v>
      </c>
      <c r="O1799" s="5">
        <v>13.624000000000001</v>
      </c>
      <c r="P1799" s="6">
        <v>4.7699999999999999E-2</v>
      </c>
      <c r="Q1799" s="5">
        <v>812664.23800000001</v>
      </c>
      <c r="R1799" s="1" t="s">
        <v>44</v>
      </c>
      <c r="S1799" s="1" t="s">
        <v>94</v>
      </c>
      <c r="T1799" s="1" t="s">
        <v>93</v>
      </c>
      <c r="V1799" s="1" t="s">
        <v>183</v>
      </c>
      <c r="Y1799" s="1" t="s">
        <v>1515</v>
      </c>
      <c r="Z1799" s="1" t="str">
        <f t="shared" si="84"/>
        <v>7836 EU3</v>
      </c>
      <c r="AA1799" s="3">
        <f>IF(INDEX('CAMD Facility Data 2023'!$AA$2:$AE$10000,MATCH(Z1799,'CAMD Facility Data 2023'!$AE$2:$AE$10000,0),1)&gt;0,INDEX('CAMD Facility Data 2023'!$AA$2:$AE$10000,MATCH(Z1799,'CAMD Facility Data 2023'!$AE$2:$AE$10000,0),1),"")</f>
        <v>38165</v>
      </c>
      <c r="AB1799" s="5">
        <f>IF(INDEX('CAMD Facility Data 2023'!$AC$2:$AE$10000,MATCH(Z1799,'CAMD Facility Data 2023'!$AE$2:$AE$10000,0),1)&gt;0,INDEX('CAMD Facility Data 2023'!$AC$2:$AE$10000,MATCH(Z1799,'CAMD Facility Data 2023'!$AE$2:$AE$10000,0),1),"")</f>
        <v>2400</v>
      </c>
      <c r="AC1799" s="1" t="str">
        <f>IF(INDEX('CAMD Facility Data 2023'!$AE$2:$AG$10000,MATCH(Z1799,'CAMD Facility Data 2023'!$AE$2:$AE$10000,0),3)&gt;0,INDEX('CAMD Facility Data 2023'!$AE$2:$AG$10000,MATCH(Z1799,'CAMD Facility Data 2023'!$AE$2:$AE$10000,0),3),"")</f>
        <v/>
      </c>
      <c r="AD1799" s="20">
        <f t="shared" si="85"/>
        <v>0.36562973173018759</v>
      </c>
      <c r="AE1799" s="25">
        <f t="shared" si="86"/>
        <v>3.8654120909436832E-2</v>
      </c>
    </row>
    <row r="1800" spans="1:31" x14ac:dyDescent="0.2">
      <c r="A1800" s="1" t="s">
        <v>3095</v>
      </c>
      <c r="B1800" s="1" t="s">
        <v>4317</v>
      </c>
      <c r="C1800" s="1">
        <v>7837</v>
      </c>
      <c r="D1800" s="1" t="s">
        <v>4308</v>
      </c>
      <c r="F1800" s="1">
        <v>2023</v>
      </c>
      <c r="G1800" s="5">
        <v>766</v>
      </c>
      <c r="H1800" s="5">
        <v>665.09</v>
      </c>
      <c r="I1800" s="5">
        <v>39334.85</v>
      </c>
      <c r="K1800" s="5">
        <v>0.154</v>
      </c>
      <c r="L1800" s="5">
        <v>1E-3</v>
      </c>
      <c r="M1800" s="5">
        <v>30142.575000000001</v>
      </c>
      <c r="N1800" s="6">
        <v>5.91E-2</v>
      </c>
      <c r="O1800" s="5">
        <v>8.3729999999999993</v>
      </c>
      <c r="P1800" s="6">
        <v>4.0899999999999999E-2</v>
      </c>
      <c r="Q1800" s="5">
        <v>507040.89899999998</v>
      </c>
      <c r="R1800" s="1" t="s">
        <v>44</v>
      </c>
      <c r="S1800" s="1" t="s">
        <v>94</v>
      </c>
      <c r="T1800" s="1" t="s">
        <v>93</v>
      </c>
      <c r="V1800" s="1" t="s">
        <v>183</v>
      </c>
      <c r="Y1800" s="1" t="s">
        <v>1515</v>
      </c>
      <c r="Z1800" s="1" t="str">
        <f t="shared" si="84"/>
        <v>7837 EU1</v>
      </c>
      <c r="AA1800" s="3">
        <f>IF(INDEX('CAMD Facility Data 2023'!$AA$2:$AE$10000,MATCH(Z1800,'CAMD Facility Data 2023'!$AE$2:$AE$10000,0),1)&gt;0,INDEX('CAMD Facility Data 2023'!$AA$2:$AE$10000,MATCH(Z1800,'CAMD Facility Data 2023'!$AE$2:$AE$10000,0),1),"")</f>
        <v>37762</v>
      </c>
      <c r="AB1800" s="5">
        <f>IF(INDEX('CAMD Facility Data 2023'!$AC$2:$AE$10000,MATCH(Z1800,'CAMD Facility Data 2023'!$AE$2:$AE$10000,0),1)&gt;0,INDEX('CAMD Facility Data 2023'!$AC$2:$AE$10000,MATCH(Z1800,'CAMD Facility Data 2023'!$AE$2:$AE$10000,0),1),"")</f>
        <v>1300</v>
      </c>
      <c r="AC1800" s="1" t="str">
        <f>IF(INDEX('CAMD Facility Data 2023'!$AE$2:$AG$10000,MATCH(Z1800,'CAMD Facility Data 2023'!$AE$2:$AE$10000,0),3)&gt;0,INDEX('CAMD Facility Data 2023'!$AE$2:$AG$10000,MATCH(Z1800,'CAMD Facility Data 2023'!$AE$2:$AE$10000,0),3),"")</f>
        <v/>
      </c>
      <c r="AD1800" s="20">
        <f t="shared" si="85"/>
        <v>0.42572934687687891</v>
      </c>
      <c r="AE1800" s="25">
        <f t="shared" si="86"/>
        <v>4.452413935721812E-2</v>
      </c>
    </row>
    <row r="1801" spans="1:31" x14ac:dyDescent="0.2">
      <c r="A1801" s="1" t="s">
        <v>3095</v>
      </c>
      <c r="B1801" s="1" t="s">
        <v>4317</v>
      </c>
      <c r="C1801" s="1">
        <v>7837</v>
      </c>
      <c r="D1801" s="1" t="s">
        <v>4313</v>
      </c>
      <c r="F1801" s="1">
        <v>2023</v>
      </c>
      <c r="G1801" s="5">
        <v>718</v>
      </c>
      <c r="H1801" s="5">
        <v>621.17999999999995</v>
      </c>
      <c r="I1801" s="5">
        <v>36932.54</v>
      </c>
      <c r="K1801" s="5">
        <v>0.13800000000000001</v>
      </c>
      <c r="L1801" s="5">
        <v>1E-3</v>
      </c>
      <c r="M1801" s="5">
        <v>26672.059000000001</v>
      </c>
      <c r="N1801" s="6">
        <v>5.9200000000000003E-2</v>
      </c>
      <c r="O1801" s="5">
        <v>7.1589999999999998</v>
      </c>
      <c r="P1801" s="6">
        <v>0.04</v>
      </c>
      <c r="Q1801" s="5">
        <v>448464.527</v>
      </c>
      <c r="R1801" s="1" t="s">
        <v>44</v>
      </c>
      <c r="S1801" s="1" t="s">
        <v>94</v>
      </c>
      <c r="T1801" s="1" t="s">
        <v>93</v>
      </c>
      <c r="V1801" s="1" t="s">
        <v>183</v>
      </c>
      <c r="Y1801" s="1" t="s">
        <v>1515</v>
      </c>
      <c r="Z1801" s="1" t="str">
        <f t="shared" si="84"/>
        <v>7837 EU2</v>
      </c>
      <c r="AA1801" s="3">
        <f>IF(INDEX('CAMD Facility Data 2023'!$AA$2:$AE$10000,MATCH(Z1801,'CAMD Facility Data 2023'!$AE$2:$AE$10000,0),1)&gt;0,INDEX('CAMD Facility Data 2023'!$AA$2:$AE$10000,MATCH(Z1801,'CAMD Facility Data 2023'!$AE$2:$AE$10000,0),1),"")</f>
        <v>37697</v>
      </c>
      <c r="AB1801" s="5">
        <f>IF(INDEX('CAMD Facility Data 2023'!$AC$2:$AE$10000,MATCH(Z1801,'CAMD Facility Data 2023'!$AE$2:$AE$10000,0),1)&gt;0,INDEX('CAMD Facility Data 2023'!$AC$2:$AE$10000,MATCH(Z1801,'CAMD Facility Data 2023'!$AE$2:$AE$10000,0),1),"")</f>
        <v>1300</v>
      </c>
      <c r="AC1801" s="1" t="str">
        <f>IF(INDEX('CAMD Facility Data 2023'!$AE$2:$AG$10000,MATCH(Z1801,'CAMD Facility Data 2023'!$AE$2:$AE$10000,0),3)&gt;0,INDEX('CAMD Facility Data 2023'!$AE$2:$AG$10000,MATCH(Z1801,'CAMD Facility Data 2023'!$AE$2:$AE$10000,0),3),"")</f>
        <v/>
      </c>
      <c r="AD1801" s="20">
        <f t="shared" si="85"/>
        <v>0.38767980756265341</v>
      </c>
      <c r="AE1801" s="25">
        <f t="shared" si="86"/>
        <v>3.9380446698278893E-2</v>
      </c>
    </row>
    <row r="1802" spans="1:31" x14ac:dyDescent="0.2">
      <c r="A1802" s="1" t="s">
        <v>3095</v>
      </c>
      <c r="B1802" s="1" t="s">
        <v>4317</v>
      </c>
      <c r="C1802" s="1">
        <v>7837</v>
      </c>
      <c r="D1802" s="1" t="s">
        <v>4315</v>
      </c>
      <c r="F1802" s="1">
        <v>2023</v>
      </c>
      <c r="G1802" s="5">
        <v>788</v>
      </c>
      <c r="H1802" s="5">
        <v>688.62</v>
      </c>
      <c r="I1802" s="5">
        <v>40958.089999999997</v>
      </c>
      <c r="K1802" s="5">
        <v>0.152</v>
      </c>
      <c r="L1802" s="5">
        <v>1E-3</v>
      </c>
      <c r="M1802" s="5">
        <v>29860.671999999999</v>
      </c>
      <c r="N1802" s="6">
        <v>5.9200000000000003E-2</v>
      </c>
      <c r="O1802" s="5">
        <v>7.9189999999999996</v>
      </c>
      <c r="P1802" s="6">
        <v>4.1000000000000002E-2</v>
      </c>
      <c r="Q1802" s="5">
        <v>502353.15899999999</v>
      </c>
      <c r="R1802" s="1" t="s">
        <v>44</v>
      </c>
      <c r="S1802" s="1" t="s">
        <v>94</v>
      </c>
      <c r="T1802" s="1" t="s">
        <v>93</v>
      </c>
      <c r="V1802" s="1" t="s">
        <v>183</v>
      </c>
      <c r="Y1802" s="1" t="s">
        <v>1515</v>
      </c>
      <c r="Z1802" s="1" t="str">
        <f t="shared" si="84"/>
        <v>7837 EU3</v>
      </c>
      <c r="AA1802" s="3">
        <f>IF(INDEX('CAMD Facility Data 2023'!$AA$2:$AE$10000,MATCH(Z1802,'CAMD Facility Data 2023'!$AE$2:$AE$10000,0),1)&gt;0,INDEX('CAMD Facility Data 2023'!$AA$2:$AE$10000,MATCH(Z1802,'CAMD Facility Data 2023'!$AE$2:$AE$10000,0),1),"")</f>
        <v>37712</v>
      </c>
      <c r="AB1802" s="5">
        <f>IF(INDEX('CAMD Facility Data 2023'!$AC$2:$AE$10000,MATCH(Z1802,'CAMD Facility Data 2023'!$AE$2:$AE$10000,0),1)&gt;0,INDEX('CAMD Facility Data 2023'!$AC$2:$AE$10000,MATCH(Z1802,'CAMD Facility Data 2023'!$AE$2:$AE$10000,0),1),"")</f>
        <v>1300</v>
      </c>
      <c r="AC1802" s="1" t="str">
        <f>IF(INDEX('CAMD Facility Data 2023'!$AE$2:$AG$10000,MATCH(Z1802,'CAMD Facility Data 2023'!$AE$2:$AE$10000,0),3)&gt;0,INDEX('CAMD Facility Data 2023'!$AE$2:$AG$10000,MATCH(Z1802,'CAMD Facility Data 2023'!$AE$2:$AE$10000,0),3),"")</f>
        <v/>
      </c>
      <c r="AD1802" s="20">
        <f t="shared" si="85"/>
        <v>0.38668795346658014</v>
      </c>
      <c r="AE1802" s="25">
        <f t="shared" si="86"/>
        <v>4.4112500790305584E-2</v>
      </c>
    </row>
    <row r="1803" spans="1:31" x14ac:dyDescent="0.2">
      <c r="A1803" s="1" t="s">
        <v>3095</v>
      </c>
      <c r="B1803" s="1" t="s">
        <v>4317</v>
      </c>
      <c r="C1803" s="1">
        <v>7837</v>
      </c>
      <c r="D1803" s="1" t="s">
        <v>4322</v>
      </c>
      <c r="F1803" s="1">
        <v>2023</v>
      </c>
      <c r="G1803" s="5">
        <v>900</v>
      </c>
      <c r="H1803" s="5">
        <v>780.47</v>
      </c>
      <c r="I1803" s="5">
        <v>46666.29</v>
      </c>
      <c r="K1803" s="5">
        <v>0.17299999999999999</v>
      </c>
      <c r="L1803" s="5">
        <v>1E-3</v>
      </c>
      <c r="M1803" s="5">
        <v>33853.294000000002</v>
      </c>
      <c r="N1803" s="6">
        <v>5.9299999999999999E-2</v>
      </c>
      <c r="O1803" s="5">
        <v>8.6579999999999995</v>
      </c>
      <c r="P1803" s="6">
        <v>3.9600000000000003E-2</v>
      </c>
      <c r="Q1803" s="5">
        <v>569368.62600000005</v>
      </c>
      <c r="R1803" s="1" t="s">
        <v>44</v>
      </c>
      <c r="S1803" s="1" t="s">
        <v>94</v>
      </c>
      <c r="T1803" s="1" t="s">
        <v>93</v>
      </c>
      <c r="V1803" s="1" t="s">
        <v>183</v>
      </c>
      <c r="Y1803" s="1" t="s">
        <v>1515</v>
      </c>
      <c r="Z1803" s="1" t="str">
        <f t="shared" si="84"/>
        <v>7837 EU4</v>
      </c>
      <c r="AA1803" s="3">
        <f>IF(INDEX('CAMD Facility Data 2023'!$AA$2:$AE$10000,MATCH(Z1803,'CAMD Facility Data 2023'!$AE$2:$AE$10000,0),1)&gt;0,INDEX('CAMD Facility Data 2023'!$AA$2:$AE$10000,MATCH(Z1803,'CAMD Facility Data 2023'!$AE$2:$AE$10000,0),1),"")</f>
        <v>37726</v>
      </c>
      <c r="AB1803" s="5">
        <f>IF(INDEX('CAMD Facility Data 2023'!$AC$2:$AE$10000,MATCH(Z1803,'CAMD Facility Data 2023'!$AE$2:$AE$10000,0),1)&gt;0,INDEX('CAMD Facility Data 2023'!$AC$2:$AE$10000,MATCH(Z1803,'CAMD Facility Data 2023'!$AE$2:$AE$10000,0),1),"")</f>
        <v>1300</v>
      </c>
      <c r="AC1803" s="1" t="str">
        <f>IF(INDEX('CAMD Facility Data 2023'!$AE$2:$AG$10000,MATCH(Z1803,'CAMD Facility Data 2023'!$AE$2:$AE$10000,0),3)&gt;0,INDEX('CAMD Facility Data 2023'!$AE$2:$AG$10000,MATCH(Z1803,'CAMD Facility Data 2023'!$AE$2:$AE$10000,0),3),"")</f>
        <v/>
      </c>
      <c r="AD1803" s="20">
        <f t="shared" si="85"/>
        <v>0.37106013784254116</v>
      </c>
      <c r="AE1803" s="25">
        <f t="shared" si="86"/>
        <v>4.9997244994731301E-2</v>
      </c>
    </row>
    <row r="1804" spans="1:31" x14ac:dyDescent="0.2">
      <c r="A1804" s="1" t="s">
        <v>3095</v>
      </c>
      <c r="B1804" s="1" t="s">
        <v>4317</v>
      </c>
      <c r="C1804" s="1">
        <v>7837</v>
      </c>
      <c r="D1804" s="1" t="s">
        <v>4324</v>
      </c>
      <c r="F1804" s="1">
        <v>2023</v>
      </c>
      <c r="G1804" s="5">
        <v>789</v>
      </c>
      <c r="H1804" s="5">
        <v>680.17</v>
      </c>
      <c r="I1804" s="5">
        <v>81653.81</v>
      </c>
      <c r="K1804" s="5">
        <v>0.28100000000000003</v>
      </c>
      <c r="L1804" s="5">
        <v>1E-3</v>
      </c>
      <c r="M1804" s="5">
        <v>52703.82</v>
      </c>
      <c r="N1804" s="6">
        <v>5.9299999999999999E-2</v>
      </c>
      <c r="O1804" s="5">
        <v>15.686</v>
      </c>
      <c r="P1804" s="6">
        <v>4.7600000000000003E-2</v>
      </c>
      <c r="Q1804" s="5">
        <v>885349.29399999999</v>
      </c>
      <c r="R1804" s="1" t="s">
        <v>44</v>
      </c>
      <c r="S1804" s="1" t="s">
        <v>94</v>
      </c>
      <c r="T1804" s="1" t="s">
        <v>93</v>
      </c>
      <c r="V1804" s="1" t="s">
        <v>183</v>
      </c>
      <c r="Y1804" s="1" t="s">
        <v>1515</v>
      </c>
      <c r="Z1804" s="1" t="str">
        <f t="shared" si="84"/>
        <v>7837 EU5</v>
      </c>
      <c r="AA1804" s="3">
        <f>IF(INDEX('CAMD Facility Data 2023'!$AA$2:$AE$10000,MATCH(Z1804,'CAMD Facility Data 2023'!$AE$2:$AE$10000,0),1)&gt;0,INDEX('CAMD Facility Data 2023'!$AA$2:$AE$10000,MATCH(Z1804,'CAMD Facility Data 2023'!$AE$2:$AE$10000,0),1),"")</f>
        <v>37815</v>
      </c>
      <c r="AB1804" s="5">
        <f>IF(INDEX('CAMD Facility Data 2023'!$AC$2:$AE$10000,MATCH(Z1804,'CAMD Facility Data 2023'!$AE$2:$AE$10000,0),1)&gt;0,INDEX('CAMD Facility Data 2023'!$AC$2:$AE$10000,MATCH(Z1804,'CAMD Facility Data 2023'!$AE$2:$AE$10000,0),1),"")</f>
        <v>2400</v>
      </c>
      <c r="AC1804" s="1" t="str">
        <f>IF(INDEX('CAMD Facility Data 2023'!$AE$2:$AG$10000,MATCH(Z1804,'CAMD Facility Data 2023'!$AE$2:$AE$10000,0),3)&gt;0,INDEX('CAMD Facility Data 2023'!$AE$2:$AG$10000,MATCH(Z1804,'CAMD Facility Data 2023'!$AE$2:$AE$10000,0),3),"")</f>
        <v/>
      </c>
      <c r="AD1804" s="20">
        <f t="shared" si="85"/>
        <v>0.38420742400140301</v>
      </c>
      <c r="AE1804" s="25">
        <f t="shared" si="86"/>
        <v>4.2111362918569255E-2</v>
      </c>
    </row>
    <row r="1805" spans="1:31" x14ac:dyDescent="0.2">
      <c r="A1805" s="1" t="s">
        <v>3095</v>
      </c>
      <c r="B1805" s="1" t="s">
        <v>4326</v>
      </c>
      <c r="C1805" s="1">
        <v>7838</v>
      </c>
      <c r="D1805" s="1">
        <v>1</v>
      </c>
      <c r="F1805" s="1">
        <v>2023</v>
      </c>
      <c r="G1805" s="5">
        <v>1003</v>
      </c>
      <c r="H1805" s="5">
        <v>893.18</v>
      </c>
      <c r="I1805" s="5">
        <v>115920.68</v>
      </c>
      <c r="K1805" s="5">
        <v>0.35799999999999998</v>
      </c>
      <c r="L1805" s="5">
        <v>1E-3</v>
      </c>
      <c r="M1805" s="5">
        <v>66796.114000000001</v>
      </c>
      <c r="N1805" s="6">
        <v>5.91E-2</v>
      </c>
      <c r="O1805" s="5">
        <v>16.39</v>
      </c>
      <c r="P1805" s="6">
        <v>3.39E-2</v>
      </c>
      <c r="Q1805" s="5">
        <v>1123286.0819999999</v>
      </c>
      <c r="R1805" s="1" t="s">
        <v>44</v>
      </c>
      <c r="S1805" s="1" t="s">
        <v>94</v>
      </c>
      <c r="T1805" s="1" t="s">
        <v>93</v>
      </c>
      <c r="V1805" s="1" t="s">
        <v>183</v>
      </c>
      <c r="Y1805" s="1" t="s">
        <v>1515</v>
      </c>
      <c r="Z1805" s="1" t="str">
        <f t="shared" si="84"/>
        <v>7838 1</v>
      </c>
      <c r="AA1805" s="3">
        <f>IF(INDEX('CAMD Facility Data 2023'!$AA$2:$AE$10000,MATCH(Z1805,'CAMD Facility Data 2023'!$AE$2:$AE$10000,0),1)&gt;0,INDEX('CAMD Facility Data 2023'!$AA$2:$AE$10000,MATCH(Z1805,'CAMD Facility Data 2023'!$AE$2:$AE$10000,0),1),"")</f>
        <v>36716</v>
      </c>
      <c r="AB1805" s="5">
        <f>IF(INDEX('CAMD Facility Data 2023'!$AC$2:$AE$10000,MATCH(Z1805,'CAMD Facility Data 2023'!$AE$2:$AE$10000,0),1)&gt;0,INDEX('CAMD Facility Data 2023'!$AC$2:$AE$10000,MATCH(Z1805,'CAMD Facility Data 2023'!$AE$2:$AE$10000,0),1),"")</f>
        <v>2223</v>
      </c>
      <c r="AC1805" s="1" t="str">
        <f>IF(INDEX('CAMD Facility Data 2023'!$AE$2:$AG$10000,MATCH(Z1805,'CAMD Facility Data 2023'!$AE$2:$AE$10000,0),3)&gt;0,INDEX('CAMD Facility Data 2023'!$AE$2:$AG$10000,MATCH(Z1805,'CAMD Facility Data 2023'!$AE$2:$AE$10000,0),3),"")</f>
        <v/>
      </c>
      <c r="AD1805" s="20">
        <f t="shared" si="85"/>
        <v>0.28277956961605127</v>
      </c>
      <c r="AE1805" s="25">
        <f t="shared" si="86"/>
        <v>5.7682863155429843E-2</v>
      </c>
    </row>
    <row r="1806" spans="1:31" x14ac:dyDescent="0.2">
      <c r="A1806" s="1" t="s">
        <v>3095</v>
      </c>
      <c r="B1806" s="1" t="s">
        <v>4326</v>
      </c>
      <c r="C1806" s="1">
        <v>7838</v>
      </c>
      <c r="D1806" s="1">
        <v>2</v>
      </c>
      <c r="F1806" s="1">
        <v>2023</v>
      </c>
      <c r="G1806" s="5">
        <v>81</v>
      </c>
      <c r="H1806" s="5">
        <v>64.72</v>
      </c>
      <c r="I1806" s="5">
        <v>8523.11</v>
      </c>
      <c r="K1806" s="5">
        <v>0.14199999999999999</v>
      </c>
      <c r="L1806" s="5">
        <v>3.8999999999999998E-3</v>
      </c>
      <c r="M1806" s="5">
        <v>5460.1779999999999</v>
      </c>
      <c r="N1806" s="6">
        <v>6.1699999999999998E-2</v>
      </c>
      <c r="O1806" s="5">
        <v>2.3780000000000001</v>
      </c>
      <c r="P1806" s="6">
        <v>7.0900000000000005E-2</v>
      </c>
      <c r="Q1806" s="5">
        <v>88359.218999999997</v>
      </c>
      <c r="R1806" s="1" t="s">
        <v>44</v>
      </c>
      <c r="S1806" s="1" t="s">
        <v>94</v>
      </c>
      <c r="T1806" s="1" t="s">
        <v>93</v>
      </c>
      <c r="V1806" s="1" t="s">
        <v>183</v>
      </c>
      <c r="Y1806" s="1" t="s">
        <v>1515</v>
      </c>
      <c r="Z1806" s="1" t="str">
        <f t="shared" si="84"/>
        <v>7838 2</v>
      </c>
      <c r="AA1806" s="3">
        <f>IF(INDEX('CAMD Facility Data 2023'!$AA$2:$AE$10000,MATCH(Z1806,'CAMD Facility Data 2023'!$AE$2:$AE$10000,0),1)&gt;0,INDEX('CAMD Facility Data 2023'!$AA$2:$AE$10000,MATCH(Z1806,'CAMD Facility Data 2023'!$AE$2:$AE$10000,0),1),"")</f>
        <v>36717</v>
      </c>
      <c r="AB1806" s="5">
        <f>IF(INDEX('CAMD Facility Data 2023'!$AC$2:$AE$10000,MATCH(Z1806,'CAMD Facility Data 2023'!$AE$2:$AE$10000,0),1)&gt;0,INDEX('CAMD Facility Data 2023'!$AC$2:$AE$10000,MATCH(Z1806,'CAMD Facility Data 2023'!$AE$2:$AE$10000,0),1),"")</f>
        <v>1985</v>
      </c>
      <c r="AC1806" s="1" t="str">
        <f>IF(INDEX('CAMD Facility Data 2023'!$AE$2:$AG$10000,MATCH(Z1806,'CAMD Facility Data 2023'!$AE$2:$AE$10000,0),3)&gt;0,INDEX('CAMD Facility Data 2023'!$AE$2:$AG$10000,MATCH(Z1806,'CAMD Facility Data 2023'!$AE$2:$AE$10000,0),3),"")</f>
        <v/>
      </c>
      <c r="AD1806" s="20">
        <f t="shared" si="85"/>
        <v>0.55801227486211014</v>
      </c>
      <c r="AE1806" s="25">
        <f t="shared" si="86"/>
        <v>5.0814452572374999E-3</v>
      </c>
    </row>
    <row r="1807" spans="1:31" x14ac:dyDescent="0.2">
      <c r="A1807" s="1" t="s">
        <v>3095</v>
      </c>
      <c r="B1807" s="1" t="s">
        <v>4326</v>
      </c>
      <c r="C1807" s="1">
        <v>7838</v>
      </c>
      <c r="D1807" s="1">
        <v>3</v>
      </c>
      <c r="F1807" s="1">
        <v>2023</v>
      </c>
      <c r="G1807" s="5">
        <v>560</v>
      </c>
      <c r="H1807" s="5">
        <v>488.25</v>
      </c>
      <c r="I1807" s="5">
        <v>60756.18</v>
      </c>
      <c r="K1807" s="5">
        <v>0.30299999999999999</v>
      </c>
      <c r="L1807" s="5">
        <v>1.2999999999999999E-3</v>
      </c>
      <c r="M1807" s="5">
        <v>38146.953999999998</v>
      </c>
      <c r="N1807" s="6">
        <v>5.9400000000000001E-2</v>
      </c>
      <c r="O1807" s="5">
        <v>9.7859999999999996</v>
      </c>
      <c r="P1807" s="6">
        <v>3.7699999999999997E-2</v>
      </c>
      <c r="Q1807" s="5">
        <v>638510.33400000003</v>
      </c>
      <c r="R1807" s="1" t="s">
        <v>44</v>
      </c>
      <c r="S1807" s="1" t="s">
        <v>94</v>
      </c>
      <c r="T1807" s="1" t="s">
        <v>93</v>
      </c>
      <c r="V1807" s="1" t="s">
        <v>183</v>
      </c>
      <c r="Y1807" s="1" t="s">
        <v>1515</v>
      </c>
      <c r="Z1807" s="1" t="str">
        <f t="shared" si="84"/>
        <v>7838 3</v>
      </c>
      <c r="AA1807" s="3">
        <f>IF(INDEX('CAMD Facility Data 2023'!$AA$2:$AE$10000,MATCH(Z1807,'CAMD Facility Data 2023'!$AE$2:$AE$10000,0),1)&gt;0,INDEX('CAMD Facility Data 2023'!$AA$2:$AE$10000,MATCH(Z1807,'CAMD Facility Data 2023'!$AE$2:$AE$10000,0),1),"")</f>
        <v>36712</v>
      </c>
      <c r="AB1807" s="5">
        <f>IF(INDEX('CAMD Facility Data 2023'!$AC$2:$AE$10000,MATCH(Z1807,'CAMD Facility Data 2023'!$AE$2:$AE$10000,0),1)&gt;0,INDEX('CAMD Facility Data 2023'!$AC$2:$AE$10000,MATCH(Z1807,'CAMD Facility Data 2023'!$AE$2:$AE$10000,0),1),"")</f>
        <v>2223</v>
      </c>
      <c r="AC1807" s="1" t="str">
        <f>IF(INDEX('CAMD Facility Data 2023'!$AE$2:$AG$10000,MATCH(Z1807,'CAMD Facility Data 2023'!$AE$2:$AE$10000,0),3)&gt;0,INDEX('CAMD Facility Data 2023'!$AE$2:$AG$10000,MATCH(Z1807,'CAMD Facility Data 2023'!$AE$2:$AE$10000,0),3),"")</f>
        <v/>
      </c>
      <c r="AD1807" s="20">
        <f t="shared" si="85"/>
        <v>0.32214006871399747</v>
      </c>
      <c r="AE1807" s="25">
        <f t="shared" si="86"/>
        <v>3.2788712341091576E-2</v>
      </c>
    </row>
    <row r="1808" spans="1:31" x14ac:dyDescent="0.2">
      <c r="A1808" s="1" t="s">
        <v>3095</v>
      </c>
      <c r="B1808" s="1" t="s">
        <v>4326</v>
      </c>
      <c r="C1808" s="1">
        <v>7838</v>
      </c>
      <c r="D1808" s="1">
        <v>4</v>
      </c>
      <c r="F1808" s="1">
        <v>2023</v>
      </c>
      <c r="G1808" s="5">
        <v>1100</v>
      </c>
      <c r="H1808" s="5">
        <v>978.47</v>
      </c>
      <c r="I1808" s="5">
        <v>123591.03999999999</v>
      </c>
      <c r="K1808" s="5">
        <v>0.91</v>
      </c>
      <c r="L1808" s="5">
        <v>1.6999999999999999E-3</v>
      </c>
      <c r="M1808" s="5">
        <v>72115.644</v>
      </c>
      <c r="N1808" s="6">
        <v>5.9700000000000003E-2</v>
      </c>
      <c r="O1808" s="5">
        <v>20.515000000000001</v>
      </c>
      <c r="P1808" s="6">
        <v>3.9399999999999998E-2</v>
      </c>
      <c r="Q1808" s="5">
        <v>1196715.4779999999</v>
      </c>
      <c r="R1808" s="1" t="s">
        <v>44</v>
      </c>
      <c r="S1808" s="1" t="s">
        <v>94</v>
      </c>
      <c r="T1808" s="1" t="s">
        <v>93</v>
      </c>
      <c r="V1808" s="1" t="s">
        <v>183</v>
      </c>
      <c r="Y1808" s="1" t="s">
        <v>1515</v>
      </c>
      <c r="Z1808" s="1" t="str">
        <f t="shared" si="84"/>
        <v>7838 4</v>
      </c>
      <c r="AA1808" s="3">
        <f>IF(INDEX('CAMD Facility Data 2023'!$AA$2:$AE$10000,MATCH(Z1808,'CAMD Facility Data 2023'!$AE$2:$AE$10000,0),1)&gt;0,INDEX('CAMD Facility Data 2023'!$AA$2:$AE$10000,MATCH(Z1808,'CAMD Facility Data 2023'!$AE$2:$AE$10000,0),1),"")</f>
        <v>36717</v>
      </c>
      <c r="AB1808" s="5">
        <f>IF(INDEX('CAMD Facility Data 2023'!$AC$2:$AE$10000,MATCH(Z1808,'CAMD Facility Data 2023'!$AE$2:$AE$10000,0),1)&gt;0,INDEX('CAMD Facility Data 2023'!$AC$2:$AE$10000,MATCH(Z1808,'CAMD Facility Data 2023'!$AE$2:$AE$10000,0),1),"")</f>
        <v>1985</v>
      </c>
      <c r="AC1808" s="1" t="str">
        <f>IF(INDEX('CAMD Facility Data 2023'!$AE$2:$AG$10000,MATCH(Z1808,'CAMD Facility Data 2023'!$AE$2:$AE$10000,0),3)&gt;0,INDEX('CAMD Facility Data 2023'!$AE$2:$AG$10000,MATCH(Z1808,'CAMD Facility Data 2023'!$AE$2:$AE$10000,0),3),"")</f>
        <v/>
      </c>
      <c r="AD1808" s="20">
        <f t="shared" si="85"/>
        <v>0.33198199481127438</v>
      </c>
      <c r="AE1808" s="25">
        <f t="shared" si="86"/>
        <v>6.8821841781396997E-2</v>
      </c>
    </row>
    <row r="1809" spans="1:31" x14ac:dyDescent="0.2">
      <c r="A1809" s="1" t="s">
        <v>3095</v>
      </c>
      <c r="B1809" s="1" t="s">
        <v>4331</v>
      </c>
      <c r="C1809" s="1">
        <v>7839</v>
      </c>
      <c r="D1809" s="1">
        <v>1</v>
      </c>
      <c r="F1809" s="1">
        <v>2023</v>
      </c>
      <c r="G1809" s="5">
        <v>850</v>
      </c>
      <c r="H1809" s="5">
        <v>783.11</v>
      </c>
      <c r="I1809" s="5">
        <v>113014.87</v>
      </c>
      <c r="K1809" s="5">
        <v>0.81799999999999995</v>
      </c>
      <c r="L1809" s="5">
        <v>1.8E-3</v>
      </c>
      <c r="M1809" s="5">
        <v>69922.764999999999</v>
      </c>
      <c r="N1809" s="6">
        <v>6.0100000000000001E-2</v>
      </c>
      <c r="O1809" s="5">
        <v>20.67</v>
      </c>
      <c r="P1809" s="6">
        <v>4.2299999999999997E-2</v>
      </c>
      <c r="Q1809" s="5">
        <v>1154003.8030000001</v>
      </c>
      <c r="R1809" s="1" t="s">
        <v>44</v>
      </c>
      <c r="S1809" s="1" t="s">
        <v>94</v>
      </c>
      <c r="T1809" s="1" t="s">
        <v>93</v>
      </c>
      <c r="V1809" s="1" t="s">
        <v>183</v>
      </c>
      <c r="Y1809" s="1" t="s">
        <v>1515</v>
      </c>
      <c r="Z1809" s="1" t="str">
        <f t="shared" si="84"/>
        <v>7839 1</v>
      </c>
      <c r="AA1809" s="3">
        <f>IF(INDEX('CAMD Facility Data 2023'!$AA$2:$AE$10000,MATCH(Z1809,'CAMD Facility Data 2023'!$AE$2:$AE$10000,0),1)&gt;0,INDEX('CAMD Facility Data 2023'!$AA$2:$AE$10000,MATCH(Z1809,'CAMD Facility Data 2023'!$AE$2:$AE$10000,0),1),"")</f>
        <v>37042</v>
      </c>
      <c r="AB1809" s="5">
        <f>IF(INDEX('CAMD Facility Data 2023'!$AC$2:$AE$10000,MATCH(Z1809,'CAMD Facility Data 2023'!$AE$2:$AE$10000,0),1)&gt;0,INDEX('CAMD Facility Data 2023'!$AC$2:$AE$10000,MATCH(Z1809,'CAMD Facility Data 2023'!$AE$2:$AE$10000,0),1),"")</f>
        <v>2129</v>
      </c>
      <c r="AC1809" s="1" t="str">
        <f>IF(INDEX('CAMD Facility Data 2023'!$AE$2:$AG$10000,MATCH(Z1809,'CAMD Facility Data 2023'!$AE$2:$AE$10000,0),3)&gt;0,INDEX('CAMD Facility Data 2023'!$AE$2:$AG$10000,MATCH(Z1809,'CAMD Facility Data 2023'!$AE$2:$AE$10000,0),3),"")</f>
        <v/>
      </c>
      <c r="AD1809" s="20">
        <f t="shared" si="85"/>
        <v>0.36579257225177536</v>
      </c>
      <c r="AE1809" s="25">
        <f t="shared" si="86"/>
        <v>6.1876746805904978E-2</v>
      </c>
    </row>
    <row r="1810" spans="1:31" x14ac:dyDescent="0.2">
      <c r="A1810" s="1" t="s">
        <v>3095</v>
      </c>
      <c r="B1810" s="1" t="s">
        <v>4331</v>
      </c>
      <c r="C1810" s="1">
        <v>7839</v>
      </c>
      <c r="D1810" s="1">
        <v>2</v>
      </c>
      <c r="F1810" s="1">
        <v>2023</v>
      </c>
      <c r="G1810" s="5">
        <v>1686</v>
      </c>
      <c r="H1810" s="5">
        <v>1539.22</v>
      </c>
      <c r="I1810" s="5">
        <v>218915.15</v>
      </c>
      <c r="K1810" s="5">
        <v>0.69599999999999995</v>
      </c>
      <c r="L1810" s="5">
        <v>1E-3</v>
      </c>
      <c r="M1810" s="5">
        <v>129456.86900000001</v>
      </c>
      <c r="N1810" s="6">
        <v>5.91E-2</v>
      </c>
      <c r="O1810" s="5">
        <v>34.43</v>
      </c>
      <c r="P1810" s="6">
        <v>3.5999999999999997E-2</v>
      </c>
      <c r="Q1810" s="5">
        <v>2176420.15</v>
      </c>
      <c r="R1810" s="1" t="s">
        <v>44</v>
      </c>
      <c r="S1810" s="1" t="s">
        <v>94</v>
      </c>
      <c r="T1810" s="1" t="s">
        <v>93</v>
      </c>
      <c r="V1810" s="1" t="s">
        <v>183</v>
      </c>
      <c r="Y1810" s="1" t="s">
        <v>1515</v>
      </c>
      <c r="Z1810" s="1" t="str">
        <f t="shared" si="84"/>
        <v>7839 2</v>
      </c>
      <c r="AA1810" s="3">
        <f>IF(INDEX('CAMD Facility Data 2023'!$AA$2:$AE$10000,MATCH(Z1810,'CAMD Facility Data 2023'!$AE$2:$AE$10000,0),1)&gt;0,INDEX('CAMD Facility Data 2023'!$AA$2:$AE$10000,MATCH(Z1810,'CAMD Facility Data 2023'!$AE$2:$AE$10000,0),1),"")</f>
        <v>37034</v>
      </c>
      <c r="AB1810" s="5">
        <f>IF(INDEX('CAMD Facility Data 2023'!$AC$2:$AE$10000,MATCH(Z1810,'CAMD Facility Data 2023'!$AE$2:$AE$10000,0),1)&gt;0,INDEX('CAMD Facility Data 2023'!$AC$2:$AE$10000,MATCH(Z1810,'CAMD Facility Data 2023'!$AE$2:$AE$10000,0),1),"")</f>
        <v>2223</v>
      </c>
      <c r="AC1810" s="1" t="str">
        <f>IF(INDEX('CAMD Facility Data 2023'!$AE$2:$AG$10000,MATCH(Z1810,'CAMD Facility Data 2023'!$AE$2:$AE$10000,0),3)&gt;0,INDEX('CAMD Facility Data 2023'!$AE$2:$AG$10000,MATCH(Z1810,'CAMD Facility Data 2023'!$AE$2:$AE$10000,0),3),"")</f>
        <v/>
      </c>
      <c r="AD1810" s="20">
        <f t="shared" si="85"/>
        <v>0.31455109433951922</v>
      </c>
      <c r="AE1810" s="25">
        <f t="shared" si="86"/>
        <v>0.11176328781501817</v>
      </c>
    </row>
    <row r="1811" spans="1:31" x14ac:dyDescent="0.2">
      <c r="A1811" s="1" t="s">
        <v>3095</v>
      </c>
      <c r="B1811" s="1" t="s">
        <v>4331</v>
      </c>
      <c r="C1811" s="1">
        <v>7839</v>
      </c>
      <c r="D1811" s="1">
        <v>3</v>
      </c>
      <c r="F1811" s="1">
        <v>2023</v>
      </c>
      <c r="G1811" s="5">
        <v>831</v>
      </c>
      <c r="H1811" s="5">
        <v>764.86</v>
      </c>
      <c r="I1811" s="5">
        <v>108205.63</v>
      </c>
      <c r="K1811" s="5">
        <v>0.55600000000000005</v>
      </c>
      <c r="L1811" s="5">
        <v>1.4E-3</v>
      </c>
      <c r="M1811" s="5">
        <v>66600.141000000003</v>
      </c>
      <c r="N1811" s="6">
        <v>5.96E-2</v>
      </c>
      <c r="O1811" s="5">
        <v>17.600000000000001</v>
      </c>
      <c r="P1811" s="6">
        <v>3.6200000000000003E-2</v>
      </c>
      <c r="Q1811" s="5">
        <v>1110355.922</v>
      </c>
      <c r="R1811" s="1" t="s">
        <v>44</v>
      </c>
      <c r="S1811" s="1" t="s">
        <v>94</v>
      </c>
      <c r="T1811" s="1" t="s">
        <v>93</v>
      </c>
      <c r="V1811" s="1" t="s">
        <v>183</v>
      </c>
      <c r="Y1811" s="1" t="s">
        <v>1515</v>
      </c>
      <c r="Z1811" s="1" t="str">
        <f t="shared" si="84"/>
        <v>7839 3</v>
      </c>
      <c r="AA1811" s="3">
        <f>IF(INDEX('CAMD Facility Data 2023'!$AA$2:$AE$10000,MATCH(Z1811,'CAMD Facility Data 2023'!$AE$2:$AE$10000,0),1)&gt;0,INDEX('CAMD Facility Data 2023'!$AA$2:$AE$10000,MATCH(Z1811,'CAMD Facility Data 2023'!$AE$2:$AE$10000,0),1),"")</f>
        <v>39590</v>
      </c>
      <c r="AB1811" s="5">
        <f>IF(INDEX('CAMD Facility Data 2023'!$AC$2:$AE$10000,MATCH(Z1811,'CAMD Facility Data 2023'!$AE$2:$AE$10000,0),1)&gt;0,INDEX('CAMD Facility Data 2023'!$AC$2:$AE$10000,MATCH(Z1811,'CAMD Facility Data 2023'!$AE$2:$AE$10000,0),1),"")</f>
        <v>2158</v>
      </c>
      <c r="AC1811" s="1" t="str">
        <f>IF(INDEX('CAMD Facility Data 2023'!$AE$2:$AG$10000,MATCH(Z1811,'CAMD Facility Data 2023'!$AE$2:$AE$10000,0),3)&gt;0,INDEX('CAMD Facility Data 2023'!$AE$2:$AG$10000,MATCH(Z1811,'CAMD Facility Data 2023'!$AE$2:$AE$10000,0),3),"")</f>
        <v/>
      </c>
      <c r="AD1811" s="20">
        <f t="shared" si="85"/>
        <v>0.32530654828219197</v>
      </c>
      <c r="AE1811" s="25">
        <f t="shared" si="86"/>
        <v>5.8736310997414318E-2</v>
      </c>
    </row>
    <row r="1812" spans="1:31" x14ac:dyDescent="0.2">
      <c r="A1812" s="1" t="s">
        <v>3095</v>
      </c>
      <c r="B1812" s="1" t="s">
        <v>4331</v>
      </c>
      <c r="C1812" s="1">
        <v>7839</v>
      </c>
      <c r="D1812" s="1">
        <v>4</v>
      </c>
      <c r="F1812" s="1">
        <v>2023</v>
      </c>
      <c r="G1812" s="5">
        <v>1334</v>
      </c>
      <c r="H1812" s="5">
        <v>1229.49</v>
      </c>
      <c r="I1812" s="5">
        <v>173669.05</v>
      </c>
      <c r="K1812" s="5">
        <v>0.69099999999999995</v>
      </c>
      <c r="L1812" s="5">
        <v>1.1999999999999999E-3</v>
      </c>
      <c r="M1812" s="5">
        <v>106807.80100000001</v>
      </c>
      <c r="N1812" s="6">
        <v>5.9299999999999999E-2</v>
      </c>
      <c r="O1812" s="5">
        <v>27.58</v>
      </c>
      <c r="P1812" s="6">
        <v>3.4599999999999999E-2</v>
      </c>
      <c r="Q1812" s="5">
        <v>1790048.9169999999</v>
      </c>
      <c r="R1812" s="1" t="s">
        <v>44</v>
      </c>
      <c r="S1812" s="1" t="s">
        <v>94</v>
      </c>
      <c r="T1812" s="1" t="s">
        <v>93</v>
      </c>
      <c r="V1812" s="1" t="s">
        <v>183</v>
      </c>
      <c r="Y1812" s="1" t="s">
        <v>1515</v>
      </c>
      <c r="Z1812" s="1" t="str">
        <f t="shared" si="84"/>
        <v>7839 4</v>
      </c>
      <c r="AA1812" s="3">
        <f>IF(INDEX('CAMD Facility Data 2023'!$AA$2:$AE$10000,MATCH(Z1812,'CAMD Facility Data 2023'!$AE$2:$AE$10000,0),1)&gt;0,INDEX('CAMD Facility Data 2023'!$AA$2:$AE$10000,MATCH(Z1812,'CAMD Facility Data 2023'!$AE$2:$AE$10000,0),1),"")</f>
        <v>39606</v>
      </c>
      <c r="AB1812" s="5">
        <f>IF(INDEX('CAMD Facility Data 2023'!$AC$2:$AE$10000,MATCH(Z1812,'CAMD Facility Data 2023'!$AE$2:$AE$10000,0),1)&gt;0,INDEX('CAMD Facility Data 2023'!$AC$2:$AE$10000,MATCH(Z1812,'CAMD Facility Data 2023'!$AE$2:$AE$10000,0),1),"")</f>
        <v>2129</v>
      </c>
      <c r="AC1812" s="1" t="str">
        <f>IF(INDEX('CAMD Facility Data 2023'!$AE$2:$AG$10000,MATCH(Z1812,'CAMD Facility Data 2023'!$AE$2:$AE$10000,0),3)&gt;0,INDEX('CAMD Facility Data 2023'!$AE$2:$AG$10000,MATCH(Z1812,'CAMD Facility Data 2023'!$AE$2:$AE$10000,0),3),"")</f>
        <v/>
      </c>
      <c r="AD1812" s="20">
        <f t="shared" si="85"/>
        <v>0.31761560278011541</v>
      </c>
      <c r="AE1812" s="25">
        <f t="shared" si="86"/>
        <v>9.5980969316955878E-2</v>
      </c>
    </row>
    <row r="1813" spans="1:31" x14ac:dyDescent="0.2">
      <c r="A1813" s="1" t="s">
        <v>3095</v>
      </c>
      <c r="B1813" s="1" t="s">
        <v>4331</v>
      </c>
      <c r="C1813" s="1">
        <v>7839</v>
      </c>
      <c r="D1813" s="1">
        <v>5</v>
      </c>
      <c r="F1813" s="1">
        <v>2023</v>
      </c>
      <c r="G1813" s="5">
        <v>1814</v>
      </c>
      <c r="H1813" s="5">
        <v>1669.44</v>
      </c>
      <c r="I1813" s="5">
        <v>239485.87</v>
      </c>
      <c r="K1813" s="5">
        <v>0.88900000000000001</v>
      </c>
      <c r="L1813" s="5">
        <v>1.1999999999999999E-3</v>
      </c>
      <c r="M1813" s="5">
        <v>145900.16800000001</v>
      </c>
      <c r="N1813" s="6">
        <v>5.9299999999999999E-2</v>
      </c>
      <c r="O1813" s="5">
        <v>36.264000000000003</v>
      </c>
      <c r="P1813" s="6">
        <v>3.39E-2</v>
      </c>
      <c r="Q1813" s="5">
        <v>2447919.8769999999</v>
      </c>
      <c r="R1813" s="1" t="s">
        <v>44</v>
      </c>
      <c r="S1813" s="1" t="s">
        <v>94</v>
      </c>
      <c r="T1813" s="1" t="s">
        <v>93</v>
      </c>
      <c r="V1813" s="1" t="s">
        <v>183</v>
      </c>
      <c r="Y1813" s="1" t="s">
        <v>1515</v>
      </c>
      <c r="Z1813" s="1" t="str">
        <f t="shared" si="84"/>
        <v>7839 5</v>
      </c>
      <c r="AA1813" s="3">
        <f>IF(INDEX('CAMD Facility Data 2023'!$AA$2:$AE$10000,MATCH(Z1813,'CAMD Facility Data 2023'!$AE$2:$AE$10000,0),1)&gt;0,INDEX('CAMD Facility Data 2023'!$AA$2:$AE$10000,MATCH(Z1813,'CAMD Facility Data 2023'!$AE$2:$AE$10000,0),1),"")</f>
        <v>39894</v>
      </c>
      <c r="AB1813" s="5">
        <f>IF(INDEX('CAMD Facility Data 2023'!$AC$2:$AE$10000,MATCH(Z1813,'CAMD Facility Data 2023'!$AE$2:$AE$10000,0),1)&gt;0,INDEX('CAMD Facility Data 2023'!$AC$2:$AE$10000,MATCH(Z1813,'CAMD Facility Data 2023'!$AE$2:$AE$10000,0),1),"")</f>
        <v>2129</v>
      </c>
      <c r="AC1813" s="1" t="str">
        <f>IF(INDEX('CAMD Facility Data 2023'!$AE$2:$AG$10000,MATCH(Z1813,'CAMD Facility Data 2023'!$AE$2:$AE$10000,0),3)&gt;0,INDEX('CAMD Facility Data 2023'!$AE$2:$AG$10000,MATCH(Z1813,'CAMD Facility Data 2023'!$AE$2:$AE$10000,0),3),"")</f>
        <v/>
      </c>
      <c r="AD1813" s="20">
        <f t="shared" si="85"/>
        <v>0.30284876514844072</v>
      </c>
      <c r="AE1813" s="25">
        <f t="shared" si="86"/>
        <v>0.13125547596680756</v>
      </c>
    </row>
    <row r="1814" spans="1:31" x14ac:dyDescent="0.2">
      <c r="A1814" s="1" t="s">
        <v>458</v>
      </c>
      <c r="B1814" s="1" t="s">
        <v>4337</v>
      </c>
      <c r="C1814" s="1">
        <v>7842</v>
      </c>
      <c r="D1814" s="1" t="s">
        <v>311</v>
      </c>
      <c r="F1814" s="1">
        <v>2023</v>
      </c>
      <c r="G1814" s="5">
        <v>32</v>
      </c>
      <c r="H1814" s="5">
        <v>25.51</v>
      </c>
      <c r="I1814" s="5">
        <v>1084.49</v>
      </c>
      <c r="K1814" s="5">
        <v>3.0000000000000001E-3</v>
      </c>
      <c r="L1814" s="5">
        <v>1E-3</v>
      </c>
      <c r="M1814" s="5">
        <v>625.22699999999998</v>
      </c>
      <c r="N1814" s="6">
        <v>5.9200000000000003E-2</v>
      </c>
      <c r="O1814" s="5">
        <v>0.50800000000000001</v>
      </c>
      <c r="P1814" s="6">
        <v>0.1009</v>
      </c>
      <c r="Q1814" s="5">
        <v>10521.7</v>
      </c>
      <c r="R1814" s="1" t="s">
        <v>44</v>
      </c>
      <c r="T1814" s="1" t="s">
        <v>93</v>
      </c>
      <c r="V1814" s="1" t="s">
        <v>95</v>
      </c>
      <c r="Y1814" s="1" t="s">
        <v>461</v>
      </c>
      <c r="Z1814" s="1" t="str">
        <f t="shared" si="84"/>
        <v>7842 CT1</v>
      </c>
      <c r="AA1814" s="3">
        <f>IF(INDEX('CAMD Facility Data 2023'!$AA$2:$AE$10000,MATCH(Z1814,'CAMD Facility Data 2023'!$AE$2:$AE$10000,0),1)&gt;0,INDEX('CAMD Facility Data 2023'!$AA$2:$AE$10000,MATCH(Z1814,'CAMD Facility Data 2023'!$AE$2:$AE$10000,0),1),"")</f>
        <v>36678</v>
      </c>
      <c r="AB1814" s="5">
        <f>IF(INDEX('CAMD Facility Data 2023'!$AC$2:$AE$10000,MATCH(Z1814,'CAMD Facility Data 2023'!$AE$2:$AE$10000,0),1)&gt;0,INDEX('CAMD Facility Data 2023'!$AC$2:$AE$10000,MATCH(Z1814,'CAMD Facility Data 2023'!$AE$2:$AE$10000,0),1),"")</f>
        <v>465</v>
      </c>
      <c r="AC1814" s="1" t="str">
        <f>IF(INDEX('CAMD Facility Data 2023'!$AE$2:$AG$10000,MATCH(Z1814,'CAMD Facility Data 2023'!$AE$2:$AE$10000,0),3)&gt;0,INDEX('CAMD Facility Data 2023'!$AE$2:$AG$10000,MATCH(Z1814,'CAMD Facility Data 2023'!$AE$2:$AE$10000,0),3),"")</f>
        <v/>
      </c>
      <c r="AD1814" s="20">
        <f t="shared" si="85"/>
        <v>0.93684589069516544</v>
      </c>
      <c r="AE1814" s="25">
        <f t="shared" si="86"/>
        <v>2.5830264643786518E-3</v>
      </c>
    </row>
    <row r="1815" spans="1:31" x14ac:dyDescent="0.2">
      <c r="A1815" s="1" t="s">
        <v>1663</v>
      </c>
      <c r="B1815" s="1" t="s">
        <v>4341</v>
      </c>
      <c r="C1815" s="1">
        <v>7843</v>
      </c>
      <c r="D1815" s="1">
        <v>11</v>
      </c>
      <c r="F1815" s="1">
        <v>2023</v>
      </c>
      <c r="G1815" s="5">
        <v>434</v>
      </c>
      <c r="H1815" s="5">
        <v>360.26</v>
      </c>
      <c r="I1815" s="5">
        <v>34761.550000000003</v>
      </c>
      <c r="K1815" s="5">
        <v>0.127</v>
      </c>
      <c r="L1815" s="5">
        <v>1E-3</v>
      </c>
      <c r="M1815" s="5">
        <v>25198.667000000001</v>
      </c>
      <c r="N1815" s="6">
        <v>5.91E-2</v>
      </c>
      <c r="O1815" s="5">
        <v>22.456</v>
      </c>
      <c r="P1815" s="6">
        <v>0.11070000000000001</v>
      </c>
      <c r="Q1815" s="5">
        <v>423720.50099999999</v>
      </c>
      <c r="R1815" s="1" t="s">
        <v>44</v>
      </c>
      <c r="S1815" s="1" t="s">
        <v>94</v>
      </c>
      <c r="T1815" s="1" t="s">
        <v>93</v>
      </c>
      <c r="V1815" s="1" t="s">
        <v>183</v>
      </c>
      <c r="Y1815" s="1" t="s">
        <v>1666</v>
      </c>
      <c r="Z1815" s="1" t="str">
        <f t="shared" si="84"/>
        <v>7843 11</v>
      </c>
      <c r="AA1815" s="3">
        <f>IF(INDEX('CAMD Facility Data 2023'!$AA$2:$AE$10000,MATCH(Z1815,'CAMD Facility Data 2023'!$AE$2:$AE$10000,0),1)&gt;0,INDEX('CAMD Facility Data 2023'!$AA$2:$AE$10000,MATCH(Z1815,'CAMD Facility Data 2023'!$AE$2:$AE$10000,0),1),"")</f>
        <v>36985</v>
      </c>
      <c r="AB1815" s="5">
        <f>IF(INDEX('CAMD Facility Data 2023'!$AC$2:$AE$10000,MATCH(Z1815,'CAMD Facility Data 2023'!$AE$2:$AE$10000,0),1)&gt;0,INDEX('CAMD Facility Data 2023'!$AC$2:$AE$10000,MATCH(Z1815,'CAMD Facility Data 2023'!$AE$2:$AE$10000,0),1),"")</f>
        <v>1772</v>
      </c>
      <c r="AC1815" s="1" t="str">
        <f>IF(INDEX('CAMD Facility Data 2023'!$AE$2:$AG$10000,MATCH(Z1815,'CAMD Facility Data 2023'!$AE$2:$AE$10000,0),3)&gt;0,INDEX('CAMD Facility Data 2023'!$AE$2:$AG$10000,MATCH(Z1815,'CAMD Facility Data 2023'!$AE$2:$AE$10000,0),3),"")</f>
        <v/>
      </c>
      <c r="AD1815" s="20">
        <f t="shared" si="85"/>
        <v>1.292002226598066</v>
      </c>
      <c r="AE1815" s="25">
        <f t="shared" si="86"/>
        <v>2.7296794698351834E-2</v>
      </c>
    </row>
    <row r="1816" spans="1:31" x14ac:dyDescent="0.2">
      <c r="A1816" s="1" t="s">
        <v>1663</v>
      </c>
      <c r="B1816" s="1" t="s">
        <v>4341</v>
      </c>
      <c r="C1816" s="1">
        <v>7843</v>
      </c>
      <c r="D1816" s="1">
        <v>12</v>
      </c>
      <c r="F1816" s="1">
        <v>2023</v>
      </c>
      <c r="G1816" s="5">
        <v>687</v>
      </c>
      <c r="H1816" s="5">
        <v>580.11</v>
      </c>
      <c r="I1816" s="5">
        <v>55694.55</v>
      </c>
      <c r="K1816" s="5">
        <v>0.20499999999999999</v>
      </c>
      <c r="L1816" s="5">
        <v>1E-3</v>
      </c>
      <c r="M1816" s="5">
        <v>40665.197999999997</v>
      </c>
      <c r="N1816" s="6">
        <v>5.9299999999999999E-2</v>
      </c>
      <c r="O1816" s="5">
        <v>30.395</v>
      </c>
      <c r="P1816" s="6">
        <v>9.4799999999999995E-2</v>
      </c>
      <c r="Q1816" s="5">
        <v>683413.74800000002</v>
      </c>
      <c r="R1816" s="1" t="s">
        <v>44</v>
      </c>
      <c r="S1816" s="1" t="s">
        <v>94</v>
      </c>
      <c r="T1816" s="1" t="s">
        <v>93</v>
      </c>
      <c r="V1816" s="1" t="s">
        <v>183</v>
      </c>
      <c r="Y1816" s="1" t="s">
        <v>1666</v>
      </c>
      <c r="Z1816" s="1" t="str">
        <f t="shared" si="84"/>
        <v>7843 12</v>
      </c>
      <c r="AA1816" s="3">
        <f>IF(INDEX('CAMD Facility Data 2023'!$AA$2:$AE$10000,MATCH(Z1816,'CAMD Facility Data 2023'!$AE$2:$AE$10000,0),1)&gt;0,INDEX('CAMD Facility Data 2023'!$AA$2:$AE$10000,MATCH(Z1816,'CAMD Facility Data 2023'!$AE$2:$AE$10000,0),1),"")</f>
        <v>36987</v>
      </c>
      <c r="AB1816" s="5">
        <f>IF(INDEX('CAMD Facility Data 2023'!$AC$2:$AE$10000,MATCH(Z1816,'CAMD Facility Data 2023'!$AE$2:$AE$10000,0),1)&gt;0,INDEX('CAMD Facility Data 2023'!$AC$2:$AE$10000,MATCH(Z1816,'CAMD Facility Data 2023'!$AE$2:$AE$10000,0),1),"")</f>
        <v>1819.6</v>
      </c>
      <c r="AC1816" s="1" t="str">
        <f>IF(INDEX('CAMD Facility Data 2023'!$AE$2:$AG$10000,MATCH(Z1816,'CAMD Facility Data 2023'!$AE$2:$AE$10000,0),3)&gt;0,INDEX('CAMD Facility Data 2023'!$AE$2:$AG$10000,MATCH(Z1816,'CAMD Facility Data 2023'!$AE$2:$AE$10000,0),3),"")</f>
        <v/>
      </c>
      <c r="AD1816" s="20">
        <f t="shared" si="85"/>
        <v>1.0914892031626073</v>
      </c>
      <c r="AE1816" s="25">
        <f t="shared" si="86"/>
        <v>4.2874954955226252E-2</v>
      </c>
    </row>
    <row r="1817" spans="1:31" x14ac:dyDescent="0.2">
      <c r="A1817" s="1" t="s">
        <v>1663</v>
      </c>
      <c r="B1817" s="1" t="s">
        <v>4341</v>
      </c>
      <c r="C1817" s="1">
        <v>7843</v>
      </c>
      <c r="D1817" s="1">
        <v>13</v>
      </c>
      <c r="F1817" s="1">
        <v>2023</v>
      </c>
      <c r="G1817" s="5">
        <v>194</v>
      </c>
      <c r="H1817" s="5">
        <v>162.07</v>
      </c>
      <c r="I1817" s="5">
        <v>13145.26</v>
      </c>
      <c r="K1817" s="5">
        <v>5.0999999999999997E-2</v>
      </c>
      <c r="L1817" s="5">
        <v>1E-3</v>
      </c>
      <c r="M1817" s="5">
        <v>10074.767</v>
      </c>
      <c r="N1817" s="6">
        <v>5.9299999999999999E-2</v>
      </c>
      <c r="O1817" s="5">
        <v>6.8209999999999997</v>
      </c>
      <c r="P1817" s="6">
        <v>9.06E-2</v>
      </c>
      <c r="Q1817" s="5">
        <v>169283.86</v>
      </c>
      <c r="R1817" s="1" t="s">
        <v>44</v>
      </c>
      <c r="S1817" s="1" t="s">
        <v>94</v>
      </c>
      <c r="T1817" s="1" t="s">
        <v>93</v>
      </c>
      <c r="V1817" s="1" t="s">
        <v>183</v>
      </c>
      <c r="Y1817" s="1" t="s">
        <v>1666</v>
      </c>
      <c r="Z1817" s="1" t="str">
        <f t="shared" si="84"/>
        <v>7843 13</v>
      </c>
      <c r="AA1817" s="3">
        <f>IF(INDEX('CAMD Facility Data 2023'!$AA$2:$AE$10000,MATCH(Z1817,'CAMD Facility Data 2023'!$AE$2:$AE$10000,0),1)&gt;0,INDEX('CAMD Facility Data 2023'!$AA$2:$AE$10000,MATCH(Z1817,'CAMD Facility Data 2023'!$AE$2:$AE$10000,0),1),"")</f>
        <v>37367</v>
      </c>
      <c r="AB1817" s="5">
        <f>IF(INDEX('CAMD Facility Data 2023'!$AC$2:$AE$10000,MATCH(Z1817,'CAMD Facility Data 2023'!$AE$2:$AE$10000,0),1)&gt;0,INDEX('CAMD Facility Data 2023'!$AC$2:$AE$10000,MATCH(Z1817,'CAMD Facility Data 2023'!$AE$2:$AE$10000,0),1),"")</f>
        <v>1475.3</v>
      </c>
      <c r="AC1817" s="1" t="str">
        <f>IF(INDEX('CAMD Facility Data 2023'!$AE$2:$AG$10000,MATCH(Z1817,'CAMD Facility Data 2023'!$AE$2:$AE$10000,0),3)&gt;0,INDEX('CAMD Facility Data 2023'!$AE$2:$AG$10000,MATCH(Z1817,'CAMD Facility Data 2023'!$AE$2:$AE$10000,0),3),"")</f>
        <v/>
      </c>
      <c r="AD1817" s="20">
        <f t="shared" si="85"/>
        <v>1.0377885260542583</v>
      </c>
      <c r="AE1817" s="25">
        <f t="shared" si="86"/>
        <v>1.3098787739789477E-2</v>
      </c>
    </row>
    <row r="1818" spans="1:31" x14ac:dyDescent="0.2">
      <c r="A1818" s="1" t="s">
        <v>1663</v>
      </c>
      <c r="B1818" s="1" t="s">
        <v>4347</v>
      </c>
      <c r="C1818" s="1">
        <v>7844</v>
      </c>
      <c r="D1818" s="1" t="s">
        <v>4348</v>
      </c>
      <c r="F1818" s="1">
        <v>2023</v>
      </c>
      <c r="G1818" s="5">
        <v>213</v>
      </c>
      <c r="H1818" s="5">
        <v>174.2</v>
      </c>
      <c r="I1818" s="5">
        <v>6970.67</v>
      </c>
      <c r="K1818" s="5">
        <v>2.1999999999999999E-2</v>
      </c>
      <c r="L1818" s="5">
        <v>1E-3</v>
      </c>
      <c r="M1818" s="5">
        <v>4348.5280000000002</v>
      </c>
      <c r="N1818" s="6">
        <v>5.9299999999999999E-2</v>
      </c>
      <c r="O1818" s="5">
        <v>5.4969999999999999</v>
      </c>
      <c r="P1818" s="6">
        <v>0.15870000000000001</v>
      </c>
      <c r="Q1818" s="5">
        <v>73185.126999999993</v>
      </c>
      <c r="R1818" s="1" t="s">
        <v>44</v>
      </c>
      <c r="S1818" s="1" t="s">
        <v>94</v>
      </c>
      <c r="T1818" s="1" t="s">
        <v>93</v>
      </c>
      <c r="V1818" s="1" t="s">
        <v>140</v>
      </c>
      <c r="Y1818" s="1" t="s">
        <v>1666</v>
      </c>
      <c r="Z1818" s="1" t="str">
        <f t="shared" si="84"/>
        <v>7844 U001</v>
      </c>
      <c r="AA1818" s="3">
        <f>IF(INDEX('CAMD Facility Data 2023'!$AA$2:$AE$10000,MATCH(Z1818,'CAMD Facility Data 2023'!$AE$2:$AE$10000,0),1)&gt;0,INDEX('CAMD Facility Data 2023'!$AA$2:$AE$10000,MATCH(Z1818,'CAMD Facility Data 2023'!$AE$2:$AE$10000,0),1),"")</f>
        <v>37012</v>
      </c>
      <c r="AB1818" s="5">
        <f>IF(INDEX('CAMD Facility Data 2023'!$AC$2:$AE$10000,MATCH(Z1818,'CAMD Facility Data 2023'!$AE$2:$AE$10000,0),1)&gt;0,INDEX('CAMD Facility Data 2023'!$AC$2:$AE$10000,MATCH(Z1818,'CAMD Facility Data 2023'!$AE$2:$AE$10000,0),1),"")</f>
        <v>560</v>
      </c>
      <c r="AC1818" s="1" t="str">
        <f>IF(INDEX('CAMD Facility Data 2023'!$AE$2:$AG$10000,MATCH(Z1818,'CAMD Facility Data 2023'!$AE$2:$AE$10000,0),3)&gt;0,INDEX('CAMD Facility Data 2023'!$AE$2:$AG$10000,MATCH(Z1818,'CAMD Facility Data 2023'!$AE$2:$AE$10000,0),3),"")</f>
        <v/>
      </c>
      <c r="AD1818" s="20">
        <f t="shared" si="85"/>
        <v>1.57717981198364</v>
      </c>
      <c r="AE1818" s="25">
        <f t="shared" si="86"/>
        <v>1.4918690272341812E-2</v>
      </c>
    </row>
    <row r="1819" spans="1:31" x14ac:dyDescent="0.2">
      <c r="A1819" s="1" t="s">
        <v>2762</v>
      </c>
      <c r="B1819" s="1" t="s">
        <v>4351</v>
      </c>
      <c r="C1819" s="1">
        <v>7845</v>
      </c>
      <c r="D1819" s="1" t="s">
        <v>4352</v>
      </c>
      <c r="F1819" s="1">
        <v>2023</v>
      </c>
      <c r="G1819" s="5">
        <v>7163</v>
      </c>
      <c r="H1819" s="5">
        <v>7145.9</v>
      </c>
      <c r="I1819" s="5">
        <v>1820641.62</v>
      </c>
      <c r="K1819" s="5">
        <v>3.4220000000000002</v>
      </c>
      <c r="L1819" s="5">
        <v>1E-3</v>
      </c>
      <c r="M1819" s="5">
        <v>677793.78099999996</v>
      </c>
      <c r="N1819" s="6">
        <v>5.91E-2</v>
      </c>
      <c r="O1819" s="5">
        <v>60.436999999999998</v>
      </c>
      <c r="P1819" s="6">
        <v>1.15E-2</v>
      </c>
      <c r="Q1819" s="5">
        <v>11405192.622</v>
      </c>
      <c r="R1819" s="1" t="s">
        <v>44</v>
      </c>
      <c r="T1819" s="1" t="s">
        <v>71</v>
      </c>
      <c r="V1819" s="1" t="s">
        <v>64</v>
      </c>
      <c r="Y1819" s="1" t="s">
        <v>1207</v>
      </c>
      <c r="Z1819" s="1" t="str">
        <f t="shared" si="84"/>
        <v>7845 LCC1</v>
      </c>
      <c r="AA1819" s="3">
        <f>IF(INDEX('CAMD Facility Data 2023'!$AA$2:$AE$10000,MATCH(Z1819,'CAMD Facility Data 2023'!$AE$2:$AE$10000,0),1)&gt;0,INDEX('CAMD Facility Data 2023'!$AA$2:$AE$10000,MATCH(Z1819,'CAMD Facility Data 2023'!$AE$2:$AE$10000,0),1),"")</f>
        <v>40359</v>
      </c>
      <c r="AB1819" s="5">
        <f>IF(INDEX('CAMD Facility Data 2023'!$AC$2:$AE$10000,MATCH(Z1819,'CAMD Facility Data 2023'!$AE$2:$AE$10000,0),1)&gt;0,INDEX('CAMD Facility Data 2023'!$AC$2:$AE$10000,MATCH(Z1819,'CAMD Facility Data 2023'!$AE$2:$AE$10000,0),1),"")</f>
        <v>2243</v>
      </c>
      <c r="AC1819" s="1" t="str">
        <f>IF(INDEX('CAMD Facility Data 2023'!$AE$2:$AG$10000,MATCH(Z1819,'CAMD Facility Data 2023'!$AE$2:$AE$10000,0),3)&gt;0,INDEX('CAMD Facility Data 2023'!$AE$2:$AG$10000,MATCH(Z1819,'CAMD Facility Data 2023'!$AE$2:$AE$10000,0),3),"")</f>
        <v>Y</v>
      </c>
      <c r="AD1819" s="20">
        <f t="shared" si="85"/>
        <v>6.6390880375457956E-2</v>
      </c>
      <c r="AE1819" s="25">
        <f t="shared" si="86"/>
        <v>0.58045591978697808</v>
      </c>
    </row>
    <row r="1820" spans="1:31" x14ac:dyDescent="0.2">
      <c r="A1820" s="1" t="s">
        <v>2762</v>
      </c>
      <c r="B1820" s="1" t="s">
        <v>4351</v>
      </c>
      <c r="C1820" s="1">
        <v>7845</v>
      </c>
      <c r="D1820" s="1" t="s">
        <v>4356</v>
      </c>
      <c r="F1820" s="1">
        <v>2023</v>
      </c>
      <c r="G1820" s="5">
        <v>6554</v>
      </c>
      <c r="H1820" s="5">
        <v>6537.82</v>
      </c>
      <c r="I1820" s="5">
        <v>1629273.65</v>
      </c>
      <c r="K1820" s="5">
        <v>3.1</v>
      </c>
      <c r="L1820" s="5">
        <v>1E-3</v>
      </c>
      <c r="M1820" s="5">
        <v>614110.19700000004</v>
      </c>
      <c r="N1820" s="6">
        <v>5.8999999999999997E-2</v>
      </c>
      <c r="O1820" s="5">
        <v>57.176000000000002</v>
      </c>
      <c r="P1820" s="6">
        <v>1.1900000000000001E-2</v>
      </c>
      <c r="Q1820" s="5">
        <v>10333597.038000001</v>
      </c>
      <c r="R1820" s="1" t="s">
        <v>44</v>
      </c>
      <c r="T1820" s="1" t="s">
        <v>71</v>
      </c>
      <c r="V1820" s="1" t="s">
        <v>64</v>
      </c>
      <c r="Y1820" s="1" t="s">
        <v>1207</v>
      </c>
      <c r="Z1820" s="1" t="str">
        <f t="shared" si="84"/>
        <v>7845 LCC2</v>
      </c>
      <c r="AA1820" s="3">
        <f>IF(INDEX('CAMD Facility Data 2023'!$AA$2:$AE$10000,MATCH(Z1820,'CAMD Facility Data 2023'!$AE$2:$AE$10000,0),1)&gt;0,INDEX('CAMD Facility Data 2023'!$AA$2:$AE$10000,MATCH(Z1820,'CAMD Facility Data 2023'!$AE$2:$AE$10000,0),1),"")</f>
        <v>40351</v>
      </c>
      <c r="AB1820" s="5">
        <f>IF(INDEX('CAMD Facility Data 2023'!$AC$2:$AE$10000,MATCH(Z1820,'CAMD Facility Data 2023'!$AE$2:$AE$10000,0),1)&gt;0,INDEX('CAMD Facility Data 2023'!$AC$2:$AE$10000,MATCH(Z1820,'CAMD Facility Data 2023'!$AE$2:$AE$10000,0),1),"")</f>
        <v>2243</v>
      </c>
      <c r="AC1820" s="1" t="str">
        <f>IF(INDEX('CAMD Facility Data 2023'!$AE$2:$AG$10000,MATCH(Z1820,'CAMD Facility Data 2023'!$AE$2:$AE$10000,0),3)&gt;0,INDEX('CAMD Facility Data 2023'!$AE$2:$AG$10000,MATCH(Z1820,'CAMD Facility Data 2023'!$AE$2:$AE$10000,0),3),"")</f>
        <v>Y</v>
      </c>
      <c r="AD1820" s="20">
        <f t="shared" si="85"/>
        <v>7.0185877001079602E-2</v>
      </c>
      <c r="AE1820" s="25">
        <f t="shared" si="86"/>
        <v>0.52591812976749586</v>
      </c>
    </row>
    <row r="1821" spans="1:31" x14ac:dyDescent="0.2">
      <c r="A1821" s="1" t="s">
        <v>2762</v>
      </c>
      <c r="B1821" s="1" t="s">
        <v>4351</v>
      </c>
      <c r="C1821" s="1">
        <v>7845</v>
      </c>
      <c r="D1821" s="1" t="s">
        <v>4358</v>
      </c>
      <c r="F1821" s="1">
        <v>2023</v>
      </c>
      <c r="G1821" s="5">
        <v>90</v>
      </c>
      <c r="H1821" s="5">
        <v>67.08</v>
      </c>
      <c r="I1821" s="5">
        <v>4237.18</v>
      </c>
      <c r="K1821" s="5">
        <v>2.5999999999999999E-2</v>
      </c>
      <c r="L1821" s="5">
        <v>2.2000000000000001E-3</v>
      </c>
      <c r="M1821" s="5">
        <v>3265.3240000000001</v>
      </c>
      <c r="N1821" s="6">
        <v>5.96E-2</v>
      </c>
      <c r="O1821" s="5">
        <v>1.03</v>
      </c>
      <c r="P1821" s="6">
        <v>4.8599999999999997E-2</v>
      </c>
      <c r="Q1821" s="5">
        <v>54803.404000000002</v>
      </c>
      <c r="R1821" s="1" t="s">
        <v>44</v>
      </c>
      <c r="S1821" s="1" t="s">
        <v>94</v>
      </c>
      <c r="T1821" s="1" t="s">
        <v>93</v>
      </c>
      <c r="V1821" s="1" t="s">
        <v>183</v>
      </c>
      <c r="Y1821" s="1" t="s">
        <v>1207</v>
      </c>
      <c r="Z1821" s="1" t="str">
        <f t="shared" si="84"/>
        <v>7845 LCT1</v>
      </c>
      <c r="AA1821" s="3">
        <f>IF(INDEX('CAMD Facility Data 2023'!$AA$2:$AE$10000,MATCH(Z1821,'CAMD Facility Data 2023'!$AE$2:$AE$10000,0),1)&gt;0,INDEX('CAMD Facility Data 2023'!$AA$2:$AE$10000,MATCH(Z1821,'CAMD Facility Data 2023'!$AE$2:$AE$10000,0),1),"")</f>
        <v>36986</v>
      </c>
      <c r="AB1821" s="5">
        <f>IF(INDEX('CAMD Facility Data 2023'!$AC$2:$AE$10000,MATCH(Z1821,'CAMD Facility Data 2023'!$AE$2:$AE$10000,0),1)&gt;0,INDEX('CAMD Facility Data 2023'!$AC$2:$AE$10000,MATCH(Z1821,'CAMD Facility Data 2023'!$AE$2:$AE$10000,0),1),"")</f>
        <v>1175.4000000000001</v>
      </c>
      <c r="AC1821" s="1" t="str">
        <f>IF(INDEX('CAMD Facility Data 2023'!$AE$2:$AG$10000,MATCH(Z1821,'CAMD Facility Data 2023'!$AE$2:$AE$10000,0),3)&gt;0,INDEX('CAMD Facility Data 2023'!$AE$2:$AG$10000,MATCH(Z1821,'CAMD Facility Data 2023'!$AE$2:$AE$10000,0),3),"")</f>
        <v/>
      </c>
      <c r="AD1821" s="20">
        <f t="shared" si="85"/>
        <v>0.48617240711982967</v>
      </c>
      <c r="AE1821" s="25">
        <f t="shared" si="86"/>
        <v>5.3225253930848761E-3</v>
      </c>
    </row>
    <row r="1822" spans="1:31" x14ac:dyDescent="0.2">
      <c r="A1822" s="1" t="s">
        <v>2762</v>
      </c>
      <c r="B1822" s="1" t="s">
        <v>4351</v>
      </c>
      <c r="C1822" s="1">
        <v>7845</v>
      </c>
      <c r="D1822" s="1" t="s">
        <v>4360</v>
      </c>
      <c r="F1822" s="1">
        <v>2023</v>
      </c>
      <c r="G1822" s="5">
        <v>128</v>
      </c>
      <c r="H1822" s="5">
        <v>95.31</v>
      </c>
      <c r="I1822" s="5">
        <v>5241.1400000000003</v>
      </c>
      <c r="K1822" s="5">
        <v>0.122</v>
      </c>
      <c r="L1822" s="5">
        <v>5.0000000000000001E-3</v>
      </c>
      <c r="M1822" s="5">
        <v>4209.24</v>
      </c>
      <c r="N1822" s="6">
        <v>6.0999999999999999E-2</v>
      </c>
      <c r="O1822" s="5">
        <v>1.972</v>
      </c>
      <c r="P1822" s="6">
        <v>6.8000000000000005E-2</v>
      </c>
      <c r="Q1822" s="5">
        <v>69256.046000000002</v>
      </c>
      <c r="R1822" s="1" t="s">
        <v>44</v>
      </c>
      <c r="S1822" s="1" t="s">
        <v>94</v>
      </c>
      <c r="T1822" s="1" t="s">
        <v>93</v>
      </c>
      <c r="V1822" s="1" t="s">
        <v>183</v>
      </c>
      <c r="Y1822" s="1" t="s">
        <v>1207</v>
      </c>
      <c r="Z1822" s="1" t="str">
        <f t="shared" si="84"/>
        <v>7845 LCT10</v>
      </c>
      <c r="AA1822" s="3">
        <f>IF(INDEX('CAMD Facility Data 2023'!$AA$2:$AE$10000,MATCH(Z1822,'CAMD Facility Data 2023'!$AE$2:$AE$10000,0),1)&gt;0,INDEX('CAMD Facility Data 2023'!$AA$2:$AE$10000,MATCH(Z1822,'CAMD Facility Data 2023'!$AE$2:$AE$10000,0),1),"")</f>
        <v>37356</v>
      </c>
      <c r="AB1822" s="5">
        <f>IF(INDEX('CAMD Facility Data 2023'!$AC$2:$AE$10000,MATCH(Z1822,'CAMD Facility Data 2023'!$AE$2:$AE$10000,0),1)&gt;0,INDEX('CAMD Facility Data 2023'!$AC$2:$AE$10000,MATCH(Z1822,'CAMD Facility Data 2023'!$AE$2:$AE$10000,0),1),"")</f>
        <v>1175.4000000000001</v>
      </c>
      <c r="AC1822" s="1" t="str">
        <f>IF(INDEX('CAMD Facility Data 2023'!$AE$2:$AG$10000,MATCH(Z1822,'CAMD Facility Data 2023'!$AE$2:$AE$10000,0),3)&gt;0,INDEX('CAMD Facility Data 2023'!$AE$2:$AG$10000,MATCH(Z1822,'CAMD Facility Data 2023'!$AE$2:$AE$10000,0),3),"")</f>
        <v/>
      </c>
      <c r="AD1822" s="20">
        <f t="shared" si="85"/>
        <v>0.75250804214350309</v>
      </c>
      <c r="AE1822" s="25">
        <f t="shared" si="86"/>
        <v>6.7261709411272023E-3</v>
      </c>
    </row>
    <row r="1823" spans="1:31" x14ac:dyDescent="0.2">
      <c r="A1823" s="1" t="s">
        <v>2762</v>
      </c>
      <c r="B1823" s="1" t="s">
        <v>4351</v>
      </c>
      <c r="C1823" s="1">
        <v>7845</v>
      </c>
      <c r="D1823" s="1" t="s">
        <v>4362</v>
      </c>
      <c r="F1823" s="1">
        <v>2023</v>
      </c>
      <c r="G1823" s="5">
        <v>112</v>
      </c>
      <c r="H1823" s="5">
        <v>84.82</v>
      </c>
      <c r="I1823" s="5">
        <v>5196.2</v>
      </c>
      <c r="K1823" s="5">
        <v>9.7000000000000003E-2</v>
      </c>
      <c r="L1823" s="5">
        <v>5.7000000000000002E-3</v>
      </c>
      <c r="M1823" s="5">
        <v>4247.2659999999996</v>
      </c>
      <c r="N1823" s="6">
        <v>6.0999999999999999E-2</v>
      </c>
      <c r="O1823" s="5">
        <v>1.56</v>
      </c>
      <c r="P1823" s="6">
        <v>5.2600000000000001E-2</v>
      </c>
      <c r="Q1823" s="5">
        <v>70288.044999999998</v>
      </c>
      <c r="R1823" s="1" t="s">
        <v>44</v>
      </c>
      <c r="S1823" s="1" t="s">
        <v>94</v>
      </c>
      <c r="T1823" s="1" t="s">
        <v>93</v>
      </c>
      <c r="V1823" s="1" t="s">
        <v>183</v>
      </c>
      <c r="Y1823" s="1" t="s">
        <v>1207</v>
      </c>
      <c r="Z1823" s="1" t="str">
        <f t="shared" si="84"/>
        <v>7845 LCT11</v>
      </c>
      <c r="AA1823" s="3">
        <f>IF(INDEX('CAMD Facility Data 2023'!$AA$2:$AE$10000,MATCH(Z1823,'CAMD Facility Data 2023'!$AE$2:$AE$10000,0),1)&gt;0,INDEX('CAMD Facility Data 2023'!$AA$2:$AE$10000,MATCH(Z1823,'CAMD Facility Data 2023'!$AE$2:$AE$10000,0),1),"")</f>
        <v>37357</v>
      </c>
      <c r="AB1823" s="5">
        <f>IF(INDEX('CAMD Facility Data 2023'!$AC$2:$AE$10000,MATCH(Z1823,'CAMD Facility Data 2023'!$AE$2:$AE$10000,0),1)&gt;0,INDEX('CAMD Facility Data 2023'!$AC$2:$AE$10000,MATCH(Z1823,'CAMD Facility Data 2023'!$AE$2:$AE$10000,0),1),"")</f>
        <v>1175.4000000000001</v>
      </c>
      <c r="AC1823" s="1" t="str">
        <f>IF(INDEX('CAMD Facility Data 2023'!$AE$2:$AG$10000,MATCH(Z1823,'CAMD Facility Data 2023'!$AE$2:$AE$10000,0),3)&gt;0,INDEX('CAMD Facility Data 2023'!$AE$2:$AG$10000,MATCH(Z1823,'CAMD Facility Data 2023'!$AE$2:$AE$10000,0),3),"")</f>
        <v/>
      </c>
      <c r="AD1823" s="20">
        <f t="shared" si="85"/>
        <v>0.60043878218698277</v>
      </c>
      <c r="AE1823" s="25">
        <f t="shared" si="86"/>
        <v>6.8263990379647307E-3</v>
      </c>
    </row>
    <row r="1824" spans="1:31" x14ac:dyDescent="0.2">
      <c r="A1824" s="1" t="s">
        <v>2762</v>
      </c>
      <c r="B1824" s="1" t="s">
        <v>4351</v>
      </c>
      <c r="C1824" s="1">
        <v>7845</v>
      </c>
      <c r="D1824" s="1" t="s">
        <v>4364</v>
      </c>
      <c r="F1824" s="1">
        <v>2023</v>
      </c>
      <c r="G1824" s="5">
        <v>93</v>
      </c>
      <c r="H1824" s="5">
        <v>67.209999999999994</v>
      </c>
      <c r="I1824" s="5">
        <v>3833.4</v>
      </c>
      <c r="K1824" s="5">
        <v>5.8999999999999997E-2</v>
      </c>
      <c r="L1824" s="5">
        <v>3.8E-3</v>
      </c>
      <c r="M1824" s="5">
        <v>3010.4969999999998</v>
      </c>
      <c r="N1824" s="6">
        <v>6.0299999999999999E-2</v>
      </c>
      <c r="O1824" s="5">
        <v>1.196</v>
      </c>
      <c r="P1824" s="6">
        <v>5.7799999999999997E-2</v>
      </c>
      <c r="Q1824" s="5">
        <v>49973.957000000002</v>
      </c>
      <c r="R1824" s="1" t="s">
        <v>44</v>
      </c>
      <c r="S1824" s="1" t="s">
        <v>94</v>
      </c>
      <c r="T1824" s="1" t="s">
        <v>93</v>
      </c>
      <c r="V1824" s="1" t="s">
        <v>183</v>
      </c>
      <c r="Y1824" s="1" t="s">
        <v>1207</v>
      </c>
      <c r="Z1824" s="1" t="str">
        <f t="shared" si="84"/>
        <v>7845 LCT12</v>
      </c>
      <c r="AA1824" s="3">
        <f>IF(INDEX('CAMD Facility Data 2023'!$AA$2:$AE$10000,MATCH(Z1824,'CAMD Facility Data 2023'!$AE$2:$AE$10000,0),1)&gt;0,INDEX('CAMD Facility Data 2023'!$AA$2:$AE$10000,MATCH(Z1824,'CAMD Facility Data 2023'!$AE$2:$AE$10000,0),1),"")</f>
        <v>37365</v>
      </c>
      <c r="AB1824" s="5">
        <f>IF(INDEX('CAMD Facility Data 2023'!$AC$2:$AE$10000,MATCH(Z1824,'CAMD Facility Data 2023'!$AE$2:$AE$10000,0),1)&gt;0,INDEX('CAMD Facility Data 2023'!$AC$2:$AE$10000,MATCH(Z1824,'CAMD Facility Data 2023'!$AE$2:$AE$10000,0),1),"")</f>
        <v>1175.4000000000001</v>
      </c>
      <c r="AC1824" s="1" t="str">
        <f>IF(INDEX('CAMD Facility Data 2023'!$AE$2:$AG$10000,MATCH(Z1824,'CAMD Facility Data 2023'!$AE$2:$AE$10000,0),3)&gt;0,INDEX('CAMD Facility Data 2023'!$AE$2:$AG$10000,MATCH(Z1824,'CAMD Facility Data 2023'!$AE$2:$AE$10000,0),3),"")</f>
        <v/>
      </c>
      <c r="AD1824" s="20">
        <f t="shared" si="85"/>
        <v>0.62398914801481709</v>
      </c>
      <c r="AE1824" s="25">
        <f t="shared" si="86"/>
        <v>4.8534878440293907E-3</v>
      </c>
    </row>
    <row r="1825" spans="1:31" x14ac:dyDescent="0.2">
      <c r="A1825" s="1" t="s">
        <v>2762</v>
      </c>
      <c r="B1825" s="1" t="s">
        <v>4351</v>
      </c>
      <c r="C1825" s="1">
        <v>7845</v>
      </c>
      <c r="D1825" s="1" t="s">
        <v>4366</v>
      </c>
      <c r="F1825" s="1">
        <v>2023</v>
      </c>
      <c r="G1825" s="5">
        <v>94</v>
      </c>
      <c r="H1825" s="5">
        <v>70.709999999999994</v>
      </c>
      <c r="I1825" s="5">
        <v>4739.63</v>
      </c>
      <c r="K1825" s="5">
        <v>1.7999999999999999E-2</v>
      </c>
      <c r="L1825" s="5">
        <v>2.3E-3</v>
      </c>
      <c r="M1825" s="5">
        <v>3097.2069999999999</v>
      </c>
      <c r="N1825" s="6">
        <v>5.96E-2</v>
      </c>
      <c r="O1825" s="5">
        <v>0.88200000000000001</v>
      </c>
      <c r="P1825" s="6">
        <v>4.7100000000000003E-2</v>
      </c>
      <c r="Q1825" s="5">
        <v>52084.864000000001</v>
      </c>
      <c r="R1825" s="1" t="s">
        <v>44</v>
      </c>
      <c r="S1825" s="1" t="s">
        <v>94</v>
      </c>
      <c r="T1825" s="1" t="s">
        <v>93</v>
      </c>
      <c r="V1825" s="1" t="s">
        <v>183</v>
      </c>
      <c r="Y1825" s="1" t="s">
        <v>1207</v>
      </c>
      <c r="Z1825" s="1" t="str">
        <f t="shared" si="84"/>
        <v>7845 LCT2</v>
      </c>
      <c r="AA1825" s="3">
        <f>IF(INDEX('CAMD Facility Data 2023'!$AA$2:$AE$10000,MATCH(Z1825,'CAMD Facility Data 2023'!$AE$2:$AE$10000,0),1)&gt;0,INDEX('CAMD Facility Data 2023'!$AA$2:$AE$10000,MATCH(Z1825,'CAMD Facility Data 2023'!$AE$2:$AE$10000,0),1),"")</f>
        <v>36987</v>
      </c>
      <c r="AB1825" s="5">
        <f>IF(INDEX('CAMD Facility Data 2023'!$AC$2:$AE$10000,MATCH(Z1825,'CAMD Facility Data 2023'!$AE$2:$AE$10000,0),1)&gt;0,INDEX('CAMD Facility Data 2023'!$AC$2:$AE$10000,MATCH(Z1825,'CAMD Facility Data 2023'!$AE$2:$AE$10000,0),1),"")</f>
        <v>1175.4000000000001</v>
      </c>
      <c r="AC1825" s="1" t="str">
        <f>IF(INDEX('CAMD Facility Data 2023'!$AE$2:$AG$10000,MATCH(Z1825,'CAMD Facility Data 2023'!$AE$2:$AE$10000,0),3)&gt;0,INDEX('CAMD Facility Data 2023'!$AE$2:$AG$10000,MATCH(Z1825,'CAMD Facility Data 2023'!$AE$2:$AE$10000,0),3),"")</f>
        <v/>
      </c>
      <c r="AD1825" s="20">
        <f t="shared" si="85"/>
        <v>0.37218095083371489</v>
      </c>
      <c r="AE1825" s="25">
        <f t="shared" si="86"/>
        <v>5.0584998558734114E-3</v>
      </c>
    </row>
    <row r="1826" spans="1:31" x14ac:dyDescent="0.2">
      <c r="A1826" s="1" t="s">
        <v>2762</v>
      </c>
      <c r="B1826" s="1" t="s">
        <v>4351</v>
      </c>
      <c r="C1826" s="1">
        <v>7845</v>
      </c>
      <c r="D1826" s="1" t="s">
        <v>4368</v>
      </c>
      <c r="F1826" s="1">
        <v>2023</v>
      </c>
      <c r="G1826" s="5">
        <v>104</v>
      </c>
      <c r="H1826" s="5">
        <v>80.760000000000005</v>
      </c>
      <c r="I1826" s="5">
        <v>5523.2</v>
      </c>
      <c r="K1826" s="5">
        <v>2.4E-2</v>
      </c>
      <c r="L1826" s="5">
        <v>1.4E-3</v>
      </c>
      <c r="M1826" s="5">
        <v>4005.0520000000001</v>
      </c>
      <c r="N1826" s="6">
        <v>5.9200000000000003E-2</v>
      </c>
      <c r="O1826" s="5">
        <v>1.226</v>
      </c>
      <c r="P1826" s="6">
        <v>4.6199999999999998E-2</v>
      </c>
      <c r="Q1826" s="5">
        <v>67336.039000000004</v>
      </c>
      <c r="R1826" s="1" t="s">
        <v>44</v>
      </c>
      <c r="S1826" s="1" t="s">
        <v>94</v>
      </c>
      <c r="T1826" s="1" t="s">
        <v>93</v>
      </c>
      <c r="V1826" s="1" t="s">
        <v>183</v>
      </c>
      <c r="Y1826" s="1" t="s">
        <v>1207</v>
      </c>
      <c r="Z1826" s="1" t="str">
        <f t="shared" si="84"/>
        <v>7845 LCT3</v>
      </c>
      <c r="AA1826" s="3">
        <f>IF(INDEX('CAMD Facility Data 2023'!$AA$2:$AE$10000,MATCH(Z1826,'CAMD Facility Data 2023'!$AE$2:$AE$10000,0),1)&gt;0,INDEX('CAMD Facility Data 2023'!$AA$2:$AE$10000,MATCH(Z1826,'CAMD Facility Data 2023'!$AE$2:$AE$10000,0),1),"")</f>
        <v>36994</v>
      </c>
      <c r="AB1826" s="5">
        <f>IF(INDEX('CAMD Facility Data 2023'!$AC$2:$AE$10000,MATCH(Z1826,'CAMD Facility Data 2023'!$AE$2:$AE$10000,0),1)&gt;0,INDEX('CAMD Facility Data 2023'!$AC$2:$AE$10000,MATCH(Z1826,'CAMD Facility Data 2023'!$AE$2:$AE$10000,0),1),"")</f>
        <v>1175.4000000000001</v>
      </c>
      <c r="AC1826" s="1" t="str">
        <f>IF(INDEX('CAMD Facility Data 2023'!$AE$2:$AG$10000,MATCH(Z1826,'CAMD Facility Data 2023'!$AE$2:$AE$10000,0),3)&gt;0,INDEX('CAMD Facility Data 2023'!$AE$2:$AG$10000,MATCH(Z1826,'CAMD Facility Data 2023'!$AE$2:$AE$10000,0),3),"")</f>
        <v/>
      </c>
      <c r="AD1826" s="20">
        <f t="shared" si="85"/>
        <v>0.44394553881807647</v>
      </c>
      <c r="AE1826" s="25">
        <f t="shared" si="86"/>
        <v>6.5396992027585291E-3</v>
      </c>
    </row>
    <row r="1827" spans="1:31" x14ac:dyDescent="0.2">
      <c r="A1827" s="1" t="s">
        <v>2762</v>
      </c>
      <c r="B1827" s="1" t="s">
        <v>4351</v>
      </c>
      <c r="C1827" s="1">
        <v>7845</v>
      </c>
      <c r="D1827" s="1" t="s">
        <v>4370</v>
      </c>
      <c r="F1827" s="1">
        <v>2023</v>
      </c>
      <c r="G1827" s="5">
        <v>101</v>
      </c>
      <c r="H1827" s="5">
        <v>75.489999999999995</v>
      </c>
      <c r="I1827" s="5">
        <v>5072.8599999999997</v>
      </c>
      <c r="K1827" s="5">
        <v>2.1000000000000001E-2</v>
      </c>
      <c r="L1827" s="5">
        <v>1.5E-3</v>
      </c>
      <c r="M1827" s="5">
        <v>3708.3150000000001</v>
      </c>
      <c r="N1827" s="6">
        <v>5.9299999999999999E-2</v>
      </c>
      <c r="O1827" s="5">
        <v>1.141</v>
      </c>
      <c r="P1827" s="6">
        <v>5.0799999999999998E-2</v>
      </c>
      <c r="Q1827" s="5">
        <v>62357.847000000002</v>
      </c>
      <c r="R1827" s="1" t="s">
        <v>44</v>
      </c>
      <c r="S1827" s="1" t="s">
        <v>94</v>
      </c>
      <c r="T1827" s="1" t="s">
        <v>93</v>
      </c>
      <c r="V1827" s="1" t="s">
        <v>183</v>
      </c>
      <c r="Y1827" s="1" t="s">
        <v>1207</v>
      </c>
      <c r="Z1827" s="1" t="str">
        <f t="shared" si="84"/>
        <v>7845 LCT4</v>
      </c>
      <c r="AA1827" s="3">
        <f>IF(INDEX('CAMD Facility Data 2023'!$AA$2:$AE$10000,MATCH(Z1827,'CAMD Facility Data 2023'!$AE$2:$AE$10000,0),1)&gt;0,INDEX('CAMD Facility Data 2023'!$AA$2:$AE$10000,MATCH(Z1827,'CAMD Facility Data 2023'!$AE$2:$AE$10000,0),1),"")</f>
        <v>37012</v>
      </c>
      <c r="AB1827" s="5">
        <f>IF(INDEX('CAMD Facility Data 2023'!$AC$2:$AE$10000,MATCH(Z1827,'CAMD Facility Data 2023'!$AE$2:$AE$10000,0),1)&gt;0,INDEX('CAMD Facility Data 2023'!$AC$2:$AE$10000,MATCH(Z1827,'CAMD Facility Data 2023'!$AE$2:$AE$10000,0),1),"")</f>
        <v>1175.4000000000001</v>
      </c>
      <c r="AC1827" s="1" t="str">
        <f>IF(INDEX('CAMD Facility Data 2023'!$AE$2:$AG$10000,MATCH(Z1827,'CAMD Facility Data 2023'!$AE$2:$AE$10000,0),3)&gt;0,INDEX('CAMD Facility Data 2023'!$AE$2:$AG$10000,MATCH(Z1827,'CAMD Facility Data 2023'!$AE$2:$AE$10000,0),3),"")</f>
        <v/>
      </c>
      <c r="AD1827" s="20">
        <f t="shared" si="85"/>
        <v>0.44984486069002499</v>
      </c>
      <c r="AE1827" s="25">
        <f t="shared" si="86"/>
        <v>6.0562154882861209E-3</v>
      </c>
    </row>
    <row r="1828" spans="1:31" x14ac:dyDescent="0.2">
      <c r="A1828" s="1" t="s">
        <v>2762</v>
      </c>
      <c r="B1828" s="1" t="s">
        <v>4351</v>
      </c>
      <c r="C1828" s="1">
        <v>7845</v>
      </c>
      <c r="D1828" s="1" t="s">
        <v>4372</v>
      </c>
      <c r="F1828" s="1">
        <v>2023</v>
      </c>
      <c r="G1828" s="5">
        <v>95</v>
      </c>
      <c r="H1828" s="5">
        <v>70.87</v>
      </c>
      <c r="I1828" s="5">
        <v>4442.76</v>
      </c>
      <c r="K1828" s="5">
        <v>1.7000000000000001E-2</v>
      </c>
      <c r="L1828" s="5">
        <v>1E-3</v>
      </c>
      <c r="M1828" s="5">
        <v>3390.0450000000001</v>
      </c>
      <c r="N1828" s="6">
        <v>5.91E-2</v>
      </c>
      <c r="O1828" s="5">
        <v>1.0189999999999999</v>
      </c>
      <c r="P1828" s="6">
        <v>4.7300000000000002E-2</v>
      </c>
      <c r="Q1828" s="5">
        <v>57040.413</v>
      </c>
      <c r="R1828" s="1" t="s">
        <v>44</v>
      </c>
      <c r="S1828" s="1" t="s">
        <v>94</v>
      </c>
      <c r="T1828" s="1" t="s">
        <v>93</v>
      </c>
      <c r="V1828" s="1" t="s">
        <v>183</v>
      </c>
      <c r="Y1828" s="1" t="s">
        <v>1207</v>
      </c>
      <c r="Z1828" s="1" t="str">
        <f t="shared" si="84"/>
        <v>7845 LCT5</v>
      </c>
      <c r="AA1828" s="3">
        <f>IF(INDEX('CAMD Facility Data 2023'!$AA$2:$AE$10000,MATCH(Z1828,'CAMD Facility Data 2023'!$AE$2:$AE$10000,0),1)&gt;0,INDEX('CAMD Facility Data 2023'!$AA$2:$AE$10000,MATCH(Z1828,'CAMD Facility Data 2023'!$AE$2:$AE$10000,0),1),"")</f>
        <v>37012</v>
      </c>
      <c r="AB1828" s="5">
        <f>IF(INDEX('CAMD Facility Data 2023'!$AC$2:$AE$10000,MATCH(Z1828,'CAMD Facility Data 2023'!$AE$2:$AE$10000,0),1)&gt;0,INDEX('CAMD Facility Data 2023'!$AC$2:$AE$10000,MATCH(Z1828,'CAMD Facility Data 2023'!$AE$2:$AE$10000,0),1),"")</f>
        <v>1175.4000000000001</v>
      </c>
      <c r="AC1828" s="1" t="str">
        <f>IF(INDEX('CAMD Facility Data 2023'!$AE$2:$AG$10000,MATCH(Z1828,'CAMD Facility Data 2023'!$AE$2:$AE$10000,0),3)&gt;0,INDEX('CAMD Facility Data 2023'!$AE$2:$AG$10000,MATCH(Z1828,'CAMD Facility Data 2023'!$AE$2:$AE$10000,0),3),"")</f>
        <v/>
      </c>
      <c r="AD1828" s="20">
        <f t="shared" si="85"/>
        <v>0.45872385634155338</v>
      </c>
      <c r="AE1828" s="25">
        <f t="shared" si="86"/>
        <v>5.5397844744196675E-3</v>
      </c>
    </row>
    <row r="1829" spans="1:31" x14ac:dyDescent="0.2">
      <c r="A1829" s="1" t="s">
        <v>2762</v>
      </c>
      <c r="B1829" s="1" t="s">
        <v>4351</v>
      </c>
      <c r="C1829" s="1">
        <v>7845</v>
      </c>
      <c r="D1829" s="1" t="s">
        <v>4373</v>
      </c>
      <c r="F1829" s="1">
        <v>2023</v>
      </c>
      <c r="G1829" s="5">
        <v>133</v>
      </c>
      <c r="H1829" s="5">
        <v>102.93</v>
      </c>
      <c r="I1829" s="5">
        <v>6626.57</v>
      </c>
      <c r="K1829" s="5">
        <v>2.5999999999999999E-2</v>
      </c>
      <c r="L1829" s="5">
        <v>1E-3</v>
      </c>
      <c r="M1829" s="5">
        <v>5060.991</v>
      </c>
      <c r="N1829" s="6">
        <v>5.91E-2</v>
      </c>
      <c r="O1829" s="5">
        <v>1.5429999999999999</v>
      </c>
      <c r="P1829" s="6">
        <v>4.4400000000000002E-2</v>
      </c>
      <c r="Q1829" s="5">
        <v>85163.062000000005</v>
      </c>
      <c r="R1829" s="1" t="s">
        <v>44</v>
      </c>
      <c r="S1829" s="1" t="s">
        <v>94</v>
      </c>
      <c r="T1829" s="1" t="s">
        <v>93</v>
      </c>
      <c r="V1829" s="1" t="s">
        <v>183</v>
      </c>
      <c r="Y1829" s="1" t="s">
        <v>1207</v>
      </c>
      <c r="Z1829" s="1" t="str">
        <f t="shared" si="84"/>
        <v>7845 LCT6</v>
      </c>
      <c r="AA1829" s="3">
        <f>IF(INDEX('CAMD Facility Data 2023'!$AA$2:$AE$10000,MATCH(Z1829,'CAMD Facility Data 2023'!$AE$2:$AE$10000,0),1)&gt;0,INDEX('CAMD Facility Data 2023'!$AA$2:$AE$10000,MATCH(Z1829,'CAMD Facility Data 2023'!$AE$2:$AE$10000,0),1),"")</f>
        <v>37020</v>
      </c>
      <c r="AB1829" s="5">
        <f>IF(INDEX('CAMD Facility Data 2023'!$AC$2:$AE$10000,MATCH(Z1829,'CAMD Facility Data 2023'!$AE$2:$AE$10000,0),1)&gt;0,INDEX('CAMD Facility Data 2023'!$AC$2:$AE$10000,MATCH(Z1829,'CAMD Facility Data 2023'!$AE$2:$AE$10000,0),1),"")</f>
        <v>1175.4000000000001</v>
      </c>
      <c r="AC1829" s="1" t="str">
        <f>IF(INDEX('CAMD Facility Data 2023'!$AE$2:$AG$10000,MATCH(Z1829,'CAMD Facility Data 2023'!$AE$2:$AE$10000,0),3)&gt;0,INDEX('CAMD Facility Data 2023'!$AE$2:$AG$10000,MATCH(Z1829,'CAMD Facility Data 2023'!$AE$2:$AE$10000,0),3),"")</f>
        <v/>
      </c>
      <c r="AD1829" s="20">
        <f t="shared" si="85"/>
        <v>0.4657009584143833</v>
      </c>
      <c r="AE1829" s="25">
        <f t="shared" si="86"/>
        <v>8.271065790874263E-3</v>
      </c>
    </row>
    <row r="1830" spans="1:31" x14ac:dyDescent="0.2">
      <c r="A1830" s="1" t="s">
        <v>2762</v>
      </c>
      <c r="B1830" s="1" t="s">
        <v>4351</v>
      </c>
      <c r="C1830" s="1">
        <v>7845</v>
      </c>
      <c r="D1830" s="1" t="s">
        <v>4374</v>
      </c>
      <c r="F1830" s="1">
        <v>2023</v>
      </c>
      <c r="G1830" s="5">
        <v>109</v>
      </c>
      <c r="H1830" s="5">
        <v>82.71</v>
      </c>
      <c r="I1830" s="5">
        <v>5354.41</v>
      </c>
      <c r="K1830" s="5">
        <v>0.02</v>
      </c>
      <c r="L1830" s="5">
        <v>1E-3</v>
      </c>
      <c r="M1830" s="5">
        <v>3940.2869999999998</v>
      </c>
      <c r="N1830" s="6">
        <v>5.91E-2</v>
      </c>
      <c r="O1830" s="5">
        <v>1.298</v>
      </c>
      <c r="P1830" s="6">
        <v>5.0200000000000002E-2</v>
      </c>
      <c r="Q1830" s="5">
        <v>66306.600000000006</v>
      </c>
      <c r="R1830" s="1" t="s">
        <v>44</v>
      </c>
      <c r="S1830" s="1" t="s">
        <v>94</v>
      </c>
      <c r="T1830" s="1" t="s">
        <v>93</v>
      </c>
      <c r="V1830" s="1" t="s">
        <v>183</v>
      </c>
      <c r="Y1830" s="1" t="s">
        <v>1207</v>
      </c>
      <c r="Z1830" s="1" t="str">
        <f t="shared" si="84"/>
        <v>7845 LCT7</v>
      </c>
      <c r="AA1830" s="3">
        <f>IF(INDEX('CAMD Facility Data 2023'!$AA$2:$AE$10000,MATCH(Z1830,'CAMD Facility Data 2023'!$AE$2:$AE$10000,0),1)&gt;0,INDEX('CAMD Facility Data 2023'!$AA$2:$AE$10000,MATCH(Z1830,'CAMD Facility Data 2023'!$AE$2:$AE$10000,0),1),"")</f>
        <v>37029</v>
      </c>
      <c r="AB1830" s="5">
        <f>IF(INDEX('CAMD Facility Data 2023'!$AC$2:$AE$10000,MATCH(Z1830,'CAMD Facility Data 2023'!$AE$2:$AE$10000,0),1)&gt;0,INDEX('CAMD Facility Data 2023'!$AC$2:$AE$10000,MATCH(Z1830,'CAMD Facility Data 2023'!$AE$2:$AE$10000,0),1),"")</f>
        <v>1175.4000000000001</v>
      </c>
      <c r="AC1830" s="1" t="str">
        <f>IF(INDEX('CAMD Facility Data 2023'!$AE$2:$AG$10000,MATCH(Z1830,'CAMD Facility Data 2023'!$AE$2:$AE$10000,0),3)&gt;0,INDEX('CAMD Facility Data 2023'!$AE$2:$AG$10000,MATCH(Z1830,'CAMD Facility Data 2023'!$AE$2:$AE$10000,0),3),"")</f>
        <v/>
      </c>
      <c r="AD1830" s="20">
        <f t="shared" si="85"/>
        <v>0.48483399664949078</v>
      </c>
      <c r="AE1830" s="25">
        <f t="shared" si="86"/>
        <v>6.4397197339990352E-3</v>
      </c>
    </row>
    <row r="1831" spans="1:31" x14ac:dyDescent="0.2">
      <c r="A1831" s="1" t="s">
        <v>2762</v>
      </c>
      <c r="B1831" s="1" t="s">
        <v>4351</v>
      </c>
      <c r="C1831" s="1">
        <v>7845</v>
      </c>
      <c r="D1831" s="1" t="s">
        <v>4375</v>
      </c>
      <c r="F1831" s="1">
        <v>2023</v>
      </c>
      <c r="G1831" s="5">
        <v>121</v>
      </c>
      <c r="H1831" s="5">
        <v>91.34</v>
      </c>
      <c r="I1831" s="5">
        <v>5771.9</v>
      </c>
      <c r="K1831" s="5">
        <v>2.1999999999999999E-2</v>
      </c>
      <c r="L1831" s="5">
        <v>1E-3</v>
      </c>
      <c r="M1831" s="5">
        <v>4330.88</v>
      </c>
      <c r="N1831" s="6">
        <v>5.91E-2</v>
      </c>
      <c r="O1831" s="5">
        <v>1.385</v>
      </c>
      <c r="P1831" s="6">
        <v>5.1499999999999997E-2</v>
      </c>
      <c r="Q1831" s="5">
        <v>72870.921000000002</v>
      </c>
      <c r="R1831" s="1" t="s">
        <v>44</v>
      </c>
      <c r="S1831" s="1" t="s">
        <v>94</v>
      </c>
      <c r="T1831" s="1" t="s">
        <v>93</v>
      </c>
      <c r="V1831" s="1" t="s">
        <v>183</v>
      </c>
      <c r="Y1831" s="1" t="s">
        <v>1207</v>
      </c>
      <c r="Z1831" s="1" t="str">
        <f t="shared" si="84"/>
        <v>7845 LCT8</v>
      </c>
      <c r="AA1831" s="3">
        <f>IF(INDEX('CAMD Facility Data 2023'!$AA$2:$AE$10000,MATCH(Z1831,'CAMD Facility Data 2023'!$AE$2:$AE$10000,0),1)&gt;0,INDEX('CAMD Facility Data 2023'!$AA$2:$AE$10000,MATCH(Z1831,'CAMD Facility Data 2023'!$AE$2:$AE$10000,0),1),"")</f>
        <v>37043</v>
      </c>
      <c r="AB1831" s="5">
        <f>IF(INDEX('CAMD Facility Data 2023'!$AC$2:$AE$10000,MATCH(Z1831,'CAMD Facility Data 2023'!$AE$2:$AE$10000,0),1)&gt;0,INDEX('CAMD Facility Data 2023'!$AC$2:$AE$10000,MATCH(Z1831,'CAMD Facility Data 2023'!$AE$2:$AE$10000,0),1),"")</f>
        <v>1175.4000000000001</v>
      </c>
      <c r="AC1831" s="1" t="str">
        <f>IF(INDEX('CAMD Facility Data 2023'!$AE$2:$AG$10000,MATCH(Z1831,'CAMD Facility Data 2023'!$AE$2:$AE$10000,0),3)&gt;0,INDEX('CAMD Facility Data 2023'!$AE$2:$AG$10000,MATCH(Z1831,'CAMD Facility Data 2023'!$AE$2:$AE$10000,0),3),"")</f>
        <v/>
      </c>
      <c r="AD1831" s="20">
        <f t="shared" si="85"/>
        <v>0.47991129437446944</v>
      </c>
      <c r="AE1831" s="25">
        <f t="shared" si="86"/>
        <v>7.0772488409658269E-3</v>
      </c>
    </row>
    <row r="1832" spans="1:31" x14ac:dyDescent="0.2">
      <c r="A1832" s="1" t="s">
        <v>2762</v>
      </c>
      <c r="B1832" s="1" t="s">
        <v>4351</v>
      </c>
      <c r="C1832" s="1">
        <v>7845</v>
      </c>
      <c r="D1832" s="1" t="s">
        <v>4376</v>
      </c>
      <c r="F1832" s="1">
        <v>2023</v>
      </c>
      <c r="G1832" s="5">
        <v>109</v>
      </c>
      <c r="H1832" s="5">
        <v>79.36</v>
      </c>
      <c r="I1832" s="5">
        <v>5061.47</v>
      </c>
      <c r="K1832" s="5">
        <v>0.03</v>
      </c>
      <c r="L1832" s="5">
        <v>3.8E-3</v>
      </c>
      <c r="M1832" s="5">
        <v>3636.2310000000002</v>
      </c>
      <c r="N1832" s="6">
        <v>6.0299999999999999E-2</v>
      </c>
      <c r="O1832" s="5">
        <v>1.2190000000000001</v>
      </c>
      <c r="P1832" s="6">
        <v>5.2299999999999999E-2</v>
      </c>
      <c r="Q1832" s="5">
        <v>61013.819000000003</v>
      </c>
      <c r="R1832" s="1" t="s">
        <v>44</v>
      </c>
      <c r="S1832" s="1" t="s">
        <v>94</v>
      </c>
      <c r="T1832" s="1" t="s">
        <v>93</v>
      </c>
      <c r="V1832" s="1" t="s">
        <v>183</v>
      </c>
      <c r="Y1832" s="1" t="s">
        <v>1207</v>
      </c>
      <c r="Z1832" s="1" t="str">
        <f t="shared" si="84"/>
        <v>7845 LCT9</v>
      </c>
      <c r="AA1832" s="3">
        <f>IF(INDEX('CAMD Facility Data 2023'!$AA$2:$AE$10000,MATCH(Z1832,'CAMD Facility Data 2023'!$AE$2:$AE$10000,0),1)&gt;0,INDEX('CAMD Facility Data 2023'!$AA$2:$AE$10000,MATCH(Z1832,'CAMD Facility Data 2023'!$AE$2:$AE$10000,0),1),"")</f>
        <v>37348</v>
      </c>
      <c r="AB1832" s="5">
        <f>IF(INDEX('CAMD Facility Data 2023'!$AC$2:$AE$10000,MATCH(Z1832,'CAMD Facility Data 2023'!$AE$2:$AE$10000,0),1)&gt;0,INDEX('CAMD Facility Data 2023'!$AC$2:$AE$10000,MATCH(Z1832,'CAMD Facility Data 2023'!$AE$2:$AE$10000,0),1),"")</f>
        <v>1175.4000000000001</v>
      </c>
      <c r="AC1832" s="1" t="str">
        <f>IF(INDEX('CAMD Facility Data 2023'!$AE$2:$AG$10000,MATCH(Z1832,'CAMD Facility Data 2023'!$AE$2:$AE$10000,0),3)&gt;0,INDEX('CAMD Facility Data 2023'!$AE$2:$AG$10000,MATCH(Z1832,'CAMD Facility Data 2023'!$AE$2:$AE$10000,0),3),"")</f>
        <v/>
      </c>
      <c r="AD1832" s="20">
        <f t="shared" si="85"/>
        <v>0.48167824762371403</v>
      </c>
      <c r="AE1832" s="25">
        <f t="shared" si="86"/>
        <v>5.9256830279481275E-3</v>
      </c>
    </row>
    <row r="1833" spans="1:31" x14ac:dyDescent="0.2">
      <c r="A1833" s="1" t="s">
        <v>304</v>
      </c>
      <c r="B1833" s="1" t="s">
        <v>4378</v>
      </c>
      <c r="C1833" s="1">
        <v>7846</v>
      </c>
      <c r="D1833" s="1">
        <v>1</v>
      </c>
      <c r="F1833" s="1">
        <v>2023</v>
      </c>
      <c r="G1833" s="5">
        <v>3494</v>
      </c>
      <c r="H1833" s="5">
        <v>3412.73</v>
      </c>
      <c r="I1833" s="5">
        <v>484786.35</v>
      </c>
      <c r="K1833" s="5">
        <v>1.337</v>
      </c>
      <c r="L1833" s="5">
        <v>1E-3</v>
      </c>
      <c r="M1833" s="5">
        <v>264868.97200000001</v>
      </c>
      <c r="N1833" s="6">
        <v>5.8999999999999997E-2</v>
      </c>
      <c r="O1833" s="5">
        <v>75.613</v>
      </c>
      <c r="P1833" s="6">
        <v>3.5299999999999998E-2</v>
      </c>
      <c r="Q1833" s="5">
        <v>4455605.9819999998</v>
      </c>
      <c r="R1833" s="1" t="s">
        <v>44</v>
      </c>
      <c r="S1833" s="1" t="s">
        <v>94</v>
      </c>
      <c r="T1833" s="1" t="s">
        <v>93</v>
      </c>
      <c r="V1833" s="1" t="s">
        <v>183</v>
      </c>
      <c r="Y1833" s="1" t="s">
        <v>247</v>
      </c>
      <c r="Z1833" s="1" t="str">
        <f t="shared" si="84"/>
        <v>7846 1</v>
      </c>
      <c r="AA1833" s="3">
        <f>IF(INDEX('CAMD Facility Data 2023'!$AA$2:$AE$10000,MATCH(Z1833,'CAMD Facility Data 2023'!$AE$2:$AE$10000,0),1)&gt;0,INDEX('CAMD Facility Data 2023'!$AA$2:$AE$10000,MATCH(Z1833,'CAMD Facility Data 2023'!$AE$2:$AE$10000,0),1),"")</f>
        <v>37042</v>
      </c>
      <c r="AB1833" s="5">
        <f>IF(INDEX('CAMD Facility Data 2023'!$AC$2:$AE$10000,MATCH(Z1833,'CAMD Facility Data 2023'!$AE$2:$AE$10000,0),1)&gt;0,INDEX('CAMD Facility Data 2023'!$AC$2:$AE$10000,MATCH(Z1833,'CAMD Facility Data 2023'!$AE$2:$AE$10000,0),1),"")</f>
        <v>1822</v>
      </c>
      <c r="AC1833" s="1" t="str">
        <f>IF(INDEX('CAMD Facility Data 2023'!$AE$2:$AG$10000,MATCH(Z1833,'CAMD Facility Data 2023'!$AE$2:$AE$10000,0),3)&gt;0,INDEX('CAMD Facility Data 2023'!$AE$2:$AG$10000,MATCH(Z1833,'CAMD Facility Data 2023'!$AE$2:$AE$10000,0),3),"")</f>
        <v/>
      </c>
      <c r="AD1833" s="20">
        <f t="shared" si="85"/>
        <v>0.31194360154736206</v>
      </c>
      <c r="AE1833" s="25">
        <f t="shared" si="86"/>
        <v>0.27916071342646198</v>
      </c>
    </row>
    <row r="1834" spans="1:31" x14ac:dyDescent="0.2">
      <c r="A1834" s="1" t="s">
        <v>304</v>
      </c>
      <c r="B1834" s="1" t="s">
        <v>4378</v>
      </c>
      <c r="C1834" s="1">
        <v>7846</v>
      </c>
      <c r="D1834" s="1">
        <v>2</v>
      </c>
      <c r="F1834" s="1">
        <v>2023</v>
      </c>
      <c r="G1834" s="5">
        <v>6887</v>
      </c>
      <c r="H1834" s="5">
        <v>6879.58</v>
      </c>
      <c r="I1834" s="5">
        <v>1330374.1200000001</v>
      </c>
      <c r="K1834" s="5">
        <v>3.9510000000000001</v>
      </c>
      <c r="L1834" s="5">
        <v>1E-3</v>
      </c>
      <c r="M1834" s="5">
        <v>782705.20799999998</v>
      </c>
      <c r="N1834" s="6">
        <v>5.8999999999999997E-2</v>
      </c>
      <c r="O1834" s="5">
        <v>59.445</v>
      </c>
      <c r="P1834" s="6">
        <v>9.1000000000000004E-3</v>
      </c>
      <c r="Q1834" s="5">
        <v>13170582.263</v>
      </c>
      <c r="R1834" s="1" t="s">
        <v>44</v>
      </c>
      <c r="S1834" s="1" t="s">
        <v>94</v>
      </c>
      <c r="T1834" s="1" t="s">
        <v>71</v>
      </c>
      <c r="V1834" s="1" t="s">
        <v>4380</v>
      </c>
      <c r="Y1834" s="1" t="s">
        <v>247</v>
      </c>
      <c r="Z1834" s="1" t="str">
        <f t="shared" si="84"/>
        <v>7846 2</v>
      </c>
      <c r="AA1834" s="3">
        <f>IF(INDEX('CAMD Facility Data 2023'!$AA$2:$AE$10000,MATCH(Z1834,'CAMD Facility Data 2023'!$AE$2:$AE$10000,0),1)&gt;0,INDEX('CAMD Facility Data 2023'!$AA$2:$AE$10000,MATCH(Z1834,'CAMD Facility Data 2023'!$AE$2:$AE$10000,0),1),"")</f>
        <v>37042</v>
      </c>
      <c r="AB1834" s="5">
        <f>IF(INDEX('CAMD Facility Data 2023'!$AC$2:$AE$10000,MATCH(Z1834,'CAMD Facility Data 2023'!$AE$2:$AE$10000,0),1)&gt;0,INDEX('CAMD Facility Data 2023'!$AC$2:$AE$10000,MATCH(Z1834,'CAMD Facility Data 2023'!$AE$2:$AE$10000,0),1),"")</f>
        <v>2170</v>
      </c>
      <c r="AC1834" s="1" t="str">
        <f>IF(INDEX('CAMD Facility Data 2023'!$AE$2:$AG$10000,MATCH(Z1834,'CAMD Facility Data 2023'!$AE$2:$AE$10000,0),3)&gt;0,INDEX('CAMD Facility Data 2023'!$AE$2:$AG$10000,MATCH(Z1834,'CAMD Facility Data 2023'!$AE$2:$AE$10000,0),3),"")</f>
        <v>Y</v>
      </c>
      <c r="AD1834" s="20">
        <f t="shared" si="85"/>
        <v>8.9365839437706429E-2</v>
      </c>
      <c r="AE1834" s="25">
        <f t="shared" si="86"/>
        <v>0.69285305341624059</v>
      </c>
    </row>
    <row r="1835" spans="1:31" x14ac:dyDescent="0.2">
      <c r="A1835" s="1" t="s">
        <v>304</v>
      </c>
      <c r="B1835" s="1" t="s">
        <v>4378</v>
      </c>
      <c r="C1835" s="1">
        <v>7846</v>
      </c>
      <c r="D1835" s="1">
        <v>3</v>
      </c>
      <c r="F1835" s="1">
        <v>2023</v>
      </c>
      <c r="G1835" s="5">
        <v>7767</v>
      </c>
      <c r="H1835" s="5">
        <v>7759.71</v>
      </c>
      <c r="I1835" s="5">
        <v>1492363.84</v>
      </c>
      <c r="K1835" s="5">
        <v>4.4779999999999998</v>
      </c>
      <c r="L1835" s="5">
        <v>1E-3</v>
      </c>
      <c r="M1835" s="5">
        <v>887083.57700000005</v>
      </c>
      <c r="N1835" s="6">
        <v>5.8999999999999997E-2</v>
      </c>
      <c r="O1835" s="5">
        <v>67.832999999999998</v>
      </c>
      <c r="P1835" s="6">
        <v>9.2999999999999992E-3</v>
      </c>
      <c r="Q1835" s="5">
        <v>14926833.545</v>
      </c>
      <c r="R1835" s="1" t="s">
        <v>44</v>
      </c>
      <c r="S1835" s="1" t="s">
        <v>94</v>
      </c>
      <c r="T1835" s="1" t="s">
        <v>71</v>
      </c>
      <c r="V1835" s="1" t="s">
        <v>4380</v>
      </c>
      <c r="Y1835" s="1" t="s">
        <v>247</v>
      </c>
      <c r="Z1835" s="1" t="str">
        <f t="shared" si="84"/>
        <v>7846 3</v>
      </c>
      <c r="AA1835" s="3">
        <f>IF(INDEX('CAMD Facility Data 2023'!$AA$2:$AE$10000,MATCH(Z1835,'CAMD Facility Data 2023'!$AE$2:$AE$10000,0),1)&gt;0,INDEX('CAMD Facility Data 2023'!$AA$2:$AE$10000,MATCH(Z1835,'CAMD Facility Data 2023'!$AE$2:$AE$10000,0),1),"")</f>
        <v>37166</v>
      </c>
      <c r="AB1835" s="5">
        <f>IF(INDEX('CAMD Facility Data 2023'!$AC$2:$AE$10000,MATCH(Z1835,'CAMD Facility Data 2023'!$AE$2:$AE$10000,0),1)&gt;0,INDEX('CAMD Facility Data 2023'!$AC$2:$AE$10000,MATCH(Z1835,'CAMD Facility Data 2023'!$AE$2:$AE$10000,0),1),"")</f>
        <v>2170</v>
      </c>
      <c r="AC1835" s="1" t="str">
        <f>IF(INDEX('CAMD Facility Data 2023'!$AE$2:$AG$10000,MATCH(Z1835,'CAMD Facility Data 2023'!$AE$2:$AE$10000,0),3)&gt;0,INDEX('CAMD Facility Data 2023'!$AE$2:$AG$10000,MATCH(Z1835,'CAMD Facility Data 2023'!$AE$2:$AE$10000,0),3),"")</f>
        <v>Y</v>
      </c>
      <c r="AD1835" s="20">
        <f t="shared" si="85"/>
        <v>9.0906785841179311E-2</v>
      </c>
      <c r="AE1835" s="25">
        <f t="shared" si="86"/>
        <v>0.78524259542747721</v>
      </c>
    </row>
    <row r="1836" spans="1:31" x14ac:dyDescent="0.2">
      <c r="A1836" s="1" t="s">
        <v>1755</v>
      </c>
      <c r="B1836" s="1" t="s">
        <v>4383</v>
      </c>
      <c r="C1836" s="1">
        <v>7848</v>
      </c>
      <c r="D1836" s="1">
        <v>1</v>
      </c>
      <c r="F1836" s="1">
        <v>2023</v>
      </c>
      <c r="G1836" s="5">
        <v>1090</v>
      </c>
      <c r="H1836" s="5">
        <v>955.26</v>
      </c>
      <c r="I1836" s="5">
        <v>72240.56</v>
      </c>
      <c r="K1836" s="5">
        <v>0.27900000000000003</v>
      </c>
      <c r="L1836" s="5">
        <v>1E-3</v>
      </c>
      <c r="M1836" s="5">
        <v>55320.633000000002</v>
      </c>
      <c r="N1836" s="6">
        <v>5.8999999999999997E-2</v>
      </c>
      <c r="O1836" s="5">
        <v>12.03</v>
      </c>
      <c r="P1836" s="6">
        <v>3.1399999999999997E-2</v>
      </c>
      <c r="Q1836" s="5">
        <v>930517.95900000003</v>
      </c>
      <c r="R1836" s="1" t="s">
        <v>44</v>
      </c>
      <c r="S1836" s="1" t="s">
        <v>94</v>
      </c>
      <c r="T1836" s="1" t="s">
        <v>93</v>
      </c>
      <c r="V1836" s="1" t="s">
        <v>183</v>
      </c>
      <c r="Y1836" s="1" t="s">
        <v>1207</v>
      </c>
      <c r="Z1836" s="1" t="str">
        <f t="shared" si="84"/>
        <v>7848 1</v>
      </c>
      <c r="AA1836" s="3">
        <f>IF(INDEX('CAMD Facility Data 2023'!$AA$2:$AE$10000,MATCH(Z1836,'CAMD Facility Data 2023'!$AE$2:$AE$10000,0),1)&gt;0,INDEX('CAMD Facility Data 2023'!$AA$2:$AE$10000,MATCH(Z1836,'CAMD Facility Data 2023'!$AE$2:$AE$10000,0),1),"")</f>
        <v>37408</v>
      </c>
      <c r="AB1836" s="5">
        <f>IF(INDEX('CAMD Facility Data 2023'!$AC$2:$AE$10000,MATCH(Z1836,'CAMD Facility Data 2023'!$AE$2:$AE$10000,0),1)&gt;0,INDEX('CAMD Facility Data 2023'!$AC$2:$AE$10000,MATCH(Z1836,'CAMD Facility Data 2023'!$AE$2:$AE$10000,0),1),"")</f>
        <v>1406</v>
      </c>
      <c r="AC1836" s="1" t="str">
        <f>IF(INDEX('CAMD Facility Data 2023'!$AE$2:$AG$10000,MATCH(Z1836,'CAMD Facility Data 2023'!$AE$2:$AE$10000,0),3)&gt;0,INDEX('CAMD Facility Data 2023'!$AE$2:$AG$10000,MATCH(Z1836,'CAMD Facility Data 2023'!$AE$2:$AE$10000,0),3),"")</f>
        <v/>
      </c>
      <c r="AD1836" s="20">
        <f t="shared" si="85"/>
        <v>0.33305389659216372</v>
      </c>
      <c r="AE1836" s="25">
        <f t="shared" si="86"/>
        <v>7.5550150285469325E-2</v>
      </c>
    </row>
    <row r="1837" spans="1:31" x14ac:dyDescent="0.2">
      <c r="A1837" s="1" t="s">
        <v>1755</v>
      </c>
      <c r="B1837" s="1" t="s">
        <v>4383</v>
      </c>
      <c r="C1837" s="1">
        <v>7848</v>
      </c>
      <c r="D1837" s="1">
        <v>2</v>
      </c>
      <c r="F1837" s="1">
        <v>2023</v>
      </c>
      <c r="G1837" s="5">
        <v>966</v>
      </c>
      <c r="H1837" s="5">
        <v>846.04</v>
      </c>
      <c r="I1837" s="5">
        <v>64378.8</v>
      </c>
      <c r="K1837" s="5">
        <v>0.25</v>
      </c>
      <c r="L1837" s="5">
        <v>1E-3</v>
      </c>
      <c r="M1837" s="5">
        <v>49479.044999999998</v>
      </c>
      <c r="N1837" s="6">
        <v>5.91E-2</v>
      </c>
      <c r="O1837" s="5">
        <v>9.9130000000000003</v>
      </c>
      <c r="P1837" s="6">
        <v>2.9600000000000001E-2</v>
      </c>
      <c r="Q1837" s="5">
        <v>832196.375</v>
      </c>
      <c r="R1837" s="1" t="s">
        <v>44</v>
      </c>
      <c r="S1837" s="1" t="s">
        <v>94</v>
      </c>
      <c r="T1837" s="1" t="s">
        <v>93</v>
      </c>
      <c r="V1837" s="1" t="s">
        <v>183</v>
      </c>
      <c r="Y1837" s="1" t="s">
        <v>1207</v>
      </c>
      <c r="Z1837" s="1" t="str">
        <f t="shared" si="84"/>
        <v>7848 2</v>
      </c>
      <c r="AA1837" s="3">
        <f>IF(INDEX('CAMD Facility Data 2023'!$AA$2:$AE$10000,MATCH(Z1837,'CAMD Facility Data 2023'!$AE$2:$AE$10000,0),1)&gt;0,INDEX('CAMD Facility Data 2023'!$AA$2:$AE$10000,MATCH(Z1837,'CAMD Facility Data 2023'!$AE$2:$AE$10000,0),1),"")</f>
        <v>37408</v>
      </c>
      <c r="AB1837" s="5">
        <f>IF(INDEX('CAMD Facility Data 2023'!$AC$2:$AE$10000,MATCH(Z1837,'CAMD Facility Data 2023'!$AE$2:$AE$10000,0),1)&gt;0,INDEX('CAMD Facility Data 2023'!$AC$2:$AE$10000,MATCH(Z1837,'CAMD Facility Data 2023'!$AE$2:$AE$10000,0),1),"")</f>
        <v>1406</v>
      </c>
      <c r="AC1837" s="1" t="str">
        <f>IF(INDEX('CAMD Facility Data 2023'!$AE$2:$AG$10000,MATCH(Z1837,'CAMD Facility Data 2023'!$AE$2:$AE$10000,0),3)&gt;0,INDEX('CAMD Facility Data 2023'!$AE$2:$AG$10000,MATCH(Z1837,'CAMD Facility Data 2023'!$AE$2:$AE$10000,0),3),"")</f>
        <v/>
      </c>
      <c r="AD1837" s="20">
        <f t="shared" si="85"/>
        <v>0.30795852050675065</v>
      </c>
      <c r="AE1837" s="25">
        <f t="shared" si="86"/>
        <v>6.756727324837454E-2</v>
      </c>
    </row>
    <row r="1838" spans="1:31" x14ac:dyDescent="0.2">
      <c r="A1838" s="1" t="s">
        <v>1755</v>
      </c>
      <c r="B1838" s="1" t="s">
        <v>4383</v>
      </c>
      <c r="C1838" s="1">
        <v>7848</v>
      </c>
      <c r="D1838" s="1">
        <v>3</v>
      </c>
      <c r="F1838" s="1">
        <v>2023</v>
      </c>
      <c r="G1838" s="5">
        <v>882</v>
      </c>
      <c r="H1838" s="5">
        <v>768.25</v>
      </c>
      <c r="I1838" s="5">
        <v>58389.89</v>
      </c>
      <c r="K1838" s="5">
        <v>0.22500000000000001</v>
      </c>
      <c r="L1838" s="5">
        <v>1E-3</v>
      </c>
      <c r="M1838" s="5">
        <v>44592.124000000003</v>
      </c>
      <c r="N1838" s="6">
        <v>5.8999999999999997E-2</v>
      </c>
      <c r="O1838" s="5">
        <v>9.2789999999999999</v>
      </c>
      <c r="P1838" s="6">
        <v>3.09E-2</v>
      </c>
      <c r="Q1838" s="5">
        <v>750051.63100000005</v>
      </c>
      <c r="R1838" s="1" t="s">
        <v>44</v>
      </c>
      <c r="S1838" s="1" t="s">
        <v>94</v>
      </c>
      <c r="T1838" s="1" t="s">
        <v>93</v>
      </c>
      <c r="V1838" s="1" t="s">
        <v>183</v>
      </c>
      <c r="Y1838" s="1" t="s">
        <v>1207</v>
      </c>
      <c r="Z1838" s="1" t="str">
        <f t="shared" si="84"/>
        <v>7848 3</v>
      </c>
      <c r="AA1838" s="3">
        <f>IF(INDEX('CAMD Facility Data 2023'!$AA$2:$AE$10000,MATCH(Z1838,'CAMD Facility Data 2023'!$AE$2:$AE$10000,0),1)&gt;0,INDEX('CAMD Facility Data 2023'!$AA$2:$AE$10000,MATCH(Z1838,'CAMD Facility Data 2023'!$AE$2:$AE$10000,0),1),"")</f>
        <v>37408</v>
      </c>
      <c r="AB1838" s="5">
        <f>IF(INDEX('CAMD Facility Data 2023'!$AC$2:$AE$10000,MATCH(Z1838,'CAMD Facility Data 2023'!$AE$2:$AE$10000,0),1)&gt;0,INDEX('CAMD Facility Data 2023'!$AC$2:$AE$10000,MATCH(Z1838,'CAMD Facility Data 2023'!$AE$2:$AE$10000,0),1),"")</f>
        <v>1406</v>
      </c>
      <c r="AC1838" s="1" t="str">
        <f>IF(INDEX('CAMD Facility Data 2023'!$AE$2:$AG$10000,MATCH(Z1838,'CAMD Facility Data 2023'!$AE$2:$AE$10000,0),3)&gt;0,INDEX('CAMD Facility Data 2023'!$AE$2:$AG$10000,MATCH(Z1838,'CAMD Facility Data 2023'!$AE$2:$AE$10000,0),3),"")</f>
        <v/>
      </c>
      <c r="AD1838" s="20">
        <f t="shared" si="85"/>
        <v>0.31782899402619186</v>
      </c>
      <c r="AE1838" s="25">
        <f t="shared" si="86"/>
        <v>6.0897818140779575E-2</v>
      </c>
    </row>
    <row r="1839" spans="1:31" x14ac:dyDescent="0.2">
      <c r="A1839" s="1" t="s">
        <v>3167</v>
      </c>
      <c r="B1839" s="1" t="s">
        <v>4389</v>
      </c>
      <c r="C1839" s="1">
        <v>7863</v>
      </c>
      <c r="D1839" s="1">
        <v>1</v>
      </c>
      <c r="F1839" s="1">
        <v>2023</v>
      </c>
      <c r="G1839" s="5">
        <v>531</v>
      </c>
      <c r="H1839" s="5">
        <v>465.64</v>
      </c>
      <c r="I1839" s="5">
        <v>16083.54</v>
      </c>
      <c r="K1839" s="5">
        <v>6.4000000000000001E-2</v>
      </c>
      <c r="L1839" s="5">
        <v>8.0000000000000004E-4</v>
      </c>
      <c r="M1839" s="5">
        <v>11922.3</v>
      </c>
      <c r="N1839" s="6">
        <v>5.91E-2</v>
      </c>
      <c r="O1839" s="5">
        <v>3.645</v>
      </c>
      <c r="P1839" s="6">
        <v>3.6700000000000003E-2</v>
      </c>
      <c r="Q1839" s="5">
        <v>202014.9</v>
      </c>
      <c r="R1839" s="1" t="s">
        <v>44</v>
      </c>
      <c r="S1839" s="1" t="s">
        <v>94</v>
      </c>
      <c r="T1839" s="1" t="s">
        <v>93</v>
      </c>
      <c r="V1839" s="1" t="s">
        <v>183</v>
      </c>
      <c r="Y1839" s="1" t="s">
        <v>461</v>
      </c>
      <c r="Z1839" s="1" t="str">
        <f t="shared" si="84"/>
        <v>7863 1</v>
      </c>
      <c r="AA1839" s="3">
        <f>IF(INDEX('CAMD Facility Data 2023'!$AA$2:$AE$10000,MATCH(Z1839,'CAMD Facility Data 2023'!$AE$2:$AE$10000,0),1)&gt;0,INDEX('CAMD Facility Data 2023'!$AA$2:$AE$10000,MATCH(Z1839,'CAMD Facility Data 2023'!$AE$2:$AE$10000,0),1),"")</f>
        <v>37034</v>
      </c>
      <c r="AB1839" s="5">
        <f>IF(INDEX('CAMD Facility Data 2023'!$AC$2:$AE$10000,MATCH(Z1839,'CAMD Facility Data 2023'!$AE$2:$AE$10000,0),1)&gt;0,INDEX('CAMD Facility Data 2023'!$AC$2:$AE$10000,MATCH(Z1839,'CAMD Facility Data 2023'!$AE$2:$AE$10000,0),1),"")</f>
        <v>565</v>
      </c>
      <c r="AC1839" s="1" t="str">
        <f>IF(INDEX('CAMD Facility Data 2023'!$AE$2:$AG$10000,MATCH(Z1839,'CAMD Facility Data 2023'!$AE$2:$AE$10000,0),3)&gt;0,INDEX('CAMD Facility Data 2023'!$AE$2:$AG$10000,MATCH(Z1839,'CAMD Facility Data 2023'!$AE$2:$AE$10000,0),3),"")</f>
        <v/>
      </c>
      <c r="AD1839" s="20">
        <f t="shared" si="85"/>
        <v>0.45325842445133346</v>
      </c>
      <c r="AE1839" s="25">
        <f t="shared" si="86"/>
        <v>4.0816038307673656E-2</v>
      </c>
    </row>
    <row r="1840" spans="1:31" x14ac:dyDescent="0.2">
      <c r="A1840" s="1" t="s">
        <v>3167</v>
      </c>
      <c r="B1840" s="1" t="s">
        <v>4389</v>
      </c>
      <c r="C1840" s="1">
        <v>7863</v>
      </c>
      <c r="D1840" s="1">
        <v>2</v>
      </c>
      <c r="F1840" s="1">
        <v>2023</v>
      </c>
      <c r="G1840" s="5">
        <v>638</v>
      </c>
      <c r="H1840" s="5">
        <v>561.41</v>
      </c>
      <c r="I1840" s="5">
        <v>19265.46</v>
      </c>
      <c r="K1840" s="5">
        <v>7.9000000000000001E-2</v>
      </c>
      <c r="L1840" s="5">
        <v>8.0000000000000004E-4</v>
      </c>
      <c r="M1840" s="5">
        <v>14623.5</v>
      </c>
      <c r="N1840" s="6">
        <v>5.91E-2</v>
      </c>
      <c r="O1840" s="5">
        <v>4.4740000000000002</v>
      </c>
      <c r="P1840" s="6">
        <v>3.6299999999999999E-2</v>
      </c>
      <c r="Q1840" s="5">
        <v>247781</v>
      </c>
      <c r="R1840" s="1" t="s">
        <v>44</v>
      </c>
      <c r="S1840" s="1" t="s">
        <v>94</v>
      </c>
      <c r="T1840" s="1" t="s">
        <v>93</v>
      </c>
      <c r="V1840" s="1" t="s">
        <v>183</v>
      </c>
      <c r="Y1840" s="1" t="s">
        <v>461</v>
      </c>
      <c r="Z1840" s="1" t="str">
        <f t="shared" si="84"/>
        <v>7863 2</v>
      </c>
      <c r="AA1840" s="3">
        <f>IF(INDEX('CAMD Facility Data 2023'!$AA$2:$AE$10000,MATCH(Z1840,'CAMD Facility Data 2023'!$AE$2:$AE$10000,0),1)&gt;0,INDEX('CAMD Facility Data 2023'!$AA$2:$AE$10000,MATCH(Z1840,'CAMD Facility Data 2023'!$AE$2:$AE$10000,0),1),"")</f>
        <v>37045</v>
      </c>
      <c r="AB1840" s="5">
        <f>IF(INDEX('CAMD Facility Data 2023'!$AC$2:$AE$10000,MATCH(Z1840,'CAMD Facility Data 2023'!$AE$2:$AE$10000,0),1)&gt;0,INDEX('CAMD Facility Data 2023'!$AC$2:$AE$10000,MATCH(Z1840,'CAMD Facility Data 2023'!$AE$2:$AE$10000,0),1),"")</f>
        <v>565</v>
      </c>
      <c r="AC1840" s="1" t="str">
        <f>IF(INDEX('CAMD Facility Data 2023'!$AE$2:$AG$10000,MATCH(Z1840,'CAMD Facility Data 2023'!$AE$2:$AE$10000,0),3)&gt;0,INDEX('CAMD Facility Data 2023'!$AE$2:$AG$10000,MATCH(Z1840,'CAMD Facility Data 2023'!$AE$2:$AE$10000,0),3),"")</f>
        <v/>
      </c>
      <c r="AD1840" s="20">
        <f t="shared" si="85"/>
        <v>0.46445815464567158</v>
      </c>
      <c r="AE1840" s="25">
        <f t="shared" si="86"/>
        <v>5.0062835899300925E-2</v>
      </c>
    </row>
    <row r="1841" spans="1:31" x14ac:dyDescent="0.2">
      <c r="A1841" s="1" t="s">
        <v>2089</v>
      </c>
      <c r="B1841" s="1" t="s">
        <v>4392</v>
      </c>
      <c r="C1841" s="1">
        <v>7869</v>
      </c>
      <c r="D1841" s="1" t="s">
        <v>4393</v>
      </c>
      <c r="F1841" s="1">
        <v>2023</v>
      </c>
      <c r="G1841" s="5">
        <v>0</v>
      </c>
      <c r="H1841" s="5">
        <v>0</v>
      </c>
      <c r="R1841" s="1" t="s">
        <v>94</v>
      </c>
      <c r="T1841" s="1" t="s">
        <v>93</v>
      </c>
      <c r="Y1841" s="1" t="s">
        <v>617</v>
      </c>
      <c r="Z1841" s="1" t="str">
        <f t="shared" si="84"/>
        <v>7869 UGT011</v>
      </c>
      <c r="AA1841" s="3">
        <f>IF(INDEX('CAMD Facility Data 2023'!$AA$2:$AE$10000,MATCH(Z1841,'CAMD Facility Data 2023'!$AE$2:$AE$10000,0),1)&gt;0,INDEX('CAMD Facility Data 2023'!$AA$2:$AE$10000,MATCH(Z1841,'CAMD Facility Data 2023'!$AE$2:$AE$10000,0),1),"")</f>
        <v>24624</v>
      </c>
      <c r="AB1841" s="5">
        <f>IF(INDEX('CAMD Facility Data 2023'!$AC$2:$AE$10000,MATCH(Z1841,'CAMD Facility Data 2023'!$AE$2:$AE$10000,0),1)&gt;0,INDEX('CAMD Facility Data 2023'!$AC$2:$AE$10000,MATCH(Z1841,'CAMD Facility Data 2023'!$AE$2:$AE$10000,0),1),"")</f>
        <v>266</v>
      </c>
      <c r="AC1841" s="1" t="str">
        <f>IF(INDEX('CAMD Facility Data 2023'!$AE$2:$AG$10000,MATCH(Z1841,'CAMD Facility Data 2023'!$AE$2:$AE$10000,0),3)&gt;0,INDEX('CAMD Facility Data 2023'!$AE$2:$AG$10000,MATCH(Z1841,'CAMD Facility Data 2023'!$AE$2:$AE$10000,0),3),"")</f>
        <v/>
      </c>
      <c r="AD1841" s="20" t="str">
        <f t="shared" si="85"/>
        <v/>
      </c>
      <c r="AE1841" s="25">
        <f t="shared" si="86"/>
        <v>0</v>
      </c>
    </row>
    <row r="1842" spans="1:31" x14ac:dyDescent="0.2">
      <c r="A1842" s="1" t="s">
        <v>2089</v>
      </c>
      <c r="B1842" s="1" t="s">
        <v>4392</v>
      </c>
      <c r="C1842" s="1">
        <v>7869</v>
      </c>
      <c r="D1842" s="1" t="s">
        <v>4394</v>
      </c>
      <c r="F1842" s="1">
        <v>2023</v>
      </c>
      <c r="G1842" s="5">
        <v>1972</v>
      </c>
      <c r="H1842" s="5">
        <v>1639.42</v>
      </c>
      <c r="I1842" s="5">
        <v>72492.03</v>
      </c>
      <c r="K1842" s="5">
        <v>0.215</v>
      </c>
      <c r="L1842" s="5">
        <v>1E-3</v>
      </c>
      <c r="M1842" s="5">
        <v>42581.913999999997</v>
      </c>
      <c r="N1842" s="6">
        <v>5.9400000000000001E-2</v>
      </c>
      <c r="O1842" s="5">
        <v>3.5449999999999999</v>
      </c>
      <c r="P1842" s="6">
        <v>3.2000000000000001E-2</v>
      </c>
      <c r="Q1842" s="5">
        <v>715433.76300000004</v>
      </c>
      <c r="R1842" s="1" t="s">
        <v>44</v>
      </c>
      <c r="S1842" s="1" t="s">
        <v>94</v>
      </c>
      <c r="T1842" s="1" t="s">
        <v>93</v>
      </c>
      <c r="V1842" s="1" t="s">
        <v>176</v>
      </c>
      <c r="Y1842" s="1" t="s">
        <v>1515</v>
      </c>
      <c r="Z1842" s="1" t="str">
        <f t="shared" si="84"/>
        <v>7869 UGT012</v>
      </c>
      <c r="AA1842" s="3">
        <f>IF(INDEX('CAMD Facility Data 2023'!$AA$2:$AE$10000,MATCH(Z1842,'CAMD Facility Data 2023'!$AE$2:$AE$10000,0),1)&gt;0,INDEX('CAMD Facility Data 2023'!$AA$2:$AE$10000,MATCH(Z1842,'CAMD Facility Data 2023'!$AE$2:$AE$10000,0),1),"")</f>
        <v>37408</v>
      </c>
      <c r="AB1842" s="5">
        <f>IF(INDEX('CAMD Facility Data 2023'!$AC$2:$AE$10000,MATCH(Z1842,'CAMD Facility Data 2023'!$AE$2:$AE$10000,0),1)&gt;0,INDEX('CAMD Facility Data 2023'!$AC$2:$AE$10000,MATCH(Z1842,'CAMD Facility Data 2023'!$AE$2:$AE$10000,0),1),"")</f>
        <v>470</v>
      </c>
      <c r="AC1842" s="1" t="str">
        <f>IF(INDEX('CAMD Facility Data 2023'!$AE$2:$AG$10000,MATCH(Z1842,'CAMD Facility Data 2023'!$AE$2:$AE$10000,0),3)&gt;0,INDEX('CAMD Facility Data 2023'!$AE$2:$AG$10000,MATCH(Z1842,'CAMD Facility Data 2023'!$AE$2:$AE$10000,0),3),"")</f>
        <v>Y</v>
      </c>
      <c r="AD1842" s="20">
        <f t="shared" si="85"/>
        <v>9.7803855127246403E-2</v>
      </c>
      <c r="AE1842" s="25">
        <f t="shared" si="86"/>
        <v>0.17376706572427864</v>
      </c>
    </row>
    <row r="1843" spans="1:31" x14ac:dyDescent="0.2">
      <c r="A1843" s="1" t="s">
        <v>2089</v>
      </c>
      <c r="B1843" s="1" t="s">
        <v>4392</v>
      </c>
      <c r="C1843" s="1">
        <v>7869</v>
      </c>
      <c r="D1843" s="1" t="s">
        <v>3906</v>
      </c>
      <c r="F1843" s="1">
        <v>2023</v>
      </c>
      <c r="G1843" s="5">
        <v>2538</v>
      </c>
      <c r="H1843" s="5">
        <v>1998.61</v>
      </c>
      <c r="I1843" s="5">
        <v>89667.4</v>
      </c>
      <c r="K1843" s="5">
        <v>0.26300000000000001</v>
      </c>
      <c r="L1843" s="5">
        <v>1E-3</v>
      </c>
      <c r="M1843" s="5">
        <v>52185.845000000001</v>
      </c>
      <c r="N1843" s="6">
        <v>5.9299999999999999E-2</v>
      </c>
      <c r="O1843" s="5">
        <v>4.4029999999999996</v>
      </c>
      <c r="P1843" s="6">
        <v>4.9200000000000001E-2</v>
      </c>
      <c r="Q1843" s="5">
        <v>877854.58700000006</v>
      </c>
      <c r="R1843" s="1" t="s">
        <v>44</v>
      </c>
      <c r="S1843" s="1" t="s">
        <v>94</v>
      </c>
      <c r="T1843" s="1" t="s">
        <v>93</v>
      </c>
      <c r="V1843" s="1" t="s">
        <v>176</v>
      </c>
      <c r="Y1843" s="1" t="s">
        <v>1515</v>
      </c>
      <c r="Z1843" s="1" t="str">
        <f t="shared" si="84"/>
        <v>7869 UGT013</v>
      </c>
      <c r="AA1843" s="3">
        <f>IF(INDEX('CAMD Facility Data 2023'!$AA$2:$AE$10000,MATCH(Z1843,'CAMD Facility Data 2023'!$AE$2:$AE$10000,0),1)&gt;0,INDEX('CAMD Facility Data 2023'!$AA$2:$AE$10000,MATCH(Z1843,'CAMD Facility Data 2023'!$AE$2:$AE$10000,0),1),"")</f>
        <v>37408</v>
      </c>
      <c r="AB1843" s="5">
        <f>IF(INDEX('CAMD Facility Data 2023'!$AC$2:$AE$10000,MATCH(Z1843,'CAMD Facility Data 2023'!$AE$2:$AE$10000,0),1)&gt;0,INDEX('CAMD Facility Data 2023'!$AC$2:$AE$10000,MATCH(Z1843,'CAMD Facility Data 2023'!$AE$2:$AE$10000,0),1),"")</f>
        <v>470</v>
      </c>
      <c r="AC1843" s="1" t="str">
        <f>IF(INDEX('CAMD Facility Data 2023'!$AE$2:$AG$10000,MATCH(Z1843,'CAMD Facility Data 2023'!$AE$2:$AE$10000,0),3)&gt;0,INDEX('CAMD Facility Data 2023'!$AE$2:$AG$10000,MATCH(Z1843,'CAMD Facility Data 2023'!$AE$2:$AE$10000,0),3),"")</f>
        <v>Y</v>
      </c>
      <c r="AD1843" s="20">
        <f t="shared" si="85"/>
        <v>9.8207375255667057E-2</v>
      </c>
      <c r="AE1843" s="25">
        <f t="shared" si="86"/>
        <v>0.21321640605265715</v>
      </c>
    </row>
    <row r="1844" spans="1:31" x14ac:dyDescent="0.2">
      <c r="A1844" s="1" t="s">
        <v>690</v>
      </c>
      <c r="B1844" s="1" t="s">
        <v>4398</v>
      </c>
      <c r="C1844" s="1">
        <v>7870</v>
      </c>
      <c r="D1844" s="1" t="s">
        <v>311</v>
      </c>
      <c r="F1844" s="1">
        <v>2023</v>
      </c>
      <c r="G1844" s="5">
        <v>6221</v>
      </c>
      <c r="H1844" s="5">
        <v>6206.01</v>
      </c>
      <c r="I1844" s="5">
        <v>211306.15</v>
      </c>
      <c r="K1844" s="5">
        <v>2.7440000000000002</v>
      </c>
      <c r="L1844" s="5">
        <v>2E-3</v>
      </c>
      <c r="M1844" s="5">
        <v>155177.40900000001</v>
      </c>
      <c r="N1844" s="6">
        <v>5.9200000000000003E-2</v>
      </c>
      <c r="O1844" s="5">
        <v>33.064</v>
      </c>
      <c r="P1844" s="6">
        <v>2.5600000000000001E-2</v>
      </c>
      <c r="Q1844" s="5">
        <v>2611172.1970000002</v>
      </c>
      <c r="R1844" s="1" t="s">
        <v>284</v>
      </c>
      <c r="T1844" s="1" t="s">
        <v>71</v>
      </c>
      <c r="V1844" s="1" t="s">
        <v>4050</v>
      </c>
      <c r="Y1844" s="1" t="s">
        <v>247</v>
      </c>
      <c r="Z1844" s="1" t="str">
        <f t="shared" si="84"/>
        <v>7870 CT1</v>
      </c>
      <c r="AA1844" s="3">
        <f>IF(INDEX('CAMD Facility Data 2023'!$AA$2:$AE$10000,MATCH(Z1844,'CAMD Facility Data 2023'!$AE$2:$AE$10000,0),1)&gt;0,INDEX('CAMD Facility Data 2023'!$AA$2:$AE$10000,MATCH(Z1844,'CAMD Facility Data 2023'!$AE$2:$AE$10000,0),1),"")</f>
        <v>34151</v>
      </c>
      <c r="AB1844" s="5">
        <f>IF(INDEX('CAMD Facility Data 2023'!$AC$2:$AE$10000,MATCH(Z1844,'CAMD Facility Data 2023'!$AE$2:$AE$10000,0),1)&gt;0,INDEX('CAMD Facility Data 2023'!$AC$2:$AE$10000,MATCH(Z1844,'CAMD Facility Data 2023'!$AE$2:$AE$10000,0),1),"")</f>
        <v>525</v>
      </c>
      <c r="AC1844" s="1" t="str">
        <f>IF(INDEX('CAMD Facility Data 2023'!$AE$2:$AG$10000,MATCH(Z1844,'CAMD Facility Data 2023'!$AE$2:$AE$10000,0),3)&gt;0,INDEX('CAMD Facility Data 2023'!$AE$2:$AG$10000,MATCH(Z1844,'CAMD Facility Data 2023'!$AE$2:$AE$10000,0),3),"")</f>
        <v>Y</v>
      </c>
      <c r="AD1844" s="20">
        <f t="shared" si="85"/>
        <v>0.31294877124967729</v>
      </c>
      <c r="AE1844" s="25">
        <f t="shared" si="86"/>
        <v>0.56776955794737993</v>
      </c>
    </row>
    <row r="1845" spans="1:31" x14ac:dyDescent="0.2">
      <c r="A1845" s="1" t="s">
        <v>690</v>
      </c>
      <c r="B1845" s="1" t="s">
        <v>4398</v>
      </c>
      <c r="C1845" s="1">
        <v>7870</v>
      </c>
      <c r="D1845" s="1" t="s">
        <v>98</v>
      </c>
      <c r="F1845" s="1">
        <v>2023</v>
      </c>
      <c r="G1845" s="5">
        <v>6144</v>
      </c>
      <c r="H1845" s="5">
        <v>6130.48</v>
      </c>
      <c r="I1845" s="5">
        <v>209232.81</v>
      </c>
      <c r="K1845" s="5">
        <v>2.7370000000000001</v>
      </c>
      <c r="L1845" s="5">
        <v>2E-3</v>
      </c>
      <c r="M1845" s="5">
        <v>154785.519</v>
      </c>
      <c r="N1845" s="6">
        <v>5.9200000000000003E-2</v>
      </c>
      <c r="O1845" s="5">
        <v>34.409999999999997</v>
      </c>
      <c r="P1845" s="6">
        <v>2.6800000000000001E-2</v>
      </c>
      <c r="Q1845" s="5">
        <v>2604375.4019999998</v>
      </c>
      <c r="R1845" s="1" t="s">
        <v>284</v>
      </c>
      <c r="T1845" s="1" t="s">
        <v>71</v>
      </c>
      <c r="V1845" s="1" t="s">
        <v>4050</v>
      </c>
      <c r="Y1845" s="1" t="s">
        <v>247</v>
      </c>
      <c r="Z1845" s="1" t="str">
        <f t="shared" si="84"/>
        <v>7870 CT2</v>
      </c>
      <c r="AA1845" s="3">
        <f>IF(INDEX('CAMD Facility Data 2023'!$AA$2:$AE$10000,MATCH(Z1845,'CAMD Facility Data 2023'!$AE$2:$AE$10000,0),1)&gt;0,INDEX('CAMD Facility Data 2023'!$AA$2:$AE$10000,MATCH(Z1845,'CAMD Facility Data 2023'!$AE$2:$AE$10000,0),1),"")</f>
        <v>34151</v>
      </c>
      <c r="AB1845" s="5">
        <f>IF(INDEX('CAMD Facility Data 2023'!$AC$2:$AE$10000,MATCH(Z1845,'CAMD Facility Data 2023'!$AE$2:$AE$10000,0),1)&gt;0,INDEX('CAMD Facility Data 2023'!$AC$2:$AE$10000,MATCH(Z1845,'CAMD Facility Data 2023'!$AE$2:$AE$10000,0),1),"")</f>
        <v>525</v>
      </c>
      <c r="AC1845" s="1" t="str">
        <f>IF(INDEX('CAMD Facility Data 2023'!$AE$2:$AG$10000,MATCH(Z1845,'CAMD Facility Data 2023'!$AE$2:$AE$10000,0),3)&gt;0,INDEX('CAMD Facility Data 2023'!$AE$2:$AG$10000,MATCH(Z1845,'CAMD Facility Data 2023'!$AE$2:$AE$10000,0),3),"")</f>
        <v>Y</v>
      </c>
      <c r="AD1845" s="20">
        <f t="shared" si="85"/>
        <v>0.32891590950769145</v>
      </c>
      <c r="AE1845" s="25">
        <f t="shared" si="86"/>
        <v>0.56629167253750812</v>
      </c>
    </row>
    <row r="1846" spans="1:31" x14ac:dyDescent="0.2">
      <c r="A1846" s="1" t="s">
        <v>690</v>
      </c>
      <c r="B1846" s="1" t="s">
        <v>4398</v>
      </c>
      <c r="C1846" s="1">
        <v>7870</v>
      </c>
      <c r="D1846" s="1" t="s">
        <v>101</v>
      </c>
      <c r="F1846" s="1">
        <v>2023</v>
      </c>
      <c r="G1846" s="5">
        <v>6169</v>
      </c>
      <c r="H1846" s="5">
        <v>6151.14</v>
      </c>
      <c r="I1846" s="5">
        <v>209766.57</v>
      </c>
      <c r="K1846" s="5">
        <v>2.8330000000000002</v>
      </c>
      <c r="L1846" s="5">
        <v>2E-3</v>
      </c>
      <c r="M1846" s="5">
        <v>160277.245</v>
      </c>
      <c r="N1846" s="6">
        <v>5.9200000000000003E-2</v>
      </c>
      <c r="O1846" s="5">
        <v>36.341000000000001</v>
      </c>
      <c r="P1846" s="6">
        <v>2.7400000000000001E-2</v>
      </c>
      <c r="Q1846" s="5">
        <v>2697165.5550000002</v>
      </c>
      <c r="R1846" s="1" t="s">
        <v>284</v>
      </c>
      <c r="T1846" s="1" t="s">
        <v>71</v>
      </c>
      <c r="V1846" s="1" t="s">
        <v>4050</v>
      </c>
      <c r="Y1846" s="1" t="s">
        <v>247</v>
      </c>
      <c r="Z1846" s="1" t="str">
        <f t="shared" si="84"/>
        <v>7870 CT3</v>
      </c>
      <c r="AA1846" s="3">
        <f>IF(INDEX('CAMD Facility Data 2023'!$AA$2:$AE$10000,MATCH(Z1846,'CAMD Facility Data 2023'!$AE$2:$AE$10000,0),1)&gt;0,INDEX('CAMD Facility Data 2023'!$AA$2:$AE$10000,MATCH(Z1846,'CAMD Facility Data 2023'!$AE$2:$AE$10000,0),1),"")</f>
        <v>34151</v>
      </c>
      <c r="AB1846" s="5">
        <f>IF(INDEX('CAMD Facility Data 2023'!$AC$2:$AE$10000,MATCH(Z1846,'CAMD Facility Data 2023'!$AE$2:$AE$10000,0),1)&gt;0,INDEX('CAMD Facility Data 2023'!$AC$2:$AE$10000,MATCH(Z1846,'CAMD Facility Data 2023'!$AE$2:$AE$10000,0),1),"")</f>
        <v>525</v>
      </c>
      <c r="AC1846" s="1" t="str">
        <f>IF(INDEX('CAMD Facility Data 2023'!$AE$2:$AG$10000,MATCH(Z1846,'CAMD Facility Data 2023'!$AE$2:$AE$10000,0),3)&gt;0,INDEX('CAMD Facility Data 2023'!$AE$2:$AG$10000,MATCH(Z1846,'CAMD Facility Data 2023'!$AE$2:$AE$10000,0),3),"")</f>
        <v>Y</v>
      </c>
      <c r="AD1846" s="20">
        <f t="shared" si="85"/>
        <v>0.34648991018921649</v>
      </c>
      <c r="AE1846" s="25">
        <f t="shared" si="86"/>
        <v>0.58646783105022837</v>
      </c>
    </row>
    <row r="1847" spans="1:31" x14ac:dyDescent="0.2">
      <c r="A1847" s="1" t="s">
        <v>2430</v>
      </c>
      <c r="B1847" s="1" t="s">
        <v>4405</v>
      </c>
      <c r="C1847" s="1">
        <v>7872</v>
      </c>
      <c r="D1847" s="1">
        <v>1</v>
      </c>
      <c r="F1847" s="1">
        <v>2023</v>
      </c>
      <c r="G1847" s="5">
        <v>656</v>
      </c>
      <c r="H1847" s="5">
        <v>554.38</v>
      </c>
      <c r="I1847" s="5">
        <v>66390.289999999994</v>
      </c>
      <c r="K1847" s="5">
        <v>0.379</v>
      </c>
      <c r="L1847" s="5">
        <v>1.4E-3</v>
      </c>
      <c r="M1847" s="5">
        <v>42981.2</v>
      </c>
      <c r="N1847" s="6">
        <v>5.9299999999999999E-2</v>
      </c>
      <c r="O1847" s="5">
        <v>39.872</v>
      </c>
      <c r="P1847" s="6">
        <v>0.21859999999999999</v>
      </c>
      <c r="Q1847" s="5">
        <v>726112.1</v>
      </c>
      <c r="R1847" s="1" t="s">
        <v>44</v>
      </c>
      <c r="S1847" s="1" t="s">
        <v>94</v>
      </c>
      <c r="T1847" s="1" t="s">
        <v>93</v>
      </c>
      <c r="V1847" s="1" t="s">
        <v>183</v>
      </c>
      <c r="Y1847" s="1" t="s">
        <v>461</v>
      </c>
      <c r="Z1847" s="1" t="str">
        <f t="shared" si="84"/>
        <v>7872 1</v>
      </c>
      <c r="AA1847" s="3">
        <f>IF(INDEX('CAMD Facility Data 2023'!$AA$2:$AE$10000,MATCH(Z1847,'CAMD Facility Data 2023'!$AE$2:$AE$10000,0),1)&gt;0,INDEX('CAMD Facility Data 2023'!$AA$2:$AE$10000,MATCH(Z1847,'CAMD Facility Data 2023'!$AE$2:$AE$10000,0),1),"")</f>
        <v>37421</v>
      </c>
      <c r="AB1847" s="5">
        <f>IF(INDEX('CAMD Facility Data 2023'!$AC$2:$AE$10000,MATCH(Z1847,'CAMD Facility Data 2023'!$AE$2:$AE$10000,0),1)&gt;0,INDEX('CAMD Facility Data 2023'!$AC$2:$AE$10000,MATCH(Z1847,'CAMD Facility Data 2023'!$AE$2:$AE$10000,0),1),"")</f>
        <v>1946.3</v>
      </c>
      <c r="AC1847" s="1" t="str">
        <f>IF(INDEX('CAMD Facility Data 2023'!$AE$2:$AG$10000,MATCH(Z1847,'CAMD Facility Data 2023'!$AE$2:$AE$10000,0),3)&gt;0,INDEX('CAMD Facility Data 2023'!$AE$2:$AG$10000,MATCH(Z1847,'CAMD Facility Data 2023'!$AE$2:$AE$10000,0),3),"")</f>
        <v/>
      </c>
      <c r="AD1847" s="20">
        <f t="shared" si="85"/>
        <v>1.2011395039846942</v>
      </c>
      <c r="AE1847" s="25">
        <f t="shared" si="86"/>
        <v>4.2588249053290908E-2</v>
      </c>
    </row>
    <row r="1848" spans="1:31" x14ac:dyDescent="0.2">
      <c r="A1848" s="1" t="s">
        <v>2430</v>
      </c>
      <c r="B1848" s="1" t="s">
        <v>4405</v>
      </c>
      <c r="C1848" s="1">
        <v>7872</v>
      </c>
      <c r="D1848" s="1">
        <v>2</v>
      </c>
      <c r="F1848" s="1">
        <v>2023</v>
      </c>
      <c r="G1848" s="5">
        <v>599</v>
      </c>
      <c r="H1848" s="5">
        <v>499.04</v>
      </c>
      <c r="I1848" s="5">
        <v>58787.93</v>
      </c>
      <c r="K1848" s="5">
        <v>0.221</v>
      </c>
      <c r="L1848" s="5">
        <v>1.1000000000000001E-3</v>
      </c>
      <c r="M1848" s="5">
        <v>39224.6</v>
      </c>
      <c r="N1848" s="6">
        <v>5.91E-2</v>
      </c>
      <c r="O1848" s="5">
        <v>45.052999999999997</v>
      </c>
      <c r="P1848" s="6">
        <v>0.2487</v>
      </c>
      <c r="Q1848" s="5">
        <v>664510.1</v>
      </c>
      <c r="R1848" s="1" t="s">
        <v>44</v>
      </c>
      <c r="S1848" s="1" t="s">
        <v>94</v>
      </c>
      <c r="T1848" s="1" t="s">
        <v>93</v>
      </c>
      <c r="V1848" s="1" t="s">
        <v>183</v>
      </c>
      <c r="Y1848" s="1" t="s">
        <v>461</v>
      </c>
      <c r="Z1848" s="1" t="str">
        <f t="shared" si="84"/>
        <v>7872 2</v>
      </c>
      <c r="AA1848" s="3">
        <f>IF(INDEX('CAMD Facility Data 2023'!$AA$2:$AE$10000,MATCH(Z1848,'CAMD Facility Data 2023'!$AE$2:$AE$10000,0),1)&gt;0,INDEX('CAMD Facility Data 2023'!$AA$2:$AE$10000,MATCH(Z1848,'CAMD Facility Data 2023'!$AE$2:$AE$10000,0),1),"")</f>
        <v>37435</v>
      </c>
      <c r="AB1848" s="5">
        <f>IF(INDEX('CAMD Facility Data 2023'!$AC$2:$AE$10000,MATCH(Z1848,'CAMD Facility Data 2023'!$AE$2:$AE$10000,0),1)&gt;0,INDEX('CAMD Facility Data 2023'!$AC$2:$AE$10000,MATCH(Z1848,'CAMD Facility Data 2023'!$AE$2:$AE$10000,0),1),"")</f>
        <v>1946.3</v>
      </c>
      <c r="AC1848" s="1" t="str">
        <f>IF(INDEX('CAMD Facility Data 2023'!$AE$2:$AG$10000,MATCH(Z1848,'CAMD Facility Data 2023'!$AE$2:$AE$10000,0),3)&gt;0,INDEX('CAMD Facility Data 2023'!$AE$2:$AG$10000,MATCH(Z1848,'CAMD Facility Data 2023'!$AE$2:$AE$10000,0),3),"")</f>
        <v/>
      </c>
      <c r="AD1848" s="20">
        <f t="shared" si="85"/>
        <v>1.5327295926221589</v>
      </c>
      <c r="AE1848" s="25">
        <f t="shared" si="86"/>
        <v>3.8975141217488657E-2</v>
      </c>
    </row>
    <row r="1849" spans="1:31" x14ac:dyDescent="0.2">
      <c r="A1849" s="1" t="s">
        <v>2430</v>
      </c>
      <c r="B1849" s="1" t="s">
        <v>4405</v>
      </c>
      <c r="C1849" s="1">
        <v>7872</v>
      </c>
      <c r="D1849" s="1">
        <v>3</v>
      </c>
      <c r="F1849" s="1">
        <v>2023</v>
      </c>
      <c r="G1849" s="5">
        <v>648</v>
      </c>
      <c r="H1849" s="5">
        <v>539.54999999999995</v>
      </c>
      <c r="I1849" s="5">
        <v>63053.760000000002</v>
      </c>
      <c r="K1849" s="5">
        <v>0.248</v>
      </c>
      <c r="L1849" s="5">
        <v>1.1999999999999999E-3</v>
      </c>
      <c r="M1849" s="5">
        <v>41136.9</v>
      </c>
      <c r="N1849" s="6">
        <v>5.91E-2</v>
      </c>
      <c r="O1849" s="5">
        <v>45.091999999999999</v>
      </c>
      <c r="P1849" s="6">
        <v>0.24940000000000001</v>
      </c>
      <c r="Q1849" s="5">
        <v>696676.2</v>
      </c>
      <c r="R1849" s="1" t="s">
        <v>44</v>
      </c>
      <c r="S1849" s="1" t="s">
        <v>94</v>
      </c>
      <c r="T1849" s="1" t="s">
        <v>93</v>
      </c>
      <c r="V1849" s="1" t="s">
        <v>183</v>
      </c>
      <c r="Y1849" s="1" t="s">
        <v>461</v>
      </c>
      <c r="Z1849" s="1" t="str">
        <f t="shared" si="84"/>
        <v>7872 3</v>
      </c>
      <c r="AA1849" s="3">
        <f>IF(INDEX('CAMD Facility Data 2023'!$AA$2:$AE$10000,MATCH(Z1849,'CAMD Facility Data 2023'!$AE$2:$AE$10000,0),1)&gt;0,INDEX('CAMD Facility Data 2023'!$AA$2:$AE$10000,MATCH(Z1849,'CAMD Facility Data 2023'!$AE$2:$AE$10000,0),1),"")</f>
        <v>37446</v>
      </c>
      <c r="AB1849" s="5">
        <f>IF(INDEX('CAMD Facility Data 2023'!$AC$2:$AE$10000,MATCH(Z1849,'CAMD Facility Data 2023'!$AE$2:$AE$10000,0),1)&gt;0,INDEX('CAMD Facility Data 2023'!$AC$2:$AE$10000,MATCH(Z1849,'CAMD Facility Data 2023'!$AE$2:$AE$10000,0),1),"")</f>
        <v>1946.3</v>
      </c>
      <c r="AC1849" s="1" t="str">
        <f>IF(INDEX('CAMD Facility Data 2023'!$AE$2:$AG$10000,MATCH(Z1849,'CAMD Facility Data 2023'!$AE$2:$AE$10000,0),3)&gt;0,INDEX('CAMD Facility Data 2023'!$AE$2:$AG$10000,MATCH(Z1849,'CAMD Facility Data 2023'!$AE$2:$AE$10000,0),3),"")</f>
        <v/>
      </c>
      <c r="AD1849" s="20">
        <f t="shared" si="85"/>
        <v>1.4302715650898534</v>
      </c>
      <c r="AE1849" s="25">
        <f t="shared" si="86"/>
        <v>4.0861761586262375E-2</v>
      </c>
    </row>
    <row r="1850" spans="1:31" x14ac:dyDescent="0.2">
      <c r="A1850" s="1" t="s">
        <v>304</v>
      </c>
      <c r="B1850" s="1" t="s">
        <v>4412</v>
      </c>
      <c r="C1850" s="1">
        <v>7873</v>
      </c>
      <c r="D1850" s="1" t="s">
        <v>3676</v>
      </c>
      <c r="F1850" s="1">
        <v>2023</v>
      </c>
      <c r="G1850" s="5">
        <v>5296</v>
      </c>
      <c r="H1850" s="5">
        <v>5172.54</v>
      </c>
      <c r="I1850" s="5">
        <v>644904.48</v>
      </c>
      <c r="K1850" s="5">
        <v>2.1259999999999999</v>
      </c>
      <c r="L1850" s="5">
        <v>1E-3</v>
      </c>
      <c r="M1850" s="5">
        <v>421136.34899999999</v>
      </c>
      <c r="N1850" s="6">
        <v>5.8999999999999997E-2</v>
      </c>
      <c r="O1850" s="5">
        <v>47.898000000000003</v>
      </c>
      <c r="P1850" s="6">
        <v>1.6299999999999999E-2</v>
      </c>
      <c r="Q1850" s="5">
        <v>7086392.3899999997</v>
      </c>
      <c r="R1850" s="1" t="s">
        <v>44</v>
      </c>
      <c r="T1850" s="1" t="s">
        <v>71</v>
      </c>
      <c r="V1850" s="1" t="s">
        <v>64</v>
      </c>
      <c r="Y1850" s="1" t="s">
        <v>247</v>
      </c>
      <c r="Z1850" s="1" t="str">
        <f t="shared" si="84"/>
        <v>7873 CT1A</v>
      </c>
      <c r="AA1850" s="3">
        <f>IF(INDEX('CAMD Facility Data 2023'!$AA$2:$AE$10000,MATCH(Z1850,'CAMD Facility Data 2023'!$AE$2:$AE$10000,0),1)&gt;0,INDEX('CAMD Facility Data 2023'!$AA$2:$AE$10000,MATCH(Z1850,'CAMD Facility Data 2023'!$AE$2:$AE$10000,0),1),"")</f>
        <v>37695</v>
      </c>
      <c r="AB1850" s="5">
        <f>IF(INDEX('CAMD Facility Data 2023'!$AC$2:$AE$10000,MATCH(Z1850,'CAMD Facility Data 2023'!$AE$2:$AE$10000,0),1)&gt;0,INDEX('CAMD Facility Data 2023'!$AC$2:$AE$10000,MATCH(Z1850,'CAMD Facility Data 2023'!$AE$2:$AE$10000,0),1),"")</f>
        <v>1866</v>
      </c>
      <c r="AC1850" s="1" t="str">
        <f>IF(INDEX('CAMD Facility Data 2023'!$AE$2:$AG$10000,MATCH(Z1850,'CAMD Facility Data 2023'!$AE$2:$AE$10000,0),3)&gt;0,INDEX('CAMD Facility Data 2023'!$AE$2:$AG$10000,MATCH(Z1850,'CAMD Facility Data 2023'!$AE$2:$AE$10000,0),3),"")</f>
        <v>Y</v>
      </c>
      <c r="AD1850" s="20">
        <f t="shared" si="85"/>
        <v>0.14854292840390876</v>
      </c>
      <c r="AE1850" s="25">
        <f t="shared" si="86"/>
        <v>0.43352031241588235</v>
      </c>
    </row>
    <row r="1851" spans="1:31" x14ac:dyDescent="0.2">
      <c r="A1851" s="1" t="s">
        <v>304</v>
      </c>
      <c r="B1851" s="1" t="s">
        <v>4412</v>
      </c>
      <c r="C1851" s="1">
        <v>7873</v>
      </c>
      <c r="D1851" s="1" t="s">
        <v>3678</v>
      </c>
      <c r="F1851" s="1">
        <v>2023</v>
      </c>
      <c r="G1851" s="5">
        <v>6150</v>
      </c>
      <c r="H1851" s="5">
        <v>6040.91</v>
      </c>
      <c r="I1851" s="5">
        <v>754946.97</v>
      </c>
      <c r="K1851" s="5">
        <v>2.4769999999999999</v>
      </c>
      <c r="L1851" s="5">
        <v>1E-3</v>
      </c>
      <c r="M1851" s="5">
        <v>490568.07900000003</v>
      </c>
      <c r="N1851" s="6">
        <v>5.8999999999999997E-2</v>
      </c>
      <c r="O1851" s="5">
        <v>53.197000000000003</v>
      </c>
      <c r="P1851" s="6">
        <v>1.46E-2</v>
      </c>
      <c r="Q1851" s="5">
        <v>8254751.2989999996</v>
      </c>
      <c r="R1851" s="1" t="s">
        <v>44</v>
      </c>
      <c r="T1851" s="1" t="s">
        <v>71</v>
      </c>
      <c r="V1851" s="1" t="s">
        <v>64</v>
      </c>
      <c r="Y1851" s="1" t="s">
        <v>247</v>
      </c>
      <c r="Z1851" s="1" t="str">
        <f t="shared" si="84"/>
        <v>7873 CT1B</v>
      </c>
      <c r="AA1851" s="3">
        <f>IF(INDEX('CAMD Facility Data 2023'!$AA$2:$AE$10000,MATCH(Z1851,'CAMD Facility Data 2023'!$AE$2:$AE$10000,0),1)&gt;0,INDEX('CAMD Facility Data 2023'!$AA$2:$AE$10000,MATCH(Z1851,'CAMD Facility Data 2023'!$AE$2:$AE$10000,0),1),"")</f>
        <v>37695</v>
      </c>
      <c r="AB1851" s="5">
        <f>IF(INDEX('CAMD Facility Data 2023'!$AC$2:$AE$10000,MATCH(Z1851,'CAMD Facility Data 2023'!$AE$2:$AE$10000,0),1)&gt;0,INDEX('CAMD Facility Data 2023'!$AC$2:$AE$10000,MATCH(Z1851,'CAMD Facility Data 2023'!$AE$2:$AE$10000,0),1),"")</f>
        <v>1866</v>
      </c>
      <c r="AC1851" s="1" t="str">
        <f>IF(INDEX('CAMD Facility Data 2023'!$AE$2:$AG$10000,MATCH(Z1851,'CAMD Facility Data 2023'!$AE$2:$AE$10000,0),3)&gt;0,INDEX('CAMD Facility Data 2023'!$AE$2:$AG$10000,MATCH(Z1851,'CAMD Facility Data 2023'!$AE$2:$AE$10000,0),3),"")</f>
        <v>Y</v>
      </c>
      <c r="AD1851" s="20">
        <f t="shared" si="85"/>
        <v>0.14092910393428032</v>
      </c>
      <c r="AE1851" s="25">
        <f t="shared" si="86"/>
        <v>0.50499635994019387</v>
      </c>
    </row>
    <row r="1852" spans="1:31" x14ac:dyDescent="0.2">
      <c r="A1852" s="1" t="s">
        <v>304</v>
      </c>
      <c r="B1852" s="1" t="s">
        <v>4412</v>
      </c>
      <c r="C1852" s="1">
        <v>7873</v>
      </c>
      <c r="D1852" s="1" t="s">
        <v>4415</v>
      </c>
      <c r="F1852" s="1">
        <v>2023</v>
      </c>
      <c r="G1852" s="5">
        <v>5435</v>
      </c>
      <c r="H1852" s="5">
        <v>5280.52</v>
      </c>
      <c r="I1852" s="5">
        <v>657954.98</v>
      </c>
      <c r="K1852" s="5">
        <v>2.113</v>
      </c>
      <c r="L1852" s="5">
        <v>1E-3</v>
      </c>
      <c r="M1852" s="5">
        <v>418455.97499999998</v>
      </c>
      <c r="N1852" s="6">
        <v>5.8999999999999997E-2</v>
      </c>
      <c r="O1852" s="5">
        <v>46.82</v>
      </c>
      <c r="P1852" s="6">
        <v>1.6E-2</v>
      </c>
      <c r="Q1852" s="5">
        <v>7041327.0269999998</v>
      </c>
      <c r="R1852" s="1" t="s">
        <v>44</v>
      </c>
      <c r="T1852" s="1" t="s">
        <v>71</v>
      </c>
      <c r="V1852" s="1" t="s">
        <v>64</v>
      </c>
      <c r="Y1852" s="1" t="s">
        <v>247</v>
      </c>
      <c r="Z1852" s="1" t="str">
        <f t="shared" si="84"/>
        <v>7873 CT1C</v>
      </c>
      <c r="AA1852" s="3">
        <f>IF(INDEX('CAMD Facility Data 2023'!$AA$2:$AE$10000,MATCH(Z1852,'CAMD Facility Data 2023'!$AE$2:$AE$10000,0),1)&gt;0,INDEX('CAMD Facility Data 2023'!$AA$2:$AE$10000,MATCH(Z1852,'CAMD Facility Data 2023'!$AE$2:$AE$10000,0),1),"")</f>
        <v>37691</v>
      </c>
      <c r="AB1852" s="5">
        <f>IF(INDEX('CAMD Facility Data 2023'!$AC$2:$AE$10000,MATCH(Z1852,'CAMD Facility Data 2023'!$AE$2:$AE$10000,0),1)&gt;0,INDEX('CAMD Facility Data 2023'!$AC$2:$AE$10000,MATCH(Z1852,'CAMD Facility Data 2023'!$AE$2:$AE$10000,0),1),"")</f>
        <v>1866</v>
      </c>
      <c r="AC1852" s="1" t="str">
        <f>IF(INDEX('CAMD Facility Data 2023'!$AE$2:$AG$10000,MATCH(Z1852,'CAMD Facility Data 2023'!$AE$2:$AE$10000,0),3)&gt;0,INDEX('CAMD Facility Data 2023'!$AE$2:$AG$10000,MATCH(Z1852,'CAMD Facility Data 2023'!$AE$2:$AE$10000,0),3),"")</f>
        <v>Y</v>
      </c>
      <c r="AD1852" s="20">
        <f t="shared" si="85"/>
        <v>0.14231976783578718</v>
      </c>
      <c r="AE1852" s="25">
        <f t="shared" si="86"/>
        <v>0.4307633735996711</v>
      </c>
    </row>
    <row r="1853" spans="1:31" x14ac:dyDescent="0.2">
      <c r="A1853" s="1" t="s">
        <v>304</v>
      </c>
      <c r="B1853" s="1" t="s">
        <v>4412</v>
      </c>
      <c r="C1853" s="1">
        <v>7873</v>
      </c>
      <c r="D1853" s="1" t="s">
        <v>1052</v>
      </c>
      <c r="F1853" s="1">
        <v>2023</v>
      </c>
      <c r="G1853" s="5">
        <v>4433</v>
      </c>
      <c r="H1853" s="5">
        <v>4355.2700000000004</v>
      </c>
      <c r="I1853" s="5">
        <v>531152.54</v>
      </c>
      <c r="K1853" s="5">
        <v>1.746</v>
      </c>
      <c r="L1853" s="5">
        <v>1E-3</v>
      </c>
      <c r="M1853" s="5">
        <v>345897.60100000002</v>
      </c>
      <c r="N1853" s="6">
        <v>5.8999999999999997E-2</v>
      </c>
      <c r="O1853" s="5">
        <v>36.671999999999997</v>
      </c>
      <c r="P1853" s="6">
        <v>1.43E-2</v>
      </c>
      <c r="Q1853" s="5">
        <v>5820342.7240000004</v>
      </c>
      <c r="R1853" s="1" t="s">
        <v>44</v>
      </c>
      <c r="T1853" s="1" t="s">
        <v>71</v>
      </c>
      <c r="V1853" s="1" t="s">
        <v>64</v>
      </c>
      <c r="Y1853" s="1" t="s">
        <v>247</v>
      </c>
      <c r="Z1853" s="1" t="str">
        <f t="shared" si="84"/>
        <v>7873 CT2A</v>
      </c>
      <c r="AA1853" s="3">
        <f>IF(INDEX('CAMD Facility Data 2023'!$AA$2:$AE$10000,MATCH(Z1853,'CAMD Facility Data 2023'!$AE$2:$AE$10000,0),1)&gt;0,INDEX('CAMD Facility Data 2023'!$AA$2:$AE$10000,MATCH(Z1853,'CAMD Facility Data 2023'!$AE$2:$AE$10000,0),1),"")</f>
        <v>37880</v>
      </c>
      <c r="AB1853" s="5">
        <f>IF(INDEX('CAMD Facility Data 2023'!$AC$2:$AE$10000,MATCH(Z1853,'CAMD Facility Data 2023'!$AE$2:$AE$10000,0),1)&gt;0,INDEX('CAMD Facility Data 2023'!$AC$2:$AE$10000,MATCH(Z1853,'CAMD Facility Data 2023'!$AE$2:$AE$10000,0),1),"")</f>
        <v>1842</v>
      </c>
      <c r="AC1853" s="1" t="str">
        <f>IF(INDEX('CAMD Facility Data 2023'!$AE$2:$AG$10000,MATCH(Z1853,'CAMD Facility Data 2023'!$AE$2:$AE$10000,0),3)&gt;0,INDEX('CAMD Facility Data 2023'!$AE$2:$AG$10000,MATCH(Z1853,'CAMD Facility Data 2023'!$AE$2:$AE$10000,0),3),"")</f>
        <v>Y</v>
      </c>
      <c r="AD1853" s="20">
        <f t="shared" si="85"/>
        <v>0.13808462631092755</v>
      </c>
      <c r="AE1853" s="25">
        <f t="shared" si="86"/>
        <v>0.36070721247998255</v>
      </c>
    </row>
    <row r="1854" spans="1:31" x14ac:dyDescent="0.2">
      <c r="A1854" s="1" t="s">
        <v>304</v>
      </c>
      <c r="B1854" s="1" t="s">
        <v>4412</v>
      </c>
      <c r="C1854" s="1">
        <v>7873</v>
      </c>
      <c r="D1854" s="1" t="s">
        <v>1054</v>
      </c>
      <c r="F1854" s="1">
        <v>2023</v>
      </c>
      <c r="G1854" s="5">
        <v>3812</v>
      </c>
      <c r="H1854" s="5">
        <v>3723.11</v>
      </c>
      <c r="I1854" s="5">
        <v>452211.22</v>
      </c>
      <c r="K1854" s="5">
        <v>1.51</v>
      </c>
      <c r="L1854" s="5">
        <v>1E-3</v>
      </c>
      <c r="M1854" s="5">
        <v>299052.68099999998</v>
      </c>
      <c r="N1854" s="6">
        <v>5.8900000000000001E-2</v>
      </c>
      <c r="O1854" s="5">
        <v>32.298999999999999</v>
      </c>
      <c r="P1854" s="6">
        <v>1.4800000000000001E-2</v>
      </c>
      <c r="Q1854" s="5">
        <v>5032154.8320000004</v>
      </c>
      <c r="R1854" s="1" t="s">
        <v>44</v>
      </c>
      <c r="T1854" s="1" t="s">
        <v>71</v>
      </c>
      <c r="V1854" s="1" t="s">
        <v>64</v>
      </c>
      <c r="Y1854" s="1" t="s">
        <v>247</v>
      </c>
      <c r="Z1854" s="1" t="str">
        <f t="shared" si="84"/>
        <v>7873 CT2B</v>
      </c>
      <c r="AA1854" s="3">
        <f>IF(INDEX('CAMD Facility Data 2023'!$AA$2:$AE$10000,MATCH(Z1854,'CAMD Facility Data 2023'!$AE$2:$AE$10000,0),1)&gt;0,INDEX('CAMD Facility Data 2023'!$AA$2:$AE$10000,MATCH(Z1854,'CAMD Facility Data 2023'!$AE$2:$AE$10000,0),1),"")</f>
        <v>37869</v>
      </c>
      <c r="AB1854" s="5">
        <f>IF(INDEX('CAMD Facility Data 2023'!$AC$2:$AE$10000,MATCH(Z1854,'CAMD Facility Data 2023'!$AE$2:$AE$10000,0),1)&gt;0,INDEX('CAMD Facility Data 2023'!$AC$2:$AE$10000,MATCH(Z1854,'CAMD Facility Data 2023'!$AE$2:$AE$10000,0),1),"")</f>
        <v>1842</v>
      </c>
      <c r="AC1854" s="1" t="str">
        <f>IF(INDEX('CAMD Facility Data 2023'!$AE$2:$AG$10000,MATCH(Z1854,'CAMD Facility Data 2023'!$AE$2:$AE$10000,0),3)&gt;0,INDEX('CAMD Facility Data 2023'!$AE$2:$AG$10000,MATCH(Z1854,'CAMD Facility Data 2023'!$AE$2:$AE$10000,0),3),"")</f>
        <v>Y</v>
      </c>
      <c r="AD1854" s="20">
        <f t="shared" si="85"/>
        <v>0.14284917565733996</v>
      </c>
      <c r="AE1854" s="25">
        <f t="shared" si="86"/>
        <v>0.31186042270908632</v>
      </c>
    </row>
    <row r="1855" spans="1:31" x14ac:dyDescent="0.2">
      <c r="A1855" s="1" t="s">
        <v>304</v>
      </c>
      <c r="B1855" s="1" t="s">
        <v>4412</v>
      </c>
      <c r="C1855" s="1">
        <v>7873</v>
      </c>
      <c r="D1855" s="1" t="s">
        <v>4419</v>
      </c>
      <c r="F1855" s="1">
        <v>2023</v>
      </c>
      <c r="G1855" s="5">
        <v>4056</v>
      </c>
      <c r="H1855" s="5">
        <v>3969.24</v>
      </c>
      <c r="I1855" s="5">
        <v>481718.72</v>
      </c>
      <c r="K1855" s="5">
        <v>1.609</v>
      </c>
      <c r="L1855" s="5">
        <v>1E-3</v>
      </c>
      <c r="M1855" s="5">
        <v>318682.38299999997</v>
      </c>
      <c r="N1855" s="6">
        <v>5.8999999999999997E-2</v>
      </c>
      <c r="O1855" s="5">
        <v>35.021000000000001</v>
      </c>
      <c r="P1855" s="6">
        <v>1.55E-2</v>
      </c>
      <c r="Q1855" s="5">
        <v>5362410.7920000004</v>
      </c>
      <c r="R1855" s="1" t="s">
        <v>44</v>
      </c>
      <c r="T1855" s="1" t="s">
        <v>71</v>
      </c>
      <c r="V1855" s="1" t="s">
        <v>64</v>
      </c>
      <c r="Y1855" s="1" t="s">
        <v>247</v>
      </c>
      <c r="Z1855" s="1" t="str">
        <f t="shared" si="84"/>
        <v>7873 CT2C</v>
      </c>
      <c r="AA1855" s="3">
        <f>IF(INDEX('CAMD Facility Data 2023'!$AA$2:$AE$10000,MATCH(Z1855,'CAMD Facility Data 2023'!$AE$2:$AE$10000,0),1)&gt;0,INDEX('CAMD Facility Data 2023'!$AA$2:$AE$10000,MATCH(Z1855,'CAMD Facility Data 2023'!$AE$2:$AE$10000,0),1),"")</f>
        <v>37944</v>
      </c>
      <c r="AB1855" s="5">
        <f>IF(INDEX('CAMD Facility Data 2023'!$AC$2:$AE$10000,MATCH(Z1855,'CAMD Facility Data 2023'!$AE$2:$AE$10000,0),1)&gt;0,INDEX('CAMD Facility Data 2023'!$AC$2:$AE$10000,MATCH(Z1855,'CAMD Facility Data 2023'!$AE$2:$AE$10000,0),1),"")</f>
        <v>1842</v>
      </c>
      <c r="AC1855" s="1" t="str">
        <f>IF(INDEX('CAMD Facility Data 2023'!$AE$2:$AG$10000,MATCH(Z1855,'CAMD Facility Data 2023'!$AE$2:$AE$10000,0),3)&gt;0,INDEX('CAMD Facility Data 2023'!$AE$2:$AG$10000,MATCH(Z1855,'CAMD Facility Data 2023'!$AE$2:$AE$10000,0),3),"")</f>
        <v>Y</v>
      </c>
      <c r="AD1855" s="20">
        <f t="shared" si="85"/>
        <v>0.14540020367072304</v>
      </c>
      <c r="AE1855" s="25">
        <f t="shared" si="86"/>
        <v>0.33232755194621694</v>
      </c>
    </row>
    <row r="1856" spans="1:31" x14ac:dyDescent="0.2">
      <c r="A1856" s="1" t="s">
        <v>304</v>
      </c>
      <c r="B1856" s="1" t="s">
        <v>4412</v>
      </c>
      <c r="C1856" s="1">
        <v>7873</v>
      </c>
      <c r="D1856" s="1" t="s">
        <v>4421</v>
      </c>
      <c r="F1856" s="1">
        <v>2023</v>
      </c>
      <c r="G1856" s="5">
        <v>3820</v>
      </c>
      <c r="H1856" s="5">
        <v>3719.39</v>
      </c>
      <c r="I1856" s="5">
        <v>451919.45</v>
      </c>
      <c r="K1856" s="5">
        <v>1.5049999999999999</v>
      </c>
      <c r="L1856" s="5">
        <v>1E-3</v>
      </c>
      <c r="M1856" s="5">
        <v>298129.57500000001</v>
      </c>
      <c r="N1856" s="6">
        <v>5.8999999999999997E-2</v>
      </c>
      <c r="O1856" s="5">
        <v>31.138999999999999</v>
      </c>
      <c r="P1856" s="6">
        <v>1.6299999999999999E-2</v>
      </c>
      <c r="Q1856" s="5">
        <v>5016570.7939999998</v>
      </c>
      <c r="R1856" s="1" t="s">
        <v>44</v>
      </c>
      <c r="T1856" s="1" t="s">
        <v>71</v>
      </c>
      <c r="V1856" s="1" t="s">
        <v>64</v>
      </c>
      <c r="Y1856" s="1" t="s">
        <v>247</v>
      </c>
      <c r="Z1856" s="1" t="str">
        <f t="shared" si="84"/>
        <v>7873 CT2D</v>
      </c>
      <c r="AA1856" s="3">
        <f>IF(INDEX('CAMD Facility Data 2023'!$AA$2:$AE$10000,MATCH(Z1856,'CAMD Facility Data 2023'!$AE$2:$AE$10000,0),1)&gt;0,INDEX('CAMD Facility Data 2023'!$AA$2:$AE$10000,MATCH(Z1856,'CAMD Facility Data 2023'!$AE$2:$AE$10000,0),1),"")</f>
        <v>37943</v>
      </c>
      <c r="AB1856" s="5">
        <f>IF(INDEX('CAMD Facility Data 2023'!$AC$2:$AE$10000,MATCH(Z1856,'CAMD Facility Data 2023'!$AE$2:$AE$10000,0),1)&gt;0,INDEX('CAMD Facility Data 2023'!$AC$2:$AE$10000,MATCH(Z1856,'CAMD Facility Data 2023'!$AE$2:$AE$10000,0),1),"")</f>
        <v>1842</v>
      </c>
      <c r="AC1856" s="1" t="str">
        <f>IF(INDEX('CAMD Facility Data 2023'!$AE$2:$AG$10000,MATCH(Z1856,'CAMD Facility Data 2023'!$AE$2:$AE$10000,0),3)&gt;0,INDEX('CAMD Facility Data 2023'!$AE$2:$AG$10000,MATCH(Z1856,'CAMD Facility Data 2023'!$AE$2:$AE$10000,0),3),"")</f>
        <v>Y</v>
      </c>
      <c r="AD1856" s="20">
        <f t="shared" si="85"/>
        <v>0.13780774427832215</v>
      </c>
      <c r="AE1856" s="25">
        <f t="shared" si="86"/>
        <v>0.31089462478743074</v>
      </c>
    </row>
    <row r="1857" spans="1:31" x14ac:dyDescent="0.2">
      <c r="A1857" s="1" t="s">
        <v>304</v>
      </c>
      <c r="B1857" s="1" t="s">
        <v>4412</v>
      </c>
      <c r="C1857" s="1">
        <v>7873</v>
      </c>
      <c r="D1857" s="1" t="s">
        <v>4423</v>
      </c>
      <c r="F1857" s="1">
        <v>2023</v>
      </c>
      <c r="G1857" s="5">
        <v>60</v>
      </c>
      <c r="H1857" s="5">
        <v>39.409999999999997</v>
      </c>
      <c r="I1857" s="5">
        <v>900.96</v>
      </c>
      <c r="K1857" s="5">
        <v>3.0000000000000001E-3</v>
      </c>
      <c r="L1857" s="5">
        <v>1E-3</v>
      </c>
      <c r="M1857" s="5">
        <v>577.29</v>
      </c>
      <c r="N1857" s="6">
        <v>5.9299999999999999E-2</v>
      </c>
      <c r="O1857" s="5">
        <v>0.495</v>
      </c>
      <c r="P1857" s="6">
        <v>0.1144</v>
      </c>
      <c r="Q1857" s="5">
        <v>9717.1630000000005</v>
      </c>
      <c r="R1857" s="1" t="s">
        <v>44</v>
      </c>
      <c r="T1857" s="1" t="s">
        <v>93</v>
      </c>
      <c r="V1857" s="1" t="s">
        <v>95</v>
      </c>
      <c r="Y1857" s="1" t="s">
        <v>247</v>
      </c>
      <c r="Z1857" s="1" t="str">
        <f t="shared" si="84"/>
        <v>7873 CT3A</v>
      </c>
      <c r="AA1857" s="3">
        <f>IF(INDEX('CAMD Facility Data 2023'!$AA$2:$AE$10000,MATCH(Z1857,'CAMD Facility Data 2023'!$AE$2:$AE$10000,0),1)&gt;0,INDEX('CAMD Facility Data 2023'!$AA$2:$AE$10000,MATCH(Z1857,'CAMD Facility Data 2023'!$AE$2:$AE$10000,0),1),"")</f>
        <v>39993</v>
      </c>
      <c r="AB1857" s="5">
        <f>IF(INDEX('CAMD Facility Data 2023'!$AC$2:$AE$10000,MATCH(Z1857,'CAMD Facility Data 2023'!$AE$2:$AE$10000,0),1)&gt;0,INDEX('CAMD Facility Data 2023'!$AC$2:$AE$10000,MATCH(Z1857,'CAMD Facility Data 2023'!$AE$2:$AE$10000,0),1),"")</f>
        <v>342.7</v>
      </c>
      <c r="AC1857" s="1" t="str">
        <f>IF(INDEX('CAMD Facility Data 2023'!$AE$2:$AG$10000,MATCH(Z1857,'CAMD Facility Data 2023'!$AE$2:$AE$10000,0),3)&gt;0,INDEX('CAMD Facility Data 2023'!$AE$2:$AG$10000,MATCH(Z1857,'CAMD Facility Data 2023'!$AE$2:$AE$10000,0),3),"")</f>
        <v/>
      </c>
      <c r="AD1857" s="20">
        <f t="shared" si="85"/>
        <v>1.0988279168886521</v>
      </c>
      <c r="AE1857" s="25">
        <f t="shared" si="86"/>
        <v>3.2368403345445049E-3</v>
      </c>
    </row>
    <row r="1858" spans="1:31" x14ac:dyDescent="0.2">
      <c r="A1858" s="1" t="s">
        <v>304</v>
      </c>
      <c r="B1858" s="1" t="s">
        <v>4412</v>
      </c>
      <c r="C1858" s="1">
        <v>7873</v>
      </c>
      <c r="D1858" s="1" t="s">
        <v>4425</v>
      </c>
      <c r="F1858" s="1">
        <v>2023</v>
      </c>
      <c r="G1858" s="5">
        <v>70</v>
      </c>
      <c r="H1858" s="5">
        <v>47.34</v>
      </c>
      <c r="I1858" s="5">
        <v>1175.2</v>
      </c>
      <c r="K1858" s="5">
        <v>4.0000000000000001E-3</v>
      </c>
      <c r="L1858" s="5">
        <v>1E-3</v>
      </c>
      <c r="M1858" s="5">
        <v>737.71400000000006</v>
      </c>
      <c r="N1858" s="6">
        <v>5.9299999999999999E-2</v>
      </c>
      <c r="O1858" s="5">
        <v>0.56499999999999995</v>
      </c>
      <c r="P1858" s="6">
        <v>9.9099999999999994E-2</v>
      </c>
      <c r="Q1858" s="5">
        <v>12413.936</v>
      </c>
      <c r="R1858" s="1" t="s">
        <v>44</v>
      </c>
      <c r="T1858" s="1" t="s">
        <v>93</v>
      </c>
      <c r="V1858" s="1" t="s">
        <v>95</v>
      </c>
      <c r="Y1858" s="1" t="s">
        <v>247</v>
      </c>
      <c r="Z1858" s="1" t="str">
        <f t="shared" si="84"/>
        <v>7873 CT3B</v>
      </c>
      <c r="AA1858" s="3">
        <f>IF(INDEX('CAMD Facility Data 2023'!$AA$2:$AE$10000,MATCH(Z1858,'CAMD Facility Data 2023'!$AE$2:$AE$10000,0),1)&gt;0,INDEX('CAMD Facility Data 2023'!$AA$2:$AE$10000,MATCH(Z1858,'CAMD Facility Data 2023'!$AE$2:$AE$10000,0),1),"")</f>
        <v>39993</v>
      </c>
      <c r="AB1858" s="5">
        <f>IF(INDEX('CAMD Facility Data 2023'!$AC$2:$AE$10000,MATCH(Z1858,'CAMD Facility Data 2023'!$AE$2:$AE$10000,0),1)&gt;0,INDEX('CAMD Facility Data 2023'!$AC$2:$AE$10000,MATCH(Z1858,'CAMD Facility Data 2023'!$AE$2:$AE$10000,0),1),"")</f>
        <v>342.7</v>
      </c>
      <c r="AC1858" s="1" t="str">
        <f>IF(INDEX('CAMD Facility Data 2023'!$AE$2:$AG$10000,MATCH(Z1858,'CAMD Facility Data 2023'!$AE$2:$AE$10000,0),3)&gt;0,INDEX('CAMD Facility Data 2023'!$AE$2:$AG$10000,MATCH(Z1858,'CAMD Facility Data 2023'!$AE$2:$AE$10000,0),3),"")</f>
        <v/>
      </c>
      <c r="AD1858" s="20">
        <f t="shared" si="85"/>
        <v>0.96153846153846145</v>
      </c>
      <c r="AE1858" s="25">
        <f t="shared" si="86"/>
        <v>4.1351502239135099E-3</v>
      </c>
    </row>
    <row r="1859" spans="1:31" x14ac:dyDescent="0.2">
      <c r="A1859" s="1" t="s">
        <v>304</v>
      </c>
      <c r="B1859" s="1" t="s">
        <v>4412</v>
      </c>
      <c r="C1859" s="1">
        <v>7873</v>
      </c>
      <c r="D1859" s="1" t="s">
        <v>862</v>
      </c>
      <c r="F1859" s="1">
        <v>2023</v>
      </c>
      <c r="G1859" s="5">
        <v>144</v>
      </c>
      <c r="H1859" s="5">
        <v>99.23</v>
      </c>
      <c r="I1859" s="5">
        <v>2380.79</v>
      </c>
      <c r="K1859" s="5">
        <v>8.0000000000000002E-3</v>
      </c>
      <c r="L1859" s="5">
        <v>1E-3</v>
      </c>
      <c r="M1859" s="5">
        <v>1506.203</v>
      </c>
      <c r="N1859" s="6">
        <v>5.9400000000000001E-2</v>
      </c>
      <c r="O1859" s="5">
        <v>1.0629999999999999</v>
      </c>
      <c r="P1859" s="6">
        <v>9.4299999999999995E-2</v>
      </c>
      <c r="Q1859" s="5">
        <v>25339.546999999999</v>
      </c>
      <c r="R1859" s="1" t="s">
        <v>44</v>
      </c>
      <c r="T1859" s="1" t="s">
        <v>93</v>
      </c>
      <c r="V1859" s="1" t="s">
        <v>95</v>
      </c>
      <c r="Y1859" s="1" t="s">
        <v>247</v>
      </c>
      <c r="Z1859" s="1" t="str">
        <f t="shared" ref="Z1859:Z1922" si="87">C1859&amp;" "&amp;D1859</f>
        <v>7873 CT4A</v>
      </c>
      <c r="AA1859" s="3">
        <f>IF(INDEX('CAMD Facility Data 2023'!$AA$2:$AE$10000,MATCH(Z1859,'CAMD Facility Data 2023'!$AE$2:$AE$10000,0),1)&gt;0,INDEX('CAMD Facility Data 2023'!$AA$2:$AE$10000,MATCH(Z1859,'CAMD Facility Data 2023'!$AE$2:$AE$10000,0),1),"")</f>
        <v>39989</v>
      </c>
      <c r="AB1859" s="5">
        <f>IF(INDEX('CAMD Facility Data 2023'!$AC$2:$AE$10000,MATCH(Z1859,'CAMD Facility Data 2023'!$AE$2:$AE$10000,0),1)&gt;0,INDEX('CAMD Facility Data 2023'!$AC$2:$AE$10000,MATCH(Z1859,'CAMD Facility Data 2023'!$AE$2:$AE$10000,0),1),"")</f>
        <v>342.7</v>
      </c>
      <c r="AC1859" s="1" t="str">
        <f>IF(INDEX('CAMD Facility Data 2023'!$AE$2:$AG$10000,MATCH(Z1859,'CAMD Facility Data 2023'!$AE$2:$AE$10000,0),3)&gt;0,INDEX('CAMD Facility Data 2023'!$AE$2:$AG$10000,MATCH(Z1859,'CAMD Facility Data 2023'!$AE$2:$AE$10000,0),3),"")</f>
        <v/>
      </c>
      <c r="AD1859" s="20">
        <f t="shared" ref="AD1859:AD1922" si="88">IF(ISNUMBER(O1859*2000/I1859),O1859*2000/I1859,"")</f>
        <v>0.89298090129746854</v>
      </c>
      <c r="AE1859" s="25">
        <f t="shared" ref="AE1859:AE1922" si="89">Q1859/(AB1859*8760)</f>
        <v>8.4407421990025482E-3</v>
      </c>
    </row>
    <row r="1860" spans="1:31" x14ac:dyDescent="0.2">
      <c r="A1860" s="1" t="s">
        <v>304</v>
      </c>
      <c r="B1860" s="1" t="s">
        <v>4412</v>
      </c>
      <c r="C1860" s="1">
        <v>7873</v>
      </c>
      <c r="D1860" s="1" t="s">
        <v>864</v>
      </c>
      <c r="F1860" s="1">
        <v>2023</v>
      </c>
      <c r="G1860" s="5">
        <v>137</v>
      </c>
      <c r="H1860" s="5">
        <v>95.04</v>
      </c>
      <c r="I1860" s="5">
        <v>2355.41</v>
      </c>
      <c r="K1860" s="5">
        <v>8.0000000000000002E-3</v>
      </c>
      <c r="L1860" s="5">
        <v>1E-3</v>
      </c>
      <c r="M1860" s="5">
        <v>1493.115</v>
      </c>
      <c r="N1860" s="6">
        <v>5.9299999999999999E-2</v>
      </c>
      <c r="O1860" s="5">
        <v>1.0760000000000001</v>
      </c>
      <c r="P1860" s="6">
        <v>9.5200000000000007E-2</v>
      </c>
      <c r="Q1860" s="5">
        <v>25122.487000000001</v>
      </c>
      <c r="R1860" s="1" t="s">
        <v>44</v>
      </c>
      <c r="T1860" s="1" t="s">
        <v>93</v>
      </c>
      <c r="V1860" s="1" t="s">
        <v>95</v>
      </c>
      <c r="Y1860" s="1" t="s">
        <v>247</v>
      </c>
      <c r="Z1860" s="1" t="str">
        <f t="shared" si="87"/>
        <v>7873 CT4B</v>
      </c>
      <c r="AA1860" s="3">
        <f>IF(INDEX('CAMD Facility Data 2023'!$AA$2:$AE$10000,MATCH(Z1860,'CAMD Facility Data 2023'!$AE$2:$AE$10000,0),1)&gt;0,INDEX('CAMD Facility Data 2023'!$AA$2:$AE$10000,MATCH(Z1860,'CAMD Facility Data 2023'!$AE$2:$AE$10000,0),1),"")</f>
        <v>39989</v>
      </c>
      <c r="AB1860" s="5">
        <f>IF(INDEX('CAMD Facility Data 2023'!$AC$2:$AE$10000,MATCH(Z1860,'CAMD Facility Data 2023'!$AE$2:$AE$10000,0),1)&gt;0,INDEX('CAMD Facility Data 2023'!$AC$2:$AE$10000,MATCH(Z1860,'CAMD Facility Data 2023'!$AE$2:$AE$10000,0),1),"")</f>
        <v>342.7</v>
      </c>
      <c r="AC1860" s="1" t="str">
        <f>IF(INDEX('CAMD Facility Data 2023'!$AE$2:$AG$10000,MATCH(Z1860,'CAMD Facility Data 2023'!$AE$2:$AE$10000,0),3)&gt;0,INDEX('CAMD Facility Data 2023'!$AE$2:$AG$10000,MATCH(Z1860,'CAMD Facility Data 2023'!$AE$2:$AE$10000,0),3),"")</f>
        <v/>
      </c>
      <c r="AD1860" s="20">
        <f t="shared" si="88"/>
        <v>0.9136413618011302</v>
      </c>
      <c r="AE1860" s="25">
        <f t="shared" si="89"/>
        <v>8.3684383215214125E-3</v>
      </c>
    </row>
    <row r="1861" spans="1:31" x14ac:dyDescent="0.2">
      <c r="A1861" s="1" t="s">
        <v>304</v>
      </c>
      <c r="B1861" s="1" t="s">
        <v>4412</v>
      </c>
      <c r="C1861" s="1">
        <v>7873</v>
      </c>
      <c r="D1861" s="1" t="s">
        <v>1900</v>
      </c>
      <c r="F1861" s="1">
        <v>2023</v>
      </c>
      <c r="G1861" s="5">
        <v>209</v>
      </c>
      <c r="H1861" s="5">
        <v>143.97999999999999</v>
      </c>
      <c r="I1861" s="5">
        <v>3311.71</v>
      </c>
      <c r="K1861" s="5">
        <v>1.0999999999999999E-2</v>
      </c>
      <c r="L1861" s="5">
        <v>1E-3</v>
      </c>
      <c r="M1861" s="5">
        <v>2161.277</v>
      </c>
      <c r="N1861" s="6">
        <v>5.9299999999999999E-2</v>
      </c>
      <c r="O1861" s="5">
        <v>1.61</v>
      </c>
      <c r="P1861" s="6">
        <v>9.64E-2</v>
      </c>
      <c r="Q1861" s="5">
        <v>36368.718000000001</v>
      </c>
      <c r="R1861" s="1" t="s">
        <v>44</v>
      </c>
      <c r="T1861" s="1" t="s">
        <v>93</v>
      </c>
      <c r="V1861" s="1" t="s">
        <v>95</v>
      </c>
      <c r="Y1861" s="1" t="s">
        <v>247</v>
      </c>
      <c r="Z1861" s="1" t="str">
        <f t="shared" si="87"/>
        <v>7873 CT5A</v>
      </c>
      <c r="AA1861" s="3">
        <f>IF(INDEX('CAMD Facility Data 2023'!$AA$2:$AE$10000,MATCH(Z1861,'CAMD Facility Data 2023'!$AE$2:$AE$10000,0),1)&gt;0,INDEX('CAMD Facility Data 2023'!$AA$2:$AE$10000,MATCH(Z1861,'CAMD Facility Data 2023'!$AE$2:$AE$10000,0),1),"")</f>
        <v>39905</v>
      </c>
      <c r="AB1861" s="5">
        <f>IF(INDEX('CAMD Facility Data 2023'!$AC$2:$AE$10000,MATCH(Z1861,'CAMD Facility Data 2023'!$AE$2:$AE$10000,0),1)&gt;0,INDEX('CAMD Facility Data 2023'!$AC$2:$AE$10000,MATCH(Z1861,'CAMD Facility Data 2023'!$AE$2:$AE$10000,0),1),"")</f>
        <v>342.7</v>
      </c>
      <c r="AC1861" s="1" t="str">
        <f>IF(INDEX('CAMD Facility Data 2023'!$AE$2:$AG$10000,MATCH(Z1861,'CAMD Facility Data 2023'!$AE$2:$AE$10000,0),3)&gt;0,INDEX('CAMD Facility Data 2023'!$AE$2:$AG$10000,MATCH(Z1861,'CAMD Facility Data 2023'!$AE$2:$AE$10000,0),3),"")</f>
        <v/>
      </c>
      <c r="AD1861" s="20">
        <f t="shared" si="88"/>
        <v>0.9723073578302448</v>
      </c>
      <c r="AE1861" s="25">
        <f t="shared" si="89"/>
        <v>1.2114619600193468E-2</v>
      </c>
    </row>
    <row r="1862" spans="1:31" x14ac:dyDescent="0.2">
      <c r="A1862" s="1" t="s">
        <v>304</v>
      </c>
      <c r="B1862" s="1" t="s">
        <v>4412</v>
      </c>
      <c r="C1862" s="1">
        <v>7873</v>
      </c>
      <c r="D1862" s="1" t="s">
        <v>1902</v>
      </c>
      <c r="F1862" s="1">
        <v>2023</v>
      </c>
      <c r="G1862" s="5">
        <v>206</v>
      </c>
      <c r="H1862" s="5">
        <v>141.51</v>
      </c>
      <c r="I1862" s="5">
        <v>3360.9</v>
      </c>
      <c r="K1862" s="5">
        <v>1.0999999999999999E-2</v>
      </c>
      <c r="L1862" s="5">
        <v>1E-3</v>
      </c>
      <c r="M1862" s="5">
        <v>2181.5390000000002</v>
      </c>
      <c r="N1862" s="6">
        <v>5.9299999999999999E-2</v>
      </c>
      <c r="O1862" s="5">
        <v>1.6479999999999999</v>
      </c>
      <c r="P1862" s="6">
        <v>9.69E-2</v>
      </c>
      <c r="Q1862" s="5">
        <v>36708.711000000003</v>
      </c>
      <c r="R1862" s="1" t="s">
        <v>44</v>
      </c>
      <c r="T1862" s="1" t="s">
        <v>93</v>
      </c>
      <c r="V1862" s="1" t="s">
        <v>95</v>
      </c>
      <c r="Y1862" s="1" t="s">
        <v>247</v>
      </c>
      <c r="Z1862" s="1" t="str">
        <f t="shared" si="87"/>
        <v>7873 CT5B</v>
      </c>
      <c r="AA1862" s="3">
        <f>IF(INDEX('CAMD Facility Data 2023'!$AA$2:$AE$10000,MATCH(Z1862,'CAMD Facility Data 2023'!$AE$2:$AE$10000,0),1)&gt;0,INDEX('CAMD Facility Data 2023'!$AA$2:$AE$10000,MATCH(Z1862,'CAMD Facility Data 2023'!$AE$2:$AE$10000,0),1),"")</f>
        <v>39905</v>
      </c>
      <c r="AB1862" s="5">
        <f>IF(INDEX('CAMD Facility Data 2023'!$AC$2:$AE$10000,MATCH(Z1862,'CAMD Facility Data 2023'!$AE$2:$AE$10000,0),1)&gt;0,INDEX('CAMD Facility Data 2023'!$AC$2:$AE$10000,MATCH(Z1862,'CAMD Facility Data 2023'!$AE$2:$AE$10000,0),1),"")</f>
        <v>342.7</v>
      </c>
      <c r="AC1862" s="1" t="str">
        <f>IF(INDEX('CAMD Facility Data 2023'!$AE$2:$AG$10000,MATCH(Z1862,'CAMD Facility Data 2023'!$AE$2:$AE$10000,0),3)&gt;0,INDEX('CAMD Facility Data 2023'!$AE$2:$AG$10000,MATCH(Z1862,'CAMD Facility Data 2023'!$AE$2:$AE$10000,0),3),"")</f>
        <v/>
      </c>
      <c r="AD1862" s="20">
        <f t="shared" si="88"/>
        <v>0.98068969621232405</v>
      </c>
      <c r="AE1862" s="25">
        <f t="shared" si="89"/>
        <v>1.2227873134775814E-2</v>
      </c>
    </row>
    <row r="1863" spans="1:31" x14ac:dyDescent="0.2">
      <c r="A1863" s="1" t="s">
        <v>304</v>
      </c>
      <c r="B1863" s="1" t="s">
        <v>4412</v>
      </c>
      <c r="C1863" s="1">
        <v>7873</v>
      </c>
      <c r="D1863" s="1" t="s">
        <v>4428</v>
      </c>
      <c r="F1863" s="1">
        <v>2023</v>
      </c>
      <c r="G1863" s="5">
        <v>186</v>
      </c>
      <c r="H1863" s="5">
        <v>120.22</v>
      </c>
      <c r="I1863" s="5">
        <v>2634.65</v>
      </c>
      <c r="K1863" s="5">
        <v>8.0000000000000002E-3</v>
      </c>
      <c r="L1863" s="5">
        <v>1E-3</v>
      </c>
      <c r="M1863" s="5">
        <v>1682.175</v>
      </c>
      <c r="N1863" s="6">
        <v>5.8799999999999998E-2</v>
      </c>
      <c r="O1863" s="5">
        <v>1.359</v>
      </c>
      <c r="P1863" s="6">
        <v>0.1077</v>
      </c>
      <c r="Q1863" s="5">
        <v>28298.316999999999</v>
      </c>
      <c r="R1863" s="1" t="s">
        <v>44</v>
      </c>
      <c r="T1863" s="1" t="s">
        <v>93</v>
      </c>
      <c r="V1863" s="1" t="s">
        <v>95</v>
      </c>
      <c r="Y1863" s="1" t="s">
        <v>247</v>
      </c>
      <c r="Z1863" s="1" t="str">
        <f t="shared" si="87"/>
        <v>7873 CT6A</v>
      </c>
      <c r="AA1863" s="3">
        <f>IF(INDEX('CAMD Facility Data 2023'!$AA$2:$AE$10000,MATCH(Z1863,'CAMD Facility Data 2023'!$AE$2:$AE$10000,0),1)&gt;0,INDEX('CAMD Facility Data 2023'!$AA$2:$AE$10000,MATCH(Z1863,'CAMD Facility Data 2023'!$AE$2:$AE$10000,0),1),"")</f>
        <v>39897</v>
      </c>
      <c r="AB1863" s="5">
        <f>IF(INDEX('CAMD Facility Data 2023'!$AC$2:$AE$10000,MATCH(Z1863,'CAMD Facility Data 2023'!$AE$2:$AE$10000,0),1)&gt;0,INDEX('CAMD Facility Data 2023'!$AC$2:$AE$10000,MATCH(Z1863,'CAMD Facility Data 2023'!$AE$2:$AE$10000,0),1),"")</f>
        <v>342.7</v>
      </c>
      <c r="AC1863" s="1" t="str">
        <f>IF(INDEX('CAMD Facility Data 2023'!$AE$2:$AG$10000,MATCH(Z1863,'CAMD Facility Data 2023'!$AE$2:$AE$10000,0),3)&gt;0,INDEX('CAMD Facility Data 2023'!$AE$2:$AG$10000,MATCH(Z1863,'CAMD Facility Data 2023'!$AE$2:$AE$10000,0),3),"")</f>
        <v/>
      </c>
      <c r="AD1863" s="20">
        <f t="shared" si="88"/>
        <v>1.0316360806938303</v>
      </c>
      <c r="AE1863" s="25">
        <f t="shared" si="89"/>
        <v>9.4263247272199143E-3</v>
      </c>
    </row>
    <row r="1864" spans="1:31" x14ac:dyDescent="0.2">
      <c r="A1864" s="1" t="s">
        <v>304</v>
      </c>
      <c r="B1864" s="1" t="s">
        <v>4412</v>
      </c>
      <c r="C1864" s="1">
        <v>7873</v>
      </c>
      <c r="D1864" s="1" t="s">
        <v>4430</v>
      </c>
      <c r="F1864" s="1">
        <v>2023</v>
      </c>
      <c r="G1864" s="5">
        <v>174</v>
      </c>
      <c r="H1864" s="5">
        <v>121.17</v>
      </c>
      <c r="I1864" s="5">
        <v>3022.85</v>
      </c>
      <c r="K1864" s="5">
        <v>8.9999999999999993E-3</v>
      </c>
      <c r="L1864" s="5">
        <v>1E-3</v>
      </c>
      <c r="M1864" s="5">
        <v>1854.268</v>
      </c>
      <c r="N1864" s="6">
        <v>5.91E-2</v>
      </c>
      <c r="O1864" s="5">
        <v>1.5629999999999999</v>
      </c>
      <c r="P1864" s="6">
        <v>0.10580000000000001</v>
      </c>
      <c r="Q1864" s="5">
        <v>31196.687000000002</v>
      </c>
      <c r="R1864" s="1" t="s">
        <v>44</v>
      </c>
      <c r="T1864" s="1" t="s">
        <v>93</v>
      </c>
      <c r="V1864" s="1" t="s">
        <v>95</v>
      </c>
      <c r="Y1864" s="1" t="s">
        <v>247</v>
      </c>
      <c r="Z1864" s="1" t="str">
        <f t="shared" si="87"/>
        <v>7873 CT6B</v>
      </c>
      <c r="AA1864" s="3">
        <f>IF(INDEX('CAMD Facility Data 2023'!$AA$2:$AE$10000,MATCH(Z1864,'CAMD Facility Data 2023'!$AE$2:$AE$10000,0),1)&gt;0,INDEX('CAMD Facility Data 2023'!$AA$2:$AE$10000,MATCH(Z1864,'CAMD Facility Data 2023'!$AE$2:$AE$10000,0),1),"")</f>
        <v>39897</v>
      </c>
      <c r="AB1864" s="5">
        <f>IF(INDEX('CAMD Facility Data 2023'!$AC$2:$AE$10000,MATCH(Z1864,'CAMD Facility Data 2023'!$AE$2:$AE$10000,0),1)&gt;0,INDEX('CAMD Facility Data 2023'!$AC$2:$AE$10000,MATCH(Z1864,'CAMD Facility Data 2023'!$AE$2:$AE$10000,0),1),"")</f>
        <v>342.7</v>
      </c>
      <c r="AC1864" s="1" t="str">
        <f>IF(INDEX('CAMD Facility Data 2023'!$AE$2:$AG$10000,MATCH(Z1864,'CAMD Facility Data 2023'!$AE$2:$AE$10000,0),3)&gt;0,INDEX('CAMD Facility Data 2023'!$AE$2:$AG$10000,MATCH(Z1864,'CAMD Facility Data 2023'!$AE$2:$AE$10000,0),3),"")</f>
        <v/>
      </c>
      <c r="AD1864" s="20">
        <f t="shared" si="88"/>
        <v>1.0341234265676431</v>
      </c>
      <c r="AE1864" s="25">
        <f t="shared" si="89"/>
        <v>1.0391787683890886E-2</v>
      </c>
    </row>
    <row r="1865" spans="1:31" x14ac:dyDescent="0.2">
      <c r="A1865" s="1" t="s">
        <v>203</v>
      </c>
      <c r="B1865" s="1" t="s">
        <v>4431</v>
      </c>
      <c r="C1865" s="1">
        <v>7887</v>
      </c>
      <c r="D1865" s="1" t="s">
        <v>4432</v>
      </c>
      <c r="F1865" s="1">
        <v>2023</v>
      </c>
      <c r="G1865" s="5">
        <v>2379</v>
      </c>
      <c r="H1865" s="5">
        <v>2023.22</v>
      </c>
      <c r="I1865" s="5">
        <v>67509.75</v>
      </c>
      <c r="K1865" s="5">
        <v>0.19900000000000001</v>
      </c>
      <c r="L1865" s="5">
        <v>6.9999999999999999E-4</v>
      </c>
      <c r="M1865" s="5">
        <v>38858.366000000002</v>
      </c>
      <c r="N1865" s="6">
        <v>5.9299999999999999E-2</v>
      </c>
      <c r="O1865" s="5">
        <v>25.039000000000001</v>
      </c>
      <c r="P1865" s="6">
        <v>0.1062</v>
      </c>
      <c r="Q1865" s="5">
        <v>653768.93000000005</v>
      </c>
      <c r="R1865" s="1" t="s">
        <v>44</v>
      </c>
      <c r="S1865" s="1" t="s">
        <v>94</v>
      </c>
      <c r="T1865" s="1" t="s">
        <v>71</v>
      </c>
      <c r="V1865" s="1" t="s">
        <v>176</v>
      </c>
      <c r="Y1865" s="1" t="s">
        <v>1666</v>
      </c>
      <c r="Z1865" s="1" t="str">
        <f t="shared" si="87"/>
        <v>7887 SVGS2</v>
      </c>
      <c r="AA1865" s="3">
        <f>IF(INDEX('CAMD Facility Data 2023'!$AA$2:$AE$10000,MATCH(Z1865,'CAMD Facility Data 2023'!$AE$2:$AE$10000,0),1)&gt;0,INDEX('CAMD Facility Data 2023'!$AA$2:$AE$10000,MATCH(Z1865,'CAMD Facility Data 2023'!$AE$2:$AE$10000,0),1),"")</f>
        <v>37840</v>
      </c>
      <c r="AB1865" s="5">
        <f>IF(INDEX('CAMD Facility Data 2023'!$AC$2:$AE$10000,MATCH(Z1865,'CAMD Facility Data 2023'!$AE$2:$AE$10000,0),1)&gt;0,INDEX('CAMD Facility Data 2023'!$AC$2:$AE$10000,MATCH(Z1865,'CAMD Facility Data 2023'!$AE$2:$AE$10000,0),1),"")</f>
        <v>461</v>
      </c>
      <c r="AC1865" s="1" t="str">
        <f>IF(INDEX('CAMD Facility Data 2023'!$AE$2:$AG$10000,MATCH(Z1865,'CAMD Facility Data 2023'!$AE$2:$AE$10000,0),3)&gt;0,INDEX('CAMD Facility Data 2023'!$AE$2:$AG$10000,MATCH(Z1865,'CAMD Facility Data 2023'!$AE$2:$AE$10000,0),3),"")</f>
        <v>Y</v>
      </c>
      <c r="AD1865" s="20">
        <f t="shared" si="88"/>
        <v>0.74178914897477777</v>
      </c>
      <c r="AE1865" s="25">
        <f t="shared" si="89"/>
        <v>0.16188971017937975</v>
      </c>
    </row>
    <row r="1866" spans="1:31" x14ac:dyDescent="0.2">
      <c r="A1866" s="1" t="s">
        <v>203</v>
      </c>
      <c r="B1866" s="1" t="s">
        <v>4431</v>
      </c>
      <c r="C1866" s="1">
        <v>7887</v>
      </c>
      <c r="D1866" s="1" t="s">
        <v>4434</v>
      </c>
      <c r="F1866" s="1">
        <v>2023</v>
      </c>
      <c r="G1866" s="5">
        <v>0</v>
      </c>
      <c r="H1866" s="5">
        <v>0</v>
      </c>
      <c r="R1866" s="1" t="s">
        <v>44</v>
      </c>
      <c r="S1866" s="1" t="s">
        <v>94</v>
      </c>
      <c r="T1866" s="1" t="s">
        <v>71</v>
      </c>
      <c r="V1866" s="1" t="s">
        <v>176</v>
      </c>
      <c r="Y1866" s="1" t="s">
        <v>1666</v>
      </c>
      <c r="Z1866" s="1" t="str">
        <f t="shared" si="87"/>
        <v>7887 SVGS3</v>
      </c>
      <c r="AA1866" s="3">
        <f>IF(INDEX('CAMD Facility Data 2023'!$AA$2:$AE$10000,MATCH(Z1866,'CAMD Facility Data 2023'!$AE$2:$AE$10000,0),1)&gt;0,INDEX('CAMD Facility Data 2023'!$AA$2:$AE$10000,MATCH(Z1866,'CAMD Facility Data 2023'!$AE$2:$AE$10000,0),1),"")</f>
        <v>37838</v>
      </c>
      <c r="AB1866" s="5">
        <f>IF(INDEX('CAMD Facility Data 2023'!$AC$2:$AE$10000,MATCH(Z1866,'CAMD Facility Data 2023'!$AE$2:$AE$10000,0),1)&gt;0,INDEX('CAMD Facility Data 2023'!$AC$2:$AE$10000,MATCH(Z1866,'CAMD Facility Data 2023'!$AE$2:$AE$10000,0),1),"")</f>
        <v>461</v>
      </c>
      <c r="AC1866" s="1" t="str">
        <f>IF(INDEX('CAMD Facility Data 2023'!$AE$2:$AG$10000,MATCH(Z1866,'CAMD Facility Data 2023'!$AE$2:$AE$10000,0),3)&gt;0,INDEX('CAMD Facility Data 2023'!$AE$2:$AG$10000,MATCH(Z1866,'CAMD Facility Data 2023'!$AE$2:$AE$10000,0),3),"")</f>
        <v>Y</v>
      </c>
      <c r="AD1866" s="20" t="str">
        <f t="shared" si="88"/>
        <v/>
      </c>
      <c r="AE1866" s="25">
        <f t="shared" si="89"/>
        <v>0</v>
      </c>
    </row>
    <row r="1867" spans="1:31" x14ac:dyDescent="0.2">
      <c r="A1867" s="1" t="s">
        <v>203</v>
      </c>
      <c r="B1867" s="1" t="s">
        <v>4431</v>
      </c>
      <c r="C1867" s="1">
        <v>7887</v>
      </c>
      <c r="D1867" s="1" t="s">
        <v>4436</v>
      </c>
      <c r="F1867" s="1">
        <v>2023</v>
      </c>
      <c r="G1867" s="5">
        <v>0</v>
      </c>
      <c r="H1867" s="5">
        <v>0</v>
      </c>
      <c r="R1867" s="1" t="s">
        <v>44</v>
      </c>
      <c r="S1867" s="1" t="s">
        <v>94</v>
      </c>
      <c r="T1867" s="1" t="s">
        <v>93</v>
      </c>
      <c r="V1867" s="1" t="s">
        <v>176</v>
      </c>
      <c r="Y1867" s="1" t="s">
        <v>1666</v>
      </c>
      <c r="Z1867" s="1" t="str">
        <f t="shared" si="87"/>
        <v>7887 SVGS4</v>
      </c>
      <c r="AA1867" s="3">
        <f>IF(INDEX('CAMD Facility Data 2023'!$AA$2:$AE$10000,MATCH(Z1867,'CAMD Facility Data 2023'!$AE$2:$AE$10000,0),1)&gt;0,INDEX('CAMD Facility Data 2023'!$AA$2:$AE$10000,MATCH(Z1867,'CAMD Facility Data 2023'!$AE$2:$AE$10000,0),1),"")</f>
        <v>37844</v>
      </c>
      <c r="AB1867" s="5">
        <f>IF(INDEX('CAMD Facility Data 2023'!$AC$2:$AE$10000,MATCH(Z1867,'CAMD Facility Data 2023'!$AE$2:$AE$10000,0),1)&gt;0,INDEX('CAMD Facility Data 2023'!$AC$2:$AE$10000,MATCH(Z1867,'CAMD Facility Data 2023'!$AE$2:$AE$10000,0),1),"")</f>
        <v>439</v>
      </c>
      <c r="AC1867" s="1" t="str">
        <f>IF(INDEX('CAMD Facility Data 2023'!$AE$2:$AG$10000,MATCH(Z1867,'CAMD Facility Data 2023'!$AE$2:$AE$10000,0),3)&gt;0,INDEX('CAMD Facility Data 2023'!$AE$2:$AG$10000,MATCH(Z1867,'CAMD Facility Data 2023'!$AE$2:$AE$10000,0),3),"")</f>
        <v>Y</v>
      </c>
      <c r="AD1867" s="20" t="str">
        <f t="shared" si="88"/>
        <v/>
      </c>
      <c r="AE1867" s="25">
        <f t="shared" si="89"/>
        <v>0</v>
      </c>
    </row>
    <row r="1868" spans="1:31" x14ac:dyDescent="0.2">
      <c r="A1868" s="1" t="s">
        <v>32</v>
      </c>
      <c r="B1868" s="1" t="s">
        <v>4437</v>
      </c>
      <c r="C1868" s="1">
        <v>7897</v>
      </c>
      <c r="D1868" s="1" t="s">
        <v>372</v>
      </c>
      <c r="F1868" s="1">
        <v>2023</v>
      </c>
      <c r="G1868" s="5">
        <v>4891</v>
      </c>
      <c r="H1868" s="5">
        <v>4821.5</v>
      </c>
      <c r="I1868" s="5">
        <v>1267765.5</v>
      </c>
      <c r="K1868" s="5">
        <v>2.6110000000000002</v>
      </c>
      <c r="L1868" s="5">
        <v>1E-3</v>
      </c>
      <c r="M1868" s="5">
        <v>517185.3</v>
      </c>
      <c r="N1868" s="6">
        <v>5.8999999999999997E-2</v>
      </c>
      <c r="O1868" s="5">
        <v>50.728000000000002</v>
      </c>
      <c r="P1868" s="6">
        <v>1.9300000000000001E-2</v>
      </c>
      <c r="Q1868" s="5">
        <v>8702612.1500000004</v>
      </c>
      <c r="R1868" s="1" t="s">
        <v>44</v>
      </c>
      <c r="T1868" s="1" t="s">
        <v>71</v>
      </c>
      <c r="V1868" s="1" t="s">
        <v>64</v>
      </c>
      <c r="Y1868" s="1" t="s">
        <v>35</v>
      </c>
      <c r="Z1868" s="1" t="str">
        <f t="shared" si="87"/>
        <v>7897 1A</v>
      </c>
      <c r="AA1868" s="3">
        <f>IF(INDEX('CAMD Facility Data 2023'!$AA$2:$AE$10000,MATCH(Z1868,'CAMD Facility Data 2023'!$AE$2:$AE$10000,0),1)&gt;0,INDEX('CAMD Facility Data 2023'!$AA$2:$AE$10000,MATCH(Z1868,'CAMD Facility Data 2023'!$AE$2:$AE$10000,0),1),"")</f>
        <v>37657</v>
      </c>
      <c r="AB1868" s="5">
        <f>IF(INDEX('CAMD Facility Data 2023'!$AC$2:$AE$10000,MATCH(Z1868,'CAMD Facility Data 2023'!$AE$2:$AE$10000,0),1)&gt;0,INDEX('CAMD Facility Data 2023'!$AC$2:$AE$10000,MATCH(Z1868,'CAMD Facility Data 2023'!$AE$2:$AE$10000,0),1),"")</f>
        <v>2600</v>
      </c>
      <c r="AC1868" s="1" t="str">
        <f>IF(INDEX('CAMD Facility Data 2023'!$AE$2:$AG$10000,MATCH(Z1868,'CAMD Facility Data 2023'!$AE$2:$AE$10000,0),3)&gt;0,INDEX('CAMD Facility Data 2023'!$AE$2:$AG$10000,MATCH(Z1868,'CAMD Facility Data 2023'!$AE$2:$AE$10000,0),3),"")</f>
        <v>Y</v>
      </c>
      <c r="AD1868" s="20">
        <f t="shared" si="88"/>
        <v>8.0027418319870675E-2</v>
      </c>
      <c r="AE1868" s="25">
        <f t="shared" si="89"/>
        <v>0.3820957213733755</v>
      </c>
    </row>
    <row r="1869" spans="1:31" x14ac:dyDescent="0.2">
      <c r="A1869" s="1" t="s">
        <v>32</v>
      </c>
      <c r="B1869" s="1" t="s">
        <v>4437</v>
      </c>
      <c r="C1869" s="1">
        <v>7897</v>
      </c>
      <c r="D1869" s="1" t="s">
        <v>1199</v>
      </c>
      <c r="F1869" s="1">
        <v>2023</v>
      </c>
      <c r="G1869" s="5">
        <v>5163</v>
      </c>
      <c r="H1869" s="5">
        <v>5083</v>
      </c>
      <c r="I1869" s="5">
        <v>1342267</v>
      </c>
      <c r="K1869" s="5">
        <v>2.754</v>
      </c>
      <c r="L1869" s="5">
        <v>1E-3</v>
      </c>
      <c r="M1869" s="5">
        <v>545616</v>
      </c>
      <c r="N1869" s="6">
        <v>5.8999999999999997E-2</v>
      </c>
      <c r="O1869" s="5">
        <v>50.082000000000001</v>
      </c>
      <c r="P1869" s="6">
        <v>1.6500000000000001E-2</v>
      </c>
      <c r="Q1869" s="5">
        <v>9181070.4749999996</v>
      </c>
      <c r="R1869" s="1" t="s">
        <v>44</v>
      </c>
      <c r="T1869" s="1" t="s">
        <v>71</v>
      </c>
      <c r="V1869" s="1" t="s">
        <v>64</v>
      </c>
      <c r="Y1869" s="1" t="s">
        <v>35</v>
      </c>
      <c r="Z1869" s="1" t="str">
        <f t="shared" si="87"/>
        <v>7897 1B</v>
      </c>
      <c r="AA1869" s="3">
        <f>IF(INDEX('CAMD Facility Data 2023'!$AA$2:$AE$10000,MATCH(Z1869,'CAMD Facility Data 2023'!$AE$2:$AE$10000,0),1)&gt;0,INDEX('CAMD Facility Data 2023'!$AA$2:$AE$10000,MATCH(Z1869,'CAMD Facility Data 2023'!$AE$2:$AE$10000,0),1),"")</f>
        <v>37641</v>
      </c>
      <c r="AB1869" s="5">
        <f>IF(INDEX('CAMD Facility Data 2023'!$AC$2:$AE$10000,MATCH(Z1869,'CAMD Facility Data 2023'!$AE$2:$AE$10000,0),1)&gt;0,INDEX('CAMD Facility Data 2023'!$AC$2:$AE$10000,MATCH(Z1869,'CAMD Facility Data 2023'!$AE$2:$AE$10000,0),1),"")</f>
        <v>2600</v>
      </c>
      <c r="AC1869" s="1" t="str">
        <f>IF(INDEX('CAMD Facility Data 2023'!$AE$2:$AG$10000,MATCH(Z1869,'CAMD Facility Data 2023'!$AE$2:$AE$10000,0),3)&gt;0,INDEX('CAMD Facility Data 2023'!$AE$2:$AG$10000,MATCH(Z1869,'CAMD Facility Data 2023'!$AE$2:$AE$10000,0),3),"")</f>
        <v>Y</v>
      </c>
      <c r="AD1869" s="20">
        <f t="shared" si="88"/>
        <v>7.4623007196034763E-2</v>
      </c>
      <c r="AE1869" s="25">
        <f t="shared" si="89"/>
        <v>0.40310284839304528</v>
      </c>
    </row>
    <row r="1870" spans="1:31" x14ac:dyDescent="0.2">
      <c r="A1870" s="1" t="s">
        <v>32</v>
      </c>
      <c r="B1870" s="1" t="s">
        <v>4437</v>
      </c>
      <c r="C1870" s="1">
        <v>7897</v>
      </c>
      <c r="D1870" s="1" t="s">
        <v>377</v>
      </c>
      <c r="F1870" s="1">
        <v>2023</v>
      </c>
      <c r="G1870" s="5">
        <v>7203</v>
      </c>
      <c r="H1870" s="5">
        <v>7169.75</v>
      </c>
      <c r="I1870" s="5">
        <v>1969428.75</v>
      </c>
      <c r="K1870" s="5">
        <v>4.0060000000000002</v>
      </c>
      <c r="L1870" s="5">
        <v>1E-3</v>
      </c>
      <c r="M1870" s="5">
        <v>793469</v>
      </c>
      <c r="N1870" s="6">
        <v>5.8999999999999997E-2</v>
      </c>
      <c r="O1870" s="5">
        <v>58.707999999999998</v>
      </c>
      <c r="P1870" s="6">
        <v>1.06E-2</v>
      </c>
      <c r="Q1870" s="5">
        <v>13351650.4</v>
      </c>
      <c r="R1870" s="1" t="s">
        <v>44</v>
      </c>
      <c r="T1870" s="1" t="s">
        <v>71</v>
      </c>
      <c r="V1870" s="1" t="s">
        <v>64</v>
      </c>
      <c r="Y1870" s="1" t="s">
        <v>35</v>
      </c>
      <c r="Z1870" s="1" t="str">
        <f t="shared" si="87"/>
        <v>7897 2A</v>
      </c>
      <c r="AA1870" s="3">
        <f>IF(INDEX('CAMD Facility Data 2023'!$AA$2:$AE$10000,MATCH(Z1870,'CAMD Facility Data 2023'!$AE$2:$AE$10000,0),1)&gt;0,INDEX('CAMD Facility Data 2023'!$AA$2:$AE$10000,MATCH(Z1870,'CAMD Facility Data 2023'!$AE$2:$AE$10000,0),1),"")</f>
        <v>37702</v>
      </c>
      <c r="AB1870" s="5">
        <f>IF(INDEX('CAMD Facility Data 2023'!$AC$2:$AE$10000,MATCH(Z1870,'CAMD Facility Data 2023'!$AE$2:$AE$10000,0),1)&gt;0,INDEX('CAMD Facility Data 2023'!$AC$2:$AE$10000,MATCH(Z1870,'CAMD Facility Data 2023'!$AE$2:$AE$10000,0),1),"")</f>
        <v>2600</v>
      </c>
      <c r="AC1870" s="1" t="str">
        <f>IF(INDEX('CAMD Facility Data 2023'!$AE$2:$AG$10000,MATCH(Z1870,'CAMD Facility Data 2023'!$AE$2:$AE$10000,0),3)&gt;0,INDEX('CAMD Facility Data 2023'!$AE$2:$AG$10000,MATCH(Z1870,'CAMD Facility Data 2023'!$AE$2:$AE$10000,0),3),"")</f>
        <v>Y</v>
      </c>
      <c r="AD1870" s="20">
        <f t="shared" si="88"/>
        <v>5.9619318546050473E-2</v>
      </c>
      <c r="AE1870" s="25">
        <f t="shared" si="89"/>
        <v>0.58621577098700384</v>
      </c>
    </row>
    <row r="1871" spans="1:31" x14ac:dyDescent="0.2">
      <c r="A1871" s="1" t="s">
        <v>32</v>
      </c>
      <c r="B1871" s="1" t="s">
        <v>4437</v>
      </c>
      <c r="C1871" s="1">
        <v>7897</v>
      </c>
      <c r="D1871" s="1" t="s">
        <v>1201</v>
      </c>
      <c r="F1871" s="1">
        <v>2023</v>
      </c>
      <c r="G1871" s="5">
        <v>7347</v>
      </c>
      <c r="H1871" s="5">
        <v>7310</v>
      </c>
      <c r="I1871" s="5">
        <v>2012234.75</v>
      </c>
      <c r="K1871" s="5">
        <v>4.0819999999999999</v>
      </c>
      <c r="L1871" s="5">
        <v>1E-3</v>
      </c>
      <c r="M1871" s="5">
        <v>808618.375</v>
      </c>
      <c r="N1871" s="6">
        <v>5.8999999999999997E-2</v>
      </c>
      <c r="O1871" s="5">
        <v>60.338000000000001</v>
      </c>
      <c r="P1871" s="6">
        <v>1.0800000000000001E-2</v>
      </c>
      <c r="Q1871" s="5">
        <v>13606551.85</v>
      </c>
      <c r="R1871" s="1" t="s">
        <v>44</v>
      </c>
      <c r="T1871" s="1" t="s">
        <v>71</v>
      </c>
      <c r="V1871" s="1" t="s">
        <v>64</v>
      </c>
      <c r="Y1871" s="1" t="s">
        <v>35</v>
      </c>
      <c r="Z1871" s="1" t="str">
        <f t="shared" si="87"/>
        <v>7897 2B</v>
      </c>
      <c r="AA1871" s="3">
        <f>IF(INDEX('CAMD Facility Data 2023'!$AA$2:$AE$10000,MATCH(Z1871,'CAMD Facility Data 2023'!$AE$2:$AE$10000,0),1)&gt;0,INDEX('CAMD Facility Data 2023'!$AA$2:$AE$10000,MATCH(Z1871,'CAMD Facility Data 2023'!$AE$2:$AE$10000,0),1),"")</f>
        <v>37703</v>
      </c>
      <c r="AB1871" s="5">
        <f>IF(INDEX('CAMD Facility Data 2023'!$AC$2:$AE$10000,MATCH(Z1871,'CAMD Facility Data 2023'!$AE$2:$AE$10000,0),1)&gt;0,INDEX('CAMD Facility Data 2023'!$AC$2:$AE$10000,MATCH(Z1871,'CAMD Facility Data 2023'!$AE$2:$AE$10000,0),1),"")</f>
        <v>2600</v>
      </c>
      <c r="AC1871" s="1" t="str">
        <f>IF(INDEX('CAMD Facility Data 2023'!$AE$2:$AG$10000,MATCH(Z1871,'CAMD Facility Data 2023'!$AE$2:$AE$10000,0),3)&gt;0,INDEX('CAMD Facility Data 2023'!$AE$2:$AG$10000,MATCH(Z1871,'CAMD Facility Data 2023'!$AE$2:$AE$10000,0),3),"")</f>
        <v>Y</v>
      </c>
      <c r="AD1871" s="20">
        <f t="shared" si="88"/>
        <v>5.9971134083635122E-2</v>
      </c>
      <c r="AE1871" s="25">
        <f t="shared" si="89"/>
        <v>0.59740743984896383</v>
      </c>
    </row>
    <row r="1872" spans="1:31" x14ac:dyDescent="0.2">
      <c r="A1872" s="1" t="s">
        <v>383</v>
      </c>
      <c r="B1872" s="1" t="s">
        <v>4446</v>
      </c>
      <c r="C1872" s="1">
        <v>7900</v>
      </c>
      <c r="D1872" s="1" t="s">
        <v>4447</v>
      </c>
      <c r="F1872" s="1">
        <v>2023</v>
      </c>
      <c r="G1872" s="5">
        <v>2173</v>
      </c>
      <c r="H1872" s="5">
        <v>1898.37</v>
      </c>
      <c r="I1872" s="5">
        <v>80016.289999999994</v>
      </c>
      <c r="K1872" s="5">
        <v>0.23499999999999999</v>
      </c>
      <c r="L1872" s="5">
        <v>1E-3</v>
      </c>
      <c r="M1872" s="5">
        <v>46532.946000000004</v>
      </c>
      <c r="N1872" s="6">
        <v>5.9200000000000003E-2</v>
      </c>
      <c r="O1872" s="5">
        <v>5.931</v>
      </c>
      <c r="P1872" s="6">
        <v>1.9699999999999999E-2</v>
      </c>
      <c r="Q1872" s="5">
        <v>783022.41</v>
      </c>
      <c r="R1872" s="1" t="s">
        <v>44</v>
      </c>
      <c r="T1872" s="1" t="s">
        <v>93</v>
      </c>
      <c r="V1872" s="1" t="s">
        <v>176</v>
      </c>
      <c r="Y1872" s="1" t="s">
        <v>346</v>
      </c>
      <c r="Z1872" s="1" t="str">
        <f t="shared" si="87"/>
        <v>7900 SH1</v>
      </c>
      <c r="AA1872" s="3">
        <f>IF(INDEX('CAMD Facility Data 2023'!$AA$2:$AE$10000,MATCH(Z1872,'CAMD Facility Data 2023'!$AE$2:$AE$10000,0),1)&gt;0,INDEX('CAMD Facility Data 2023'!$AA$2:$AE$10000,MATCH(Z1872,'CAMD Facility Data 2023'!$AE$2:$AE$10000,0),1),"")</f>
        <v>36951</v>
      </c>
      <c r="AB1872" s="5">
        <f>IF(INDEX('CAMD Facility Data 2023'!$AC$2:$AE$10000,MATCH(Z1872,'CAMD Facility Data 2023'!$AE$2:$AE$10000,0),1)&gt;0,INDEX('CAMD Facility Data 2023'!$AC$2:$AE$10000,MATCH(Z1872,'CAMD Facility Data 2023'!$AE$2:$AE$10000,0),1),"")</f>
        <v>478</v>
      </c>
      <c r="AC1872" s="1" t="str">
        <f>IF(INDEX('CAMD Facility Data 2023'!$AE$2:$AG$10000,MATCH(Z1872,'CAMD Facility Data 2023'!$AE$2:$AE$10000,0),3)&gt;0,INDEX('CAMD Facility Data 2023'!$AE$2:$AG$10000,MATCH(Z1872,'CAMD Facility Data 2023'!$AE$2:$AE$10000,0),3),"")</f>
        <v>Y</v>
      </c>
      <c r="AD1872" s="20">
        <f t="shared" si="88"/>
        <v>0.14824481364982056</v>
      </c>
      <c r="AE1872" s="25">
        <f t="shared" si="89"/>
        <v>0.1870002507594429</v>
      </c>
    </row>
    <row r="1873" spans="1:31" x14ac:dyDescent="0.2">
      <c r="A1873" s="1" t="s">
        <v>383</v>
      </c>
      <c r="B1873" s="1" t="s">
        <v>4446</v>
      </c>
      <c r="C1873" s="1">
        <v>7900</v>
      </c>
      <c r="D1873" s="1" t="s">
        <v>4452</v>
      </c>
      <c r="F1873" s="1">
        <v>2023</v>
      </c>
      <c r="G1873" s="5">
        <v>2293</v>
      </c>
      <c r="H1873" s="5">
        <v>2000.67</v>
      </c>
      <c r="I1873" s="5">
        <v>85217.34</v>
      </c>
      <c r="K1873" s="5">
        <v>0.246</v>
      </c>
      <c r="L1873" s="5">
        <v>1E-3</v>
      </c>
      <c r="M1873" s="5">
        <v>48697.334000000003</v>
      </c>
      <c r="N1873" s="6">
        <v>5.9200000000000003E-2</v>
      </c>
      <c r="O1873" s="5">
        <v>6.2939999999999996</v>
      </c>
      <c r="P1873" s="6">
        <v>1.9800000000000002E-2</v>
      </c>
      <c r="Q1873" s="5">
        <v>819452.18400000001</v>
      </c>
      <c r="R1873" s="1" t="s">
        <v>44</v>
      </c>
      <c r="T1873" s="1" t="s">
        <v>93</v>
      </c>
      <c r="V1873" s="1" t="s">
        <v>176</v>
      </c>
      <c r="Y1873" s="1" t="s">
        <v>346</v>
      </c>
      <c r="Z1873" s="1" t="str">
        <f t="shared" si="87"/>
        <v>7900 SH2</v>
      </c>
      <c r="AA1873" s="3">
        <f>IF(INDEX('CAMD Facility Data 2023'!$AA$2:$AE$10000,MATCH(Z1873,'CAMD Facility Data 2023'!$AE$2:$AE$10000,0),1)&gt;0,INDEX('CAMD Facility Data 2023'!$AA$2:$AE$10000,MATCH(Z1873,'CAMD Facility Data 2023'!$AE$2:$AE$10000,0),1),"")</f>
        <v>36951</v>
      </c>
      <c r="AB1873" s="5">
        <f>IF(INDEX('CAMD Facility Data 2023'!$AC$2:$AE$10000,MATCH(Z1873,'CAMD Facility Data 2023'!$AE$2:$AE$10000,0),1)&gt;0,INDEX('CAMD Facility Data 2023'!$AC$2:$AE$10000,MATCH(Z1873,'CAMD Facility Data 2023'!$AE$2:$AE$10000,0),1),"")</f>
        <v>478</v>
      </c>
      <c r="AC1873" s="1" t="str">
        <f>IF(INDEX('CAMD Facility Data 2023'!$AE$2:$AG$10000,MATCH(Z1873,'CAMD Facility Data 2023'!$AE$2:$AE$10000,0),3)&gt;0,INDEX('CAMD Facility Data 2023'!$AE$2:$AG$10000,MATCH(Z1873,'CAMD Facility Data 2023'!$AE$2:$AE$10000,0),3),"")</f>
        <v>Y</v>
      </c>
      <c r="AD1873" s="20">
        <f t="shared" si="88"/>
        <v>0.1477164154619236</v>
      </c>
      <c r="AE1873" s="25">
        <f t="shared" si="89"/>
        <v>0.19570035536195335</v>
      </c>
    </row>
    <row r="1874" spans="1:31" x14ac:dyDescent="0.2">
      <c r="A1874" s="1" t="s">
        <v>383</v>
      </c>
      <c r="B1874" s="1" t="s">
        <v>4446</v>
      </c>
      <c r="C1874" s="1">
        <v>7900</v>
      </c>
      <c r="D1874" s="1" t="s">
        <v>4454</v>
      </c>
      <c r="F1874" s="1">
        <v>2023</v>
      </c>
      <c r="G1874" s="5">
        <v>2244</v>
      </c>
      <c r="H1874" s="5">
        <v>1954.29</v>
      </c>
      <c r="I1874" s="5">
        <v>84801.94</v>
      </c>
      <c r="K1874" s="5">
        <v>0.23899999999999999</v>
      </c>
      <c r="L1874" s="5">
        <v>1E-3</v>
      </c>
      <c r="M1874" s="5">
        <v>47357.516000000003</v>
      </c>
      <c r="N1874" s="6">
        <v>5.9200000000000003E-2</v>
      </c>
      <c r="O1874" s="5">
        <v>6.4909999999999997</v>
      </c>
      <c r="P1874" s="6">
        <v>2.06E-2</v>
      </c>
      <c r="Q1874" s="5">
        <v>796883.66099999996</v>
      </c>
      <c r="R1874" s="1" t="s">
        <v>44</v>
      </c>
      <c r="T1874" s="1" t="s">
        <v>93</v>
      </c>
      <c r="V1874" s="1" t="s">
        <v>176</v>
      </c>
      <c r="Y1874" s="1" t="s">
        <v>346</v>
      </c>
      <c r="Z1874" s="1" t="str">
        <f t="shared" si="87"/>
        <v>7900 SH3</v>
      </c>
      <c r="AA1874" s="3">
        <f>IF(INDEX('CAMD Facility Data 2023'!$AA$2:$AE$10000,MATCH(Z1874,'CAMD Facility Data 2023'!$AE$2:$AE$10000,0),1)&gt;0,INDEX('CAMD Facility Data 2023'!$AA$2:$AE$10000,MATCH(Z1874,'CAMD Facility Data 2023'!$AE$2:$AE$10000,0),1),"")</f>
        <v>36951</v>
      </c>
      <c r="AB1874" s="5">
        <f>IF(INDEX('CAMD Facility Data 2023'!$AC$2:$AE$10000,MATCH(Z1874,'CAMD Facility Data 2023'!$AE$2:$AE$10000,0),1)&gt;0,INDEX('CAMD Facility Data 2023'!$AC$2:$AE$10000,MATCH(Z1874,'CAMD Facility Data 2023'!$AE$2:$AE$10000,0),1),"")</f>
        <v>478</v>
      </c>
      <c r="AC1874" s="1" t="str">
        <f>IF(INDEX('CAMD Facility Data 2023'!$AE$2:$AG$10000,MATCH(Z1874,'CAMD Facility Data 2023'!$AE$2:$AE$10000,0),3)&gt;0,INDEX('CAMD Facility Data 2023'!$AE$2:$AG$10000,MATCH(Z1874,'CAMD Facility Data 2023'!$AE$2:$AE$10000,0),3),"")</f>
        <v>Y</v>
      </c>
      <c r="AD1874" s="20">
        <f t="shared" si="88"/>
        <v>0.15308612043545231</v>
      </c>
      <c r="AE1874" s="25">
        <f t="shared" si="89"/>
        <v>0.19031057416747865</v>
      </c>
    </row>
    <row r="1875" spans="1:31" x14ac:dyDescent="0.2">
      <c r="A1875" s="1" t="s">
        <v>383</v>
      </c>
      <c r="B1875" s="1" t="s">
        <v>4446</v>
      </c>
      <c r="C1875" s="1">
        <v>7900</v>
      </c>
      <c r="D1875" s="1" t="s">
        <v>4456</v>
      </c>
      <c r="F1875" s="1">
        <v>2023</v>
      </c>
      <c r="G1875" s="5">
        <v>2458</v>
      </c>
      <c r="H1875" s="5">
        <v>2150.1999999999998</v>
      </c>
      <c r="I1875" s="5">
        <v>89881.05</v>
      </c>
      <c r="K1875" s="5">
        <v>0.26300000000000001</v>
      </c>
      <c r="L1875" s="5">
        <v>1E-3</v>
      </c>
      <c r="M1875" s="5">
        <v>52109.112000000001</v>
      </c>
      <c r="N1875" s="6">
        <v>5.9200000000000003E-2</v>
      </c>
      <c r="O1875" s="5">
        <v>6.09</v>
      </c>
      <c r="P1875" s="6">
        <v>1.8800000000000001E-2</v>
      </c>
      <c r="Q1875" s="5">
        <v>876782.22699999996</v>
      </c>
      <c r="R1875" s="1" t="s">
        <v>44</v>
      </c>
      <c r="T1875" s="1" t="s">
        <v>93</v>
      </c>
      <c r="V1875" s="1" t="s">
        <v>176</v>
      </c>
      <c r="Y1875" s="1" t="s">
        <v>346</v>
      </c>
      <c r="Z1875" s="1" t="str">
        <f t="shared" si="87"/>
        <v>7900 SH4</v>
      </c>
      <c r="AA1875" s="3">
        <f>IF(INDEX('CAMD Facility Data 2023'!$AA$2:$AE$10000,MATCH(Z1875,'CAMD Facility Data 2023'!$AE$2:$AE$10000,0),1)&gt;0,INDEX('CAMD Facility Data 2023'!$AA$2:$AE$10000,MATCH(Z1875,'CAMD Facility Data 2023'!$AE$2:$AE$10000,0),1),"")</f>
        <v>36951</v>
      </c>
      <c r="AB1875" s="5">
        <f>IF(INDEX('CAMD Facility Data 2023'!$AC$2:$AE$10000,MATCH(Z1875,'CAMD Facility Data 2023'!$AE$2:$AE$10000,0),1)&gt;0,INDEX('CAMD Facility Data 2023'!$AC$2:$AE$10000,MATCH(Z1875,'CAMD Facility Data 2023'!$AE$2:$AE$10000,0),1),"")</f>
        <v>478</v>
      </c>
      <c r="AC1875" s="1" t="str">
        <f>IF(INDEX('CAMD Facility Data 2023'!$AE$2:$AG$10000,MATCH(Z1875,'CAMD Facility Data 2023'!$AE$2:$AE$10000,0),3)&gt;0,INDEX('CAMD Facility Data 2023'!$AE$2:$AG$10000,MATCH(Z1875,'CAMD Facility Data 2023'!$AE$2:$AE$10000,0),3),"")</f>
        <v>Y</v>
      </c>
      <c r="AD1875" s="20">
        <f t="shared" si="88"/>
        <v>0.13551243560238782</v>
      </c>
      <c r="AE1875" s="25">
        <f t="shared" si="89"/>
        <v>0.20939183121262489</v>
      </c>
    </row>
    <row r="1876" spans="1:31" x14ac:dyDescent="0.2">
      <c r="A1876" s="1" t="s">
        <v>383</v>
      </c>
      <c r="B1876" s="1" t="s">
        <v>4446</v>
      </c>
      <c r="C1876" s="1">
        <v>7900</v>
      </c>
      <c r="D1876" s="1" t="s">
        <v>4458</v>
      </c>
      <c r="F1876" s="1">
        <v>2023</v>
      </c>
      <c r="G1876" s="5">
        <v>6750</v>
      </c>
      <c r="H1876" s="5">
        <v>6734.57</v>
      </c>
      <c r="I1876" s="5">
        <v>1438315.3</v>
      </c>
      <c r="K1876" s="5">
        <v>3.1669999999999998</v>
      </c>
      <c r="L1876" s="5">
        <v>1E-3</v>
      </c>
      <c r="M1876" s="5">
        <v>627260.70499999996</v>
      </c>
      <c r="N1876" s="6">
        <v>5.8999999999999997E-2</v>
      </c>
      <c r="O1876" s="5">
        <v>61.743000000000002</v>
      </c>
      <c r="P1876" s="6">
        <v>1.24E-2</v>
      </c>
      <c r="Q1876" s="5">
        <v>10555265.210999999</v>
      </c>
      <c r="R1876" s="1" t="s">
        <v>44</v>
      </c>
      <c r="T1876" s="1" t="s">
        <v>71</v>
      </c>
      <c r="V1876" s="1" t="s">
        <v>64</v>
      </c>
      <c r="Y1876" s="1" t="s">
        <v>346</v>
      </c>
      <c r="Z1876" s="1" t="str">
        <f t="shared" si="87"/>
        <v>7900 SH5</v>
      </c>
      <c r="AA1876" s="3">
        <f>IF(INDEX('CAMD Facility Data 2023'!$AA$2:$AE$10000,MATCH(Z1876,'CAMD Facility Data 2023'!$AE$2:$AE$10000,0),1)&gt;0,INDEX('CAMD Facility Data 2023'!$AA$2:$AE$10000,MATCH(Z1876,'CAMD Facility Data 2023'!$AE$2:$AE$10000,0),1),"")</f>
        <v>38169</v>
      </c>
      <c r="AB1876" s="5">
        <f>IF(INDEX('CAMD Facility Data 2023'!$AC$2:$AE$10000,MATCH(Z1876,'CAMD Facility Data 2023'!$AE$2:$AE$10000,0),1)&gt;0,INDEX('CAMD Facility Data 2023'!$AC$2:$AE$10000,MATCH(Z1876,'CAMD Facility Data 2023'!$AE$2:$AE$10000,0),1),"")</f>
        <v>2700</v>
      </c>
      <c r="AC1876" s="1" t="str">
        <f>IF(INDEX('CAMD Facility Data 2023'!$AE$2:$AG$10000,MATCH(Z1876,'CAMD Facility Data 2023'!$AE$2:$AE$10000,0),3)&gt;0,INDEX('CAMD Facility Data 2023'!$AE$2:$AG$10000,MATCH(Z1876,'CAMD Facility Data 2023'!$AE$2:$AE$10000,0),3),"")</f>
        <v>Y</v>
      </c>
      <c r="AD1876" s="20">
        <f t="shared" si="88"/>
        <v>8.5854610598941686E-2</v>
      </c>
      <c r="AE1876" s="25">
        <f t="shared" si="89"/>
        <v>0.44627368556570268</v>
      </c>
    </row>
    <row r="1877" spans="1:31" x14ac:dyDescent="0.2">
      <c r="A1877" s="1" t="s">
        <v>383</v>
      </c>
      <c r="B1877" s="1" t="s">
        <v>4446</v>
      </c>
      <c r="C1877" s="1">
        <v>7900</v>
      </c>
      <c r="D1877" s="1" t="s">
        <v>4460</v>
      </c>
      <c r="F1877" s="1">
        <v>2023</v>
      </c>
      <c r="G1877" s="5">
        <v>2374</v>
      </c>
      <c r="H1877" s="5">
        <v>2074.64</v>
      </c>
      <c r="I1877" s="5">
        <v>90067.28</v>
      </c>
      <c r="K1877" s="5">
        <v>0.254</v>
      </c>
      <c r="L1877" s="5">
        <v>1E-3</v>
      </c>
      <c r="M1877" s="5">
        <v>50383.455999999998</v>
      </c>
      <c r="N1877" s="6">
        <v>5.9200000000000003E-2</v>
      </c>
      <c r="O1877" s="5">
        <v>6.8529999999999998</v>
      </c>
      <c r="P1877" s="6">
        <v>2.3300000000000001E-2</v>
      </c>
      <c r="Q1877" s="5">
        <v>847845.30200000003</v>
      </c>
      <c r="R1877" s="1" t="s">
        <v>44</v>
      </c>
      <c r="T1877" s="1" t="s">
        <v>93</v>
      </c>
      <c r="V1877" s="1" t="s">
        <v>176</v>
      </c>
      <c r="Y1877" s="1" t="s">
        <v>346</v>
      </c>
      <c r="Z1877" s="1" t="str">
        <f t="shared" si="87"/>
        <v>7900 SH6</v>
      </c>
      <c r="AA1877" s="3">
        <f>IF(INDEX('CAMD Facility Data 2023'!$AA$2:$AE$10000,MATCH(Z1877,'CAMD Facility Data 2023'!$AE$2:$AE$10000,0),1)&gt;0,INDEX('CAMD Facility Data 2023'!$AA$2:$AE$10000,MATCH(Z1877,'CAMD Facility Data 2023'!$AE$2:$AE$10000,0),1),"")</f>
        <v>40309</v>
      </c>
      <c r="AB1877" s="5">
        <f>IF(INDEX('CAMD Facility Data 2023'!$AC$2:$AE$10000,MATCH(Z1877,'CAMD Facility Data 2023'!$AE$2:$AE$10000,0),1)&gt;0,INDEX('CAMD Facility Data 2023'!$AC$2:$AE$10000,MATCH(Z1877,'CAMD Facility Data 2023'!$AE$2:$AE$10000,0),1),"")</f>
        <v>478</v>
      </c>
      <c r="AC1877" s="1" t="str">
        <f>IF(INDEX('CAMD Facility Data 2023'!$AE$2:$AG$10000,MATCH(Z1877,'CAMD Facility Data 2023'!$AE$2:$AE$10000,0),3)&gt;0,INDEX('CAMD Facility Data 2023'!$AE$2:$AG$10000,MATCH(Z1877,'CAMD Facility Data 2023'!$AE$2:$AE$10000,0),3),"")</f>
        <v>Y</v>
      </c>
      <c r="AD1877" s="20">
        <f t="shared" si="88"/>
        <v>0.1521751295253948</v>
      </c>
      <c r="AE1877" s="25">
        <f t="shared" si="89"/>
        <v>0.20248115769664318</v>
      </c>
    </row>
    <row r="1878" spans="1:31" x14ac:dyDescent="0.2">
      <c r="A1878" s="1" t="s">
        <v>383</v>
      </c>
      <c r="B1878" s="1" t="s">
        <v>4446</v>
      </c>
      <c r="C1878" s="1">
        <v>7900</v>
      </c>
      <c r="D1878" s="1" t="s">
        <v>4462</v>
      </c>
      <c r="F1878" s="1">
        <v>2023</v>
      </c>
      <c r="G1878" s="5">
        <v>2329</v>
      </c>
      <c r="H1878" s="5">
        <v>2026.1</v>
      </c>
      <c r="I1878" s="5">
        <v>88384.12</v>
      </c>
      <c r="K1878" s="5">
        <v>0.254</v>
      </c>
      <c r="L1878" s="5">
        <v>1E-3</v>
      </c>
      <c r="M1878" s="5">
        <v>50305.038999999997</v>
      </c>
      <c r="N1878" s="6">
        <v>5.9200000000000003E-2</v>
      </c>
      <c r="O1878" s="5">
        <v>6.7889999999999997</v>
      </c>
      <c r="P1878" s="6">
        <v>2.3099999999999999E-2</v>
      </c>
      <c r="Q1878" s="5">
        <v>846504.67599999998</v>
      </c>
      <c r="R1878" s="1" t="s">
        <v>44</v>
      </c>
      <c r="T1878" s="1" t="s">
        <v>93</v>
      </c>
      <c r="V1878" s="1" t="s">
        <v>176</v>
      </c>
      <c r="Y1878" s="1" t="s">
        <v>346</v>
      </c>
      <c r="Z1878" s="1" t="str">
        <f t="shared" si="87"/>
        <v>7900 SH7</v>
      </c>
      <c r="AA1878" s="3">
        <f>IF(INDEX('CAMD Facility Data 2023'!$AA$2:$AE$10000,MATCH(Z1878,'CAMD Facility Data 2023'!$AE$2:$AE$10000,0),1)&gt;0,INDEX('CAMD Facility Data 2023'!$AA$2:$AE$10000,MATCH(Z1878,'CAMD Facility Data 2023'!$AE$2:$AE$10000,0),1),"")</f>
        <v>40338</v>
      </c>
      <c r="AB1878" s="5">
        <f>IF(INDEX('CAMD Facility Data 2023'!$AC$2:$AE$10000,MATCH(Z1878,'CAMD Facility Data 2023'!$AE$2:$AE$10000,0),1)&gt;0,INDEX('CAMD Facility Data 2023'!$AC$2:$AE$10000,MATCH(Z1878,'CAMD Facility Data 2023'!$AE$2:$AE$10000,0),1),"")</f>
        <v>478</v>
      </c>
      <c r="AC1878" s="1" t="str">
        <f>IF(INDEX('CAMD Facility Data 2023'!$AE$2:$AG$10000,MATCH(Z1878,'CAMD Facility Data 2023'!$AE$2:$AE$10000,0),3)&gt;0,INDEX('CAMD Facility Data 2023'!$AE$2:$AG$10000,MATCH(Z1878,'CAMD Facility Data 2023'!$AE$2:$AE$10000,0),3),"")</f>
        <v>Y</v>
      </c>
      <c r="AD1878" s="20">
        <f t="shared" si="88"/>
        <v>0.15362488193580476</v>
      </c>
      <c r="AE1878" s="25">
        <f t="shared" si="89"/>
        <v>0.20216099138342791</v>
      </c>
    </row>
    <row r="1879" spans="1:31" x14ac:dyDescent="0.2">
      <c r="A1879" s="1" t="s">
        <v>383</v>
      </c>
      <c r="B1879" s="1" t="s">
        <v>4464</v>
      </c>
      <c r="C1879" s="1">
        <v>7902</v>
      </c>
      <c r="D1879" s="1">
        <v>1</v>
      </c>
      <c r="F1879" s="1">
        <v>2023</v>
      </c>
      <c r="G1879" s="5">
        <v>2148</v>
      </c>
      <c r="H1879" s="5">
        <v>2147.4699999999998</v>
      </c>
      <c r="I1879" s="5">
        <v>952750.53</v>
      </c>
      <c r="K1879" s="5">
        <v>367.63799999999998</v>
      </c>
      <c r="L1879" s="5">
        <v>7.8E-2</v>
      </c>
      <c r="M1879" s="5">
        <v>1015416.612</v>
      </c>
      <c r="N1879" s="6">
        <v>0.109</v>
      </c>
      <c r="O1879" s="5">
        <v>822.32299999999998</v>
      </c>
      <c r="P1879" s="6">
        <v>0.1794</v>
      </c>
      <c r="Q1879" s="5">
        <v>9326877.4030000009</v>
      </c>
      <c r="R1879" s="1" t="s">
        <v>55</v>
      </c>
      <c r="T1879" s="1" t="s">
        <v>89</v>
      </c>
      <c r="U1879" s="1" t="s">
        <v>56</v>
      </c>
      <c r="V1879" s="1" t="s">
        <v>4467</v>
      </c>
      <c r="W1879" s="1" t="s">
        <v>331</v>
      </c>
      <c r="X1879" s="1" t="s">
        <v>214</v>
      </c>
      <c r="Y1879" s="1" t="s">
        <v>386</v>
      </c>
      <c r="Z1879" s="1" t="str">
        <f t="shared" si="87"/>
        <v>7902 1</v>
      </c>
      <c r="AA1879" s="3">
        <f>IF(INDEX('CAMD Facility Data 2023'!$AA$2:$AE$10000,MATCH(Z1879,'CAMD Facility Data 2023'!$AE$2:$AE$10000,0),1)&gt;0,INDEX('CAMD Facility Data 2023'!$AA$2:$AE$10000,MATCH(Z1879,'CAMD Facility Data 2023'!$AE$2:$AE$10000,0),1),"")</f>
        <v>31021</v>
      </c>
      <c r="AB1879" s="5">
        <f>IF(INDEX('CAMD Facility Data 2023'!$AC$2:$AE$10000,MATCH(Z1879,'CAMD Facility Data 2023'!$AE$2:$AE$10000,0),1)&gt;0,INDEX('CAMD Facility Data 2023'!$AC$2:$AE$10000,MATCH(Z1879,'CAMD Facility Data 2023'!$AE$2:$AE$10000,0),1),"")</f>
        <v>6821</v>
      </c>
      <c r="AC1879" s="1" t="str">
        <f>IF(INDEX('CAMD Facility Data 2023'!$AE$2:$AG$10000,MATCH(Z1879,'CAMD Facility Data 2023'!$AE$2:$AE$10000,0),3)&gt;0,INDEX('CAMD Facility Data 2023'!$AE$2:$AG$10000,MATCH(Z1879,'CAMD Facility Data 2023'!$AE$2:$AE$10000,0),3),"")</f>
        <v/>
      </c>
      <c r="AD1879" s="20">
        <f t="shared" si="88"/>
        <v>1.7262084335969878</v>
      </c>
      <c r="AE1879" s="25">
        <f t="shared" si="89"/>
        <v>0.15609324619644277</v>
      </c>
    </row>
    <row r="1880" spans="1:31" x14ac:dyDescent="0.2">
      <c r="A1880" s="1" t="s">
        <v>1755</v>
      </c>
      <c r="B1880" s="1" t="s">
        <v>4469</v>
      </c>
      <c r="C1880" s="1">
        <v>7903</v>
      </c>
      <c r="D1880" s="1" t="s">
        <v>4470</v>
      </c>
      <c r="F1880" s="1">
        <v>2023</v>
      </c>
      <c r="G1880" s="5">
        <v>1547</v>
      </c>
      <c r="H1880" s="5">
        <v>1322.81</v>
      </c>
      <c r="I1880" s="5">
        <v>22805.52</v>
      </c>
      <c r="K1880" s="5">
        <v>7.9000000000000001E-2</v>
      </c>
      <c r="L1880" s="5">
        <v>1E-3</v>
      </c>
      <c r="M1880" s="5">
        <v>15724.806</v>
      </c>
      <c r="N1880" s="6">
        <v>5.9499999999999997E-2</v>
      </c>
      <c r="O1880" s="5">
        <v>16.053000000000001</v>
      </c>
      <c r="P1880" s="6">
        <v>0.13489999999999999</v>
      </c>
      <c r="Q1880" s="5">
        <v>264625.53899999999</v>
      </c>
      <c r="R1880" s="1" t="s">
        <v>44</v>
      </c>
      <c r="T1880" s="1" t="s">
        <v>93</v>
      </c>
      <c r="V1880" s="1" t="s">
        <v>95</v>
      </c>
      <c r="Y1880" s="1" t="s">
        <v>1207</v>
      </c>
      <c r="Z1880" s="1" t="str">
        <f t="shared" si="87"/>
        <v>7903 MGS1A</v>
      </c>
      <c r="AA1880" s="3">
        <f>IF(INDEX('CAMD Facility Data 2023'!$AA$2:$AE$10000,MATCH(Z1880,'CAMD Facility Data 2023'!$AE$2:$AE$10000,0),1)&gt;0,INDEX('CAMD Facility Data 2023'!$AA$2:$AE$10000,MATCH(Z1880,'CAMD Facility Data 2023'!$AE$2:$AE$10000,0),1),"")</f>
        <v>37377</v>
      </c>
      <c r="AB1880" s="5">
        <f>IF(INDEX('CAMD Facility Data 2023'!$AC$2:$AE$10000,MATCH(Z1880,'CAMD Facility Data 2023'!$AE$2:$AE$10000,0),1)&gt;0,INDEX('CAMD Facility Data 2023'!$AC$2:$AE$10000,MATCH(Z1880,'CAMD Facility Data 2023'!$AE$2:$AE$10000,0),1),"")</f>
        <v>265.3</v>
      </c>
      <c r="AC1880" s="1" t="str">
        <f>IF(INDEX('CAMD Facility Data 2023'!$AE$2:$AG$10000,MATCH(Z1880,'CAMD Facility Data 2023'!$AE$2:$AE$10000,0),3)&gt;0,INDEX('CAMD Facility Data 2023'!$AE$2:$AG$10000,MATCH(Z1880,'CAMD Facility Data 2023'!$AE$2:$AE$10000,0),3),"")</f>
        <v/>
      </c>
      <c r="AD1880" s="20">
        <f t="shared" si="88"/>
        <v>1.4078170548183071</v>
      </c>
      <c r="AE1880" s="25">
        <f t="shared" si="89"/>
        <v>0.11386503906149151</v>
      </c>
    </row>
    <row r="1881" spans="1:31" x14ac:dyDescent="0.2">
      <c r="A1881" s="1" t="s">
        <v>1755</v>
      </c>
      <c r="B1881" s="1" t="s">
        <v>4469</v>
      </c>
      <c r="C1881" s="1">
        <v>7903</v>
      </c>
      <c r="D1881" s="1" t="s">
        <v>4472</v>
      </c>
      <c r="F1881" s="1">
        <v>2023</v>
      </c>
      <c r="G1881" s="5">
        <v>1543</v>
      </c>
      <c r="H1881" s="5">
        <v>1309.97</v>
      </c>
      <c r="I1881" s="5">
        <v>24539.39</v>
      </c>
      <c r="K1881" s="5">
        <v>8.5000000000000006E-2</v>
      </c>
      <c r="L1881" s="5">
        <v>1E-3</v>
      </c>
      <c r="M1881" s="5">
        <v>16815.498</v>
      </c>
      <c r="N1881" s="6">
        <v>5.96E-2</v>
      </c>
      <c r="O1881" s="5">
        <v>22.757000000000001</v>
      </c>
      <c r="P1881" s="6">
        <v>0.1656</v>
      </c>
      <c r="Q1881" s="5">
        <v>282978.42200000002</v>
      </c>
      <c r="R1881" s="1" t="s">
        <v>44</v>
      </c>
      <c r="T1881" s="1" t="s">
        <v>93</v>
      </c>
      <c r="V1881" s="1" t="s">
        <v>95</v>
      </c>
      <c r="Y1881" s="1" t="s">
        <v>1207</v>
      </c>
      <c r="Z1881" s="1" t="str">
        <f t="shared" si="87"/>
        <v>7903 MGS1B</v>
      </c>
      <c r="AA1881" s="3">
        <f>IF(INDEX('CAMD Facility Data 2023'!$AA$2:$AE$10000,MATCH(Z1881,'CAMD Facility Data 2023'!$AE$2:$AE$10000,0),1)&gt;0,INDEX('CAMD Facility Data 2023'!$AA$2:$AE$10000,MATCH(Z1881,'CAMD Facility Data 2023'!$AE$2:$AE$10000,0),1),"")</f>
        <v>37377</v>
      </c>
      <c r="AB1881" s="5">
        <f>IF(INDEX('CAMD Facility Data 2023'!$AC$2:$AE$10000,MATCH(Z1881,'CAMD Facility Data 2023'!$AE$2:$AE$10000,0),1)&gt;0,INDEX('CAMD Facility Data 2023'!$AC$2:$AE$10000,MATCH(Z1881,'CAMD Facility Data 2023'!$AE$2:$AE$10000,0),1),"")</f>
        <v>265.3</v>
      </c>
      <c r="AC1881" s="1" t="str">
        <f>IF(INDEX('CAMD Facility Data 2023'!$AE$2:$AG$10000,MATCH(Z1881,'CAMD Facility Data 2023'!$AE$2:$AE$10000,0),3)&gt;0,INDEX('CAMD Facility Data 2023'!$AE$2:$AG$10000,MATCH(Z1881,'CAMD Facility Data 2023'!$AE$2:$AE$10000,0),3),"")</f>
        <v/>
      </c>
      <c r="AD1881" s="20">
        <f t="shared" si="88"/>
        <v>1.8547323303472498</v>
      </c>
      <c r="AE1881" s="25">
        <f t="shared" si="89"/>
        <v>0.12176205364135029</v>
      </c>
    </row>
    <row r="1882" spans="1:31" x14ac:dyDescent="0.2">
      <c r="A1882" s="1" t="s">
        <v>1755</v>
      </c>
      <c r="B1882" s="1" t="s">
        <v>4469</v>
      </c>
      <c r="C1882" s="1">
        <v>7903</v>
      </c>
      <c r="D1882" s="1" t="s">
        <v>4473</v>
      </c>
      <c r="F1882" s="1">
        <v>2023</v>
      </c>
      <c r="G1882" s="5">
        <v>1389</v>
      </c>
      <c r="H1882" s="5">
        <v>1191.71</v>
      </c>
      <c r="I1882" s="5">
        <v>22320.41</v>
      </c>
      <c r="K1882" s="5">
        <v>7.5999999999999998E-2</v>
      </c>
      <c r="L1882" s="5">
        <v>1E-3</v>
      </c>
      <c r="M1882" s="5">
        <v>15093.3</v>
      </c>
      <c r="N1882" s="6">
        <v>5.9499999999999997E-2</v>
      </c>
      <c r="O1882" s="5">
        <v>12.941000000000001</v>
      </c>
      <c r="P1882" s="6">
        <v>0.1167</v>
      </c>
      <c r="Q1882" s="5">
        <v>253982.55300000001</v>
      </c>
      <c r="R1882" s="1" t="s">
        <v>44</v>
      </c>
      <c r="T1882" s="1" t="s">
        <v>93</v>
      </c>
      <c r="V1882" s="1" t="s">
        <v>95</v>
      </c>
      <c r="Y1882" s="1" t="s">
        <v>1207</v>
      </c>
      <c r="Z1882" s="1" t="str">
        <f t="shared" si="87"/>
        <v>7903 MGS2A</v>
      </c>
      <c r="AA1882" s="3">
        <f>IF(INDEX('CAMD Facility Data 2023'!$AA$2:$AE$10000,MATCH(Z1882,'CAMD Facility Data 2023'!$AE$2:$AE$10000,0),1)&gt;0,INDEX('CAMD Facility Data 2023'!$AA$2:$AE$10000,MATCH(Z1882,'CAMD Facility Data 2023'!$AE$2:$AE$10000,0),1),"")</f>
        <v>37377</v>
      </c>
      <c r="AB1882" s="5">
        <f>IF(INDEX('CAMD Facility Data 2023'!$AC$2:$AE$10000,MATCH(Z1882,'CAMD Facility Data 2023'!$AE$2:$AE$10000,0),1)&gt;0,INDEX('CAMD Facility Data 2023'!$AC$2:$AE$10000,MATCH(Z1882,'CAMD Facility Data 2023'!$AE$2:$AE$10000,0),1),"")</f>
        <v>265.3</v>
      </c>
      <c r="AC1882" s="1" t="str">
        <f>IF(INDEX('CAMD Facility Data 2023'!$AE$2:$AG$10000,MATCH(Z1882,'CAMD Facility Data 2023'!$AE$2:$AE$10000,0),3)&gt;0,INDEX('CAMD Facility Data 2023'!$AE$2:$AG$10000,MATCH(Z1882,'CAMD Facility Data 2023'!$AE$2:$AE$10000,0),3),"")</f>
        <v/>
      </c>
      <c r="AD1882" s="20">
        <f t="shared" si="88"/>
        <v>1.1595665133391366</v>
      </c>
      <c r="AE1882" s="25">
        <f t="shared" si="89"/>
        <v>0.109285496129995</v>
      </c>
    </row>
    <row r="1883" spans="1:31" x14ac:dyDescent="0.2">
      <c r="A1883" s="1" t="s">
        <v>1755</v>
      </c>
      <c r="B1883" s="1" t="s">
        <v>4469</v>
      </c>
      <c r="C1883" s="1">
        <v>7903</v>
      </c>
      <c r="D1883" s="1" t="s">
        <v>4475</v>
      </c>
      <c r="F1883" s="1">
        <v>2023</v>
      </c>
      <c r="G1883" s="5">
        <v>1461</v>
      </c>
      <c r="H1883" s="5">
        <v>1259.22</v>
      </c>
      <c r="I1883" s="5">
        <v>23909.9</v>
      </c>
      <c r="K1883" s="5">
        <v>8.1000000000000003E-2</v>
      </c>
      <c r="L1883" s="5">
        <v>1E-3</v>
      </c>
      <c r="M1883" s="5">
        <v>16015.103999999999</v>
      </c>
      <c r="N1883" s="6">
        <v>5.9799999999999999E-2</v>
      </c>
      <c r="O1883" s="5">
        <v>13.702</v>
      </c>
      <c r="P1883" s="6">
        <v>0.1179</v>
      </c>
      <c r="Q1883" s="5">
        <v>269474.8</v>
      </c>
      <c r="R1883" s="1" t="s">
        <v>44</v>
      </c>
      <c r="T1883" s="1" t="s">
        <v>93</v>
      </c>
      <c r="V1883" s="1" t="s">
        <v>95</v>
      </c>
      <c r="Y1883" s="1" t="s">
        <v>1207</v>
      </c>
      <c r="Z1883" s="1" t="str">
        <f t="shared" si="87"/>
        <v>7903 MGS2B</v>
      </c>
      <c r="AA1883" s="3">
        <f>IF(INDEX('CAMD Facility Data 2023'!$AA$2:$AE$10000,MATCH(Z1883,'CAMD Facility Data 2023'!$AE$2:$AE$10000,0),1)&gt;0,INDEX('CAMD Facility Data 2023'!$AA$2:$AE$10000,MATCH(Z1883,'CAMD Facility Data 2023'!$AE$2:$AE$10000,0),1),"")</f>
        <v>37377</v>
      </c>
      <c r="AB1883" s="5">
        <f>IF(INDEX('CAMD Facility Data 2023'!$AC$2:$AE$10000,MATCH(Z1883,'CAMD Facility Data 2023'!$AE$2:$AE$10000,0),1)&gt;0,INDEX('CAMD Facility Data 2023'!$AC$2:$AE$10000,MATCH(Z1883,'CAMD Facility Data 2023'!$AE$2:$AE$10000,0),1),"")</f>
        <v>265.3</v>
      </c>
      <c r="AC1883" s="1" t="str">
        <f>IF(INDEX('CAMD Facility Data 2023'!$AE$2:$AG$10000,MATCH(Z1883,'CAMD Facility Data 2023'!$AE$2:$AE$10000,0),3)&gt;0,INDEX('CAMD Facility Data 2023'!$AE$2:$AG$10000,MATCH(Z1883,'CAMD Facility Data 2023'!$AE$2:$AE$10000,0),3),"")</f>
        <v/>
      </c>
      <c r="AD1883" s="20">
        <f t="shared" si="88"/>
        <v>1.1461361193480524</v>
      </c>
      <c r="AE1883" s="25">
        <f t="shared" si="89"/>
        <v>0.11595161504078264</v>
      </c>
    </row>
    <row r="1884" spans="1:31" x14ac:dyDescent="0.2">
      <c r="A1884" s="1" t="s">
        <v>2089</v>
      </c>
      <c r="B1884" s="1" t="s">
        <v>4476</v>
      </c>
      <c r="C1884" s="1">
        <v>7909</v>
      </c>
      <c r="D1884" s="1" t="s">
        <v>4477</v>
      </c>
      <c r="F1884" s="1">
        <v>2023</v>
      </c>
      <c r="G1884" s="5">
        <v>1938</v>
      </c>
      <c r="H1884" s="5">
        <v>1606.68</v>
      </c>
      <c r="I1884" s="5">
        <v>64926.89</v>
      </c>
      <c r="K1884" s="5">
        <v>0.19900000000000001</v>
      </c>
      <c r="L1884" s="5">
        <v>1E-3</v>
      </c>
      <c r="M1884" s="5">
        <v>39479.754999999997</v>
      </c>
      <c r="N1884" s="6">
        <v>5.9200000000000003E-2</v>
      </c>
      <c r="O1884" s="5">
        <v>3.4060000000000001</v>
      </c>
      <c r="P1884" s="6">
        <v>1.95E-2</v>
      </c>
      <c r="Q1884" s="5">
        <v>664327.44999999995</v>
      </c>
      <c r="R1884" s="1" t="s">
        <v>44</v>
      </c>
      <c r="T1884" s="1" t="s">
        <v>93</v>
      </c>
      <c r="V1884" s="1" t="s">
        <v>223</v>
      </c>
      <c r="Y1884" s="1" t="s">
        <v>1515</v>
      </c>
      <c r="Z1884" s="1" t="str">
        <f t="shared" si="87"/>
        <v>7909 VB01</v>
      </c>
      <c r="AA1884" s="3">
        <f>IF(INDEX('CAMD Facility Data 2023'!$AA$2:$AE$10000,MATCH(Z1884,'CAMD Facility Data 2023'!$AE$2:$AE$10000,0),1)&gt;0,INDEX('CAMD Facility Data 2023'!$AA$2:$AE$10000,MATCH(Z1884,'CAMD Facility Data 2023'!$AE$2:$AE$10000,0),1),"")</f>
        <v>37118</v>
      </c>
      <c r="AB1884" s="5">
        <f>IF(INDEX('CAMD Facility Data 2023'!$AC$2:$AE$10000,MATCH(Z1884,'CAMD Facility Data 2023'!$AE$2:$AE$10000,0),1)&gt;0,INDEX('CAMD Facility Data 2023'!$AC$2:$AE$10000,MATCH(Z1884,'CAMD Facility Data 2023'!$AE$2:$AE$10000,0),1),"")</f>
        <v>430</v>
      </c>
      <c r="AC1884" s="1" t="str">
        <f>IF(INDEX('CAMD Facility Data 2023'!$AE$2:$AG$10000,MATCH(Z1884,'CAMD Facility Data 2023'!$AE$2:$AE$10000,0),3)&gt;0,INDEX('CAMD Facility Data 2023'!$AE$2:$AG$10000,MATCH(Z1884,'CAMD Facility Data 2023'!$AE$2:$AE$10000,0),3),"")</f>
        <v>Y</v>
      </c>
      <c r="AD1884" s="20">
        <f t="shared" si="88"/>
        <v>0.10491800854776812</v>
      </c>
      <c r="AE1884" s="25">
        <f t="shared" si="89"/>
        <v>0.17636387649994689</v>
      </c>
    </row>
    <row r="1885" spans="1:31" x14ac:dyDescent="0.2">
      <c r="A1885" s="1" t="s">
        <v>2089</v>
      </c>
      <c r="B1885" s="1" t="s">
        <v>4476</v>
      </c>
      <c r="C1885" s="1">
        <v>7909</v>
      </c>
      <c r="D1885" s="1" t="s">
        <v>4479</v>
      </c>
      <c r="F1885" s="1">
        <v>2023</v>
      </c>
      <c r="G1885" s="5">
        <v>1958</v>
      </c>
      <c r="H1885" s="5">
        <v>1606.56</v>
      </c>
      <c r="I1885" s="5">
        <v>63567.360000000001</v>
      </c>
      <c r="K1885" s="5">
        <v>0.19500000000000001</v>
      </c>
      <c r="L1885" s="5">
        <v>1E-3</v>
      </c>
      <c r="M1885" s="5">
        <v>38618.027999999998</v>
      </c>
      <c r="N1885" s="6">
        <v>5.9200000000000003E-2</v>
      </c>
      <c r="O1885" s="5">
        <v>3.5129999999999999</v>
      </c>
      <c r="P1885" s="6">
        <v>2.1000000000000001E-2</v>
      </c>
      <c r="Q1885" s="5">
        <v>649838.06900000002</v>
      </c>
      <c r="R1885" s="1" t="s">
        <v>44</v>
      </c>
      <c r="T1885" s="1" t="s">
        <v>93</v>
      </c>
      <c r="V1885" s="1" t="s">
        <v>223</v>
      </c>
      <c r="Y1885" s="1" t="s">
        <v>1515</v>
      </c>
      <c r="Z1885" s="1" t="str">
        <f t="shared" si="87"/>
        <v>7909 VB02</v>
      </c>
      <c r="AA1885" s="3">
        <f>IF(INDEX('CAMD Facility Data 2023'!$AA$2:$AE$10000,MATCH(Z1885,'CAMD Facility Data 2023'!$AE$2:$AE$10000,0),1)&gt;0,INDEX('CAMD Facility Data 2023'!$AA$2:$AE$10000,MATCH(Z1885,'CAMD Facility Data 2023'!$AE$2:$AE$10000,0),1),"")</f>
        <v>37105</v>
      </c>
      <c r="AB1885" s="5">
        <f>IF(INDEX('CAMD Facility Data 2023'!$AC$2:$AE$10000,MATCH(Z1885,'CAMD Facility Data 2023'!$AE$2:$AE$10000,0),1)&gt;0,INDEX('CAMD Facility Data 2023'!$AC$2:$AE$10000,MATCH(Z1885,'CAMD Facility Data 2023'!$AE$2:$AE$10000,0),1),"")</f>
        <v>455</v>
      </c>
      <c r="AC1885" s="1" t="str">
        <f>IF(INDEX('CAMD Facility Data 2023'!$AE$2:$AG$10000,MATCH(Z1885,'CAMD Facility Data 2023'!$AE$2:$AE$10000,0),3)&gt;0,INDEX('CAMD Facility Data 2023'!$AE$2:$AG$10000,MATCH(Z1885,'CAMD Facility Data 2023'!$AE$2:$AE$10000,0),3),"")</f>
        <v>Y</v>
      </c>
      <c r="AD1885" s="20">
        <f t="shared" si="88"/>
        <v>0.11052842213362329</v>
      </c>
      <c r="AE1885" s="25">
        <f t="shared" si="89"/>
        <v>0.16303830322645391</v>
      </c>
    </row>
    <row r="1886" spans="1:31" x14ac:dyDescent="0.2">
      <c r="A1886" s="1" t="s">
        <v>2089</v>
      </c>
      <c r="B1886" s="1" t="s">
        <v>4481</v>
      </c>
      <c r="C1886" s="1">
        <v>7910</v>
      </c>
      <c r="D1886" s="1">
        <v>2301</v>
      </c>
      <c r="F1886" s="1">
        <v>2023</v>
      </c>
      <c r="G1886" s="5">
        <v>938</v>
      </c>
      <c r="H1886" s="5">
        <v>735.34</v>
      </c>
      <c r="I1886" s="5">
        <v>29623.79</v>
      </c>
      <c r="K1886" s="5">
        <v>0.09</v>
      </c>
      <c r="L1886" s="5">
        <v>1E-3</v>
      </c>
      <c r="M1886" s="5">
        <v>17901.578000000001</v>
      </c>
      <c r="N1886" s="6">
        <v>5.9299999999999999E-2</v>
      </c>
      <c r="O1886" s="5">
        <v>1.554</v>
      </c>
      <c r="P1886" s="6">
        <v>2.12E-2</v>
      </c>
      <c r="Q1886" s="5">
        <v>301214.77399999998</v>
      </c>
      <c r="R1886" s="1" t="s">
        <v>44</v>
      </c>
      <c r="T1886" s="1" t="s">
        <v>93</v>
      </c>
      <c r="V1886" s="1" t="s">
        <v>223</v>
      </c>
      <c r="Y1886" s="1" t="s">
        <v>1515</v>
      </c>
      <c r="Z1886" s="1" t="str">
        <f t="shared" si="87"/>
        <v>7910 2301</v>
      </c>
      <c r="AA1886" s="3">
        <f>IF(INDEX('CAMD Facility Data 2023'!$AA$2:$AE$10000,MATCH(Z1886,'CAMD Facility Data 2023'!$AE$2:$AE$10000,0),1)&gt;0,INDEX('CAMD Facility Data 2023'!$AA$2:$AE$10000,MATCH(Z1886,'CAMD Facility Data 2023'!$AE$2:$AE$10000,0),1),"")</f>
        <v>37105</v>
      </c>
      <c r="AB1886" s="5">
        <f>IF(INDEX('CAMD Facility Data 2023'!$AC$2:$AE$10000,MATCH(Z1886,'CAMD Facility Data 2023'!$AE$2:$AE$10000,0),1)&gt;0,INDEX('CAMD Facility Data 2023'!$AC$2:$AE$10000,MATCH(Z1886,'CAMD Facility Data 2023'!$AE$2:$AE$10000,0),1),"")</f>
        <v>505</v>
      </c>
      <c r="AC1886" s="1" t="str">
        <f>IF(INDEX('CAMD Facility Data 2023'!$AE$2:$AG$10000,MATCH(Z1886,'CAMD Facility Data 2023'!$AE$2:$AE$10000,0),3)&gt;0,INDEX('CAMD Facility Data 2023'!$AE$2:$AG$10000,MATCH(Z1886,'CAMD Facility Data 2023'!$AE$2:$AE$10000,0),3),"")</f>
        <v>Y</v>
      </c>
      <c r="AD1886" s="20">
        <f t="shared" si="88"/>
        <v>0.1049156775686028</v>
      </c>
      <c r="AE1886" s="25">
        <f t="shared" si="89"/>
        <v>6.8089600343595999E-2</v>
      </c>
    </row>
    <row r="1887" spans="1:31" x14ac:dyDescent="0.2">
      <c r="A1887" s="1" t="s">
        <v>2089</v>
      </c>
      <c r="B1887" s="1" t="s">
        <v>4481</v>
      </c>
      <c r="C1887" s="1">
        <v>7910</v>
      </c>
      <c r="D1887" s="1">
        <v>2302</v>
      </c>
      <c r="F1887" s="1">
        <v>2023</v>
      </c>
      <c r="G1887" s="5">
        <v>915</v>
      </c>
      <c r="H1887" s="5">
        <v>716.89</v>
      </c>
      <c r="I1887" s="5">
        <v>28969.39</v>
      </c>
      <c r="K1887" s="5">
        <v>8.6999999999999994E-2</v>
      </c>
      <c r="L1887" s="5">
        <v>1E-3</v>
      </c>
      <c r="M1887" s="5">
        <v>17156.97</v>
      </c>
      <c r="N1887" s="6">
        <v>5.9200000000000003E-2</v>
      </c>
      <c r="O1887" s="5">
        <v>1.452</v>
      </c>
      <c r="P1887" s="6">
        <v>1.72E-2</v>
      </c>
      <c r="Q1887" s="5">
        <v>288714.29499999998</v>
      </c>
      <c r="R1887" s="1" t="s">
        <v>44</v>
      </c>
      <c r="T1887" s="1" t="s">
        <v>93</v>
      </c>
      <c r="V1887" s="1" t="s">
        <v>223</v>
      </c>
      <c r="Y1887" s="1" t="s">
        <v>1515</v>
      </c>
      <c r="Z1887" s="1" t="str">
        <f t="shared" si="87"/>
        <v>7910 2302</v>
      </c>
      <c r="AA1887" s="3">
        <f>IF(INDEX('CAMD Facility Data 2023'!$AA$2:$AE$10000,MATCH(Z1887,'CAMD Facility Data 2023'!$AE$2:$AE$10000,0),1)&gt;0,INDEX('CAMD Facility Data 2023'!$AA$2:$AE$10000,MATCH(Z1887,'CAMD Facility Data 2023'!$AE$2:$AE$10000,0),1),"")</f>
        <v>37105</v>
      </c>
      <c r="AB1887" s="5">
        <f>IF(INDEX('CAMD Facility Data 2023'!$AC$2:$AE$10000,MATCH(Z1887,'CAMD Facility Data 2023'!$AE$2:$AE$10000,0),1)&gt;0,INDEX('CAMD Facility Data 2023'!$AC$2:$AE$10000,MATCH(Z1887,'CAMD Facility Data 2023'!$AE$2:$AE$10000,0),1),"")</f>
        <v>505</v>
      </c>
      <c r="AC1887" s="1" t="str">
        <f>IF(INDEX('CAMD Facility Data 2023'!$AE$2:$AG$10000,MATCH(Z1887,'CAMD Facility Data 2023'!$AE$2:$AE$10000,0),3)&gt;0,INDEX('CAMD Facility Data 2023'!$AE$2:$AG$10000,MATCH(Z1887,'CAMD Facility Data 2023'!$AE$2:$AE$10000,0),3),"")</f>
        <v>Y</v>
      </c>
      <c r="AD1887" s="20">
        <f t="shared" si="88"/>
        <v>0.10024374003042522</v>
      </c>
      <c r="AE1887" s="25">
        <f t="shared" si="89"/>
        <v>6.5263867037388665E-2</v>
      </c>
    </row>
    <row r="1888" spans="1:31" x14ac:dyDescent="0.2">
      <c r="A1888" s="1" t="s">
        <v>2089</v>
      </c>
      <c r="B1888" s="1" t="s">
        <v>4483</v>
      </c>
      <c r="C1888" s="1">
        <v>7912</v>
      </c>
      <c r="D1888" s="1" t="s">
        <v>4484</v>
      </c>
      <c r="F1888" s="1">
        <v>2023</v>
      </c>
      <c r="G1888" s="5">
        <v>1195</v>
      </c>
      <c r="H1888" s="5">
        <v>890.8</v>
      </c>
      <c r="I1888" s="5">
        <v>38967.29</v>
      </c>
      <c r="K1888" s="5">
        <v>0.11600000000000001</v>
      </c>
      <c r="L1888" s="5">
        <v>1E-3</v>
      </c>
      <c r="M1888" s="5">
        <v>22904.018</v>
      </c>
      <c r="N1888" s="6">
        <v>5.9200000000000003E-2</v>
      </c>
      <c r="O1888" s="5">
        <v>1.9950000000000001</v>
      </c>
      <c r="P1888" s="6">
        <v>2.0199999999999999E-2</v>
      </c>
      <c r="Q1888" s="5">
        <v>385382.23599999998</v>
      </c>
      <c r="R1888" s="1" t="s">
        <v>44</v>
      </c>
      <c r="T1888" s="1" t="s">
        <v>93</v>
      </c>
      <c r="V1888" s="1" t="s">
        <v>223</v>
      </c>
      <c r="Y1888" s="1" t="s">
        <v>1515</v>
      </c>
      <c r="Z1888" s="1" t="str">
        <f t="shared" si="87"/>
        <v>7912 BW01</v>
      </c>
      <c r="AA1888" s="3">
        <f>IF(INDEX('CAMD Facility Data 2023'!$AA$2:$AE$10000,MATCH(Z1888,'CAMD Facility Data 2023'!$AE$2:$AE$10000,0),1)&gt;0,INDEX('CAMD Facility Data 2023'!$AA$2:$AE$10000,MATCH(Z1888,'CAMD Facility Data 2023'!$AE$2:$AE$10000,0),1),"")</f>
        <v>37097</v>
      </c>
      <c r="AB1888" s="5">
        <f>IF(INDEX('CAMD Facility Data 2023'!$AC$2:$AE$10000,MATCH(Z1888,'CAMD Facility Data 2023'!$AE$2:$AE$10000,0),1)&gt;0,INDEX('CAMD Facility Data 2023'!$AC$2:$AE$10000,MATCH(Z1888,'CAMD Facility Data 2023'!$AE$2:$AE$10000,0),1),"")</f>
        <v>480</v>
      </c>
      <c r="AC1888" s="1" t="str">
        <f>IF(INDEX('CAMD Facility Data 2023'!$AE$2:$AG$10000,MATCH(Z1888,'CAMD Facility Data 2023'!$AE$2:$AE$10000,0),3)&gt;0,INDEX('CAMD Facility Data 2023'!$AE$2:$AG$10000,MATCH(Z1888,'CAMD Facility Data 2023'!$AE$2:$AE$10000,0),3),"")</f>
        <v>Y</v>
      </c>
      <c r="AD1888" s="20">
        <f t="shared" si="88"/>
        <v>0.10239357163405513</v>
      </c>
      <c r="AE1888" s="25">
        <f t="shared" si="89"/>
        <v>9.1652929033485528E-2</v>
      </c>
    </row>
    <row r="1889" spans="1:31" x14ac:dyDescent="0.2">
      <c r="A1889" s="1" t="s">
        <v>2089</v>
      </c>
      <c r="B1889" s="1" t="s">
        <v>4485</v>
      </c>
      <c r="C1889" s="1">
        <v>7913</v>
      </c>
      <c r="D1889" s="1" t="s">
        <v>4486</v>
      </c>
      <c r="F1889" s="1">
        <v>2023</v>
      </c>
      <c r="G1889" s="5">
        <v>1885</v>
      </c>
      <c r="H1889" s="5">
        <v>1536.3</v>
      </c>
      <c r="I1889" s="5">
        <v>61999.02</v>
      </c>
      <c r="K1889" s="5">
        <v>0.191</v>
      </c>
      <c r="L1889" s="5">
        <v>1E-3</v>
      </c>
      <c r="M1889" s="5">
        <v>37882.33</v>
      </c>
      <c r="N1889" s="6">
        <v>5.9200000000000003E-2</v>
      </c>
      <c r="O1889" s="5">
        <v>2.7320000000000002</v>
      </c>
      <c r="P1889" s="6">
        <v>1.24E-2</v>
      </c>
      <c r="Q1889" s="5">
        <v>637428.31299999997</v>
      </c>
      <c r="R1889" s="1" t="s">
        <v>44</v>
      </c>
      <c r="T1889" s="1" t="s">
        <v>93</v>
      </c>
      <c r="V1889" s="1" t="s">
        <v>223</v>
      </c>
      <c r="Y1889" s="1" t="s">
        <v>1515</v>
      </c>
      <c r="Z1889" s="1" t="str">
        <f t="shared" si="87"/>
        <v>7913 HG01</v>
      </c>
      <c r="AA1889" s="3">
        <f>IF(INDEX('CAMD Facility Data 2023'!$AA$2:$AE$10000,MATCH(Z1889,'CAMD Facility Data 2023'!$AE$2:$AE$10000,0),1)&gt;0,INDEX('CAMD Facility Data 2023'!$AA$2:$AE$10000,MATCH(Z1889,'CAMD Facility Data 2023'!$AE$2:$AE$10000,0),1),"")</f>
        <v>37105</v>
      </c>
      <c r="AB1889" s="5">
        <f>IF(INDEX('CAMD Facility Data 2023'!$AC$2:$AE$10000,MATCH(Z1889,'CAMD Facility Data 2023'!$AE$2:$AE$10000,0),1)&gt;0,INDEX('CAMD Facility Data 2023'!$AC$2:$AE$10000,MATCH(Z1889,'CAMD Facility Data 2023'!$AE$2:$AE$10000,0),1),"")</f>
        <v>475</v>
      </c>
      <c r="AC1889" s="1" t="str">
        <f>IF(INDEX('CAMD Facility Data 2023'!$AE$2:$AG$10000,MATCH(Z1889,'CAMD Facility Data 2023'!$AE$2:$AE$10000,0),3)&gt;0,INDEX('CAMD Facility Data 2023'!$AE$2:$AG$10000,MATCH(Z1889,'CAMD Facility Data 2023'!$AE$2:$AE$10000,0),3),"")</f>
        <v>Y</v>
      </c>
      <c r="AD1889" s="20">
        <f t="shared" si="88"/>
        <v>8.8130425287367448E-2</v>
      </c>
      <c r="AE1889" s="25">
        <f t="shared" si="89"/>
        <v>0.15319113506368662</v>
      </c>
    </row>
    <row r="1890" spans="1:31" x14ac:dyDescent="0.2">
      <c r="A1890" s="1" t="s">
        <v>2089</v>
      </c>
      <c r="B1890" s="1" t="s">
        <v>4485</v>
      </c>
      <c r="C1890" s="1">
        <v>7913</v>
      </c>
      <c r="D1890" s="1" t="s">
        <v>4490</v>
      </c>
      <c r="F1890" s="1">
        <v>2023</v>
      </c>
      <c r="G1890" s="5">
        <v>1408</v>
      </c>
      <c r="H1890" s="5">
        <v>1148.81</v>
      </c>
      <c r="I1890" s="5">
        <v>46071.79</v>
      </c>
      <c r="K1890" s="5">
        <v>0.14599999999999999</v>
      </c>
      <c r="L1890" s="5">
        <v>1E-3</v>
      </c>
      <c r="M1890" s="5">
        <v>28858.48</v>
      </c>
      <c r="N1890" s="6">
        <v>5.9200000000000003E-2</v>
      </c>
      <c r="O1890" s="5">
        <v>2.1749999999999998</v>
      </c>
      <c r="P1890" s="6">
        <v>1.3100000000000001E-2</v>
      </c>
      <c r="Q1890" s="5">
        <v>485686.63500000001</v>
      </c>
      <c r="R1890" s="1" t="s">
        <v>44</v>
      </c>
      <c r="T1890" s="1" t="s">
        <v>93</v>
      </c>
      <c r="V1890" s="1" t="s">
        <v>223</v>
      </c>
      <c r="Y1890" s="1" t="s">
        <v>1515</v>
      </c>
      <c r="Z1890" s="1" t="str">
        <f t="shared" si="87"/>
        <v>7913 HG02</v>
      </c>
      <c r="AA1890" s="3">
        <f>IF(INDEX('CAMD Facility Data 2023'!$AA$2:$AE$10000,MATCH(Z1890,'CAMD Facility Data 2023'!$AE$2:$AE$10000,0),1)&gt;0,INDEX('CAMD Facility Data 2023'!$AA$2:$AE$10000,MATCH(Z1890,'CAMD Facility Data 2023'!$AE$2:$AE$10000,0),1),"")</f>
        <v>37105</v>
      </c>
      <c r="AB1890" s="5">
        <f>IF(INDEX('CAMD Facility Data 2023'!$AC$2:$AE$10000,MATCH(Z1890,'CAMD Facility Data 2023'!$AE$2:$AE$10000,0),1)&gt;0,INDEX('CAMD Facility Data 2023'!$AC$2:$AE$10000,MATCH(Z1890,'CAMD Facility Data 2023'!$AE$2:$AE$10000,0),1),"")</f>
        <v>486</v>
      </c>
      <c r="AC1890" s="1" t="str">
        <f>IF(INDEX('CAMD Facility Data 2023'!$AE$2:$AG$10000,MATCH(Z1890,'CAMD Facility Data 2023'!$AE$2:$AE$10000,0),3)&gt;0,INDEX('CAMD Facility Data 2023'!$AE$2:$AG$10000,MATCH(Z1890,'CAMD Facility Data 2023'!$AE$2:$AE$10000,0),3),"")</f>
        <v>Y</v>
      </c>
      <c r="AD1890" s="20">
        <f t="shared" si="88"/>
        <v>9.4417863946679739E-2</v>
      </c>
      <c r="AE1890" s="25">
        <f t="shared" si="89"/>
        <v>0.11408164566773775</v>
      </c>
    </row>
    <row r="1891" spans="1:31" x14ac:dyDescent="0.2">
      <c r="A1891" s="1" t="s">
        <v>2089</v>
      </c>
      <c r="B1891" s="1" t="s">
        <v>4492</v>
      </c>
      <c r="C1891" s="1">
        <v>7914</v>
      </c>
      <c r="D1891" s="1" t="s">
        <v>4493</v>
      </c>
      <c r="F1891" s="1">
        <v>2023</v>
      </c>
      <c r="G1891" s="5">
        <v>1918</v>
      </c>
      <c r="H1891" s="5">
        <v>1569.66</v>
      </c>
      <c r="I1891" s="5">
        <v>62782.12</v>
      </c>
      <c r="K1891" s="5">
        <v>0.187</v>
      </c>
      <c r="L1891" s="5">
        <v>1E-3</v>
      </c>
      <c r="M1891" s="5">
        <v>37074.550000000003</v>
      </c>
      <c r="N1891" s="6">
        <v>5.9200000000000003E-2</v>
      </c>
      <c r="O1891" s="5">
        <v>3.0630000000000002</v>
      </c>
      <c r="P1891" s="6">
        <v>1.46E-2</v>
      </c>
      <c r="Q1891" s="5">
        <v>623843.29599999997</v>
      </c>
      <c r="R1891" s="1" t="s">
        <v>44</v>
      </c>
      <c r="T1891" s="1" t="s">
        <v>93</v>
      </c>
      <c r="V1891" s="1" t="s">
        <v>223</v>
      </c>
      <c r="Y1891" s="1" t="s">
        <v>1515</v>
      </c>
      <c r="Z1891" s="1" t="str">
        <f t="shared" si="87"/>
        <v>7914 HR01</v>
      </c>
      <c r="AA1891" s="3">
        <f>IF(INDEX('CAMD Facility Data 2023'!$AA$2:$AE$10000,MATCH(Z1891,'CAMD Facility Data 2023'!$AE$2:$AE$10000,0),1)&gt;0,INDEX('CAMD Facility Data 2023'!$AA$2:$AE$10000,MATCH(Z1891,'CAMD Facility Data 2023'!$AE$2:$AE$10000,0),1),"")</f>
        <v>37097</v>
      </c>
      <c r="AB1891" s="5">
        <f>IF(INDEX('CAMD Facility Data 2023'!$AC$2:$AE$10000,MATCH(Z1891,'CAMD Facility Data 2023'!$AE$2:$AE$10000,0),1)&gt;0,INDEX('CAMD Facility Data 2023'!$AC$2:$AE$10000,MATCH(Z1891,'CAMD Facility Data 2023'!$AE$2:$AE$10000,0),1),"")</f>
        <v>475</v>
      </c>
      <c r="AC1891" s="1" t="str">
        <f>IF(INDEX('CAMD Facility Data 2023'!$AE$2:$AG$10000,MATCH(Z1891,'CAMD Facility Data 2023'!$AE$2:$AE$10000,0),3)&gt;0,INDEX('CAMD Facility Data 2023'!$AE$2:$AG$10000,MATCH(Z1891,'CAMD Facility Data 2023'!$AE$2:$AE$10000,0),3),"")</f>
        <v>Y</v>
      </c>
      <c r="AD1891" s="20">
        <f t="shared" si="88"/>
        <v>9.7575551765375232E-2</v>
      </c>
      <c r="AE1891" s="25">
        <f t="shared" si="89"/>
        <v>0.14992629079548184</v>
      </c>
    </row>
    <row r="1892" spans="1:31" x14ac:dyDescent="0.2">
      <c r="A1892" s="1" t="s">
        <v>2089</v>
      </c>
      <c r="B1892" s="1" t="s">
        <v>4492</v>
      </c>
      <c r="C1892" s="1">
        <v>7914</v>
      </c>
      <c r="D1892" s="1" t="s">
        <v>4495</v>
      </c>
      <c r="F1892" s="1">
        <v>2023</v>
      </c>
      <c r="G1892" s="5">
        <v>1155</v>
      </c>
      <c r="H1892" s="5">
        <v>936.88</v>
      </c>
      <c r="I1892" s="5">
        <v>37785.85</v>
      </c>
      <c r="K1892" s="5">
        <v>0.111</v>
      </c>
      <c r="L1892" s="5">
        <v>1E-3</v>
      </c>
      <c r="M1892" s="5">
        <v>22061.463</v>
      </c>
      <c r="N1892" s="6">
        <v>5.9200000000000003E-2</v>
      </c>
      <c r="O1892" s="5">
        <v>1.883</v>
      </c>
      <c r="P1892" s="6">
        <v>1.95E-2</v>
      </c>
      <c r="Q1892" s="5">
        <v>371223.42499999999</v>
      </c>
      <c r="R1892" s="1" t="s">
        <v>44</v>
      </c>
      <c r="T1892" s="1" t="s">
        <v>93</v>
      </c>
      <c r="V1892" s="1" t="s">
        <v>223</v>
      </c>
      <c r="Y1892" s="1" t="s">
        <v>1515</v>
      </c>
      <c r="Z1892" s="1" t="str">
        <f t="shared" si="87"/>
        <v>7914 HR02</v>
      </c>
      <c r="AA1892" s="3">
        <f>IF(INDEX('CAMD Facility Data 2023'!$AA$2:$AE$10000,MATCH(Z1892,'CAMD Facility Data 2023'!$AE$2:$AE$10000,0),1)&gt;0,INDEX('CAMD Facility Data 2023'!$AA$2:$AE$10000,MATCH(Z1892,'CAMD Facility Data 2023'!$AE$2:$AE$10000,0),1),"")</f>
        <v>37097</v>
      </c>
      <c r="AB1892" s="5">
        <f>IF(INDEX('CAMD Facility Data 2023'!$AC$2:$AE$10000,MATCH(Z1892,'CAMD Facility Data 2023'!$AE$2:$AE$10000,0),1)&gt;0,INDEX('CAMD Facility Data 2023'!$AC$2:$AE$10000,MATCH(Z1892,'CAMD Facility Data 2023'!$AE$2:$AE$10000,0),1),"")</f>
        <v>475</v>
      </c>
      <c r="AC1892" s="1" t="str">
        <f>IF(INDEX('CAMD Facility Data 2023'!$AE$2:$AG$10000,MATCH(Z1892,'CAMD Facility Data 2023'!$AE$2:$AE$10000,0),3)&gt;0,INDEX('CAMD Facility Data 2023'!$AE$2:$AG$10000,MATCH(Z1892,'CAMD Facility Data 2023'!$AE$2:$AE$10000,0),3),"")</f>
        <v>Y</v>
      </c>
      <c r="AD1892" s="20">
        <f t="shared" si="88"/>
        <v>9.9666938814397463E-2</v>
      </c>
      <c r="AE1892" s="25">
        <f t="shared" si="89"/>
        <v>8.9214954337899541E-2</v>
      </c>
    </row>
    <row r="1893" spans="1:31" x14ac:dyDescent="0.2">
      <c r="A1893" s="1" t="s">
        <v>2089</v>
      </c>
      <c r="B1893" s="1" t="s">
        <v>4497</v>
      </c>
      <c r="C1893" s="1">
        <v>7915</v>
      </c>
      <c r="D1893" s="1" t="s">
        <v>4498</v>
      </c>
      <c r="F1893" s="1">
        <v>2023</v>
      </c>
      <c r="G1893" s="5">
        <v>989</v>
      </c>
      <c r="H1893" s="5">
        <v>777.33</v>
      </c>
      <c r="I1893" s="5">
        <v>34991.519999999997</v>
      </c>
      <c r="K1893" s="5">
        <v>0.104</v>
      </c>
      <c r="L1893" s="5">
        <v>1E-3</v>
      </c>
      <c r="M1893" s="5">
        <v>20605.689999999999</v>
      </c>
      <c r="N1893" s="6">
        <v>5.9200000000000003E-2</v>
      </c>
      <c r="O1893" s="5">
        <v>1.8029999999999999</v>
      </c>
      <c r="P1893" s="6">
        <v>1.8800000000000001E-2</v>
      </c>
      <c r="Q1893" s="5">
        <v>346737.05099999998</v>
      </c>
      <c r="R1893" s="1" t="s">
        <v>44</v>
      </c>
      <c r="T1893" s="1" t="s">
        <v>93</v>
      </c>
      <c r="V1893" s="1" t="s">
        <v>223</v>
      </c>
      <c r="Y1893" s="1" t="s">
        <v>1515</v>
      </c>
      <c r="Z1893" s="1" t="str">
        <f t="shared" si="87"/>
        <v>7915 NO1</v>
      </c>
      <c r="AA1893" s="3">
        <f>IF(INDEX('CAMD Facility Data 2023'!$AA$2:$AE$10000,MATCH(Z1893,'CAMD Facility Data 2023'!$AE$2:$AE$10000,0),1)&gt;0,INDEX('CAMD Facility Data 2023'!$AA$2:$AE$10000,MATCH(Z1893,'CAMD Facility Data 2023'!$AE$2:$AE$10000,0),1),"")</f>
        <v>37120</v>
      </c>
      <c r="AB1893" s="5">
        <f>IF(INDEX('CAMD Facility Data 2023'!$AC$2:$AE$10000,MATCH(Z1893,'CAMD Facility Data 2023'!$AE$2:$AE$10000,0),1)&gt;0,INDEX('CAMD Facility Data 2023'!$AC$2:$AE$10000,MATCH(Z1893,'CAMD Facility Data 2023'!$AE$2:$AE$10000,0),1),"")</f>
        <v>500</v>
      </c>
      <c r="AC1893" s="1" t="str">
        <f>IF(INDEX('CAMD Facility Data 2023'!$AE$2:$AG$10000,MATCH(Z1893,'CAMD Facility Data 2023'!$AE$2:$AE$10000,0),3)&gt;0,INDEX('CAMD Facility Data 2023'!$AE$2:$AG$10000,MATCH(Z1893,'CAMD Facility Data 2023'!$AE$2:$AE$10000,0),3),"")</f>
        <v>Y</v>
      </c>
      <c r="AD1893" s="20">
        <f t="shared" si="88"/>
        <v>0.1030535398290786</v>
      </c>
      <c r="AE1893" s="25">
        <f t="shared" si="89"/>
        <v>7.9163710273972593E-2</v>
      </c>
    </row>
    <row r="1894" spans="1:31" x14ac:dyDescent="0.2">
      <c r="A1894" s="1" t="s">
        <v>921</v>
      </c>
      <c r="B1894" s="1" t="s">
        <v>4500</v>
      </c>
      <c r="C1894" s="1">
        <v>7916</v>
      </c>
      <c r="D1894" s="1">
        <v>1</v>
      </c>
      <c r="F1894" s="1">
        <v>2023</v>
      </c>
      <c r="G1894" s="5">
        <v>1139</v>
      </c>
      <c r="H1894" s="5">
        <v>1001.97</v>
      </c>
      <c r="I1894" s="5">
        <v>92680.7</v>
      </c>
      <c r="K1894" s="5">
        <v>0.32600000000000001</v>
      </c>
      <c r="L1894" s="5">
        <v>1E-3</v>
      </c>
      <c r="M1894" s="5">
        <v>64629.35</v>
      </c>
      <c r="N1894" s="6">
        <v>5.8999999999999997E-2</v>
      </c>
      <c r="O1894" s="5">
        <v>16.395</v>
      </c>
      <c r="P1894" s="6">
        <v>3.9699999999999999E-2</v>
      </c>
      <c r="Q1894" s="5">
        <v>1087509.936</v>
      </c>
      <c r="R1894" s="1" t="s">
        <v>44</v>
      </c>
      <c r="T1894" s="1" t="s">
        <v>93</v>
      </c>
      <c r="V1894" s="1" t="s">
        <v>140</v>
      </c>
      <c r="Y1894" s="1" t="s">
        <v>952</v>
      </c>
      <c r="Z1894" s="1" t="str">
        <f t="shared" si="87"/>
        <v>7916 1</v>
      </c>
      <c r="AA1894" s="3">
        <f>IF(INDEX('CAMD Facility Data 2023'!$AA$2:$AE$10000,MATCH(Z1894,'CAMD Facility Data 2023'!$AE$2:$AE$10000,0),1)&gt;0,INDEX('CAMD Facility Data 2023'!$AA$2:$AE$10000,MATCH(Z1894,'CAMD Facility Data 2023'!$AE$2:$AE$10000,0),1),"")</f>
        <v>37349</v>
      </c>
      <c r="AB1894" s="5">
        <f>IF(INDEX('CAMD Facility Data 2023'!$AC$2:$AE$10000,MATCH(Z1894,'CAMD Facility Data 2023'!$AE$2:$AE$10000,0),1)&gt;0,INDEX('CAMD Facility Data 2023'!$AC$2:$AE$10000,MATCH(Z1894,'CAMD Facility Data 2023'!$AE$2:$AE$10000,0),1),"")</f>
        <v>1353</v>
      </c>
      <c r="AC1894" s="1" t="str">
        <f>IF(INDEX('CAMD Facility Data 2023'!$AE$2:$AG$10000,MATCH(Z1894,'CAMD Facility Data 2023'!$AE$2:$AE$10000,0),3)&gt;0,INDEX('CAMD Facility Data 2023'!$AE$2:$AG$10000,MATCH(Z1894,'CAMD Facility Data 2023'!$AE$2:$AE$10000,0),3),"")</f>
        <v/>
      </c>
      <c r="AD1894" s="20">
        <f t="shared" si="88"/>
        <v>0.353795342503887</v>
      </c>
      <c r="AE1894" s="25">
        <f t="shared" si="89"/>
        <v>9.1755336188480197E-2</v>
      </c>
    </row>
    <row r="1895" spans="1:31" x14ac:dyDescent="0.2">
      <c r="A1895" s="1" t="s">
        <v>921</v>
      </c>
      <c r="B1895" s="1" t="s">
        <v>4500</v>
      </c>
      <c r="C1895" s="1">
        <v>7916</v>
      </c>
      <c r="D1895" s="1">
        <v>2</v>
      </c>
      <c r="F1895" s="1">
        <v>2023</v>
      </c>
      <c r="G1895" s="5">
        <v>1093</v>
      </c>
      <c r="H1895" s="5">
        <v>967.99</v>
      </c>
      <c r="I1895" s="5">
        <v>90418.36</v>
      </c>
      <c r="K1895" s="5">
        <v>0.32</v>
      </c>
      <c r="L1895" s="5">
        <v>1E-3</v>
      </c>
      <c r="M1895" s="5">
        <v>63479.372000000003</v>
      </c>
      <c r="N1895" s="6">
        <v>5.8999999999999997E-2</v>
      </c>
      <c r="O1895" s="5">
        <v>16.184000000000001</v>
      </c>
      <c r="P1895" s="6">
        <v>3.8899999999999997E-2</v>
      </c>
      <c r="Q1895" s="5">
        <v>1068169.1340000001</v>
      </c>
      <c r="R1895" s="1" t="s">
        <v>44</v>
      </c>
      <c r="T1895" s="1" t="s">
        <v>93</v>
      </c>
      <c r="V1895" s="1" t="s">
        <v>140</v>
      </c>
      <c r="Y1895" s="1" t="s">
        <v>952</v>
      </c>
      <c r="Z1895" s="1" t="str">
        <f t="shared" si="87"/>
        <v>7916 2</v>
      </c>
      <c r="AA1895" s="3">
        <f>IF(INDEX('CAMD Facility Data 2023'!$AA$2:$AE$10000,MATCH(Z1895,'CAMD Facility Data 2023'!$AE$2:$AE$10000,0),1)&gt;0,INDEX('CAMD Facility Data 2023'!$AA$2:$AE$10000,MATCH(Z1895,'CAMD Facility Data 2023'!$AE$2:$AE$10000,0),1),"")</f>
        <v>37355</v>
      </c>
      <c r="AB1895" s="5">
        <f>IF(INDEX('CAMD Facility Data 2023'!$AC$2:$AE$10000,MATCH(Z1895,'CAMD Facility Data 2023'!$AE$2:$AE$10000,0),1)&gt;0,INDEX('CAMD Facility Data 2023'!$AC$2:$AE$10000,MATCH(Z1895,'CAMD Facility Data 2023'!$AE$2:$AE$10000,0),1),"")</f>
        <v>1361</v>
      </c>
      <c r="AC1895" s="1" t="str">
        <f>IF(INDEX('CAMD Facility Data 2023'!$AE$2:$AG$10000,MATCH(Z1895,'CAMD Facility Data 2023'!$AE$2:$AE$10000,0),3)&gt;0,INDEX('CAMD Facility Data 2023'!$AE$2:$AG$10000,MATCH(Z1895,'CAMD Facility Data 2023'!$AE$2:$AE$10000,0),3),"")</f>
        <v/>
      </c>
      <c r="AD1895" s="20">
        <f t="shared" si="88"/>
        <v>0.35798039247781094</v>
      </c>
      <c r="AE1895" s="25">
        <f t="shared" si="89"/>
        <v>8.9593766167101158E-2</v>
      </c>
    </row>
    <row r="1896" spans="1:31" x14ac:dyDescent="0.2">
      <c r="A1896" s="1" t="s">
        <v>921</v>
      </c>
      <c r="B1896" s="1" t="s">
        <v>4500</v>
      </c>
      <c r="C1896" s="1">
        <v>7916</v>
      </c>
      <c r="D1896" s="1">
        <v>3</v>
      </c>
      <c r="F1896" s="1">
        <v>2023</v>
      </c>
      <c r="G1896" s="5">
        <v>1058</v>
      </c>
      <c r="H1896" s="5">
        <v>935.86</v>
      </c>
      <c r="I1896" s="5">
        <v>84907.09</v>
      </c>
      <c r="K1896" s="5">
        <v>0.30099999999999999</v>
      </c>
      <c r="L1896" s="5">
        <v>1E-3</v>
      </c>
      <c r="M1896" s="5">
        <v>59654.699000000001</v>
      </c>
      <c r="N1896" s="6">
        <v>5.8999999999999997E-2</v>
      </c>
      <c r="O1896" s="5">
        <v>15.516999999999999</v>
      </c>
      <c r="P1896" s="6">
        <v>3.9899999999999998E-2</v>
      </c>
      <c r="Q1896" s="5">
        <v>1003769.062</v>
      </c>
      <c r="R1896" s="1" t="s">
        <v>44</v>
      </c>
      <c r="T1896" s="1" t="s">
        <v>93</v>
      </c>
      <c r="V1896" s="1" t="s">
        <v>140</v>
      </c>
      <c r="Y1896" s="1" t="s">
        <v>952</v>
      </c>
      <c r="Z1896" s="1" t="str">
        <f t="shared" si="87"/>
        <v>7916 3</v>
      </c>
      <c r="AA1896" s="3">
        <f>IF(INDEX('CAMD Facility Data 2023'!$AA$2:$AE$10000,MATCH(Z1896,'CAMD Facility Data 2023'!$AE$2:$AE$10000,0),1)&gt;0,INDEX('CAMD Facility Data 2023'!$AA$2:$AE$10000,MATCH(Z1896,'CAMD Facility Data 2023'!$AE$2:$AE$10000,0),1),"")</f>
        <v>37369</v>
      </c>
      <c r="AB1896" s="5">
        <f>IF(INDEX('CAMD Facility Data 2023'!$AC$2:$AE$10000,MATCH(Z1896,'CAMD Facility Data 2023'!$AE$2:$AE$10000,0),1)&gt;0,INDEX('CAMD Facility Data 2023'!$AC$2:$AE$10000,MATCH(Z1896,'CAMD Facility Data 2023'!$AE$2:$AE$10000,0),1),"")</f>
        <v>1399</v>
      </c>
      <c r="AC1896" s="1" t="str">
        <f>IF(INDEX('CAMD Facility Data 2023'!$AE$2:$AG$10000,MATCH(Z1896,'CAMD Facility Data 2023'!$AE$2:$AE$10000,0),3)&gt;0,INDEX('CAMD Facility Data 2023'!$AE$2:$AG$10000,MATCH(Z1896,'CAMD Facility Data 2023'!$AE$2:$AE$10000,0),3),"")</f>
        <v/>
      </c>
      <c r="AD1896" s="20">
        <f t="shared" si="88"/>
        <v>0.36550540125683262</v>
      </c>
      <c r="AE1896" s="25">
        <f t="shared" si="89"/>
        <v>8.1905296183510071E-2</v>
      </c>
    </row>
    <row r="1897" spans="1:31" x14ac:dyDescent="0.2">
      <c r="A1897" s="1" t="s">
        <v>921</v>
      </c>
      <c r="B1897" s="1" t="s">
        <v>4500</v>
      </c>
      <c r="C1897" s="1">
        <v>7916</v>
      </c>
      <c r="D1897" s="1">
        <v>4</v>
      </c>
      <c r="F1897" s="1">
        <v>2023</v>
      </c>
      <c r="G1897" s="5">
        <v>1014</v>
      </c>
      <c r="H1897" s="5">
        <v>896.53</v>
      </c>
      <c r="I1897" s="5">
        <v>83370.210000000006</v>
      </c>
      <c r="K1897" s="5">
        <v>0.28899999999999998</v>
      </c>
      <c r="L1897" s="5">
        <v>1E-3</v>
      </c>
      <c r="M1897" s="5">
        <v>57175.614999999998</v>
      </c>
      <c r="N1897" s="6">
        <v>5.8999999999999997E-2</v>
      </c>
      <c r="O1897" s="5">
        <v>14.920999999999999</v>
      </c>
      <c r="P1897" s="6">
        <v>3.9300000000000002E-2</v>
      </c>
      <c r="Q1897" s="5">
        <v>962063.68799999997</v>
      </c>
      <c r="R1897" s="1" t="s">
        <v>44</v>
      </c>
      <c r="T1897" s="1" t="s">
        <v>93</v>
      </c>
      <c r="V1897" s="1" t="s">
        <v>140</v>
      </c>
      <c r="Y1897" s="1" t="s">
        <v>952</v>
      </c>
      <c r="Z1897" s="1" t="str">
        <f t="shared" si="87"/>
        <v>7916 4</v>
      </c>
      <c r="AA1897" s="3">
        <f>IF(INDEX('CAMD Facility Data 2023'!$AA$2:$AE$10000,MATCH(Z1897,'CAMD Facility Data 2023'!$AE$2:$AE$10000,0),1)&gt;0,INDEX('CAMD Facility Data 2023'!$AA$2:$AE$10000,MATCH(Z1897,'CAMD Facility Data 2023'!$AE$2:$AE$10000,0),1),"")</f>
        <v>37398</v>
      </c>
      <c r="AB1897" s="5">
        <f>IF(INDEX('CAMD Facility Data 2023'!$AC$2:$AE$10000,MATCH(Z1897,'CAMD Facility Data 2023'!$AE$2:$AE$10000,0),1)&gt;0,INDEX('CAMD Facility Data 2023'!$AC$2:$AE$10000,MATCH(Z1897,'CAMD Facility Data 2023'!$AE$2:$AE$10000,0),1),"")</f>
        <v>1410</v>
      </c>
      <c r="AC1897" s="1" t="str">
        <f>IF(INDEX('CAMD Facility Data 2023'!$AE$2:$AG$10000,MATCH(Z1897,'CAMD Facility Data 2023'!$AE$2:$AE$10000,0),3)&gt;0,INDEX('CAMD Facility Data 2023'!$AE$2:$AG$10000,MATCH(Z1897,'CAMD Facility Data 2023'!$AE$2:$AE$10000,0),3),"")</f>
        <v/>
      </c>
      <c r="AD1897" s="20">
        <f t="shared" si="88"/>
        <v>0.35794560191224178</v>
      </c>
      <c r="AE1897" s="25">
        <f t="shared" si="89"/>
        <v>7.7889802778587383E-2</v>
      </c>
    </row>
    <row r="1898" spans="1:31" x14ac:dyDescent="0.2">
      <c r="A1898" s="1" t="s">
        <v>921</v>
      </c>
      <c r="B1898" s="1" t="s">
        <v>4500</v>
      </c>
      <c r="C1898" s="1">
        <v>7916</v>
      </c>
      <c r="D1898" s="1">
        <v>5</v>
      </c>
      <c r="F1898" s="1">
        <v>2023</v>
      </c>
      <c r="G1898" s="5">
        <v>1066</v>
      </c>
      <c r="H1898" s="5">
        <v>946.09</v>
      </c>
      <c r="I1898" s="5">
        <v>89199.679999999993</v>
      </c>
      <c r="K1898" s="5">
        <v>0.34</v>
      </c>
      <c r="L1898" s="5">
        <v>1E-3</v>
      </c>
      <c r="M1898" s="5">
        <v>62313.317000000003</v>
      </c>
      <c r="N1898" s="6">
        <v>5.9200000000000003E-2</v>
      </c>
      <c r="O1898" s="5">
        <v>16.431999999999999</v>
      </c>
      <c r="P1898" s="6">
        <v>4.02E-2</v>
      </c>
      <c r="Q1898" s="5">
        <v>1045064.7610000001</v>
      </c>
      <c r="R1898" s="1" t="s">
        <v>44</v>
      </c>
      <c r="S1898" s="1" t="s">
        <v>94</v>
      </c>
      <c r="T1898" s="1" t="s">
        <v>93</v>
      </c>
      <c r="V1898" s="1" t="s">
        <v>140</v>
      </c>
      <c r="Y1898" s="1" t="s">
        <v>952</v>
      </c>
      <c r="Z1898" s="1" t="str">
        <f t="shared" si="87"/>
        <v>7916 5</v>
      </c>
      <c r="AA1898" s="3">
        <f>IF(INDEX('CAMD Facility Data 2023'!$AA$2:$AE$10000,MATCH(Z1898,'CAMD Facility Data 2023'!$AE$2:$AE$10000,0),1)&gt;0,INDEX('CAMD Facility Data 2023'!$AA$2:$AE$10000,MATCH(Z1898,'CAMD Facility Data 2023'!$AE$2:$AE$10000,0),1),"")</f>
        <v>37697</v>
      </c>
      <c r="AB1898" s="5">
        <f>IF(INDEX('CAMD Facility Data 2023'!$AC$2:$AE$10000,MATCH(Z1898,'CAMD Facility Data 2023'!$AE$2:$AE$10000,0),1)&gt;0,INDEX('CAMD Facility Data 2023'!$AC$2:$AE$10000,MATCH(Z1898,'CAMD Facility Data 2023'!$AE$2:$AE$10000,0),1),"")</f>
        <v>1386</v>
      </c>
      <c r="AC1898" s="1" t="str">
        <f>IF(INDEX('CAMD Facility Data 2023'!$AE$2:$AG$10000,MATCH(Z1898,'CAMD Facility Data 2023'!$AE$2:$AE$10000,0),3)&gt;0,INDEX('CAMD Facility Data 2023'!$AE$2:$AG$10000,MATCH(Z1898,'CAMD Facility Data 2023'!$AE$2:$AE$10000,0),3),"")</f>
        <v/>
      </c>
      <c r="AD1898" s="20">
        <f t="shared" si="88"/>
        <v>0.36843181500202693</v>
      </c>
      <c r="AE1898" s="25">
        <f t="shared" si="89"/>
        <v>8.607476930096794E-2</v>
      </c>
    </row>
    <row r="1899" spans="1:31" x14ac:dyDescent="0.2">
      <c r="A1899" s="1" t="s">
        <v>921</v>
      </c>
      <c r="B1899" s="1" t="s">
        <v>4500</v>
      </c>
      <c r="C1899" s="1">
        <v>7916</v>
      </c>
      <c r="D1899" s="1">
        <v>6</v>
      </c>
      <c r="F1899" s="1">
        <v>2023</v>
      </c>
      <c r="G1899" s="5">
        <v>1039</v>
      </c>
      <c r="H1899" s="5">
        <v>920.57</v>
      </c>
      <c r="I1899" s="5">
        <v>83538.149999999994</v>
      </c>
      <c r="K1899" s="5">
        <v>0.30499999999999999</v>
      </c>
      <c r="L1899" s="5">
        <v>1E-3</v>
      </c>
      <c r="M1899" s="5">
        <v>59567.366999999998</v>
      </c>
      <c r="N1899" s="6">
        <v>5.91E-2</v>
      </c>
      <c r="O1899" s="5">
        <v>14.824</v>
      </c>
      <c r="P1899" s="6">
        <v>3.7499999999999999E-2</v>
      </c>
      <c r="Q1899" s="5">
        <v>1001722.667</v>
      </c>
      <c r="R1899" s="1" t="s">
        <v>44</v>
      </c>
      <c r="S1899" s="1" t="s">
        <v>94</v>
      </c>
      <c r="T1899" s="1" t="s">
        <v>93</v>
      </c>
      <c r="V1899" s="1" t="s">
        <v>140</v>
      </c>
      <c r="Y1899" s="1" t="s">
        <v>952</v>
      </c>
      <c r="Z1899" s="1" t="str">
        <f t="shared" si="87"/>
        <v>7916 6</v>
      </c>
      <c r="AA1899" s="3">
        <f>IF(INDEX('CAMD Facility Data 2023'!$AA$2:$AE$10000,MATCH(Z1899,'CAMD Facility Data 2023'!$AE$2:$AE$10000,0),1)&gt;0,INDEX('CAMD Facility Data 2023'!$AA$2:$AE$10000,MATCH(Z1899,'CAMD Facility Data 2023'!$AE$2:$AE$10000,0),1),"")</f>
        <v>37719</v>
      </c>
      <c r="AB1899" s="5">
        <f>IF(INDEX('CAMD Facility Data 2023'!$AC$2:$AE$10000,MATCH(Z1899,'CAMD Facility Data 2023'!$AE$2:$AE$10000,0),1)&gt;0,INDEX('CAMD Facility Data 2023'!$AC$2:$AE$10000,MATCH(Z1899,'CAMD Facility Data 2023'!$AE$2:$AE$10000,0),1),"")</f>
        <v>1360</v>
      </c>
      <c r="AC1899" s="1" t="str">
        <f>IF(INDEX('CAMD Facility Data 2023'!$AE$2:$AG$10000,MATCH(Z1899,'CAMD Facility Data 2023'!$AE$2:$AE$10000,0),3)&gt;0,INDEX('CAMD Facility Data 2023'!$AE$2:$AG$10000,MATCH(Z1899,'CAMD Facility Data 2023'!$AE$2:$AE$10000,0),3),"")</f>
        <v/>
      </c>
      <c r="AD1899" s="20">
        <f t="shared" si="88"/>
        <v>0.35490371764277762</v>
      </c>
      <c r="AE1899" s="25">
        <f t="shared" si="89"/>
        <v>8.408228134233145E-2</v>
      </c>
    </row>
    <row r="1900" spans="1:31" x14ac:dyDescent="0.2">
      <c r="A1900" s="1" t="s">
        <v>921</v>
      </c>
      <c r="B1900" s="1" t="s">
        <v>4508</v>
      </c>
      <c r="C1900" s="1">
        <v>7917</v>
      </c>
      <c r="D1900" s="1" t="s">
        <v>830</v>
      </c>
      <c r="F1900" s="1">
        <v>2023</v>
      </c>
      <c r="G1900" s="5">
        <v>7868</v>
      </c>
      <c r="H1900" s="5">
        <v>7856.79</v>
      </c>
      <c r="I1900" s="5">
        <v>1819539.76</v>
      </c>
      <c r="K1900" s="5">
        <v>3.6629999999999998</v>
      </c>
      <c r="L1900" s="5">
        <v>1E-3</v>
      </c>
      <c r="M1900" s="5">
        <v>725586.56</v>
      </c>
      <c r="N1900" s="6">
        <v>5.8999999999999997E-2</v>
      </c>
      <c r="O1900" s="5">
        <v>57.170999999999999</v>
      </c>
      <c r="P1900" s="6">
        <v>9.5999999999999992E-3</v>
      </c>
      <c r="Q1900" s="5">
        <v>12209388.708000001</v>
      </c>
      <c r="R1900" s="1" t="s">
        <v>44</v>
      </c>
      <c r="T1900" s="1" t="s">
        <v>71</v>
      </c>
      <c r="V1900" s="1" t="s">
        <v>223</v>
      </c>
      <c r="Y1900" s="1" t="s">
        <v>952</v>
      </c>
      <c r="Z1900" s="1" t="str">
        <f t="shared" si="87"/>
        <v>7917 8A</v>
      </c>
      <c r="AA1900" s="3">
        <f>IF(INDEX('CAMD Facility Data 2023'!$AA$2:$AE$10000,MATCH(Z1900,'CAMD Facility Data 2023'!$AE$2:$AE$10000,0),1)&gt;0,INDEX('CAMD Facility Data 2023'!$AA$2:$AE$10000,MATCH(Z1900,'CAMD Facility Data 2023'!$AE$2:$AE$10000,0),1),"")</f>
        <v>37585</v>
      </c>
      <c r="AB1900" s="5">
        <f>IF(INDEX('CAMD Facility Data 2023'!$AC$2:$AE$10000,MATCH(Z1900,'CAMD Facility Data 2023'!$AE$2:$AE$10000,0),1)&gt;0,INDEX('CAMD Facility Data 2023'!$AC$2:$AE$10000,MATCH(Z1900,'CAMD Facility Data 2023'!$AE$2:$AE$10000,0),1),"")</f>
        <v>1830</v>
      </c>
      <c r="AC1900" s="1" t="str">
        <f>IF(INDEX('CAMD Facility Data 2023'!$AE$2:$AG$10000,MATCH(Z1900,'CAMD Facility Data 2023'!$AE$2:$AE$10000,0),3)&gt;0,INDEX('CAMD Facility Data 2023'!$AE$2:$AG$10000,MATCH(Z1900,'CAMD Facility Data 2023'!$AE$2:$AE$10000,0),3),"")</f>
        <v>Y</v>
      </c>
      <c r="AD1900" s="20">
        <f t="shared" si="88"/>
        <v>6.2841165944073685E-2</v>
      </c>
      <c r="AE1900" s="25">
        <f t="shared" si="89"/>
        <v>0.76162067445168058</v>
      </c>
    </row>
    <row r="1901" spans="1:31" x14ac:dyDescent="0.2">
      <c r="A1901" s="1" t="s">
        <v>921</v>
      </c>
      <c r="B1901" s="1" t="s">
        <v>4508</v>
      </c>
      <c r="C1901" s="1">
        <v>7917</v>
      </c>
      <c r="D1901" s="1" t="s">
        <v>832</v>
      </c>
      <c r="F1901" s="1">
        <v>2023</v>
      </c>
      <c r="G1901" s="5">
        <v>7749</v>
      </c>
      <c r="H1901" s="5">
        <v>7734.66</v>
      </c>
      <c r="I1901" s="5">
        <v>1791675.88</v>
      </c>
      <c r="K1901" s="5">
        <v>3.6230000000000002</v>
      </c>
      <c r="L1901" s="5">
        <v>1E-3</v>
      </c>
      <c r="M1901" s="5">
        <v>717741.28300000005</v>
      </c>
      <c r="N1901" s="6">
        <v>5.8999999999999997E-2</v>
      </c>
      <c r="O1901" s="5">
        <v>55.606000000000002</v>
      </c>
      <c r="P1901" s="6">
        <v>9.4000000000000004E-3</v>
      </c>
      <c r="Q1901" s="5">
        <v>12077409.034</v>
      </c>
      <c r="R1901" s="1" t="s">
        <v>44</v>
      </c>
      <c r="T1901" s="1" t="s">
        <v>71</v>
      </c>
      <c r="V1901" s="1" t="s">
        <v>223</v>
      </c>
      <c r="Y1901" s="1" t="s">
        <v>952</v>
      </c>
      <c r="Z1901" s="1" t="str">
        <f t="shared" si="87"/>
        <v>7917 8B</v>
      </c>
      <c r="AA1901" s="3">
        <f>IF(INDEX('CAMD Facility Data 2023'!$AA$2:$AE$10000,MATCH(Z1901,'CAMD Facility Data 2023'!$AE$2:$AE$10000,0),1)&gt;0,INDEX('CAMD Facility Data 2023'!$AA$2:$AE$10000,MATCH(Z1901,'CAMD Facility Data 2023'!$AE$2:$AE$10000,0),1),"")</f>
        <v>37587</v>
      </c>
      <c r="AB1901" s="5">
        <f>IF(INDEX('CAMD Facility Data 2023'!$AC$2:$AE$10000,MATCH(Z1901,'CAMD Facility Data 2023'!$AE$2:$AE$10000,0),1)&gt;0,INDEX('CAMD Facility Data 2023'!$AC$2:$AE$10000,MATCH(Z1901,'CAMD Facility Data 2023'!$AE$2:$AE$10000,0),1),"")</f>
        <v>1875</v>
      </c>
      <c r="AC1901" s="1" t="str">
        <f>IF(INDEX('CAMD Facility Data 2023'!$AE$2:$AG$10000,MATCH(Z1901,'CAMD Facility Data 2023'!$AE$2:$AE$10000,0),3)&gt;0,INDEX('CAMD Facility Data 2023'!$AE$2:$AG$10000,MATCH(Z1901,'CAMD Facility Data 2023'!$AE$2:$AE$10000,0),3),"")</f>
        <v>Y</v>
      </c>
      <c r="AD1901" s="20">
        <f t="shared" si="88"/>
        <v>6.2071494761652989E-2</v>
      </c>
      <c r="AE1901" s="25">
        <f t="shared" si="89"/>
        <v>0.73530648608828009</v>
      </c>
    </row>
    <row r="1902" spans="1:31" x14ac:dyDescent="0.2">
      <c r="A1902" s="1" t="s">
        <v>1663</v>
      </c>
      <c r="B1902" s="1" t="s">
        <v>4513</v>
      </c>
      <c r="C1902" s="1">
        <v>7925</v>
      </c>
      <c r="D1902" s="1" t="s">
        <v>993</v>
      </c>
      <c r="F1902" s="1">
        <v>2023</v>
      </c>
      <c r="G1902" s="5">
        <v>390</v>
      </c>
      <c r="H1902" s="5">
        <v>326.02</v>
      </c>
      <c r="I1902" s="5">
        <v>17850.66</v>
      </c>
      <c r="K1902" s="5">
        <v>7.9000000000000001E-2</v>
      </c>
      <c r="L1902" s="5">
        <v>1E-3</v>
      </c>
      <c r="M1902" s="5">
        <v>15617.652</v>
      </c>
      <c r="N1902" s="6">
        <v>5.91E-2</v>
      </c>
      <c r="O1902" s="5">
        <v>3.823</v>
      </c>
      <c r="P1902" s="6">
        <v>3.7400000000000003E-2</v>
      </c>
      <c r="Q1902" s="5">
        <v>262692.71600000001</v>
      </c>
      <c r="R1902" s="1" t="s">
        <v>44</v>
      </c>
      <c r="S1902" s="1" t="s">
        <v>94</v>
      </c>
      <c r="T1902" s="1" t="s">
        <v>93</v>
      </c>
      <c r="V1902" s="1" t="s">
        <v>183</v>
      </c>
      <c r="Y1902" s="1" t="s">
        <v>1666</v>
      </c>
      <c r="Z1902" s="1" t="str">
        <f t="shared" si="87"/>
        <v>7925 CT01</v>
      </c>
      <c r="AA1902" s="3">
        <f>IF(INDEX('CAMD Facility Data 2023'!$AA$2:$AE$10000,MATCH(Z1902,'CAMD Facility Data 2023'!$AE$2:$AE$10000,0),1)&gt;0,INDEX('CAMD Facility Data 2023'!$AA$2:$AE$10000,MATCH(Z1902,'CAMD Facility Data 2023'!$AE$2:$AE$10000,0),1),"")</f>
        <v>37012</v>
      </c>
      <c r="AB1902" s="5">
        <f>IF(INDEX('CAMD Facility Data 2023'!$AC$2:$AE$10000,MATCH(Z1902,'CAMD Facility Data 2023'!$AE$2:$AE$10000,0),1)&gt;0,INDEX('CAMD Facility Data 2023'!$AC$2:$AE$10000,MATCH(Z1902,'CAMD Facility Data 2023'!$AE$2:$AE$10000,0),1),"")</f>
        <v>1184</v>
      </c>
      <c r="AC1902" s="1" t="str">
        <f>IF(INDEX('CAMD Facility Data 2023'!$AE$2:$AG$10000,MATCH(Z1902,'CAMD Facility Data 2023'!$AE$2:$AE$10000,0),3)&gt;0,INDEX('CAMD Facility Data 2023'!$AE$2:$AG$10000,MATCH(Z1902,'CAMD Facility Data 2023'!$AE$2:$AE$10000,0),3),"")</f>
        <v/>
      </c>
      <c r="AD1902" s="20">
        <f t="shared" si="88"/>
        <v>0.42833150146829307</v>
      </c>
      <c r="AE1902" s="25">
        <f t="shared" si="89"/>
        <v>2.5327494060841664E-2</v>
      </c>
    </row>
    <row r="1903" spans="1:31" x14ac:dyDescent="0.2">
      <c r="A1903" s="1" t="s">
        <v>1663</v>
      </c>
      <c r="B1903" s="1" t="s">
        <v>4513</v>
      </c>
      <c r="C1903" s="1">
        <v>7925</v>
      </c>
      <c r="D1903" s="1" t="s">
        <v>998</v>
      </c>
      <c r="F1903" s="1">
        <v>2023</v>
      </c>
      <c r="G1903" s="5">
        <v>366</v>
      </c>
      <c r="H1903" s="5">
        <v>303.56</v>
      </c>
      <c r="I1903" s="5">
        <v>16630.509999999998</v>
      </c>
      <c r="K1903" s="5">
        <v>7.2999999999999995E-2</v>
      </c>
      <c r="L1903" s="5">
        <v>1E-3</v>
      </c>
      <c r="M1903" s="5">
        <v>14484.013000000001</v>
      </c>
      <c r="N1903" s="6">
        <v>5.91E-2</v>
      </c>
      <c r="O1903" s="5">
        <v>3.57</v>
      </c>
      <c r="P1903" s="6">
        <v>3.8199999999999998E-2</v>
      </c>
      <c r="Q1903" s="5">
        <v>243599.93299999999</v>
      </c>
      <c r="R1903" s="1" t="s">
        <v>44</v>
      </c>
      <c r="S1903" s="1" t="s">
        <v>94</v>
      </c>
      <c r="T1903" s="1" t="s">
        <v>93</v>
      </c>
      <c r="V1903" s="1" t="s">
        <v>183</v>
      </c>
      <c r="Y1903" s="1" t="s">
        <v>1666</v>
      </c>
      <c r="Z1903" s="1" t="str">
        <f t="shared" si="87"/>
        <v>7925 CT02</v>
      </c>
      <c r="AA1903" s="3">
        <f>IF(INDEX('CAMD Facility Data 2023'!$AA$2:$AE$10000,MATCH(Z1903,'CAMD Facility Data 2023'!$AE$2:$AE$10000,0),1)&gt;0,INDEX('CAMD Facility Data 2023'!$AA$2:$AE$10000,MATCH(Z1903,'CAMD Facility Data 2023'!$AE$2:$AE$10000,0),1),"")</f>
        <v>37044</v>
      </c>
      <c r="AB1903" s="5">
        <f>IF(INDEX('CAMD Facility Data 2023'!$AC$2:$AE$10000,MATCH(Z1903,'CAMD Facility Data 2023'!$AE$2:$AE$10000,0),1)&gt;0,INDEX('CAMD Facility Data 2023'!$AC$2:$AE$10000,MATCH(Z1903,'CAMD Facility Data 2023'!$AE$2:$AE$10000,0),1),"")</f>
        <v>1184</v>
      </c>
      <c r="AC1903" s="1" t="str">
        <f>IF(INDEX('CAMD Facility Data 2023'!$AE$2:$AG$10000,MATCH(Z1903,'CAMD Facility Data 2023'!$AE$2:$AE$10000,0),3)&gt;0,INDEX('CAMD Facility Data 2023'!$AE$2:$AG$10000,MATCH(Z1903,'CAMD Facility Data 2023'!$AE$2:$AE$10000,0),3),"")</f>
        <v/>
      </c>
      <c r="AD1903" s="20">
        <f t="shared" si="88"/>
        <v>0.42933139152076522</v>
      </c>
      <c r="AE1903" s="25">
        <f t="shared" si="89"/>
        <v>2.3486665143311117E-2</v>
      </c>
    </row>
    <row r="1904" spans="1:31" x14ac:dyDescent="0.2">
      <c r="A1904" s="1" t="s">
        <v>1663</v>
      </c>
      <c r="B1904" s="1" t="s">
        <v>4513</v>
      </c>
      <c r="C1904" s="1">
        <v>7925</v>
      </c>
      <c r="D1904" s="1" t="s">
        <v>1043</v>
      </c>
      <c r="F1904" s="1">
        <v>2023</v>
      </c>
      <c r="G1904" s="5">
        <v>285</v>
      </c>
      <c r="H1904" s="5">
        <v>237.74</v>
      </c>
      <c r="I1904" s="5">
        <v>13242.82</v>
      </c>
      <c r="K1904" s="5">
        <v>5.8000000000000003E-2</v>
      </c>
      <c r="L1904" s="5">
        <v>1E-3</v>
      </c>
      <c r="M1904" s="5">
        <v>11526.861000000001</v>
      </c>
      <c r="N1904" s="6">
        <v>5.9200000000000003E-2</v>
      </c>
      <c r="O1904" s="5">
        <v>2.996</v>
      </c>
      <c r="P1904" s="6">
        <v>3.85E-2</v>
      </c>
      <c r="Q1904" s="5">
        <v>193849.29500000001</v>
      </c>
      <c r="R1904" s="1" t="s">
        <v>44</v>
      </c>
      <c r="S1904" s="1" t="s">
        <v>94</v>
      </c>
      <c r="T1904" s="1" t="s">
        <v>93</v>
      </c>
      <c r="V1904" s="1" t="s">
        <v>183</v>
      </c>
      <c r="Y1904" s="1" t="s">
        <v>1666</v>
      </c>
      <c r="Z1904" s="1" t="str">
        <f t="shared" si="87"/>
        <v>7925 CT03</v>
      </c>
      <c r="AA1904" s="3">
        <f>IF(INDEX('CAMD Facility Data 2023'!$AA$2:$AE$10000,MATCH(Z1904,'CAMD Facility Data 2023'!$AE$2:$AE$10000,0),1)&gt;0,INDEX('CAMD Facility Data 2023'!$AA$2:$AE$10000,MATCH(Z1904,'CAMD Facility Data 2023'!$AE$2:$AE$10000,0),1),"")</f>
        <v>37037</v>
      </c>
      <c r="AB1904" s="5">
        <f>IF(INDEX('CAMD Facility Data 2023'!$AC$2:$AE$10000,MATCH(Z1904,'CAMD Facility Data 2023'!$AE$2:$AE$10000,0),1)&gt;0,INDEX('CAMD Facility Data 2023'!$AC$2:$AE$10000,MATCH(Z1904,'CAMD Facility Data 2023'!$AE$2:$AE$10000,0),1),"")</f>
        <v>1184</v>
      </c>
      <c r="AC1904" s="1" t="str">
        <f>IF(INDEX('CAMD Facility Data 2023'!$AE$2:$AG$10000,MATCH(Z1904,'CAMD Facility Data 2023'!$AE$2:$AE$10000,0),3)&gt;0,INDEX('CAMD Facility Data 2023'!$AE$2:$AG$10000,MATCH(Z1904,'CAMD Facility Data 2023'!$AE$2:$AE$10000,0),3),"")</f>
        <v/>
      </c>
      <c r="AD1904" s="20">
        <f t="shared" si="88"/>
        <v>0.45247160348022553</v>
      </c>
      <c r="AE1904" s="25">
        <f t="shared" si="89"/>
        <v>1.868996195467728E-2</v>
      </c>
    </row>
    <row r="1905" spans="1:31" x14ac:dyDescent="0.2">
      <c r="A1905" s="1" t="s">
        <v>1663</v>
      </c>
      <c r="B1905" s="1" t="s">
        <v>4513</v>
      </c>
      <c r="C1905" s="1">
        <v>7925</v>
      </c>
      <c r="D1905" s="1" t="s">
        <v>1048</v>
      </c>
      <c r="F1905" s="1">
        <v>2023</v>
      </c>
      <c r="G1905" s="5">
        <v>255</v>
      </c>
      <c r="H1905" s="5">
        <v>209.25</v>
      </c>
      <c r="I1905" s="5">
        <v>11150.11</v>
      </c>
      <c r="K1905" s="5">
        <v>0.05</v>
      </c>
      <c r="L1905" s="5">
        <v>1E-3</v>
      </c>
      <c r="M1905" s="5">
        <v>9896.8940000000002</v>
      </c>
      <c r="N1905" s="6">
        <v>5.9200000000000003E-2</v>
      </c>
      <c r="O1905" s="5">
        <v>2.6640000000000001</v>
      </c>
      <c r="P1905" s="6">
        <v>4.1399999999999999E-2</v>
      </c>
      <c r="Q1905" s="5">
        <v>166445.81099999999</v>
      </c>
      <c r="R1905" s="1" t="s">
        <v>44</v>
      </c>
      <c r="S1905" s="1" t="s">
        <v>94</v>
      </c>
      <c r="T1905" s="1" t="s">
        <v>93</v>
      </c>
      <c r="V1905" s="1" t="s">
        <v>183</v>
      </c>
      <c r="Y1905" s="1" t="s">
        <v>1666</v>
      </c>
      <c r="Z1905" s="1" t="str">
        <f t="shared" si="87"/>
        <v>7925 CT04</v>
      </c>
      <c r="AA1905" s="3">
        <f>IF(INDEX('CAMD Facility Data 2023'!$AA$2:$AE$10000,MATCH(Z1905,'CAMD Facility Data 2023'!$AE$2:$AE$10000,0),1)&gt;0,INDEX('CAMD Facility Data 2023'!$AA$2:$AE$10000,MATCH(Z1905,'CAMD Facility Data 2023'!$AE$2:$AE$10000,0),1),"")</f>
        <v>37033</v>
      </c>
      <c r="AB1905" s="5">
        <f>IF(INDEX('CAMD Facility Data 2023'!$AC$2:$AE$10000,MATCH(Z1905,'CAMD Facility Data 2023'!$AE$2:$AE$10000,0),1)&gt;0,INDEX('CAMD Facility Data 2023'!$AC$2:$AE$10000,MATCH(Z1905,'CAMD Facility Data 2023'!$AE$2:$AE$10000,0),1),"")</f>
        <v>1184</v>
      </c>
      <c r="AC1905" s="1" t="str">
        <f>IF(INDEX('CAMD Facility Data 2023'!$AE$2:$AG$10000,MATCH(Z1905,'CAMD Facility Data 2023'!$AE$2:$AE$10000,0),3)&gt;0,INDEX('CAMD Facility Data 2023'!$AE$2:$AG$10000,MATCH(Z1905,'CAMD Facility Data 2023'!$AE$2:$AE$10000,0),3),"")</f>
        <v/>
      </c>
      <c r="AD1905" s="20">
        <f t="shared" si="88"/>
        <v>0.47784281948787949</v>
      </c>
      <c r="AE1905" s="25">
        <f t="shared" si="89"/>
        <v>1.6047857564328024E-2</v>
      </c>
    </row>
    <row r="1906" spans="1:31" x14ac:dyDescent="0.2">
      <c r="A1906" s="1" t="s">
        <v>1663</v>
      </c>
      <c r="B1906" s="1" t="s">
        <v>4513</v>
      </c>
      <c r="C1906" s="1">
        <v>7925</v>
      </c>
      <c r="D1906" s="1" t="s">
        <v>1050</v>
      </c>
      <c r="F1906" s="1">
        <v>2023</v>
      </c>
      <c r="G1906" s="5">
        <v>245</v>
      </c>
      <c r="H1906" s="5">
        <v>200.09</v>
      </c>
      <c r="I1906" s="5">
        <v>10976.22</v>
      </c>
      <c r="K1906" s="5">
        <v>4.8000000000000001E-2</v>
      </c>
      <c r="L1906" s="5">
        <v>1E-3</v>
      </c>
      <c r="M1906" s="5">
        <v>9558.2620000000006</v>
      </c>
      <c r="N1906" s="6">
        <v>5.9200000000000003E-2</v>
      </c>
      <c r="O1906" s="5">
        <v>2.4689999999999999</v>
      </c>
      <c r="P1906" s="6">
        <v>3.9300000000000002E-2</v>
      </c>
      <c r="Q1906" s="5">
        <v>160737.69500000001</v>
      </c>
      <c r="R1906" s="1" t="s">
        <v>44</v>
      </c>
      <c r="S1906" s="1" t="s">
        <v>94</v>
      </c>
      <c r="T1906" s="1" t="s">
        <v>93</v>
      </c>
      <c r="V1906" s="1" t="s">
        <v>183</v>
      </c>
      <c r="Y1906" s="1" t="s">
        <v>1666</v>
      </c>
      <c r="Z1906" s="1" t="str">
        <f t="shared" si="87"/>
        <v>7925 CT05</v>
      </c>
      <c r="AA1906" s="3">
        <f>IF(INDEX('CAMD Facility Data 2023'!$AA$2:$AE$10000,MATCH(Z1906,'CAMD Facility Data 2023'!$AE$2:$AE$10000,0),1)&gt;0,INDEX('CAMD Facility Data 2023'!$AA$2:$AE$10000,MATCH(Z1906,'CAMD Facility Data 2023'!$AE$2:$AE$10000,0),1),"")</f>
        <v>37025</v>
      </c>
      <c r="AB1906" s="5">
        <f>IF(INDEX('CAMD Facility Data 2023'!$AC$2:$AE$10000,MATCH(Z1906,'CAMD Facility Data 2023'!$AE$2:$AE$10000,0),1)&gt;0,INDEX('CAMD Facility Data 2023'!$AC$2:$AE$10000,MATCH(Z1906,'CAMD Facility Data 2023'!$AE$2:$AE$10000,0),1),"")</f>
        <v>1184</v>
      </c>
      <c r="AC1906" s="1" t="str">
        <f>IF(INDEX('CAMD Facility Data 2023'!$AE$2:$AG$10000,MATCH(Z1906,'CAMD Facility Data 2023'!$AE$2:$AE$10000,0),3)&gt;0,INDEX('CAMD Facility Data 2023'!$AE$2:$AG$10000,MATCH(Z1906,'CAMD Facility Data 2023'!$AE$2:$AE$10000,0),3),"")</f>
        <v/>
      </c>
      <c r="AD1906" s="20">
        <f t="shared" si="88"/>
        <v>0.44988165324674617</v>
      </c>
      <c r="AE1906" s="25">
        <f t="shared" si="89"/>
        <v>1.5497510084999383E-2</v>
      </c>
    </row>
    <row r="1907" spans="1:31" x14ac:dyDescent="0.2">
      <c r="A1907" s="1" t="s">
        <v>1663</v>
      </c>
      <c r="B1907" s="1" t="s">
        <v>4513</v>
      </c>
      <c r="C1907" s="1">
        <v>7925</v>
      </c>
      <c r="D1907" s="1" t="s">
        <v>4517</v>
      </c>
      <c r="F1907" s="1">
        <v>2023</v>
      </c>
      <c r="G1907" s="5">
        <v>188</v>
      </c>
      <c r="H1907" s="5">
        <v>150.62</v>
      </c>
      <c r="I1907" s="5">
        <v>8183.21</v>
      </c>
      <c r="K1907" s="5">
        <v>3.5999999999999997E-2</v>
      </c>
      <c r="L1907" s="5">
        <v>1E-3</v>
      </c>
      <c r="M1907" s="5">
        <v>7195.3310000000001</v>
      </c>
      <c r="N1907" s="6">
        <v>5.9299999999999999E-2</v>
      </c>
      <c r="O1907" s="5">
        <v>1.782</v>
      </c>
      <c r="P1907" s="6">
        <v>3.6999999999999998E-2</v>
      </c>
      <c r="Q1907" s="5">
        <v>120949.711</v>
      </c>
      <c r="R1907" s="1" t="s">
        <v>44</v>
      </c>
      <c r="S1907" s="1" t="s">
        <v>94</v>
      </c>
      <c r="T1907" s="1" t="s">
        <v>93</v>
      </c>
      <c r="V1907" s="1" t="s">
        <v>183</v>
      </c>
      <c r="Y1907" s="1" t="s">
        <v>1666</v>
      </c>
      <c r="Z1907" s="1" t="str">
        <f t="shared" si="87"/>
        <v>7925 CT06</v>
      </c>
      <c r="AA1907" s="3">
        <f>IF(INDEX('CAMD Facility Data 2023'!$AA$2:$AE$10000,MATCH(Z1907,'CAMD Facility Data 2023'!$AE$2:$AE$10000,0),1)&gt;0,INDEX('CAMD Facility Data 2023'!$AA$2:$AE$10000,MATCH(Z1907,'CAMD Facility Data 2023'!$AE$2:$AE$10000,0),1),"")</f>
        <v>37020</v>
      </c>
      <c r="AB1907" s="5">
        <f>IF(INDEX('CAMD Facility Data 2023'!$AC$2:$AE$10000,MATCH(Z1907,'CAMD Facility Data 2023'!$AE$2:$AE$10000,0),1)&gt;0,INDEX('CAMD Facility Data 2023'!$AC$2:$AE$10000,MATCH(Z1907,'CAMD Facility Data 2023'!$AE$2:$AE$10000,0),1),"")</f>
        <v>1184</v>
      </c>
      <c r="AC1907" s="1" t="str">
        <f>IF(INDEX('CAMD Facility Data 2023'!$AE$2:$AG$10000,MATCH(Z1907,'CAMD Facility Data 2023'!$AE$2:$AE$10000,0),3)&gt;0,INDEX('CAMD Facility Data 2023'!$AE$2:$AG$10000,MATCH(Z1907,'CAMD Facility Data 2023'!$AE$2:$AE$10000,0),3),"")</f>
        <v/>
      </c>
      <c r="AD1907" s="20">
        <f t="shared" si="88"/>
        <v>0.43552591220315745</v>
      </c>
      <c r="AE1907" s="25">
        <f t="shared" si="89"/>
        <v>1.1661355265796617E-2</v>
      </c>
    </row>
    <row r="1908" spans="1:31" x14ac:dyDescent="0.2">
      <c r="A1908" s="1" t="s">
        <v>225</v>
      </c>
      <c r="B1908" s="1" t="s">
        <v>4519</v>
      </c>
      <c r="C1908" s="1">
        <v>7928</v>
      </c>
      <c r="D1908" s="1">
        <v>1</v>
      </c>
      <c r="F1908" s="1">
        <v>2023</v>
      </c>
      <c r="G1908" s="5">
        <v>909</v>
      </c>
      <c r="H1908" s="5">
        <v>807.85</v>
      </c>
      <c r="I1908" s="5">
        <v>44044.71</v>
      </c>
      <c r="K1908" s="5">
        <v>0.14599999999999999</v>
      </c>
      <c r="L1908" s="5">
        <v>1E-3</v>
      </c>
      <c r="M1908" s="5">
        <v>28986.955000000002</v>
      </c>
      <c r="N1908" s="6">
        <v>5.9200000000000003E-2</v>
      </c>
      <c r="O1908" s="5">
        <v>6.0570000000000004</v>
      </c>
      <c r="P1908" s="6">
        <v>2.4799999999999999E-2</v>
      </c>
      <c r="Q1908" s="5">
        <v>487771.158</v>
      </c>
      <c r="R1908" s="1" t="s">
        <v>44</v>
      </c>
      <c r="T1908" s="1" t="s">
        <v>93</v>
      </c>
      <c r="Y1908" s="1" t="s">
        <v>35</v>
      </c>
      <c r="Z1908" s="1" t="str">
        <f t="shared" si="87"/>
        <v>7928 1</v>
      </c>
      <c r="AA1908" s="3">
        <f>IF(INDEX('CAMD Facility Data 2023'!$AA$2:$AE$10000,MATCH(Z1908,'CAMD Facility Data 2023'!$AE$2:$AE$10000,0),1)&gt;0,INDEX('CAMD Facility Data 2023'!$AA$2:$AE$10000,MATCH(Z1908,'CAMD Facility Data 2023'!$AE$2:$AE$10000,0),1),"")</f>
        <v>37769</v>
      </c>
      <c r="AB1908" s="5">
        <f>IF(INDEX('CAMD Facility Data 2023'!$AC$2:$AE$10000,MATCH(Z1908,'CAMD Facility Data 2023'!$AE$2:$AE$10000,0),1)&gt;0,INDEX('CAMD Facility Data 2023'!$AC$2:$AE$10000,MATCH(Z1908,'CAMD Facility Data 2023'!$AE$2:$AE$10000,0),1),"")</f>
        <v>902</v>
      </c>
      <c r="AC1908" s="1" t="str">
        <f>IF(INDEX('CAMD Facility Data 2023'!$AE$2:$AG$10000,MATCH(Z1908,'CAMD Facility Data 2023'!$AE$2:$AE$10000,0),3)&gt;0,INDEX('CAMD Facility Data 2023'!$AE$2:$AG$10000,MATCH(Z1908,'CAMD Facility Data 2023'!$AE$2:$AE$10000,0),3),"")</f>
        <v/>
      </c>
      <c r="AD1908" s="20">
        <f t="shared" si="88"/>
        <v>0.27503870498863542</v>
      </c>
      <c r="AE1908" s="25">
        <f t="shared" si="89"/>
        <v>6.1731307140904537E-2</v>
      </c>
    </row>
    <row r="1909" spans="1:31" x14ac:dyDescent="0.2">
      <c r="A1909" s="1" t="s">
        <v>225</v>
      </c>
      <c r="B1909" s="1" t="s">
        <v>4522</v>
      </c>
      <c r="C1909" s="1">
        <v>7929</v>
      </c>
      <c r="D1909" s="1">
        <v>1</v>
      </c>
      <c r="F1909" s="1">
        <v>2023</v>
      </c>
      <c r="G1909" s="5">
        <v>1203</v>
      </c>
      <c r="H1909" s="5">
        <v>1078.97</v>
      </c>
      <c r="I1909" s="5">
        <v>60330.73</v>
      </c>
      <c r="K1909" s="5">
        <v>0.217</v>
      </c>
      <c r="L1909" s="5">
        <v>1E-3</v>
      </c>
      <c r="M1909" s="5">
        <v>42934.519</v>
      </c>
      <c r="N1909" s="6">
        <v>5.9299999999999999E-2</v>
      </c>
      <c r="O1909" s="5">
        <v>10.866</v>
      </c>
      <c r="P1909" s="6">
        <v>2.98E-2</v>
      </c>
      <c r="Q1909" s="5">
        <v>722455.02300000004</v>
      </c>
      <c r="R1909" s="1" t="s">
        <v>44</v>
      </c>
      <c r="T1909" s="1" t="s">
        <v>93</v>
      </c>
      <c r="V1909" s="1" t="s">
        <v>454</v>
      </c>
      <c r="Y1909" s="1" t="s">
        <v>35</v>
      </c>
      <c r="Z1909" s="1" t="str">
        <f t="shared" si="87"/>
        <v>7929 1</v>
      </c>
      <c r="AA1909" s="3">
        <f>IF(INDEX('CAMD Facility Data 2023'!$AA$2:$AE$10000,MATCH(Z1909,'CAMD Facility Data 2023'!$AE$2:$AE$10000,0),1)&gt;0,INDEX('CAMD Facility Data 2023'!$AA$2:$AE$10000,MATCH(Z1909,'CAMD Facility Data 2023'!$AE$2:$AE$10000,0),1),"")</f>
        <v>37706</v>
      </c>
      <c r="AB1909" s="5">
        <f>IF(INDEX('CAMD Facility Data 2023'!$AC$2:$AE$10000,MATCH(Z1909,'CAMD Facility Data 2023'!$AE$2:$AE$10000,0),1)&gt;0,INDEX('CAMD Facility Data 2023'!$AC$2:$AE$10000,MATCH(Z1909,'CAMD Facility Data 2023'!$AE$2:$AE$10000,0),1),"")</f>
        <v>975</v>
      </c>
      <c r="AC1909" s="1" t="str">
        <f>IF(INDEX('CAMD Facility Data 2023'!$AE$2:$AG$10000,MATCH(Z1909,'CAMD Facility Data 2023'!$AE$2:$AE$10000,0),3)&gt;0,INDEX('CAMD Facility Data 2023'!$AE$2:$AG$10000,MATCH(Z1909,'CAMD Facility Data 2023'!$AE$2:$AE$10000,0),3),"")</f>
        <v/>
      </c>
      <c r="AD1909" s="20">
        <f t="shared" si="88"/>
        <v>0.36021443798210295</v>
      </c>
      <c r="AE1909" s="25">
        <f t="shared" si="89"/>
        <v>8.458670214260626E-2</v>
      </c>
    </row>
    <row r="1910" spans="1:31" x14ac:dyDescent="0.2">
      <c r="A1910" s="1" t="s">
        <v>225</v>
      </c>
      <c r="B1910" s="1" t="s">
        <v>4522</v>
      </c>
      <c r="C1910" s="1">
        <v>7929</v>
      </c>
      <c r="D1910" s="1">
        <v>2</v>
      </c>
      <c r="F1910" s="1">
        <v>2023</v>
      </c>
      <c r="G1910" s="5">
        <v>1417</v>
      </c>
      <c r="H1910" s="5">
        <v>1286.2</v>
      </c>
      <c r="I1910" s="5">
        <v>71568.36</v>
      </c>
      <c r="K1910" s="5">
        <v>0.26</v>
      </c>
      <c r="L1910" s="5">
        <v>1E-3</v>
      </c>
      <c r="M1910" s="5">
        <v>51452.930999999997</v>
      </c>
      <c r="N1910" s="6">
        <v>5.9400000000000001E-2</v>
      </c>
      <c r="O1910" s="5">
        <v>13.78</v>
      </c>
      <c r="P1910" s="6">
        <v>3.1699999999999999E-2</v>
      </c>
      <c r="Q1910" s="5">
        <v>865775.71900000004</v>
      </c>
      <c r="R1910" s="1" t="s">
        <v>44</v>
      </c>
      <c r="T1910" s="1" t="s">
        <v>93</v>
      </c>
      <c r="V1910" s="1" t="s">
        <v>454</v>
      </c>
      <c r="Y1910" s="1" t="s">
        <v>35</v>
      </c>
      <c r="Z1910" s="1" t="str">
        <f t="shared" si="87"/>
        <v>7929 2</v>
      </c>
      <c r="AA1910" s="3">
        <f>IF(INDEX('CAMD Facility Data 2023'!$AA$2:$AE$10000,MATCH(Z1910,'CAMD Facility Data 2023'!$AE$2:$AE$10000,0),1)&gt;0,INDEX('CAMD Facility Data 2023'!$AA$2:$AE$10000,MATCH(Z1910,'CAMD Facility Data 2023'!$AE$2:$AE$10000,0),1),"")</f>
        <v>37721</v>
      </c>
      <c r="AB1910" s="5">
        <f>IF(INDEX('CAMD Facility Data 2023'!$AC$2:$AE$10000,MATCH(Z1910,'CAMD Facility Data 2023'!$AE$2:$AE$10000,0),1)&gt;0,INDEX('CAMD Facility Data 2023'!$AC$2:$AE$10000,MATCH(Z1910,'CAMD Facility Data 2023'!$AE$2:$AE$10000,0),1),"")</f>
        <v>975</v>
      </c>
      <c r="AC1910" s="1" t="str">
        <f>IF(INDEX('CAMD Facility Data 2023'!$AE$2:$AG$10000,MATCH(Z1910,'CAMD Facility Data 2023'!$AE$2:$AE$10000,0),3)&gt;0,INDEX('CAMD Facility Data 2023'!$AE$2:$AG$10000,MATCH(Z1910,'CAMD Facility Data 2023'!$AE$2:$AE$10000,0),3),"")</f>
        <v/>
      </c>
      <c r="AD1910" s="20">
        <f t="shared" si="88"/>
        <v>0.38508637056934097</v>
      </c>
      <c r="AE1910" s="25">
        <f t="shared" si="89"/>
        <v>0.10136702013815713</v>
      </c>
    </row>
    <row r="1911" spans="1:31" x14ac:dyDescent="0.2">
      <c r="A1911" s="1" t="s">
        <v>225</v>
      </c>
      <c r="B1911" s="1" t="s">
        <v>4522</v>
      </c>
      <c r="C1911" s="1">
        <v>7929</v>
      </c>
      <c r="D1911" s="1">
        <v>3</v>
      </c>
      <c r="F1911" s="1">
        <v>2023</v>
      </c>
      <c r="G1911" s="5">
        <v>1286</v>
      </c>
      <c r="H1911" s="5">
        <v>1171.18</v>
      </c>
      <c r="I1911" s="5">
        <v>68718.720000000001</v>
      </c>
      <c r="K1911" s="5">
        <v>0.24099999999999999</v>
      </c>
      <c r="L1911" s="5">
        <v>1E-3</v>
      </c>
      <c r="M1911" s="5">
        <v>47706.883999999998</v>
      </c>
      <c r="N1911" s="6">
        <v>5.8999999999999997E-2</v>
      </c>
      <c r="O1911" s="5">
        <v>11.852</v>
      </c>
      <c r="P1911" s="6">
        <v>2.9100000000000001E-2</v>
      </c>
      <c r="Q1911" s="5">
        <v>802747.174</v>
      </c>
      <c r="R1911" s="1" t="s">
        <v>44</v>
      </c>
      <c r="T1911" s="1" t="s">
        <v>93</v>
      </c>
      <c r="V1911" s="1" t="s">
        <v>454</v>
      </c>
      <c r="Y1911" s="1" t="s">
        <v>35</v>
      </c>
      <c r="Z1911" s="1" t="str">
        <f t="shared" si="87"/>
        <v>7929 3</v>
      </c>
      <c r="AA1911" s="3">
        <f>IF(INDEX('CAMD Facility Data 2023'!$AA$2:$AE$10000,MATCH(Z1911,'CAMD Facility Data 2023'!$AE$2:$AE$10000,0),1)&gt;0,INDEX('CAMD Facility Data 2023'!$AA$2:$AE$10000,MATCH(Z1911,'CAMD Facility Data 2023'!$AE$2:$AE$10000,0),1),"")</f>
        <v>37733</v>
      </c>
      <c r="AB1911" s="5">
        <f>IF(INDEX('CAMD Facility Data 2023'!$AC$2:$AE$10000,MATCH(Z1911,'CAMD Facility Data 2023'!$AE$2:$AE$10000,0),1)&gt;0,INDEX('CAMD Facility Data 2023'!$AC$2:$AE$10000,MATCH(Z1911,'CAMD Facility Data 2023'!$AE$2:$AE$10000,0),1),"")</f>
        <v>975</v>
      </c>
      <c r="AC1911" s="1" t="str">
        <f>IF(INDEX('CAMD Facility Data 2023'!$AE$2:$AG$10000,MATCH(Z1911,'CAMD Facility Data 2023'!$AE$2:$AE$10000,0),3)&gt;0,INDEX('CAMD Facility Data 2023'!$AE$2:$AG$10000,MATCH(Z1911,'CAMD Facility Data 2023'!$AE$2:$AE$10000,0),3),"")</f>
        <v/>
      </c>
      <c r="AD1911" s="20">
        <f t="shared" si="88"/>
        <v>0.34494239706443891</v>
      </c>
      <c r="AE1911" s="25">
        <f t="shared" si="89"/>
        <v>9.3987492565273389E-2</v>
      </c>
    </row>
    <row r="1912" spans="1:31" x14ac:dyDescent="0.2">
      <c r="A1912" s="1" t="s">
        <v>225</v>
      </c>
      <c r="B1912" s="1" t="s">
        <v>4522</v>
      </c>
      <c r="C1912" s="1">
        <v>7929</v>
      </c>
      <c r="D1912" s="1">
        <v>4</v>
      </c>
      <c r="F1912" s="1">
        <v>2023</v>
      </c>
      <c r="G1912" s="5">
        <v>1204</v>
      </c>
      <c r="H1912" s="5">
        <v>1089.82</v>
      </c>
      <c r="I1912" s="5">
        <v>61276.09</v>
      </c>
      <c r="K1912" s="5">
        <v>0.218</v>
      </c>
      <c r="L1912" s="5">
        <v>1E-3</v>
      </c>
      <c r="M1912" s="5">
        <v>43131.574999999997</v>
      </c>
      <c r="N1912" s="6">
        <v>5.9299999999999999E-2</v>
      </c>
      <c r="O1912" s="5">
        <v>11.097</v>
      </c>
      <c r="P1912" s="6">
        <v>3.0499999999999999E-2</v>
      </c>
      <c r="Q1912" s="5">
        <v>725787.30599999998</v>
      </c>
      <c r="R1912" s="1" t="s">
        <v>44</v>
      </c>
      <c r="T1912" s="1" t="s">
        <v>93</v>
      </c>
      <c r="V1912" s="1" t="s">
        <v>454</v>
      </c>
      <c r="Y1912" s="1" t="s">
        <v>35</v>
      </c>
      <c r="Z1912" s="1" t="str">
        <f t="shared" si="87"/>
        <v>7929 4</v>
      </c>
      <c r="AA1912" s="3">
        <f>IF(INDEX('CAMD Facility Data 2023'!$AA$2:$AE$10000,MATCH(Z1912,'CAMD Facility Data 2023'!$AE$2:$AE$10000,0),1)&gt;0,INDEX('CAMD Facility Data 2023'!$AA$2:$AE$10000,MATCH(Z1912,'CAMD Facility Data 2023'!$AE$2:$AE$10000,0),1),"")</f>
        <v>37740</v>
      </c>
      <c r="AB1912" s="5">
        <f>IF(INDEX('CAMD Facility Data 2023'!$AC$2:$AE$10000,MATCH(Z1912,'CAMD Facility Data 2023'!$AE$2:$AE$10000,0),1)&gt;0,INDEX('CAMD Facility Data 2023'!$AC$2:$AE$10000,MATCH(Z1912,'CAMD Facility Data 2023'!$AE$2:$AE$10000,0),1),"")</f>
        <v>975</v>
      </c>
      <c r="AC1912" s="1" t="str">
        <f>IF(INDEX('CAMD Facility Data 2023'!$AE$2:$AG$10000,MATCH(Z1912,'CAMD Facility Data 2023'!$AE$2:$AE$10000,0),3)&gt;0,INDEX('CAMD Facility Data 2023'!$AE$2:$AG$10000,MATCH(Z1912,'CAMD Facility Data 2023'!$AE$2:$AE$10000,0),3),"")</f>
        <v/>
      </c>
      <c r="AD1912" s="20">
        <f t="shared" si="88"/>
        <v>0.36219673938072749</v>
      </c>
      <c r="AE1912" s="25">
        <f t="shared" si="89"/>
        <v>8.4976853530031607E-2</v>
      </c>
    </row>
    <row r="1913" spans="1:31" x14ac:dyDescent="0.2">
      <c r="A1913" s="1" t="s">
        <v>921</v>
      </c>
      <c r="B1913" s="1" t="s">
        <v>4524</v>
      </c>
      <c r="C1913" s="1">
        <v>7946</v>
      </c>
      <c r="D1913" s="1" t="s">
        <v>4525</v>
      </c>
      <c r="F1913" s="1">
        <v>2023</v>
      </c>
      <c r="G1913" s="5">
        <v>6435</v>
      </c>
      <c r="H1913" s="5">
        <v>6305.09</v>
      </c>
      <c r="I1913" s="5">
        <v>984847.21</v>
      </c>
      <c r="K1913" s="5">
        <v>3.11</v>
      </c>
      <c r="L1913" s="5">
        <v>1E-3</v>
      </c>
      <c r="M1913" s="5">
        <v>615959.95499999996</v>
      </c>
      <c r="N1913" s="6">
        <v>5.8999999999999997E-2</v>
      </c>
      <c r="O1913" s="5">
        <v>63.091000000000001</v>
      </c>
      <c r="P1913" s="6">
        <v>1.4999999999999999E-2</v>
      </c>
      <c r="Q1913" s="5">
        <v>10364719.908</v>
      </c>
      <c r="R1913" s="1" t="s">
        <v>44</v>
      </c>
      <c r="T1913" s="1" t="s">
        <v>71</v>
      </c>
      <c r="V1913" s="1" t="s">
        <v>64</v>
      </c>
      <c r="Y1913" s="1" t="s">
        <v>952</v>
      </c>
      <c r="Z1913" s="1" t="str">
        <f t="shared" si="87"/>
        <v>7946 CT9A</v>
      </c>
      <c r="AA1913" s="3">
        <f>IF(INDEX('CAMD Facility Data 2023'!$AA$2:$AE$10000,MATCH(Z1913,'CAMD Facility Data 2023'!$AE$2:$AE$10000,0),1)&gt;0,INDEX('CAMD Facility Data 2023'!$AA$2:$AE$10000,MATCH(Z1913,'CAMD Facility Data 2023'!$AE$2:$AE$10000,0),1),"")</f>
        <v>38012</v>
      </c>
      <c r="AB1913" s="5">
        <f>IF(INDEX('CAMD Facility Data 2023'!$AC$2:$AE$10000,MATCH(Z1913,'CAMD Facility Data 2023'!$AE$2:$AE$10000,0),1)&gt;0,INDEX('CAMD Facility Data 2023'!$AC$2:$AE$10000,MATCH(Z1913,'CAMD Facility Data 2023'!$AE$2:$AE$10000,0),1),"")</f>
        <v>2150</v>
      </c>
      <c r="AC1913" s="1" t="str">
        <f>IF(INDEX('CAMD Facility Data 2023'!$AE$2:$AG$10000,MATCH(Z1913,'CAMD Facility Data 2023'!$AE$2:$AE$10000,0),3)&gt;0,INDEX('CAMD Facility Data 2023'!$AE$2:$AG$10000,MATCH(Z1913,'CAMD Facility Data 2023'!$AE$2:$AE$10000,0),3),"")</f>
        <v>Y</v>
      </c>
      <c r="AD1913" s="20">
        <f t="shared" si="88"/>
        <v>0.12812342738931048</v>
      </c>
      <c r="AE1913" s="25">
        <f t="shared" si="89"/>
        <v>0.55031962981841354</v>
      </c>
    </row>
    <row r="1914" spans="1:31" x14ac:dyDescent="0.2">
      <c r="A1914" s="1" t="s">
        <v>921</v>
      </c>
      <c r="B1914" s="1" t="s">
        <v>4524</v>
      </c>
      <c r="C1914" s="1">
        <v>7946</v>
      </c>
      <c r="D1914" s="1" t="s">
        <v>4528</v>
      </c>
      <c r="F1914" s="1">
        <v>2023</v>
      </c>
      <c r="G1914" s="5">
        <v>6540</v>
      </c>
      <c r="H1914" s="5">
        <v>6398.69</v>
      </c>
      <c r="I1914" s="5">
        <v>1013712.64</v>
      </c>
      <c r="K1914" s="5">
        <v>3.28</v>
      </c>
      <c r="L1914" s="5">
        <v>1E-3</v>
      </c>
      <c r="M1914" s="5">
        <v>649813.04700000002</v>
      </c>
      <c r="N1914" s="6">
        <v>5.8999999999999997E-2</v>
      </c>
      <c r="O1914" s="5">
        <v>67.007000000000005</v>
      </c>
      <c r="P1914" s="6">
        <v>1.5100000000000001E-2</v>
      </c>
      <c r="Q1914" s="5">
        <v>10934296.619000001</v>
      </c>
      <c r="R1914" s="1" t="s">
        <v>44</v>
      </c>
      <c r="T1914" s="1" t="s">
        <v>71</v>
      </c>
      <c r="V1914" s="1" t="s">
        <v>64</v>
      </c>
      <c r="Y1914" s="1" t="s">
        <v>952</v>
      </c>
      <c r="Z1914" s="1" t="str">
        <f t="shared" si="87"/>
        <v>7946 CT9B</v>
      </c>
      <c r="AA1914" s="3">
        <f>IF(INDEX('CAMD Facility Data 2023'!$AA$2:$AE$10000,MATCH(Z1914,'CAMD Facility Data 2023'!$AE$2:$AE$10000,0),1)&gt;0,INDEX('CAMD Facility Data 2023'!$AA$2:$AE$10000,MATCH(Z1914,'CAMD Facility Data 2023'!$AE$2:$AE$10000,0),1),"")</f>
        <v>38012</v>
      </c>
      <c r="AB1914" s="5">
        <f>IF(INDEX('CAMD Facility Data 2023'!$AC$2:$AE$10000,MATCH(Z1914,'CAMD Facility Data 2023'!$AE$2:$AE$10000,0),1)&gt;0,INDEX('CAMD Facility Data 2023'!$AC$2:$AE$10000,MATCH(Z1914,'CAMD Facility Data 2023'!$AE$2:$AE$10000,0),1),"")</f>
        <v>2150</v>
      </c>
      <c r="AC1914" s="1" t="str">
        <f>IF(INDEX('CAMD Facility Data 2023'!$AE$2:$AG$10000,MATCH(Z1914,'CAMD Facility Data 2023'!$AE$2:$AE$10000,0),3)&gt;0,INDEX('CAMD Facility Data 2023'!$AE$2:$AG$10000,MATCH(Z1914,'CAMD Facility Data 2023'!$AE$2:$AE$10000,0),3),"")</f>
        <v>Y</v>
      </c>
      <c r="AD1914" s="20">
        <f t="shared" si="88"/>
        <v>0.13220117290833031</v>
      </c>
      <c r="AE1914" s="25">
        <f t="shared" si="89"/>
        <v>0.58056157051077839</v>
      </c>
    </row>
    <row r="1915" spans="1:31" x14ac:dyDescent="0.2">
      <c r="A1915" s="1" t="s">
        <v>1663</v>
      </c>
      <c r="B1915" s="1" t="s">
        <v>4530</v>
      </c>
      <c r="C1915" s="1">
        <v>7947</v>
      </c>
      <c r="D1915" s="1">
        <v>1</v>
      </c>
      <c r="F1915" s="1">
        <v>2023</v>
      </c>
      <c r="G1915" s="5">
        <v>4800</v>
      </c>
      <c r="H1915" s="5">
        <v>4304.46</v>
      </c>
      <c r="I1915" s="5">
        <v>166462.41</v>
      </c>
      <c r="K1915" s="5">
        <v>0.49099999999999999</v>
      </c>
      <c r="L1915" s="5">
        <v>1E-3</v>
      </c>
      <c r="M1915" s="5">
        <v>97134.138000000006</v>
      </c>
      <c r="N1915" s="6">
        <v>5.9299999999999999E-2</v>
      </c>
      <c r="O1915" s="5">
        <v>125.428</v>
      </c>
      <c r="P1915" s="6">
        <v>0.1595</v>
      </c>
      <c r="Q1915" s="5">
        <v>1634282.6059999999</v>
      </c>
      <c r="R1915" s="1" t="s">
        <v>44</v>
      </c>
      <c r="S1915" s="1" t="s">
        <v>94</v>
      </c>
      <c r="T1915" s="1" t="s">
        <v>93</v>
      </c>
      <c r="V1915" s="1" t="s">
        <v>95</v>
      </c>
      <c r="Y1915" s="1" t="s">
        <v>1666</v>
      </c>
      <c r="Z1915" s="1" t="str">
        <f t="shared" si="87"/>
        <v>7947 1</v>
      </c>
      <c r="AA1915" s="3">
        <f>IF(INDEX('CAMD Facility Data 2023'!$AA$2:$AE$10000,MATCH(Z1915,'CAMD Facility Data 2023'!$AE$2:$AE$10000,0),1)&gt;0,INDEX('CAMD Facility Data 2023'!$AA$2:$AE$10000,MATCH(Z1915,'CAMD Facility Data 2023'!$AE$2:$AE$10000,0),1),"")</f>
        <v>37773</v>
      </c>
      <c r="AB1915" s="5">
        <f>IF(INDEX('CAMD Facility Data 2023'!$AC$2:$AE$10000,MATCH(Z1915,'CAMD Facility Data 2023'!$AE$2:$AE$10000,0),1)&gt;0,INDEX('CAMD Facility Data 2023'!$AC$2:$AE$10000,MATCH(Z1915,'CAMD Facility Data 2023'!$AE$2:$AE$10000,0),1),"")</f>
        <v>502.2</v>
      </c>
      <c r="AC1915" s="1" t="str">
        <f>IF(INDEX('CAMD Facility Data 2023'!$AE$2:$AG$10000,MATCH(Z1915,'CAMD Facility Data 2023'!$AE$2:$AE$10000,0),3)&gt;0,INDEX('CAMD Facility Data 2023'!$AE$2:$AG$10000,MATCH(Z1915,'CAMD Facility Data 2023'!$AE$2:$AE$10000,0),3),"")</f>
        <v/>
      </c>
      <c r="AD1915" s="20">
        <f t="shared" si="88"/>
        <v>1.5069828677837838</v>
      </c>
      <c r="AE1915" s="25">
        <f t="shared" si="89"/>
        <v>0.37148932959816988</v>
      </c>
    </row>
    <row r="1916" spans="1:31" x14ac:dyDescent="0.2">
      <c r="A1916" s="1" t="s">
        <v>1071</v>
      </c>
      <c r="B1916" s="1" t="s">
        <v>4534</v>
      </c>
      <c r="C1916" s="1">
        <v>7948</v>
      </c>
      <c r="D1916" s="1">
        <v>1</v>
      </c>
      <c r="F1916" s="1">
        <v>2023</v>
      </c>
      <c r="G1916" s="5">
        <v>434</v>
      </c>
      <c r="H1916" s="5">
        <v>371.01</v>
      </c>
      <c r="I1916" s="5">
        <v>9258.59</v>
      </c>
      <c r="K1916" s="5">
        <v>3.1E-2</v>
      </c>
      <c r="L1916" s="5">
        <v>1E-3</v>
      </c>
      <c r="M1916" s="5">
        <v>6099.6989999999996</v>
      </c>
      <c r="N1916" s="6">
        <v>5.9299999999999999E-2</v>
      </c>
      <c r="O1916" s="5">
        <v>4.4740000000000002</v>
      </c>
      <c r="P1916" s="6">
        <v>8.7099999999999997E-2</v>
      </c>
      <c r="Q1916" s="5">
        <v>102644.16099999999</v>
      </c>
      <c r="R1916" s="1" t="s">
        <v>44</v>
      </c>
      <c r="T1916" s="1" t="s">
        <v>93</v>
      </c>
      <c r="V1916" s="1" t="s">
        <v>95</v>
      </c>
      <c r="Y1916" s="1" t="s">
        <v>461</v>
      </c>
      <c r="Z1916" s="1" t="str">
        <f t="shared" si="87"/>
        <v>7948 1</v>
      </c>
      <c r="AA1916" s="3">
        <f>IF(INDEX('CAMD Facility Data 2023'!$AA$2:$AE$10000,MATCH(Z1916,'CAMD Facility Data 2023'!$AE$2:$AE$10000,0),1)&gt;0,INDEX('CAMD Facility Data 2023'!$AA$2:$AE$10000,MATCH(Z1916,'CAMD Facility Data 2023'!$AE$2:$AE$10000,0),1),"")</f>
        <v>38443</v>
      </c>
      <c r="AB1916" s="5">
        <f>IF(INDEX('CAMD Facility Data 2023'!$AC$2:$AE$10000,MATCH(Z1916,'CAMD Facility Data 2023'!$AE$2:$AE$10000,0),1)&gt;0,INDEX('CAMD Facility Data 2023'!$AC$2:$AE$10000,MATCH(Z1916,'CAMD Facility Data 2023'!$AE$2:$AE$10000,0),1),"")</f>
        <v>508</v>
      </c>
      <c r="AC1916" s="1" t="str">
        <f>IF(INDEX('CAMD Facility Data 2023'!$AE$2:$AG$10000,MATCH(Z1916,'CAMD Facility Data 2023'!$AE$2:$AE$10000,0),3)&gt;0,INDEX('CAMD Facility Data 2023'!$AE$2:$AG$10000,MATCH(Z1916,'CAMD Facility Data 2023'!$AE$2:$AE$10000,0),3),"")</f>
        <v/>
      </c>
      <c r="AD1916" s="20">
        <f t="shared" si="88"/>
        <v>0.96645385528465999</v>
      </c>
      <c r="AE1916" s="25">
        <f t="shared" si="89"/>
        <v>2.306568893143494E-2</v>
      </c>
    </row>
    <row r="1917" spans="1:31" x14ac:dyDescent="0.2">
      <c r="A1917" s="1" t="s">
        <v>1071</v>
      </c>
      <c r="B1917" s="1" t="s">
        <v>4534</v>
      </c>
      <c r="C1917" s="1">
        <v>7948</v>
      </c>
      <c r="D1917" s="1">
        <v>2</v>
      </c>
      <c r="F1917" s="1">
        <v>2023</v>
      </c>
      <c r="G1917" s="5">
        <v>393</v>
      </c>
      <c r="H1917" s="5">
        <v>337.02</v>
      </c>
      <c r="I1917" s="5">
        <v>8388.5</v>
      </c>
      <c r="K1917" s="5">
        <v>2.7E-2</v>
      </c>
      <c r="L1917" s="5">
        <v>1E-3</v>
      </c>
      <c r="M1917" s="5">
        <v>5309.7979999999998</v>
      </c>
      <c r="N1917" s="6">
        <v>5.9299999999999999E-2</v>
      </c>
      <c r="O1917" s="5">
        <v>3.5150000000000001</v>
      </c>
      <c r="P1917" s="6">
        <v>7.8200000000000006E-2</v>
      </c>
      <c r="Q1917" s="5">
        <v>89345.040999999997</v>
      </c>
      <c r="R1917" s="1" t="s">
        <v>44</v>
      </c>
      <c r="T1917" s="1" t="s">
        <v>93</v>
      </c>
      <c r="V1917" s="1" t="s">
        <v>95</v>
      </c>
      <c r="Y1917" s="1" t="s">
        <v>461</v>
      </c>
      <c r="Z1917" s="1" t="str">
        <f t="shared" si="87"/>
        <v>7948 2</v>
      </c>
      <c r="AA1917" s="3">
        <f>IF(INDEX('CAMD Facility Data 2023'!$AA$2:$AE$10000,MATCH(Z1917,'CAMD Facility Data 2023'!$AE$2:$AE$10000,0),1)&gt;0,INDEX('CAMD Facility Data 2023'!$AA$2:$AE$10000,MATCH(Z1917,'CAMD Facility Data 2023'!$AE$2:$AE$10000,0),1),"")</f>
        <v>38443</v>
      </c>
      <c r="AB1917" s="5">
        <f>IF(INDEX('CAMD Facility Data 2023'!$AC$2:$AE$10000,MATCH(Z1917,'CAMD Facility Data 2023'!$AE$2:$AE$10000,0),1)&gt;0,INDEX('CAMD Facility Data 2023'!$AC$2:$AE$10000,MATCH(Z1917,'CAMD Facility Data 2023'!$AE$2:$AE$10000,0),1),"")</f>
        <v>508</v>
      </c>
      <c r="AC1917" s="1" t="str">
        <f>IF(INDEX('CAMD Facility Data 2023'!$AE$2:$AG$10000,MATCH(Z1917,'CAMD Facility Data 2023'!$AE$2:$AE$10000,0),3)&gt;0,INDEX('CAMD Facility Data 2023'!$AE$2:$AG$10000,MATCH(Z1917,'CAMD Facility Data 2023'!$AE$2:$AE$10000,0),3),"")</f>
        <v/>
      </c>
      <c r="AD1917" s="20">
        <f t="shared" si="88"/>
        <v>0.83805209513023782</v>
      </c>
      <c r="AE1917" s="25">
        <f t="shared" si="89"/>
        <v>2.0077176365368713E-2</v>
      </c>
    </row>
    <row r="1918" spans="1:31" x14ac:dyDescent="0.2">
      <c r="A1918" s="1" t="s">
        <v>1071</v>
      </c>
      <c r="B1918" s="1" t="s">
        <v>4534</v>
      </c>
      <c r="C1918" s="1">
        <v>7948</v>
      </c>
      <c r="D1918" s="1">
        <v>3</v>
      </c>
      <c r="F1918" s="1">
        <v>2023</v>
      </c>
      <c r="G1918" s="5">
        <v>6</v>
      </c>
      <c r="H1918" s="5">
        <v>1.89</v>
      </c>
      <c r="I1918" s="5">
        <v>33.25</v>
      </c>
      <c r="K1918" s="5">
        <v>0</v>
      </c>
      <c r="L1918" s="5">
        <v>1E-3</v>
      </c>
      <c r="M1918" s="5">
        <v>24.815000000000001</v>
      </c>
      <c r="N1918" s="6">
        <v>5.9299999999999999E-2</v>
      </c>
      <c r="O1918" s="5">
        <v>1.9E-2</v>
      </c>
      <c r="P1918" s="6">
        <v>9.2499999999999999E-2</v>
      </c>
      <c r="Q1918" s="5">
        <v>418.04899999999998</v>
      </c>
      <c r="R1918" s="1" t="s">
        <v>44</v>
      </c>
      <c r="T1918" s="1" t="s">
        <v>93</v>
      </c>
      <c r="V1918" s="1" t="s">
        <v>95</v>
      </c>
      <c r="Y1918" s="1" t="s">
        <v>461</v>
      </c>
      <c r="Z1918" s="1" t="str">
        <f t="shared" si="87"/>
        <v>7948 3</v>
      </c>
      <c r="AA1918" s="3">
        <f>IF(INDEX('CAMD Facility Data 2023'!$AA$2:$AE$10000,MATCH(Z1918,'CAMD Facility Data 2023'!$AE$2:$AE$10000,0),1)&gt;0,INDEX('CAMD Facility Data 2023'!$AA$2:$AE$10000,MATCH(Z1918,'CAMD Facility Data 2023'!$AE$2:$AE$10000,0),1),"")</f>
        <v>38430</v>
      </c>
      <c r="AB1918" s="5">
        <f>IF(INDEX('CAMD Facility Data 2023'!$AC$2:$AE$10000,MATCH(Z1918,'CAMD Facility Data 2023'!$AE$2:$AE$10000,0),1)&gt;0,INDEX('CAMD Facility Data 2023'!$AC$2:$AE$10000,MATCH(Z1918,'CAMD Facility Data 2023'!$AE$2:$AE$10000,0),1),"")</f>
        <v>508</v>
      </c>
      <c r="AC1918" s="1" t="str">
        <f>IF(INDEX('CAMD Facility Data 2023'!$AE$2:$AG$10000,MATCH(Z1918,'CAMD Facility Data 2023'!$AE$2:$AE$10000,0),3)&gt;0,INDEX('CAMD Facility Data 2023'!$AE$2:$AG$10000,MATCH(Z1918,'CAMD Facility Data 2023'!$AE$2:$AE$10000,0),3),"")</f>
        <v/>
      </c>
      <c r="AD1918" s="20">
        <f t="shared" si="88"/>
        <v>1.1428571428571428</v>
      </c>
      <c r="AE1918" s="25">
        <f t="shared" si="89"/>
        <v>9.394190666235213E-5</v>
      </c>
    </row>
    <row r="1919" spans="1:31" x14ac:dyDescent="0.2">
      <c r="A1919" s="1" t="s">
        <v>1071</v>
      </c>
      <c r="B1919" s="1" t="s">
        <v>4534</v>
      </c>
      <c r="C1919" s="1">
        <v>7948</v>
      </c>
      <c r="D1919" s="1">
        <v>4</v>
      </c>
      <c r="F1919" s="1">
        <v>2023</v>
      </c>
      <c r="G1919" s="5">
        <v>368</v>
      </c>
      <c r="H1919" s="5">
        <v>314.41000000000003</v>
      </c>
      <c r="I1919" s="5">
        <v>7849.03</v>
      </c>
      <c r="K1919" s="5">
        <v>2.5999999999999999E-2</v>
      </c>
      <c r="L1919" s="5">
        <v>1E-3</v>
      </c>
      <c r="M1919" s="5">
        <v>5236.6390000000001</v>
      </c>
      <c r="N1919" s="6">
        <v>5.9299999999999999E-2</v>
      </c>
      <c r="O1919" s="5">
        <v>3.9740000000000002</v>
      </c>
      <c r="P1919" s="6">
        <v>9.1600000000000001E-2</v>
      </c>
      <c r="Q1919" s="5">
        <v>88121.457999999999</v>
      </c>
      <c r="R1919" s="1" t="s">
        <v>44</v>
      </c>
      <c r="T1919" s="1" t="s">
        <v>93</v>
      </c>
      <c r="V1919" s="1" t="s">
        <v>95</v>
      </c>
      <c r="Y1919" s="1" t="s">
        <v>461</v>
      </c>
      <c r="Z1919" s="1" t="str">
        <f t="shared" si="87"/>
        <v>7948 4</v>
      </c>
      <c r="AA1919" s="3">
        <f>IF(INDEX('CAMD Facility Data 2023'!$AA$2:$AE$10000,MATCH(Z1919,'CAMD Facility Data 2023'!$AE$2:$AE$10000,0),1)&gt;0,INDEX('CAMD Facility Data 2023'!$AA$2:$AE$10000,MATCH(Z1919,'CAMD Facility Data 2023'!$AE$2:$AE$10000,0),1),"")</f>
        <v>38413</v>
      </c>
      <c r="AB1919" s="5">
        <f>IF(INDEX('CAMD Facility Data 2023'!$AC$2:$AE$10000,MATCH(Z1919,'CAMD Facility Data 2023'!$AE$2:$AE$10000,0),1)&gt;0,INDEX('CAMD Facility Data 2023'!$AC$2:$AE$10000,MATCH(Z1919,'CAMD Facility Data 2023'!$AE$2:$AE$10000,0),1),"")</f>
        <v>508</v>
      </c>
      <c r="AC1919" s="1" t="str">
        <f>IF(INDEX('CAMD Facility Data 2023'!$AE$2:$AG$10000,MATCH(Z1919,'CAMD Facility Data 2023'!$AE$2:$AE$10000,0),3)&gt;0,INDEX('CAMD Facility Data 2023'!$AE$2:$AG$10000,MATCH(Z1919,'CAMD Facility Data 2023'!$AE$2:$AE$10000,0),3),"")</f>
        <v/>
      </c>
      <c r="AD1919" s="20">
        <f t="shared" si="88"/>
        <v>1.0126092013917645</v>
      </c>
      <c r="AE1919" s="25">
        <f t="shared" si="89"/>
        <v>1.9802218836515298E-2</v>
      </c>
    </row>
    <row r="1920" spans="1:31" x14ac:dyDescent="0.2">
      <c r="A1920" s="1" t="s">
        <v>1071</v>
      </c>
      <c r="B1920" s="1" t="s">
        <v>4534</v>
      </c>
      <c r="C1920" s="1">
        <v>7948</v>
      </c>
      <c r="D1920" s="1">
        <v>5</v>
      </c>
      <c r="F1920" s="1">
        <v>2023</v>
      </c>
      <c r="G1920" s="5">
        <v>413</v>
      </c>
      <c r="H1920" s="5">
        <v>354.87</v>
      </c>
      <c r="I1920" s="5">
        <v>8879.7999999999993</v>
      </c>
      <c r="K1920" s="5">
        <v>2.8000000000000001E-2</v>
      </c>
      <c r="L1920" s="5">
        <v>1E-3</v>
      </c>
      <c r="M1920" s="5">
        <v>5602.11</v>
      </c>
      <c r="N1920" s="6">
        <v>5.9299999999999999E-2</v>
      </c>
      <c r="O1920" s="5">
        <v>4.0540000000000003</v>
      </c>
      <c r="P1920" s="6">
        <v>8.5900000000000004E-2</v>
      </c>
      <c r="Q1920" s="5">
        <v>94264.84</v>
      </c>
      <c r="R1920" s="1" t="s">
        <v>44</v>
      </c>
      <c r="T1920" s="1" t="s">
        <v>93</v>
      </c>
      <c r="V1920" s="1" t="s">
        <v>95</v>
      </c>
      <c r="Y1920" s="1" t="s">
        <v>461</v>
      </c>
      <c r="Z1920" s="1" t="str">
        <f t="shared" si="87"/>
        <v>7948 5</v>
      </c>
      <c r="AA1920" s="3">
        <f>IF(INDEX('CAMD Facility Data 2023'!$AA$2:$AE$10000,MATCH(Z1920,'CAMD Facility Data 2023'!$AE$2:$AE$10000,0),1)&gt;0,INDEX('CAMD Facility Data 2023'!$AA$2:$AE$10000,MATCH(Z1920,'CAMD Facility Data 2023'!$AE$2:$AE$10000,0),1),"")</f>
        <v>38404</v>
      </c>
      <c r="AB1920" s="5">
        <f>IF(INDEX('CAMD Facility Data 2023'!$AC$2:$AE$10000,MATCH(Z1920,'CAMD Facility Data 2023'!$AE$2:$AE$10000,0),1)&gt;0,INDEX('CAMD Facility Data 2023'!$AC$2:$AE$10000,MATCH(Z1920,'CAMD Facility Data 2023'!$AE$2:$AE$10000,0),1),"")</f>
        <v>508</v>
      </c>
      <c r="AC1920" s="1" t="str">
        <f>IF(INDEX('CAMD Facility Data 2023'!$AE$2:$AG$10000,MATCH(Z1920,'CAMD Facility Data 2023'!$AE$2:$AE$10000,0),3)&gt;0,INDEX('CAMD Facility Data 2023'!$AE$2:$AG$10000,MATCH(Z1920,'CAMD Facility Data 2023'!$AE$2:$AE$10000,0),3),"")</f>
        <v/>
      </c>
      <c r="AD1920" s="20">
        <f t="shared" si="88"/>
        <v>0.91308362800964005</v>
      </c>
      <c r="AE1920" s="25">
        <f t="shared" si="89"/>
        <v>2.118272929924855E-2</v>
      </c>
    </row>
    <row r="1921" spans="1:31" x14ac:dyDescent="0.2">
      <c r="A1921" s="1" t="s">
        <v>1071</v>
      </c>
      <c r="B1921" s="1" t="s">
        <v>4534</v>
      </c>
      <c r="C1921" s="1">
        <v>7948</v>
      </c>
      <c r="D1921" s="1">
        <v>6</v>
      </c>
      <c r="F1921" s="1">
        <v>2023</v>
      </c>
      <c r="G1921" s="5">
        <v>428</v>
      </c>
      <c r="H1921" s="5">
        <v>364.94</v>
      </c>
      <c r="I1921" s="5">
        <v>8934.8700000000008</v>
      </c>
      <c r="K1921" s="5">
        <v>3.1E-2</v>
      </c>
      <c r="L1921" s="5">
        <v>1E-3</v>
      </c>
      <c r="M1921" s="5">
        <v>6172.942</v>
      </c>
      <c r="N1921" s="6">
        <v>5.9299999999999999E-2</v>
      </c>
      <c r="O1921" s="5">
        <v>4.5060000000000002</v>
      </c>
      <c r="P1921" s="6">
        <v>8.5699999999999998E-2</v>
      </c>
      <c r="Q1921" s="5">
        <v>103860.49800000001</v>
      </c>
      <c r="R1921" s="1" t="s">
        <v>44</v>
      </c>
      <c r="T1921" s="1" t="s">
        <v>93</v>
      </c>
      <c r="V1921" s="1" t="s">
        <v>95</v>
      </c>
      <c r="Y1921" s="1" t="s">
        <v>461</v>
      </c>
      <c r="Z1921" s="1" t="str">
        <f t="shared" si="87"/>
        <v>7948 6</v>
      </c>
      <c r="AA1921" s="3">
        <f>IF(INDEX('CAMD Facility Data 2023'!$AA$2:$AE$10000,MATCH(Z1921,'CAMD Facility Data 2023'!$AE$2:$AE$10000,0),1)&gt;0,INDEX('CAMD Facility Data 2023'!$AA$2:$AE$10000,MATCH(Z1921,'CAMD Facility Data 2023'!$AE$2:$AE$10000,0),1),"")</f>
        <v>38395</v>
      </c>
      <c r="AB1921" s="5">
        <f>IF(INDEX('CAMD Facility Data 2023'!$AC$2:$AE$10000,MATCH(Z1921,'CAMD Facility Data 2023'!$AE$2:$AE$10000,0),1)&gt;0,INDEX('CAMD Facility Data 2023'!$AC$2:$AE$10000,MATCH(Z1921,'CAMD Facility Data 2023'!$AE$2:$AE$10000,0),1),"")</f>
        <v>508</v>
      </c>
      <c r="AC1921" s="1" t="str">
        <f>IF(INDEX('CAMD Facility Data 2023'!$AE$2:$AG$10000,MATCH(Z1921,'CAMD Facility Data 2023'!$AE$2:$AE$10000,0),3)&gt;0,INDEX('CAMD Facility Data 2023'!$AE$2:$AG$10000,MATCH(Z1921,'CAMD Facility Data 2023'!$AE$2:$AE$10000,0),3),"")</f>
        <v/>
      </c>
      <c r="AD1921" s="20">
        <f t="shared" si="88"/>
        <v>1.0086324703101444</v>
      </c>
      <c r="AE1921" s="25">
        <f t="shared" si="89"/>
        <v>2.3339018174954158E-2</v>
      </c>
    </row>
    <row r="1922" spans="1:31" x14ac:dyDescent="0.2">
      <c r="A1922" s="1" t="s">
        <v>4118</v>
      </c>
      <c r="B1922" s="1" t="s">
        <v>4538</v>
      </c>
      <c r="C1922" s="1">
        <v>7953</v>
      </c>
      <c r="D1922" s="1" t="s">
        <v>311</v>
      </c>
      <c r="F1922" s="1">
        <v>2023</v>
      </c>
      <c r="G1922" s="5">
        <v>3418</v>
      </c>
      <c r="H1922" s="5">
        <v>3314.32</v>
      </c>
      <c r="I1922" s="5">
        <v>492905.84</v>
      </c>
      <c r="K1922" s="5">
        <v>1.5629999999999999</v>
      </c>
      <c r="L1922" s="5">
        <v>1E-3</v>
      </c>
      <c r="M1922" s="5">
        <v>309676.15000000002</v>
      </c>
      <c r="N1922" s="6">
        <v>5.8999999999999997E-2</v>
      </c>
      <c r="O1922" s="5">
        <v>92.524000000000001</v>
      </c>
      <c r="P1922" s="6">
        <v>3.9800000000000002E-2</v>
      </c>
      <c r="Q1922" s="5">
        <v>5210851.034</v>
      </c>
      <c r="R1922" s="1" t="s">
        <v>44</v>
      </c>
      <c r="T1922" s="1" t="s">
        <v>93</v>
      </c>
      <c r="V1922" s="1" t="s">
        <v>140</v>
      </c>
      <c r="Y1922" s="1" t="s">
        <v>247</v>
      </c>
      <c r="Z1922" s="1" t="str">
        <f t="shared" si="87"/>
        <v>7953 CT1</v>
      </c>
      <c r="AA1922" s="3">
        <f>IF(INDEX('CAMD Facility Data 2023'!$AA$2:$AE$10000,MATCH(Z1922,'CAMD Facility Data 2023'!$AE$2:$AE$10000,0),1)&gt;0,INDEX('CAMD Facility Data 2023'!$AA$2:$AE$10000,MATCH(Z1922,'CAMD Facility Data 2023'!$AE$2:$AE$10000,0),1),"")</f>
        <v>39500</v>
      </c>
      <c r="AB1922" s="5">
        <f>IF(INDEX('CAMD Facility Data 2023'!$AC$2:$AE$10000,MATCH(Z1922,'CAMD Facility Data 2023'!$AE$2:$AE$10000,0),1)&gt;0,INDEX('CAMD Facility Data 2023'!$AC$2:$AE$10000,MATCH(Z1922,'CAMD Facility Data 2023'!$AE$2:$AE$10000,0),1),"")</f>
        <v>2250</v>
      </c>
      <c r="AC1922" s="1" t="str">
        <f>IF(INDEX('CAMD Facility Data 2023'!$AE$2:$AG$10000,MATCH(Z1922,'CAMD Facility Data 2023'!$AE$2:$AE$10000,0),3)&gt;0,INDEX('CAMD Facility Data 2023'!$AE$2:$AG$10000,MATCH(Z1922,'CAMD Facility Data 2023'!$AE$2:$AE$10000,0),3),"")</f>
        <v/>
      </c>
      <c r="AD1922" s="20">
        <f t="shared" si="88"/>
        <v>0.37542261621408257</v>
      </c>
      <c r="AE1922" s="25">
        <f t="shared" si="89"/>
        <v>0.26437600375443937</v>
      </c>
    </row>
    <row r="1923" spans="1:31" x14ac:dyDescent="0.2">
      <c r="A1923" s="1" t="s">
        <v>4118</v>
      </c>
      <c r="B1923" s="1" t="s">
        <v>4538</v>
      </c>
      <c r="C1923" s="1">
        <v>7953</v>
      </c>
      <c r="D1923" s="1" t="s">
        <v>98</v>
      </c>
      <c r="F1923" s="1">
        <v>2023</v>
      </c>
      <c r="G1923" s="5">
        <v>1033</v>
      </c>
      <c r="H1923" s="5">
        <v>956.43</v>
      </c>
      <c r="I1923" s="5">
        <v>39704.15</v>
      </c>
      <c r="K1923" s="5">
        <v>0.13700000000000001</v>
      </c>
      <c r="L1923" s="5">
        <v>1E-3</v>
      </c>
      <c r="M1923" s="5">
        <v>27224.89</v>
      </c>
      <c r="N1923" s="6">
        <v>5.9200000000000003E-2</v>
      </c>
      <c r="O1923" s="5">
        <v>18.664999999999999</v>
      </c>
      <c r="P1923" s="6">
        <v>8.8099999999999998E-2</v>
      </c>
      <c r="Q1923" s="5">
        <v>458120.99800000002</v>
      </c>
      <c r="R1923" s="1" t="s">
        <v>44</v>
      </c>
      <c r="T1923" s="1" t="s">
        <v>93</v>
      </c>
      <c r="V1923" s="1" t="s">
        <v>140</v>
      </c>
      <c r="Y1923" s="1" t="s">
        <v>247</v>
      </c>
      <c r="Z1923" s="1" t="str">
        <f t="shared" ref="Z1923:Z1986" si="90">C1923&amp;" "&amp;D1923</f>
        <v>7953 CT2</v>
      </c>
      <c r="AA1923" s="3">
        <f>IF(INDEX('CAMD Facility Data 2023'!$AA$2:$AE$10000,MATCH(Z1923,'CAMD Facility Data 2023'!$AE$2:$AE$10000,0),1)&gt;0,INDEX('CAMD Facility Data 2023'!$AA$2:$AE$10000,MATCH(Z1923,'CAMD Facility Data 2023'!$AE$2:$AE$10000,0),1),"")</f>
        <v>37159</v>
      </c>
      <c r="AB1923" s="5">
        <f>IF(INDEX('CAMD Facility Data 2023'!$AC$2:$AE$10000,MATCH(Z1923,'CAMD Facility Data 2023'!$AE$2:$AE$10000,0),1)&gt;0,INDEX('CAMD Facility Data 2023'!$AC$2:$AE$10000,MATCH(Z1923,'CAMD Facility Data 2023'!$AE$2:$AE$10000,0),1),"")</f>
        <v>750</v>
      </c>
      <c r="AC1923" s="1" t="str">
        <f>IF(INDEX('CAMD Facility Data 2023'!$AE$2:$AG$10000,MATCH(Z1923,'CAMD Facility Data 2023'!$AE$2:$AE$10000,0),3)&gt;0,INDEX('CAMD Facility Data 2023'!$AE$2:$AG$10000,MATCH(Z1923,'CAMD Facility Data 2023'!$AE$2:$AE$10000,0),3),"")</f>
        <v/>
      </c>
      <c r="AD1923" s="20">
        <f t="shared" ref="AD1923:AD1986" si="91">IF(ISNUMBER(O1923*2000/I1923),O1923*2000/I1923,"")</f>
        <v>0.94020398371454872</v>
      </c>
      <c r="AE1923" s="25">
        <f t="shared" ref="AE1923:AE1986" si="92">Q1923/(AB1923*8760)</f>
        <v>6.9729223439878238E-2</v>
      </c>
    </row>
    <row r="1924" spans="1:31" x14ac:dyDescent="0.2">
      <c r="A1924" s="1" t="s">
        <v>4118</v>
      </c>
      <c r="B1924" s="1" t="s">
        <v>4538</v>
      </c>
      <c r="C1924" s="1">
        <v>7953</v>
      </c>
      <c r="D1924" s="1" t="s">
        <v>101</v>
      </c>
      <c r="F1924" s="1">
        <v>2023</v>
      </c>
      <c r="G1924" s="5">
        <v>1073</v>
      </c>
      <c r="H1924" s="5">
        <v>984.16</v>
      </c>
      <c r="I1924" s="5">
        <v>38722.78</v>
      </c>
      <c r="K1924" s="5">
        <v>0.14000000000000001</v>
      </c>
      <c r="L1924" s="5">
        <v>1E-3</v>
      </c>
      <c r="M1924" s="5">
        <v>27810.129000000001</v>
      </c>
      <c r="N1924" s="6">
        <v>5.91E-2</v>
      </c>
      <c r="O1924" s="5">
        <v>22.7</v>
      </c>
      <c r="P1924" s="6">
        <v>0.1028</v>
      </c>
      <c r="Q1924" s="5">
        <v>467960.18</v>
      </c>
      <c r="R1924" s="1" t="s">
        <v>44</v>
      </c>
      <c r="T1924" s="1" t="s">
        <v>93</v>
      </c>
      <c r="V1924" s="1" t="s">
        <v>140</v>
      </c>
      <c r="Y1924" s="1" t="s">
        <v>247</v>
      </c>
      <c r="Z1924" s="1" t="str">
        <f t="shared" si="90"/>
        <v>7953 CT3</v>
      </c>
      <c r="AA1924" s="3">
        <f>IF(INDEX('CAMD Facility Data 2023'!$AA$2:$AE$10000,MATCH(Z1924,'CAMD Facility Data 2023'!$AE$2:$AE$10000,0),1)&gt;0,INDEX('CAMD Facility Data 2023'!$AA$2:$AE$10000,MATCH(Z1924,'CAMD Facility Data 2023'!$AE$2:$AE$10000,0),1),"")</f>
        <v>37164</v>
      </c>
      <c r="AB1924" s="5">
        <f>IF(INDEX('CAMD Facility Data 2023'!$AC$2:$AE$10000,MATCH(Z1924,'CAMD Facility Data 2023'!$AE$2:$AE$10000,0),1)&gt;0,INDEX('CAMD Facility Data 2023'!$AC$2:$AE$10000,MATCH(Z1924,'CAMD Facility Data 2023'!$AE$2:$AE$10000,0),1),"")</f>
        <v>750</v>
      </c>
      <c r="AC1924" s="1" t="str">
        <f>IF(INDEX('CAMD Facility Data 2023'!$AE$2:$AG$10000,MATCH(Z1924,'CAMD Facility Data 2023'!$AE$2:$AE$10000,0),3)&gt;0,INDEX('CAMD Facility Data 2023'!$AE$2:$AG$10000,MATCH(Z1924,'CAMD Facility Data 2023'!$AE$2:$AE$10000,0),3),"")</f>
        <v/>
      </c>
      <c r="AD1924" s="20">
        <f t="shared" si="91"/>
        <v>1.1724364831244038</v>
      </c>
      <c r="AE1924" s="25">
        <f t="shared" si="92"/>
        <v>7.1226815829528153E-2</v>
      </c>
    </row>
    <row r="1925" spans="1:31" x14ac:dyDescent="0.2">
      <c r="A1925" s="1" t="s">
        <v>1732</v>
      </c>
      <c r="B1925" s="1" t="s">
        <v>4546</v>
      </c>
      <c r="C1925" s="1">
        <v>7960</v>
      </c>
      <c r="D1925" s="1" t="s">
        <v>4547</v>
      </c>
      <c r="F1925" s="1">
        <v>2023</v>
      </c>
      <c r="G1925" s="5">
        <v>231</v>
      </c>
      <c r="H1925" s="5">
        <v>201.71</v>
      </c>
      <c r="I1925" s="5">
        <v>12850.84</v>
      </c>
      <c r="K1925" s="5">
        <v>0.377</v>
      </c>
      <c r="L1925" s="5">
        <v>2.5000000000000001E-3</v>
      </c>
      <c r="M1925" s="5">
        <v>10414.112999999999</v>
      </c>
      <c r="N1925" s="6">
        <v>5.9799999999999999E-2</v>
      </c>
      <c r="O1925" s="5">
        <v>3.4929999999999999</v>
      </c>
      <c r="P1925" s="6">
        <v>4.1200000000000001E-2</v>
      </c>
      <c r="Q1925" s="5">
        <v>170192.99600000001</v>
      </c>
      <c r="R1925" s="1" t="s">
        <v>44</v>
      </c>
      <c r="S1925" s="1" t="s">
        <v>94</v>
      </c>
      <c r="T1925" s="1" t="s">
        <v>93</v>
      </c>
      <c r="V1925" s="1" t="s">
        <v>183</v>
      </c>
      <c r="Y1925" s="1" t="s">
        <v>346</v>
      </c>
      <c r="Z1925" s="1" t="str">
        <f t="shared" si="90"/>
        <v>7960 KCT1</v>
      </c>
      <c r="AA1925" s="3">
        <f>IF(INDEX('CAMD Facility Data 2023'!$AA$2:$AE$10000,MATCH(Z1925,'CAMD Facility Data 2023'!$AE$2:$AE$10000,0),1)&gt;0,INDEX('CAMD Facility Data 2023'!$AA$2:$AE$10000,MATCH(Z1925,'CAMD Facility Data 2023'!$AE$2:$AE$10000,0),1),"")</f>
        <v>37364</v>
      </c>
      <c r="AB1925" s="5">
        <f>IF(INDEX('CAMD Facility Data 2023'!$AC$2:$AE$10000,MATCH(Z1925,'CAMD Facility Data 2023'!$AE$2:$AE$10000,0),1)&gt;0,INDEX('CAMD Facility Data 2023'!$AC$2:$AE$10000,MATCH(Z1925,'CAMD Facility Data 2023'!$AE$2:$AE$10000,0),1),"")</f>
        <v>1092.5</v>
      </c>
      <c r="AC1925" s="1" t="str">
        <f>IF(INDEX('CAMD Facility Data 2023'!$AE$2:$AG$10000,MATCH(Z1925,'CAMD Facility Data 2023'!$AE$2:$AE$10000,0),3)&gt;0,INDEX('CAMD Facility Data 2023'!$AE$2:$AG$10000,MATCH(Z1925,'CAMD Facility Data 2023'!$AE$2:$AE$10000,0),3),"")</f>
        <v/>
      </c>
      <c r="AD1925" s="20">
        <f t="shared" si="91"/>
        <v>0.54362205116552687</v>
      </c>
      <c r="AE1925" s="25">
        <f t="shared" si="92"/>
        <v>1.7783454646144847E-2</v>
      </c>
    </row>
    <row r="1926" spans="1:31" x14ac:dyDescent="0.2">
      <c r="A1926" s="1" t="s">
        <v>1732</v>
      </c>
      <c r="B1926" s="1" t="s">
        <v>4546</v>
      </c>
      <c r="C1926" s="1">
        <v>7960</v>
      </c>
      <c r="D1926" s="1" t="s">
        <v>4550</v>
      </c>
      <c r="F1926" s="1">
        <v>2023</v>
      </c>
      <c r="G1926" s="5">
        <v>286</v>
      </c>
      <c r="H1926" s="5">
        <v>248.01</v>
      </c>
      <c r="I1926" s="5">
        <v>16319.84</v>
      </c>
      <c r="K1926" s="5">
        <v>6.0999999999999999E-2</v>
      </c>
      <c r="L1926" s="5">
        <v>1E-3</v>
      </c>
      <c r="M1926" s="5">
        <v>12055.986999999999</v>
      </c>
      <c r="N1926" s="6">
        <v>5.91E-2</v>
      </c>
      <c r="O1926" s="5">
        <v>2.7690000000000001</v>
      </c>
      <c r="P1926" s="6">
        <v>3.2300000000000002E-2</v>
      </c>
      <c r="Q1926" s="5">
        <v>202859.96599999999</v>
      </c>
      <c r="R1926" s="1" t="s">
        <v>44</v>
      </c>
      <c r="S1926" s="1" t="s">
        <v>94</v>
      </c>
      <c r="T1926" s="1" t="s">
        <v>93</v>
      </c>
      <c r="V1926" s="1" t="s">
        <v>183</v>
      </c>
      <c r="Y1926" s="1" t="s">
        <v>346</v>
      </c>
      <c r="Z1926" s="1" t="str">
        <f t="shared" si="90"/>
        <v>7960 KCT2</v>
      </c>
      <c r="AA1926" s="3">
        <f>IF(INDEX('CAMD Facility Data 2023'!$AA$2:$AE$10000,MATCH(Z1926,'CAMD Facility Data 2023'!$AE$2:$AE$10000,0),1)&gt;0,INDEX('CAMD Facility Data 2023'!$AA$2:$AE$10000,MATCH(Z1926,'CAMD Facility Data 2023'!$AE$2:$AE$10000,0),1),"")</f>
        <v>37364</v>
      </c>
      <c r="AB1926" s="5">
        <f>IF(INDEX('CAMD Facility Data 2023'!$AC$2:$AE$10000,MATCH(Z1926,'CAMD Facility Data 2023'!$AE$2:$AE$10000,0),1)&gt;0,INDEX('CAMD Facility Data 2023'!$AC$2:$AE$10000,MATCH(Z1926,'CAMD Facility Data 2023'!$AE$2:$AE$10000,0),1),"")</f>
        <v>1096.8</v>
      </c>
      <c r="AC1926" s="1" t="str">
        <f>IF(INDEX('CAMD Facility Data 2023'!$AE$2:$AG$10000,MATCH(Z1926,'CAMD Facility Data 2023'!$AE$2:$AE$10000,0),3)&gt;0,INDEX('CAMD Facility Data 2023'!$AE$2:$AG$10000,MATCH(Z1926,'CAMD Facility Data 2023'!$AE$2:$AE$10000,0),3),"")</f>
        <v/>
      </c>
      <c r="AD1926" s="20">
        <f t="shared" si="91"/>
        <v>0.33934156217217815</v>
      </c>
      <c r="AE1926" s="25">
        <f t="shared" si="92"/>
        <v>2.1113722069016048E-2</v>
      </c>
    </row>
    <row r="1927" spans="1:31" x14ac:dyDescent="0.2">
      <c r="A1927" s="1" t="s">
        <v>1732</v>
      </c>
      <c r="B1927" s="1" t="s">
        <v>4546</v>
      </c>
      <c r="C1927" s="1">
        <v>7960</v>
      </c>
      <c r="D1927" s="1" t="s">
        <v>4551</v>
      </c>
      <c r="F1927" s="1">
        <v>2023</v>
      </c>
      <c r="G1927" s="5">
        <v>286</v>
      </c>
      <c r="H1927" s="5">
        <v>246.25</v>
      </c>
      <c r="I1927" s="5">
        <v>16266.77</v>
      </c>
      <c r="K1927" s="5">
        <v>6.0999999999999999E-2</v>
      </c>
      <c r="L1927" s="5">
        <v>1E-3</v>
      </c>
      <c r="M1927" s="5">
        <v>12105.438</v>
      </c>
      <c r="N1927" s="6">
        <v>5.91E-2</v>
      </c>
      <c r="O1927" s="5">
        <v>2.976</v>
      </c>
      <c r="P1927" s="6">
        <v>3.3300000000000003E-2</v>
      </c>
      <c r="Q1927" s="5">
        <v>203701.565</v>
      </c>
      <c r="R1927" s="1" t="s">
        <v>44</v>
      </c>
      <c r="S1927" s="1" t="s">
        <v>94</v>
      </c>
      <c r="T1927" s="1" t="s">
        <v>93</v>
      </c>
      <c r="V1927" s="1" t="s">
        <v>183</v>
      </c>
      <c r="Y1927" s="1" t="s">
        <v>346</v>
      </c>
      <c r="Z1927" s="1" t="str">
        <f t="shared" si="90"/>
        <v>7960 KCT3</v>
      </c>
      <c r="AA1927" s="3">
        <f>IF(INDEX('CAMD Facility Data 2023'!$AA$2:$AE$10000,MATCH(Z1927,'CAMD Facility Data 2023'!$AE$2:$AE$10000,0),1)&gt;0,INDEX('CAMD Facility Data 2023'!$AA$2:$AE$10000,MATCH(Z1927,'CAMD Facility Data 2023'!$AE$2:$AE$10000,0),1),"")</f>
        <v>37369</v>
      </c>
      <c r="AB1927" s="5">
        <f>IF(INDEX('CAMD Facility Data 2023'!$AC$2:$AE$10000,MATCH(Z1927,'CAMD Facility Data 2023'!$AE$2:$AE$10000,0),1)&gt;0,INDEX('CAMD Facility Data 2023'!$AC$2:$AE$10000,MATCH(Z1927,'CAMD Facility Data 2023'!$AE$2:$AE$10000,0),1),"")</f>
        <v>1076.5999999999999</v>
      </c>
      <c r="AC1927" s="1" t="str">
        <f>IF(INDEX('CAMD Facility Data 2023'!$AE$2:$AG$10000,MATCH(Z1927,'CAMD Facility Data 2023'!$AE$2:$AE$10000,0),3)&gt;0,INDEX('CAMD Facility Data 2023'!$AE$2:$AG$10000,MATCH(Z1927,'CAMD Facility Data 2023'!$AE$2:$AE$10000,0),3),"")</f>
        <v/>
      </c>
      <c r="AD1927" s="20">
        <f t="shared" si="91"/>
        <v>0.36589931498385975</v>
      </c>
      <c r="AE1927" s="25">
        <f t="shared" si="92"/>
        <v>2.159911137888007E-2</v>
      </c>
    </row>
    <row r="1928" spans="1:31" x14ac:dyDescent="0.2">
      <c r="A1928" s="1" t="s">
        <v>1732</v>
      </c>
      <c r="B1928" s="1" t="s">
        <v>4546</v>
      </c>
      <c r="C1928" s="1">
        <v>7960</v>
      </c>
      <c r="D1928" s="1" t="s">
        <v>4553</v>
      </c>
      <c r="F1928" s="1">
        <v>2023</v>
      </c>
      <c r="G1928" s="5">
        <v>276</v>
      </c>
      <c r="H1928" s="5">
        <v>239.71</v>
      </c>
      <c r="I1928" s="5">
        <v>15863.49</v>
      </c>
      <c r="K1928" s="5">
        <v>5.8999999999999997E-2</v>
      </c>
      <c r="L1928" s="5">
        <v>1E-3</v>
      </c>
      <c r="M1928" s="5">
        <v>11754.907999999999</v>
      </c>
      <c r="N1928" s="6">
        <v>5.91E-2</v>
      </c>
      <c r="O1928" s="5">
        <v>2.7229999999999999</v>
      </c>
      <c r="P1928" s="6">
        <v>3.1699999999999999E-2</v>
      </c>
      <c r="Q1928" s="5">
        <v>197817.37599999999</v>
      </c>
      <c r="R1928" s="1" t="s">
        <v>44</v>
      </c>
      <c r="S1928" s="1" t="s">
        <v>94</v>
      </c>
      <c r="T1928" s="1" t="s">
        <v>93</v>
      </c>
      <c r="V1928" s="1" t="s">
        <v>183</v>
      </c>
      <c r="Y1928" s="1" t="s">
        <v>346</v>
      </c>
      <c r="Z1928" s="1" t="str">
        <f t="shared" si="90"/>
        <v>7960 KCT4</v>
      </c>
      <c r="AA1928" s="3">
        <f>IF(INDEX('CAMD Facility Data 2023'!$AA$2:$AE$10000,MATCH(Z1928,'CAMD Facility Data 2023'!$AE$2:$AE$10000,0),1)&gt;0,INDEX('CAMD Facility Data 2023'!$AA$2:$AE$10000,MATCH(Z1928,'CAMD Facility Data 2023'!$AE$2:$AE$10000,0),1),"")</f>
        <v>37374</v>
      </c>
      <c r="AB1928" s="5">
        <f>IF(INDEX('CAMD Facility Data 2023'!$AC$2:$AE$10000,MATCH(Z1928,'CAMD Facility Data 2023'!$AE$2:$AE$10000,0),1)&gt;0,INDEX('CAMD Facility Data 2023'!$AC$2:$AE$10000,MATCH(Z1928,'CAMD Facility Data 2023'!$AE$2:$AE$10000,0),1),"")</f>
        <v>1076.5999999999999</v>
      </c>
      <c r="AC1928" s="1" t="str">
        <f>IF(INDEX('CAMD Facility Data 2023'!$AE$2:$AG$10000,MATCH(Z1928,'CAMD Facility Data 2023'!$AE$2:$AE$10000,0),3)&gt;0,INDEX('CAMD Facility Data 2023'!$AE$2:$AG$10000,MATCH(Z1928,'CAMD Facility Data 2023'!$AE$2:$AE$10000,0),3),"")</f>
        <v/>
      </c>
      <c r="AD1928" s="20">
        <f t="shared" si="91"/>
        <v>0.34330402704575097</v>
      </c>
      <c r="AE1928" s="25">
        <f t="shared" si="92"/>
        <v>2.0975192492516181E-2</v>
      </c>
    </row>
    <row r="1929" spans="1:31" x14ac:dyDescent="0.2">
      <c r="A1929" s="1" t="s">
        <v>660</v>
      </c>
      <c r="B1929" s="1" t="s">
        <v>4555</v>
      </c>
      <c r="C1929" s="1">
        <v>7962</v>
      </c>
      <c r="D1929" s="1">
        <v>1</v>
      </c>
      <c r="F1929" s="1">
        <v>2023</v>
      </c>
      <c r="G1929" s="5">
        <v>221</v>
      </c>
      <c r="H1929" s="5">
        <v>176.1</v>
      </c>
      <c r="I1929" s="5">
        <v>7494.83</v>
      </c>
      <c r="K1929" s="5">
        <v>2.4E-2</v>
      </c>
      <c r="L1929" s="5">
        <v>1E-3</v>
      </c>
      <c r="M1929" s="5">
        <v>4648.2529999999997</v>
      </c>
      <c r="N1929" s="6">
        <v>6.0900000000000003E-2</v>
      </c>
      <c r="O1929" s="5">
        <v>0.51700000000000002</v>
      </c>
      <c r="P1929" s="6">
        <v>1.44E-2</v>
      </c>
      <c r="Q1929" s="5">
        <v>76055.167000000001</v>
      </c>
      <c r="R1929" s="1" t="s">
        <v>44</v>
      </c>
      <c r="T1929" s="1" t="s">
        <v>93</v>
      </c>
      <c r="V1929" s="1" t="s">
        <v>176</v>
      </c>
      <c r="Y1929" s="1" t="s">
        <v>579</v>
      </c>
      <c r="Z1929" s="1" t="str">
        <f t="shared" si="90"/>
        <v>7962 1</v>
      </c>
      <c r="AA1929" s="3">
        <f>IF(INDEX('CAMD Facility Data 2023'!$AA$2:$AE$10000,MATCH(Z1929,'CAMD Facility Data 2023'!$AE$2:$AE$10000,0),1)&gt;0,INDEX('CAMD Facility Data 2023'!$AA$2:$AE$10000,MATCH(Z1929,'CAMD Facility Data 2023'!$AE$2:$AE$10000,0),1),"")</f>
        <v>37267</v>
      </c>
      <c r="AB1929" s="5">
        <f>IF(INDEX('CAMD Facility Data 2023'!$AC$2:$AE$10000,MATCH(Z1929,'CAMD Facility Data 2023'!$AE$2:$AE$10000,0),1)&gt;0,INDEX('CAMD Facility Data 2023'!$AC$2:$AE$10000,MATCH(Z1929,'CAMD Facility Data 2023'!$AE$2:$AE$10000,0),1),"")</f>
        <v>560</v>
      </c>
      <c r="AC1929" s="1" t="str">
        <f>IF(INDEX('CAMD Facility Data 2023'!$AE$2:$AG$10000,MATCH(Z1929,'CAMD Facility Data 2023'!$AE$2:$AE$10000,0),3)&gt;0,INDEX('CAMD Facility Data 2023'!$AE$2:$AG$10000,MATCH(Z1929,'CAMD Facility Data 2023'!$AE$2:$AE$10000,0),3),"")</f>
        <v>Y</v>
      </c>
      <c r="AD1929" s="20">
        <f t="shared" si="91"/>
        <v>0.13796176831228993</v>
      </c>
      <c r="AE1929" s="25">
        <f t="shared" si="92"/>
        <v>1.5503744088388781E-2</v>
      </c>
    </row>
    <row r="1930" spans="1:31" x14ac:dyDescent="0.2">
      <c r="A1930" s="1" t="s">
        <v>660</v>
      </c>
      <c r="B1930" s="1" t="s">
        <v>4555</v>
      </c>
      <c r="C1930" s="1">
        <v>7962</v>
      </c>
      <c r="D1930" s="1">
        <v>2</v>
      </c>
      <c r="F1930" s="1">
        <v>2023</v>
      </c>
      <c r="G1930" s="5">
        <v>331</v>
      </c>
      <c r="H1930" s="5">
        <v>277.60000000000002</v>
      </c>
      <c r="I1930" s="5">
        <v>12755.69</v>
      </c>
      <c r="K1930" s="5">
        <v>3.7999999999999999E-2</v>
      </c>
      <c r="L1930" s="5">
        <v>1E-3</v>
      </c>
      <c r="M1930" s="5">
        <v>7513.5330000000004</v>
      </c>
      <c r="N1930" s="6">
        <v>6.0199999999999997E-2</v>
      </c>
      <c r="O1930" s="5">
        <v>0.624</v>
      </c>
      <c r="P1930" s="6">
        <v>1.6199999999999999E-2</v>
      </c>
      <c r="Q1930" s="5">
        <v>124267.98299999999</v>
      </c>
      <c r="R1930" s="1" t="s">
        <v>44</v>
      </c>
      <c r="S1930" s="1" t="s">
        <v>94</v>
      </c>
      <c r="T1930" s="1" t="s">
        <v>93</v>
      </c>
      <c r="V1930" s="1" t="s">
        <v>176</v>
      </c>
      <c r="Y1930" s="1" t="s">
        <v>579</v>
      </c>
      <c r="Z1930" s="1" t="str">
        <f t="shared" si="90"/>
        <v>7962 2</v>
      </c>
      <c r="AA1930" s="3">
        <f>IF(INDEX('CAMD Facility Data 2023'!$AA$2:$AE$10000,MATCH(Z1930,'CAMD Facility Data 2023'!$AE$2:$AE$10000,0),1)&gt;0,INDEX('CAMD Facility Data 2023'!$AA$2:$AE$10000,MATCH(Z1930,'CAMD Facility Data 2023'!$AE$2:$AE$10000,0),1),"")</f>
        <v>41024</v>
      </c>
      <c r="AB1930" s="5">
        <f>IF(INDEX('CAMD Facility Data 2023'!$AC$2:$AE$10000,MATCH(Z1930,'CAMD Facility Data 2023'!$AE$2:$AE$10000,0),1)&gt;0,INDEX('CAMD Facility Data 2023'!$AC$2:$AE$10000,MATCH(Z1930,'CAMD Facility Data 2023'!$AE$2:$AE$10000,0),1),"")</f>
        <v>500</v>
      </c>
      <c r="AC1930" s="1" t="str">
        <f>IF(INDEX('CAMD Facility Data 2023'!$AE$2:$AG$10000,MATCH(Z1930,'CAMD Facility Data 2023'!$AE$2:$AE$10000,0),3)&gt;0,INDEX('CAMD Facility Data 2023'!$AE$2:$AG$10000,MATCH(Z1930,'CAMD Facility Data 2023'!$AE$2:$AE$10000,0),3),"")</f>
        <v>Y</v>
      </c>
      <c r="AD1930" s="20">
        <f t="shared" si="91"/>
        <v>9.7838690027744479E-2</v>
      </c>
      <c r="AE1930" s="25">
        <f t="shared" si="92"/>
        <v>2.8371685616438356E-2</v>
      </c>
    </row>
    <row r="1931" spans="1:31" x14ac:dyDescent="0.2">
      <c r="A1931" s="1" t="s">
        <v>1755</v>
      </c>
      <c r="B1931" s="1" t="s">
        <v>4559</v>
      </c>
      <c r="C1931" s="1">
        <v>7964</v>
      </c>
      <c r="D1931" s="1" t="s">
        <v>3676</v>
      </c>
      <c r="F1931" s="1">
        <v>2023</v>
      </c>
      <c r="G1931" s="5">
        <v>835</v>
      </c>
      <c r="H1931" s="5">
        <v>753.2</v>
      </c>
      <c r="I1931" s="5">
        <v>15127.41</v>
      </c>
      <c r="K1931" s="5">
        <v>5.0999999999999997E-2</v>
      </c>
      <c r="L1931" s="5">
        <v>5.9999999999999995E-4</v>
      </c>
      <c r="M1931" s="5">
        <v>9835.2960000000003</v>
      </c>
      <c r="N1931" s="6">
        <v>5.9700000000000003E-2</v>
      </c>
      <c r="O1931" s="5">
        <v>6.9950000000000001</v>
      </c>
      <c r="P1931" s="6">
        <v>0.09</v>
      </c>
      <c r="Q1931" s="5">
        <v>165214.84899999999</v>
      </c>
      <c r="R1931" s="1" t="s">
        <v>44</v>
      </c>
      <c r="S1931" s="1" t="s">
        <v>94</v>
      </c>
      <c r="T1931" s="1" t="s">
        <v>93</v>
      </c>
      <c r="V1931" s="1" t="s">
        <v>95</v>
      </c>
      <c r="Y1931" s="1" t="s">
        <v>1207</v>
      </c>
      <c r="Z1931" s="1" t="str">
        <f t="shared" si="90"/>
        <v>7964 CT1A</v>
      </c>
      <c r="AA1931" s="3">
        <f>IF(INDEX('CAMD Facility Data 2023'!$AA$2:$AE$10000,MATCH(Z1931,'CAMD Facility Data 2023'!$AE$2:$AE$10000,0),1)&gt;0,INDEX('CAMD Facility Data 2023'!$AA$2:$AE$10000,MATCH(Z1931,'CAMD Facility Data 2023'!$AE$2:$AE$10000,0),1),"")</f>
        <v>37373</v>
      </c>
      <c r="AB1931" s="5">
        <f>IF(INDEX('CAMD Facility Data 2023'!$AC$2:$AE$10000,MATCH(Z1931,'CAMD Facility Data 2023'!$AE$2:$AE$10000,0),1)&gt;0,INDEX('CAMD Facility Data 2023'!$AC$2:$AE$10000,MATCH(Z1931,'CAMD Facility Data 2023'!$AE$2:$AE$10000,0),1),"")</f>
        <v>325</v>
      </c>
      <c r="AC1931" s="1" t="str">
        <f>IF(INDEX('CAMD Facility Data 2023'!$AE$2:$AG$10000,MATCH(Z1931,'CAMD Facility Data 2023'!$AE$2:$AE$10000,0),3)&gt;0,INDEX('CAMD Facility Data 2023'!$AE$2:$AG$10000,MATCH(Z1931,'CAMD Facility Data 2023'!$AE$2:$AE$10000,0),3),"")</f>
        <v/>
      </c>
      <c r="AD1931" s="20">
        <f t="shared" si="91"/>
        <v>0.92481131932035954</v>
      </c>
      <c r="AE1931" s="25">
        <f t="shared" si="92"/>
        <v>5.8031207938180535E-2</v>
      </c>
    </row>
    <row r="1932" spans="1:31" x14ac:dyDescent="0.2">
      <c r="A1932" s="1" t="s">
        <v>1755</v>
      </c>
      <c r="B1932" s="1" t="s">
        <v>4559</v>
      </c>
      <c r="C1932" s="1">
        <v>7964</v>
      </c>
      <c r="D1932" s="1" t="s">
        <v>3678</v>
      </c>
      <c r="F1932" s="1">
        <v>2023</v>
      </c>
      <c r="G1932" s="5">
        <v>835</v>
      </c>
      <c r="H1932" s="5">
        <v>752.14</v>
      </c>
      <c r="I1932" s="5">
        <v>14319.81</v>
      </c>
      <c r="K1932" s="5">
        <v>0.05</v>
      </c>
      <c r="L1932" s="5">
        <v>4.0000000000000002E-4</v>
      </c>
      <c r="M1932" s="5">
        <v>10474.564</v>
      </c>
      <c r="N1932" s="6">
        <v>5.9499999999999997E-2</v>
      </c>
      <c r="O1932" s="5">
        <v>7.383</v>
      </c>
      <c r="P1932" s="6">
        <v>8.8400000000000006E-2</v>
      </c>
      <c r="Q1932" s="5">
        <v>176059.342</v>
      </c>
      <c r="R1932" s="1" t="s">
        <v>44</v>
      </c>
      <c r="S1932" s="1" t="s">
        <v>94</v>
      </c>
      <c r="T1932" s="1" t="s">
        <v>93</v>
      </c>
      <c r="V1932" s="1" t="s">
        <v>95</v>
      </c>
      <c r="Y1932" s="1" t="s">
        <v>1207</v>
      </c>
      <c r="Z1932" s="1" t="str">
        <f t="shared" si="90"/>
        <v>7964 CT1B</v>
      </c>
      <c r="AA1932" s="3">
        <f>IF(INDEX('CAMD Facility Data 2023'!$AA$2:$AE$10000,MATCH(Z1932,'CAMD Facility Data 2023'!$AE$2:$AE$10000,0),1)&gt;0,INDEX('CAMD Facility Data 2023'!$AA$2:$AE$10000,MATCH(Z1932,'CAMD Facility Data 2023'!$AE$2:$AE$10000,0),1),"")</f>
        <v>37387</v>
      </c>
      <c r="AB1932" s="5">
        <f>IF(INDEX('CAMD Facility Data 2023'!$AC$2:$AE$10000,MATCH(Z1932,'CAMD Facility Data 2023'!$AE$2:$AE$10000,0),1)&gt;0,INDEX('CAMD Facility Data 2023'!$AC$2:$AE$10000,MATCH(Z1932,'CAMD Facility Data 2023'!$AE$2:$AE$10000,0),1),"")</f>
        <v>325</v>
      </c>
      <c r="AC1932" s="1" t="str">
        <f>IF(INDEX('CAMD Facility Data 2023'!$AE$2:$AG$10000,MATCH(Z1932,'CAMD Facility Data 2023'!$AE$2:$AE$10000,0),3)&gt;0,INDEX('CAMD Facility Data 2023'!$AE$2:$AG$10000,MATCH(Z1932,'CAMD Facility Data 2023'!$AE$2:$AE$10000,0),3),"")</f>
        <v/>
      </c>
      <c r="AD1932" s="20">
        <f t="shared" si="91"/>
        <v>1.0311589329746693</v>
      </c>
      <c r="AE1932" s="25">
        <f t="shared" si="92"/>
        <v>6.1840302774850718E-2</v>
      </c>
    </row>
    <row r="1933" spans="1:31" x14ac:dyDescent="0.2">
      <c r="A1933" s="1" t="s">
        <v>1755</v>
      </c>
      <c r="B1933" s="1" t="s">
        <v>4559</v>
      </c>
      <c r="C1933" s="1">
        <v>7964</v>
      </c>
      <c r="D1933" s="1" t="s">
        <v>1052</v>
      </c>
      <c r="F1933" s="1">
        <v>2023</v>
      </c>
      <c r="G1933" s="5">
        <v>978</v>
      </c>
      <c r="H1933" s="5">
        <v>887.43</v>
      </c>
      <c r="I1933" s="5">
        <v>18242.5</v>
      </c>
      <c r="K1933" s="5">
        <v>6.8000000000000005E-2</v>
      </c>
      <c r="L1933" s="5">
        <v>6.9999999999999999E-4</v>
      </c>
      <c r="M1933" s="5">
        <v>11171.757</v>
      </c>
      <c r="N1933" s="6">
        <v>5.9700000000000003E-2</v>
      </c>
      <c r="O1933" s="5">
        <v>7.7939999999999996</v>
      </c>
      <c r="P1933" s="6">
        <v>8.6099999999999996E-2</v>
      </c>
      <c r="Q1933" s="5">
        <v>187502.95</v>
      </c>
      <c r="R1933" s="1" t="s">
        <v>44</v>
      </c>
      <c r="S1933" s="1" t="s">
        <v>94</v>
      </c>
      <c r="T1933" s="1" t="s">
        <v>93</v>
      </c>
      <c r="V1933" s="1" t="s">
        <v>95</v>
      </c>
      <c r="Y1933" s="1" t="s">
        <v>1207</v>
      </c>
      <c r="Z1933" s="1" t="str">
        <f t="shared" si="90"/>
        <v>7964 CT2A</v>
      </c>
      <c r="AA1933" s="3">
        <f>IF(INDEX('CAMD Facility Data 2023'!$AA$2:$AE$10000,MATCH(Z1933,'CAMD Facility Data 2023'!$AE$2:$AE$10000,0),1)&gt;0,INDEX('CAMD Facility Data 2023'!$AA$2:$AE$10000,MATCH(Z1933,'CAMD Facility Data 2023'!$AE$2:$AE$10000,0),1),"")</f>
        <v>37384</v>
      </c>
      <c r="AB1933" s="5">
        <f>IF(INDEX('CAMD Facility Data 2023'!$AC$2:$AE$10000,MATCH(Z1933,'CAMD Facility Data 2023'!$AE$2:$AE$10000,0),1)&gt;0,INDEX('CAMD Facility Data 2023'!$AC$2:$AE$10000,MATCH(Z1933,'CAMD Facility Data 2023'!$AE$2:$AE$10000,0),1),"")</f>
        <v>325</v>
      </c>
      <c r="AC1933" s="1" t="str">
        <f>IF(INDEX('CAMD Facility Data 2023'!$AE$2:$AG$10000,MATCH(Z1933,'CAMD Facility Data 2023'!$AE$2:$AE$10000,0),3)&gt;0,INDEX('CAMD Facility Data 2023'!$AE$2:$AG$10000,MATCH(Z1933,'CAMD Facility Data 2023'!$AE$2:$AE$10000,0),3),"")</f>
        <v/>
      </c>
      <c r="AD1933" s="20">
        <f t="shared" si="91"/>
        <v>0.85448814581334798</v>
      </c>
      <c r="AE1933" s="25">
        <f t="shared" si="92"/>
        <v>6.5859834913944509E-2</v>
      </c>
    </row>
    <row r="1934" spans="1:31" x14ac:dyDescent="0.2">
      <c r="A1934" s="1" t="s">
        <v>1755</v>
      </c>
      <c r="B1934" s="1" t="s">
        <v>4559</v>
      </c>
      <c r="C1934" s="1">
        <v>7964</v>
      </c>
      <c r="D1934" s="1" t="s">
        <v>1054</v>
      </c>
      <c r="F1934" s="1">
        <v>2023</v>
      </c>
      <c r="G1934" s="5">
        <v>984</v>
      </c>
      <c r="H1934" s="5">
        <v>884.39</v>
      </c>
      <c r="I1934" s="5">
        <v>16599.599999999999</v>
      </c>
      <c r="K1934" s="5">
        <v>7.0999999999999994E-2</v>
      </c>
      <c r="L1934" s="5">
        <v>8.0000000000000004E-4</v>
      </c>
      <c r="M1934" s="5">
        <v>12495.165999999999</v>
      </c>
      <c r="N1934" s="6">
        <v>5.9700000000000003E-2</v>
      </c>
      <c r="O1934" s="5">
        <v>8.3829999999999991</v>
      </c>
      <c r="P1934" s="6">
        <v>8.4699999999999998E-2</v>
      </c>
      <c r="Q1934" s="5">
        <v>209831.04800000001</v>
      </c>
      <c r="R1934" s="1" t="s">
        <v>44</v>
      </c>
      <c r="S1934" s="1" t="s">
        <v>94</v>
      </c>
      <c r="T1934" s="1" t="s">
        <v>93</v>
      </c>
      <c r="V1934" s="1" t="s">
        <v>95</v>
      </c>
      <c r="Y1934" s="1" t="s">
        <v>1207</v>
      </c>
      <c r="Z1934" s="1" t="str">
        <f t="shared" si="90"/>
        <v>7964 CT2B</v>
      </c>
      <c r="AA1934" s="3">
        <f>IF(INDEX('CAMD Facility Data 2023'!$AA$2:$AE$10000,MATCH(Z1934,'CAMD Facility Data 2023'!$AE$2:$AE$10000,0),1)&gt;0,INDEX('CAMD Facility Data 2023'!$AA$2:$AE$10000,MATCH(Z1934,'CAMD Facility Data 2023'!$AE$2:$AE$10000,0),1),"")</f>
        <v>37385</v>
      </c>
      <c r="AB1934" s="5">
        <f>IF(INDEX('CAMD Facility Data 2023'!$AC$2:$AE$10000,MATCH(Z1934,'CAMD Facility Data 2023'!$AE$2:$AE$10000,0),1)&gt;0,INDEX('CAMD Facility Data 2023'!$AC$2:$AE$10000,MATCH(Z1934,'CAMD Facility Data 2023'!$AE$2:$AE$10000,0),1),"")</f>
        <v>325</v>
      </c>
      <c r="AC1934" s="1" t="str">
        <f>IF(INDEX('CAMD Facility Data 2023'!$AE$2:$AG$10000,MATCH(Z1934,'CAMD Facility Data 2023'!$AE$2:$AE$10000,0),3)&gt;0,INDEX('CAMD Facility Data 2023'!$AE$2:$AG$10000,MATCH(Z1934,'CAMD Facility Data 2023'!$AE$2:$AE$10000,0),3),"")</f>
        <v/>
      </c>
      <c r="AD1934" s="20">
        <f t="shared" si="91"/>
        <v>1.010024337935854</v>
      </c>
      <c r="AE1934" s="25">
        <f t="shared" si="92"/>
        <v>7.3702510713031258E-2</v>
      </c>
    </row>
    <row r="1935" spans="1:31" x14ac:dyDescent="0.2">
      <c r="A1935" s="1" t="s">
        <v>1755</v>
      </c>
      <c r="B1935" s="1" t="s">
        <v>4559</v>
      </c>
      <c r="C1935" s="1">
        <v>7964</v>
      </c>
      <c r="D1935" s="1" t="s">
        <v>4423</v>
      </c>
      <c r="F1935" s="1">
        <v>2023</v>
      </c>
      <c r="G1935" s="5">
        <v>911</v>
      </c>
      <c r="H1935" s="5">
        <v>814.24</v>
      </c>
      <c r="I1935" s="5">
        <v>16319.29</v>
      </c>
      <c r="K1935" s="5">
        <v>6.2E-2</v>
      </c>
      <c r="L1935" s="5">
        <v>6.9999999999999999E-4</v>
      </c>
      <c r="M1935" s="5">
        <v>10648.047</v>
      </c>
      <c r="N1935" s="6">
        <v>5.9700000000000003E-2</v>
      </c>
      <c r="O1935" s="5">
        <v>7.55</v>
      </c>
      <c r="P1935" s="6">
        <v>9.01E-2</v>
      </c>
      <c r="Q1935" s="5">
        <v>178734.13099999999</v>
      </c>
      <c r="R1935" s="1" t="s">
        <v>44</v>
      </c>
      <c r="S1935" s="1" t="s">
        <v>94</v>
      </c>
      <c r="T1935" s="1" t="s">
        <v>93</v>
      </c>
      <c r="V1935" s="1" t="s">
        <v>95</v>
      </c>
      <c r="Y1935" s="1" t="s">
        <v>1207</v>
      </c>
      <c r="Z1935" s="1" t="str">
        <f t="shared" si="90"/>
        <v>7964 CT3A</v>
      </c>
      <c r="AA1935" s="3">
        <f>IF(INDEX('CAMD Facility Data 2023'!$AA$2:$AE$10000,MATCH(Z1935,'CAMD Facility Data 2023'!$AE$2:$AE$10000,0),1)&gt;0,INDEX('CAMD Facility Data 2023'!$AA$2:$AE$10000,MATCH(Z1935,'CAMD Facility Data 2023'!$AE$2:$AE$10000,0),1),"")</f>
        <v>37386</v>
      </c>
      <c r="AB1935" s="5">
        <f>IF(INDEX('CAMD Facility Data 2023'!$AC$2:$AE$10000,MATCH(Z1935,'CAMD Facility Data 2023'!$AE$2:$AE$10000,0),1)&gt;0,INDEX('CAMD Facility Data 2023'!$AC$2:$AE$10000,MATCH(Z1935,'CAMD Facility Data 2023'!$AE$2:$AE$10000,0),1),"")</f>
        <v>325</v>
      </c>
      <c r="AC1935" s="1" t="str">
        <f>IF(INDEX('CAMD Facility Data 2023'!$AE$2:$AG$10000,MATCH(Z1935,'CAMD Facility Data 2023'!$AE$2:$AE$10000,0),3)&gt;0,INDEX('CAMD Facility Data 2023'!$AE$2:$AG$10000,MATCH(Z1935,'CAMD Facility Data 2023'!$AE$2:$AE$10000,0),3),"")</f>
        <v/>
      </c>
      <c r="AD1935" s="20">
        <f t="shared" si="91"/>
        <v>0.92528535248776134</v>
      </c>
      <c r="AE1935" s="25">
        <f t="shared" si="92"/>
        <v>6.2779814190375829E-2</v>
      </c>
    </row>
    <row r="1936" spans="1:31" x14ac:dyDescent="0.2">
      <c r="A1936" s="1" t="s">
        <v>1755</v>
      </c>
      <c r="B1936" s="1" t="s">
        <v>4559</v>
      </c>
      <c r="C1936" s="1">
        <v>7964</v>
      </c>
      <c r="D1936" s="1" t="s">
        <v>4425</v>
      </c>
      <c r="F1936" s="1">
        <v>2023</v>
      </c>
      <c r="G1936" s="5">
        <v>910</v>
      </c>
      <c r="H1936" s="5">
        <v>817.67</v>
      </c>
      <c r="I1936" s="5">
        <v>15465.85</v>
      </c>
      <c r="K1936" s="5">
        <v>4.7E-2</v>
      </c>
      <c r="L1936" s="5">
        <v>2.9999999999999997E-4</v>
      </c>
      <c r="M1936" s="5">
        <v>11375.761</v>
      </c>
      <c r="N1936" s="6">
        <v>5.96E-2</v>
      </c>
      <c r="O1936" s="5">
        <v>7.9450000000000003</v>
      </c>
      <c r="P1936" s="6">
        <v>8.77E-2</v>
      </c>
      <c r="Q1936" s="5">
        <v>190978.524</v>
      </c>
      <c r="R1936" s="1" t="s">
        <v>44</v>
      </c>
      <c r="S1936" s="1" t="s">
        <v>94</v>
      </c>
      <c r="T1936" s="1" t="s">
        <v>93</v>
      </c>
      <c r="V1936" s="1" t="s">
        <v>95</v>
      </c>
      <c r="Y1936" s="1" t="s">
        <v>1207</v>
      </c>
      <c r="Z1936" s="1" t="str">
        <f t="shared" si="90"/>
        <v>7964 CT3B</v>
      </c>
      <c r="AA1936" s="3">
        <f>IF(INDEX('CAMD Facility Data 2023'!$AA$2:$AE$10000,MATCH(Z1936,'CAMD Facility Data 2023'!$AE$2:$AE$10000,0),1)&gt;0,INDEX('CAMD Facility Data 2023'!$AA$2:$AE$10000,MATCH(Z1936,'CAMD Facility Data 2023'!$AE$2:$AE$10000,0),1),"")</f>
        <v>37386</v>
      </c>
      <c r="AB1936" s="5">
        <f>IF(INDEX('CAMD Facility Data 2023'!$AC$2:$AE$10000,MATCH(Z1936,'CAMD Facility Data 2023'!$AE$2:$AE$10000,0),1)&gt;0,INDEX('CAMD Facility Data 2023'!$AC$2:$AE$10000,MATCH(Z1936,'CAMD Facility Data 2023'!$AE$2:$AE$10000,0),1),"")</f>
        <v>325</v>
      </c>
      <c r="AC1936" s="1" t="str">
        <f>IF(INDEX('CAMD Facility Data 2023'!$AE$2:$AG$10000,MATCH(Z1936,'CAMD Facility Data 2023'!$AE$2:$AE$10000,0),3)&gt;0,INDEX('CAMD Facility Data 2023'!$AE$2:$AG$10000,MATCH(Z1936,'CAMD Facility Data 2023'!$AE$2:$AE$10000,0),3),"")</f>
        <v/>
      </c>
      <c r="AD1936" s="20">
        <f t="shared" si="91"/>
        <v>1.0274249394633983</v>
      </c>
      <c r="AE1936" s="25">
        <f t="shared" si="92"/>
        <v>6.7080619599578506E-2</v>
      </c>
    </row>
    <row r="1937" spans="1:31" x14ac:dyDescent="0.2">
      <c r="A1937" s="1" t="s">
        <v>1755</v>
      </c>
      <c r="B1937" s="1" t="s">
        <v>4559</v>
      </c>
      <c r="C1937" s="1">
        <v>7964</v>
      </c>
      <c r="D1937" s="1" t="s">
        <v>862</v>
      </c>
      <c r="F1937" s="1">
        <v>2023</v>
      </c>
      <c r="G1937" s="5">
        <v>980</v>
      </c>
      <c r="H1937" s="5">
        <v>925.69</v>
      </c>
      <c r="I1937" s="5">
        <v>19490.580000000002</v>
      </c>
      <c r="K1937" s="5">
        <v>7.0999999999999994E-2</v>
      </c>
      <c r="L1937" s="5">
        <v>5.9999999999999995E-4</v>
      </c>
      <c r="M1937" s="5">
        <v>13207.255999999999</v>
      </c>
      <c r="N1937" s="6">
        <v>5.9499999999999997E-2</v>
      </c>
      <c r="O1937" s="5">
        <v>9.2430000000000003</v>
      </c>
      <c r="P1937" s="6">
        <v>8.6199999999999999E-2</v>
      </c>
      <c r="Q1937" s="5">
        <v>222050.011</v>
      </c>
      <c r="R1937" s="1" t="s">
        <v>44</v>
      </c>
      <c r="S1937" s="1" t="s">
        <v>94</v>
      </c>
      <c r="T1937" s="1" t="s">
        <v>93</v>
      </c>
      <c r="V1937" s="1" t="s">
        <v>95</v>
      </c>
      <c r="Y1937" s="1" t="s">
        <v>1207</v>
      </c>
      <c r="Z1937" s="1" t="str">
        <f t="shared" si="90"/>
        <v>7964 CT4A</v>
      </c>
      <c r="AA1937" s="3">
        <f>IF(INDEX('CAMD Facility Data 2023'!$AA$2:$AE$10000,MATCH(Z1937,'CAMD Facility Data 2023'!$AE$2:$AE$10000,0),1)&gt;0,INDEX('CAMD Facility Data 2023'!$AA$2:$AE$10000,MATCH(Z1937,'CAMD Facility Data 2023'!$AE$2:$AE$10000,0),1),"")</f>
        <v>37400</v>
      </c>
      <c r="AB1937" s="5">
        <f>IF(INDEX('CAMD Facility Data 2023'!$AC$2:$AE$10000,MATCH(Z1937,'CAMD Facility Data 2023'!$AE$2:$AE$10000,0),1)&gt;0,INDEX('CAMD Facility Data 2023'!$AC$2:$AE$10000,MATCH(Z1937,'CAMD Facility Data 2023'!$AE$2:$AE$10000,0),1),"")</f>
        <v>325</v>
      </c>
      <c r="AC1937" s="1" t="str">
        <f>IF(INDEX('CAMD Facility Data 2023'!$AE$2:$AG$10000,MATCH(Z1937,'CAMD Facility Data 2023'!$AE$2:$AE$10000,0),3)&gt;0,INDEX('CAMD Facility Data 2023'!$AE$2:$AG$10000,MATCH(Z1937,'CAMD Facility Data 2023'!$AE$2:$AE$10000,0),3),"")</f>
        <v/>
      </c>
      <c r="AD1937" s="20">
        <f t="shared" si="91"/>
        <v>0.94845817825842016</v>
      </c>
      <c r="AE1937" s="25">
        <f t="shared" si="92"/>
        <v>7.7994383912890763E-2</v>
      </c>
    </row>
    <row r="1938" spans="1:31" x14ac:dyDescent="0.2">
      <c r="A1938" s="1" t="s">
        <v>1755</v>
      </c>
      <c r="B1938" s="1" t="s">
        <v>4559</v>
      </c>
      <c r="C1938" s="1">
        <v>7964</v>
      </c>
      <c r="D1938" s="1" t="s">
        <v>864</v>
      </c>
      <c r="F1938" s="1">
        <v>2023</v>
      </c>
      <c r="G1938" s="5">
        <v>1074</v>
      </c>
      <c r="H1938" s="5">
        <v>1013.3</v>
      </c>
      <c r="I1938" s="5">
        <v>24033.89</v>
      </c>
      <c r="K1938" s="5">
        <v>8.3000000000000004E-2</v>
      </c>
      <c r="L1938" s="5">
        <v>6.9999999999999999E-4</v>
      </c>
      <c r="M1938" s="5">
        <v>14530.858</v>
      </c>
      <c r="N1938" s="6">
        <v>5.9499999999999997E-2</v>
      </c>
      <c r="O1938" s="5">
        <v>10.26</v>
      </c>
      <c r="P1938" s="6">
        <v>8.6999999999999994E-2</v>
      </c>
      <c r="Q1938" s="5">
        <v>244209.34299999999</v>
      </c>
      <c r="R1938" s="1" t="s">
        <v>44</v>
      </c>
      <c r="S1938" s="1" t="s">
        <v>94</v>
      </c>
      <c r="T1938" s="1" t="s">
        <v>93</v>
      </c>
      <c r="V1938" s="1" t="s">
        <v>95</v>
      </c>
      <c r="Y1938" s="1" t="s">
        <v>1207</v>
      </c>
      <c r="Z1938" s="1" t="str">
        <f t="shared" si="90"/>
        <v>7964 CT4B</v>
      </c>
      <c r="AA1938" s="3">
        <f>IF(INDEX('CAMD Facility Data 2023'!$AA$2:$AE$10000,MATCH(Z1938,'CAMD Facility Data 2023'!$AE$2:$AE$10000,0),1)&gt;0,INDEX('CAMD Facility Data 2023'!$AA$2:$AE$10000,MATCH(Z1938,'CAMD Facility Data 2023'!$AE$2:$AE$10000,0),1),"")</f>
        <v>37400</v>
      </c>
      <c r="AB1938" s="5">
        <f>IF(INDEX('CAMD Facility Data 2023'!$AC$2:$AE$10000,MATCH(Z1938,'CAMD Facility Data 2023'!$AE$2:$AE$10000,0),1)&gt;0,INDEX('CAMD Facility Data 2023'!$AC$2:$AE$10000,MATCH(Z1938,'CAMD Facility Data 2023'!$AE$2:$AE$10000,0),1),"")</f>
        <v>325</v>
      </c>
      <c r="AC1938" s="1" t="str">
        <f>IF(INDEX('CAMD Facility Data 2023'!$AE$2:$AG$10000,MATCH(Z1938,'CAMD Facility Data 2023'!$AE$2:$AE$10000,0),3)&gt;0,INDEX('CAMD Facility Data 2023'!$AE$2:$AG$10000,MATCH(Z1938,'CAMD Facility Data 2023'!$AE$2:$AE$10000,0),3),"")</f>
        <v/>
      </c>
      <c r="AD1938" s="20">
        <f t="shared" si="91"/>
        <v>0.85379437119833701</v>
      </c>
      <c r="AE1938" s="25">
        <f t="shared" si="92"/>
        <v>8.577778117316473E-2</v>
      </c>
    </row>
    <row r="1939" spans="1:31" x14ac:dyDescent="0.2">
      <c r="A1939" s="1" t="s">
        <v>2054</v>
      </c>
      <c r="B1939" s="1" t="s">
        <v>4565</v>
      </c>
      <c r="C1939" s="1">
        <v>7967</v>
      </c>
      <c r="D1939" s="1">
        <v>1</v>
      </c>
      <c r="F1939" s="1">
        <v>2023</v>
      </c>
      <c r="G1939" s="5">
        <v>1527</v>
      </c>
      <c r="H1939" s="5">
        <v>1395.24</v>
      </c>
      <c r="I1939" s="5">
        <v>42868.97</v>
      </c>
      <c r="K1939" s="5">
        <v>0.14499999999999999</v>
      </c>
      <c r="L1939" s="5">
        <v>1E-3</v>
      </c>
      <c r="M1939" s="5">
        <v>28695.62</v>
      </c>
      <c r="N1939" s="6">
        <v>5.9299999999999999E-2</v>
      </c>
      <c r="O1939" s="5">
        <v>18.672999999999998</v>
      </c>
      <c r="P1939" s="6">
        <v>9.1600000000000001E-2</v>
      </c>
      <c r="Q1939" s="5">
        <v>482821.96</v>
      </c>
      <c r="R1939" s="1" t="s">
        <v>44</v>
      </c>
      <c r="T1939" s="1" t="s">
        <v>93</v>
      </c>
      <c r="V1939" s="1" t="s">
        <v>95</v>
      </c>
      <c r="Y1939" s="1" t="s">
        <v>247</v>
      </c>
      <c r="Z1939" s="1" t="str">
        <f t="shared" si="90"/>
        <v>7967 1</v>
      </c>
      <c r="AA1939" s="3">
        <f>IF(INDEX('CAMD Facility Data 2023'!$AA$2:$AE$10000,MATCH(Z1939,'CAMD Facility Data 2023'!$AE$2:$AE$10000,0),1)&gt;0,INDEX('CAMD Facility Data 2023'!$AA$2:$AE$10000,MATCH(Z1939,'CAMD Facility Data 2023'!$AE$2:$AE$10000,0),1),"")</f>
        <v>37438</v>
      </c>
      <c r="AB1939" s="5">
        <f>IF(INDEX('CAMD Facility Data 2023'!$AC$2:$AE$10000,MATCH(Z1939,'CAMD Facility Data 2023'!$AE$2:$AE$10000,0),1)&gt;0,INDEX('CAMD Facility Data 2023'!$AC$2:$AE$10000,MATCH(Z1939,'CAMD Facility Data 2023'!$AE$2:$AE$10000,0),1),"")</f>
        <v>422</v>
      </c>
      <c r="AC1939" s="1" t="str">
        <f>IF(INDEX('CAMD Facility Data 2023'!$AE$2:$AG$10000,MATCH(Z1939,'CAMD Facility Data 2023'!$AE$2:$AE$10000,0),3)&gt;0,INDEX('CAMD Facility Data 2023'!$AE$2:$AG$10000,MATCH(Z1939,'CAMD Facility Data 2023'!$AE$2:$AE$10000,0),3),"")</f>
        <v/>
      </c>
      <c r="AD1939" s="20">
        <f t="shared" si="91"/>
        <v>0.87116625381948765</v>
      </c>
      <c r="AE1939" s="25">
        <f t="shared" si="92"/>
        <v>0.13060820402951806</v>
      </c>
    </row>
    <row r="1940" spans="1:31" x14ac:dyDescent="0.2">
      <c r="A1940" s="1" t="s">
        <v>2054</v>
      </c>
      <c r="B1940" s="1" t="s">
        <v>4565</v>
      </c>
      <c r="C1940" s="1">
        <v>7967</v>
      </c>
      <c r="D1940" s="1">
        <v>2</v>
      </c>
      <c r="F1940" s="1">
        <v>2023</v>
      </c>
      <c r="G1940" s="5">
        <v>2182</v>
      </c>
      <c r="H1940" s="5">
        <v>1982.15</v>
      </c>
      <c r="I1940" s="5">
        <v>69409.63</v>
      </c>
      <c r="K1940" s="5">
        <v>0.20899999999999999</v>
      </c>
      <c r="L1940" s="5">
        <v>1E-3</v>
      </c>
      <c r="M1940" s="5">
        <v>41438.792000000001</v>
      </c>
      <c r="N1940" s="6">
        <v>5.9299999999999999E-2</v>
      </c>
      <c r="O1940" s="5">
        <v>28.922999999999998</v>
      </c>
      <c r="P1940" s="6">
        <v>9.74E-2</v>
      </c>
      <c r="Q1940" s="5">
        <v>697299.84</v>
      </c>
      <c r="R1940" s="1" t="s">
        <v>44</v>
      </c>
      <c r="T1940" s="1" t="s">
        <v>93</v>
      </c>
      <c r="V1940" s="1" t="s">
        <v>95</v>
      </c>
      <c r="Y1940" s="1" t="s">
        <v>247</v>
      </c>
      <c r="Z1940" s="1" t="str">
        <f t="shared" si="90"/>
        <v>7967 2</v>
      </c>
      <c r="AA1940" s="3">
        <f>IF(INDEX('CAMD Facility Data 2023'!$AA$2:$AE$10000,MATCH(Z1940,'CAMD Facility Data 2023'!$AE$2:$AE$10000,0),1)&gt;0,INDEX('CAMD Facility Data 2023'!$AA$2:$AE$10000,MATCH(Z1940,'CAMD Facility Data 2023'!$AE$2:$AE$10000,0),1),"")</f>
        <v>37438</v>
      </c>
      <c r="AB1940" s="5">
        <f>IF(INDEX('CAMD Facility Data 2023'!$AC$2:$AE$10000,MATCH(Z1940,'CAMD Facility Data 2023'!$AE$2:$AE$10000,0),1)&gt;0,INDEX('CAMD Facility Data 2023'!$AC$2:$AE$10000,MATCH(Z1940,'CAMD Facility Data 2023'!$AE$2:$AE$10000,0),1),"")</f>
        <v>422</v>
      </c>
      <c r="AC1940" s="1" t="str">
        <f>IF(INDEX('CAMD Facility Data 2023'!$AE$2:$AG$10000,MATCH(Z1940,'CAMD Facility Data 2023'!$AE$2:$AE$10000,0),3)&gt;0,INDEX('CAMD Facility Data 2023'!$AE$2:$AG$10000,MATCH(Z1940,'CAMD Facility Data 2023'!$AE$2:$AE$10000,0),3),"")</f>
        <v/>
      </c>
      <c r="AD1940" s="20">
        <f t="shared" si="91"/>
        <v>0.83340020685890415</v>
      </c>
      <c r="AE1940" s="25">
        <f t="shared" si="92"/>
        <v>0.18862663117574496</v>
      </c>
    </row>
    <row r="1941" spans="1:31" x14ac:dyDescent="0.2">
      <c r="A1941" s="1" t="s">
        <v>1621</v>
      </c>
      <c r="B1941" s="1" t="s">
        <v>4568</v>
      </c>
      <c r="C1941" s="1">
        <v>7972</v>
      </c>
      <c r="D1941" s="1">
        <v>1</v>
      </c>
      <c r="F1941" s="1">
        <v>2023</v>
      </c>
      <c r="G1941" s="5">
        <v>530</v>
      </c>
      <c r="H1941" s="5">
        <v>481.41</v>
      </c>
      <c r="I1941" s="5">
        <v>29070.82</v>
      </c>
      <c r="K1941" s="5">
        <v>0.112</v>
      </c>
      <c r="L1941" s="5">
        <v>1E-3</v>
      </c>
      <c r="M1941" s="5">
        <v>22103.722000000002</v>
      </c>
      <c r="N1941" s="6">
        <v>5.9200000000000003E-2</v>
      </c>
      <c r="O1941" s="5">
        <v>5.5190000000000001</v>
      </c>
      <c r="P1941" s="6">
        <v>3.2399999999999998E-2</v>
      </c>
      <c r="Q1941" s="5">
        <v>371927.413</v>
      </c>
      <c r="R1941" s="1" t="s">
        <v>44</v>
      </c>
      <c r="T1941" s="1" t="s">
        <v>93</v>
      </c>
      <c r="V1941" s="1" t="s">
        <v>140</v>
      </c>
      <c r="Y1941" s="1" t="s">
        <v>461</v>
      </c>
      <c r="Z1941" s="1" t="str">
        <f t="shared" si="90"/>
        <v>7972 1</v>
      </c>
      <c r="AA1941" s="3">
        <f>IF(INDEX('CAMD Facility Data 2023'!$AA$2:$AE$10000,MATCH(Z1941,'CAMD Facility Data 2023'!$AE$2:$AE$10000,0),1)&gt;0,INDEX('CAMD Facility Data 2023'!$AA$2:$AE$10000,MATCH(Z1941,'CAMD Facility Data 2023'!$AE$2:$AE$10000,0),1),"")</f>
        <v>37361</v>
      </c>
      <c r="AB1941" s="5">
        <f>IF(INDEX('CAMD Facility Data 2023'!$AC$2:$AE$10000,MATCH(Z1941,'CAMD Facility Data 2023'!$AE$2:$AE$10000,0),1)&gt;0,INDEX('CAMD Facility Data 2023'!$AC$2:$AE$10000,MATCH(Z1941,'CAMD Facility Data 2023'!$AE$2:$AE$10000,0),1),"")</f>
        <v>1169.3</v>
      </c>
      <c r="AC1941" s="1" t="str">
        <f>IF(INDEX('CAMD Facility Data 2023'!$AE$2:$AG$10000,MATCH(Z1941,'CAMD Facility Data 2023'!$AE$2:$AE$10000,0),3)&gt;0,INDEX('CAMD Facility Data 2023'!$AE$2:$AG$10000,MATCH(Z1941,'CAMD Facility Data 2023'!$AE$2:$AE$10000,0),3),"")</f>
        <v/>
      </c>
      <c r="AD1941" s="20">
        <f t="shared" si="91"/>
        <v>0.37969345205948785</v>
      </c>
      <c r="AE1941" s="25">
        <f t="shared" si="92"/>
        <v>3.6310157562167898E-2</v>
      </c>
    </row>
    <row r="1942" spans="1:31" x14ac:dyDescent="0.2">
      <c r="A1942" s="1" t="s">
        <v>1621</v>
      </c>
      <c r="B1942" s="1" t="s">
        <v>4568</v>
      </c>
      <c r="C1942" s="1">
        <v>7972</v>
      </c>
      <c r="D1942" s="1">
        <v>2</v>
      </c>
      <c r="F1942" s="1">
        <v>2023</v>
      </c>
      <c r="G1942" s="5">
        <v>582</v>
      </c>
      <c r="H1942" s="5">
        <v>528.74</v>
      </c>
      <c r="I1942" s="5">
        <v>32022.26</v>
      </c>
      <c r="K1942" s="5">
        <v>0.123</v>
      </c>
      <c r="L1942" s="5">
        <v>1E-3</v>
      </c>
      <c r="M1942" s="5">
        <v>24365.616000000002</v>
      </c>
      <c r="N1942" s="6">
        <v>5.8999999999999997E-2</v>
      </c>
      <c r="O1942" s="5">
        <v>4.992</v>
      </c>
      <c r="P1942" s="6">
        <v>2.7699999999999999E-2</v>
      </c>
      <c r="Q1942" s="5">
        <v>410001.39600000001</v>
      </c>
      <c r="R1942" s="1" t="s">
        <v>44</v>
      </c>
      <c r="T1942" s="1" t="s">
        <v>93</v>
      </c>
      <c r="V1942" s="1" t="s">
        <v>140</v>
      </c>
      <c r="Y1942" s="1" t="s">
        <v>461</v>
      </c>
      <c r="Z1942" s="1" t="str">
        <f t="shared" si="90"/>
        <v>7972 2</v>
      </c>
      <c r="AA1942" s="3">
        <f>IF(INDEX('CAMD Facility Data 2023'!$AA$2:$AE$10000,MATCH(Z1942,'CAMD Facility Data 2023'!$AE$2:$AE$10000,0),1)&gt;0,INDEX('CAMD Facility Data 2023'!$AA$2:$AE$10000,MATCH(Z1942,'CAMD Facility Data 2023'!$AE$2:$AE$10000,0),1),"")</f>
        <v>37361</v>
      </c>
      <c r="AB1942" s="5">
        <f>IF(INDEX('CAMD Facility Data 2023'!$AC$2:$AE$10000,MATCH(Z1942,'CAMD Facility Data 2023'!$AE$2:$AE$10000,0),1)&gt;0,INDEX('CAMD Facility Data 2023'!$AC$2:$AE$10000,MATCH(Z1942,'CAMD Facility Data 2023'!$AE$2:$AE$10000,0),1),"")</f>
        <v>1150.0999999999999</v>
      </c>
      <c r="AC1942" s="1" t="str">
        <f>IF(INDEX('CAMD Facility Data 2023'!$AE$2:$AG$10000,MATCH(Z1942,'CAMD Facility Data 2023'!$AE$2:$AE$10000,0),3)&gt;0,INDEX('CAMD Facility Data 2023'!$AE$2:$AG$10000,MATCH(Z1942,'CAMD Facility Data 2023'!$AE$2:$AE$10000,0),3),"")</f>
        <v/>
      </c>
      <c r="AD1942" s="20">
        <f t="shared" si="91"/>
        <v>0.31178311587002294</v>
      </c>
      <c r="AE1942" s="25">
        <f t="shared" si="92"/>
        <v>4.0695428509492329E-2</v>
      </c>
    </row>
    <row r="1943" spans="1:31" x14ac:dyDescent="0.2">
      <c r="A1943" s="1" t="s">
        <v>1621</v>
      </c>
      <c r="B1943" s="1" t="s">
        <v>4568</v>
      </c>
      <c r="C1943" s="1">
        <v>7972</v>
      </c>
      <c r="D1943" s="1">
        <v>3</v>
      </c>
      <c r="F1943" s="1">
        <v>2023</v>
      </c>
      <c r="G1943" s="5">
        <v>510</v>
      </c>
      <c r="H1943" s="5">
        <v>461.8</v>
      </c>
      <c r="I1943" s="5">
        <v>27495.41</v>
      </c>
      <c r="K1943" s="5">
        <v>0.106</v>
      </c>
      <c r="L1943" s="5">
        <v>1E-3</v>
      </c>
      <c r="M1943" s="5">
        <v>20968.097000000002</v>
      </c>
      <c r="N1943" s="6">
        <v>5.9200000000000003E-2</v>
      </c>
      <c r="O1943" s="5">
        <v>6.8419999999999996</v>
      </c>
      <c r="P1943" s="6">
        <v>4.2299999999999997E-2</v>
      </c>
      <c r="Q1943" s="5">
        <v>352822.66800000001</v>
      </c>
      <c r="R1943" s="1" t="s">
        <v>44</v>
      </c>
      <c r="T1943" s="1" t="s">
        <v>93</v>
      </c>
      <c r="V1943" s="1" t="s">
        <v>140</v>
      </c>
      <c r="Y1943" s="1" t="s">
        <v>461</v>
      </c>
      <c r="Z1943" s="1" t="str">
        <f t="shared" si="90"/>
        <v>7972 3</v>
      </c>
      <c r="AA1943" s="3">
        <f>IF(INDEX('CAMD Facility Data 2023'!$AA$2:$AE$10000,MATCH(Z1943,'CAMD Facility Data 2023'!$AE$2:$AE$10000,0),1)&gt;0,INDEX('CAMD Facility Data 2023'!$AA$2:$AE$10000,MATCH(Z1943,'CAMD Facility Data 2023'!$AE$2:$AE$10000,0),1),"")</f>
        <v>37361</v>
      </c>
      <c r="AB1943" s="5">
        <f>IF(INDEX('CAMD Facility Data 2023'!$AC$2:$AE$10000,MATCH(Z1943,'CAMD Facility Data 2023'!$AE$2:$AE$10000,0),1)&gt;0,INDEX('CAMD Facility Data 2023'!$AC$2:$AE$10000,MATCH(Z1943,'CAMD Facility Data 2023'!$AE$2:$AE$10000,0),1),"")</f>
        <v>1127.3</v>
      </c>
      <c r="AC1943" s="1" t="str">
        <f>IF(INDEX('CAMD Facility Data 2023'!$AE$2:$AG$10000,MATCH(Z1943,'CAMD Facility Data 2023'!$AE$2:$AE$10000,0),3)&gt;0,INDEX('CAMD Facility Data 2023'!$AE$2:$AG$10000,MATCH(Z1943,'CAMD Facility Data 2023'!$AE$2:$AE$10000,0),3),"")</f>
        <v/>
      </c>
      <c r="AD1943" s="20">
        <f t="shared" si="91"/>
        <v>0.4976830678284121</v>
      </c>
      <c r="AE1943" s="25">
        <f t="shared" si="92"/>
        <v>3.5728342299274907E-2</v>
      </c>
    </row>
    <row r="1944" spans="1:31" x14ac:dyDescent="0.2">
      <c r="A1944" s="1" t="s">
        <v>1621</v>
      </c>
      <c r="B1944" s="1" t="s">
        <v>4568</v>
      </c>
      <c r="C1944" s="1">
        <v>7972</v>
      </c>
      <c r="D1944" s="1">
        <v>4</v>
      </c>
      <c r="F1944" s="1">
        <v>2023</v>
      </c>
      <c r="G1944" s="5">
        <v>450</v>
      </c>
      <c r="H1944" s="5">
        <v>411.87</v>
      </c>
      <c r="I1944" s="5">
        <v>24335.4</v>
      </c>
      <c r="K1944" s="5">
        <v>9.4E-2</v>
      </c>
      <c r="L1944" s="5">
        <v>1E-3</v>
      </c>
      <c r="M1944" s="5">
        <v>18540.793000000001</v>
      </c>
      <c r="N1944" s="6">
        <v>5.91E-2</v>
      </c>
      <c r="O1944" s="5">
        <v>4.694</v>
      </c>
      <c r="P1944" s="6">
        <v>3.3399999999999999E-2</v>
      </c>
      <c r="Q1944" s="5">
        <v>311986.38299999997</v>
      </c>
      <c r="R1944" s="1" t="s">
        <v>44</v>
      </c>
      <c r="T1944" s="1" t="s">
        <v>93</v>
      </c>
      <c r="V1944" s="1" t="s">
        <v>140</v>
      </c>
      <c r="Y1944" s="1" t="s">
        <v>461</v>
      </c>
      <c r="Z1944" s="1" t="str">
        <f t="shared" si="90"/>
        <v>7972 4</v>
      </c>
      <c r="AA1944" s="3">
        <f>IF(INDEX('CAMD Facility Data 2023'!$AA$2:$AE$10000,MATCH(Z1944,'CAMD Facility Data 2023'!$AE$2:$AE$10000,0),1)&gt;0,INDEX('CAMD Facility Data 2023'!$AA$2:$AE$10000,MATCH(Z1944,'CAMD Facility Data 2023'!$AE$2:$AE$10000,0),1),"")</f>
        <v>37361</v>
      </c>
      <c r="AB1944" s="5">
        <f>IF(INDEX('CAMD Facility Data 2023'!$AC$2:$AE$10000,MATCH(Z1944,'CAMD Facility Data 2023'!$AE$2:$AE$10000,0),1)&gt;0,INDEX('CAMD Facility Data 2023'!$AC$2:$AE$10000,MATCH(Z1944,'CAMD Facility Data 2023'!$AE$2:$AE$10000,0),1),"")</f>
        <v>1155.7</v>
      </c>
      <c r="AC1944" s="1" t="str">
        <f>IF(INDEX('CAMD Facility Data 2023'!$AE$2:$AG$10000,MATCH(Z1944,'CAMD Facility Data 2023'!$AE$2:$AE$10000,0),3)&gt;0,INDEX('CAMD Facility Data 2023'!$AE$2:$AG$10000,MATCH(Z1944,'CAMD Facility Data 2023'!$AE$2:$AE$10000,0),3),"")</f>
        <v/>
      </c>
      <c r="AD1944" s="20">
        <f t="shared" si="91"/>
        <v>0.38577545468741009</v>
      </c>
      <c r="AE1944" s="25">
        <f t="shared" si="92"/>
        <v>3.0816720519260696E-2</v>
      </c>
    </row>
    <row r="1945" spans="1:31" x14ac:dyDescent="0.2">
      <c r="A1945" s="1" t="s">
        <v>2054</v>
      </c>
      <c r="B1945" s="1" t="s">
        <v>4570</v>
      </c>
      <c r="C1945" s="1">
        <v>7975</v>
      </c>
      <c r="D1945" s="1">
        <v>1</v>
      </c>
      <c r="F1945" s="1">
        <v>2023</v>
      </c>
      <c r="G1945" s="5">
        <v>1813</v>
      </c>
      <c r="H1945" s="5">
        <v>1676.96</v>
      </c>
      <c r="I1945" s="5">
        <v>55275.59</v>
      </c>
      <c r="K1945" s="5">
        <v>0.17100000000000001</v>
      </c>
      <c r="L1945" s="5">
        <v>1E-3</v>
      </c>
      <c r="M1945" s="5">
        <v>33839.824000000001</v>
      </c>
      <c r="N1945" s="6">
        <v>5.9400000000000001E-2</v>
      </c>
      <c r="O1945" s="5">
        <v>35.412999999999997</v>
      </c>
      <c r="P1945" s="6">
        <v>0.13880000000000001</v>
      </c>
      <c r="Q1945" s="5">
        <v>569088.12300000002</v>
      </c>
      <c r="R1945" s="1" t="s">
        <v>44</v>
      </c>
      <c r="S1945" s="1" t="s">
        <v>94</v>
      </c>
      <c r="T1945" s="1" t="s">
        <v>93</v>
      </c>
      <c r="V1945" s="1" t="s">
        <v>95</v>
      </c>
      <c r="Y1945" s="1" t="s">
        <v>247</v>
      </c>
      <c r="Z1945" s="1" t="str">
        <f t="shared" si="90"/>
        <v>7975 1</v>
      </c>
      <c r="AA1945" s="3">
        <f>IF(INDEX('CAMD Facility Data 2023'!$AA$2:$AE$10000,MATCH(Z1945,'CAMD Facility Data 2023'!$AE$2:$AE$10000,0),1)&gt;0,INDEX('CAMD Facility Data 2023'!$AA$2:$AE$10000,MATCH(Z1945,'CAMD Facility Data 2023'!$AE$2:$AE$10000,0),1),"")</f>
        <v>37674</v>
      </c>
      <c r="AB1945" s="5">
        <f>IF(INDEX('CAMD Facility Data 2023'!$AC$2:$AE$10000,MATCH(Z1945,'CAMD Facility Data 2023'!$AE$2:$AE$10000,0),1)&gt;0,INDEX('CAMD Facility Data 2023'!$AC$2:$AE$10000,MATCH(Z1945,'CAMD Facility Data 2023'!$AE$2:$AE$10000,0),1),"")</f>
        <v>500</v>
      </c>
      <c r="AC1945" s="1" t="str">
        <f>IF(INDEX('CAMD Facility Data 2023'!$AE$2:$AG$10000,MATCH(Z1945,'CAMD Facility Data 2023'!$AE$2:$AE$10000,0),3)&gt;0,INDEX('CAMD Facility Data 2023'!$AE$2:$AG$10000,MATCH(Z1945,'CAMD Facility Data 2023'!$AE$2:$AE$10000,0),3),"")</f>
        <v/>
      </c>
      <c r="AD1945" s="20">
        <f t="shared" si="91"/>
        <v>1.2813250840018171</v>
      </c>
      <c r="AE1945" s="25">
        <f t="shared" si="92"/>
        <v>0.12992879520547945</v>
      </c>
    </row>
    <row r="1946" spans="1:31" x14ac:dyDescent="0.2">
      <c r="A1946" s="1" t="s">
        <v>2054</v>
      </c>
      <c r="B1946" s="1" t="s">
        <v>4570</v>
      </c>
      <c r="C1946" s="1">
        <v>7975</v>
      </c>
      <c r="D1946" s="1">
        <v>2</v>
      </c>
      <c r="F1946" s="1">
        <v>2023</v>
      </c>
      <c r="G1946" s="5">
        <v>2062</v>
      </c>
      <c r="H1946" s="5">
        <v>1898.16</v>
      </c>
      <c r="I1946" s="5">
        <v>61905.22</v>
      </c>
      <c r="K1946" s="5">
        <v>0.189</v>
      </c>
      <c r="L1946" s="5">
        <v>1E-3</v>
      </c>
      <c r="M1946" s="5">
        <v>37171.046000000002</v>
      </c>
      <c r="N1946" s="6">
        <v>5.9400000000000001E-2</v>
      </c>
      <c r="O1946" s="5">
        <v>38.64</v>
      </c>
      <c r="P1946" s="6">
        <v>0.13669999999999999</v>
      </c>
      <c r="Q1946" s="5">
        <v>625032.473</v>
      </c>
      <c r="R1946" s="1" t="s">
        <v>44</v>
      </c>
      <c r="S1946" s="1" t="s">
        <v>94</v>
      </c>
      <c r="T1946" s="1" t="s">
        <v>93</v>
      </c>
      <c r="V1946" s="1" t="s">
        <v>95</v>
      </c>
      <c r="Y1946" s="1" t="s">
        <v>247</v>
      </c>
      <c r="Z1946" s="1" t="str">
        <f t="shared" si="90"/>
        <v>7975 2</v>
      </c>
      <c r="AA1946" s="3">
        <f>IF(INDEX('CAMD Facility Data 2023'!$AA$2:$AE$10000,MATCH(Z1946,'CAMD Facility Data 2023'!$AE$2:$AE$10000,0),1)&gt;0,INDEX('CAMD Facility Data 2023'!$AA$2:$AE$10000,MATCH(Z1946,'CAMD Facility Data 2023'!$AE$2:$AE$10000,0),1),"")</f>
        <v>37684</v>
      </c>
      <c r="AB1946" s="5">
        <f>IF(INDEX('CAMD Facility Data 2023'!$AC$2:$AE$10000,MATCH(Z1946,'CAMD Facility Data 2023'!$AE$2:$AE$10000,0),1)&gt;0,INDEX('CAMD Facility Data 2023'!$AC$2:$AE$10000,MATCH(Z1946,'CAMD Facility Data 2023'!$AE$2:$AE$10000,0),1),"")</f>
        <v>500</v>
      </c>
      <c r="AC1946" s="1" t="str">
        <f>IF(INDEX('CAMD Facility Data 2023'!$AE$2:$AG$10000,MATCH(Z1946,'CAMD Facility Data 2023'!$AE$2:$AE$10000,0),3)&gt;0,INDEX('CAMD Facility Data 2023'!$AE$2:$AG$10000,MATCH(Z1946,'CAMD Facility Data 2023'!$AE$2:$AE$10000,0),3),"")</f>
        <v/>
      </c>
      <c r="AD1946" s="20">
        <f t="shared" si="91"/>
        <v>1.2483599929052833</v>
      </c>
      <c r="AE1946" s="25">
        <f t="shared" si="92"/>
        <v>0.14270147785388126</v>
      </c>
    </row>
    <row r="1947" spans="1:31" x14ac:dyDescent="0.2">
      <c r="A1947" s="1" t="s">
        <v>2054</v>
      </c>
      <c r="B1947" s="1" t="s">
        <v>4570</v>
      </c>
      <c r="C1947" s="1">
        <v>7975</v>
      </c>
      <c r="D1947" s="1">
        <v>3</v>
      </c>
      <c r="F1947" s="1">
        <v>2023</v>
      </c>
      <c r="G1947" s="5">
        <v>2679</v>
      </c>
      <c r="H1947" s="5">
        <v>2484.69</v>
      </c>
      <c r="I1947" s="5">
        <v>82380.97</v>
      </c>
      <c r="K1947" s="5">
        <v>0.253</v>
      </c>
      <c r="L1947" s="5">
        <v>1E-3</v>
      </c>
      <c r="M1947" s="5">
        <v>50022.13</v>
      </c>
      <c r="N1947" s="6">
        <v>5.9299999999999999E-2</v>
      </c>
      <c r="O1947" s="5">
        <v>54.975999999999999</v>
      </c>
      <c r="P1947" s="6">
        <v>0.1457</v>
      </c>
      <c r="Q1947" s="5">
        <v>841569.89099999995</v>
      </c>
      <c r="R1947" s="1" t="s">
        <v>44</v>
      </c>
      <c r="S1947" s="1" t="s">
        <v>94</v>
      </c>
      <c r="T1947" s="1" t="s">
        <v>93</v>
      </c>
      <c r="V1947" s="1" t="s">
        <v>95</v>
      </c>
      <c r="Y1947" s="1" t="s">
        <v>247</v>
      </c>
      <c r="Z1947" s="1" t="str">
        <f t="shared" si="90"/>
        <v>7975 3</v>
      </c>
      <c r="AA1947" s="3">
        <f>IF(INDEX('CAMD Facility Data 2023'!$AA$2:$AE$10000,MATCH(Z1947,'CAMD Facility Data 2023'!$AE$2:$AE$10000,0),1)&gt;0,INDEX('CAMD Facility Data 2023'!$AA$2:$AE$10000,MATCH(Z1947,'CAMD Facility Data 2023'!$AE$2:$AE$10000,0),1),"")</f>
        <v>37690</v>
      </c>
      <c r="AB1947" s="5">
        <f>IF(INDEX('CAMD Facility Data 2023'!$AC$2:$AE$10000,MATCH(Z1947,'CAMD Facility Data 2023'!$AE$2:$AE$10000,0),1)&gt;0,INDEX('CAMD Facility Data 2023'!$AC$2:$AE$10000,MATCH(Z1947,'CAMD Facility Data 2023'!$AE$2:$AE$10000,0),1),"")</f>
        <v>500</v>
      </c>
      <c r="AC1947" s="1" t="str">
        <f>IF(INDEX('CAMD Facility Data 2023'!$AE$2:$AG$10000,MATCH(Z1947,'CAMD Facility Data 2023'!$AE$2:$AE$10000,0),3)&gt;0,INDEX('CAMD Facility Data 2023'!$AE$2:$AG$10000,MATCH(Z1947,'CAMD Facility Data 2023'!$AE$2:$AE$10000,0),3),"")</f>
        <v/>
      </c>
      <c r="AD1947" s="20">
        <f t="shared" si="91"/>
        <v>1.334677171196212</v>
      </c>
      <c r="AE1947" s="25">
        <f t="shared" si="92"/>
        <v>0.19213924452054792</v>
      </c>
    </row>
    <row r="1948" spans="1:31" x14ac:dyDescent="0.2">
      <c r="A1948" s="1" t="s">
        <v>2054</v>
      </c>
      <c r="B1948" s="1" t="s">
        <v>4570</v>
      </c>
      <c r="C1948" s="1">
        <v>7975</v>
      </c>
      <c r="D1948" s="1">
        <v>4</v>
      </c>
      <c r="F1948" s="1">
        <v>2023</v>
      </c>
      <c r="G1948" s="5">
        <v>3003</v>
      </c>
      <c r="H1948" s="5">
        <v>2742.47</v>
      </c>
      <c r="I1948" s="5">
        <v>91908.07</v>
      </c>
      <c r="K1948" s="5">
        <v>0.26800000000000002</v>
      </c>
      <c r="L1948" s="5">
        <v>1E-3</v>
      </c>
      <c r="M1948" s="5">
        <v>52934.485999999997</v>
      </c>
      <c r="N1948" s="6">
        <v>5.9400000000000001E-2</v>
      </c>
      <c r="O1948" s="5">
        <v>53.302</v>
      </c>
      <c r="P1948" s="6">
        <v>0.1326</v>
      </c>
      <c r="Q1948" s="5">
        <v>890520.93799999997</v>
      </c>
      <c r="R1948" s="1" t="s">
        <v>44</v>
      </c>
      <c r="S1948" s="1" t="s">
        <v>94</v>
      </c>
      <c r="T1948" s="1" t="s">
        <v>93</v>
      </c>
      <c r="V1948" s="1" t="s">
        <v>95</v>
      </c>
      <c r="Y1948" s="1" t="s">
        <v>247</v>
      </c>
      <c r="Z1948" s="1" t="str">
        <f t="shared" si="90"/>
        <v>7975 4</v>
      </c>
      <c r="AA1948" s="3">
        <f>IF(INDEX('CAMD Facility Data 2023'!$AA$2:$AE$10000,MATCH(Z1948,'CAMD Facility Data 2023'!$AE$2:$AE$10000,0),1)&gt;0,INDEX('CAMD Facility Data 2023'!$AA$2:$AE$10000,MATCH(Z1948,'CAMD Facility Data 2023'!$AE$2:$AE$10000,0),1),"")</f>
        <v>37698</v>
      </c>
      <c r="AB1948" s="5">
        <f>IF(INDEX('CAMD Facility Data 2023'!$AC$2:$AE$10000,MATCH(Z1948,'CAMD Facility Data 2023'!$AE$2:$AE$10000,0),1)&gt;0,INDEX('CAMD Facility Data 2023'!$AC$2:$AE$10000,MATCH(Z1948,'CAMD Facility Data 2023'!$AE$2:$AE$10000,0),1),"")</f>
        <v>500</v>
      </c>
      <c r="AC1948" s="1" t="str">
        <f>IF(INDEX('CAMD Facility Data 2023'!$AE$2:$AG$10000,MATCH(Z1948,'CAMD Facility Data 2023'!$AE$2:$AE$10000,0),3)&gt;0,INDEX('CAMD Facility Data 2023'!$AE$2:$AG$10000,MATCH(Z1948,'CAMD Facility Data 2023'!$AE$2:$AE$10000,0),3),"")</f>
        <v/>
      </c>
      <c r="AD1948" s="20">
        <f t="shared" si="91"/>
        <v>1.159898146049634</v>
      </c>
      <c r="AE1948" s="25">
        <f t="shared" si="92"/>
        <v>0.20331528264840182</v>
      </c>
    </row>
    <row r="1949" spans="1:31" x14ac:dyDescent="0.2">
      <c r="A1949" s="1" t="s">
        <v>291</v>
      </c>
      <c r="B1949" s="1" t="s">
        <v>4574</v>
      </c>
      <c r="C1949" s="1">
        <v>7981</v>
      </c>
      <c r="D1949" s="1">
        <v>1</v>
      </c>
      <c r="F1949" s="1">
        <v>2023</v>
      </c>
      <c r="G1949" s="5">
        <v>105</v>
      </c>
      <c r="H1949" s="5">
        <v>75.95</v>
      </c>
      <c r="I1949" s="5">
        <v>4563.07</v>
      </c>
      <c r="K1949" s="5">
        <v>1.4999999999999999E-2</v>
      </c>
      <c r="L1949" s="5">
        <v>2.9999999999999997E-4</v>
      </c>
      <c r="M1949" s="5">
        <v>3477.576</v>
      </c>
      <c r="N1949" s="6">
        <v>5.9799999999999999E-2</v>
      </c>
      <c r="O1949" s="5">
        <v>1.2030000000000001</v>
      </c>
      <c r="P1949" s="6">
        <v>0.04</v>
      </c>
      <c r="Q1949" s="5">
        <v>57225.959000000003</v>
      </c>
      <c r="R1949" s="1" t="s">
        <v>284</v>
      </c>
      <c r="S1949" s="1" t="s">
        <v>94</v>
      </c>
      <c r="T1949" s="1" t="s">
        <v>93</v>
      </c>
      <c r="V1949" s="1" t="s">
        <v>183</v>
      </c>
      <c r="Y1949" s="1" t="s">
        <v>2690</v>
      </c>
      <c r="Z1949" s="1" t="str">
        <f t="shared" si="90"/>
        <v>7981 1</v>
      </c>
      <c r="AA1949" s="3">
        <f>IF(INDEX('CAMD Facility Data 2023'!$AA$2:$AE$10000,MATCH(Z1949,'CAMD Facility Data 2023'!$AE$2:$AE$10000,0),1)&gt;0,INDEX('CAMD Facility Data 2023'!$AA$2:$AE$10000,MATCH(Z1949,'CAMD Facility Data 2023'!$AE$2:$AE$10000,0),1),"")</f>
        <v>37599</v>
      </c>
      <c r="AB1949" s="5">
        <f>IF(INDEX('CAMD Facility Data 2023'!$AC$2:$AE$10000,MATCH(Z1949,'CAMD Facility Data 2023'!$AE$2:$AE$10000,0),1)&gt;0,INDEX('CAMD Facility Data 2023'!$AC$2:$AE$10000,MATCH(Z1949,'CAMD Facility Data 2023'!$AE$2:$AE$10000,0),1),"")</f>
        <v>1244</v>
      </c>
      <c r="AC1949" s="1" t="str">
        <f>IF(INDEX('CAMD Facility Data 2023'!$AE$2:$AG$10000,MATCH(Z1949,'CAMD Facility Data 2023'!$AE$2:$AE$10000,0),3)&gt;0,INDEX('CAMD Facility Data 2023'!$AE$2:$AG$10000,MATCH(Z1949,'CAMD Facility Data 2023'!$AE$2:$AE$10000,0),3),"")</f>
        <v/>
      </c>
      <c r="AD1949" s="20">
        <f t="shared" si="91"/>
        <v>0.52727659229422297</v>
      </c>
      <c r="AE1949" s="25">
        <f t="shared" si="92"/>
        <v>5.2513213195025622E-3</v>
      </c>
    </row>
    <row r="1950" spans="1:31" x14ac:dyDescent="0.2">
      <c r="A1950" s="1" t="s">
        <v>291</v>
      </c>
      <c r="B1950" s="1" t="s">
        <v>4574</v>
      </c>
      <c r="C1950" s="1">
        <v>7981</v>
      </c>
      <c r="D1950" s="1">
        <v>2</v>
      </c>
      <c r="F1950" s="1">
        <v>2023</v>
      </c>
      <c r="G1950" s="5">
        <v>91</v>
      </c>
      <c r="H1950" s="5">
        <v>68.349999999999994</v>
      </c>
      <c r="I1950" s="5">
        <v>4097.91</v>
      </c>
      <c r="K1950" s="5">
        <v>1.2999999999999999E-2</v>
      </c>
      <c r="L1950" s="5">
        <v>2.9999999999999997E-4</v>
      </c>
      <c r="M1950" s="5">
        <v>3127.55</v>
      </c>
      <c r="N1950" s="6">
        <v>5.96E-2</v>
      </c>
      <c r="O1950" s="5">
        <v>1.0640000000000001</v>
      </c>
      <c r="P1950" s="6">
        <v>3.9399999999999998E-2</v>
      </c>
      <c r="Q1950" s="5">
        <v>51396.76</v>
      </c>
      <c r="R1950" s="1" t="s">
        <v>284</v>
      </c>
      <c r="S1950" s="1" t="s">
        <v>94</v>
      </c>
      <c r="T1950" s="1" t="s">
        <v>93</v>
      </c>
      <c r="V1950" s="1" t="s">
        <v>183</v>
      </c>
      <c r="Y1950" s="1" t="s">
        <v>2690</v>
      </c>
      <c r="Z1950" s="1" t="str">
        <f t="shared" si="90"/>
        <v>7981 2</v>
      </c>
      <c r="AA1950" s="3">
        <f>IF(INDEX('CAMD Facility Data 2023'!$AA$2:$AE$10000,MATCH(Z1950,'CAMD Facility Data 2023'!$AE$2:$AE$10000,0),1)&gt;0,INDEX('CAMD Facility Data 2023'!$AA$2:$AE$10000,MATCH(Z1950,'CAMD Facility Data 2023'!$AE$2:$AE$10000,0),1),"")</f>
        <v>37602</v>
      </c>
      <c r="AB1950" s="5">
        <f>IF(INDEX('CAMD Facility Data 2023'!$AC$2:$AE$10000,MATCH(Z1950,'CAMD Facility Data 2023'!$AE$2:$AE$10000,0),1)&gt;0,INDEX('CAMD Facility Data 2023'!$AC$2:$AE$10000,MATCH(Z1950,'CAMD Facility Data 2023'!$AE$2:$AE$10000,0),1),"")</f>
        <v>1244</v>
      </c>
      <c r="AC1950" s="1" t="str">
        <f>IF(INDEX('CAMD Facility Data 2023'!$AE$2:$AG$10000,MATCH(Z1950,'CAMD Facility Data 2023'!$AE$2:$AE$10000,0),3)&gt;0,INDEX('CAMD Facility Data 2023'!$AE$2:$AG$10000,MATCH(Z1950,'CAMD Facility Data 2023'!$AE$2:$AE$10000,0),3),"")</f>
        <v/>
      </c>
      <c r="AD1950" s="20">
        <f t="shared" si="91"/>
        <v>0.51928910102954928</v>
      </c>
      <c r="AE1950" s="25">
        <f t="shared" si="92"/>
        <v>4.7164067891174444E-3</v>
      </c>
    </row>
    <row r="1951" spans="1:31" x14ac:dyDescent="0.2">
      <c r="A1951" s="1" t="s">
        <v>291</v>
      </c>
      <c r="B1951" s="1" t="s">
        <v>4574</v>
      </c>
      <c r="C1951" s="1">
        <v>7981</v>
      </c>
      <c r="D1951" s="1">
        <v>3</v>
      </c>
      <c r="F1951" s="1">
        <v>2023</v>
      </c>
      <c r="G1951" s="5">
        <v>104</v>
      </c>
      <c r="H1951" s="5">
        <v>75.06</v>
      </c>
      <c r="I1951" s="5">
        <v>4679.3100000000004</v>
      </c>
      <c r="K1951" s="5">
        <v>1.6E-2</v>
      </c>
      <c r="L1951" s="5">
        <v>4.0000000000000002E-4</v>
      </c>
      <c r="M1951" s="5">
        <v>3509.1729999999998</v>
      </c>
      <c r="N1951" s="6">
        <v>6.0400000000000002E-2</v>
      </c>
      <c r="O1951" s="5">
        <v>1.2030000000000001</v>
      </c>
      <c r="P1951" s="6">
        <v>4.0599999999999997E-2</v>
      </c>
      <c r="Q1951" s="5">
        <v>57878.483</v>
      </c>
      <c r="R1951" s="1" t="s">
        <v>284</v>
      </c>
      <c r="S1951" s="1" t="s">
        <v>94</v>
      </c>
      <c r="T1951" s="1" t="s">
        <v>93</v>
      </c>
      <c r="V1951" s="1" t="s">
        <v>183</v>
      </c>
      <c r="Y1951" s="1" t="s">
        <v>2690</v>
      </c>
      <c r="Z1951" s="1" t="str">
        <f t="shared" si="90"/>
        <v>7981 3</v>
      </c>
      <c r="AA1951" s="3">
        <f>IF(INDEX('CAMD Facility Data 2023'!$AA$2:$AE$10000,MATCH(Z1951,'CAMD Facility Data 2023'!$AE$2:$AE$10000,0),1)&gt;0,INDEX('CAMD Facility Data 2023'!$AA$2:$AE$10000,MATCH(Z1951,'CAMD Facility Data 2023'!$AE$2:$AE$10000,0),1),"")</f>
        <v>37601</v>
      </c>
      <c r="AB1951" s="5">
        <f>IF(INDEX('CAMD Facility Data 2023'!$AC$2:$AE$10000,MATCH(Z1951,'CAMD Facility Data 2023'!$AE$2:$AE$10000,0),1)&gt;0,INDEX('CAMD Facility Data 2023'!$AC$2:$AE$10000,MATCH(Z1951,'CAMD Facility Data 2023'!$AE$2:$AE$10000,0),1),"")</f>
        <v>1244</v>
      </c>
      <c r="AC1951" s="1" t="str">
        <f>IF(INDEX('CAMD Facility Data 2023'!$AE$2:$AG$10000,MATCH(Z1951,'CAMD Facility Data 2023'!$AE$2:$AE$10000,0),3)&gt;0,INDEX('CAMD Facility Data 2023'!$AE$2:$AG$10000,MATCH(Z1951,'CAMD Facility Data 2023'!$AE$2:$AE$10000,0),3),"")</f>
        <v/>
      </c>
      <c r="AD1951" s="20">
        <f t="shared" si="91"/>
        <v>0.51417837245234865</v>
      </c>
      <c r="AE1951" s="25">
        <f t="shared" si="92"/>
        <v>5.311199969901188E-3</v>
      </c>
    </row>
    <row r="1952" spans="1:31" x14ac:dyDescent="0.2">
      <c r="A1952" s="1" t="s">
        <v>291</v>
      </c>
      <c r="B1952" s="1" t="s">
        <v>4574</v>
      </c>
      <c r="C1952" s="1">
        <v>7981</v>
      </c>
      <c r="D1952" s="1">
        <v>4</v>
      </c>
      <c r="F1952" s="1">
        <v>2023</v>
      </c>
      <c r="G1952" s="5">
        <v>99</v>
      </c>
      <c r="H1952" s="5">
        <v>72.930000000000007</v>
      </c>
      <c r="I1952" s="5">
        <v>4479.5200000000004</v>
      </c>
      <c r="K1952" s="5">
        <v>1.4999999999999999E-2</v>
      </c>
      <c r="L1952" s="5">
        <v>4.0000000000000002E-4</v>
      </c>
      <c r="M1952" s="5">
        <v>3418.7539999999999</v>
      </c>
      <c r="N1952" s="6">
        <v>6.0499999999999998E-2</v>
      </c>
      <c r="O1952" s="5">
        <v>1.048</v>
      </c>
      <c r="P1952" s="6">
        <v>3.7499999999999999E-2</v>
      </c>
      <c r="Q1952" s="5">
        <v>56287.91</v>
      </c>
      <c r="R1952" s="1" t="s">
        <v>284</v>
      </c>
      <c r="S1952" s="1" t="s">
        <v>94</v>
      </c>
      <c r="T1952" s="1" t="s">
        <v>93</v>
      </c>
      <c r="V1952" s="1" t="s">
        <v>183</v>
      </c>
      <c r="Y1952" s="1" t="s">
        <v>2690</v>
      </c>
      <c r="Z1952" s="1" t="str">
        <f t="shared" si="90"/>
        <v>7981 4</v>
      </c>
      <c r="AA1952" s="3">
        <f>IF(INDEX('CAMD Facility Data 2023'!$AA$2:$AE$10000,MATCH(Z1952,'CAMD Facility Data 2023'!$AE$2:$AE$10000,0),1)&gt;0,INDEX('CAMD Facility Data 2023'!$AA$2:$AE$10000,MATCH(Z1952,'CAMD Facility Data 2023'!$AE$2:$AE$10000,0),1),"")</f>
        <v>37606</v>
      </c>
      <c r="AB1952" s="5">
        <f>IF(INDEX('CAMD Facility Data 2023'!$AC$2:$AE$10000,MATCH(Z1952,'CAMD Facility Data 2023'!$AE$2:$AE$10000,0),1)&gt;0,INDEX('CAMD Facility Data 2023'!$AC$2:$AE$10000,MATCH(Z1952,'CAMD Facility Data 2023'!$AE$2:$AE$10000,0),1),"")</f>
        <v>1244</v>
      </c>
      <c r="AC1952" s="1" t="str">
        <f>IF(INDEX('CAMD Facility Data 2023'!$AE$2:$AG$10000,MATCH(Z1952,'CAMD Facility Data 2023'!$AE$2:$AE$10000,0),3)&gt;0,INDEX('CAMD Facility Data 2023'!$AE$2:$AG$10000,MATCH(Z1952,'CAMD Facility Data 2023'!$AE$2:$AE$10000,0),3),"")</f>
        <v/>
      </c>
      <c r="AD1952" s="20">
        <f t="shared" si="91"/>
        <v>0.46790727577954777</v>
      </c>
      <c r="AE1952" s="25">
        <f t="shared" si="92"/>
        <v>5.1652415613208241E-3</v>
      </c>
    </row>
    <row r="1953" spans="1:31" x14ac:dyDescent="0.2">
      <c r="A1953" s="1" t="s">
        <v>291</v>
      </c>
      <c r="B1953" s="1" t="s">
        <v>4574</v>
      </c>
      <c r="C1953" s="1">
        <v>7981</v>
      </c>
      <c r="D1953" s="1">
        <v>5</v>
      </c>
      <c r="F1953" s="1">
        <v>2023</v>
      </c>
      <c r="G1953" s="5">
        <v>159</v>
      </c>
      <c r="H1953" s="5">
        <v>117.84</v>
      </c>
      <c r="I1953" s="5">
        <v>7031.92</v>
      </c>
      <c r="K1953" s="5">
        <v>2.1000000000000001E-2</v>
      </c>
      <c r="L1953" s="5">
        <v>2.0000000000000001E-4</v>
      </c>
      <c r="M1953" s="5">
        <v>5414.567</v>
      </c>
      <c r="N1953" s="6">
        <v>6.0100000000000001E-2</v>
      </c>
      <c r="O1953" s="5">
        <v>1.573</v>
      </c>
      <c r="P1953" s="6">
        <v>3.4500000000000003E-2</v>
      </c>
      <c r="Q1953" s="5">
        <v>89764.324999999997</v>
      </c>
      <c r="R1953" s="1" t="s">
        <v>284</v>
      </c>
      <c r="S1953" s="1" t="s">
        <v>94</v>
      </c>
      <c r="T1953" s="1" t="s">
        <v>93</v>
      </c>
      <c r="V1953" s="1" t="s">
        <v>183</v>
      </c>
      <c r="Y1953" s="1" t="s">
        <v>2690</v>
      </c>
      <c r="Z1953" s="1" t="str">
        <f t="shared" si="90"/>
        <v>7981 5</v>
      </c>
      <c r="AA1953" s="3">
        <f>IF(INDEX('CAMD Facility Data 2023'!$AA$2:$AE$10000,MATCH(Z1953,'CAMD Facility Data 2023'!$AE$2:$AE$10000,0),1)&gt;0,INDEX('CAMD Facility Data 2023'!$AA$2:$AE$10000,MATCH(Z1953,'CAMD Facility Data 2023'!$AE$2:$AE$10000,0),1),"")</f>
        <v>37642</v>
      </c>
      <c r="AB1953" s="5">
        <f>IF(INDEX('CAMD Facility Data 2023'!$AC$2:$AE$10000,MATCH(Z1953,'CAMD Facility Data 2023'!$AE$2:$AE$10000,0),1)&gt;0,INDEX('CAMD Facility Data 2023'!$AC$2:$AE$10000,MATCH(Z1953,'CAMD Facility Data 2023'!$AE$2:$AE$10000,0),1),"")</f>
        <v>1243.9000000000001</v>
      </c>
      <c r="AC1953" s="1" t="str">
        <f>IF(INDEX('CAMD Facility Data 2023'!$AE$2:$AG$10000,MATCH(Z1953,'CAMD Facility Data 2023'!$AE$2:$AE$10000,0),3)&gt;0,INDEX('CAMD Facility Data 2023'!$AE$2:$AG$10000,MATCH(Z1953,'CAMD Facility Data 2023'!$AE$2:$AE$10000,0),3),"")</f>
        <v/>
      </c>
      <c r="AD1953" s="20">
        <f t="shared" si="91"/>
        <v>0.44738847995995401</v>
      </c>
      <c r="AE1953" s="25">
        <f t="shared" si="92"/>
        <v>8.2378559883647725E-3</v>
      </c>
    </row>
    <row r="1954" spans="1:31" x14ac:dyDescent="0.2">
      <c r="A1954" s="1" t="s">
        <v>291</v>
      </c>
      <c r="B1954" s="1" t="s">
        <v>4574</v>
      </c>
      <c r="C1954" s="1">
        <v>7981</v>
      </c>
      <c r="D1954" s="1">
        <v>6</v>
      </c>
      <c r="F1954" s="1">
        <v>2023</v>
      </c>
      <c r="G1954" s="5">
        <v>159</v>
      </c>
      <c r="H1954" s="5">
        <v>117.2</v>
      </c>
      <c r="I1954" s="5">
        <v>7098.74</v>
      </c>
      <c r="K1954" s="5">
        <v>2.1000000000000001E-2</v>
      </c>
      <c r="L1954" s="5">
        <v>2.0000000000000001E-4</v>
      </c>
      <c r="M1954" s="5">
        <v>5473.076</v>
      </c>
      <c r="N1954" s="6">
        <v>5.9700000000000003E-2</v>
      </c>
      <c r="O1954" s="5">
        <v>1.5509999999999999</v>
      </c>
      <c r="P1954" s="6">
        <v>3.3399999999999999E-2</v>
      </c>
      <c r="Q1954" s="5">
        <v>91255.770999999993</v>
      </c>
      <c r="R1954" s="1" t="s">
        <v>284</v>
      </c>
      <c r="S1954" s="1" t="s">
        <v>94</v>
      </c>
      <c r="T1954" s="1" t="s">
        <v>93</v>
      </c>
      <c r="V1954" s="1" t="s">
        <v>183</v>
      </c>
      <c r="Y1954" s="1" t="s">
        <v>2690</v>
      </c>
      <c r="Z1954" s="1" t="str">
        <f t="shared" si="90"/>
        <v>7981 6</v>
      </c>
      <c r="AA1954" s="3">
        <f>IF(INDEX('CAMD Facility Data 2023'!$AA$2:$AE$10000,MATCH(Z1954,'CAMD Facility Data 2023'!$AE$2:$AE$10000,0),1)&gt;0,INDEX('CAMD Facility Data 2023'!$AA$2:$AE$10000,MATCH(Z1954,'CAMD Facility Data 2023'!$AE$2:$AE$10000,0),1),"")</f>
        <v>37649</v>
      </c>
      <c r="AB1954" s="5">
        <f>IF(INDEX('CAMD Facility Data 2023'!$AC$2:$AE$10000,MATCH(Z1954,'CAMD Facility Data 2023'!$AE$2:$AE$10000,0),1)&gt;0,INDEX('CAMD Facility Data 2023'!$AC$2:$AE$10000,MATCH(Z1954,'CAMD Facility Data 2023'!$AE$2:$AE$10000,0),1),"")</f>
        <v>1243.9000000000001</v>
      </c>
      <c r="AC1954" s="1" t="str">
        <f>IF(INDEX('CAMD Facility Data 2023'!$AE$2:$AG$10000,MATCH(Z1954,'CAMD Facility Data 2023'!$AE$2:$AE$10000,0),3)&gt;0,INDEX('CAMD Facility Data 2023'!$AE$2:$AG$10000,MATCH(Z1954,'CAMD Facility Data 2023'!$AE$2:$AE$10000,0),3),"")</f>
        <v/>
      </c>
      <c r="AD1954" s="20">
        <f t="shared" si="91"/>
        <v>0.43697895682895838</v>
      </c>
      <c r="AE1954" s="25">
        <f t="shared" si="92"/>
        <v>8.374729043026774E-3</v>
      </c>
    </row>
    <row r="1955" spans="1:31" x14ac:dyDescent="0.2">
      <c r="A1955" s="1" t="s">
        <v>291</v>
      </c>
      <c r="B1955" s="1" t="s">
        <v>4574</v>
      </c>
      <c r="C1955" s="1">
        <v>7981</v>
      </c>
      <c r="D1955" s="1">
        <v>7</v>
      </c>
      <c r="F1955" s="1">
        <v>2023</v>
      </c>
      <c r="G1955" s="5">
        <v>126</v>
      </c>
      <c r="H1955" s="5">
        <v>88.61</v>
      </c>
      <c r="I1955" s="5">
        <v>5316.46</v>
      </c>
      <c r="K1955" s="5">
        <v>1.4999999999999999E-2</v>
      </c>
      <c r="L1955" s="5">
        <v>2.0000000000000001E-4</v>
      </c>
      <c r="M1955" s="5">
        <v>4037.3009999999999</v>
      </c>
      <c r="N1955" s="6">
        <v>6.0199999999999997E-2</v>
      </c>
      <c r="O1955" s="5">
        <v>1.143</v>
      </c>
      <c r="P1955" s="6">
        <v>3.6999999999999998E-2</v>
      </c>
      <c r="Q1955" s="5">
        <v>67123.755000000005</v>
      </c>
      <c r="R1955" s="1" t="s">
        <v>284</v>
      </c>
      <c r="S1955" s="1" t="s">
        <v>94</v>
      </c>
      <c r="T1955" s="1" t="s">
        <v>93</v>
      </c>
      <c r="V1955" s="1" t="s">
        <v>183</v>
      </c>
      <c r="Y1955" s="1" t="s">
        <v>2690</v>
      </c>
      <c r="Z1955" s="1" t="str">
        <f t="shared" si="90"/>
        <v>7981 7</v>
      </c>
      <c r="AA1955" s="3">
        <f>IF(INDEX('CAMD Facility Data 2023'!$AA$2:$AE$10000,MATCH(Z1955,'CAMD Facility Data 2023'!$AE$2:$AE$10000,0),1)&gt;0,INDEX('CAMD Facility Data 2023'!$AA$2:$AE$10000,MATCH(Z1955,'CAMD Facility Data 2023'!$AE$2:$AE$10000,0),1),"")</f>
        <v>37646</v>
      </c>
      <c r="AB1955" s="5">
        <f>IF(INDEX('CAMD Facility Data 2023'!$AC$2:$AE$10000,MATCH(Z1955,'CAMD Facility Data 2023'!$AE$2:$AE$10000,0),1)&gt;0,INDEX('CAMD Facility Data 2023'!$AC$2:$AE$10000,MATCH(Z1955,'CAMD Facility Data 2023'!$AE$2:$AE$10000,0),1),"")</f>
        <v>1243.9000000000001</v>
      </c>
      <c r="AC1955" s="1" t="str">
        <f>IF(INDEX('CAMD Facility Data 2023'!$AE$2:$AG$10000,MATCH(Z1955,'CAMD Facility Data 2023'!$AE$2:$AE$10000,0),3)&gt;0,INDEX('CAMD Facility Data 2023'!$AE$2:$AG$10000,MATCH(Z1955,'CAMD Facility Data 2023'!$AE$2:$AE$10000,0),3),"")</f>
        <v/>
      </c>
      <c r="AD1955" s="20">
        <f t="shared" si="91"/>
        <v>0.42998536620232258</v>
      </c>
      <c r="AE1955" s="25">
        <f t="shared" si="92"/>
        <v>6.1600845000313867E-3</v>
      </c>
    </row>
    <row r="1956" spans="1:31" x14ac:dyDescent="0.2">
      <c r="A1956" s="1" t="s">
        <v>291</v>
      </c>
      <c r="B1956" s="1" t="s">
        <v>4574</v>
      </c>
      <c r="C1956" s="1">
        <v>7981</v>
      </c>
      <c r="D1956" s="1">
        <v>8</v>
      </c>
      <c r="F1956" s="1">
        <v>2023</v>
      </c>
      <c r="G1956" s="5">
        <v>114</v>
      </c>
      <c r="H1956" s="5">
        <v>83</v>
      </c>
      <c r="I1956" s="5">
        <v>4972.28</v>
      </c>
      <c r="K1956" s="5">
        <v>1.4999999999999999E-2</v>
      </c>
      <c r="L1956" s="5">
        <v>2.0000000000000001E-4</v>
      </c>
      <c r="M1956" s="5">
        <v>3936.68</v>
      </c>
      <c r="N1956" s="6">
        <v>0.06</v>
      </c>
      <c r="O1956" s="5">
        <v>0.93300000000000005</v>
      </c>
      <c r="P1956" s="6">
        <v>2.7199999999999998E-2</v>
      </c>
      <c r="Q1956" s="5">
        <v>65023.430999999997</v>
      </c>
      <c r="R1956" s="1" t="s">
        <v>284</v>
      </c>
      <c r="S1956" s="1" t="s">
        <v>94</v>
      </c>
      <c r="T1956" s="1" t="s">
        <v>93</v>
      </c>
      <c r="V1956" s="1" t="s">
        <v>183</v>
      </c>
      <c r="Y1956" s="1" t="s">
        <v>2690</v>
      </c>
      <c r="Z1956" s="1" t="str">
        <f t="shared" si="90"/>
        <v>7981 8</v>
      </c>
      <c r="AA1956" s="3">
        <f>IF(INDEX('CAMD Facility Data 2023'!$AA$2:$AE$10000,MATCH(Z1956,'CAMD Facility Data 2023'!$AE$2:$AE$10000,0),1)&gt;0,INDEX('CAMD Facility Data 2023'!$AA$2:$AE$10000,MATCH(Z1956,'CAMD Facility Data 2023'!$AE$2:$AE$10000,0),1),"")</f>
        <v>37659</v>
      </c>
      <c r="AB1956" s="5">
        <f>IF(INDEX('CAMD Facility Data 2023'!$AC$2:$AE$10000,MATCH(Z1956,'CAMD Facility Data 2023'!$AE$2:$AE$10000,0),1)&gt;0,INDEX('CAMD Facility Data 2023'!$AC$2:$AE$10000,MATCH(Z1956,'CAMD Facility Data 2023'!$AE$2:$AE$10000,0),1),"")</f>
        <v>1243.9000000000001</v>
      </c>
      <c r="AC1956" s="1" t="str">
        <f>IF(INDEX('CAMD Facility Data 2023'!$AE$2:$AG$10000,MATCH(Z1956,'CAMD Facility Data 2023'!$AE$2:$AE$10000,0),3)&gt;0,INDEX('CAMD Facility Data 2023'!$AE$2:$AG$10000,MATCH(Z1956,'CAMD Facility Data 2023'!$AE$2:$AE$10000,0),3),"")</f>
        <v/>
      </c>
      <c r="AD1956" s="20">
        <f t="shared" si="91"/>
        <v>0.3752805553991328</v>
      </c>
      <c r="AE1956" s="25">
        <f t="shared" si="92"/>
        <v>5.9673334640167304E-3</v>
      </c>
    </row>
    <row r="1957" spans="1:31" x14ac:dyDescent="0.2">
      <c r="A1957" s="1" t="s">
        <v>1621</v>
      </c>
      <c r="B1957" s="1" t="s">
        <v>4583</v>
      </c>
      <c r="C1957" s="1">
        <v>7984</v>
      </c>
      <c r="D1957" s="1" t="s">
        <v>372</v>
      </c>
      <c r="F1957" s="1">
        <v>2023</v>
      </c>
      <c r="G1957" s="5">
        <v>1360</v>
      </c>
      <c r="H1957" s="5">
        <v>1197.21</v>
      </c>
      <c r="I1957" s="5">
        <v>29300.83</v>
      </c>
      <c r="K1957" s="5">
        <v>9.0999999999999998E-2</v>
      </c>
      <c r="L1957" s="5">
        <v>1E-3</v>
      </c>
      <c r="M1957" s="5">
        <v>17961.335999999999</v>
      </c>
      <c r="N1957" s="6">
        <v>5.9299999999999999E-2</v>
      </c>
      <c r="O1957" s="5">
        <v>13.128</v>
      </c>
      <c r="P1957" s="6">
        <v>8.6800000000000002E-2</v>
      </c>
      <c r="Q1957" s="5">
        <v>302234.53200000001</v>
      </c>
      <c r="R1957" s="1" t="s">
        <v>44</v>
      </c>
      <c r="T1957" s="1" t="s">
        <v>93</v>
      </c>
      <c r="V1957" s="1" t="s">
        <v>4587</v>
      </c>
      <c r="Y1957" s="1" t="s">
        <v>461</v>
      </c>
      <c r="Z1957" s="1" t="str">
        <f t="shared" si="90"/>
        <v>7984 1A</v>
      </c>
      <c r="AA1957" s="3">
        <f>IF(INDEX('CAMD Facility Data 2023'!$AA$2:$AE$10000,MATCH(Z1957,'CAMD Facility Data 2023'!$AE$2:$AE$10000,0),1)&gt;0,INDEX('CAMD Facility Data 2023'!$AA$2:$AE$10000,MATCH(Z1957,'CAMD Facility Data 2023'!$AE$2:$AE$10000,0),1),"")</f>
        <v>37585</v>
      </c>
      <c r="AB1957" s="5">
        <f>IF(INDEX('CAMD Facility Data 2023'!$AC$2:$AE$10000,MATCH(Z1957,'CAMD Facility Data 2023'!$AE$2:$AE$10000,0),1)&gt;0,INDEX('CAMD Facility Data 2023'!$AC$2:$AE$10000,MATCH(Z1957,'CAMD Facility Data 2023'!$AE$2:$AE$10000,0),1),"")</f>
        <v>325</v>
      </c>
      <c r="AC1957" s="1" t="str">
        <f>IF(INDEX('CAMD Facility Data 2023'!$AE$2:$AG$10000,MATCH(Z1957,'CAMD Facility Data 2023'!$AE$2:$AE$10000,0),3)&gt;0,INDEX('CAMD Facility Data 2023'!$AE$2:$AG$10000,MATCH(Z1957,'CAMD Facility Data 2023'!$AE$2:$AE$10000,0),3),"")</f>
        <v/>
      </c>
      <c r="AD1957" s="20">
        <f t="shared" si="91"/>
        <v>0.89608383107236211</v>
      </c>
      <c r="AE1957" s="25">
        <f t="shared" si="92"/>
        <v>0.10615895047418335</v>
      </c>
    </row>
    <row r="1958" spans="1:31" x14ac:dyDescent="0.2">
      <c r="A1958" s="1" t="s">
        <v>1621</v>
      </c>
      <c r="B1958" s="1" t="s">
        <v>4583</v>
      </c>
      <c r="C1958" s="1">
        <v>7984</v>
      </c>
      <c r="D1958" s="1" t="s">
        <v>1199</v>
      </c>
      <c r="F1958" s="1">
        <v>2023</v>
      </c>
      <c r="G1958" s="5">
        <v>1292</v>
      </c>
      <c r="H1958" s="5">
        <v>1091.7</v>
      </c>
      <c r="I1958" s="5">
        <v>26589.49</v>
      </c>
      <c r="K1958" s="5">
        <v>8.7999999999999995E-2</v>
      </c>
      <c r="L1958" s="5">
        <v>1E-3</v>
      </c>
      <c r="M1958" s="5">
        <v>17343.714</v>
      </c>
      <c r="N1958" s="6">
        <v>5.9299999999999999E-2</v>
      </c>
      <c r="O1958" s="5">
        <v>12.448</v>
      </c>
      <c r="P1958" s="6">
        <v>8.5300000000000001E-2</v>
      </c>
      <c r="Q1958" s="5">
        <v>291845.06800000003</v>
      </c>
      <c r="R1958" s="1" t="s">
        <v>44</v>
      </c>
      <c r="T1958" s="1" t="s">
        <v>93</v>
      </c>
      <c r="V1958" s="1" t="s">
        <v>4587</v>
      </c>
      <c r="Y1958" s="1" t="s">
        <v>461</v>
      </c>
      <c r="Z1958" s="1" t="str">
        <f t="shared" si="90"/>
        <v>7984 1B</v>
      </c>
      <c r="AA1958" s="3">
        <f>IF(INDEX('CAMD Facility Data 2023'!$AA$2:$AE$10000,MATCH(Z1958,'CAMD Facility Data 2023'!$AE$2:$AE$10000,0),1)&gt;0,INDEX('CAMD Facility Data 2023'!$AA$2:$AE$10000,MATCH(Z1958,'CAMD Facility Data 2023'!$AE$2:$AE$10000,0),1),"")</f>
        <v>37585</v>
      </c>
      <c r="AB1958" s="5">
        <f>IF(INDEX('CAMD Facility Data 2023'!$AC$2:$AE$10000,MATCH(Z1958,'CAMD Facility Data 2023'!$AE$2:$AE$10000,0),1)&gt;0,INDEX('CAMD Facility Data 2023'!$AC$2:$AE$10000,MATCH(Z1958,'CAMD Facility Data 2023'!$AE$2:$AE$10000,0),1),"")</f>
        <v>325</v>
      </c>
      <c r="AC1958" s="1" t="str">
        <f>IF(INDEX('CAMD Facility Data 2023'!$AE$2:$AG$10000,MATCH(Z1958,'CAMD Facility Data 2023'!$AE$2:$AE$10000,0),3)&gt;0,INDEX('CAMD Facility Data 2023'!$AE$2:$AG$10000,MATCH(Z1958,'CAMD Facility Data 2023'!$AE$2:$AE$10000,0),3),"")</f>
        <v/>
      </c>
      <c r="AD1958" s="20">
        <f t="shared" si="91"/>
        <v>0.93630979759295863</v>
      </c>
      <c r="AE1958" s="25">
        <f t="shared" si="92"/>
        <v>0.10250968317527223</v>
      </c>
    </row>
    <row r="1959" spans="1:31" x14ac:dyDescent="0.2">
      <c r="A1959" s="1" t="s">
        <v>1186</v>
      </c>
      <c r="B1959" s="1" t="s">
        <v>4589</v>
      </c>
      <c r="C1959" s="1">
        <v>7985</v>
      </c>
      <c r="D1959" s="1">
        <v>1</v>
      </c>
      <c r="F1959" s="1">
        <v>2023</v>
      </c>
      <c r="G1959" s="5">
        <v>4825</v>
      </c>
      <c r="H1959" s="5">
        <v>4732.53</v>
      </c>
      <c r="I1959" s="5">
        <v>722753.91</v>
      </c>
      <c r="K1959" s="5">
        <v>2.37</v>
      </c>
      <c r="L1959" s="5">
        <v>1E-3</v>
      </c>
      <c r="M1959" s="5">
        <v>469375.533</v>
      </c>
      <c r="N1959" s="6">
        <v>5.8999999999999997E-2</v>
      </c>
      <c r="O1959" s="5">
        <v>35.735999999999997</v>
      </c>
      <c r="P1959" s="6">
        <v>1.23E-2</v>
      </c>
      <c r="Q1959" s="5">
        <v>7898123.1469999999</v>
      </c>
      <c r="R1959" s="1" t="s">
        <v>44</v>
      </c>
      <c r="T1959" s="1" t="s">
        <v>71</v>
      </c>
      <c r="V1959" s="1" t="s">
        <v>858</v>
      </c>
      <c r="Y1959" s="1" t="s">
        <v>1207</v>
      </c>
      <c r="Z1959" s="1" t="str">
        <f t="shared" si="90"/>
        <v>7985 1</v>
      </c>
      <c r="AA1959" s="3">
        <f>IF(INDEX('CAMD Facility Data 2023'!$AA$2:$AE$10000,MATCH(Z1959,'CAMD Facility Data 2023'!$AE$2:$AE$10000,0),1)&gt;0,INDEX('CAMD Facility Data 2023'!$AA$2:$AE$10000,MATCH(Z1959,'CAMD Facility Data 2023'!$AE$2:$AE$10000,0),1),"")</f>
        <v>37712</v>
      </c>
      <c r="AB1959" s="5">
        <f>IF(INDEX('CAMD Facility Data 2023'!$AC$2:$AE$10000,MATCH(Z1959,'CAMD Facility Data 2023'!$AE$2:$AE$10000,0),1)&gt;0,INDEX('CAMD Facility Data 2023'!$AC$2:$AE$10000,MATCH(Z1959,'CAMD Facility Data 2023'!$AE$2:$AE$10000,0),1),"")</f>
        <v>2200</v>
      </c>
      <c r="AC1959" s="1" t="str">
        <f>IF(INDEX('CAMD Facility Data 2023'!$AE$2:$AG$10000,MATCH(Z1959,'CAMD Facility Data 2023'!$AE$2:$AE$10000,0),3)&gt;0,INDEX('CAMD Facility Data 2023'!$AE$2:$AG$10000,MATCH(Z1959,'CAMD Facility Data 2023'!$AE$2:$AE$10000,0),3),"")</f>
        <v>Y</v>
      </c>
      <c r="AD1959" s="20">
        <f t="shared" si="91"/>
        <v>9.888843077998706E-2</v>
      </c>
      <c r="AE1959" s="25">
        <f t="shared" si="92"/>
        <v>0.40982374154213363</v>
      </c>
    </row>
    <row r="1960" spans="1:31" x14ac:dyDescent="0.2">
      <c r="A1960" s="1" t="s">
        <v>1186</v>
      </c>
      <c r="B1960" s="1" t="s">
        <v>4589</v>
      </c>
      <c r="C1960" s="1">
        <v>7985</v>
      </c>
      <c r="D1960" s="1">
        <v>2</v>
      </c>
      <c r="F1960" s="1">
        <v>2023</v>
      </c>
      <c r="G1960" s="5">
        <v>4586</v>
      </c>
      <c r="H1960" s="5">
        <v>4489.68</v>
      </c>
      <c r="I1960" s="5">
        <v>689875.14</v>
      </c>
      <c r="K1960" s="5">
        <v>2.2919999999999998</v>
      </c>
      <c r="L1960" s="5">
        <v>1E-3</v>
      </c>
      <c r="M1960" s="5">
        <v>453949.41</v>
      </c>
      <c r="N1960" s="6">
        <v>5.8999999999999997E-2</v>
      </c>
      <c r="O1960" s="5">
        <v>34.994999999999997</v>
      </c>
      <c r="P1960" s="6">
        <v>1.29E-2</v>
      </c>
      <c r="Q1960" s="5">
        <v>7638608.4060000004</v>
      </c>
      <c r="R1960" s="1" t="s">
        <v>44</v>
      </c>
      <c r="T1960" s="1" t="s">
        <v>71</v>
      </c>
      <c r="V1960" s="1" t="s">
        <v>858</v>
      </c>
      <c r="Y1960" s="1" t="s">
        <v>1207</v>
      </c>
      <c r="Z1960" s="1" t="str">
        <f t="shared" si="90"/>
        <v>7985 2</v>
      </c>
      <c r="AA1960" s="3">
        <f>IF(INDEX('CAMD Facility Data 2023'!$AA$2:$AE$10000,MATCH(Z1960,'CAMD Facility Data 2023'!$AE$2:$AE$10000,0),1)&gt;0,INDEX('CAMD Facility Data 2023'!$AA$2:$AE$10000,MATCH(Z1960,'CAMD Facility Data 2023'!$AE$2:$AE$10000,0),1),"")</f>
        <v>37700</v>
      </c>
      <c r="AB1960" s="5">
        <f>IF(INDEX('CAMD Facility Data 2023'!$AC$2:$AE$10000,MATCH(Z1960,'CAMD Facility Data 2023'!$AE$2:$AE$10000,0),1)&gt;0,INDEX('CAMD Facility Data 2023'!$AC$2:$AE$10000,MATCH(Z1960,'CAMD Facility Data 2023'!$AE$2:$AE$10000,0),1),"")</f>
        <v>2200</v>
      </c>
      <c r="AC1960" s="1" t="str">
        <f>IF(INDEX('CAMD Facility Data 2023'!$AE$2:$AG$10000,MATCH(Z1960,'CAMD Facility Data 2023'!$AE$2:$AE$10000,0),3)&gt;0,INDEX('CAMD Facility Data 2023'!$AE$2:$AG$10000,MATCH(Z1960,'CAMD Facility Data 2023'!$AE$2:$AE$10000,0),3),"")</f>
        <v>Y</v>
      </c>
      <c r="AD1960" s="20">
        <f t="shared" si="91"/>
        <v>0.10145314121624965</v>
      </c>
      <c r="AE1960" s="25">
        <f t="shared" si="92"/>
        <v>0.39635784589041095</v>
      </c>
    </row>
    <row r="1961" spans="1:31" x14ac:dyDescent="0.2">
      <c r="A1961" s="1" t="s">
        <v>370</v>
      </c>
      <c r="B1961" s="1" t="s">
        <v>4592</v>
      </c>
      <c r="C1961" s="1">
        <v>7987</v>
      </c>
      <c r="D1961" s="1">
        <v>1</v>
      </c>
      <c r="F1961" s="1">
        <v>2023</v>
      </c>
      <c r="G1961" s="5">
        <v>333</v>
      </c>
      <c r="H1961" s="5">
        <v>271.89999999999998</v>
      </c>
      <c r="I1961" s="5">
        <v>10202.950000000001</v>
      </c>
      <c r="K1961" s="5">
        <v>3.1E-2</v>
      </c>
      <c r="L1961" s="5">
        <v>8.0000000000000004E-4</v>
      </c>
      <c r="M1961" s="5">
        <v>5941.5429999999997</v>
      </c>
      <c r="N1961" s="6">
        <v>5.9299999999999999E-2</v>
      </c>
      <c r="O1961" s="5">
        <v>1.006</v>
      </c>
      <c r="P1961" s="6">
        <v>2.1100000000000001E-2</v>
      </c>
      <c r="Q1961" s="5">
        <v>99977.798999999999</v>
      </c>
      <c r="R1961" s="1" t="s">
        <v>44</v>
      </c>
      <c r="T1961" s="1" t="s">
        <v>93</v>
      </c>
      <c r="V1961" s="1" t="s">
        <v>176</v>
      </c>
      <c r="Y1961" s="1" t="s">
        <v>247</v>
      </c>
      <c r="Z1961" s="1" t="str">
        <f t="shared" si="90"/>
        <v>7987 1</v>
      </c>
      <c r="AA1961" s="3">
        <f>IF(INDEX('CAMD Facility Data 2023'!$AA$2:$AE$10000,MATCH(Z1961,'CAMD Facility Data 2023'!$AE$2:$AE$10000,0),1)&gt;0,INDEX('CAMD Facility Data 2023'!$AA$2:$AE$10000,MATCH(Z1961,'CAMD Facility Data 2023'!$AE$2:$AE$10000,0),1),"")</f>
        <v>37429</v>
      </c>
      <c r="AB1961" s="5">
        <f>IF(INDEX('CAMD Facility Data 2023'!$AC$2:$AE$10000,MATCH(Z1961,'CAMD Facility Data 2023'!$AE$2:$AE$10000,0),1)&gt;0,INDEX('CAMD Facility Data 2023'!$AC$2:$AE$10000,MATCH(Z1961,'CAMD Facility Data 2023'!$AE$2:$AE$10000,0),1),"")</f>
        <v>460.5</v>
      </c>
      <c r="AC1961" s="1" t="str">
        <f>IF(INDEX('CAMD Facility Data 2023'!$AE$2:$AG$10000,MATCH(Z1961,'CAMD Facility Data 2023'!$AE$2:$AE$10000,0),3)&gt;0,INDEX('CAMD Facility Data 2023'!$AE$2:$AG$10000,MATCH(Z1961,'CAMD Facility Data 2023'!$AE$2:$AE$10000,0),3),"")</f>
        <v>Y</v>
      </c>
      <c r="AD1961" s="20">
        <f t="shared" si="91"/>
        <v>0.19719786924369911</v>
      </c>
      <c r="AE1961" s="25">
        <f t="shared" si="92"/>
        <v>2.4783910430889594E-2</v>
      </c>
    </row>
    <row r="1962" spans="1:31" x14ac:dyDescent="0.2">
      <c r="A1962" s="1" t="s">
        <v>1732</v>
      </c>
      <c r="B1962" s="1" t="s">
        <v>4594</v>
      </c>
      <c r="C1962" s="1">
        <v>7988</v>
      </c>
      <c r="D1962" s="1">
        <v>1</v>
      </c>
      <c r="F1962" s="1">
        <v>2023</v>
      </c>
      <c r="G1962" s="5">
        <v>1108</v>
      </c>
      <c r="H1962" s="5">
        <v>996.25</v>
      </c>
      <c r="I1962" s="5">
        <v>70091.31</v>
      </c>
      <c r="K1962" s="5">
        <v>0.23699999999999999</v>
      </c>
      <c r="L1962" s="5">
        <v>1E-3</v>
      </c>
      <c r="M1962" s="5">
        <v>47007.72</v>
      </c>
      <c r="N1962" s="6">
        <v>5.8999999999999997E-2</v>
      </c>
      <c r="O1962" s="5">
        <v>9.9250000000000007</v>
      </c>
      <c r="P1962" s="6">
        <v>3.09E-2</v>
      </c>
      <c r="Q1962" s="5">
        <v>790995.68700000003</v>
      </c>
      <c r="R1962" s="1" t="s">
        <v>44</v>
      </c>
      <c r="T1962" s="1" t="s">
        <v>93</v>
      </c>
      <c r="V1962" s="1" t="s">
        <v>140</v>
      </c>
      <c r="Y1962" s="1" t="s">
        <v>346</v>
      </c>
      <c r="Z1962" s="1" t="str">
        <f t="shared" si="90"/>
        <v>7988 1</v>
      </c>
      <c r="AA1962" s="3">
        <f>IF(INDEX('CAMD Facility Data 2023'!$AA$2:$AE$10000,MATCH(Z1962,'CAMD Facility Data 2023'!$AE$2:$AE$10000,0),1)&gt;0,INDEX('CAMD Facility Data 2023'!$AA$2:$AE$10000,MATCH(Z1962,'CAMD Facility Data 2023'!$AE$2:$AE$10000,0),1),"")</f>
        <v>37923</v>
      </c>
      <c r="AB1962" s="5">
        <f>IF(INDEX('CAMD Facility Data 2023'!$AC$2:$AE$10000,MATCH(Z1962,'CAMD Facility Data 2023'!$AE$2:$AE$10000,0),1)&gt;0,INDEX('CAMD Facility Data 2023'!$AC$2:$AE$10000,MATCH(Z1962,'CAMD Facility Data 2023'!$AE$2:$AE$10000,0),1),"")</f>
        <v>1150</v>
      </c>
      <c r="AC1962" s="1" t="str">
        <f>IF(INDEX('CAMD Facility Data 2023'!$AE$2:$AG$10000,MATCH(Z1962,'CAMD Facility Data 2023'!$AE$2:$AE$10000,0),3)&gt;0,INDEX('CAMD Facility Data 2023'!$AE$2:$AG$10000,MATCH(Z1962,'CAMD Facility Data 2023'!$AE$2:$AE$10000,0),3),"")</f>
        <v/>
      </c>
      <c r="AD1962" s="20">
        <f t="shared" si="91"/>
        <v>0.28320201177578219</v>
      </c>
      <c r="AE1962" s="25">
        <f t="shared" si="92"/>
        <v>7.8518531566408575E-2</v>
      </c>
    </row>
    <row r="1963" spans="1:31" x14ac:dyDescent="0.2">
      <c r="A1963" s="1" t="s">
        <v>1732</v>
      </c>
      <c r="B1963" s="1" t="s">
        <v>4594</v>
      </c>
      <c r="C1963" s="1">
        <v>7988</v>
      </c>
      <c r="D1963" s="1">
        <v>2</v>
      </c>
      <c r="F1963" s="1">
        <v>2023</v>
      </c>
      <c r="G1963" s="5">
        <v>1040</v>
      </c>
      <c r="H1963" s="5">
        <v>936.62</v>
      </c>
      <c r="I1963" s="5">
        <v>66028.98</v>
      </c>
      <c r="K1963" s="5">
        <v>0.221</v>
      </c>
      <c r="L1963" s="5">
        <v>1E-3</v>
      </c>
      <c r="M1963" s="5">
        <v>43778.057999999997</v>
      </c>
      <c r="N1963" s="6">
        <v>5.8999999999999997E-2</v>
      </c>
      <c r="O1963" s="5">
        <v>9.0530000000000008</v>
      </c>
      <c r="P1963" s="6">
        <v>2.9600000000000001E-2</v>
      </c>
      <c r="Q1963" s="5">
        <v>736621.51100000006</v>
      </c>
      <c r="R1963" s="1" t="s">
        <v>44</v>
      </c>
      <c r="T1963" s="1" t="s">
        <v>93</v>
      </c>
      <c r="V1963" s="1" t="s">
        <v>140</v>
      </c>
      <c r="Y1963" s="1" t="s">
        <v>346</v>
      </c>
      <c r="Z1963" s="1" t="str">
        <f t="shared" si="90"/>
        <v>7988 2</v>
      </c>
      <c r="AA1963" s="3">
        <f>IF(INDEX('CAMD Facility Data 2023'!$AA$2:$AE$10000,MATCH(Z1963,'CAMD Facility Data 2023'!$AE$2:$AE$10000,0),1)&gt;0,INDEX('CAMD Facility Data 2023'!$AA$2:$AE$10000,MATCH(Z1963,'CAMD Facility Data 2023'!$AE$2:$AE$10000,0),1),"")</f>
        <v>38014</v>
      </c>
      <c r="AB1963" s="5">
        <f>IF(INDEX('CAMD Facility Data 2023'!$AC$2:$AE$10000,MATCH(Z1963,'CAMD Facility Data 2023'!$AE$2:$AE$10000,0),1)&gt;0,INDEX('CAMD Facility Data 2023'!$AC$2:$AE$10000,MATCH(Z1963,'CAMD Facility Data 2023'!$AE$2:$AE$10000,0),1),"")</f>
        <v>1150</v>
      </c>
      <c r="AC1963" s="1" t="str">
        <f>IF(INDEX('CAMD Facility Data 2023'!$AE$2:$AG$10000,MATCH(Z1963,'CAMD Facility Data 2023'!$AE$2:$AE$10000,0),3)&gt;0,INDEX('CAMD Facility Data 2023'!$AE$2:$AG$10000,MATCH(Z1963,'CAMD Facility Data 2023'!$AE$2:$AE$10000,0),3),"")</f>
        <v/>
      </c>
      <c r="AD1963" s="20">
        <f t="shared" si="91"/>
        <v>0.27421292892908539</v>
      </c>
      <c r="AE1963" s="25">
        <f t="shared" si="92"/>
        <v>7.3121055290847739E-2</v>
      </c>
    </row>
    <row r="1964" spans="1:31" x14ac:dyDescent="0.2">
      <c r="A1964" s="1" t="s">
        <v>1732</v>
      </c>
      <c r="B1964" s="1" t="s">
        <v>4594</v>
      </c>
      <c r="C1964" s="1">
        <v>7988</v>
      </c>
      <c r="D1964" s="1">
        <v>3</v>
      </c>
      <c r="F1964" s="1">
        <v>2023</v>
      </c>
      <c r="G1964" s="5">
        <v>1234</v>
      </c>
      <c r="H1964" s="5">
        <v>1104.0899999999999</v>
      </c>
      <c r="I1964" s="5">
        <v>76911.820000000007</v>
      </c>
      <c r="K1964" s="5">
        <v>0.27500000000000002</v>
      </c>
      <c r="L1964" s="5">
        <v>1E-3</v>
      </c>
      <c r="M1964" s="5">
        <v>54408.245999999999</v>
      </c>
      <c r="N1964" s="6">
        <v>5.8999999999999997E-2</v>
      </c>
      <c r="O1964" s="5">
        <v>14.227</v>
      </c>
      <c r="P1964" s="6">
        <v>3.8600000000000002E-2</v>
      </c>
      <c r="Q1964" s="5">
        <v>915529.92799999996</v>
      </c>
      <c r="R1964" s="1" t="s">
        <v>44</v>
      </c>
      <c r="T1964" s="1" t="s">
        <v>93</v>
      </c>
      <c r="V1964" s="1" t="s">
        <v>140</v>
      </c>
      <c r="Y1964" s="1" t="s">
        <v>346</v>
      </c>
      <c r="Z1964" s="1" t="str">
        <f t="shared" si="90"/>
        <v>7988 3</v>
      </c>
      <c r="AA1964" s="3">
        <f>IF(INDEX('CAMD Facility Data 2023'!$AA$2:$AE$10000,MATCH(Z1964,'CAMD Facility Data 2023'!$AE$2:$AE$10000,0),1)&gt;0,INDEX('CAMD Facility Data 2023'!$AA$2:$AE$10000,MATCH(Z1964,'CAMD Facility Data 2023'!$AE$2:$AE$10000,0),1),"")</f>
        <v>38440</v>
      </c>
      <c r="AB1964" s="5">
        <f>IF(INDEX('CAMD Facility Data 2023'!$AC$2:$AE$10000,MATCH(Z1964,'CAMD Facility Data 2023'!$AE$2:$AE$10000,0),1)&gt;0,INDEX('CAMD Facility Data 2023'!$AC$2:$AE$10000,MATCH(Z1964,'CAMD Facility Data 2023'!$AE$2:$AE$10000,0),1),"")</f>
        <v>1150</v>
      </c>
      <c r="AC1964" s="1" t="str">
        <f>IF(INDEX('CAMD Facility Data 2023'!$AE$2:$AG$10000,MATCH(Z1964,'CAMD Facility Data 2023'!$AE$2:$AE$10000,0),3)&gt;0,INDEX('CAMD Facility Data 2023'!$AE$2:$AG$10000,MATCH(Z1964,'CAMD Facility Data 2023'!$AE$2:$AE$10000,0),3),"")</f>
        <v/>
      </c>
      <c r="AD1964" s="20">
        <f t="shared" si="91"/>
        <v>0.36995613938143707</v>
      </c>
      <c r="AE1964" s="25">
        <f t="shared" si="92"/>
        <v>9.0880477268215201E-2</v>
      </c>
    </row>
    <row r="1965" spans="1:31" x14ac:dyDescent="0.2">
      <c r="A1965" s="1" t="s">
        <v>1732</v>
      </c>
      <c r="B1965" s="1" t="s">
        <v>4597</v>
      </c>
      <c r="C1965" s="1">
        <v>7989</v>
      </c>
      <c r="D1965" s="1">
        <v>1</v>
      </c>
      <c r="F1965" s="1">
        <v>2023</v>
      </c>
      <c r="G1965" s="5">
        <v>3118</v>
      </c>
      <c r="H1965" s="5">
        <v>2677.46</v>
      </c>
      <c r="I1965" s="5">
        <v>112771.67</v>
      </c>
      <c r="K1965" s="5">
        <v>0.32600000000000001</v>
      </c>
      <c r="L1965" s="5">
        <v>1E-3</v>
      </c>
      <c r="M1965" s="5">
        <v>64629.525000000001</v>
      </c>
      <c r="N1965" s="6">
        <v>5.9200000000000003E-2</v>
      </c>
      <c r="O1965" s="5">
        <v>47.341999999999999</v>
      </c>
      <c r="P1965" s="6">
        <v>9.9500000000000005E-2</v>
      </c>
      <c r="Q1965" s="5">
        <v>1087499.574</v>
      </c>
      <c r="R1965" s="1" t="s">
        <v>44</v>
      </c>
      <c r="T1965" s="1" t="s">
        <v>93</v>
      </c>
      <c r="V1965" s="1" t="s">
        <v>95</v>
      </c>
      <c r="Y1965" s="1" t="s">
        <v>346</v>
      </c>
      <c r="Z1965" s="1" t="str">
        <f t="shared" si="90"/>
        <v>7989 1</v>
      </c>
      <c r="AA1965" s="3">
        <f>IF(INDEX('CAMD Facility Data 2023'!$AA$2:$AE$10000,MATCH(Z1965,'CAMD Facility Data 2023'!$AE$2:$AE$10000,0),1)&gt;0,INDEX('CAMD Facility Data 2023'!$AA$2:$AE$10000,MATCH(Z1965,'CAMD Facility Data 2023'!$AE$2:$AE$10000,0),1),"")</f>
        <v>37729</v>
      </c>
      <c r="AB1965" s="5">
        <f>IF(INDEX('CAMD Facility Data 2023'!$AC$2:$AE$10000,MATCH(Z1965,'CAMD Facility Data 2023'!$AE$2:$AE$10000,0),1)&gt;0,INDEX('CAMD Facility Data 2023'!$AC$2:$AE$10000,MATCH(Z1965,'CAMD Facility Data 2023'!$AE$2:$AE$10000,0),1),"")</f>
        <v>575</v>
      </c>
      <c r="AC1965" s="1" t="str">
        <f>IF(INDEX('CAMD Facility Data 2023'!$AE$2:$AG$10000,MATCH(Z1965,'CAMD Facility Data 2023'!$AE$2:$AE$10000,0),3)&gt;0,INDEX('CAMD Facility Data 2023'!$AE$2:$AG$10000,MATCH(Z1965,'CAMD Facility Data 2023'!$AE$2:$AE$10000,0),3),"")</f>
        <v/>
      </c>
      <c r="AD1965" s="20">
        <f t="shared" si="91"/>
        <v>0.83960803276212903</v>
      </c>
      <c r="AE1965" s="25">
        <f t="shared" si="92"/>
        <v>0.21590223823704585</v>
      </c>
    </row>
    <row r="1966" spans="1:31" x14ac:dyDescent="0.2">
      <c r="A1966" s="1" t="s">
        <v>1732</v>
      </c>
      <c r="B1966" s="1" t="s">
        <v>4597</v>
      </c>
      <c r="C1966" s="1">
        <v>7989</v>
      </c>
      <c r="D1966" s="1">
        <v>2</v>
      </c>
      <c r="F1966" s="1">
        <v>2023</v>
      </c>
      <c r="G1966" s="5">
        <v>2628</v>
      </c>
      <c r="H1966" s="5">
        <v>2238.9299999999998</v>
      </c>
      <c r="I1966" s="5">
        <v>92102.58</v>
      </c>
      <c r="K1966" s="5">
        <v>0.26600000000000001</v>
      </c>
      <c r="L1966" s="5">
        <v>1E-3</v>
      </c>
      <c r="M1966" s="5">
        <v>52663.822</v>
      </c>
      <c r="N1966" s="6">
        <v>5.9200000000000003E-2</v>
      </c>
      <c r="O1966" s="5">
        <v>37.292000000000002</v>
      </c>
      <c r="P1966" s="6">
        <v>9.6299999999999997E-2</v>
      </c>
      <c r="Q1966" s="5">
        <v>886155.78300000005</v>
      </c>
      <c r="R1966" s="1" t="s">
        <v>44</v>
      </c>
      <c r="T1966" s="1" t="s">
        <v>93</v>
      </c>
      <c r="V1966" s="1" t="s">
        <v>95</v>
      </c>
      <c r="Y1966" s="1" t="s">
        <v>346</v>
      </c>
      <c r="Z1966" s="1" t="str">
        <f t="shared" si="90"/>
        <v>7989 2</v>
      </c>
      <c r="AA1966" s="3">
        <f>IF(INDEX('CAMD Facility Data 2023'!$AA$2:$AE$10000,MATCH(Z1966,'CAMD Facility Data 2023'!$AE$2:$AE$10000,0),1)&gt;0,INDEX('CAMD Facility Data 2023'!$AA$2:$AE$10000,MATCH(Z1966,'CAMD Facility Data 2023'!$AE$2:$AE$10000,0),1),"")</f>
        <v>37739</v>
      </c>
      <c r="AB1966" s="5">
        <f>IF(INDEX('CAMD Facility Data 2023'!$AC$2:$AE$10000,MATCH(Z1966,'CAMD Facility Data 2023'!$AE$2:$AE$10000,0),1)&gt;0,INDEX('CAMD Facility Data 2023'!$AC$2:$AE$10000,MATCH(Z1966,'CAMD Facility Data 2023'!$AE$2:$AE$10000,0),1),"")</f>
        <v>565</v>
      </c>
      <c r="AC1966" s="1" t="str">
        <f>IF(INDEX('CAMD Facility Data 2023'!$AE$2:$AG$10000,MATCH(Z1966,'CAMD Facility Data 2023'!$AE$2:$AE$10000,0),3)&gt;0,INDEX('CAMD Facility Data 2023'!$AE$2:$AG$10000,MATCH(Z1966,'CAMD Facility Data 2023'!$AE$2:$AE$10000,0),3),"")</f>
        <v/>
      </c>
      <c r="AD1966" s="20">
        <f t="shared" si="91"/>
        <v>0.80979273327630996</v>
      </c>
      <c r="AE1966" s="25">
        <f t="shared" si="92"/>
        <v>0.1790430724936356</v>
      </c>
    </row>
    <row r="1967" spans="1:31" x14ac:dyDescent="0.2">
      <c r="A1967" s="1" t="s">
        <v>1732</v>
      </c>
      <c r="B1967" s="1" t="s">
        <v>4597</v>
      </c>
      <c r="C1967" s="1">
        <v>7989</v>
      </c>
      <c r="D1967" s="1">
        <v>3</v>
      </c>
      <c r="F1967" s="1">
        <v>2023</v>
      </c>
      <c r="G1967" s="5">
        <v>2322</v>
      </c>
      <c r="H1967" s="5">
        <v>1989.22</v>
      </c>
      <c r="I1967" s="5">
        <v>85307.839999999997</v>
      </c>
      <c r="K1967" s="5">
        <v>0.249</v>
      </c>
      <c r="L1967" s="5">
        <v>1E-3</v>
      </c>
      <c r="M1967" s="5">
        <v>49240.675000000003</v>
      </c>
      <c r="N1967" s="6">
        <v>5.9200000000000003E-2</v>
      </c>
      <c r="O1967" s="5">
        <v>36.811</v>
      </c>
      <c r="P1967" s="6">
        <v>0.1004</v>
      </c>
      <c r="Q1967" s="5">
        <v>828557.7</v>
      </c>
      <c r="R1967" s="1" t="s">
        <v>44</v>
      </c>
      <c r="T1967" s="1" t="s">
        <v>93</v>
      </c>
      <c r="V1967" s="1" t="s">
        <v>95</v>
      </c>
      <c r="Y1967" s="1" t="s">
        <v>346</v>
      </c>
      <c r="Z1967" s="1" t="str">
        <f t="shared" si="90"/>
        <v>7989 3</v>
      </c>
      <c r="AA1967" s="3">
        <f>IF(INDEX('CAMD Facility Data 2023'!$AA$2:$AE$10000,MATCH(Z1967,'CAMD Facility Data 2023'!$AE$2:$AE$10000,0),1)&gt;0,INDEX('CAMD Facility Data 2023'!$AA$2:$AE$10000,MATCH(Z1967,'CAMD Facility Data 2023'!$AE$2:$AE$10000,0),1),"")</f>
        <v>37737</v>
      </c>
      <c r="AB1967" s="5">
        <f>IF(INDEX('CAMD Facility Data 2023'!$AC$2:$AE$10000,MATCH(Z1967,'CAMD Facility Data 2023'!$AE$2:$AE$10000,0),1)&gt;0,INDEX('CAMD Facility Data 2023'!$AC$2:$AE$10000,MATCH(Z1967,'CAMD Facility Data 2023'!$AE$2:$AE$10000,0),1),"")</f>
        <v>615</v>
      </c>
      <c r="AC1967" s="1" t="str">
        <f>IF(INDEX('CAMD Facility Data 2023'!$AE$2:$AG$10000,MATCH(Z1967,'CAMD Facility Data 2023'!$AE$2:$AE$10000,0),3)&gt;0,INDEX('CAMD Facility Data 2023'!$AE$2:$AG$10000,MATCH(Z1967,'CAMD Facility Data 2023'!$AE$2:$AE$10000,0),3),"")</f>
        <v/>
      </c>
      <c r="AD1967" s="20">
        <f t="shared" si="91"/>
        <v>0.86301563842197859</v>
      </c>
      <c r="AE1967" s="25">
        <f t="shared" si="92"/>
        <v>0.15379546720124734</v>
      </c>
    </row>
    <row r="1968" spans="1:31" x14ac:dyDescent="0.2">
      <c r="A1968" s="1" t="s">
        <v>3167</v>
      </c>
      <c r="B1968" s="1" t="s">
        <v>4600</v>
      </c>
      <c r="C1968" s="1">
        <v>7991</v>
      </c>
      <c r="D1968" s="1" t="s">
        <v>3858</v>
      </c>
      <c r="F1968" s="1">
        <v>2023</v>
      </c>
      <c r="G1968" s="5">
        <v>4238</v>
      </c>
      <c r="H1968" s="5">
        <v>3986.92</v>
      </c>
      <c r="I1968" s="5">
        <v>186254.14</v>
      </c>
      <c r="K1968" s="5">
        <v>0.83499999999999996</v>
      </c>
      <c r="L1968" s="5">
        <v>1E-3</v>
      </c>
      <c r="M1968" s="5">
        <v>97469.82</v>
      </c>
      <c r="N1968" s="6">
        <v>5.9200000000000003E-2</v>
      </c>
      <c r="O1968" s="5">
        <v>8.5540000000000003</v>
      </c>
      <c r="P1968" s="6">
        <v>1.7000000000000001E-2</v>
      </c>
      <c r="Q1968" s="5">
        <v>1640116.679</v>
      </c>
      <c r="R1968" s="1" t="s">
        <v>284</v>
      </c>
      <c r="S1968" s="1" t="s">
        <v>94</v>
      </c>
      <c r="T1968" s="1" t="s">
        <v>71</v>
      </c>
      <c r="V1968" s="1" t="s">
        <v>176</v>
      </c>
      <c r="Y1968" s="1" t="s">
        <v>461</v>
      </c>
      <c r="Z1968" s="1" t="str">
        <f t="shared" si="90"/>
        <v>7991 U1</v>
      </c>
      <c r="AA1968" s="3">
        <f>IF(INDEX('CAMD Facility Data 2023'!$AA$2:$AE$10000,MATCH(Z1968,'CAMD Facility Data 2023'!$AE$2:$AE$10000,0),1)&gt;0,INDEX('CAMD Facility Data 2023'!$AA$2:$AE$10000,MATCH(Z1968,'CAMD Facility Data 2023'!$AE$2:$AE$10000,0),1),"")</f>
        <v>38468</v>
      </c>
      <c r="AB1968" s="5">
        <f>IF(INDEX('CAMD Facility Data 2023'!$AC$2:$AE$10000,MATCH(Z1968,'CAMD Facility Data 2023'!$AE$2:$AE$10000,0),1)&gt;0,INDEX('CAMD Facility Data 2023'!$AC$2:$AE$10000,MATCH(Z1968,'CAMD Facility Data 2023'!$AE$2:$AE$10000,0),1),"")</f>
        <v>733</v>
      </c>
      <c r="AC1968" s="1" t="str">
        <f>IF(INDEX('CAMD Facility Data 2023'!$AE$2:$AG$10000,MATCH(Z1968,'CAMD Facility Data 2023'!$AE$2:$AE$10000,0),3)&gt;0,INDEX('CAMD Facility Data 2023'!$AE$2:$AG$10000,MATCH(Z1968,'CAMD Facility Data 2023'!$AE$2:$AE$10000,0),3),"")</f>
        <v>Y</v>
      </c>
      <c r="AD1968" s="20">
        <f t="shared" si="91"/>
        <v>9.1852991831483571E-2</v>
      </c>
      <c r="AE1968" s="25">
        <f t="shared" si="92"/>
        <v>0.25542691868034662</v>
      </c>
    </row>
    <row r="1969" spans="1:31" x14ac:dyDescent="0.2">
      <c r="A1969" s="1" t="s">
        <v>3167</v>
      </c>
      <c r="B1969" s="1" t="s">
        <v>4600</v>
      </c>
      <c r="C1969" s="1">
        <v>7991</v>
      </c>
      <c r="D1969" s="1" t="s">
        <v>3862</v>
      </c>
      <c r="F1969" s="1">
        <v>2023</v>
      </c>
      <c r="G1969" s="5">
        <v>5808</v>
      </c>
      <c r="H1969" s="5">
        <v>5572.54</v>
      </c>
      <c r="I1969" s="5">
        <v>244599.21</v>
      </c>
      <c r="K1969" s="5">
        <v>1.169</v>
      </c>
      <c r="L1969" s="5">
        <v>1E-3</v>
      </c>
      <c r="M1969" s="5">
        <v>137647.63699999999</v>
      </c>
      <c r="N1969" s="6">
        <v>5.9200000000000003E-2</v>
      </c>
      <c r="O1969" s="5">
        <v>10.417999999999999</v>
      </c>
      <c r="P1969" s="6">
        <v>1.3100000000000001E-2</v>
      </c>
      <c r="Q1969" s="5">
        <v>2316175.3480000002</v>
      </c>
      <c r="R1969" s="1" t="s">
        <v>284</v>
      </c>
      <c r="S1969" s="1" t="s">
        <v>94</v>
      </c>
      <c r="T1969" s="1" t="s">
        <v>71</v>
      </c>
      <c r="V1969" s="1" t="s">
        <v>176</v>
      </c>
      <c r="Y1969" s="1" t="s">
        <v>1020</v>
      </c>
      <c r="Z1969" s="1" t="str">
        <f t="shared" si="90"/>
        <v>7991 U2</v>
      </c>
      <c r="AA1969" s="3">
        <f>IF(INDEX('CAMD Facility Data 2023'!$AA$2:$AE$10000,MATCH(Z1969,'CAMD Facility Data 2023'!$AE$2:$AE$10000,0),1)&gt;0,INDEX('CAMD Facility Data 2023'!$AA$2:$AE$10000,MATCH(Z1969,'CAMD Facility Data 2023'!$AE$2:$AE$10000,0),1),"")</f>
        <v>38468</v>
      </c>
      <c r="AB1969" s="5">
        <f>IF(INDEX('CAMD Facility Data 2023'!$AC$2:$AE$10000,MATCH(Z1969,'CAMD Facility Data 2023'!$AE$2:$AE$10000,0),1)&gt;0,INDEX('CAMD Facility Data 2023'!$AC$2:$AE$10000,MATCH(Z1969,'CAMD Facility Data 2023'!$AE$2:$AE$10000,0),1),"")</f>
        <v>733</v>
      </c>
      <c r="AC1969" s="1" t="str">
        <f>IF(INDEX('CAMD Facility Data 2023'!$AE$2:$AG$10000,MATCH(Z1969,'CAMD Facility Data 2023'!$AE$2:$AE$10000,0),3)&gt;0,INDEX('CAMD Facility Data 2023'!$AE$2:$AG$10000,MATCH(Z1969,'CAMD Facility Data 2023'!$AE$2:$AE$10000,0),3),"")</f>
        <v>Y</v>
      </c>
      <c r="AD1969" s="20">
        <f t="shared" si="91"/>
        <v>8.5184248959757472E-2</v>
      </c>
      <c r="AE1969" s="25">
        <f t="shared" si="92"/>
        <v>0.36071429541447858</v>
      </c>
    </row>
    <row r="1970" spans="1:31" x14ac:dyDescent="0.2">
      <c r="A1970" s="1" t="s">
        <v>690</v>
      </c>
      <c r="B1970" s="1" t="s">
        <v>4603</v>
      </c>
      <c r="C1970" s="1">
        <v>7999</v>
      </c>
      <c r="D1970" s="1">
        <v>1</v>
      </c>
      <c r="F1970" s="1">
        <v>2023</v>
      </c>
      <c r="G1970" s="5">
        <v>6565</v>
      </c>
      <c r="H1970" s="5">
        <v>6527.81</v>
      </c>
      <c r="I1970" s="5">
        <v>1809534.23</v>
      </c>
      <c r="K1970" s="5">
        <v>4.9649999999999999</v>
      </c>
      <c r="L1970" s="5">
        <v>8.9999999999999998E-4</v>
      </c>
      <c r="M1970" s="5">
        <v>754995.71900000004</v>
      </c>
      <c r="N1970" s="6">
        <v>5.8999999999999997E-2</v>
      </c>
      <c r="O1970" s="5">
        <v>45.034999999999997</v>
      </c>
      <c r="P1970" s="6">
        <v>9.1000000000000004E-3</v>
      </c>
      <c r="Q1970" s="5">
        <v>12704240.651000001</v>
      </c>
      <c r="R1970" s="1" t="s">
        <v>284</v>
      </c>
      <c r="T1970" s="1" t="s">
        <v>71</v>
      </c>
      <c r="V1970" s="1" t="s">
        <v>64</v>
      </c>
      <c r="Y1970" s="1" t="s">
        <v>247</v>
      </c>
      <c r="Z1970" s="1" t="str">
        <f t="shared" si="90"/>
        <v>7999 1</v>
      </c>
      <c r="AA1970" s="3">
        <f>IF(INDEX('CAMD Facility Data 2023'!$AA$2:$AE$10000,MATCH(Z1970,'CAMD Facility Data 2023'!$AE$2:$AE$10000,0),1)&gt;0,INDEX('CAMD Facility Data 2023'!$AA$2:$AE$10000,MATCH(Z1970,'CAMD Facility Data 2023'!$AE$2:$AE$10000,0),1),"")</f>
        <v>39479</v>
      </c>
      <c r="AB1970" s="5">
        <f>IF(INDEX('CAMD Facility Data 2023'!$AC$2:$AE$10000,MATCH(Z1970,'CAMD Facility Data 2023'!$AE$2:$AE$10000,0),1)&gt;0,INDEX('CAMD Facility Data 2023'!$AC$2:$AE$10000,MATCH(Z1970,'CAMD Facility Data 2023'!$AE$2:$AE$10000,0),1),"")</f>
        <v>3000</v>
      </c>
      <c r="AC1970" s="1" t="str">
        <f>IF(INDEX('CAMD Facility Data 2023'!$AE$2:$AG$10000,MATCH(Z1970,'CAMD Facility Data 2023'!$AE$2:$AE$10000,0),3)&gt;0,INDEX('CAMD Facility Data 2023'!$AE$2:$AG$10000,MATCH(Z1970,'CAMD Facility Data 2023'!$AE$2:$AE$10000,0),3),"")</f>
        <v>Y</v>
      </c>
      <c r="AD1970" s="20">
        <f t="shared" si="91"/>
        <v>4.977523967590268E-2</v>
      </c>
      <c r="AE1970" s="25">
        <f t="shared" si="92"/>
        <v>0.48341859402587523</v>
      </c>
    </row>
    <row r="1971" spans="1:31" x14ac:dyDescent="0.2">
      <c r="A1971" s="1" t="s">
        <v>690</v>
      </c>
      <c r="B1971" s="1" t="s">
        <v>4603</v>
      </c>
      <c r="C1971" s="1">
        <v>7999</v>
      </c>
      <c r="D1971" s="1">
        <v>2</v>
      </c>
      <c r="F1971" s="1">
        <v>2023</v>
      </c>
      <c r="G1971" s="5">
        <v>6836</v>
      </c>
      <c r="H1971" s="5">
        <v>6813.22</v>
      </c>
      <c r="I1971" s="5">
        <v>1890311.47</v>
      </c>
      <c r="K1971" s="5">
        <v>5.2839999999999998</v>
      </c>
      <c r="L1971" s="5">
        <v>8.0000000000000004E-4</v>
      </c>
      <c r="M1971" s="5">
        <v>784152.30700000003</v>
      </c>
      <c r="N1971" s="6">
        <v>5.8999999999999997E-2</v>
      </c>
      <c r="O1971" s="5">
        <v>44.932000000000002</v>
      </c>
      <c r="P1971" s="6">
        <v>7.9000000000000008E-3</v>
      </c>
      <c r="Q1971" s="5">
        <v>13194906.013</v>
      </c>
      <c r="R1971" s="1" t="s">
        <v>284</v>
      </c>
      <c r="T1971" s="1" t="s">
        <v>71</v>
      </c>
      <c r="V1971" s="1" t="s">
        <v>64</v>
      </c>
      <c r="Y1971" s="1" t="s">
        <v>247</v>
      </c>
      <c r="Z1971" s="1" t="str">
        <f t="shared" si="90"/>
        <v>7999 2</v>
      </c>
      <c r="AA1971" s="3">
        <f>IF(INDEX('CAMD Facility Data 2023'!$AA$2:$AE$10000,MATCH(Z1971,'CAMD Facility Data 2023'!$AE$2:$AE$10000,0),1)&gt;0,INDEX('CAMD Facility Data 2023'!$AA$2:$AE$10000,MATCH(Z1971,'CAMD Facility Data 2023'!$AE$2:$AE$10000,0),1),"")</f>
        <v>39485</v>
      </c>
      <c r="AB1971" s="5">
        <f>IF(INDEX('CAMD Facility Data 2023'!$AC$2:$AE$10000,MATCH(Z1971,'CAMD Facility Data 2023'!$AE$2:$AE$10000,0),1)&gt;0,INDEX('CAMD Facility Data 2023'!$AC$2:$AE$10000,MATCH(Z1971,'CAMD Facility Data 2023'!$AE$2:$AE$10000,0),1),"")</f>
        <v>3000</v>
      </c>
      <c r="AC1971" s="1" t="str">
        <f>IF(INDEX('CAMD Facility Data 2023'!$AE$2:$AG$10000,MATCH(Z1971,'CAMD Facility Data 2023'!$AE$2:$AE$10000,0),3)&gt;0,INDEX('CAMD Facility Data 2023'!$AE$2:$AG$10000,MATCH(Z1971,'CAMD Facility Data 2023'!$AE$2:$AE$10000,0),3),"")</f>
        <v>Y</v>
      </c>
      <c r="AD1971" s="20">
        <f t="shared" si="91"/>
        <v>4.7539255528085009E-2</v>
      </c>
      <c r="AE1971" s="25">
        <f t="shared" si="92"/>
        <v>0.5020892699010655</v>
      </c>
    </row>
    <row r="1972" spans="1:31" x14ac:dyDescent="0.2">
      <c r="A1972" s="1" t="s">
        <v>203</v>
      </c>
      <c r="B1972" s="1" t="s">
        <v>4609</v>
      </c>
      <c r="C1972" s="1">
        <v>8000</v>
      </c>
      <c r="D1972" s="1">
        <v>1</v>
      </c>
      <c r="F1972" s="1">
        <v>2023</v>
      </c>
      <c r="G1972" s="5">
        <v>3411</v>
      </c>
      <c r="H1972" s="5">
        <v>3174.03</v>
      </c>
      <c r="I1972" s="5">
        <v>299286.14</v>
      </c>
      <c r="K1972" s="5">
        <v>0.77600000000000002</v>
      </c>
      <c r="L1972" s="5">
        <v>1E-3</v>
      </c>
      <c r="M1972" s="5">
        <v>153677.56700000001</v>
      </c>
      <c r="N1972" s="6">
        <v>5.91E-2</v>
      </c>
      <c r="O1972" s="5">
        <v>17.026</v>
      </c>
      <c r="P1972" s="6">
        <v>2.0500000000000001E-2</v>
      </c>
      <c r="Q1972" s="5">
        <v>2585980.7609999999</v>
      </c>
      <c r="R1972" s="1" t="s">
        <v>44</v>
      </c>
      <c r="T1972" s="1" t="s">
        <v>71</v>
      </c>
      <c r="V1972" s="1" t="s">
        <v>64</v>
      </c>
      <c r="Y1972" s="1" t="s">
        <v>1666</v>
      </c>
      <c r="Z1972" s="1" t="str">
        <f t="shared" si="90"/>
        <v>8000 1</v>
      </c>
      <c r="AA1972" s="3">
        <f>IF(INDEX('CAMD Facility Data 2023'!$AA$2:$AE$10000,MATCH(Z1972,'CAMD Facility Data 2023'!$AE$2:$AE$10000,0),1)&gt;0,INDEX('CAMD Facility Data 2023'!$AA$2:$AE$10000,MATCH(Z1972,'CAMD Facility Data 2023'!$AE$2:$AE$10000,0),1),"")</f>
        <v>38265</v>
      </c>
      <c r="AB1972" s="5">
        <f>IF(INDEX('CAMD Facility Data 2023'!$AC$2:$AE$10000,MATCH(Z1972,'CAMD Facility Data 2023'!$AE$2:$AE$10000,0),1)&gt;0,INDEX('CAMD Facility Data 2023'!$AC$2:$AE$10000,MATCH(Z1972,'CAMD Facility Data 2023'!$AE$2:$AE$10000,0),1),"")</f>
        <v>1314</v>
      </c>
      <c r="AC1972" s="1" t="str">
        <f>IF(INDEX('CAMD Facility Data 2023'!$AE$2:$AG$10000,MATCH(Z1972,'CAMD Facility Data 2023'!$AE$2:$AE$10000,0),3)&gt;0,INDEX('CAMD Facility Data 2023'!$AE$2:$AG$10000,MATCH(Z1972,'CAMD Facility Data 2023'!$AE$2:$AE$10000,0),3),"")</f>
        <v>Y</v>
      </c>
      <c r="AD1972" s="20">
        <f t="shared" si="91"/>
        <v>0.11377740379156882</v>
      </c>
      <c r="AE1972" s="25">
        <f t="shared" si="92"/>
        <v>0.22466003289130751</v>
      </c>
    </row>
    <row r="1973" spans="1:31" x14ac:dyDescent="0.2">
      <c r="A1973" s="1" t="s">
        <v>203</v>
      </c>
      <c r="B1973" s="1" t="s">
        <v>4609</v>
      </c>
      <c r="C1973" s="1">
        <v>8000</v>
      </c>
      <c r="D1973" s="1">
        <v>2</v>
      </c>
      <c r="F1973" s="1">
        <v>2023</v>
      </c>
      <c r="G1973" s="5">
        <v>3438</v>
      </c>
      <c r="H1973" s="5">
        <v>3209.7</v>
      </c>
      <c r="I1973" s="5">
        <v>296832.34999999998</v>
      </c>
      <c r="K1973" s="5">
        <v>0.77500000000000002</v>
      </c>
      <c r="L1973" s="5">
        <v>1E-3</v>
      </c>
      <c r="M1973" s="5">
        <v>153518.522</v>
      </c>
      <c r="N1973" s="6">
        <v>5.91E-2</v>
      </c>
      <c r="O1973" s="5">
        <v>18.038</v>
      </c>
      <c r="P1973" s="6">
        <v>2.2499999999999999E-2</v>
      </c>
      <c r="Q1973" s="5">
        <v>2583327.1209999998</v>
      </c>
      <c r="R1973" s="1" t="s">
        <v>44</v>
      </c>
      <c r="T1973" s="1" t="s">
        <v>71</v>
      </c>
      <c r="V1973" s="1" t="s">
        <v>64</v>
      </c>
      <c r="Y1973" s="1" t="s">
        <v>1666</v>
      </c>
      <c r="Z1973" s="1" t="str">
        <f t="shared" si="90"/>
        <v>8000 2</v>
      </c>
      <c r="AA1973" s="3">
        <f>IF(INDEX('CAMD Facility Data 2023'!$AA$2:$AE$10000,MATCH(Z1973,'CAMD Facility Data 2023'!$AE$2:$AE$10000,0),1)&gt;0,INDEX('CAMD Facility Data 2023'!$AA$2:$AE$10000,MATCH(Z1973,'CAMD Facility Data 2023'!$AE$2:$AE$10000,0),1),"")</f>
        <v>38266</v>
      </c>
      <c r="AB1973" s="5">
        <f>IF(INDEX('CAMD Facility Data 2023'!$AC$2:$AE$10000,MATCH(Z1973,'CAMD Facility Data 2023'!$AE$2:$AE$10000,0),1)&gt;0,INDEX('CAMD Facility Data 2023'!$AC$2:$AE$10000,MATCH(Z1973,'CAMD Facility Data 2023'!$AE$2:$AE$10000,0),1),"")</f>
        <v>1323</v>
      </c>
      <c r="AC1973" s="1" t="str">
        <f>IF(INDEX('CAMD Facility Data 2023'!$AE$2:$AG$10000,MATCH(Z1973,'CAMD Facility Data 2023'!$AE$2:$AE$10000,0),3)&gt;0,INDEX('CAMD Facility Data 2023'!$AE$2:$AG$10000,MATCH(Z1973,'CAMD Facility Data 2023'!$AE$2:$AE$10000,0),3),"")</f>
        <v>Y</v>
      </c>
      <c r="AD1973" s="20">
        <f t="shared" si="91"/>
        <v>0.12153661822911149</v>
      </c>
      <c r="AE1973" s="25">
        <f t="shared" si="92"/>
        <v>0.22290276362701344</v>
      </c>
    </row>
    <row r="1974" spans="1:31" x14ac:dyDescent="0.2">
      <c r="A1974" s="1" t="s">
        <v>1961</v>
      </c>
      <c r="B1974" s="1" t="s">
        <v>4614</v>
      </c>
      <c r="C1974" s="1">
        <v>8002</v>
      </c>
      <c r="D1974" s="1">
        <v>1</v>
      </c>
      <c r="F1974" s="1">
        <v>2023</v>
      </c>
      <c r="G1974" s="5">
        <v>367</v>
      </c>
      <c r="H1974" s="5">
        <v>347.53</v>
      </c>
      <c r="I1974" s="5">
        <v>55088.25</v>
      </c>
      <c r="K1974" s="5">
        <v>98.313000000000002</v>
      </c>
      <c r="L1974" s="5">
        <v>0.1905</v>
      </c>
      <c r="M1974" s="5">
        <v>51438.771000000001</v>
      </c>
      <c r="N1974" s="6">
        <v>6.6299999999999998E-2</v>
      </c>
      <c r="O1974" s="5">
        <v>74.227999999999994</v>
      </c>
      <c r="P1974" s="6">
        <v>0.12180000000000001</v>
      </c>
      <c r="Q1974" s="5">
        <v>726233.97400000005</v>
      </c>
      <c r="R1974" s="1" t="s">
        <v>173</v>
      </c>
      <c r="S1974" s="1" t="s">
        <v>44</v>
      </c>
      <c r="T1974" s="1" t="s">
        <v>43</v>
      </c>
      <c r="V1974" s="1" t="s">
        <v>4616</v>
      </c>
      <c r="W1974" s="1" t="s">
        <v>58</v>
      </c>
      <c r="Y1974" s="1" t="s">
        <v>1964</v>
      </c>
      <c r="Z1974" s="1" t="str">
        <f t="shared" si="90"/>
        <v>8002 1</v>
      </c>
      <c r="AA1974" s="3">
        <f>IF(INDEX('CAMD Facility Data 2023'!$AA$2:$AE$10000,MATCH(Z1974,'CAMD Facility Data 2023'!$AE$2:$AE$10000,0),1)&gt;0,INDEX('CAMD Facility Data 2023'!$AA$2:$AE$10000,MATCH(Z1974,'CAMD Facility Data 2023'!$AE$2:$AE$10000,0),1),"")</f>
        <v>27181</v>
      </c>
      <c r="AB1974" s="5">
        <f>IF(INDEX('CAMD Facility Data 2023'!$AC$2:$AE$10000,MATCH(Z1974,'CAMD Facility Data 2023'!$AE$2:$AE$10000,0),1)&gt;0,INDEX('CAMD Facility Data 2023'!$AC$2:$AE$10000,MATCH(Z1974,'CAMD Facility Data 2023'!$AE$2:$AE$10000,0),1),"")</f>
        <v>5475</v>
      </c>
      <c r="AC1974" s="1" t="str">
        <f>IF(INDEX('CAMD Facility Data 2023'!$AE$2:$AG$10000,MATCH(Z1974,'CAMD Facility Data 2023'!$AE$2:$AE$10000,0),3)&gt;0,INDEX('CAMD Facility Data 2023'!$AE$2:$AG$10000,MATCH(Z1974,'CAMD Facility Data 2023'!$AE$2:$AE$10000,0),3),"")</f>
        <v/>
      </c>
      <c r="AD1974" s="20">
        <f t="shared" si="91"/>
        <v>2.6948759490453953</v>
      </c>
      <c r="AE1974" s="25">
        <f t="shared" si="92"/>
        <v>1.514217747753383E-2</v>
      </c>
    </row>
    <row r="1975" spans="1:31" x14ac:dyDescent="0.2">
      <c r="A1975" s="1" t="s">
        <v>2089</v>
      </c>
      <c r="B1975" s="1" t="s">
        <v>4618</v>
      </c>
      <c r="C1975" s="1">
        <v>8006</v>
      </c>
      <c r="D1975" s="1">
        <v>1</v>
      </c>
      <c r="F1975" s="1">
        <v>2023</v>
      </c>
      <c r="G1975" s="5">
        <v>459</v>
      </c>
      <c r="H1975" s="5">
        <v>429.32</v>
      </c>
      <c r="I1975" s="5">
        <v>83196.02</v>
      </c>
      <c r="K1975" s="5">
        <v>57.780999999999999</v>
      </c>
      <c r="L1975" s="5">
        <v>7.4099999999999999E-2</v>
      </c>
      <c r="M1975" s="5">
        <v>54544.258000000002</v>
      </c>
      <c r="N1975" s="6">
        <v>6.2E-2</v>
      </c>
      <c r="O1975" s="5">
        <v>63.319000000000003</v>
      </c>
      <c r="P1975" s="6">
        <v>0.1066</v>
      </c>
      <c r="Q1975" s="5">
        <v>841225.18799999997</v>
      </c>
      <c r="R1975" s="1" t="s">
        <v>173</v>
      </c>
      <c r="S1975" s="1" t="s">
        <v>44</v>
      </c>
      <c r="T1975" s="1" t="s">
        <v>43</v>
      </c>
      <c r="V1975" s="1" t="s">
        <v>454</v>
      </c>
      <c r="W1975" s="1" t="s">
        <v>672</v>
      </c>
      <c r="Y1975" s="1" t="s">
        <v>682</v>
      </c>
      <c r="Z1975" s="1" t="str">
        <f t="shared" si="90"/>
        <v>8006 1</v>
      </c>
      <c r="AA1975" s="3">
        <f>IF(INDEX('CAMD Facility Data 2023'!$AA$2:$AE$10000,MATCH(Z1975,'CAMD Facility Data 2023'!$AE$2:$AE$10000,0),1)&gt;0,INDEX('CAMD Facility Data 2023'!$AA$2:$AE$10000,MATCH(Z1975,'CAMD Facility Data 2023'!$AE$2:$AE$10000,0),1),"")</f>
        <v>27364</v>
      </c>
      <c r="AB1975" s="5">
        <f>IF(INDEX('CAMD Facility Data 2023'!$AC$2:$AE$10000,MATCH(Z1975,'CAMD Facility Data 2023'!$AE$2:$AE$10000,0),1)&gt;0,INDEX('CAMD Facility Data 2023'!$AC$2:$AE$10000,MATCH(Z1975,'CAMD Facility Data 2023'!$AE$2:$AE$10000,0),1),"")</f>
        <v>7031</v>
      </c>
      <c r="AC1975" s="1" t="str">
        <f>IF(INDEX('CAMD Facility Data 2023'!$AE$2:$AG$10000,MATCH(Z1975,'CAMD Facility Data 2023'!$AE$2:$AE$10000,0),3)&gt;0,INDEX('CAMD Facility Data 2023'!$AE$2:$AG$10000,MATCH(Z1975,'CAMD Facility Data 2023'!$AE$2:$AE$10000,0),3),"")</f>
        <v/>
      </c>
      <c r="AD1975" s="20">
        <f t="shared" si="91"/>
        <v>1.522164161218289</v>
      </c>
      <c r="AE1975" s="25">
        <f t="shared" si="92"/>
        <v>1.3658124392368045E-2</v>
      </c>
    </row>
    <row r="1976" spans="1:31" x14ac:dyDescent="0.2">
      <c r="A1976" s="1" t="s">
        <v>2089</v>
      </c>
      <c r="B1976" s="1" t="s">
        <v>4618</v>
      </c>
      <c r="C1976" s="1">
        <v>8006</v>
      </c>
      <c r="D1976" s="1">
        <v>2</v>
      </c>
      <c r="F1976" s="1">
        <v>2023</v>
      </c>
      <c r="G1976" s="5">
        <v>715</v>
      </c>
      <c r="H1976" s="5">
        <v>693.5</v>
      </c>
      <c r="I1976" s="5">
        <v>124615.67</v>
      </c>
      <c r="K1976" s="5">
        <v>48.715000000000003</v>
      </c>
      <c r="L1976" s="5">
        <v>3.4799999999999998E-2</v>
      </c>
      <c r="M1976" s="5">
        <v>79230.179999999993</v>
      </c>
      <c r="N1976" s="6">
        <v>6.0400000000000002E-2</v>
      </c>
      <c r="O1976" s="5">
        <v>76.923000000000002</v>
      </c>
      <c r="P1976" s="6">
        <v>9.2899999999999996E-2</v>
      </c>
      <c r="Q1976" s="5">
        <v>1269080.892</v>
      </c>
      <c r="R1976" s="1" t="s">
        <v>173</v>
      </c>
      <c r="S1976" s="1" t="s">
        <v>44</v>
      </c>
      <c r="T1976" s="1" t="s">
        <v>43</v>
      </c>
      <c r="V1976" s="1" t="s">
        <v>454</v>
      </c>
      <c r="W1976" s="1" t="s">
        <v>672</v>
      </c>
      <c r="Y1976" s="1" t="s">
        <v>682</v>
      </c>
      <c r="Z1976" s="1" t="str">
        <f t="shared" si="90"/>
        <v>8006 2</v>
      </c>
      <c r="AA1976" s="3">
        <f>IF(INDEX('CAMD Facility Data 2023'!$AA$2:$AE$10000,MATCH(Z1976,'CAMD Facility Data 2023'!$AE$2:$AE$10000,0),1)&gt;0,INDEX('CAMD Facility Data 2023'!$AA$2:$AE$10000,MATCH(Z1976,'CAMD Facility Data 2023'!$AE$2:$AE$10000,0),1),"")</f>
        <v>27273</v>
      </c>
      <c r="AB1976" s="5">
        <f>IF(INDEX('CAMD Facility Data 2023'!$AC$2:$AE$10000,MATCH(Z1976,'CAMD Facility Data 2023'!$AE$2:$AE$10000,0),1)&gt;0,INDEX('CAMD Facility Data 2023'!$AC$2:$AE$10000,MATCH(Z1976,'CAMD Facility Data 2023'!$AE$2:$AE$10000,0),1),"")</f>
        <v>6987</v>
      </c>
      <c r="AC1976" s="1" t="str">
        <f>IF(INDEX('CAMD Facility Data 2023'!$AE$2:$AG$10000,MATCH(Z1976,'CAMD Facility Data 2023'!$AE$2:$AE$10000,0),3)&gt;0,INDEX('CAMD Facility Data 2023'!$AE$2:$AG$10000,MATCH(Z1976,'CAMD Facility Data 2023'!$AE$2:$AE$10000,0),3),"")</f>
        <v/>
      </c>
      <c r="AD1976" s="20">
        <f t="shared" si="91"/>
        <v>1.2345638393630594</v>
      </c>
      <c r="AE1976" s="25">
        <f t="shared" si="92"/>
        <v>2.0734542428110129E-2</v>
      </c>
    </row>
    <row r="1977" spans="1:31" x14ac:dyDescent="0.2">
      <c r="A1977" s="1" t="s">
        <v>2089</v>
      </c>
      <c r="B1977" s="1" t="s">
        <v>4620</v>
      </c>
      <c r="C1977" s="1">
        <v>8007</v>
      </c>
      <c r="D1977" s="1" t="s">
        <v>4621</v>
      </c>
      <c r="E1977" s="1" t="s">
        <v>1330</v>
      </c>
      <c r="F1977" s="1">
        <v>2023</v>
      </c>
      <c r="G1977" s="5">
        <v>87</v>
      </c>
      <c r="H1977" s="5">
        <v>87</v>
      </c>
      <c r="I1977" s="5">
        <v>1641</v>
      </c>
      <c r="K1977" s="5">
        <v>7.0000000000000001E-3</v>
      </c>
      <c r="L1977" s="5">
        <v>6.9999999999999999E-4</v>
      </c>
      <c r="M1977" s="5">
        <v>1486.1</v>
      </c>
      <c r="N1977" s="6">
        <v>8.1100000000000005E-2</v>
      </c>
      <c r="O1977" s="5">
        <v>4.0380000000000003</v>
      </c>
      <c r="P1977" s="6">
        <v>0.45550000000000002</v>
      </c>
      <c r="Q1977" s="5">
        <v>18351</v>
      </c>
      <c r="R1977" s="1" t="s">
        <v>94</v>
      </c>
      <c r="T1977" s="1" t="s">
        <v>93</v>
      </c>
      <c r="V1977" s="1" t="s">
        <v>95</v>
      </c>
      <c r="Y1977" s="1" t="s">
        <v>1528</v>
      </c>
      <c r="Z1977" s="1" t="str">
        <f t="shared" si="90"/>
        <v>8007 U00001</v>
      </c>
      <c r="AA1977" s="3">
        <f>IF(INDEX('CAMD Facility Data 2023'!$AA$2:$AE$10000,MATCH(Z1977,'CAMD Facility Data 2023'!$AE$2:$AE$10000,0),1)&gt;0,INDEX('CAMD Facility Data 2023'!$AA$2:$AE$10000,MATCH(Z1977,'CAMD Facility Data 2023'!$AE$2:$AE$10000,0),1),"")</f>
        <v>27211</v>
      </c>
      <c r="AB1977" s="5">
        <f>IF(INDEX('CAMD Facility Data 2023'!$AC$2:$AE$10000,MATCH(Z1977,'CAMD Facility Data 2023'!$AE$2:$AE$10000,0),1)&gt;0,INDEX('CAMD Facility Data 2023'!$AC$2:$AE$10000,MATCH(Z1977,'CAMD Facility Data 2023'!$AE$2:$AE$10000,0),1),"")</f>
        <v>416</v>
      </c>
      <c r="AC1977" s="1" t="str">
        <f>IF(INDEX('CAMD Facility Data 2023'!$AE$2:$AG$10000,MATCH(Z1977,'CAMD Facility Data 2023'!$AE$2:$AE$10000,0),3)&gt;0,INDEX('CAMD Facility Data 2023'!$AE$2:$AG$10000,MATCH(Z1977,'CAMD Facility Data 2023'!$AE$2:$AE$10000,0),3),"")</f>
        <v/>
      </c>
      <c r="AD1977" s="20">
        <f t="shared" si="91"/>
        <v>4.9213893967093245</v>
      </c>
      <c r="AE1977" s="25">
        <f t="shared" si="92"/>
        <v>5.0357283983140152E-3</v>
      </c>
    </row>
    <row r="1978" spans="1:31" x14ac:dyDescent="0.2">
      <c r="A1978" s="1" t="s">
        <v>2089</v>
      </c>
      <c r="B1978" s="1" t="s">
        <v>4620</v>
      </c>
      <c r="C1978" s="1">
        <v>8007</v>
      </c>
      <c r="D1978" s="1" t="s">
        <v>4622</v>
      </c>
      <c r="E1978" s="1" t="s">
        <v>1330</v>
      </c>
      <c r="F1978" s="1">
        <v>2023</v>
      </c>
      <c r="G1978" s="5">
        <v>86</v>
      </c>
      <c r="H1978" s="5">
        <v>86</v>
      </c>
      <c r="I1978" s="5">
        <v>1619</v>
      </c>
      <c r="K1978" s="5">
        <v>7.0000000000000001E-3</v>
      </c>
      <c r="L1978" s="5">
        <v>8.0000000000000004E-4</v>
      </c>
      <c r="M1978" s="5">
        <v>1468.9</v>
      </c>
      <c r="N1978" s="6">
        <v>8.1100000000000005E-2</v>
      </c>
      <c r="O1978" s="5">
        <v>3.9889999999999999</v>
      </c>
      <c r="P1978" s="6">
        <v>0.45569999999999999</v>
      </c>
      <c r="Q1978" s="5">
        <v>18138.2</v>
      </c>
      <c r="R1978" s="1" t="s">
        <v>94</v>
      </c>
      <c r="T1978" s="1" t="s">
        <v>93</v>
      </c>
      <c r="V1978" s="1" t="s">
        <v>95</v>
      </c>
      <c r="Y1978" s="1" t="s">
        <v>1528</v>
      </c>
      <c r="Z1978" s="1" t="str">
        <f t="shared" si="90"/>
        <v>8007 U00002</v>
      </c>
      <c r="AA1978" s="3">
        <f>IF(INDEX('CAMD Facility Data 2023'!$AA$2:$AE$10000,MATCH(Z1978,'CAMD Facility Data 2023'!$AE$2:$AE$10000,0),1)&gt;0,INDEX('CAMD Facility Data 2023'!$AA$2:$AE$10000,MATCH(Z1978,'CAMD Facility Data 2023'!$AE$2:$AE$10000,0),1),"")</f>
        <v>27211</v>
      </c>
      <c r="AB1978" s="5">
        <f>IF(INDEX('CAMD Facility Data 2023'!$AC$2:$AE$10000,MATCH(Z1978,'CAMD Facility Data 2023'!$AE$2:$AE$10000,0),1)&gt;0,INDEX('CAMD Facility Data 2023'!$AC$2:$AE$10000,MATCH(Z1978,'CAMD Facility Data 2023'!$AE$2:$AE$10000,0),1),"")</f>
        <v>416</v>
      </c>
      <c r="AC1978" s="1" t="str">
        <f>IF(INDEX('CAMD Facility Data 2023'!$AE$2:$AG$10000,MATCH(Z1978,'CAMD Facility Data 2023'!$AE$2:$AE$10000,0),3)&gt;0,INDEX('CAMD Facility Data 2023'!$AE$2:$AG$10000,MATCH(Z1978,'CAMD Facility Data 2023'!$AE$2:$AE$10000,0),3),"")</f>
        <v/>
      </c>
      <c r="AD1978" s="20">
        <f t="shared" si="91"/>
        <v>4.9277331686226065</v>
      </c>
      <c r="AE1978" s="25">
        <f t="shared" si="92"/>
        <v>4.9773335967685283E-3</v>
      </c>
    </row>
    <row r="1979" spans="1:31" x14ac:dyDescent="0.2">
      <c r="A1979" s="1" t="s">
        <v>2089</v>
      </c>
      <c r="B1979" s="1" t="s">
        <v>4620</v>
      </c>
      <c r="C1979" s="1">
        <v>8007</v>
      </c>
      <c r="D1979" s="1" t="s">
        <v>4623</v>
      </c>
      <c r="E1979" s="1" t="s">
        <v>1330</v>
      </c>
      <c r="F1979" s="1">
        <v>2023</v>
      </c>
      <c r="G1979" s="5">
        <v>62</v>
      </c>
      <c r="H1979" s="5">
        <v>62</v>
      </c>
      <c r="I1979" s="5">
        <v>1143</v>
      </c>
      <c r="K1979" s="5">
        <v>4.0000000000000001E-3</v>
      </c>
      <c r="L1979" s="5">
        <v>5.9999999999999995E-4</v>
      </c>
      <c r="M1979" s="5">
        <v>1008</v>
      </c>
      <c r="N1979" s="6">
        <v>8.1000000000000003E-2</v>
      </c>
      <c r="O1979" s="5">
        <v>3.2109999999999999</v>
      </c>
      <c r="P1979" s="6">
        <v>0.51170000000000004</v>
      </c>
      <c r="Q1979" s="5">
        <v>12448.9</v>
      </c>
      <c r="R1979" s="1" t="s">
        <v>94</v>
      </c>
      <c r="T1979" s="1" t="s">
        <v>93</v>
      </c>
      <c r="V1979" s="1" t="s">
        <v>95</v>
      </c>
      <c r="Y1979" s="1" t="s">
        <v>1528</v>
      </c>
      <c r="Z1979" s="1" t="str">
        <f t="shared" si="90"/>
        <v>8007 U00003</v>
      </c>
      <c r="AA1979" s="3">
        <f>IF(INDEX('CAMD Facility Data 2023'!$AA$2:$AE$10000,MATCH(Z1979,'CAMD Facility Data 2023'!$AE$2:$AE$10000,0),1)&gt;0,INDEX('CAMD Facility Data 2023'!$AA$2:$AE$10000,MATCH(Z1979,'CAMD Facility Data 2023'!$AE$2:$AE$10000,0),1),"")</f>
        <v>27211</v>
      </c>
      <c r="AB1979" s="5">
        <f>IF(INDEX('CAMD Facility Data 2023'!$AC$2:$AE$10000,MATCH(Z1979,'CAMD Facility Data 2023'!$AE$2:$AE$10000,0),1)&gt;0,INDEX('CAMD Facility Data 2023'!$AC$2:$AE$10000,MATCH(Z1979,'CAMD Facility Data 2023'!$AE$2:$AE$10000,0),1),"")</f>
        <v>416</v>
      </c>
      <c r="AC1979" s="1" t="str">
        <f>IF(INDEX('CAMD Facility Data 2023'!$AE$2:$AG$10000,MATCH(Z1979,'CAMD Facility Data 2023'!$AE$2:$AE$10000,0),3)&gt;0,INDEX('CAMD Facility Data 2023'!$AE$2:$AG$10000,MATCH(Z1979,'CAMD Facility Data 2023'!$AE$2:$AE$10000,0),3),"")</f>
        <v/>
      </c>
      <c r="AD1979" s="20">
        <f t="shared" si="91"/>
        <v>5.6185476815398072</v>
      </c>
      <c r="AE1979" s="25">
        <f t="shared" si="92"/>
        <v>3.4161233315770988E-3</v>
      </c>
    </row>
    <row r="1980" spans="1:31" x14ac:dyDescent="0.2">
      <c r="A1980" s="1" t="s">
        <v>2089</v>
      </c>
      <c r="B1980" s="1" t="s">
        <v>4620</v>
      </c>
      <c r="C1980" s="1">
        <v>8007</v>
      </c>
      <c r="D1980" s="1" t="s">
        <v>2227</v>
      </c>
      <c r="E1980" s="1" t="s">
        <v>1330</v>
      </c>
      <c r="F1980" s="1">
        <v>2023</v>
      </c>
      <c r="G1980" s="5">
        <v>62</v>
      </c>
      <c r="H1980" s="5">
        <v>62</v>
      </c>
      <c r="I1980" s="5">
        <v>1143</v>
      </c>
      <c r="K1980" s="5">
        <v>4.0000000000000001E-3</v>
      </c>
      <c r="L1980" s="5">
        <v>5.9999999999999995E-4</v>
      </c>
      <c r="M1980" s="5">
        <v>1008</v>
      </c>
      <c r="N1980" s="6">
        <v>8.1000000000000003E-2</v>
      </c>
      <c r="O1980" s="5">
        <v>3.1949999999999998</v>
      </c>
      <c r="P1980" s="6">
        <v>0.49940000000000001</v>
      </c>
      <c r="Q1980" s="5">
        <v>12448.9</v>
      </c>
      <c r="R1980" s="1" t="s">
        <v>94</v>
      </c>
      <c r="T1980" s="1" t="s">
        <v>93</v>
      </c>
      <c r="V1980" s="1" t="s">
        <v>95</v>
      </c>
      <c r="Y1980" s="1" t="s">
        <v>1528</v>
      </c>
      <c r="Z1980" s="1" t="str">
        <f t="shared" si="90"/>
        <v>8007 U00004</v>
      </c>
      <c r="AA1980" s="3">
        <f>IF(INDEX('CAMD Facility Data 2023'!$AA$2:$AE$10000,MATCH(Z1980,'CAMD Facility Data 2023'!$AE$2:$AE$10000,0),1)&gt;0,INDEX('CAMD Facility Data 2023'!$AA$2:$AE$10000,MATCH(Z1980,'CAMD Facility Data 2023'!$AE$2:$AE$10000,0),1),"")</f>
        <v>27211</v>
      </c>
      <c r="AB1980" s="5">
        <f>IF(INDEX('CAMD Facility Data 2023'!$AC$2:$AE$10000,MATCH(Z1980,'CAMD Facility Data 2023'!$AE$2:$AE$10000,0),1)&gt;0,INDEX('CAMD Facility Data 2023'!$AC$2:$AE$10000,MATCH(Z1980,'CAMD Facility Data 2023'!$AE$2:$AE$10000,0),1),"")</f>
        <v>416</v>
      </c>
      <c r="AC1980" s="1" t="str">
        <f>IF(INDEX('CAMD Facility Data 2023'!$AE$2:$AG$10000,MATCH(Z1980,'CAMD Facility Data 2023'!$AE$2:$AE$10000,0),3)&gt;0,INDEX('CAMD Facility Data 2023'!$AE$2:$AG$10000,MATCH(Z1980,'CAMD Facility Data 2023'!$AE$2:$AE$10000,0),3),"")</f>
        <v/>
      </c>
      <c r="AD1980" s="20">
        <f t="shared" si="91"/>
        <v>5.590551181102362</v>
      </c>
      <c r="AE1980" s="25">
        <f t="shared" si="92"/>
        <v>3.4161233315770988E-3</v>
      </c>
    </row>
    <row r="1981" spans="1:31" x14ac:dyDescent="0.2">
      <c r="A1981" s="1" t="s">
        <v>2089</v>
      </c>
      <c r="B1981" s="1" t="s">
        <v>4620</v>
      </c>
      <c r="C1981" s="1">
        <v>8007</v>
      </c>
      <c r="D1981" s="1" t="s">
        <v>2229</v>
      </c>
      <c r="E1981" s="1" t="s">
        <v>1330</v>
      </c>
      <c r="F1981" s="1">
        <v>2023</v>
      </c>
      <c r="G1981" s="5">
        <v>62</v>
      </c>
      <c r="H1981" s="5">
        <v>62</v>
      </c>
      <c r="I1981" s="5">
        <v>1176</v>
      </c>
      <c r="K1981" s="5">
        <v>4.0000000000000001E-3</v>
      </c>
      <c r="L1981" s="5">
        <v>5.9999999999999995E-4</v>
      </c>
      <c r="M1981" s="5">
        <v>1063.5</v>
      </c>
      <c r="N1981" s="6">
        <v>8.09E-2</v>
      </c>
      <c r="O1981" s="5">
        <v>3.0979999999999999</v>
      </c>
      <c r="P1981" s="6">
        <v>0.48820000000000002</v>
      </c>
      <c r="Q1981" s="5">
        <v>13131.8</v>
      </c>
      <c r="R1981" s="1" t="s">
        <v>94</v>
      </c>
      <c r="T1981" s="1" t="s">
        <v>93</v>
      </c>
      <c r="V1981" s="1" t="s">
        <v>95</v>
      </c>
      <c r="Y1981" s="1" t="s">
        <v>1528</v>
      </c>
      <c r="Z1981" s="1" t="str">
        <f t="shared" si="90"/>
        <v>8007 U00005</v>
      </c>
      <c r="AA1981" s="3">
        <f>IF(INDEX('CAMD Facility Data 2023'!$AA$2:$AE$10000,MATCH(Z1981,'CAMD Facility Data 2023'!$AE$2:$AE$10000,0),1)&gt;0,INDEX('CAMD Facility Data 2023'!$AA$2:$AE$10000,MATCH(Z1981,'CAMD Facility Data 2023'!$AE$2:$AE$10000,0),1),"")</f>
        <v>27211</v>
      </c>
      <c r="AB1981" s="5">
        <f>IF(INDEX('CAMD Facility Data 2023'!$AC$2:$AE$10000,MATCH(Z1981,'CAMD Facility Data 2023'!$AE$2:$AE$10000,0),1)&gt;0,INDEX('CAMD Facility Data 2023'!$AC$2:$AE$10000,MATCH(Z1981,'CAMD Facility Data 2023'!$AE$2:$AE$10000,0),1),"")</f>
        <v>416</v>
      </c>
      <c r="AC1981" s="1" t="str">
        <f>IF(INDEX('CAMD Facility Data 2023'!$AE$2:$AG$10000,MATCH(Z1981,'CAMD Facility Data 2023'!$AE$2:$AE$10000,0),3)&gt;0,INDEX('CAMD Facility Data 2023'!$AE$2:$AG$10000,MATCH(Z1981,'CAMD Facility Data 2023'!$AE$2:$AE$10000,0),3),"")</f>
        <v/>
      </c>
      <c r="AD1981" s="20">
        <f t="shared" si="91"/>
        <v>5.2687074829931975</v>
      </c>
      <c r="AE1981" s="25">
        <f t="shared" si="92"/>
        <v>3.6035190551457672E-3</v>
      </c>
    </row>
    <row r="1982" spans="1:31" x14ac:dyDescent="0.2">
      <c r="A1982" s="1" t="s">
        <v>2089</v>
      </c>
      <c r="B1982" s="1" t="s">
        <v>4620</v>
      </c>
      <c r="C1982" s="1">
        <v>8007</v>
      </c>
      <c r="D1982" s="1" t="s">
        <v>2231</v>
      </c>
      <c r="E1982" s="1" t="s">
        <v>1330</v>
      </c>
      <c r="F1982" s="1">
        <v>2023</v>
      </c>
      <c r="G1982" s="5">
        <v>62</v>
      </c>
      <c r="H1982" s="5">
        <v>62</v>
      </c>
      <c r="I1982" s="5">
        <v>1176</v>
      </c>
      <c r="K1982" s="5">
        <v>4.0000000000000001E-3</v>
      </c>
      <c r="L1982" s="5">
        <v>5.9999999999999995E-4</v>
      </c>
      <c r="M1982" s="5">
        <v>1063.5</v>
      </c>
      <c r="N1982" s="6">
        <v>8.09E-2</v>
      </c>
      <c r="O1982" s="5">
        <v>2.8380000000000001</v>
      </c>
      <c r="P1982" s="6">
        <v>0.46300000000000002</v>
      </c>
      <c r="Q1982" s="5">
        <v>13131.8</v>
      </c>
      <c r="R1982" s="1" t="s">
        <v>94</v>
      </c>
      <c r="T1982" s="1" t="s">
        <v>93</v>
      </c>
      <c r="V1982" s="1" t="s">
        <v>95</v>
      </c>
      <c r="Y1982" s="1" t="s">
        <v>1528</v>
      </c>
      <c r="Z1982" s="1" t="str">
        <f t="shared" si="90"/>
        <v>8007 U00006</v>
      </c>
      <c r="AA1982" s="3">
        <f>IF(INDEX('CAMD Facility Data 2023'!$AA$2:$AE$10000,MATCH(Z1982,'CAMD Facility Data 2023'!$AE$2:$AE$10000,0),1)&gt;0,INDEX('CAMD Facility Data 2023'!$AA$2:$AE$10000,MATCH(Z1982,'CAMD Facility Data 2023'!$AE$2:$AE$10000,0),1),"")</f>
        <v>27211</v>
      </c>
      <c r="AB1982" s="5">
        <f>IF(INDEX('CAMD Facility Data 2023'!$AC$2:$AE$10000,MATCH(Z1982,'CAMD Facility Data 2023'!$AE$2:$AE$10000,0),1)&gt;0,INDEX('CAMD Facility Data 2023'!$AC$2:$AE$10000,MATCH(Z1982,'CAMD Facility Data 2023'!$AE$2:$AE$10000,0),1),"")</f>
        <v>416</v>
      </c>
      <c r="AC1982" s="1" t="str">
        <f>IF(INDEX('CAMD Facility Data 2023'!$AE$2:$AG$10000,MATCH(Z1982,'CAMD Facility Data 2023'!$AE$2:$AE$10000,0),3)&gt;0,INDEX('CAMD Facility Data 2023'!$AE$2:$AG$10000,MATCH(Z1982,'CAMD Facility Data 2023'!$AE$2:$AE$10000,0),3),"")</f>
        <v/>
      </c>
      <c r="AD1982" s="20">
        <f t="shared" si="91"/>
        <v>4.8265306122448983</v>
      </c>
      <c r="AE1982" s="25">
        <f t="shared" si="92"/>
        <v>3.6035190551457672E-3</v>
      </c>
    </row>
    <row r="1983" spans="1:31" x14ac:dyDescent="0.2">
      <c r="A1983" s="1" t="s">
        <v>2089</v>
      </c>
      <c r="B1983" s="1" t="s">
        <v>4620</v>
      </c>
      <c r="C1983" s="1">
        <v>8007</v>
      </c>
      <c r="D1983" s="1" t="s">
        <v>2233</v>
      </c>
      <c r="E1983" s="1" t="s">
        <v>1330</v>
      </c>
      <c r="F1983" s="1">
        <v>2023</v>
      </c>
      <c r="G1983" s="5">
        <v>51</v>
      </c>
      <c r="H1983" s="5">
        <v>51</v>
      </c>
      <c r="I1983" s="5">
        <v>1058</v>
      </c>
      <c r="K1983" s="5">
        <v>4.0000000000000001E-3</v>
      </c>
      <c r="L1983" s="5">
        <v>8.9999999999999998E-4</v>
      </c>
      <c r="M1983" s="5">
        <v>927.9</v>
      </c>
      <c r="N1983" s="6">
        <v>8.1000000000000003E-2</v>
      </c>
      <c r="O1983" s="5">
        <v>2.9830000000000001</v>
      </c>
      <c r="P1983" s="6">
        <v>0.52769999999999995</v>
      </c>
      <c r="Q1983" s="5">
        <v>11461.7</v>
      </c>
      <c r="R1983" s="1" t="s">
        <v>94</v>
      </c>
      <c r="T1983" s="1" t="s">
        <v>93</v>
      </c>
      <c r="V1983" s="1" t="s">
        <v>95</v>
      </c>
      <c r="Y1983" s="1" t="s">
        <v>1528</v>
      </c>
      <c r="Z1983" s="1" t="str">
        <f t="shared" si="90"/>
        <v>8007 U00007</v>
      </c>
      <c r="AA1983" s="3">
        <f>IF(INDEX('CAMD Facility Data 2023'!$AA$2:$AE$10000,MATCH(Z1983,'CAMD Facility Data 2023'!$AE$2:$AE$10000,0),1)&gt;0,INDEX('CAMD Facility Data 2023'!$AA$2:$AE$10000,MATCH(Z1983,'CAMD Facility Data 2023'!$AE$2:$AE$10000,0),1),"")</f>
        <v>27211</v>
      </c>
      <c r="AB1983" s="5">
        <f>IF(INDEX('CAMD Facility Data 2023'!$AC$2:$AE$10000,MATCH(Z1983,'CAMD Facility Data 2023'!$AE$2:$AE$10000,0),1)&gt;0,INDEX('CAMD Facility Data 2023'!$AC$2:$AE$10000,MATCH(Z1983,'CAMD Facility Data 2023'!$AE$2:$AE$10000,0),1),"")</f>
        <v>416</v>
      </c>
      <c r="AC1983" s="1" t="str">
        <f>IF(INDEX('CAMD Facility Data 2023'!$AE$2:$AG$10000,MATCH(Z1983,'CAMD Facility Data 2023'!$AE$2:$AE$10000,0),3)&gt;0,INDEX('CAMD Facility Data 2023'!$AE$2:$AG$10000,MATCH(Z1983,'CAMD Facility Data 2023'!$AE$2:$AE$10000,0),3),"")</f>
        <v/>
      </c>
      <c r="AD1983" s="20">
        <f t="shared" si="91"/>
        <v>5.6389413988657848</v>
      </c>
      <c r="AE1983" s="25">
        <f t="shared" si="92"/>
        <v>3.14522413944503E-3</v>
      </c>
    </row>
    <row r="1984" spans="1:31" x14ac:dyDescent="0.2">
      <c r="A1984" s="1" t="s">
        <v>2089</v>
      </c>
      <c r="B1984" s="1" t="s">
        <v>4620</v>
      </c>
      <c r="C1984" s="1">
        <v>8007</v>
      </c>
      <c r="D1984" s="1" t="s">
        <v>2235</v>
      </c>
      <c r="E1984" s="1" t="s">
        <v>1330</v>
      </c>
      <c r="F1984" s="1">
        <v>2023</v>
      </c>
      <c r="G1984" s="5">
        <v>51</v>
      </c>
      <c r="H1984" s="5">
        <v>51</v>
      </c>
      <c r="I1984" s="5">
        <v>1058</v>
      </c>
      <c r="K1984" s="5">
        <v>4.0000000000000001E-3</v>
      </c>
      <c r="L1984" s="5">
        <v>8.9999999999999998E-4</v>
      </c>
      <c r="M1984" s="5">
        <v>927.9</v>
      </c>
      <c r="N1984" s="6">
        <v>8.1000000000000003E-2</v>
      </c>
      <c r="O1984" s="5">
        <v>2.968</v>
      </c>
      <c r="P1984" s="6">
        <v>0.51280000000000003</v>
      </c>
      <c r="Q1984" s="5">
        <v>11461.7</v>
      </c>
      <c r="R1984" s="1" t="s">
        <v>94</v>
      </c>
      <c r="T1984" s="1" t="s">
        <v>93</v>
      </c>
      <c r="V1984" s="1" t="s">
        <v>95</v>
      </c>
      <c r="Y1984" s="1" t="s">
        <v>1528</v>
      </c>
      <c r="Z1984" s="1" t="str">
        <f t="shared" si="90"/>
        <v>8007 U00008</v>
      </c>
      <c r="AA1984" s="3">
        <f>IF(INDEX('CAMD Facility Data 2023'!$AA$2:$AE$10000,MATCH(Z1984,'CAMD Facility Data 2023'!$AE$2:$AE$10000,0),1)&gt;0,INDEX('CAMD Facility Data 2023'!$AA$2:$AE$10000,MATCH(Z1984,'CAMD Facility Data 2023'!$AE$2:$AE$10000,0),1),"")</f>
        <v>27211</v>
      </c>
      <c r="AB1984" s="5">
        <f>IF(INDEX('CAMD Facility Data 2023'!$AC$2:$AE$10000,MATCH(Z1984,'CAMD Facility Data 2023'!$AE$2:$AE$10000,0),1)&gt;0,INDEX('CAMD Facility Data 2023'!$AC$2:$AE$10000,MATCH(Z1984,'CAMD Facility Data 2023'!$AE$2:$AE$10000,0),1),"")</f>
        <v>416</v>
      </c>
      <c r="AC1984" s="1" t="str">
        <f>IF(INDEX('CAMD Facility Data 2023'!$AE$2:$AG$10000,MATCH(Z1984,'CAMD Facility Data 2023'!$AE$2:$AE$10000,0),3)&gt;0,INDEX('CAMD Facility Data 2023'!$AE$2:$AG$10000,MATCH(Z1984,'CAMD Facility Data 2023'!$AE$2:$AE$10000,0),3),"")</f>
        <v/>
      </c>
      <c r="AD1984" s="20">
        <f t="shared" si="91"/>
        <v>5.6105860113421553</v>
      </c>
      <c r="AE1984" s="25">
        <f t="shared" si="92"/>
        <v>3.14522413944503E-3</v>
      </c>
    </row>
    <row r="1985" spans="1:31" x14ac:dyDescent="0.2">
      <c r="A1985" s="1" t="s">
        <v>2089</v>
      </c>
      <c r="B1985" s="1" t="s">
        <v>4620</v>
      </c>
      <c r="C1985" s="1">
        <v>8007</v>
      </c>
      <c r="D1985" s="1" t="s">
        <v>2237</v>
      </c>
      <c r="E1985" s="1" t="s">
        <v>1330</v>
      </c>
      <c r="F1985" s="1">
        <v>2023</v>
      </c>
      <c r="G1985" s="5">
        <v>80</v>
      </c>
      <c r="H1985" s="5">
        <v>80</v>
      </c>
      <c r="I1985" s="5">
        <v>1586</v>
      </c>
      <c r="K1985" s="5">
        <v>6.0000000000000001E-3</v>
      </c>
      <c r="L1985" s="5">
        <v>6.9999999999999999E-4</v>
      </c>
      <c r="M1985" s="5">
        <v>1312.9</v>
      </c>
      <c r="N1985" s="6">
        <v>8.1100000000000005E-2</v>
      </c>
      <c r="O1985" s="5">
        <v>3.613</v>
      </c>
      <c r="P1985" s="6">
        <v>0.44529999999999997</v>
      </c>
      <c r="Q1985" s="5">
        <v>16212.3</v>
      </c>
      <c r="R1985" s="1" t="s">
        <v>94</v>
      </c>
      <c r="T1985" s="1" t="s">
        <v>93</v>
      </c>
      <c r="V1985" s="1" t="s">
        <v>95</v>
      </c>
      <c r="Y1985" s="1" t="s">
        <v>1528</v>
      </c>
      <c r="Z1985" s="1" t="str">
        <f t="shared" si="90"/>
        <v>8007 U00009</v>
      </c>
      <c r="AA1985" s="3">
        <f>IF(INDEX('CAMD Facility Data 2023'!$AA$2:$AE$10000,MATCH(Z1985,'CAMD Facility Data 2023'!$AE$2:$AE$10000,0),1)&gt;0,INDEX('CAMD Facility Data 2023'!$AA$2:$AE$10000,MATCH(Z1985,'CAMD Facility Data 2023'!$AE$2:$AE$10000,0),1),"")</f>
        <v>27211</v>
      </c>
      <c r="AB1985" s="5">
        <f>IF(INDEX('CAMD Facility Data 2023'!$AC$2:$AE$10000,MATCH(Z1985,'CAMD Facility Data 2023'!$AE$2:$AE$10000,0),1)&gt;0,INDEX('CAMD Facility Data 2023'!$AC$2:$AE$10000,MATCH(Z1985,'CAMD Facility Data 2023'!$AE$2:$AE$10000,0),1),"")</f>
        <v>416</v>
      </c>
      <c r="AC1985" s="1" t="str">
        <f>IF(INDEX('CAMD Facility Data 2023'!$AE$2:$AG$10000,MATCH(Z1985,'CAMD Facility Data 2023'!$AE$2:$AE$10000,0),3)&gt;0,INDEX('CAMD Facility Data 2023'!$AE$2:$AG$10000,MATCH(Z1985,'CAMD Facility Data 2023'!$AE$2:$AE$10000,0),3),"")</f>
        <v/>
      </c>
      <c r="AD1985" s="20">
        <f t="shared" si="91"/>
        <v>4.5561160151324085</v>
      </c>
      <c r="AE1985" s="25">
        <f t="shared" si="92"/>
        <v>4.4488441780821918E-3</v>
      </c>
    </row>
    <row r="1986" spans="1:31" x14ac:dyDescent="0.2">
      <c r="A1986" s="1" t="s">
        <v>2089</v>
      </c>
      <c r="B1986" s="1" t="s">
        <v>4620</v>
      </c>
      <c r="C1986" s="1">
        <v>8007</v>
      </c>
      <c r="D1986" s="1" t="s">
        <v>4628</v>
      </c>
      <c r="E1986" s="1" t="s">
        <v>1330</v>
      </c>
      <c r="F1986" s="1">
        <v>2023</v>
      </c>
      <c r="G1986" s="5">
        <v>78</v>
      </c>
      <c r="H1986" s="5">
        <v>78</v>
      </c>
      <c r="I1986" s="5">
        <v>1559</v>
      </c>
      <c r="K1986" s="5">
        <v>6.0000000000000001E-3</v>
      </c>
      <c r="L1986" s="5">
        <v>6.9999999999999999E-4</v>
      </c>
      <c r="M1986" s="5">
        <v>1288.8</v>
      </c>
      <c r="N1986" s="6">
        <v>8.1100000000000005E-2</v>
      </c>
      <c r="O1986" s="5">
        <v>3.556</v>
      </c>
      <c r="P1986" s="6">
        <v>0.44679999999999997</v>
      </c>
      <c r="Q1986" s="5">
        <v>15915.6</v>
      </c>
      <c r="R1986" s="1" t="s">
        <v>94</v>
      </c>
      <c r="T1986" s="1" t="s">
        <v>93</v>
      </c>
      <c r="V1986" s="1" t="s">
        <v>95</v>
      </c>
      <c r="Y1986" s="1" t="s">
        <v>1528</v>
      </c>
      <c r="Z1986" s="1" t="str">
        <f t="shared" si="90"/>
        <v>8007 U00010</v>
      </c>
      <c r="AA1986" s="3">
        <f>IF(INDEX('CAMD Facility Data 2023'!$AA$2:$AE$10000,MATCH(Z1986,'CAMD Facility Data 2023'!$AE$2:$AE$10000,0),1)&gt;0,INDEX('CAMD Facility Data 2023'!$AA$2:$AE$10000,MATCH(Z1986,'CAMD Facility Data 2023'!$AE$2:$AE$10000,0),1),"")</f>
        <v>27211</v>
      </c>
      <c r="AB1986" s="5">
        <f>IF(INDEX('CAMD Facility Data 2023'!$AC$2:$AE$10000,MATCH(Z1986,'CAMD Facility Data 2023'!$AE$2:$AE$10000,0),1)&gt;0,INDEX('CAMD Facility Data 2023'!$AC$2:$AE$10000,MATCH(Z1986,'CAMD Facility Data 2023'!$AE$2:$AE$10000,0),1),"")</f>
        <v>416</v>
      </c>
      <c r="AC1986" s="1" t="str">
        <f>IF(INDEX('CAMD Facility Data 2023'!$AE$2:$AG$10000,MATCH(Z1986,'CAMD Facility Data 2023'!$AE$2:$AE$10000,0),3)&gt;0,INDEX('CAMD Facility Data 2023'!$AE$2:$AG$10000,MATCH(Z1986,'CAMD Facility Data 2023'!$AE$2:$AE$10000,0),3),"")</f>
        <v/>
      </c>
      <c r="AD1986" s="20">
        <f t="shared" si="91"/>
        <v>4.5618986529826815</v>
      </c>
      <c r="AE1986" s="25">
        <f t="shared" si="92"/>
        <v>4.3674262381454164E-3</v>
      </c>
    </row>
    <row r="1987" spans="1:31" x14ac:dyDescent="0.2">
      <c r="A1987" s="1" t="s">
        <v>2089</v>
      </c>
      <c r="B1987" s="1" t="s">
        <v>4620</v>
      </c>
      <c r="C1987" s="1">
        <v>8007</v>
      </c>
      <c r="D1987" s="1" t="s">
        <v>2239</v>
      </c>
      <c r="E1987" s="1" t="s">
        <v>1330</v>
      </c>
      <c r="F1987" s="1">
        <v>2023</v>
      </c>
      <c r="G1987" s="5">
        <v>101</v>
      </c>
      <c r="H1987" s="5">
        <v>101</v>
      </c>
      <c r="I1987" s="5">
        <v>2009</v>
      </c>
      <c r="K1987" s="5">
        <v>6.0000000000000001E-3</v>
      </c>
      <c r="L1987" s="5">
        <v>4.0000000000000002E-4</v>
      </c>
      <c r="M1987" s="5">
        <v>1657.2</v>
      </c>
      <c r="N1987" s="6">
        <v>8.1000000000000003E-2</v>
      </c>
      <c r="O1987" s="5">
        <v>4.5739999999999998</v>
      </c>
      <c r="P1987" s="6">
        <v>0.46060000000000001</v>
      </c>
      <c r="Q1987" s="5">
        <v>20451.400000000001</v>
      </c>
      <c r="R1987" s="1" t="s">
        <v>94</v>
      </c>
      <c r="T1987" s="1" t="s">
        <v>93</v>
      </c>
      <c r="V1987" s="1" t="s">
        <v>95</v>
      </c>
      <c r="Y1987" s="1" t="s">
        <v>1528</v>
      </c>
      <c r="Z1987" s="1" t="str">
        <f t="shared" ref="Z1987:Z2050" si="93">C1987&amp;" "&amp;D1987</f>
        <v>8007 U00011</v>
      </c>
      <c r="AA1987" s="3">
        <f>IF(INDEX('CAMD Facility Data 2023'!$AA$2:$AE$10000,MATCH(Z1987,'CAMD Facility Data 2023'!$AE$2:$AE$10000,0),1)&gt;0,INDEX('CAMD Facility Data 2023'!$AA$2:$AE$10000,MATCH(Z1987,'CAMD Facility Data 2023'!$AE$2:$AE$10000,0),1),"")</f>
        <v>27211</v>
      </c>
      <c r="AB1987" s="5">
        <f>IF(INDEX('CAMD Facility Data 2023'!$AC$2:$AE$10000,MATCH(Z1987,'CAMD Facility Data 2023'!$AE$2:$AE$10000,0),1)&gt;0,INDEX('CAMD Facility Data 2023'!$AC$2:$AE$10000,MATCH(Z1987,'CAMD Facility Data 2023'!$AE$2:$AE$10000,0),1),"")</f>
        <v>416</v>
      </c>
      <c r="AC1987" s="1" t="str">
        <f>IF(INDEX('CAMD Facility Data 2023'!$AE$2:$AG$10000,MATCH(Z1987,'CAMD Facility Data 2023'!$AE$2:$AE$10000,0),3)&gt;0,INDEX('CAMD Facility Data 2023'!$AE$2:$AG$10000,MATCH(Z1987,'CAMD Facility Data 2023'!$AE$2:$AE$10000,0),3),"")</f>
        <v/>
      </c>
      <c r="AD1987" s="20">
        <f t="shared" ref="AD1987:AD2050" si="94">IF(ISNUMBER(O1987*2000/I1987),O1987*2000/I1987,"")</f>
        <v>4.553509208561473</v>
      </c>
      <c r="AE1987" s="25">
        <f t="shared" ref="AE1987:AE2050" si="95">Q1987/(AB1987*8760)</f>
        <v>5.6121026519142959E-3</v>
      </c>
    </row>
    <row r="1988" spans="1:31" x14ac:dyDescent="0.2">
      <c r="A1988" s="1" t="s">
        <v>2089</v>
      </c>
      <c r="B1988" s="1" t="s">
        <v>4620</v>
      </c>
      <c r="C1988" s="1">
        <v>8007</v>
      </c>
      <c r="D1988" s="1" t="s">
        <v>2241</v>
      </c>
      <c r="E1988" s="1" t="s">
        <v>1330</v>
      </c>
      <c r="F1988" s="1">
        <v>2023</v>
      </c>
      <c r="G1988" s="5">
        <v>133</v>
      </c>
      <c r="H1988" s="5">
        <v>133</v>
      </c>
      <c r="I1988" s="5">
        <v>2297</v>
      </c>
      <c r="K1988" s="5">
        <v>7.0000000000000001E-3</v>
      </c>
      <c r="L1988" s="5">
        <v>4.0000000000000002E-4</v>
      </c>
      <c r="M1988" s="5">
        <v>1982.5</v>
      </c>
      <c r="N1988" s="6">
        <v>8.09E-2</v>
      </c>
      <c r="O1988" s="5">
        <v>5.3170000000000002</v>
      </c>
      <c r="P1988" s="6">
        <v>0.4945</v>
      </c>
      <c r="Q1988" s="5">
        <v>24467.5</v>
      </c>
      <c r="R1988" s="1" t="s">
        <v>94</v>
      </c>
      <c r="T1988" s="1" t="s">
        <v>93</v>
      </c>
      <c r="V1988" s="1" t="s">
        <v>95</v>
      </c>
      <c r="Y1988" s="1" t="s">
        <v>1528</v>
      </c>
      <c r="Z1988" s="1" t="str">
        <f t="shared" si="93"/>
        <v>8007 U00012</v>
      </c>
      <c r="AA1988" s="3">
        <f>IF(INDEX('CAMD Facility Data 2023'!$AA$2:$AE$10000,MATCH(Z1988,'CAMD Facility Data 2023'!$AE$2:$AE$10000,0),1)&gt;0,INDEX('CAMD Facility Data 2023'!$AA$2:$AE$10000,MATCH(Z1988,'CAMD Facility Data 2023'!$AE$2:$AE$10000,0),1),"")</f>
        <v>27211</v>
      </c>
      <c r="AB1988" s="5">
        <f>IF(INDEX('CAMD Facility Data 2023'!$AC$2:$AE$10000,MATCH(Z1988,'CAMD Facility Data 2023'!$AE$2:$AE$10000,0),1)&gt;0,INDEX('CAMD Facility Data 2023'!$AC$2:$AE$10000,MATCH(Z1988,'CAMD Facility Data 2023'!$AE$2:$AE$10000,0),1),"")</f>
        <v>416</v>
      </c>
      <c r="AC1988" s="1" t="str">
        <f>IF(INDEX('CAMD Facility Data 2023'!$AE$2:$AG$10000,MATCH(Z1988,'CAMD Facility Data 2023'!$AE$2:$AE$10000,0),3)&gt;0,INDEX('CAMD Facility Data 2023'!$AE$2:$AG$10000,MATCH(Z1988,'CAMD Facility Data 2023'!$AE$2:$AE$10000,0),3),"")</f>
        <v/>
      </c>
      <c r="AD1988" s="20">
        <f t="shared" si="94"/>
        <v>4.6295167609925993</v>
      </c>
      <c r="AE1988" s="25">
        <f t="shared" si="95"/>
        <v>6.714167325254654E-3</v>
      </c>
    </row>
    <row r="1989" spans="1:31" x14ac:dyDescent="0.2">
      <c r="A1989" s="1" t="s">
        <v>2089</v>
      </c>
      <c r="B1989" s="1" t="s">
        <v>4620</v>
      </c>
      <c r="C1989" s="1">
        <v>8007</v>
      </c>
      <c r="D1989" s="1" t="s">
        <v>2243</v>
      </c>
      <c r="E1989" s="1" t="s">
        <v>1330</v>
      </c>
      <c r="F1989" s="1">
        <v>2023</v>
      </c>
      <c r="G1989" s="5">
        <v>42</v>
      </c>
      <c r="H1989" s="5">
        <v>42</v>
      </c>
      <c r="I1989" s="5">
        <v>699</v>
      </c>
      <c r="K1989" s="5">
        <v>2E-3</v>
      </c>
      <c r="L1989" s="5">
        <v>2.9999999999999997E-4</v>
      </c>
      <c r="M1989" s="5">
        <v>609.6</v>
      </c>
      <c r="N1989" s="6">
        <v>8.0799999999999997E-2</v>
      </c>
      <c r="O1989" s="5">
        <v>1.994</v>
      </c>
      <c r="P1989" s="6">
        <v>0.55869999999999997</v>
      </c>
      <c r="Q1989" s="5">
        <v>7523.1</v>
      </c>
      <c r="R1989" s="1" t="s">
        <v>94</v>
      </c>
      <c r="T1989" s="1" t="s">
        <v>93</v>
      </c>
      <c r="V1989" s="1" t="s">
        <v>95</v>
      </c>
      <c r="Y1989" s="1" t="s">
        <v>1528</v>
      </c>
      <c r="Z1989" s="1" t="str">
        <f t="shared" si="93"/>
        <v>8007 U00013</v>
      </c>
      <c r="AA1989" s="3">
        <f>IF(INDEX('CAMD Facility Data 2023'!$AA$2:$AE$10000,MATCH(Z1989,'CAMD Facility Data 2023'!$AE$2:$AE$10000,0),1)&gt;0,INDEX('CAMD Facility Data 2023'!$AA$2:$AE$10000,MATCH(Z1989,'CAMD Facility Data 2023'!$AE$2:$AE$10000,0),1),"")</f>
        <v>27211</v>
      </c>
      <c r="AB1989" s="5">
        <f>IF(INDEX('CAMD Facility Data 2023'!$AC$2:$AE$10000,MATCH(Z1989,'CAMD Facility Data 2023'!$AE$2:$AE$10000,0),1)&gt;0,INDEX('CAMD Facility Data 2023'!$AC$2:$AE$10000,MATCH(Z1989,'CAMD Facility Data 2023'!$AE$2:$AE$10000,0),1),"")</f>
        <v>416</v>
      </c>
      <c r="AC1989" s="1" t="str">
        <f>IF(INDEX('CAMD Facility Data 2023'!$AE$2:$AG$10000,MATCH(Z1989,'CAMD Facility Data 2023'!$AE$2:$AE$10000,0),3)&gt;0,INDEX('CAMD Facility Data 2023'!$AE$2:$AG$10000,MATCH(Z1989,'CAMD Facility Data 2023'!$AE$2:$AE$10000,0),3),"")</f>
        <v/>
      </c>
      <c r="AD1989" s="20">
        <f t="shared" si="94"/>
        <v>5.7052932761087272</v>
      </c>
      <c r="AE1989" s="25">
        <f t="shared" si="95"/>
        <v>2.0644263698630138E-3</v>
      </c>
    </row>
    <row r="1990" spans="1:31" x14ac:dyDescent="0.2">
      <c r="A1990" s="1" t="s">
        <v>2089</v>
      </c>
      <c r="B1990" s="1" t="s">
        <v>4620</v>
      </c>
      <c r="C1990" s="1">
        <v>8007</v>
      </c>
      <c r="D1990" s="1" t="s">
        <v>2244</v>
      </c>
      <c r="E1990" s="1" t="s">
        <v>1330</v>
      </c>
      <c r="F1990" s="1">
        <v>2023</v>
      </c>
      <c r="G1990" s="5">
        <v>42</v>
      </c>
      <c r="H1990" s="5">
        <v>42</v>
      </c>
      <c r="I1990" s="5">
        <v>699</v>
      </c>
      <c r="K1990" s="5">
        <v>2E-3</v>
      </c>
      <c r="L1990" s="5">
        <v>2.9999999999999997E-4</v>
      </c>
      <c r="M1990" s="5">
        <v>609.6</v>
      </c>
      <c r="N1990" s="6">
        <v>8.0799999999999997E-2</v>
      </c>
      <c r="O1990" s="5">
        <v>2.161</v>
      </c>
      <c r="P1990" s="6">
        <v>0.60109999999999997</v>
      </c>
      <c r="Q1990" s="5">
        <v>7523.1</v>
      </c>
      <c r="R1990" s="1" t="s">
        <v>94</v>
      </c>
      <c r="T1990" s="1" t="s">
        <v>93</v>
      </c>
      <c r="V1990" s="1" t="s">
        <v>95</v>
      </c>
      <c r="Y1990" s="1" t="s">
        <v>1528</v>
      </c>
      <c r="Z1990" s="1" t="str">
        <f t="shared" si="93"/>
        <v>8007 U00014</v>
      </c>
      <c r="AA1990" s="3">
        <f>IF(INDEX('CAMD Facility Data 2023'!$AA$2:$AE$10000,MATCH(Z1990,'CAMD Facility Data 2023'!$AE$2:$AE$10000,0),1)&gt;0,INDEX('CAMD Facility Data 2023'!$AA$2:$AE$10000,MATCH(Z1990,'CAMD Facility Data 2023'!$AE$2:$AE$10000,0),1),"")</f>
        <v>27211</v>
      </c>
      <c r="AB1990" s="5">
        <f>IF(INDEX('CAMD Facility Data 2023'!$AC$2:$AE$10000,MATCH(Z1990,'CAMD Facility Data 2023'!$AE$2:$AE$10000,0),1)&gt;0,INDEX('CAMD Facility Data 2023'!$AC$2:$AE$10000,MATCH(Z1990,'CAMD Facility Data 2023'!$AE$2:$AE$10000,0),1),"")</f>
        <v>416</v>
      </c>
      <c r="AC1990" s="1" t="str">
        <f>IF(INDEX('CAMD Facility Data 2023'!$AE$2:$AG$10000,MATCH(Z1990,'CAMD Facility Data 2023'!$AE$2:$AE$10000,0),3)&gt;0,INDEX('CAMD Facility Data 2023'!$AE$2:$AG$10000,MATCH(Z1990,'CAMD Facility Data 2023'!$AE$2:$AE$10000,0),3),"")</f>
        <v/>
      </c>
      <c r="AD1990" s="20">
        <f t="shared" si="94"/>
        <v>6.1831187410586557</v>
      </c>
      <c r="AE1990" s="25">
        <f t="shared" si="95"/>
        <v>2.0644263698630138E-3</v>
      </c>
    </row>
    <row r="1991" spans="1:31" x14ac:dyDescent="0.2">
      <c r="A1991" s="1" t="s">
        <v>2089</v>
      </c>
      <c r="B1991" s="1" t="s">
        <v>4620</v>
      </c>
      <c r="C1991" s="1">
        <v>8007</v>
      </c>
      <c r="D1991" s="1" t="s">
        <v>2246</v>
      </c>
      <c r="E1991" s="1" t="s">
        <v>1330</v>
      </c>
      <c r="F1991" s="1">
        <v>2023</v>
      </c>
      <c r="G1991" s="5">
        <v>47</v>
      </c>
      <c r="H1991" s="5">
        <v>47</v>
      </c>
      <c r="I1991" s="5">
        <v>688</v>
      </c>
      <c r="K1991" s="5">
        <v>3.0000000000000001E-3</v>
      </c>
      <c r="L1991" s="5">
        <v>5.0000000000000001E-4</v>
      </c>
      <c r="M1991" s="5">
        <v>640.5</v>
      </c>
      <c r="N1991" s="6">
        <v>8.0799999999999997E-2</v>
      </c>
      <c r="O1991" s="5">
        <v>1.98</v>
      </c>
      <c r="P1991" s="6">
        <v>0.54020000000000001</v>
      </c>
      <c r="Q1991" s="5">
        <v>7912.1</v>
      </c>
      <c r="R1991" s="1" t="s">
        <v>94</v>
      </c>
      <c r="T1991" s="1" t="s">
        <v>93</v>
      </c>
      <c r="V1991" s="1" t="s">
        <v>140</v>
      </c>
      <c r="Y1991" s="1" t="s">
        <v>1528</v>
      </c>
      <c r="Z1991" s="1" t="str">
        <f t="shared" si="93"/>
        <v>8007 U00015</v>
      </c>
      <c r="AA1991" s="3">
        <f>IF(INDEX('CAMD Facility Data 2023'!$AA$2:$AE$10000,MATCH(Z1991,'CAMD Facility Data 2023'!$AE$2:$AE$10000,0),1)&gt;0,INDEX('CAMD Facility Data 2023'!$AA$2:$AE$10000,MATCH(Z1991,'CAMD Facility Data 2023'!$AE$2:$AE$10000,0),1),"")</f>
        <v>27211</v>
      </c>
      <c r="AB1991" s="5">
        <f>IF(INDEX('CAMD Facility Data 2023'!$AC$2:$AE$10000,MATCH(Z1991,'CAMD Facility Data 2023'!$AE$2:$AE$10000,0),1)&gt;0,INDEX('CAMD Facility Data 2023'!$AC$2:$AE$10000,MATCH(Z1991,'CAMD Facility Data 2023'!$AE$2:$AE$10000,0),1),"")</f>
        <v>416</v>
      </c>
      <c r="AC1991" s="1" t="str">
        <f>IF(INDEX('CAMD Facility Data 2023'!$AE$2:$AG$10000,MATCH(Z1991,'CAMD Facility Data 2023'!$AE$2:$AE$10000,0),3)&gt;0,INDEX('CAMD Facility Data 2023'!$AE$2:$AG$10000,MATCH(Z1991,'CAMD Facility Data 2023'!$AE$2:$AE$10000,0),3),"")</f>
        <v/>
      </c>
      <c r="AD1991" s="20">
        <f t="shared" si="94"/>
        <v>5.7558139534883717</v>
      </c>
      <c r="AE1991" s="25">
        <f t="shared" si="95"/>
        <v>2.1711725061468214E-3</v>
      </c>
    </row>
    <row r="1992" spans="1:31" x14ac:dyDescent="0.2">
      <c r="A1992" s="1" t="s">
        <v>2089</v>
      </c>
      <c r="B1992" s="1" t="s">
        <v>4620</v>
      </c>
      <c r="C1992" s="1">
        <v>8007</v>
      </c>
      <c r="D1992" s="1" t="s">
        <v>2247</v>
      </c>
      <c r="E1992" s="1" t="s">
        <v>1330</v>
      </c>
      <c r="F1992" s="1">
        <v>2023</v>
      </c>
      <c r="G1992" s="5">
        <v>27</v>
      </c>
      <c r="H1992" s="5">
        <v>27</v>
      </c>
      <c r="I1992" s="5">
        <v>491</v>
      </c>
      <c r="K1992" s="5">
        <v>2E-3</v>
      </c>
      <c r="L1992" s="5">
        <v>5.0000000000000001E-4</v>
      </c>
      <c r="M1992" s="5">
        <v>419.6</v>
      </c>
      <c r="N1992" s="6">
        <v>8.1100000000000005E-2</v>
      </c>
      <c r="O1992" s="5">
        <v>1.137</v>
      </c>
      <c r="P1992" s="6">
        <v>0.505</v>
      </c>
      <c r="Q1992" s="5">
        <v>5183.1000000000004</v>
      </c>
      <c r="R1992" s="1" t="s">
        <v>94</v>
      </c>
      <c r="T1992" s="1" t="s">
        <v>93</v>
      </c>
      <c r="V1992" s="1" t="s">
        <v>95</v>
      </c>
      <c r="Y1992" s="1" t="s">
        <v>1528</v>
      </c>
      <c r="Z1992" s="1" t="str">
        <f t="shared" si="93"/>
        <v>8007 U00016</v>
      </c>
      <c r="AA1992" s="3">
        <f>IF(INDEX('CAMD Facility Data 2023'!$AA$2:$AE$10000,MATCH(Z1992,'CAMD Facility Data 2023'!$AE$2:$AE$10000,0),1)&gt;0,INDEX('CAMD Facility Data 2023'!$AA$2:$AE$10000,MATCH(Z1992,'CAMD Facility Data 2023'!$AE$2:$AE$10000,0),1),"")</f>
        <v>27211</v>
      </c>
      <c r="AB1992" s="5">
        <f>IF(INDEX('CAMD Facility Data 2023'!$AC$2:$AE$10000,MATCH(Z1992,'CAMD Facility Data 2023'!$AE$2:$AE$10000,0),1)&gt;0,INDEX('CAMD Facility Data 2023'!$AC$2:$AE$10000,MATCH(Z1992,'CAMD Facility Data 2023'!$AE$2:$AE$10000,0),1),"")</f>
        <v>416</v>
      </c>
      <c r="AC1992" s="1" t="str">
        <f>IF(INDEX('CAMD Facility Data 2023'!$AE$2:$AG$10000,MATCH(Z1992,'CAMD Facility Data 2023'!$AE$2:$AE$10000,0),3)&gt;0,INDEX('CAMD Facility Data 2023'!$AE$2:$AG$10000,MATCH(Z1992,'CAMD Facility Data 2023'!$AE$2:$AE$10000,0),3),"")</f>
        <v/>
      </c>
      <c r="AD1992" s="20">
        <f t="shared" si="94"/>
        <v>4.6313645621181259</v>
      </c>
      <c r="AE1992" s="25">
        <f t="shared" si="95"/>
        <v>1.4223030821917809E-3</v>
      </c>
    </row>
    <row r="1993" spans="1:31" x14ac:dyDescent="0.2">
      <c r="A1993" s="1" t="s">
        <v>2089</v>
      </c>
      <c r="B1993" s="1" t="s">
        <v>4620</v>
      </c>
      <c r="C1993" s="1">
        <v>8007</v>
      </c>
      <c r="D1993" s="1" t="s">
        <v>2248</v>
      </c>
      <c r="E1993" s="1" t="s">
        <v>1330</v>
      </c>
      <c r="F1993" s="1">
        <v>2023</v>
      </c>
      <c r="G1993" s="5">
        <v>84</v>
      </c>
      <c r="H1993" s="5">
        <v>84</v>
      </c>
      <c r="I1993" s="5">
        <v>1671</v>
      </c>
      <c r="K1993" s="5">
        <v>7.0000000000000001E-3</v>
      </c>
      <c r="L1993" s="5">
        <v>8.0000000000000004E-4</v>
      </c>
      <c r="M1993" s="5">
        <v>1423.3</v>
      </c>
      <c r="N1993" s="6">
        <v>8.09E-2</v>
      </c>
      <c r="O1993" s="5">
        <v>4.8810000000000002</v>
      </c>
      <c r="P1993" s="6">
        <v>0.57420000000000004</v>
      </c>
      <c r="Q1993" s="5">
        <v>17569.2</v>
      </c>
      <c r="R1993" s="1" t="s">
        <v>94</v>
      </c>
      <c r="T1993" s="1" t="s">
        <v>93</v>
      </c>
      <c r="V1993" s="1" t="s">
        <v>140</v>
      </c>
      <c r="Y1993" s="1" t="s">
        <v>1528</v>
      </c>
      <c r="Z1993" s="1" t="str">
        <f t="shared" si="93"/>
        <v>8007 U00017</v>
      </c>
      <c r="AA1993" s="3">
        <f>IF(INDEX('CAMD Facility Data 2023'!$AA$2:$AE$10000,MATCH(Z1993,'CAMD Facility Data 2023'!$AE$2:$AE$10000,0),1)&gt;0,INDEX('CAMD Facility Data 2023'!$AA$2:$AE$10000,MATCH(Z1993,'CAMD Facility Data 2023'!$AE$2:$AE$10000,0),1),"")</f>
        <v>27211</v>
      </c>
      <c r="AB1993" s="5">
        <f>IF(INDEX('CAMD Facility Data 2023'!$AC$2:$AE$10000,MATCH(Z1993,'CAMD Facility Data 2023'!$AE$2:$AE$10000,0),1)&gt;0,INDEX('CAMD Facility Data 2023'!$AC$2:$AE$10000,MATCH(Z1993,'CAMD Facility Data 2023'!$AE$2:$AE$10000,0),1),"")</f>
        <v>416</v>
      </c>
      <c r="AC1993" s="1" t="str">
        <f>IF(INDEX('CAMD Facility Data 2023'!$AE$2:$AG$10000,MATCH(Z1993,'CAMD Facility Data 2023'!$AE$2:$AE$10000,0),3)&gt;0,INDEX('CAMD Facility Data 2023'!$AE$2:$AG$10000,MATCH(Z1993,'CAMD Facility Data 2023'!$AE$2:$AE$10000,0),3),"")</f>
        <v/>
      </c>
      <c r="AD1993" s="20">
        <f t="shared" si="94"/>
        <v>5.8420107719928183</v>
      </c>
      <c r="AE1993" s="25">
        <f t="shared" si="95"/>
        <v>4.821193361433088E-3</v>
      </c>
    </row>
    <row r="1994" spans="1:31" x14ac:dyDescent="0.2">
      <c r="A1994" s="1" t="s">
        <v>2089</v>
      </c>
      <c r="B1994" s="1" t="s">
        <v>4620</v>
      </c>
      <c r="C1994" s="1">
        <v>8007</v>
      </c>
      <c r="D1994" s="1" t="s">
        <v>2249</v>
      </c>
      <c r="E1994" s="1" t="s">
        <v>1330</v>
      </c>
      <c r="F1994" s="1">
        <v>2023</v>
      </c>
      <c r="G1994" s="5">
        <v>83</v>
      </c>
      <c r="H1994" s="5">
        <v>83</v>
      </c>
      <c r="I1994" s="5">
        <v>1670</v>
      </c>
      <c r="K1994" s="5">
        <v>7.0000000000000001E-3</v>
      </c>
      <c r="L1994" s="5">
        <v>8.0000000000000004E-4</v>
      </c>
      <c r="M1994" s="5">
        <v>1422.2</v>
      </c>
      <c r="N1994" s="6">
        <v>8.09E-2</v>
      </c>
      <c r="O1994" s="5">
        <v>4.8730000000000002</v>
      </c>
      <c r="P1994" s="6">
        <v>0.56659999999999999</v>
      </c>
      <c r="Q1994" s="5">
        <v>17555.3</v>
      </c>
      <c r="R1994" s="1" t="s">
        <v>94</v>
      </c>
      <c r="T1994" s="1" t="s">
        <v>93</v>
      </c>
      <c r="V1994" s="1" t="s">
        <v>95</v>
      </c>
      <c r="Y1994" s="1" t="s">
        <v>1528</v>
      </c>
      <c r="Z1994" s="1" t="str">
        <f t="shared" si="93"/>
        <v>8007 U00018</v>
      </c>
      <c r="AA1994" s="3">
        <f>IF(INDEX('CAMD Facility Data 2023'!$AA$2:$AE$10000,MATCH(Z1994,'CAMD Facility Data 2023'!$AE$2:$AE$10000,0),1)&gt;0,INDEX('CAMD Facility Data 2023'!$AA$2:$AE$10000,MATCH(Z1994,'CAMD Facility Data 2023'!$AE$2:$AE$10000,0),1),"")</f>
        <v>27211</v>
      </c>
      <c r="AB1994" s="5">
        <f>IF(INDEX('CAMD Facility Data 2023'!$AC$2:$AE$10000,MATCH(Z1994,'CAMD Facility Data 2023'!$AE$2:$AE$10000,0),1)&gt;0,INDEX('CAMD Facility Data 2023'!$AC$2:$AE$10000,MATCH(Z1994,'CAMD Facility Data 2023'!$AE$2:$AE$10000,0),1),"")</f>
        <v>416</v>
      </c>
      <c r="AC1994" s="1" t="str">
        <f>IF(INDEX('CAMD Facility Data 2023'!$AE$2:$AG$10000,MATCH(Z1994,'CAMD Facility Data 2023'!$AE$2:$AE$10000,0),3)&gt;0,INDEX('CAMD Facility Data 2023'!$AE$2:$AG$10000,MATCH(Z1994,'CAMD Facility Data 2023'!$AE$2:$AE$10000,0),3),"")</f>
        <v/>
      </c>
      <c r="AD1994" s="20">
        <f t="shared" si="94"/>
        <v>5.8359281437125752</v>
      </c>
      <c r="AE1994" s="25">
        <f t="shared" si="95"/>
        <v>4.8173790393396558E-3</v>
      </c>
    </row>
    <row r="1995" spans="1:31" x14ac:dyDescent="0.2">
      <c r="A1995" s="1" t="s">
        <v>2089</v>
      </c>
      <c r="B1995" s="1" t="s">
        <v>4620</v>
      </c>
      <c r="C1995" s="1">
        <v>8007</v>
      </c>
      <c r="D1995" s="1" t="s">
        <v>2250</v>
      </c>
      <c r="E1995" s="1" t="s">
        <v>1330</v>
      </c>
      <c r="F1995" s="1">
        <v>2023</v>
      </c>
      <c r="G1995" s="5">
        <v>49</v>
      </c>
      <c r="H1995" s="5">
        <v>49</v>
      </c>
      <c r="I1995" s="5">
        <v>894</v>
      </c>
      <c r="K1995" s="5">
        <v>4.0000000000000001E-3</v>
      </c>
      <c r="L1995" s="5">
        <v>8.0000000000000004E-4</v>
      </c>
      <c r="M1995" s="5">
        <v>764.8</v>
      </c>
      <c r="N1995" s="6">
        <v>8.0799999999999997E-2</v>
      </c>
      <c r="O1995" s="5">
        <v>2.782</v>
      </c>
      <c r="P1995" s="6">
        <v>0.5837</v>
      </c>
      <c r="Q1995" s="5">
        <v>9449.6</v>
      </c>
      <c r="R1995" s="1" t="s">
        <v>94</v>
      </c>
      <c r="T1995" s="1" t="s">
        <v>93</v>
      </c>
      <c r="V1995" s="1" t="s">
        <v>95</v>
      </c>
      <c r="Y1995" s="1" t="s">
        <v>1528</v>
      </c>
      <c r="Z1995" s="1" t="str">
        <f t="shared" si="93"/>
        <v>8007 U00019</v>
      </c>
      <c r="AA1995" s="3">
        <f>IF(INDEX('CAMD Facility Data 2023'!$AA$2:$AE$10000,MATCH(Z1995,'CAMD Facility Data 2023'!$AE$2:$AE$10000,0),1)&gt;0,INDEX('CAMD Facility Data 2023'!$AA$2:$AE$10000,MATCH(Z1995,'CAMD Facility Data 2023'!$AE$2:$AE$10000,0),1),"")</f>
        <v>27211</v>
      </c>
      <c r="AB1995" s="5">
        <f>IF(INDEX('CAMD Facility Data 2023'!$AC$2:$AE$10000,MATCH(Z1995,'CAMD Facility Data 2023'!$AE$2:$AE$10000,0),1)&gt;0,INDEX('CAMD Facility Data 2023'!$AC$2:$AE$10000,MATCH(Z1995,'CAMD Facility Data 2023'!$AE$2:$AE$10000,0),1),"")</f>
        <v>416</v>
      </c>
      <c r="AC1995" s="1" t="str">
        <f>IF(INDEX('CAMD Facility Data 2023'!$AE$2:$AG$10000,MATCH(Z1995,'CAMD Facility Data 2023'!$AE$2:$AE$10000,0),3)&gt;0,INDEX('CAMD Facility Data 2023'!$AE$2:$AG$10000,MATCH(Z1995,'CAMD Facility Data 2023'!$AE$2:$AE$10000,0),3),"")</f>
        <v/>
      </c>
      <c r="AD1995" s="20">
        <f t="shared" si="94"/>
        <v>6.2237136465324383</v>
      </c>
      <c r="AE1995" s="25">
        <f t="shared" si="95"/>
        <v>2.5930804355461892E-3</v>
      </c>
    </row>
    <row r="1996" spans="1:31" x14ac:dyDescent="0.2">
      <c r="A1996" s="1" t="s">
        <v>2089</v>
      </c>
      <c r="B1996" s="1" t="s">
        <v>4620</v>
      </c>
      <c r="C1996" s="1">
        <v>8007</v>
      </c>
      <c r="D1996" s="1" t="s">
        <v>2252</v>
      </c>
      <c r="E1996" s="1" t="s">
        <v>1330</v>
      </c>
      <c r="F1996" s="1">
        <v>2023</v>
      </c>
      <c r="G1996" s="5">
        <v>49</v>
      </c>
      <c r="H1996" s="5">
        <v>49</v>
      </c>
      <c r="I1996" s="5">
        <v>894</v>
      </c>
      <c r="K1996" s="5">
        <v>4.0000000000000001E-3</v>
      </c>
      <c r="L1996" s="5">
        <v>8.0000000000000004E-4</v>
      </c>
      <c r="M1996" s="5">
        <v>764.8</v>
      </c>
      <c r="N1996" s="6">
        <v>8.0799999999999997E-2</v>
      </c>
      <c r="O1996" s="5">
        <v>2.9289999999999998</v>
      </c>
      <c r="P1996" s="6">
        <v>0.59670000000000001</v>
      </c>
      <c r="Q1996" s="5">
        <v>9449.6</v>
      </c>
      <c r="R1996" s="1" t="s">
        <v>94</v>
      </c>
      <c r="T1996" s="1" t="s">
        <v>93</v>
      </c>
      <c r="V1996" s="1" t="s">
        <v>95</v>
      </c>
      <c r="Y1996" s="1" t="s">
        <v>1528</v>
      </c>
      <c r="Z1996" s="1" t="str">
        <f t="shared" si="93"/>
        <v>8007 U00020</v>
      </c>
      <c r="AA1996" s="3">
        <f>IF(INDEX('CAMD Facility Data 2023'!$AA$2:$AE$10000,MATCH(Z1996,'CAMD Facility Data 2023'!$AE$2:$AE$10000,0),1)&gt;0,INDEX('CAMD Facility Data 2023'!$AA$2:$AE$10000,MATCH(Z1996,'CAMD Facility Data 2023'!$AE$2:$AE$10000,0),1),"")</f>
        <v>27211</v>
      </c>
      <c r="AB1996" s="5">
        <f>IF(INDEX('CAMD Facility Data 2023'!$AC$2:$AE$10000,MATCH(Z1996,'CAMD Facility Data 2023'!$AE$2:$AE$10000,0),1)&gt;0,INDEX('CAMD Facility Data 2023'!$AC$2:$AE$10000,MATCH(Z1996,'CAMD Facility Data 2023'!$AE$2:$AE$10000,0),1),"")</f>
        <v>416</v>
      </c>
      <c r="AC1996" s="1" t="str">
        <f>IF(INDEX('CAMD Facility Data 2023'!$AE$2:$AG$10000,MATCH(Z1996,'CAMD Facility Data 2023'!$AE$2:$AE$10000,0),3)&gt;0,INDEX('CAMD Facility Data 2023'!$AE$2:$AG$10000,MATCH(Z1996,'CAMD Facility Data 2023'!$AE$2:$AE$10000,0),3),"")</f>
        <v/>
      </c>
      <c r="AD1996" s="20">
        <f t="shared" si="94"/>
        <v>6.5525727069351234</v>
      </c>
      <c r="AE1996" s="25">
        <f t="shared" si="95"/>
        <v>2.5930804355461892E-3</v>
      </c>
    </row>
    <row r="1997" spans="1:31" x14ac:dyDescent="0.2">
      <c r="A1997" s="1" t="s">
        <v>1980</v>
      </c>
      <c r="B1997" s="1" t="s">
        <v>4634</v>
      </c>
      <c r="C1997" s="1">
        <v>8008</v>
      </c>
      <c r="D1997" s="1">
        <v>1001</v>
      </c>
      <c r="F1997" s="1">
        <v>2023</v>
      </c>
      <c r="G1997" s="5">
        <v>60</v>
      </c>
      <c r="H1997" s="5">
        <v>47.96</v>
      </c>
      <c r="I1997" s="5">
        <v>1951.2</v>
      </c>
      <c r="K1997" s="5">
        <v>1.0999999999999999E-2</v>
      </c>
      <c r="L1997" s="5">
        <v>8.9999999999999998E-4</v>
      </c>
      <c r="M1997" s="5">
        <v>2122.8000000000002</v>
      </c>
      <c r="N1997" s="6">
        <v>5.8999999999999997E-2</v>
      </c>
      <c r="O1997" s="5">
        <v>2.6989999999999998</v>
      </c>
      <c r="P1997" s="6">
        <v>0.14949999999999999</v>
      </c>
      <c r="Q1997" s="5">
        <v>35982.5</v>
      </c>
      <c r="R1997" s="1" t="s">
        <v>44</v>
      </c>
      <c r="T1997" s="1" t="s">
        <v>93</v>
      </c>
      <c r="V1997" s="1" t="s">
        <v>176</v>
      </c>
      <c r="Y1997" s="1" t="s">
        <v>1528</v>
      </c>
      <c r="Z1997" s="1" t="str">
        <f t="shared" si="93"/>
        <v>8008 1001</v>
      </c>
      <c r="AA1997" s="3">
        <f>IF(INDEX('CAMD Facility Data 2023'!$AA$2:$AE$10000,MATCH(Z1997,'CAMD Facility Data 2023'!$AE$2:$AE$10000,0),1)&gt;0,INDEX('CAMD Facility Data 2023'!$AA$2:$AE$10000,MATCH(Z1997,'CAMD Facility Data 2023'!$AE$2:$AE$10000,0),1),"")</f>
        <v>27208</v>
      </c>
      <c r="AB1997" s="5">
        <f>IF(INDEX('CAMD Facility Data 2023'!$AC$2:$AE$10000,MATCH(Z1997,'CAMD Facility Data 2023'!$AE$2:$AE$10000,0),1)&gt;0,INDEX('CAMD Facility Data 2023'!$AC$2:$AE$10000,MATCH(Z1997,'CAMD Facility Data 2023'!$AE$2:$AE$10000,0),1),"")</f>
        <v>1092</v>
      </c>
      <c r="AC1997" s="1" t="str">
        <f>IF(INDEX('CAMD Facility Data 2023'!$AE$2:$AG$10000,MATCH(Z1997,'CAMD Facility Data 2023'!$AE$2:$AE$10000,0),3)&gt;0,INDEX('CAMD Facility Data 2023'!$AE$2:$AG$10000,MATCH(Z1997,'CAMD Facility Data 2023'!$AE$2:$AE$10000,0),3),"")</f>
        <v>Y</v>
      </c>
      <c r="AD1997" s="20">
        <f t="shared" si="94"/>
        <v>2.7665026650266502</v>
      </c>
      <c r="AE1997" s="25">
        <f t="shared" si="95"/>
        <v>3.761530516667503E-3</v>
      </c>
    </row>
    <row r="1998" spans="1:31" x14ac:dyDescent="0.2">
      <c r="A1998" s="1" t="s">
        <v>2584</v>
      </c>
      <c r="B1998" s="1" t="s">
        <v>4638</v>
      </c>
      <c r="C1998" s="1">
        <v>8012</v>
      </c>
      <c r="D1998" s="1">
        <v>11</v>
      </c>
      <c r="F1998" s="1">
        <v>2023</v>
      </c>
      <c r="G1998" s="5">
        <v>6</v>
      </c>
      <c r="H1998" s="5">
        <v>2.86</v>
      </c>
      <c r="I1998" s="5">
        <v>88.19</v>
      </c>
      <c r="K1998" s="5">
        <v>0.13400000000000001</v>
      </c>
      <c r="L1998" s="5">
        <v>0.2024</v>
      </c>
      <c r="M1998" s="5">
        <v>107.7</v>
      </c>
      <c r="N1998" s="6">
        <v>8.0600000000000005E-2</v>
      </c>
      <c r="O1998" s="5">
        <v>0.38600000000000001</v>
      </c>
      <c r="P1998" s="6">
        <v>0.58040000000000003</v>
      </c>
      <c r="Q1998" s="5">
        <v>1329.9</v>
      </c>
      <c r="R1998" s="1" t="s">
        <v>94</v>
      </c>
      <c r="T1998" s="1" t="s">
        <v>93</v>
      </c>
      <c r="Y1998" s="1" t="s">
        <v>1528</v>
      </c>
      <c r="Z1998" s="1" t="str">
        <f t="shared" si="93"/>
        <v>8012 11</v>
      </c>
      <c r="AA1998" s="3">
        <f>IF(INDEX('CAMD Facility Data 2023'!$AA$2:$AE$10000,MATCH(Z1998,'CAMD Facility Data 2023'!$AE$2:$AE$10000,0),1)&gt;0,INDEX('CAMD Facility Data 2023'!$AA$2:$AE$10000,MATCH(Z1998,'CAMD Facility Data 2023'!$AE$2:$AE$10000,0),1),"")</f>
        <v>27138</v>
      </c>
      <c r="AB1998" s="5">
        <f>IF(INDEX('CAMD Facility Data 2023'!$AC$2:$AE$10000,MATCH(Z1998,'CAMD Facility Data 2023'!$AE$2:$AE$10000,0),1)&gt;0,INDEX('CAMD Facility Data 2023'!$AC$2:$AE$10000,MATCH(Z1998,'CAMD Facility Data 2023'!$AE$2:$AE$10000,0),1),"")</f>
        <v>838</v>
      </c>
      <c r="AC1998" s="1" t="str">
        <f>IF(INDEX('CAMD Facility Data 2023'!$AE$2:$AG$10000,MATCH(Z1998,'CAMD Facility Data 2023'!$AE$2:$AE$10000,0),3)&gt;0,INDEX('CAMD Facility Data 2023'!$AE$2:$AG$10000,MATCH(Z1998,'CAMD Facility Data 2023'!$AE$2:$AE$10000,0),3),"")</f>
        <v/>
      </c>
      <c r="AD1998" s="20">
        <f t="shared" si="94"/>
        <v>8.7538269645084483</v>
      </c>
      <c r="AE1998" s="25">
        <f t="shared" si="95"/>
        <v>1.8116356622094356E-4</v>
      </c>
    </row>
    <row r="1999" spans="1:31" x14ac:dyDescent="0.2">
      <c r="A1999" s="1" t="s">
        <v>2584</v>
      </c>
      <c r="B1999" s="1" t="s">
        <v>4638</v>
      </c>
      <c r="C1999" s="1">
        <v>8012</v>
      </c>
      <c r="D1999" s="1">
        <v>12</v>
      </c>
      <c r="F1999" s="1">
        <v>2023</v>
      </c>
      <c r="G1999" s="5">
        <v>12</v>
      </c>
      <c r="H1999" s="5">
        <v>4.3899999999999997</v>
      </c>
      <c r="I1999" s="5">
        <v>100.01</v>
      </c>
      <c r="K1999" s="5">
        <v>0.16700000000000001</v>
      </c>
      <c r="L1999" s="5">
        <v>0.2024</v>
      </c>
      <c r="M1999" s="5">
        <v>134.19999999999999</v>
      </c>
      <c r="N1999" s="6">
        <v>8.1000000000000003E-2</v>
      </c>
      <c r="O1999" s="5">
        <v>0.48099999999999998</v>
      </c>
      <c r="P1999" s="6">
        <v>0.57969999999999999</v>
      </c>
      <c r="Q1999" s="5">
        <v>1656.9</v>
      </c>
      <c r="R1999" s="1" t="s">
        <v>94</v>
      </c>
      <c r="T1999" s="1" t="s">
        <v>93</v>
      </c>
      <c r="Y1999" s="1" t="s">
        <v>1528</v>
      </c>
      <c r="Z1999" s="1" t="str">
        <f t="shared" si="93"/>
        <v>8012 12</v>
      </c>
      <c r="AA1999" s="3">
        <f>IF(INDEX('CAMD Facility Data 2023'!$AA$2:$AE$10000,MATCH(Z1999,'CAMD Facility Data 2023'!$AE$2:$AE$10000,0),1)&gt;0,INDEX('CAMD Facility Data 2023'!$AA$2:$AE$10000,MATCH(Z1999,'CAMD Facility Data 2023'!$AE$2:$AE$10000,0),1),"")</f>
        <v>27138</v>
      </c>
      <c r="AB1999" s="5">
        <f>IF(INDEX('CAMD Facility Data 2023'!$AC$2:$AE$10000,MATCH(Z1999,'CAMD Facility Data 2023'!$AE$2:$AE$10000,0),1)&gt;0,INDEX('CAMD Facility Data 2023'!$AC$2:$AE$10000,MATCH(Z1999,'CAMD Facility Data 2023'!$AE$2:$AE$10000,0),1),"")</f>
        <v>838</v>
      </c>
      <c r="AC1999" s="1" t="str">
        <f>IF(INDEX('CAMD Facility Data 2023'!$AE$2:$AG$10000,MATCH(Z1999,'CAMD Facility Data 2023'!$AE$2:$AE$10000,0),3)&gt;0,INDEX('CAMD Facility Data 2023'!$AE$2:$AG$10000,MATCH(Z1999,'CAMD Facility Data 2023'!$AE$2:$AE$10000,0),3),"")</f>
        <v/>
      </c>
      <c r="AD1999" s="20">
        <f t="shared" si="94"/>
        <v>9.6190380961903799</v>
      </c>
      <c r="AE1999" s="25">
        <f t="shared" si="95"/>
        <v>2.2570863438715796E-4</v>
      </c>
    </row>
    <row r="2000" spans="1:31" x14ac:dyDescent="0.2">
      <c r="A2000" s="1" t="s">
        <v>2584</v>
      </c>
      <c r="B2000" s="1" t="s">
        <v>4638</v>
      </c>
      <c r="C2000" s="1">
        <v>8012</v>
      </c>
      <c r="D2000" s="1">
        <v>21</v>
      </c>
      <c r="F2000" s="1">
        <v>2023</v>
      </c>
      <c r="G2000" s="5">
        <v>7</v>
      </c>
      <c r="H2000" s="5">
        <v>2.4</v>
      </c>
      <c r="I2000" s="5">
        <v>77.5</v>
      </c>
      <c r="K2000" s="5">
        <v>0.11799999999999999</v>
      </c>
      <c r="L2000" s="5">
        <v>0.20219999999999999</v>
      </c>
      <c r="M2000" s="5">
        <v>94.3</v>
      </c>
      <c r="N2000" s="6">
        <v>8.0199999999999994E-2</v>
      </c>
      <c r="O2000" s="5">
        <v>0.33800000000000002</v>
      </c>
      <c r="P2000" s="6">
        <v>0.58140000000000003</v>
      </c>
      <c r="Q2000" s="5">
        <v>1165</v>
      </c>
      <c r="R2000" s="1" t="s">
        <v>94</v>
      </c>
      <c r="T2000" s="1" t="s">
        <v>93</v>
      </c>
      <c r="Y2000" s="1" t="s">
        <v>1528</v>
      </c>
      <c r="Z2000" s="1" t="str">
        <f t="shared" si="93"/>
        <v>8012 21</v>
      </c>
      <c r="AA2000" s="3">
        <f>IF(INDEX('CAMD Facility Data 2023'!$AA$2:$AE$10000,MATCH(Z2000,'CAMD Facility Data 2023'!$AE$2:$AE$10000,0),1)&gt;0,INDEX('CAMD Facility Data 2023'!$AA$2:$AE$10000,MATCH(Z2000,'CAMD Facility Data 2023'!$AE$2:$AE$10000,0),1),"")</f>
        <v>27138</v>
      </c>
      <c r="AB2000" s="5">
        <f>IF(INDEX('CAMD Facility Data 2023'!$AC$2:$AE$10000,MATCH(Z2000,'CAMD Facility Data 2023'!$AE$2:$AE$10000,0),1)&gt;0,INDEX('CAMD Facility Data 2023'!$AC$2:$AE$10000,MATCH(Z2000,'CAMD Facility Data 2023'!$AE$2:$AE$10000,0),1),"")</f>
        <v>838</v>
      </c>
      <c r="AC2000" s="1" t="str">
        <f>IF(INDEX('CAMD Facility Data 2023'!$AE$2:$AG$10000,MATCH(Z2000,'CAMD Facility Data 2023'!$AE$2:$AE$10000,0),3)&gt;0,INDEX('CAMD Facility Data 2023'!$AE$2:$AG$10000,MATCH(Z2000,'CAMD Facility Data 2023'!$AE$2:$AE$10000,0),3),"")</f>
        <v/>
      </c>
      <c r="AD2000" s="20">
        <f t="shared" si="94"/>
        <v>8.7225806451612904</v>
      </c>
      <c r="AE2000" s="25">
        <f t="shared" si="95"/>
        <v>1.5870031930776692E-4</v>
      </c>
    </row>
    <row r="2001" spans="1:31" x14ac:dyDescent="0.2">
      <c r="A2001" s="1" t="s">
        <v>2584</v>
      </c>
      <c r="B2001" s="1" t="s">
        <v>4638</v>
      </c>
      <c r="C2001" s="1">
        <v>8012</v>
      </c>
      <c r="D2001" s="1">
        <v>22</v>
      </c>
      <c r="F2001" s="1">
        <v>2023</v>
      </c>
      <c r="G2001" s="5">
        <v>5</v>
      </c>
      <c r="H2001" s="5">
        <v>2.25</v>
      </c>
      <c r="I2001" s="5">
        <v>81.66</v>
      </c>
      <c r="K2001" s="5">
        <v>0.123</v>
      </c>
      <c r="L2001" s="5">
        <v>0.20200000000000001</v>
      </c>
      <c r="M2001" s="5">
        <v>98.7</v>
      </c>
      <c r="N2001" s="6">
        <v>8.1299999999999997E-2</v>
      </c>
      <c r="O2001" s="5">
        <v>0.35399999999999998</v>
      </c>
      <c r="P2001" s="6">
        <v>0.58030000000000004</v>
      </c>
      <c r="Q2001" s="5">
        <v>1219</v>
      </c>
      <c r="R2001" s="1" t="s">
        <v>94</v>
      </c>
      <c r="T2001" s="1" t="s">
        <v>93</v>
      </c>
      <c r="Y2001" s="1" t="s">
        <v>1528</v>
      </c>
      <c r="Z2001" s="1" t="str">
        <f t="shared" si="93"/>
        <v>8012 22</v>
      </c>
      <c r="AA2001" s="3">
        <f>IF(INDEX('CAMD Facility Data 2023'!$AA$2:$AE$10000,MATCH(Z2001,'CAMD Facility Data 2023'!$AE$2:$AE$10000,0),1)&gt;0,INDEX('CAMD Facility Data 2023'!$AA$2:$AE$10000,MATCH(Z2001,'CAMD Facility Data 2023'!$AE$2:$AE$10000,0),1),"")</f>
        <v>27138</v>
      </c>
      <c r="AB2001" s="5">
        <f>IF(INDEX('CAMD Facility Data 2023'!$AC$2:$AE$10000,MATCH(Z2001,'CAMD Facility Data 2023'!$AE$2:$AE$10000,0),1)&gt;0,INDEX('CAMD Facility Data 2023'!$AC$2:$AE$10000,MATCH(Z2001,'CAMD Facility Data 2023'!$AE$2:$AE$10000,0),1),"")</f>
        <v>838</v>
      </c>
      <c r="AC2001" s="1" t="str">
        <f>IF(INDEX('CAMD Facility Data 2023'!$AE$2:$AG$10000,MATCH(Z2001,'CAMD Facility Data 2023'!$AE$2:$AE$10000,0),3)&gt;0,INDEX('CAMD Facility Data 2023'!$AE$2:$AG$10000,MATCH(Z2001,'CAMD Facility Data 2023'!$AE$2:$AE$10000,0),3),"")</f>
        <v/>
      </c>
      <c r="AD2001" s="20">
        <f t="shared" si="94"/>
        <v>8.6700955180014692</v>
      </c>
      <c r="AE2001" s="25">
        <f t="shared" si="95"/>
        <v>1.6605638561044452E-4</v>
      </c>
    </row>
    <row r="2002" spans="1:31" x14ac:dyDescent="0.2">
      <c r="A2002" s="1" t="s">
        <v>2584</v>
      </c>
      <c r="B2002" s="1" t="s">
        <v>4638</v>
      </c>
      <c r="C2002" s="1">
        <v>8012</v>
      </c>
      <c r="D2002" s="1">
        <v>31</v>
      </c>
      <c r="F2002" s="1">
        <v>2023</v>
      </c>
      <c r="G2002" s="5">
        <v>5</v>
      </c>
      <c r="H2002" s="5">
        <v>2.4500000000000002</v>
      </c>
      <c r="I2002" s="5">
        <v>80.599999999999994</v>
      </c>
      <c r="K2002" s="5">
        <v>0.14299999999999999</v>
      </c>
      <c r="L2002" s="5">
        <v>0.20230000000000001</v>
      </c>
      <c r="M2002" s="5">
        <v>114.6</v>
      </c>
      <c r="N2002" s="6">
        <v>8.0799999999999997E-2</v>
      </c>
      <c r="O2002" s="5">
        <v>0.41</v>
      </c>
      <c r="P2002" s="6">
        <v>0.57999999999999996</v>
      </c>
      <c r="Q2002" s="5">
        <v>1413.6</v>
      </c>
      <c r="R2002" s="1" t="s">
        <v>94</v>
      </c>
      <c r="T2002" s="1" t="s">
        <v>93</v>
      </c>
      <c r="Y2002" s="1" t="s">
        <v>1528</v>
      </c>
      <c r="Z2002" s="1" t="str">
        <f t="shared" si="93"/>
        <v>8012 31</v>
      </c>
      <c r="AA2002" s="3">
        <f>IF(INDEX('CAMD Facility Data 2023'!$AA$2:$AE$10000,MATCH(Z2002,'CAMD Facility Data 2023'!$AE$2:$AE$10000,0),1)&gt;0,INDEX('CAMD Facility Data 2023'!$AA$2:$AE$10000,MATCH(Z2002,'CAMD Facility Data 2023'!$AE$2:$AE$10000,0),1),"")</f>
        <v>27138</v>
      </c>
      <c r="AB2002" s="5">
        <f>IF(INDEX('CAMD Facility Data 2023'!$AC$2:$AE$10000,MATCH(Z2002,'CAMD Facility Data 2023'!$AE$2:$AE$10000,0),1)&gt;0,INDEX('CAMD Facility Data 2023'!$AC$2:$AE$10000,MATCH(Z2002,'CAMD Facility Data 2023'!$AE$2:$AE$10000,0),1),"")</f>
        <v>838</v>
      </c>
      <c r="AC2002" s="1" t="str">
        <f>IF(INDEX('CAMD Facility Data 2023'!$AE$2:$AG$10000,MATCH(Z2002,'CAMD Facility Data 2023'!$AE$2:$AE$10000,0),3)&gt;0,INDEX('CAMD Facility Data 2023'!$AE$2:$AG$10000,MATCH(Z2002,'CAMD Facility Data 2023'!$AE$2:$AE$10000,0),3),"")</f>
        <v/>
      </c>
      <c r="AD2002" s="20">
        <f t="shared" si="94"/>
        <v>10.173697270471465</v>
      </c>
      <c r="AE2002" s="25">
        <f t="shared" si="95"/>
        <v>1.9256546899009381E-4</v>
      </c>
    </row>
    <row r="2003" spans="1:31" x14ac:dyDescent="0.2">
      <c r="A2003" s="1" t="s">
        <v>2584</v>
      </c>
      <c r="B2003" s="1" t="s">
        <v>4638</v>
      </c>
      <c r="C2003" s="1">
        <v>8012</v>
      </c>
      <c r="D2003" s="1">
        <v>32</v>
      </c>
      <c r="F2003" s="1">
        <v>2023</v>
      </c>
      <c r="G2003" s="5">
        <v>5</v>
      </c>
      <c r="H2003" s="5">
        <v>2.52</v>
      </c>
      <c r="I2003" s="5">
        <v>79.22</v>
      </c>
      <c r="K2003" s="5">
        <v>0.124</v>
      </c>
      <c r="L2003" s="5">
        <v>0.20250000000000001</v>
      </c>
      <c r="M2003" s="5">
        <v>99.4</v>
      </c>
      <c r="N2003" s="6">
        <v>8.0500000000000002E-2</v>
      </c>
      <c r="O2003" s="5">
        <v>0.35599999999999998</v>
      </c>
      <c r="P2003" s="6">
        <v>0.57979999999999998</v>
      </c>
      <c r="Q2003" s="5">
        <v>1227</v>
      </c>
      <c r="R2003" s="1" t="s">
        <v>94</v>
      </c>
      <c r="T2003" s="1" t="s">
        <v>93</v>
      </c>
      <c r="Y2003" s="1" t="s">
        <v>1528</v>
      </c>
      <c r="Z2003" s="1" t="str">
        <f t="shared" si="93"/>
        <v>8012 32</v>
      </c>
      <c r="AA2003" s="3">
        <f>IF(INDEX('CAMD Facility Data 2023'!$AA$2:$AE$10000,MATCH(Z2003,'CAMD Facility Data 2023'!$AE$2:$AE$10000,0),1)&gt;0,INDEX('CAMD Facility Data 2023'!$AA$2:$AE$10000,MATCH(Z2003,'CAMD Facility Data 2023'!$AE$2:$AE$10000,0),1),"")</f>
        <v>27138</v>
      </c>
      <c r="AB2003" s="5">
        <f>IF(INDEX('CAMD Facility Data 2023'!$AC$2:$AE$10000,MATCH(Z2003,'CAMD Facility Data 2023'!$AE$2:$AE$10000,0),1)&gt;0,INDEX('CAMD Facility Data 2023'!$AC$2:$AE$10000,MATCH(Z2003,'CAMD Facility Data 2023'!$AE$2:$AE$10000,0),1),"")</f>
        <v>838</v>
      </c>
      <c r="AC2003" s="1" t="str">
        <f>IF(INDEX('CAMD Facility Data 2023'!$AE$2:$AG$10000,MATCH(Z2003,'CAMD Facility Data 2023'!$AE$2:$AE$10000,0),3)&gt;0,INDEX('CAMD Facility Data 2023'!$AE$2:$AG$10000,MATCH(Z2003,'CAMD Facility Data 2023'!$AE$2:$AE$10000,0),3),"")</f>
        <v/>
      </c>
      <c r="AD2003" s="20">
        <f t="shared" si="94"/>
        <v>8.9876293865185559</v>
      </c>
      <c r="AE2003" s="25">
        <f t="shared" si="95"/>
        <v>1.6714617321084122E-4</v>
      </c>
    </row>
    <row r="2004" spans="1:31" x14ac:dyDescent="0.2">
      <c r="A2004" s="1" t="s">
        <v>2584</v>
      </c>
      <c r="B2004" s="1" t="s">
        <v>4638</v>
      </c>
      <c r="C2004" s="1">
        <v>8012</v>
      </c>
      <c r="D2004" s="1">
        <v>41</v>
      </c>
      <c r="F2004" s="1">
        <v>2023</v>
      </c>
      <c r="G2004" s="5">
        <v>8</v>
      </c>
      <c r="H2004" s="5">
        <v>2.5</v>
      </c>
      <c r="I2004" s="5">
        <v>72.599999999999994</v>
      </c>
      <c r="K2004" s="5">
        <v>0.13100000000000001</v>
      </c>
      <c r="L2004" s="5">
        <v>0.20180000000000001</v>
      </c>
      <c r="M2004" s="5">
        <v>104.8</v>
      </c>
      <c r="N2004" s="6">
        <v>8.1000000000000003E-2</v>
      </c>
      <c r="O2004" s="5">
        <v>0.375</v>
      </c>
      <c r="P2004" s="6">
        <v>0.57999999999999996</v>
      </c>
      <c r="Q2004" s="5">
        <v>1294</v>
      </c>
      <c r="R2004" s="1" t="s">
        <v>94</v>
      </c>
      <c r="T2004" s="1" t="s">
        <v>93</v>
      </c>
      <c r="Y2004" s="1" t="s">
        <v>1528</v>
      </c>
      <c r="Z2004" s="1" t="str">
        <f t="shared" si="93"/>
        <v>8012 41</v>
      </c>
      <c r="AA2004" s="3">
        <f>IF(INDEX('CAMD Facility Data 2023'!$AA$2:$AE$10000,MATCH(Z2004,'CAMD Facility Data 2023'!$AE$2:$AE$10000,0),1)&gt;0,INDEX('CAMD Facility Data 2023'!$AA$2:$AE$10000,MATCH(Z2004,'CAMD Facility Data 2023'!$AE$2:$AE$10000,0),1),"")</f>
        <v>27138</v>
      </c>
      <c r="AB2004" s="5">
        <f>IF(INDEX('CAMD Facility Data 2023'!$AC$2:$AE$10000,MATCH(Z2004,'CAMD Facility Data 2023'!$AE$2:$AE$10000,0),1)&gt;0,INDEX('CAMD Facility Data 2023'!$AC$2:$AE$10000,MATCH(Z2004,'CAMD Facility Data 2023'!$AE$2:$AE$10000,0),1),"")</f>
        <v>838</v>
      </c>
      <c r="AC2004" s="1" t="str">
        <f>IF(INDEX('CAMD Facility Data 2023'!$AE$2:$AG$10000,MATCH(Z2004,'CAMD Facility Data 2023'!$AE$2:$AE$10000,0),3)&gt;0,INDEX('CAMD Facility Data 2023'!$AE$2:$AG$10000,MATCH(Z2004,'CAMD Facility Data 2023'!$AE$2:$AE$10000,0),3),"")</f>
        <v/>
      </c>
      <c r="AD2004" s="20">
        <f t="shared" si="94"/>
        <v>10.330578512396695</v>
      </c>
      <c r="AE2004" s="25">
        <f t="shared" si="95"/>
        <v>1.7627314436416343E-4</v>
      </c>
    </row>
    <row r="2005" spans="1:31" x14ac:dyDescent="0.2">
      <c r="A2005" s="1" t="s">
        <v>2584</v>
      </c>
      <c r="B2005" s="1" t="s">
        <v>4638</v>
      </c>
      <c r="C2005" s="1">
        <v>8012</v>
      </c>
      <c r="D2005" s="1">
        <v>42</v>
      </c>
      <c r="F2005" s="1">
        <v>2023</v>
      </c>
      <c r="G2005" s="5">
        <v>6</v>
      </c>
      <c r="H2005" s="5">
        <v>2.31</v>
      </c>
      <c r="I2005" s="5">
        <v>80.13</v>
      </c>
      <c r="K2005" s="5">
        <v>0.123</v>
      </c>
      <c r="L2005" s="5">
        <v>0.2024</v>
      </c>
      <c r="M2005" s="5">
        <v>98.3</v>
      </c>
      <c r="N2005" s="6">
        <v>8.0799999999999997E-2</v>
      </c>
      <c r="O2005" s="5">
        <v>0.35199999999999998</v>
      </c>
      <c r="P2005" s="6">
        <v>0.5796</v>
      </c>
      <c r="Q2005" s="5">
        <v>1213</v>
      </c>
      <c r="R2005" s="1" t="s">
        <v>94</v>
      </c>
      <c r="T2005" s="1" t="s">
        <v>93</v>
      </c>
      <c r="Y2005" s="1" t="s">
        <v>1528</v>
      </c>
      <c r="Z2005" s="1" t="str">
        <f t="shared" si="93"/>
        <v>8012 42</v>
      </c>
      <c r="AA2005" s="3">
        <f>IF(INDEX('CAMD Facility Data 2023'!$AA$2:$AE$10000,MATCH(Z2005,'CAMD Facility Data 2023'!$AE$2:$AE$10000,0),1)&gt;0,INDEX('CAMD Facility Data 2023'!$AA$2:$AE$10000,MATCH(Z2005,'CAMD Facility Data 2023'!$AE$2:$AE$10000,0),1),"")</f>
        <v>27138</v>
      </c>
      <c r="AB2005" s="5">
        <f>IF(INDEX('CAMD Facility Data 2023'!$AC$2:$AE$10000,MATCH(Z2005,'CAMD Facility Data 2023'!$AE$2:$AE$10000,0),1)&gt;0,INDEX('CAMD Facility Data 2023'!$AC$2:$AE$10000,MATCH(Z2005,'CAMD Facility Data 2023'!$AE$2:$AE$10000,0),1),"")</f>
        <v>838</v>
      </c>
      <c r="AC2005" s="1" t="str">
        <f>IF(INDEX('CAMD Facility Data 2023'!$AE$2:$AG$10000,MATCH(Z2005,'CAMD Facility Data 2023'!$AE$2:$AE$10000,0),3)&gt;0,INDEX('CAMD Facility Data 2023'!$AE$2:$AG$10000,MATCH(Z2005,'CAMD Facility Data 2023'!$AE$2:$AE$10000,0),3),"")</f>
        <v/>
      </c>
      <c r="AD2005" s="20">
        <f t="shared" si="94"/>
        <v>8.7857231998003247</v>
      </c>
      <c r="AE2005" s="25">
        <f t="shared" si="95"/>
        <v>1.6523904491014702E-4</v>
      </c>
    </row>
    <row r="2006" spans="1:31" x14ac:dyDescent="0.2">
      <c r="A2006" s="1" t="s">
        <v>458</v>
      </c>
      <c r="B2006" s="1" t="s">
        <v>4648</v>
      </c>
      <c r="C2006" s="1">
        <v>8016</v>
      </c>
      <c r="D2006" s="1">
        <v>2</v>
      </c>
      <c r="F2006" s="1">
        <v>2023</v>
      </c>
      <c r="G2006" s="5">
        <v>7</v>
      </c>
      <c r="H2006" s="5">
        <v>4.5</v>
      </c>
      <c r="I2006" s="5">
        <v>50.3</v>
      </c>
      <c r="K2006" s="5">
        <v>0.27100000000000002</v>
      </c>
      <c r="L2006" s="5">
        <v>0.50039999999999996</v>
      </c>
      <c r="O2006" s="5">
        <v>0.65</v>
      </c>
      <c r="P2006" s="6">
        <v>1.2003999999999999</v>
      </c>
      <c r="Q2006" s="5">
        <v>1083.0999999999999</v>
      </c>
      <c r="R2006" s="1" t="s">
        <v>94</v>
      </c>
      <c r="T2006" s="1" t="s">
        <v>93</v>
      </c>
      <c r="Y2006" s="1" t="s">
        <v>1020</v>
      </c>
      <c r="Z2006" s="1" t="str">
        <f t="shared" si="93"/>
        <v>8016 2</v>
      </c>
      <c r="AA2006" s="3">
        <f>IF(INDEX('CAMD Facility Data 2023'!$AA$2:$AE$10000,MATCH(Z2006,'CAMD Facility Data 2023'!$AE$2:$AE$10000,0),1)&gt;0,INDEX('CAMD Facility Data 2023'!$AA$2:$AE$10000,MATCH(Z2006,'CAMD Facility Data 2023'!$AE$2:$AE$10000,0),1),"")</f>
        <v>26877</v>
      </c>
      <c r="AB2006" s="5">
        <f>IF(INDEX('CAMD Facility Data 2023'!$AC$2:$AE$10000,MATCH(Z2006,'CAMD Facility Data 2023'!$AE$2:$AE$10000,0),1)&gt;0,INDEX('CAMD Facility Data 2023'!$AC$2:$AE$10000,MATCH(Z2006,'CAMD Facility Data 2023'!$AE$2:$AE$10000,0),1),"")</f>
        <v>316</v>
      </c>
      <c r="AC2006" s="1" t="str">
        <f>IF(INDEX('CAMD Facility Data 2023'!$AE$2:$AG$10000,MATCH(Z2006,'CAMD Facility Data 2023'!$AE$2:$AE$10000,0),3)&gt;0,INDEX('CAMD Facility Data 2023'!$AE$2:$AG$10000,MATCH(Z2006,'CAMD Facility Data 2023'!$AE$2:$AE$10000,0),3),"")</f>
        <v/>
      </c>
      <c r="AD2006" s="20">
        <f t="shared" si="94"/>
        <v>25.844930417495032</v>
      </c>
      <c r="AE2006" s="25">
        <f t="shared" si="95"/>
        <v>3.912707357956187E-4</v>
      </c>
    </row>
    <row r="2007" spans="1:31" x14ac:dyDescent="0.2">
      <c r="A2007" s="1" t="s">
        <v>3167</v>
      </c>
      <c r="B2007" s="1" t="s">
        <v>1807</v>
      </c>
      <c r="C2007" s="1">
        <v>8023</v>
      </c>
      <c r="D2007" s="1">
        <v>1</v>
      </c>
      <c r="F2007" s="1">
        <v>2023</v>
      </c>
      <c r="G2007" s="5">
        <v>7455</v>
      </c>
      <c r="H2007" s="5">
        <v>7452.61</v>
      </c>
      <c r="I2007" s="5">
        <v>2308274.83</v>
      </c>
      <c r="K2007" s="5">
        <v>719.29</v>
      </c>
      <c r="L2007" s="5">
        <v>5.8700000000000002E-2</v>
      </c>
      <c r="M2007" s="5">
        <v>2567882.1349999998</v>
      </c>
      <c r="N2007" s="6">
        <v>0.10489999999999999</v>
      </c>
      <c r="O2007" s="5">
        <v>1502.7660000000001</v>
      </c>
      <c r="P2007" s="6">
        <v>0.12089999999999999</v>
      </c>
      <c r="Q2007" s="5">
        <v>24486290.291999999</v>
      </c>
      <c r="R2007" s="1" t="s">
        <v>55</v>
      </c>
      <c r="T2007" s="1" t="s">
        <v>43</v>
      </c>
      <c r="U2007" s="1" t="s">
        <v>212</v>
      </c>
      <c r="V2007" s="1" t="s">
        <v>242</v>
      </c>
      <c r="W2007" s="1" t="s">
        <v>123</v>
      </c>
      <c r="X2007" s="1" t="s">
        <v>937</v>
      </c>
      <c r="Y2007" s="1" t="s">
        <v>1005</v>
      </c>
      <c r="Z2007" s="1" t="str">
        <f t="shared" si="93"/>
        <v>8023 1</v>
      </c>
      <c r="AA2007" s="3">
        <f>IF(INDEX('CAMD Facility Data 2023'!$AA$2:$AE$10000,MATCH(Z2007,'CAMD Facility Data 2023'!$AE$2:$AE$10000,0),1)&gt;0,INDEX('CAMD Facility Data 2023'!$AA$2:$AE$10000,MATCH(Z2007,'CAMD Facility Data 2023'!$AE$2:$AE$10000,0),1),"")</f>
        <v>27472</v>
      </c>
      <c r="AB2007" s="5">
        <f>IF(INDEX('CAMD Facility Data 2023'!$AC$2:$AE$10000,MATCH(Z2007,'CAMD Facility Data 2023'!$AE$2:$AE$10000,0),1)&gt;0,INDEX('CAMD Facility Data 2023'!$AC$2:$AE$10000,MATCH(Z2007,'CAMD Facility Data 2023'!$AE$2:$AE$10000,0),1),"")</f>
        <v>6929</v>
      </c>
      <c r="AC2007" s="1" t="str">
        <f>IF(INDEX('CAMD Facility Data 2023'!$AE$2:$AG$10000,MATCH(Z2007,'CAMD Facility Data 2023'!$AE$2:$AE$10000,0),3)&gt;0,INDEX('CAMD Facility Data 2023'!$AE$2:$AG$10000,MATCH(Z2007,'CAMD Facility Data 2023'!$AE$2:$AE$10000,0),3),"")</f>
        <v/>
      </c>
      <c r="AD2007" s="20">
        <f t="shared" si="94"/>
        <v>1.3020685236168346</v>
      </c>
      <c r="AE2007" s="25">
        <f t="shared" si="95"/>
        <v>0.40341154824768638</v>
      </c>
    </row>
    <row r="2008" spans="1:31" x14ac:dyDescent="0.2">
      <c r="A2008" s="1" t="s">
        <v>3167</v>
      </c>
      <c r="B2008" s="1" t="s">
        <v>1807</v>
      </c>
      <c r="C2008" s="1">
        <v>8023</v>
      </c>
      <c r="D2008" s="1">
        <v>2</v>
      </c>
      <c r="F2008" s="1">
        <v>2023</v>
      </c>
      <c r="G2008" s="5">
        <v>6603</v>
      </c>
      <c r="H2008" s="5">
        <v>6596.35</v>
      </c>
      <c r="I2008" s="5">
        <v>2332040.98</v>
      </c>
      <c r="K2008" s="5">
        <v>697.57899999999995</v>
      </c>
      <c r="L2008" s="5">
        <v>5.8500000000000003E-2</v>
      </c>
      <c r="M2008" s="5">
        <v>2499272.6189999999</v>
      </c>
      <c r="N2008" s="6">
        <v>0.1046</v>
      </c>
      <c r="O2008" s="5">
        <v>675.452</v>
      </c>
      <c r="P2008" s="6">
        <v>5.57E-2</v>
      </c>
      <c r="Q2008" s="5">
        <v>23836146.943999998</v>
      </c>
      <c r="R2008" s="1" t="s">
        <v>55</v>
      </c>
      <c r="T2008" s="1" t="s">
        <v>43</v>
      </c>
      <c r="U2008" s="1" t="s">
        <v>212</v>
      </c>
      <c r="V2008" s="1" t="s">
        <v>57</v>
      </c>
      <c r="W2008" s="1" t="s">
        <v>123</v>
      </c>
      <c r="X2008" s="1" t="s">
        <v>937</v>
      </c>
      <c r="Y2008" s="1" t="s">
        <v>1005</v>
      </c>
      <c r="Z2008" s="1" t="str">
        <f t="shared" si="93"/>
        <v>8023 2</v>
      </c>
      <c r="AA2008" s="3">
        <f>IF(INDEX('CAMD Facility Data 2023'!$AA$2:$AE$10000,MATCH(Z2008,'CAMD Facility Data 2023'!$AE$2:$AE$10000,0),1)&gt;0,INDEX('CAMD Facility Data 2023'!$AA$2:$AE$10000,MATCH(Z2008,'CAMD Facility Data 2023'!$AE$2:$AE$10000,0),1),"")</f>
        <v>28541</v>
      </c>
      <c r="AB2008" s="5">
        <f>IF(INDEX('CAMD Facility Data 2023'!$AC$2:$AE$10000,MATCH(Z2008,'CAMD Facility Data 2023'!$AE$2:$AE$10000,0),1)&gt;0,INDEX('CAMD Facility Data 2023'!$AC$2:$AE$10000,MATCH(Z2008,'CAMD Facility Data 2023'!$AE$2:$AE$10000,0),1),"")</f>
        <v>6525</v>
      </c>
      <c r="AC2008" s="1" t="str">
        <f>IF(INDEX('CAMD Facility Data 2023'!$AE$2:$AG$10000,MATCH(Z2008,'CAMD Facility Data 2023'!$AE$2:$AE$10000,0),3)&gt;0,INDEX('CAMD Facility Data 2023'!$AE$2:$AG$10000,MATCH(Z2008,'CAMD Facility Data 2023'!$AE$2:$AE$10000,0),3),"")</f>
        <v>Y</v>
      </c>
      <c r="AD2008" s="20">
        <f t="shared" si="94"/>
        <v>0.57927970030783937</v>
      </c>
      <c r="AE2008" s="25">
        <f t="shared" si="95"/>
        <v>0.41701476484893013</v>
      </c>
    </row>
    <row r="2009" spans="1:31" x14ac:dyDescent="0.2">
      <c r="A2009" s="1" t="s">
        <v>1663</v>
      </c>
      <c r="B2009" s="1" t="s">
        <v>4654</v>
      </c>
      <c r="C2009" s="1">
        <v>8027</v>
      </c>
      <c r="D2009" s="1">
        <v>1</v>
      </c>
      <c r="F2009" s="1">
        <v>2023</v>
      </c>
      <c r="G2009" s="5">
        <v>7</v>
      </c>
      <c r="H2009" s="5">
        <v>4.7300000000000004</v>
      </c>
      <c r="I2009" s="5">
        <v>71.319999999999993</v>
      </c>
      <c r="K2009" s="5">
        <v>2.8000000000000001E-2</v>
      </c>
      <c r="L2009" s="5">
        <v>4.02E-2</v>
      </c>
      <c r="O2009" s="5">
        <v>0.84199999999999997</v>
      </c>
      <c r="P2009" s="6">
        <v>1.2</v>
      </c>
      <c r="Q2009" s="5">
        <v>1403</v>
      </c>
      <c r="R2009" s="1" t="s">
        <v>94</v>
      </c>
      <c r="T2009" s="1" t="s">
        <v>93</v>
      </c>
      <c r="Y2009" s="1" t="s">
        <v>1696</v>
      </c>
      <c r="Z2009" s="1" t="str">
        <f t="shared" si="93"/>
        <v>8027 1</v>
      </c>
      <c r="AA2009" s="3">
        <f>IF(INDEX('CAMD Facility Data 2023'!$AA$2:$AE$10000,MATCH(Z2009,'CAMD Facility Data 2023'!$AE$2:$AE$10000,0),1)&gt;0,INDEX('CAMD Facility Data 2023'!$AA$2:$AE$10000,MATCH(Z2009,'CAMD Facility Data 2023'!$AE$2:$AE$10000,0),1),"")</f>
        <v>27145</v>
      </c>
      <c r="AB2009" s="5">
        <f>IF(INDEX('CAMD Facility Data 2023'!$AC$2:$AE$10000,MATCH(Z2009,'CAMD Facility Data 2023'!$AE$2:$AE$10000,0),1)&gt;0,INDEX('CAMD Facility Data 2023'!$AC$2:$AE$10000,MATCH(Z2009,'CAMD Facility Data 2023'!$AE$2:$AE$10000,0),1),"")</f>
        <v>648</v>
      </c>
      <c r="AC2009" s="1" t="str">
        <f>IF(INDEX('CAMD Facility Data 2023'!$AE$2:$AG$10000,MATCH(Z2009,'CAMD Facility Data 2023'!$AE$2:$AE$10000,0),3)&gt;0,INDEX('CAMD Facility Data 2023'!$AE$2:$AG$10000,MATCH(Z2009,'CAMD Facility Data 2023'!$AE$2:$AE$10000,0),3),"")</f>
        <v/>
      </c>
      <c r="AD2009" s="20">
        <f t="shared" si="94"/>
        <v>23.611890072910828</v>
      </c>
      <c r="AE2009" s="25">
        <f t="shared" si="95"/>
        <v>2.4716021196234287E-4</v>
      </c>
    </row>
    <row r="2010" spans="1:31" x14ac:dyDescent="0.2">
      <c r="A2010" s="1" t="s">
        <v>1663</v>
      </c>
      <c r="B2010" s="1" t="s">
        <v>4654</v>
      </c>
      <c r="C2010" s="1">
        <v>8027</v>
      </c>
      <c r="D2010" s="1">
        <v>2</v>
      </c>
      <c r="F2010" s="1">
        <v>2023</v>
      </c>
      <c r="G2010" s="5">
        <v>13</v>
      </c>
      <c r="H2010" s="5">
        <v>8.5399999999999991</v>
      </c>
      <c r="I2010" s="5">
        <v>183.22</v>
      </c>
      <c r="K2010" s="5">
        <v>6.2E-2</v>
      </c>
      <c r="L2010" s="5">
        <v>0.04</v>
      </c>
      <c r="O2010" s="5">
        <v>1.873</v>
      </c>
      <c r="P2010" s="6">
        <v>1.2</v>
      </c>
      <c r="Q2010" s="5">
        <v>3122</v>
      </c>
      <c r="R2010" s="1" t="s">
        <v>94</v>
      </c>
      <c r="T2010" s="1" t="s">
        <v>93</v>
      </c>
      <c r="Y2010" s="1" t="s">
        <v>1696</v>
      </c>
      <c r="Z2010" s="1" t="str">
        <f t="shared" si="93"/>
        <v>8027 2</v>
      </c>
      <c r="AA2010" s="3">
        <f>IF(INDEX('CAMD Facility Data 2023'!$AA$2:$AE$10000,MATCH(Z2010,'CAMD Facility Data 2023'!$AE$2:$AE$10000,0),1)&gt;0,INDEX('CAMD Facility Data 2023'!$AA$2:$AE$10000,MATCH(Z2010,'CAMD Facility Data 2023'!$AE$2:$AE$10000,0),1),"")</f>
        <v>27145</v>
      </c>
      <c r="AB2010" s="5">
        <f>IF(INDEX('CAMD Facility Data 2023'!$AC$2:$AE$10000,MATCH(Z2010,'CAMD Facility Data 2023'!$AE$2:$AE$10000,0),1)&gt;0,INDEX('CAMD Facility Data 2023'!$AC$2:$AE$10000,MATCH(Z2010,'CAMD Facility Data 2023'!$AE$2:$AE$10000,0),1),"")</f>
        <v>648</v>
      </c>
      <c r="AC2010" s="1" t="str">
        <f>IF(INDEX('CAMD Facility Data 2023'!$AE$2:$AG$10000,MATCH(Z2010,'CAMD Facility Data 2023'!$AE$2:$AE$10000,0),3)&gt;0,INDEX('CAMD Facility Data 2023'!$AE$2:$AG$10000,MATCH(Z2010,'CAMD Facility Data 2023'!$AE$2:$AE$10000,0),3),"")</f>
        <v/>
      </c>
      <c r="AD2010" s="20">
        <f t="shared" si="94"/>
        <v>20.445366226394498</v>
      </c>
      <c r="AE2010" s="25">
        <f t="shared" si="95"/>
        <v>5.4998872540729462E-4</v>
      </c>
    </row>
    <row r="2011" spans="1:31" x14ac:dyDescent="0.2">
      <c r="A2011" s="1" t="s">
        <v>1663</v>
      </c>
      <c r="B2011" s="1" t="s">
        <v>4654</v>
      </c>
      <c r="C2011" s="1">
        <v>8027</v>
      </c>
      <c r="D2011" s="1">
        <v>3</v>
      </c>
      <c r="F2011" s="1">
        <v>2023</v>
      </c>
      <c r="G2011" s="5">
        <v>5</v>
      </c>
      <c r="H2011" s="5">
        <v>4.09</v>
      </c>
      <c r="I2011" s="5">
        <v>72.5</v>
      </c>
      <c r="K2011" s="5">
        <v>2.8000000000000001E-2</v>
      </c>
      <c r="L2011" s="5">
        <v>0.04</v>
      </c>
      <c r="O2011" s="5">
        <v>0.85299999999999998</v>
      </c>
      <c r="P2011" s="6">
        <v>1.2</v>
      </c>
      <c r="Q2011" s="5">
        <v>1421</v>
      </c>
      <c r="R2011" s="1" t="s">
        <v>94</v>
      </c>
      <c r="T2011" s="1" t="s">
        <v>93</v>
      </c>
      <c r="Y2011" s="1" t="s">
        <v>1696</v>
      </c>
      <c r="Z2011" s="1" t="str">
        <f t="shared" si="93"/>
        <v>8027 3</v>
      </c>
      <c r="AA2011" s="3">
        <f>IF(INDEX('CAMD Facility Data 2023'!$AA$2:$AE$10000,MATCH(Z2011,'CAMD Facility Data 2023'!$AE$2:$AE$10000,0),1)&gt;0,INDEX('CAMD Facility Data 2023'!$AA$2:$AE$10000,MATCH(Z2011,'CAMD Facility Data 2023'!$AE$2:$AE$10000,0),1),"")</f>
        <v>27145</v>
      </c>
      <c r="AB2011" s="5">
        <f>IF(INDEX('CAMD Facility Data 2023'!$AC$2:$AE$10000,MATCH(Z2011,'CAMD Facility Data 2023'!$AE$2:$AE$10000,0),1)&gt;0,INDEX('CAMD Facility Data 2023'!$AC$2:$AE$10000,MATCH(Z2011,'CAMD Facility Data 2023'!$AE$2:$AE$10000,0),1),"")</f>
        <v>648</v>
      </c>
      <c r="AC2011" s="1" t="str">
        <f>IF(INDEX('CAMD Facility Data 2023'!$AE$2:$AG$10000,MATCH(Z2011,'CAMD Facility Data 2023'!$AE$2:$AE$10000,0),3)&gt;0,INDEX('CAMD Facility Data 2023'!$AE$2:$AG$10000,MATCH(Z2011,'CAMD Facility Data 2023'!$AE$2:$AE$10000,0),3),"")</f>
        <v/>
      </c>
      <c r="AD2011" s="20">
        <f t="shared" si="94"/>
        <v>23.531034482758621</v>
      </c>
      <c r="AE2011" s="25">
        <f t="shared" si="95"/>
        <v>2.5033119116071932E-4</v>
      </c>
    </row>
    <row r="2012" spans="1:31" x14ac:dyDescent="0.2">
      <c r="A2012" s="1" t="s">
        <v>1663</v>
      </c>
      <c r="B2012" s="1" t="s">
        <v>4654</v>
      </c>
      <c r="C2012" s="1">
        <v>8027</v>
      </c>
      <c r="D2012" s="1">
        <v>4</v>
      </c>
      <c r="F2012" s="1">
        <v>2023</v>
      </c>
      <c r="G2012" s="5">
        <v>10</v>
      </c>
      <c r="H2012" s="5">
        <v>7.57</v>
      </c>
      <c r="I2012" s="5">
        <v>186.8</v>
      </c>
      <c r="K2012" s="5">
        <v>5.2999999999999999E-2</v>
      </c>
      <c r="L2012" s="5">
        <v>3.9899999999999998E-2</v>
      </c>
      <c r="O2012" s="5">
        <v>1.5920000000000001</v>
      </c>
      <c r="P2012" s="6">
        <v>1.2</v>
      </c>
      <c r="Q2012" s="5">
        <v>2652.9</v>
      </c>
      <c r="R2012" s="1" t="s">
        <v>94</v>
      </c>
      <c r="T2012" s="1" t="s">
        <v>93</v>
      </c>
      <c r="Y2012" s="1" t="s">
        <v>1696</v>
      </c>
      <c r="Z2012" s="1" t="str">
        <f t="shared" si="93"/>
        <v>8027 4</v>
      </c>
      <c r="AA2012" s="3">
        <f>IF(INDEX('CAMD Facility Data 2023'!$AA$2:$AE$10000,MATCH(Z2012,'CAMD Facility Data 2023'!$AE$2:$AE$10000,0),1)&gt;0,INDEX('CAMD Facility Data 2023'!$AA$2:$AE$10000,MATCH(Z2012,'CAMD Facility Data 2023'!$AE$2:$AE$10000,0),1),"")</f>
        <v>27145</v>
      </c>
      <c r="AB2012" s="5">
        <f>IF(INDEX('CAMD Facility Data 2023'!$AC$2:$AE$10000,MATCH(Z2012,'CAMD Facility Data 2023'!$AE$2:$AE$10000,0),1)&gt;0,INDEX('CAMD Facility Data 2023'!$AC$2:$AE$10000,MATCH(Z2012,'CAMD Facility Data 2023'!$AE$2:$AE$10000,0),1),"")</f>
        <v>740</v>
      </c>
      <c r="AC2012" s="1" t="str">
        <f>IF(INDEX('CAMD Facility Data 2023'!$AE$2:$AG$10000,MATCH(Z2012,'CAMD Facility Data 2023'!$AE$2:$AE$10000,0),3)&gt;0,INDEX('CAMD Facility Data 2023'!$AE$2:$AG$10000,MATCH(Z2012,'CAMD Facility Data 2023'!$AE$2:$AE$10000,0),3),"")</f>
        <v/>
      </c>
      <c r="AD2012" s="20">
        <f t="shared" si="94"/>
        <v>17.04496788008565</v>
      </c>
      <c r="AE2012" s="25">
        <f t="shared" si="95"/>
        <v>4.0924657534246577E-4</v>
      </c>
    </row>
    <row r="2013" spans="1:31" x14ac:dyDescent="0.2">
      <c r="A2013" s="1" t="s">
        <v>1663</v>
      </c>
      <c r="B2013" s="1" t="s">
        <v>4654</v>
      </c>
      <c r="C2013" s="1">
        <v>8027</v>
      </c>
      <c r="D2013" s="1">
        <v>7</v>
      </c>
      <c r="F2013" s="1">
        <v>2023</v>
      </c>
      <c r="G2013" s="5">
        <v>357</v>
      </c>
      <c r="H2013" s="5">
        <v>312.89</v>
      </c>
      <c r="I2013" s="5">
        <v>34952.720000000001</v>
      </c>
      <c r="K2013" s="5">
        <v>0.13500000000000001</v>
      </c>
      <c r="L2013" s="5">
        <v>1E-3</v>
      </c>
      <c r="M2013" s="5">
        <v>26805.704000000002</v>
      </c>
      <c r="N2013" s="6">
        <v>5.8299999999999998E-2</v>
      </c>
      <c r="O2013" s="5">
        <v>7.14</v>
      </c>
      <c r="P2013" s="6">
        <v>4.1599999999999998E-2</v>
      </c>
      <c r="Q2013" s="5">
        <v>451068.81900000002</v>
      </c>
      <c r="R2013" s="1" t="s">
        <v>44</v>
      </c>
      <c r="T2013" s="1" t="s">
        <v>93</v>
      </c>
      <c r="V2013" s="1" t="s">
        <v>140</v>
      </c>
      <c r="Y2013" s="1" t="s">
        <v>1666</v>
      </c>
      <c r="Z2013" s="1" t="str">
        <f t="shared" si="93"/>
        <v>8027 7</v>
      </c>
      <c r="AA2013" s="3">
        <f>IF(INDEX('CAMD Facility Data 2023'!$AA$2:$AE$10000,MATCH(Z2013,'CAMD Facility Data 2023'!$AE$2:$AE$10000,0),1)&gt;0,INDEX('CAMD Facility Data 2023'!$AA$2:$AE$10000,MATCH(Z2013,'CAMD Facility Data 2023'!$AE$2:$AE$10000,0),1),"")</f>
        <v>38504</v>
      </c>
      <c r="AB2013" s="5">
        <f>IF(INDEX('CAMD Facility Data 2023'!$AC$2:$AE$10000,MATCH(Z2013,'CAMD Facility Data 2023'!$AE$2:$AE$10000,0),1)&gt;0,INDEX('CAMD Facility Data 2023'!$AC$2:$AE$10000,MATCH(Z2013,'CAMD Facility Data 2023'!$AE$2:$AE$10000,0),1),"")</f>
        <v>2118</v>
      </c>
      <c r="AC2013" s="1" t="str">
        <f>IF(INDEX('CAMD Facility Data 2023'!$AE$2:$AG$10000,MATCH(Z2013,'CAMD Facility Data 2023'!$AE$2:$AE$10000,0),3)&gt;0,INDEX('CAMD Facility Data 2023'!$AE$2:$AG$10000,MATCH(Z2013,'CAMD Facility Data 2023'!$AE$2:$AE$10000,0),3),"")</f>
        <v/>
      </c>
      <c r="AD2013" s="20">
        <f t="shared" si="94"/>
        <v>0.40855189524592078</v>
      </c>
      <c r="AE2013" s="25">
        <f t="shared" si="95"/>
        <v>2.4311555389550755E-2</v>
      </c>
    </row>
    <row r="2014" spans="1:31" x14ac:dyDescent="0.2">
      <c r="A2014" s="1" t="s">
        <v>1663</v>
      </c>
      <c r="B2014" s="1" t="s">
        <v>4654</v>
      </c>
      <c r="C2014" s="1">
        <v>8027</v>
      </c>
      <c r="D2014" s="1">
        <v>8</v>
      </c>
      <c r="F2014" s="1">
        <v>2023</v>
      </c>
      <c r="G2014" s="5">
        <v>343</v>
      </c>
      <c r="H2014" s="5">
        <v>303.95</v>
      </c>
      <c r="I2014" s="5">
        <v>33702.300000000003</v>
      </c>
      <c r="K2014" s="5">
        <v>0.13100000000000001</v>
      </c>
      <c r="L2014" s="5">
        <v>1E-3</v>
      </c>
      <c r="M2014" s="5">
        <v>25983.357</v>
      </c>
      <c r="N2014" s="6">
        <v>5.8999999999999997E-2</v>
      </c>
      <c r="O2014" s="5">
        <v>8.577</v>
      </c>
      <c r="P2014" s="6">
        <v>5.0799999999999998E-2</v>
      </c>
      <c r="Q2014" s="5">
        <v>437214.05</v>
      </c>
      <c r="R2014" s="1" t="s">
        <v>44</v>
      </c>
      <c r="T2014" s="1" t="s">
        <v>93</v>
      </c>
      <c r="V2014" s="1" t="s">
        <v>140</v>
      </c>
      <c r="Y2014" s="1" t="s">
        <v>1666</v>
      </c>
      <c r="Z2014" s="1" t="str">
        <f t="shared" si="93"/>
        <v>8027 8</v>
      </c>
      <c r="AA2014" s="3">
        <f>IF(INDEX('CAMD Facility Data 2023'!$AA$2:$AE$10000,MATCH(Z2014,'CAMD Facility Data 2023'!$AE$2:$AE$10000,0),1)&gt;0,INDEX('CAMD Facility Data 2023'!$AA$2:$AE$10000,MATCH(Z2014,'CAMD Facility Data 2023'!$AE$2:$AE$10000,0),1),"")</f>
        <v>38495</v>
      </c>
      <c r="AB2014" s="5">
        <f>IF(INDEX('CAMD Facility Data 2023'!$AC$2:$AE$10000,MATCH(Z2014,'CAMD Facility Data 2023'!$AE$2:$AE$10000,0),1)&gt;0,INDEX('CAMD Facility Data 2023'!$AC$2:$AE$10000,MATCH(Z2014,'CAMD Facility Data 2023'!$AE$2:$AE$10000,0),1),"")</f>
        <v>2155</v>
      </c>
      <c r="AC2014" s="1" t="str">
        <f>IF(INDEX('CAMD Facility Data 2023'!$AE$2:$AG$10000,MATCH(Z2014,'CAMD Facility Data 2023'!$AE$2:$AE$10000,0),3)&gt;0,INDEX('CAMD Facility Data 2023'!$AE$2:$AG$10000,MATCH(Z2014,'CAMD Facility Data 2023'!$AE$2:$AE$10000,0),3),"")</f>
        <v/>
      </c>
      <c r="AD2014" s="20">
        <f t="shared" si="94"/>
        <v>0.5089860335941464</v>
      </c>
      <c r="AE2014" s="25">
        <f t="shared" si="95"/>
        <v>2.3160222589496657E-2</v>
      </c>
    </row>
    <row r="2015" spans="1:31" x14ac:dyDescent="0.2">
      <c r="A2015" s="1" t="s">
        <v>1186</v>
      </c>
      <c r="B2015" s="1" t="s">
        <v>4659</v>
      </c>
      <c r="C2015" s="1">
        <v>8029</v>
      </c>
      <c r="D2015" s="1">
        <v>1</v>
      </c>
      <c r="F2015" s="1">
        <v>2023</v>
      </c>
      <c r="G2015" s="5">
        <v>109</v>
      </c>
      <c r="H2015" s="5">
        <v>76.67</v>
      </c>
      <c r="I2015" s="5">
        <v>3908.99</v>
      </c>
      <c r="K2015" s="5">
        <v>1.7999999999999999E-2</v>
      </c>
      <c r="L2015" s="5">
        <v>1E-3</v>
      </c>
      <c r="O2015" s="5">
        <v>12.693</v>
      </c>
      <c r="P2015" s="6">
        <v>0.36020000000000002</v>
      </c>
      <c r="Q2015" s="5">
        <v>59598.923000000003</v>
      </c>
      <c r="R2015" s="1" t="s">
        <v>44</v>
      </c>
      <c r="S2015" s="1" t="s">
        <v>94</v>
      </c>
      <c r="T2015" s="1" t="s">
        <v>93</v>
      </c>
      <c r="Y2015" s="1" t="s">
        <v>1195</v>
      </c>
      <c r="Z2015" s="1" t="str">
        <f t="shared" si="93"/>
        <v>8029 1</v>
      </c>
      <c r="AA2015" s="3">
        <f>IF(INDEX('CAMD Facility Data 2023'!$AA$2:$AE$10000,MATCH(Z2015,'CAMD Facility Data 2023'!$AE$2:$AE$10000,0),1)&gt;0,INDEX('CAMD Facility Data 2023'!$AA$2:$AE$10000,MATCH(Z2015,'CAMD Facility Data 2023'!$AE$2:$AE$10000,0),1),"")</f>
        <v>27243</v>
      </c>
      <c r="AB2015" s="5">
        <f>IF(INDEX('CAMD Facility Data 2023'!$AC$2:$AE$10000,MATCH(Z2015,'CAMD Facility Data 2023'!$AE$2:$AE$10000,0),1)&gt;0,INDEX('CAMD Facility Data 2023'!$AC$2:$AE$10000,MATCH(Z2015,'CAMD Facility Data 2023'!$AE$2:$AE$10000,0),1),"")</f>
        <v>1099</v>
      </c>
      <c r="AC2015" s="1" t="str">
        <f>IF(INDEX('CAMD Facility Data 2023'!$AE$2:$AG$10000,MATCH(Z2015,'CAMD Facility Data 2023'!$AE$2:$AE$10000,0),3)&gt;0,INDEX('CAMD Facility Data 2023'!$AE$2:$AG$10000,MATCH(Z2015,'CAMD Facility Data 2023'!$AE$2:$AE$10000,0),3),"")</f>
        <v/>
      </c>
      <c r="AD2015" s="20">
        <f t="shared" si="94"/>
        <v>6.4942606657985822</v>
      </c>
      <c r="AE2015" s="25">
        <f t="shared" si="95"/>
        <v>6.1906551618116932E-3</v>
      </c>
    </row>
    <row r="2016" spans="1:31" x14ac:dyDescent="0.2">
      <c r="A2016" s="1" t="s">
        <v>1186</v>
      </c>
      <c r="B2016" s="1" t="s">
        <v>4659</v>
      </c>
      <c r="C2016" s="1">
        <v>8029</v>
      </c>
      <c r="D2016" s="1">
        <v>2</v>
      </c>
      <c r="F2016" s="1">
        <v>2023</v>
      </c>
      <c r="G2016" s="5">
        <v>237</v>
      </c>
      <c r="H2016" s="5">
        <v>191.7</v>
      </c>
      <c r="I2016" s="5">
        <v>7014.68</v>
      </c>
      <c r="K2016" s="5">
        <v>0.06</v>
      </c>
      <c r="L2016" s="5">
        <v>1.4E-3</v>
      </c>
      <c r="O2016" s="5">
        <v>21.166</v>
      </c>
      <c r="P2016" s="6">
        <v>0.2999</v>
      </c>
      <c r="Q2016" s="5">
        <v>122958.144</v>
      </c>
      <c r="R2016" s="1" t="s">
        <v>44</v>
      </c>
      <c r="S2016" s="1" t="s">
        <v>94</v>
      </c>
      <c r="T2016" s="1" t="s">
        <v>93</v>
      </c>
      <c r="Y2016" s="1" t="s">
        <v>1195</v>
      </c>
      <c r="Z2016" s="1" t="str">
        <f t="shared" si="93"/>
        <v>8029 2</v>
      </c>
      <c r="AA2016" s="3">
        <f>IF(INDEX('CAMD Facility Data 2023'!$AA$2:$AE$10000,MATCH(Z2016,'CAMD Facility Data 2023'!$AE$2:$AE$10000,0),1)&gt;0,INDEX('CAMD Facility Data 2023'!$AA$2:$AE$10000,MATCH(Z2016,'CAMD Facility Data 2023'!$AE$2:$AE$10000,0),1),"")</f>
        <v>27327</v>
      </c>
      <c r="AB2016" s="5">
        <f>IF(INDEX('CAMD Facility Data 2023'!$AC$2:$AE$10000,MATCH(Z2016,'CAMD Facility Data 2023'!$AE$2:$AE$10000,0),1)&gt;0,INDEX('CAMD Facility Data 2023'!$AC$2:$AE$10000,MATCH(Z2016,'CAMD Facility Data 2023'!$AE$2:$AE$10000,0),1),"")</f>
        <v>1099</v>
      </c>
      <c r="AC2016" s="1" t="str">
        <f>IF(INDEX('CAMD Facility Data 2023'!$AE$2:$AG$10000,MATCH(Z2016,'CAMD Facility Data 2023'!$AE$2:$AE$10000,0),3)&gt;0,INDEX('CAMD Facility Data 2023'!$AE$2:$AG$10000,MATCH(Z2016,'CAMD Facility Data 2023'!$AE$2:$AE$10000,0),3),"")</f>
        <v/>
      </c>
      <c r="AD2016" s="20">
        <f t="shared" si="94"/>
        <v>6.0347727907759152</v>
      </c>
      <c r="AE2016" s="25">
        <f t="shared" si="95"/>
        <v>1.2771899734503347E-2</v>
      </c>
    </row>
    <row r="2017" spans="1:31" x14ac:dyDescent="0.2">
      <c r="A2017" s="1" t="s">
        <v>1186</v>
      </c>
      <c r="B2017" s="1" t="s">
        <v>4662</v>
      </c>
      <c r="C2017" s="1">
        <v>8031</v>
      </c>
      <c r="D2017" s="1">
        <v>11</v>
      </c>
      <c r="F2017" s="1">
        <v>2023</v>
      </c>
      <c r="G2017" s="5">
        <v>6035</v>
      </c>
      <c r="H2017" s="5">
        <v>5898.16</v>
      </c>
      <c r="I2017" s="5">
        <v>1472260.14</v>
      </c>
      <c r="K2017" s="5">
        <v>3.298</v>
      </c>
      <c r="L2017" s="5">
        <v>1E-3</v>
      </c>
      <c r="M2017" s="5">
        <v>653316.03500000003</v>
      </c>
      <c r="N2017" s="6">
        <v>5.8900000000000001E-2</v>
      </c>
      <c r="O2017" s="5">
        <v>44.091000000000001</v>
      </c>
      <c r="P2017" s="6">
        <v>1.43E-2</v>
      </c>
      <c r="Q2017" s="5">
        <v>10993317.127</v>
      </c>
      <c r="R2017" s="1" t="s">
        <v>44</v>
      </c>
      <c r="T2017" s="1" t="s">
        <v>71</v>
      </c>
      <c r="V2017" s="1" t="s">
        <v>787</v>
      </c>
      <c r="Y2017" s="1" t="s">
        <v>1207</v>
      </c>
      <c r="Z2017" s="1" t="str">
        <f t="shared" si="93"/>
        <v>8031 11</v>
      </c>
      <c r="AA2017" s="3">
        <f>IF(INDEX('CAMD Facility Data 2023'!$AA$2:$AE$10000,MATCH(Z2017,'CAMD Facility Data 2023'!$AE$2:$AE$10000,0),1)&gt;0,INDEX('CAMD Facility Data 2023'!$AA$2:$AE$10000,MATCH(Z2017,'CAMD Facility Data 2023'!$AE$2:$AE$10000,0),1),"")</f>
        <v>38097</v>
      </c>
      <c r="AB2017" s="5">
        <f>IF(INDEX('CAMD Facility Data 2023'!$AC$2:$AE$10000,MATCH(Z2017,'CAMD Facility Data 2023'!$AE$2:$AE$10000,0),1)&gt;0,INDEX('CAMD Facility Data 2023'!$AC$2:$AE$10000,MATCH(Z2017,'CAMD Facility Data 2023'!$AE$2:$AE$10000,0),1),"")</f>
        <v>2688</v>
      </c>
      <c r="AC2017" s="1" t="str">
        <f>IF(INDEX('CAMD Facility Data 2023'!$AE$2:$AG$10000,MATCH(Z2017,'CAMD Facility Data 2023'!$AE$2:$AE$10000,0),3)&gt;0,INDEX('CAMD Facility Data 2023'!$AE$2:$AG$10000,MATCH(Z2017,'CAMD Facility Data 2023'!$AE$2:$AE$10000,0),3),"")</f>
        <v>Y</v>
      </c>
      <c r="AD2017" s="20">
        <f t="shared" si="94"/>
        <v>5.9895664906067486E-2</v>
      </c>
      <c r="AE2017" s="25">
        <f t="shared" si="95"/>
        <v>0.46686937407418733</v>
      </c>
    </row>
    <row r="2018" spans="1:31" x14ac:dyDescent="0.2">
      <c r="A2018" s="1" t="s">
        <v>1186</v>
      </c>
      <c r="B2018" s="1" t="s">
        <v>4662</v>
      </c>
      <c r="C2018" s="1">
        <v>8031</v>
      </c>
      <c r="D2018" s="1">
        <v>12</v>
      </c>
      <c r="F2018" s="1">
        <v>2023</v>
      </c>
      <c r="G2018" s="5">
        <v>6087</v>
      </c>
      <c r="H2018" s="5">
        <v>5945.21</v>
      </c>
      <c r="I2018" s="5">
        <v>1495894.88</v>
      </c>
      <c r="K2018" s="5">
        <v>3.3460000000000001</v>
      </c>
      <c r="L2018" s="5">
        <v>1E-3</v>
      </c>
      <c r="M2018" s="5">
        <v>662833.51500000001</v>
      </c>
      <c r="N2018" s="6">
        <v>5.8900000000000001E-2</v>
      </c>
      <c r="O2018" s="5">
        <v>46.396999999999998</v>
      </c>
      <c r="P2018" s="6">
        <v>1.4800000000000001E-2</v>
      </c>
      <c r="Q2018" s="5">
        <v>11153396.398</v>
      </c>
      <c r="R2018" s="1" t="s">
        <v>44</v>
      </c>
      <c r="T2018" s="1" t="s">
        <v>71</v>
      </c>
      <c r="V2018" s="1" t="s">
        <v>787</v>
      </c>
      <c r="Y2018" s="1" t="s">
        <v>1207</v>
      </c>
      <c r="Z2018" s="1" t="str">
        <f t="shared" si="93"/>
        <v>8031 12</v>
      </c>
      <c r="AA2018" s="3">
        <f>IF(INDEX('CAMD Facility Data 2023'!$AA$2:$AE$10000,MATCH(Z2018,'CAMD Facility Data 2023'!$AE$2:$AE$10000,0),1)&gt;0,INDEX('CAMD Facility Data 2023'!$AA$2:$AE$10000,MATCH(Z2018,'CAMD Facility Data 2023'!$AE$2:$AE$10000,0),1),"")</f>
        <v>38106</v>
      </c>
      <c r="AB2018" s="5">
        <f>IF(INDEX('CAMD Facility Data 2023'!$AC$2:$AE$10000,MATCH(Z2018,'CAMD Facility Data 2023'!$AE$2:$AE$10000,0),1)&gt;0,INDEX('CAMD Facility Data 2023'!$AC$2:$AE$10000,MATCH(Z2018,'CAMD Facility Data 2023'!$AE$2:$AE$10000,0),1),"")</f>
        <v>2688</v>
      </c>
      <c r="AC2018" s="1" t="str">
        <f>IF(INDEX('CAMD Facility Data 2023'!$AE$2:$AG$10000,MATCH(Z2018,'CAMD Facility Data 2023'!$AE$2:$AE$10000,0),3)&gt;0,INDEX('CAMD Facility Data 2023'!$AE$2:$AG$10000,MATCH(Z2018,'CAMD Facility Data 2023'!$AE$2:$AE$10000,0),3),"")</f>
        <v>Y</v>
      </c>
      <c r="AD2018" s="20">
        <f t="shared" si="94"/>
        <v>6.2032433722882994E-2</v>
      </c>
      <c r="AE2018" s="25">
        <f t="shared" si="95"/>
        <v>0.4736676960174766</v>
      </c>
    </row>
    <row r="2019" spans="1:31" x14ac:dyDescent="0.2">
      <c r="A2019" s="1" t="s">
        <v>225</v>
      </c>
      <c r="B2019" s="1" t="s">
        <v>4665</v>
      </c>
      <c r="C2019" s="1">
        <v>8037</v>
      </c>
      <c r="D2019" s="1" t="s">
        <v>4666</v>
      </c>
      <c r="F2019" s="1">
        <v>2023</v>
      </c>
      <c r="G2019" s="5">
        <v>609</v>
      </c>
      <c r="H2019" s="5">
        <v>527.20000000000005</v>
      </c>
      <c r="I2019" s="5">
        <v>10644.46</v>
      </c>
      <c r="K2019" s="5">
        <v>6.8000000000000005E-2</v>
      </c>
      <c r="L2019" s="5">
        <v>1E-3</v>
      </c>
      <c r="O2019" s="5">
        <v>25.343</v>
      </c>
      <c r="P2019" s="6">
        <v>0.2099</v>
      </c>
      <c r="Q2019" s="5">
        <v>226206.04199999999</v>
      </c>
      <c r="R2019" s="1" t="s">
        <v>44</v>
      </c>
      <c r="T2019" s="1" t="s">
        <v>93</v>
      </c>
      <c r="Y2019" s="1" t="s">
        <v>133</v>
      </c>
      <c r="Z2019" s="1" t="str">
        <f t="shared" si="93"/>
        <v>8037 CL1</v>
      </c>
      <c r="AA2019" s="3">
        <f>IF(INDEX('CAMD Facility Data 2023'!$AA$2:$AE$10000,MATCH(Z2019,'CAMD Facility Data 2023'!$AE$2:$AE$10000,0),1)&gt;0,INDEX('CAMD Facility Data 2023'!$AA$2:$AE$10000,MATCH(Z2019,'CAMD Facility Data 2023'!$AE$2:$AE$10000,0),1),"")</f>
        <v>27364</v>
      </c>
      <c r="AB2019" s="5">
        <f>IF(INDEX('CAMD Facility Data 2023'!$AC$2:$AE$10000,MATCH(Z2019,'CAMD Facility Data 2023'!$AE$2:$AE$10000,0),1)&gt;0,INDEX('CAMD Facility Data 2023'!$AC$2:$AE$10000,MATCH(Z2019,'CAMD Facility Data 2023'!$AE$2:$AE$10000,0),1),"")</f>
        <v>1425</v>
      </c>
      <c r="AC2019" s="1" t="str">
        <f>IF(INDEX('CAMD Facility Data 2023'!$AE$2:$AG$10000,MATCH(Z2019,'CAMD Facility Data 2023'!$AE$2:$AE$10000,0),3)&gt;0,INDEX('CAMD Facility Data 2023'!$AE$2:$AG$10000,MATCH(Z2019,'CAMD Facility Data 2023'!$AE$2:$AE$10000,0),3),"")</f>
        <v/>
      </c>
      <c r="AD2019" s="20">
        <f t="shared" si="94"/>
        <v>4.7617258179372186</v>
      </c>
      <c r="AE2019" s="25">
        <f t="shared" si="95"/>
        <v>1.8121128094208121E-2</v>
      </c>
    </row>
    <row r="2020" spans="1:31" x14ac:dyDescent="0.2">
      <c r="A2020" s="1" t="s">
        <v>1153</v>
      </c>
      <c r="B2020" s="1" t="s">
        <v>4669</v>
      </c>
      <c r="C2020" s="1">
        <v>8042</v>
      </c>
      <c r="D2020" s="1">
        <v>1</v>
      </c>
      <c r="F2020" s="1">
        <v>2023</v>
      </c>
      <c r="G2020" s="5">
        <v>6116</v>
      </c>
      <c r="H2020" s="5">
        <v>6099.72</v>
      </c>
      <c r="I2020" s="5">
        <v>4121421.88</v>
      </c>
      <c r="K2020" s="5">
        <v>954.303</v>
      </c>
      <c r="L2020" s="5">
        <v>4.4699999999999997E-2</v>
      </c>
      <c r="M2020" s="5">
        <v>2942316.7719999999</v>
      </c>
      <c r="N2020" s="6">
        <v>7.4700000000000003E-2</v>
      </c>
      <c r="O2020" s="5">
        <v>3484.4830000000002</v>
      </c>
      <c r="P2020" s="6">
        <v>0.20349999999999999</v>
      </c>
      <c r="Q2020" s="5">
        <v>37781843.125</v>
      </c>
      <c r="R2020" s="1" t="s">
        <v>55</v>
      </c>
      <c r="S2020" s="1" t="s">
        <v>44</v>
      </c>
      <c r="T2020" s="1" t="s">
        <v>86</v>
      </c>
      <c r="U2020" s="1" t="s">
        <v>56</v>
      </c>
      <c r="V2020" s="1" t="s">
        <v>4672</v>
      </c>
      <c r="W2020" s="1" t="s">
        <v>331</v>
      </c>
      <c r="Y2020" s="1" t="s">
        <v>2351</v>
      </c>
      <c r="Z2020" s="1" t="str">
        <f t="shared" si="93"/>
        <v>8042 1</v>
      </c>
      <c r="AA2020" s="3">
        <f>IF(INDEX('CAMD Facility Data 2023'!$AA$2:$AE$10000,MATCH(Z2020,'CAMD Facility Data 2023'!$AE$2:$AE$10000,0),1)&gt;0,INDEX('CAMD Facility Data 2023'!$AA$2:$AE$10000,MATCH(Z2020,'CAMD Facility Data 2023'!$AE$2:$AE$10000,0),1),"")</f>
        <v>27246</v>
      </c>
      <c r="AB2020" s="5">
        <f>IF(INDEX('CAMD Facility Data 2023'!$AC$2:$AE$10000,MATCH(Z2020,'CAMD Facility Data 2023'!$AE$2:$AE$10000,0),1)&gt;0,INDEX('CAMD Facility Data 2023'!$AC$2:$AE$10000,MATCH(Z2020,'CAMD Facility Data 2023'!$AE$2:$AE$10000,0),1),"")</f>
        <v>12253</v>
      </c>
      <c r="AC2020" s="1" t="str">
        <f>IF(INDEX('CAMD Facility Data 2023'!$AE$2:$AG$10000,MATCH(Z2020,'CAMD Facility Data 2023'!$AE$2:$AE$10000,0),3)&gt;0,INDEX('CAMD Facility Data 2023'!$AE$2:$AG$10000,MATCH(Z2020,'CAMD Facility Data 2023'!$AE$2:$AE$10000,0),3),"")</f>
        <v>Y</v>
      </c>
      <c r="AD2020" s="20">
        <f t="shared" si="94"/>
        <v>1.6909130399433896</v>
      </c>
      <c r="AE2020" s="25">
        <f t="shared" si="95"/>
        <v>0.35199508614421887</v>
      </c>
    </row>
    <row r="2021" spans="1:31" x14ac:dyDescent="0.2">
      <c r="A2021" s="1" t="s">
        <v>1153</v>
      </c>
      <c r="B2021" s="1" t="s">
        <v>4669</v>
      </c>
      <c r="C2021" s="1">
        <v>8042</v>
      </c>
      <c r="D2021" s="1">
        <v>2</v>
      </c>
      <c r="F2021" s="1">
        <v>2023</v>
      </c>
      <c r="G2021" s="5">
        <v>6869</v>
      </c>
      <c r="H2021" s="5">
        <v>6861.28</v>
      </c>
      <c r="I2021" s="5">
        <v>4957210.78</v>
      </c>
      <c r="K2021" s="5">
        <v>669.86500000000001</v>
      </c>
      <c r="L2021" s="5">
        <v>2.7799999999999998E-2</v>
      </c>
      <c r="M2021" s="5">
        <v>3176660.6880000001</v>
      </c>
      <c r="N2021" s="6">
        <v>6.8400000000000002E-2</v>
      </c>
      <c r="O2021" s="5">
        <v>3685.5509999999999</v>
      </c>
      <c r="P2021" s="6">
        <v>0.1812</v>
      </c>
      <c r="Q2021" s="5">
        <v>45168006.783</v>
      </c>
      <c r="R2021" s="1" t="s">
        <v>55</v>
      </c>
      <c r="S2021" s="1" t="s">
        <v>44</v>
      </c>
      <c r="T2021" s="1" t="s">
        <v>86</v>
      </c>
      <c r="U2021" s="1" t="s">
        <v>56</v>
      </c>
      <c r="V2021" s="1" t="s">
        <v>4672</v>
      </c>
      <c r="W2021" s="1" t="s">
        <v>331</v>
      </c>
      <c r="Y2021" s="1" t="s">
        <v>2351</v>
      </c>
      <c r="Z2021" s="1" t="str">
        <f t="shared" si="93"/>
        <v>8042 2</v>
      </c>
      <c r="AA2021" s="3">
        <f>IF(INDEX('CAMD Facility Data 2023'!$AA$2:$AE$10000,MATCH(Z2021,'CAMD Facility Data 2023'!$AE$2:$AE$10000,0),1)&gt;0,INDEX('CAMD Facility Data 2023'!$AA$2:$AE$10000,MATCH(Z2021,'CAMD Facility Data 2023'!$AE$2:$AE$10000,0),1),"")</f>
        <v>27741</v>
      </c>
      <c r="AB2021" s="5">
        <f>IF(INDEX('CAMD Facility Data 2023'!$AC$2:$AE$10000,MATCH(Z2021,'CAMD Facility Data 2023'!$AE$2:$AE$10000,0),1)&gt;0,INDEX('CAMD Facility Data 2023'!$AC$2:$AE$10000,MATCH(Z2021,'CAMD Facility Data 2023'!$AE$2:$AE$10000,0),1),"")</f>
        <v>12632</v>
      </c>
      <c r="AC2021" s="1" t="str">
        <f>IF(INDEX('CAMD Facility Data 2023'!$AE$2:$AG$10000,MATCH(Z2021,'CAMD Facility Data 2023'!$AE$2:$AE$10000,0),3)&gt;0,INDEX('CAMD Facility Data 2023'!$AE$2:$AG$10000,MATCH(Z2021,'CAMD Facility Data 2023'!$AE$2:$AE$10000,0),3),"")</f>
        <v>Y</v>
      </c>
      <c r="AD2021" s="20">
        <f t="shared" si="94"/>
        <v>1.4869454471734203</v>
      </c>
      <c r="AE2021" s="25">
        <f t="shared" si="95"/>
        <v>0.40818280223849845</v>
      </c>
    </row>
    <row r="2022" spans="1:31" x14ac:dyDescent="0.2">
      <c r="A2022" s="1" t="s">
        <v>304</v>
      </c>
      <c r="B2022" s="1" t="s">
        <v>4675</v>
      </c>
      <c r="C2022" s="1">
        <v>8048</v>
      </c>
      <c r="D2022" s="1">
        <v>1</v>
      </c>
      <c r="F2022" s="1">
        <v>2023</v>
      </c>
      <c r="G2022" s="5">
        <v>5293</v>
      </c>
      <c r="H2022" s="5">
        <v>5271.39</v>
      </c>
      <c r="I2022" s="5">
        <v>870075.8</v>
      </c>
      <c r="K2022" s="5">
        <v>2.7559999999999998</v>
      </c>
      <c r="L2022" s="5">
        <v>1E-3</v>
      </c>
      <c r="M2022" s="5">
        <v>545899.473</v>
      </c>
      <c r="N2022" s="6">
        <v>5.91E-2</v>
      </c>
      <c r="O2022" s="5">
        <v>544.03800000000001</v>
      </c>
      <c r="P2022" s="6">
        <v>8.4900000000000003E-2</v>
      </c>
      <c r="Q2022" s="5">
        <v>9185801.9910000004</v>
      </c>
      <c r="R2022" s="1" t="s">
        <v>44</v>
      </c>
      <c r="T2022" s="1" t="s">
        <v>43</v>
      </c>
      <c r="Y2022" s="1" t="s">
        <v>247</v>
      </c>
      <c r="Z2022" s="1" t="str">
        <f t="shared" si="93"/>
        <v>8048 1</v>
      </c>
      <c r="AA2022" s="3">
        <f>IF(INDEX('CAMD Facility Data 2023'!$AA$2:$AE$10000,MATCH(Z2022,'CAMD Facility Data 2023'!$AE$2:$AE$10000,0),1)&gt;0,INDEX('CAMD Facility Data 2023'!$AA$2:$AE$10000,MATCH(Z2022,'CAMD Facility Data 2023'!$AE$2:$AE$10000,0),1),"")</f>
        <v>27318</v>
      </c>
      <c r="AB2022" s="5">
        <f>IF(INDEX('CAMD Facility Data 2023'!$AC$2:$AE$10000,MATCH(Z2022,'CAMD Facility Data 2023'!$AE$2:$AE$10000,0),1)&gt;0,INDEX('CAMD Facility Data 2023'!$AC$2:$AE$10000,MATCH(Z2022,'CAMD Facility Data 2023'!$AE$2:$AE$10000,0),1),"")</f>
        <v>5600</v>
      </c>
      <c r="AC2022" s="1" t="str">
        <f>IF(INDEX('CAMD Facility Data 2023'!$AE$2:$AG$10000,MATCH(Z2022,'CAMD Facility Data 2023'!$AE$2:$AE$10000,0),3)&gt;0,INDEX('CAMD Facility Data 2023'!$AE$2:$AG$10000,MATCH(Z2022,'CAMD Facility Data 2023'!$AE$2:$AE$10000,0),3),"")</f>
        <v/>
      </c>
      <c r="AD2022" s="20">
        <f t="shared" si="94"/>
        <v>1.250553112728799</v>
      </c>
      <c r="AE2022" s="25">
        <f t="shared" si="95"/>
        <v>0.18725134521771039</v>
      </c>
    </row>
    <row r="2023" spans="1:31" x14ac:dyDescent="0.2">
      <c r="A2023" s="1" t="s">
        <v>304</v>
      </c>
      <c r="B2023" s="1" t="s">
        <v>4675</v>
      </c>
      <c r="C2023" s="1">
        <v>8048</v>
      </c>
      <c r="D2023" s="1">
        <v>2</v>
      </c>
      <c r="F2023" s="1">
        <v>2023</v>
      </c>
      <c r="G2023" s="5">
        <v>6808</v>
      </c>
      <c r="H2023" s="5">
        <v>6788.93</v>
      </c>
      <c r="I2023" s="5">
        <v>1063757.24</v>
      </c>
      <c r="K2023" s="5">
        <v>3.6280000000000001</v>
      </c>
      <c r="L2023" s="5">
        <v>1E-3</v>
      </c>
      <c r="M2023" s="5">
        <v>718606.21299999999</v>
      </c>
      <c r="N2023" s="6">
        <v>5.8999999999999997E-2</v>
      </c>
      <c r="O2023" s="5">
        <v>666.46400000000006</v>
      </c>
      <c r="P2023" s="6">
        <v>8.3599999999999994E-2</v>
      </c>
      <c r="Q2023" s="5">
        <v>12091980.284</v>
      </c>
      <c r="R2023" s="1" t="s">
        <v>44</v>
      </c>
      <c r="T2023" s="1" t="s">
        <v>43</v>
      </c>
      <c r="Y2023" s="1" t="s">
        <v>247</v>
      </c>
      <c r="Z2023" s="1" t="str">
        <f t="shared" si="93"/>
        <v>8048 2</v>
      </c>
      <c r="AA2023" s="3">
        <f>IF(INDEX('CAMD Facility Data 2023'!$AA$2:$AE$10000,MATCH(Z2023,'CAMD Facility Data 2023'!$AE$2:$AE$10000,0),1)&gt;0,INDEX('CAMD Facility Data 2023'!$AA$2:$AE$10000,MATCH(Z2023,'CAMD Facility Data 2023'!$AE$2:$AE$10000,0),1),"")</f>
        <v>28794</v>
      </c>
      <c r="AB2023" s="5">
        <f>IF(INDEX('CAMD Facility Data 2023'!$AC$2:$AE$10000,MATCH(Z2023,'CAMD Facility Data 2023'!$AE$2:$AE$10000,0),1)&gt;0,INDEX('CAMD Facility Data 2023'!$AC$2:$AE$10000,MATCH(Z2023,'CAMD Facility Data 2023'!$AE$2:$AE$10000,0),1),"")</f>
        <v>5500</v>
      </c>
      <c r="AC2023" s="1" t="str">
        <f>IF(INDEX('CAMD Facility Data 2023'!$AE$2:$AG$10000,MATCH(Z2023,'CAMD Facility Data 2023'!$AE$2:$AE$10000,0),3)&gt;0,INDEX('CAMD Facility Data 2023'!$AE$2:$AG$10000,MATCH(Z2023,'CAMD Facility Data 2023'!$AE$2:$AE$10000,0),3),"")</f>
        <v/>
      </c>
      <c r="AD2023" s="20">
        <f t="shared" si="94"/>
        <v>1.2530377701589133</v>
      </c>
      <c r="AE2023" s="25">
        <f t="shared" si="95"/>
        <v>0.250975099294313</v>
      </c>
    </row>
    <row r="2024" spans="1:31" x14ac:dyDescent="0.2">
      <c r="A2024" s="1" t="s">
        <v>304</v>
      </c>
      <c r="B2024" s="1" t="s">
        <v>4679</v>
      </c>
      <c r="C2024" s="1">
        <v>8049</v>
      </c>
      <c r="D2024" s="1" t="s">
        <v>3413</v>
      </c>
      <c r="F2024" s="1">
        <v>2023</v>
      </c>
      <c r="G2024" s="5">
        <v>701</v>
      </c>
      <c r="H2024" s="5">
        <v>589.54999999999995</v>
      </c>
      <c r="I2024" s="5">
        <v>30691.71</v>
      </c>
      <c r="K2024" s="5">
        <v>0.13100000000000001</v>
      </c>
      <c r="L2024" s="5">
        <v>1E-3</v>
      </c>
      <c r="M2024" s="5">
        <v>26157.448</v>
      </c>
      <c r="N2024" s="6">
        <v>5.91E-2</v>
      </c>
      <c r="O2024" s="5">
        <v>17.57</v>
      </c>
      <c r="P2024" s="6">
        <v>8.14E-2</v>
      </c>
      <c r="Q2024" s="5">
        <v>439448.16399999999</v>
      </c>
      <c r="R2024" s="1" t="s">
        <v>44</v>
      </c>
      <c r="S2024" s="1" t="s">
        <v>94</v>
      </c>
      <c r="T2024" s="1" t="s">
        <v>93</v>
      </c>
      <c r="V2024" s="1" t="s">
        <v>95</v>
      </c>
      <c r="Y2024" s="1" t="s">
        <v>247</v>
      </c>
      <c r="Z2024" s="1" t="str">
        <f t="shared" si="93"/>
        <v>8049 **10</v>
      </c>
      <c r="AA2024" s="3">
        <f>IF(INDEX('CAMD Facility Data 2023'!$AA$2:$AE$10000,MATCH(Z2024,'CAMD Facility Data 2023'!$AE$2:$AE$10000,0),1)&gt;0,INDEX('CAMD Facility Data 2023'!$AA$2:$AE$10000,MATCH(Z2024,'CAMD Facility Data 2023'!$AE$2:$AE$10000,0),1),"")</f>
        <v>34200</v>
      </c>
      <c r="AB2024" s="5">
        <f>IF(INDEX('CAMD Facility Data 2023'!$AC$2:$AE$10000,MATCH(Z2024,'CAMD Facility Data 2023'!$AE$2:$AE$10000,0),1)&gt;0,INDEX('CAMD Facility Data 2023'!$AC$2:$AE$10000,MATCH(Z2024,'CAMD Facility Data 2023'!$AE$2:$AE$10000,0),1),"")</f>
        <v>1159</v>
      </c>
      <c r="AC2024" s="1" t="str">
        <f>IF(INDEX('CAMD Facility Data 2023'!$AE$2:$AG$10000,MATCH(Z2024,'CAMD Facility Data 2023'!$AE$2:$AE$10000,0),3)&gt;0,INDEX('CAMD Facility Data 2023'!$AE$2:$AG$10000,MATCH(Z2024,'CAMD Facility Data 2023'!$AE$2:$AE$10000,0),3),"")</f>
        <v/>
      </c>
      <c r="AD2024" s="20">
        <f t="shared" si="94"/>
        <v>1.1449345767961447</v>
      </c>
      <c r="AE2024" s="25">
        <f t="shared" si="95"/>
        <v>4.3283274827535939E-2</v>
      </c>
    </row>
    <row r="2025" spans="1:31" x14ac:dyDescent="0.2">
      <c r="A2025" s="1" t="s">
        <v>304</v>
      </c>
      <c r="B2025" s="1" t="s">
        <v>4679</v>
      </c>
      <c r="C2025" s="1">
        <v>8049</v>
      </c>
      <c r="D2025" s="1" t="s">
        <v>4056</v>
      </c>
      <c r="F2025" s="1">
        <v>2023</v>
      </c>
      <c r="G2025" s="5">
        <v>85</v>
      </c>
      <c r="H2025" s="5">
        <v>57.8</v>
      </c>
      <c r="I2025" s="5">
        <v>5163.21</v>
      </c>
      <c r="K2025" s="5">
        <v>0.09</v>
      </c>
      <c r="L2025" s="5">
        <v>2.7000000000000001E-3</v>
      </c>
      <c r="M2025" s="5">
        <v>5126.54</v>
      </c>
      <c r="N2025" s="6">
        <v>8.1000000000000003E-2</v>
      </c>
      <c r="O2025" s="5">
        <v>5.9580000000000002</v>
      </c>
      <c r="P2025" s="6">
        <v>0.53220000000000001</v>
      </c>
      <c r="Q2025" s="5">
        <v>63178.925000000003</v>
      </c>
      <c r="R2025" s="1" t="s">
        <v>94</v>
      </c>
      <c r="T2025" s="1" t="s">
        <v>93</v>
      </c>
      <c r="V2025" s="1" t="s">
        <v>95</v>
      </c>
      <c r="Y2025" s="1" t="s">
        <v>247</v>
      </c>
      <c r="Z2025" s="1" t="str">
        <f t="shared" si="93"/>
        <v>8049 **11</v>
      </c>
      <c r="AA2025" s="3">
        <f>IF(INDEX('CAMD Facility Data 2023'!$AA$2:$AE$10000,MATCH(Z2025,'CAMD Facility Data 2023'!$AE$2:$AE$10000,0),1)&gt;0,INDEX('CAMD Facility Data 2023'!$AA$2:$AE$10000,MATCH(Z2025,'CAMD Facility Data 2023'!$AE$2:$AE$10000,0),1),"")</f>
        <v>35226</v>
      </c>
      <c r="AB2025" s="5">
        <f>IF(INDEX('CAMD Facility Data 2023'!$AC$2:$AE$10000,MATCH(Z2025,'CAMD Facility Data 2023'!$AE$2:$AE$10000,0),1)&gt;0,INDEX('CAMD Facility Data 2023'!$AC$2:$AE$10000,MATCH(Z2025,'CAMD Facility Data 2023'!$AE$2:$AE$10000,0),1),"")</f>
        <v>2032</v>
      </c>
      <c r="AC2025" s="1" t="str">
        <f>IF(INDEX('CAMD Facility Data 2023'!$AE$2:$AG$10000,MATCH(Z2025,'CAMD Facility Data 2023'!$AE$2:$AE$10000,0),3)&gt;0,INDEX('CAMD Facility Data 2023'!$AE$2:$AG$10000,MATCH(Z2025,'CAMD Facility Data 2023'!$AE$2:$AE$10000,0),3),"")</f>
        <v/>
      </c>
      <c r="AD2025" s="20">
        <f t="shared" si="94"/>
        <v>2.3078666178598199</v>
      </c>
      <c r="AE2025" s="25">
        <f t="shared" si="95"/>
        <v>3.5493140010966098E-3</v>
      </c>
    </row>
    <row r="2026" spans="1:31" x14ac:dyDescent="0.2">
      <c r="A2026" s="1" t="s">
        <v>304</v>
      </c>
      <c r="B2026" s="1" t="s">
        <v>4679</v>
      </c>
      <c r="C2026" s="1">
        <v>8049</v>
      </c>
      <c r="D2026" s="1" t="s">
        <v>4683</v>
      </c>
      <c r="F2026" s="1">
        <v>2023</v>
      </c>
      <c r="G2026" s="5">
        <v>1431</v>
      </c>
      <c r="H2026" s="5">
        <v>1215.71</v>
      </c>
      <c r="I2026" s="5">
        <v>72828.429999999993</v>
      </c>
      <c r="K2026" s="5">
        <v>0.28599999999999998</v>
      </c>
      <c r="L2026" s="5">
        <v>1E-3</v>
      </c>
      <c r="M2026" s="5">
        <v>58216.94</v>
      </c>
      <c r="N2026" s="6">
        <v>5.9200000000000003E-2</v>
      </c>
      <c r="O2026" s="5">
        <v>15.295</v>
      </c>
      <c r="P2026" s="6">
        <v>3.9199999999999999E-2</v>
      </c>
      <c r="Q2026" s="5">
        <v>976530.58299999998</v>
      </c>
      <c r="R2026" s="1" t="s">
        <v>44</v>
      </c>
      <c r="S2026" s="1" t="s">
        <v>94</v>
      </c>
      <c r="T2026" s="1" t="s">
        <v>93</v>
      </c>
      <c r="V2026" s="1" t="s">
        <v>183</v>
      </c>
      <c r="Y2026" s="1" t="s">
        <v>247</v>
      </c>
      <c r="Z2026" s="1" t="str">
        <f t="shared" si="93"/>
        <v>8049 **12</v>
      </c>
      <c r="AA2026" s="3">
        <f>IF(INDEX('CAMD Facility Data 2023'!$AA$2:$AE$10000,MATCH(Z2026,'CAMD Facility Data 2023'!$AE$2:$AE$10000,0),1)&gt;0,INDEX('CAMD Facility Data 2023'!$AA$2:$AE$10000,MATCH(Z2026,'CAMD Facility Data 2023'!$AE$2:$AE$10000,0),1),"")</f>
        <v>36861</v>
      </c>
      <c r="AB2026" s="5">
        <f>IF(INDEX('CAMD Facility Data 2023'!$AC$2:$AE$10000,MATCH(Z2026,'CAMD Facility Data 2023'!$AE$2:$AE$10000,0),1)&gt;0,INDEX('CAMD Facility Data 2023'!$AC$2:$AE$10000,MATCH(Z2026,'CAMD Facility Data 2023'!$AE$2:$AE$10000,0),1),"")</f>
        <v>1207</v>
      </c>
      <c r="AC2026" s="1" t="str">
        <f>IF(INDEX('CAMD Facility Data 2023'!$AE$2:$AG$10000,MATCH(Z2026,'CAMD Facility Data 2023'!$AE$2:$AE$10000,0),3)&gt;0,INDEX('CAMD Facility Data 2023'!$AE$2:$AG$10000,MATCH(Z2026,'CAMD Facility Data 2023'!$AE$2:$AE$10000,0),3),"")</f>
        <v/>
      </c>
      <c r="AD2026" s="20">
        <f t="shared" si="94"/>
        <v>0.42002827741858506</v>
      </c>
      <c r="AE2026" s="25">
        <f t="shared" si="95"/>
        <v>9.2357990016380856E-2</v>
      </c>
    </row>
    <row r="2027" spans="1:31" x14ac:dyDescent="0.2">
      <c r="A2027" s="1" t="s">
        <v>304</v>
      </c>
      <c r="B2027" s="1" t="s">
        <v>4679</v>
      </c>
      <c r="C2027" s="1">
        <v>8049</v>
      </c>
      <c r="D2027" s="1" t="s">
        <v>4685</v>
      </c>
      <c r="F2027" s="1">
        <v>2023</v>
      </c>
      <c r="G2027" s="5">
        <v>1282</v>
      </c>
      <c r="H2027" s="5">
        <v>1096.44</v>
      </c>
      <c r="I2027" s="5">
        <v>67682.98</v>
      </c>
      <c r="K2027" s="5">
        <v>0.28499999999999998</v>
      </c>
      <c r="L2027" s="5">
        <v>1E-3</v>
      </c>
      <c r="M2027" s="5">
        <v>55124.500999999997</v>
      </c>
      <c r="N2027" s="6">
        <v>5.9299999999999999E-2</v>
      </c>
      <c r="O2027" s="5">
        <v>14.269</v>
      </c>
      <c r="P2027" s="6">
        <v>3.9100000000000003E-2</v>
      </c>
      <c r="Q2027" s="5">
        <v>924114.06599999999</v>
      </c>
      <c r="R2027" s="1" t="s">
        <v>44</v>
      </c>
      <c r="S2027" s="1" t="s">
        <v>94</v>
      </c>
      <c r="T2027" s="1" t="s">
        <v>93</v>
      </c>
      <c r="V2027" s="1" t="s">
        <v>183</v>
      </c>
      <c r="Y2027" s="1" t="s">
        <v>247</v>
      </c>
      <c r="Z2027" s="1" t="str">
        <f t="shared" si="93"/>
        <v>8049 **13</v>
      </c>
      <c r="AA2027" s="3">
        <f>IF(INDEX('CAMD Facility Data 2023'!$AA$2:$AE$10000,MATCH(Z2027,'CAMD Facility Data 2023'!$AE$2:$AE$10000,0),1)&gt;0,INDEX('CAMD Facility Data 2023'!$AA$2:$AE$10000,MATCH(Z2027,'CAMD Facility Data 2023'!$AE$2:$AE$10000,0),1),"")</f>
        <v>36864</v>
      </c>
      <c r="AB2027" s="5">
        <f>IF(INDEX('CAMD Facility Data 2023'!$AC$2:$AE$10000,MATCH(Z2027,'CAMD Facility Data 2023'!$AE$2:$AE$10000,0),1)&gt;0,INDEX('CAMD Facility Data 2023'!$AC$2:$AE$10000,MATCH(Z2027,'CAMD Facility Data 2023'!$AE$2:$AE$10000,0),1),"")</f>
        <v>1768.9</v>
      </c>
      <c r="AC2027" s="1" t="str">
        <f>IF(INDEX('CAMD Facility Data 2023'!$AE$2:$AG$10000,MATCH(Z2027,'CAMD Facility Data 2023'!$AE$2:$AE$10000,0),3)&gt;0,INDEX('CAMD Facility Data 2023'!$AE$2:$AG$10000,MATCH(Z2027,'CAMD Facility Data 2023'!$AE$2:$AE$10000,0),3),"")</f>
        <v/>
      </c>
      <c r="AD2027" s="20">
        <f t="shared" si="94"/>
        <v>0.42164219128649477</v>
      </c>
      <c r="AE2027" s="25">
        <f t="shared" si="95"/>
        <v>5.9637330141710236E-2</v>
      </c>
    </row>
    <row r="2028" spans="1:31" x14ac:dyDescent="0.2">
      <c r="A2028" s="1" t="s">
        <v>304</v>
      </c>
      <c r="B2028" s="1" t="s">
        <v>4679</v>
      </c>
      <c r="C2028" s="1">
        <v>8049</v>
      </c>
      <c r="D2028" s="1" t="s">
        <v>4687</v>
      </c>
      <c r="F2028" s="1">
        <v>2023</v>
      </c>
      <c r="G2028" s="5">
        <v>558</v>
      </c>
      <c r="H2028" s="5">
        <v>474.68</v>
      </c>
      <c r="I2028" s="5">
        <v>28649.31</v>
      </c>
      <c r="K2028" s="5">
        <v>0.113</v>
      </c>
      <c r="L2028" s="5">
        <v>1E-3</v>
      </c>
      <c r="M2028" s="5">
        <v>23071.271000000001</v>
      </c>
      <c r="N2028" s="6">
        <v>5.9200000000000003E-2</v>
      </c>
      <c r="O2028" s="5">
        <v>5.8470000000000004</v>
      </c>
      <c r="P2028" s="6">
        <v>3.8600000000000002E-2</v>
      </c>
      <c r="Q2028" s="5">
        <v>387600.038</v>
      </c>
      <c r="R2028" s="1" t="s">
        <v>44</v>
      </c>
      <c r="S2028" s="1" t="s">
        <v>94</v>
      </c>
      <c r="T2028" s="1" t="s">
        <v>93</v>
      </c>
      <c r="V2028" s="1" t="s">
        <v>183</v>
      </c>
      <c r="Y2028" s="1" t="s">
        <v>247</v>
      </c>
      <c r="Z2028" s="1" t="str">
        <f t="shared" si="93"/>
        <v>8049 **14</v>
      </c>
      <c r="AA2028" s="3">
        <f>IF(INDEX('CAMD Facility Data 2023'!$AA$2:$AE$10000,MATCH(Z2028,'CAMD Facility Data 2023'!$AE$2:$AE$10000,0),1)&gt;0,INDEX('CAMD Facility Data 2023'!$AA$2:$AE$10000,MATCH(Z2028,'CAMD Facility Data 2023'!$AE$2:$AE$10000,0),1),"")</f>
        <v>36861</v>
      </c>
      <c r="AB2028" s="5">
        <f>IF(INDEX('CAMD Facility Data 2023'!$AC$2:$AE$10000,MATCH(Z2028,'CAMD Facility Data 2023'!$AE$2:$AE$10000,0),1)&gt;0,INDEX('CAMD Facility Data 2023'!$AC$2:$AE$10000,MATCH(Z2028,'CAMD Facility Data 2023'!$AE$2:$AE$10000,0),1),"")</f>
        <v>1072</v>
      </c>
      <c r="AC2028" s="1" t="str">
        <f>IF(INDEX('CAMD Facility Data 2023'!$AE$2:$AG$10000,MATCH(Z2028,'CAMD Facility Data 2023'!$AE$2:$AE$10000,0),3)&gt;0,INDEX('CAMD Facility Data 2023'!$AE$2:$AG$10000,MATCH(Z2028,'CAMD Facility Data 2023'!$AE$2:$AE$10000,0),3),"")</f>
        <v/>
      </c>
      <c r="AD2028" s="20">
        <f t="shared" si="94"/>
        <v>0.40817736971675755</v>
      </c>
      <c r="AE2028" s="25">
        <f t="shared" si="95"/>
        <v>4.1274794477952702E-2</v>
      </c>
    </row>
    <row r="2029" spans="1:31" x14ac:dyDescent="0.2">
      <c r="A2029" s="1" t="s">
        <v>304</v>
      </c>
      <c r="B2029" s="1" t="s">
        <v>4679</v>
      </c>
      <c r="C2029" s="1">
        <v>8049</v>
      </c>
      <c r="D2029" s="1" t="s">
        <v>3415</v>
      </c>
      <c r="F2029" s="1">
        <v>2023</v>
      </c>
      <c r="G2029" s="5">
        <v>653</v>
      </c>
      <c r="H2029" s="5">
        <v>536.57000000000005</v>
      </c>
      <c r="I2029" s="5">
        <v>27699.29</v>
      </c>
      <c r="K2029" s="5">
        <v>0.11799999999999999</v>
      </c>
      <c r="L2029" s="5">
        <v>1E-3</v>
      </c>
      <c r="M2029" s="5">
        <v>23543.222000000002</v>
      </c>
      <c r="N2029" s="6">
        <v>5.9200000000000003E-2</v>
      </c>
      <c r="O2029" s="5">
        <v>16.443000000000001</v>
      </c>
      <c r="P2029" s="6">
        <v>8.9300000000000004E-2</v>
      </c>
      <c r="Q2029" s="5">
        <v>396031.28</v>
      </c>
      <c r="R2029" s="1" t="s">
        <v>44</v>
      </c>
      <c r="S2029" s="1" t="s">
        <v>94</v>
      </c>
      <c r="T2029" s="1" t="s">
        <v>93</v>
      </c>
      <c r="V2029" s="1" t="s">
        <v>95</v>
      </c>
      <c r="Y2029" s="1" t="s">
        <v>247</v>
      </c>
      <c r="Z2029" s="1" t="str">
        <f t="shared" si="93"/>
        <v>8049 **7</v>
      </c>
      <c r="AA2029" s="3">
        <f>IF(INDEX('CAMD Facility Data 2023'!$AA$2:$AE$10000,MATCH(Z2029,'CAMD Facility Data 2023'!$AE$2:$AE$10000,0),1)&gt;0,INDEX('CAMD Facility Data 2023'!$AA$2:$AE$10000,MATCH(Z2029,'CAMD Facility Data 2023'!$AE$2:$AE$10000,0),1),"")</f>
        <v>34200</v>
      </c>
      <c r="AB2029" s="5">
        <f>IF(INDEX('CAMD Facility Data 2023'!$AC$2:$AE$10000,MATCH(Z2029,'CAMD Facility Data 2023'!$AE$2:$AE$10000,0),1)&gt;0,INDEX('CAMD Facility Data 2023'!$AC$2:$AE$10000,MATCH(Z2029,'CAMD Facility Data 2023'!$AE$2:$AE$10000,0),1),"")</f>
        <v>1238</v>
      </c>
      <c r="AC2029" s="1" t="str">
        <f>IF(INDEX('CAMD Facility Data 2023'!$AE$2:$AG$10000,MATCH(Z2029,'CAMD Facility Data 2023'!$AE$2:$AE$10000,0),3)&gt;0,INDEX('CAMD Facility Data 2023'!$AE$2:$AG$10000,MATCH(Z2029,'CAMD Facility Data 2023'!$AE$2:$AE$10000,0),3),"")</f>
        <v/>
      </c>
      <c r="AD2029" s="20">
        <f t="shared" si="94"/>
        <v>1.1872506479407956</v>
      </c>
      <c r="AE2029" s="25">
        <f t="shared" si="95"/>
        <v>3.6517811169879247E-2</v>
      </c>
    </row>
    <row r="2030" spans="1:31" x14ac:dyDescent="0.2">
      <c r="A2030" s="1" t="s">
        <v>304</v>
      </c>
      <c r="B2030" s="1" t="s">
        <v>4679</v>
      </c>
      <c r="C2030" s="1">
        <v>8049</v>
      </c>
      <c r="D2030" s="1" t="s">
        <v>894</v>
      </c>
      <c r="F2030" s="1">
        <v>2023</v>
      </c>
      <c r="G2030" s="5">
        <v>609</v>
      </c>
      <c r="H2030" s="5">
        <v>502.22</v>
      </c>
      <c r="I2030" s="5">
        <v>26417.32</v>
      </c>
      <c r="K2030" s="5">
        <v>0.112</v>
      </c>
      <c r="L2030" s="5">
        <v>1E-3</v>
      </c>
      <c r="M2030" s="5">
        <v>22470.780999999999</v>
      </c>
      <c r="N2030" s="6">
        <v>5.91E-2</v>
      </c>
      <c r="O2030" s="5">
        <v>15.382</v>
      </c>
      <c r="P2030" s="6">
        <v>8.3500000000000005E-2</v>
      </c>
      <c r="Q2030" s="5">
        <v>377837.234</v>
      </c>
      <c r="R2030" s="1" t="s">
        <v>44</v>
      </c>
      <c r="S2030" s="1" t="s">
        <v>94</v>
      </c>
      <c r="T2030" s="1" t="s">
        <v>93</v>
      </c>
      <c r="V2030" s="1" t="s">
        <v>95</v>
      </c>
      <c r="Y2030" s="1" t="s">
        <v>247</v>
      </c>
      <c r="Z2030" s="1" t="str">
        <f t="shared" si="93"/>
        <v>8049 **8</v>
      </c>
      <c r="AA2030" s="3">
        <f>IF(INDEX('CAMD Facility Data 2023'!$AA$2:$AE$10000,MATCH(Z2030,'CAMD Facility Data 2023'!$AE$2:$AE$10000,0),1)&gt;0,INDEX('CAMD Facility Data 2023'!$AA$2:$AE$10000,MATCH(Z2030,'CAMD Facility Data 2023'!$AE$2:$AE$10000,0),1),"")</f>
        <v>34200</v>
      </c>
      <c r="AB2030" s="5">
        <f>IF(INDEX('CAMD Facility Data 2023'!$AC$2:$AE$10000,MATCH(Z2030,'CAMD Facility Data 2023'!$AE$2:$AE$10000,0),1)&gt;0,INDEX('CAMD Facility Data 2023'!$AC$2:$AE$10000,MATCH(Z2030,'CAMD Facility Data 2023'!$AE$2:$AE$10000,0),1),"")</f>
        <v>1186</v>
      </c>
      <c r="AC2030" s="1" t="str">
        <f>IF(INDEX('CAMD Facility Data 2023'!$AE$2:$AG$10000,MATCH(Z2030,'CAMD Facility Data 2023'!$AE$2:$AE$10000,0),3)&gt;0,INDEX('CAMD Facility Data 2023'!$AE$2:$AG$10000,MATCH(Z2030,'CAMD Facility Data 2023'!$AE$2:$AE$10000,0),3),"")</f>
        <v/>
      </c>
      <c r="AD2030" s="20">
        <f t="shared" si="94"/>
        <v>1.1645390221263929</v>
      </c>
      <c r="AE2030" s="25">
        <f t="shared" si="95"/>
        <v>3.6367710234316647E-2</v>
      </c>
    </row>
    <row r="2031" spans="1:31" x14ac:dyDescent="0.2">
      <c r="A2031" s="1" t="s">
        <v>304</v>
      </c>
      <c r="B2031" s="1" t="s">
        <v>4679</v>
      </c>
      <c r="C2031" s="1">
        <v>8049</v>
      </c>
      <c r="D2031" s="1" t="s">
        <v>3418</v>
      </c>
      <c r="F2031" s="1">
        <v>2023</v>
      </c>
      <c r="G2031" s="5">
        <v>314</v>
      </c>
      <c r="H2031" s="5">
        <v>252.64</v>
      </c>
      <c r="I2031" s="5">
        <v>13149.26</v>
      </c>
      <c r="K2031" s="5">
        <v>5.5E-2</v>
      </c>
      <c r="L2031" s="5">
        <v>1E-3</v>
      </c>
      <c r="M2031" s="5">
        <v>11017.28</v>
      </c>
      <c r="N2031" s="6">
        <v>5.9299999999999999E-2</v>
      </c>
      <c r="O2031" s="5">
        <v>7.96</v>
      </c>
      <c r="P2031" s="6">
        <v>0.1138</v>
      </c>
      <c r="Q2031" s="5">
        <v>185161.2</v>
      </c>
      <c r="R2031" s="1" t="s">
        <v>44</v>
      </c>
      <c r="S2031" s="1" t="s">
        <v>94</v>
      </c>
      <c r="T2031" s="1" t="s">
        <v>93</v>
      </c>
      <c r="V2031" s="1" t="s">
        <v>95</v>
      </c>
      <c r="Y2031" s="1" t="s">
        <v>247</v>
      </c>
      <c r="Z2031" s="1" t="str">
        <f t="shared" si="93"/>
        <v>8049 **9</v>
      </c>
      <c r="AA2031" s="3">
        <f>IF(INDEX('CAMD Facility Data 2023'!$AA$2:$AE$10000,MATCH(Z2031,'CAMD Facility Data 2023'!$AE$2:$AE$10000,0),1)&gt;0,INDEX('CAMD Facility Data 2023'!$AA$2:$AE$10000,MATCH(Z2031,'CAMD Facility Data 2023'!$AE$2:$AE$10000,0),1),"")</f>
        <v>34200</v>
      </c>
      <c r="AB2031" s="5">
        <f>IF(INDEX('CAMD Facility Data 2023'!$AC$2:$AE$10000,MATCH(Z2031,'CAMD Facility Data 2023'!$AE$2:$AE$10000,0),1)&gt;0,INDEX('CAMD Facility Data 2023'!$AC$2:$AE$10000,MATCH(Z2031,'CAMD Facility Data 2023'!$AE$2:$AE$10000,0),1),"")</f>
        <v>1153</v>
      </c>
      <c r="AC2031" s="1" t="str">
        <f>IF(INDEX('CAMD Facility Data 2023'!$AE$2:$AG$10000,MATCH(Z2031,'CAMD Facility Data 2023'!$AE$2:$AE$10000,0),3)&gt;0,INDEX('CAMD Facility Data 2023'!$AE$2:$AG$10000,MATCH(Z2031,'CAMD Facility Data 2023'!$AE$2:$AE$10000,0),3),"")</f>
        <v/>
      </c>
      <c r="AD2031" s="20">
        <f t="shared" si="94"/>
        <v>1.2107145192961428</v>
      </c>
      <c r="AE2031" s="25">
        <f t="shared" si="95"/>
        <v>1.8332283857477219E-2</v>
      </c>
    </row>
    <row r="2032" spans="1:31" x14ac:dyDescent="0.2">
      <c r="A2032" s="1" t="s">
        <v>2089</v>
      </c>
      <c r="B2032" s="1" t="s">
        <v>4692</v>
      </c>
      <c r="C2032" s="1">
        <v>8053</v>
      </c>
      <c r="D2032" s="1" t="s">
        <v>4693</v>
      </c>
      <c r="F2032" s="1">
        <v>2023</v>
      </c>
      <c r="G2032" s="5">
        <v>1263</v>
      </c>
      <c r="H2032" s="5">
        <v>1016.87</v>
      </c>
      <c r="I2032" s="5">
        <v>46281.09</v>
      </c>
      <c r="K2032" s="5">
        <v>0.13800000000000001</v>
      </c>
      <c r="L2032" s="5">
        <v>1E-3</v>
      </c>
      <c r="M2032" s="5">
        <v>27238.157999999999</v>
      </c>
      <c r="N2032" s="6">
        <v>5.9200000000000003E-2</v>
      </c>
      <c r="O2032" s="5">
        <v>2.5139999999999998</v>
      </c>
      <c r="P2032" s="6">
        <v>2.12E-2</v>
      </c>
      <c r="Q2032" s="5">
        <v>458332.10700000002</v>
      </c>
      <c r="R2032" s="1" t="s">
        <v>44</v>
      </c>
      <c r="T2032" s="1" t="s">
        <v>93</v>
      </c>
      <c r="V2032" s="1" t="s">
        <v>223</v>
      </c>
      <c r="Y2032" s="1" t="s">
        <v>1515</v>
      </c>
      <c r="Z2032" s="1" t="str">
        <f t="shared" si="93"/>
        <v>8053 PT01</v>
      </c>
      <c r="AA2032" s="3">
        <f>IF(INDEX('CAMD Facility Data 2023'!$AA$2:$AE$10000,MATCH(Z2032,'CAMD Facility Data 2023'!$AE$2:$AE$10000,0),1)&gt;0,INDEX('CAMD Facility Data 2023'!$AA$2:$AE$10000,MATCH(Z2032,'CAMD Facility Data 2023'!$AE$2:$AE$10000,0),1),"")</f>
        <v>37111</v>
      </c>
      <c r="AB2032" s="5">
        <f>IF(INDEX('CAMD Facility Data 2023'!$AC$2:$AE$10000,MATCH(Z2032,'CAMD Facility Data 2023'!$AE$2:$AE$10000,0),1)&gt;0,INDEX('CAMD Facility Data 2023'!$AC$2:$AE$10000,MATCH(Z2032,'CAMD Facility Data 2023'!$AE$2:$AE$10000,0),1),"")</f>
        <v>517</v>
      </c>
      <c r="AC2032" s="1" t="str">
        <f>IF(INDEX('CAMD Facility Data 2023'!$AE$2:$AG$10000,MATCH(Z2032,'CAMD Facility Data 2023'!$AE$2:$AE$10000,0),3)&gt;0,INDEX('CAMD Facility Data 2023'!$AE$2:$AG$10000,MATCH(Z2032,'CAMD Facility Data 2023'!$AE$2:$AE$10000,0),3),"")</f>
        <v>Y</v>
      </c>
      <c r="AD2032" s="20">
        <f t="shared" si="94"/>
        <v>0.10864048361868747</v>
      </c>
      <c r="AE2032" s="25">
        <f t="shared" si="95"/>
        <v>0.10120119299965555</v>
      </c>
    </row>
    <row r="2033" spans="1:31" x14ac:dyDescent="0.2">
      <c r="A2033" s="1" t="s">
        <v>1732</v>
      </c>
      <c r="B2033" s="1" t="s">
        <v>4695</v>
      </c>
      <c r="C2033" s="1">
        <v>8054</v>
      </c>
      <c r="D2033" s="1">
        <v>1</v>
      </c>
      <c r="F2033" s="1">
        <v>2023</v>
      </c>
      <c r="G2033" s="5">
        <v>808</v>
      </c>
      <c r="H2033" s="5">
        <v>799.34</v>
      </c>
      <c r="I2033" s="5">
        <v>226917.86</v>
      </c>
      <c r="K2033" s="5">
        <v>0.82199999999999995</v>
      </c>
      <c r="L2033" s="5">
        <v>1.1000000000000001E-3</v>
      </c>
      <c r="M2033" s="5">
        <v>157636.08799999999</v>
      </c>
      <c r="N2033" s="6">
        <v>5.91E-2</v>
      </c>
      <c r="O2033" s="5">
        <v>348.95499999999998</v>
      </c>
      <c r="P2033" s="6">
        <v>0.24590000000000001</v>
      </c>
      <c r="Q2033" s="5">
        <v>2652099.9989999998</v>
      </c>
      <c r="R2033" s="1" t="s">
        <v>44</v>
      </c>
      <c r="S2033" s="1" t="s">
        <v>173</v>
      </c>
      <c r="T2033" s="1" t="s">
        <v>89</v>
      </c>
      <c r="V2033" s="1" t="s">
        <v>220</v>
      </c>
      <c r="Y2033" s="1" t="s">
        <v>346</v>
      </c>
      <c r="Z2033" s="1" t="str">
        <f t="shared" si="93"/>
        <v>8054 1</v>
      </c>
      <c r="AA2033" s="3">
        <f>IF(INDEX('CAMD Facility Data 2023'!$AA$2:$AE$10000,MATCH(Z2033,'CAMD Facility Data 2023'!$AE$2:$AE$10000,0),1)&gt;0,INDEX('CAMD Facility Data 2023'!$AA$2:$AE$10000,MATCH(Z2033,'CAMD Facility Data 2023'!$AE$2:$AE$10000,0),1),"")</f>
        <v>27542</v>
      </c>
      <c r="AB2033" s="5">
        <f>IF(INDEX('CAMD Facility Data 2023'!$AC$2:$AE$10000,MATCH(Z2033,'CAMD Facility Data 2023'!$AE$2:$AE$10000,0),1)&gt;0,INDEX('CAMD Facility Data 2023'!$AC$2:$AE$10000,MATCH(Z2033,'CAMD Facility Data 2023'!$AE$2:$AE$10000,0),1),"")</f>
        <v>8100</v>
      </c>
      <c r="AC2033" s="1" t="str">
        <f>IF(INDEX('CAMD Facility Data 2023'!$AE$2:$AG$10000,MATCH(Z2033,'CAMD Facility Data 2023'!$AE$2:$AE$10000,0),3)&gt;0,INDEX('CAMD Facility Data 2023'!$AE$2:$AG$10000,MATCH(Z2033,'CAMD Facility Data 2023'!$AE$2:$AE$10000,0),3),"")</f>
        <v/>
      </c>
      <c r="AD2033" s="20">
        <f t="shared" si="94"/>
        <v>3.0756063008879075</v>
      </c>
      <c r="AE2033" s="25">
        <f t="shared" si="95"/>
        <v>3.7376684128192117E-2</v>
      </c>
    </row>
    <row r="2034" spans="1:31" x14ac:dyDescent="0.2">
      <c r="A2034" s="1" t="s">
        <v>1426</v>
      </c>
      <c r="B2034" s="1" t="s">
        <v>4698</v>
      </c>
      <c r="C2034" s="1">
        <v>8056</v>
      </c>
      <c r="D2034" s="1">
        <v>1</v>
      </c>
      <c r="F2034" s="1">
        <v>2023</v>
      </c>
      <c r="G2034" s="5">
        <v>0</v>
      </c>
      <c r="H2034" s="5">
        <v>0</v>
      </c>
      <c r="R2034" s="1" t="s">
        <v>44</v>
      </c>
      <c r="S2034" s="1" t="s">
        <v>173</v>
      </c>
      <c r="T2034" s="1" t="s">
        <v>89</v>
      </c>
      <c r="V2034" s="1" t="s">
        <v>4699</v>
      </c>
      <c r="Y2034" s="1" t="s">
        <v>1428</v>
      </c>
      <c r="Z2034" s="1" t="str">
        <f t="shared" si="93"/>
        <v>8056 1</v>
      </c>
      <c r="AA2034" s="3">
        <f>IF(INDEX('CAMD Facility Data 2023'!$AA$2:$AE$10000,MATCH(Z2034,'CAMD Facility Data 2023'!$AE$2:$AE$10000,0),1)&gt;0,INDEX('CAMD Facility Data 2023'!$AA$2:$AE$10000,MATCH(Z2034,'CAMD Facility Data 2023'!$AE$2:$AE$10000,0),1),"")</f>
        <v>27030</v>
      </c>
      <c r="AB2034" s="5">
        <f>IF(INDEX('CAMD Facility Data 2023'!$AC$2:$AE$10000,MATCH(Z2034,'CAMD Facility Data 2023'!$AE$2:$AE$10000,0),1)&gt;0,INDEX('CAMD Facility Data 2023'!$AC$2:$AE$10000,MATCH(Z2034,'CAMD Facility Data 2023'!$AE$2:$AE$10000,0),1),"")</f>
        <v>4600</v>
      </c>
      <c r="AC2034" s="1" t="str">
        <f>IF(INDEX('CAMD Facility Data 2023'!$AE$2:$AG$10000,MATCH(Z2034,'CAMD Facility Data 2023'!$AE$2:$AE$10000,0),3)&gt;0,INDEX('CAMD Facility Data 2023'!$AE$2:$AG$10000,MATCH(Z2034,'CAMD Facility Data 2023'!$AE$2:$AE$10000,0),3),"")</f>
        <v/>
      </c>
      <c r="AD2034" s="20" t="str">
        <f t="shared" si="94"/>
        <v/>
      </c>
      <c r="AE2034" s="25">
        <f t="shared" si="95"/>
        <v>0</v>
      </c>
    </row>
    <row r="2035" spans="1:31" x14ac:dyDescent="0.2">
      <c r="A2035" s="1" t="s">
        <v>1426</v>
      </c>
      <c r="B2035" s="1" t="s">
        <v>4698</v>
      </c>
      <c r="C2035" s="1">
        <v>8056</v>
      </c>
      <c r="D2035" s="1">
        <v>2</v>
      </c>
      <c r="F2035" s="1">
        <v>2023</v>
      </c>
      <c r="G2035" s="5">
        <v>1350</v>
      </c>
      <c r="H2035" s="5">
        <v>1340.63</v>
      </c>
      <c r="I2035" s="5">
        <v>234558.92</v>
      </c>
      <c r="K2035" s="5">
        <v>0.78400000000000003</v>
      </c>
      <c r="L2035" s="5">
        <v>1E-3</v>
      </c>
      <c r="M2035" s="5">
        <v>155316.87400000001</v>
      </c>
      <c r="N2035" s="6">
        <v>5.8999999999999997E-2</v>
      </c>
      <c r="O2035" s="5">
        <v>227.928</v>
      </c>
      <c r="P2035" s="6">
        <v>0.14710000000000001</v>
      </c>
      <c r="Q2035" s="5">
        <v>2613521.0890000002</v>
      </c>
      <c r="R2035" s="1" t="s">
        <v>44</v>
      </c>
      <c r="S2035" s="1" t="s">
        <v>173</v>
      </c>
      <c r="T2035" s="1" t="s">
        <v>89</v>
      </c>
      <c r="V2035" s="1" t="s">
        <v>4699</v>
      </c>
      <c r="Y2035" s="1" t="s">
        <v>1428</v>
      </c>
      <c r="Z2035" s="1" t="str">
        <f t="shared" si="93"/>
        <v>8056 2</v>
      </c>
      <c r="AA2035" s="3">
        <f>IF(INDEX('CAMD Facility Data 2023'!$AA$2:$AE$10000,MATCH(Z2035,'CAMD Facility Data 2023'!$AE$2:$AE$10000,0),1)&gt;0,INDEX('CAMD Facility Data 2023'!$AA$2:$AE$10000,MATCH(Z2035,'CAMD Facility Data 2023'!$AE$2:$AE$10000,0),1),"")</f>
        <v>27395</v>
      </c>
      <c r="AB2035" s="5">
        <f>IF(INDEX('CAMD Facility Data 2023'!$AC$2:$AE$10000,MATCH(Z2035,'CAMD Facility Data 2023'!$AE$2:$AE$10000,0),1)&gt;0,INDEX('CAMD Facility Data 2023'!$AC$2:$AE$10000,MATCH(Z2035,'CAMD Facility Data 2023'!$AE$2:$AE$10000,0),1),"")</f>
        <v>4620</v>
      </c>
      <c r="AC2035" s="1" t="str">
        <f>IF(INDEX('CAMD Facility Data 2023'!$AE$2:$AG$10000,MATCH(Z2035,'CAMD Facility Data 2023'!$AE$2:$AE$10000,0),3)&gt;0,INDEX('CAMD Facility Data 2023'!$AE$2:$AG$10000,MATCH(Z2035,'CAMD Facility Data 2023'!$AE$2:$AE$10000,0),3),"")</f>
        <v/>
      </c>
      <c r="AD2035" s="20">
        <f t="shared" si="94"/>
        <v>1.9434605172977433</v>
      </c>
      <c r="AE2035" s="25">
        <f t="shared" si="95"/>
        <v>6.4577306553796288E-2</v>
      </c>
    </row>
    <row r="2036" spans="1:31" x14ac:dyDescent="0.2">
      <c r="A2036" s="1" t="s">
        <v>1426</v>
      </c>
      <c r="B2036" s="1" t="s">
        <v>4698</v>
      </c>
      <c r="C2036" s="1">
        <v>8056</v>
      </c>
      <c r="D2036" s="1">
        <v>4</v>
      </c>
      <c r="F2036" s="1">
        <v>2023</v>
      </c>
      <c r="G2036" s="5">
        <v>118</v>
      </c>
      <c r="H2036" s="5">
        <v>107.45</v>
      </c>
      <c r="I2036" s="5">
        <v>3219.41</v>
      </c>
      <c r="K2036" s="5">
        <v>1.0880000000000001</v>
      </c>
      <c r="L2036" s="5">
        <v>5.0599999999999999E-2</v>
      </c>
      <c r="M2036" s="5">
        <v>3484.9</v>
      </c>
      <c r="N2036" s="6">
        <v>8.0600000000000005E-2</v>
      </c>
      <c r="O2036" s="5">
        <v>2.6909999999999998</v>
      </c>
      <c r="P2036" s="6">
        <v>0.18579999999999999</v>
      </c>
      <c r="Q2036" s="5">
        <v>43047.1</v>
      </c>
      <c r="R2036" s="1" t="s">
        <v>94</v>
      </c>
      <c r="T2036" s="1" t="s">
        <v>93</v>
      </c>
      <c r="V2036" s="1" t="s">
        <v>1606</v>
      </c>
      <c r="Y2036" s="1" t="s">
        <v>1428</v>
      </c>
      <c r="Z2036" s="1" t="str">
        <f t="shared" si="93"/>
        <v>8056 4</v>
      </c>
      <c r="AA2036" s="3">
        <f>IF(INDEX('CAMD Facility Data 2023'!$AA$2:$AE$10000,MATCH(Z2036,'CAMD Facility Data 2023'!$AE$2:$AE$10000,0),1)&gt;0,INDEX('CAMD Facility Data 2023'!$AA$2:$AE$10000,MATCH(Z2036,'CAMD Facility Data 2023'!$AE$2:$AE$10000,0),1),"")</f>
        <v>40040</v>
      </c>
      <c r="AB2036" s="5">
        <f>IF(INDEX('CAMD Facility Data 2023'!$AC$2:$AE$10000,MATCH(Z2036,'CAMD Facility Data 2023'!$AE$2:$AE$10000,0),1)&gt;0,INDEX('CAMD Facility Data 2023'!$AC$2:$AE$10000,MATCH(Z2036,'CAMD Facility Data 2023'!$AE$2:$AE$10000,0),1),"")</f>
        <v>507</v>
      </c>
      <c r="AC2036" s="1" t="str">
        <f>IF(INDEX('CAMD Facility Data 2023'!$AE$2:$AG$10000,MATCH(Z2036,'CAMD Facility Data 2023'!$AE$2:$AE$10000,0),3)&gt;0,INDEX('CAMD Facility Data 2023'!$AE$2:$AG$10000,MATCH(Z2036,'CAMD Facility Data 2023'!$AE$2:$AE$10000,0),3),"")</f>
        <v/>
      </c>
      <c r="AD2036" s="20">
        <f t="shared" si="94"/>
        <v>1.6717348830996985</v>
      </c>
      <c r="AE2036" s="25">
        <f t="shared" si="95"/>
        <v>9.6924112651193793E-3</v>
      </c>
    </row>
    <row r="2037" spans="1:31" x14ac:dyDescent="0.2">
      <c r="A2037" s="1" t="s">
        <v>335</v>
      </c>
      <c r="B2037" s="1" t="s">
        <v>4701</v>
      </c>
      <c r="C2037" s="1">
        <v>8059</v>
      </c>
      <c r="D2037" s="1">
        <v>7251</v>
      </c>
      <c r="E2037" s="1" t="s">
        <v>1330</v>
      </c>
      <c r="F2037" s="1">
        <v>2023</v>
      </c>
      <c r="G2037" s="5">
        <v>3371</v>
      </c>
      <c r="H2037" s="5">
        <v>3349.23</v>
      </c>
      <c r="I2037" s="5">
        <v>157484.29999999999</v>
      </c>
      <c r="K2037" s="5">
        <v>0.76700000000000002</v>
      </c>
      <c r="L2037" s="5">
        <v>1E-3</v>
      </c>
      <c r="M2037" s="5">
        <v>151988.03400000001</v>
      </c>
      <c r="N2037" s="6">
        <v>5.8999999999999997E-2</v>
      </c>
      <c r="O2037" s="5">
        <v>51.927999999999997</v>
      </c>
      <c r="P2037" s="6">
        <v>4.24E-2</v>
      </c>
      <c r="Q2037" s="5">
        <v>2557496.801</v>
      </c>
      <c r="R2037" s="1" t="s">
        <v>44</v>
      </c>
      <c r="T2037" s="1" t="s">
        <v>71</v>
      </c>
      <c r="V2037" s="1" t="s">
        <v>140</v>
      </c>
      <c r="Y2037" s="1" t="s">
        <v>346</v>
      </c>
      <c r="Z2037" s="1" t="str">
        <f t="shared" si="93"/>
        <v>8059 7251</v>
      </c>
      <c r="AA2037" s="3">
        <f>IF(INDEX('CAMD Facility Data 2023'!$AA$2:$AE$10000,MATCH(Z2037,'CAMD Facility Data 2023'!$AE$2:$AE$10000,0),1)&gt;0,INDEX('CAMD Facility Data 2023'!$AA$2:$AE$10000,MATCH(Z2037,'CAMD Facility Data 2023'!$AE$2:$AE$10000,0),1),"")</f>
        <v>26845</v>
      </c>
      <c r="AB2037" s="5">
        <f>IF(INDEX('CAMD Facility Data 2023'!$AC$2:$AE$10000,MATCH(Z2037,'CAMD Facility Data 2023'!$AE$2:$AE$10000,0),1)&gt;0,INDEX('CAMD Facility Data 2023'!$AC$2:$AE$10000,MATCH(Z2037,'CAMD Facility Data 2023'!$AE$2:$AE$10000,0),1),"")</f>
        <v>1450</v>
      </c>
      <c r="AC2037" s="1" t="str">
        <f>IF(INDEX('CAMD Facility Data 2023'!$AE$2:$AG$10000,MATCH(Z2037,'CAMD Facility Data 2023'!$AE$2:$AE$10000,0),3)&gt;0,INDEX('CAMD Facility Data 2023'!$AE$2:$AG$10000,MATCH(Z2037,'CAMD Facility Data 2023'!$AE$2:$AE$10000,0),3),"")</f>
        <v/>
      </c>
      <c r="AD2037" s="20">
        <f t="shared" si="94"/>
        <v>0.65946891213917835</v>
      </c>
      <c r="AE2037" s="25">
        <f t="shared" si="95"/>
        <v>0.2013459928357739</v>
      </c>
    </row>
    <row r="2038" spans="1:31" x14ac:dyDescent="0.2">
      <c r="A2038" s="1" t="s">
        <v>335</v>
      </c>
      <c r="B2038" s="1" t="s">
        <v>4701</v>
      </c>
      <c r="C2038" s="1">
        <v>8059</v>
      </c>
      <c r="D2038" s="1">
        <v>7252</v>
      </c>
      <c r="E2038" s="1" t="s">
        <v>1330</v>
      </c>
      <c r="F2038" s="1">
        <v>2023</v>
      </c>
      <c r="G2038" s="5">
        <v>3162</v>
      </c>
      <c r="H2038" s="5">
        <v>3122.7</v>
      </c>
      <c r="I2038" s="5">
        <v>148998.53</v>
      </c>
      <c r="K2038" s="5">
        <v>0.72799999999999998</v>
      </c>
      <c r="L2038" s="5">
        <v>1E-3</v>
      </c>
      <c r="M2038" s="5">
        <v>144232.31599999999</v>
      </c>
      <c r="N2038" s="6">
        <v>5.8999999999999997E-2</v>
      </c>
      <c r="O2038" s="5">
        <v>69.302999999999997</v>
      </c>
      <c r="P2038" s="6">
        <v>6.0499999999999998E-2</v>
      </c>
      <c r="Q2038" s="5">
        <v>2426995.4900000002</v>
      </c>
      <c r="R2038" s="1" t="s">
        <v>44</v>
      </c>
      <c r="T2038" s="1" t="s">
        <v>71</v>
      </c>
      <c r="V2038" s="1" t="s">
        <v>140</v>
      </c>
      <c r="Y2038" s="1" t="s">
        <v>346</v>
      </c>
      <c r="Z2038" s="1" t="str">
        <f t="shared" si="93"/>
        <v>8059 7252</v>
      </c>
      <c r="AA2038" s="3">
        <f>IF(INDEX('CAMD Facility Data 2023'!$AA$2:$AE$10000,MATCH(Z2038,'CAMD Facility Data 2023'!$AE$2:$AE$10000,0),1)&gt;0,INDEX('CAMD Facility Data 2023'!$AA$2:$AE$10000,MATCH(Z2038,'CAMD Facility Data 2023'!$AE$2:$AE$10000,0),1),"")</f>
        <v>26845</v>
      </c>
      <c r="AB2038" s="5">
        <f>IF(INDEX('CAMD Facility Data 2023'!$AC$2:$AE$10000,MATCH(Z2038,'CAMD Facility Data 2023'!$AE$2:$AE$10000,0),1)&gt;0,INDEX('CAMD Facility Data 2023'!$AC$2:$AE$10000,MATCH(Z2038,'CAMD Facility Data 2023'!$AE$2:$AE$10000,0),1),"")</f>
        <v>1450</v>
      </c>
      <c r="AC2038" s="1" t="str">
        <f>IF(INDEX('CAMD Facility Data 2023'!$AE$2:$AG$10000,MATCH(Z2038,'CAMD Facility Data 2023'!$AE$2:$AE$10000,0),3)&gt;0,INDEX('CAMD Facility Data 2023'!$AE$2:$AG$10000,MATCH(Z2038,'CAMD Facility Data 2023'!$AE$2:$AE$10000,0),3),"")</f>
        <v/>
      </c>
      <c r="AD2038" s="20">
        <f t="shared" si="94"/>
        <v>0.93025078838026121</v>
      </c>
      <c r="AE2038" s="25">
        <f t="shared" si="95"/>
        <v>0.19107191702094159</v>
      </c>
    </row>
    <row r="2039" spans="1:31" x14ac:dyDescent="0.2">
      <c r="A2039" s="1" t="s">
        <v>3253</v>
      </c>
      <c r="B2039" s="1" t="s">
        <v>4706</v>
      </c>
      <c r="C2039" s="1">
        <v>8066</v>
      </c>
      <c r="D2039" s="1" t="s">
        <v>4707</v>
      </c>
      <c r="F2039" s="1">
        <v>2023</v>
      </c>
      <c r="G2039" s="5">
        <v>8492</v>
      </c>
      <c r="H2039" s="5">
        <v>8479.76</v>
      </c>
      <c r="I2039" s="5">
        <v>2310478.04</v>
      </c>
      <c r="K2039" s="5">
        <v>1732.404</v>
      </c>
      <c r="L2039" s="5">
        <v>0.14860000000000001</v>
      </c>
      <c r="M2039" s="5">
        <v>2521344.5639999998</v>
      </c>
      <c r="N2039" s="6">
        <v>0.105</v>
      </c>
      <c r="O2039" s="5">
        <v>2244.2800000000002</v>
      </c>
      <c r="P2039" s="6">
        <v>0.19159999999999999</v>
      </c>
      <c r="Q2039" s="5">
        <v>24040299.120999999</v>
      </c>
      <c r="R2039" s="1" t="s">
        <v>55</v>
      </c>
      <c r="T2039" s="1" t="s">
        <v>43</v>
      </c>
      <c r="U2039" s="1" t="s">
        <v>1151</v>
      </c>
      <c r="V2039" s="1" t="s">
        <v>1233</v>
      </c>
      <c r="W2039" s="1" t="s">
        <v>58</v>
      </c>
      <c r="X2039" s="1" t="s">
        <v>930</v>
      </c>
      <c r="Y2039" s="1" t="s">
        <v>236</v>
      </c>
      <c r="Z2039" s="1" t="str">
        <f t="shared" si="93"/>
        <v>8066 BW71</v>
      </c>
      <c r="AA2039" s="3">
        <f>IF(INDEX('CAMD Facility Data 2023'!$AA$2:$AE$10000,MATCH(Z2039,'CAMD Facility Data 2023'!$AE$2:$AE$10000,0),1)&gt;0,INDEX('CAMD Facility Data 2023'!$AA$2:$AE$10000,MATCH(Z2039,'CAMD Facility Data 2023'!$AE$2:$AE$10000,0),1),"")</f>
        <v>27363</v>
      </c>
      <c r="AB2039" s="5">
        <f>IF(INDEX('CAMD Facility Data 2023'!$AC$2:$AE$10000,MATCH(Z2039,'CAMD Facility Data 2023'!$AE$2:$AE$10000,0),1)&gt;0,INDEX('CAMD Facility Data 2023'!$AC$2:$AE$10000,MATCH(Z2039,'CAMD Facility Data 2023'!$AE$2:$AE$10000,0),1),"")</f>
        <v>7875</v>
      </c>
      <c r="AC2039" s="1" t="str">
        <f>IF(INDEX('CAMD Facility Data 2023'!$AE$2:$AG$10000,MATCH(Z2039,'CAMD Facility Data 2023'!$AE$2:$AE$10000,0),3)&gt;0,INDEX('CAMD Facility Data 2023'!$AE$2:$AG$10000,MATCH(Z2039,'CAMD Facility Data 2023'!$AE$2:$AE$10000,0),3),"")</f>
        <v/>
      </c>
      <c r="AD2039" s="20">
        <f t="shared" si="94"/>
        <v>1.9426975380384919</v>
      </c>
      <c r="AE2039" s="25">
        <f t="shared" si="95"/>
        <v>0.34848588999057767</v>
      </c>
    </row>
    <row r="2040" spans="1:31" x14ac:dyDescent="0.2">
      <c r="A2040" s="1" t="s">
        <v>3253</v>
      </c>
      <c r="B2040" s="1" t="s">
        <v>4706</v>
      </c>
      <c r="C2040" s="1">
        <v>8066</v>
      </c>
      <c r="D2040" s="1" t="s">
        <v>4712</v>
      </c>
      <c r="F2040" s="1">
        <v>2023</v>
      </c>
      <c r="G2040" s="5">
        <v>8666</v>
      </c>
      <c r="H2040" s="5">
        <v>8651.9699999999993</v>
      </c>
      <c r="I2040" s="5">
        <v>2317603.7200000002</v>
      </c>
      <c r="K2040" s="5">
        <v>1734.107</v>
      </c>
      <c r="L2040" s="5">
        <v>0.14680000000000001</v>
      </c>
      <c r="M2040" s="5">
        <v>2545597.9040000001</v>
      </c>
      <c r="N2040" s="6">
        <v>0.105</v>
      </c>
      <c r="O2040" s="5">
        <v>2055.491</v>
      </c>
      <c r="P2040" s="6">
        <v>0.16619999999999999</v>
      </c>
      <c r="Q2040" s="5">
        <v>24271510.546</v>
      </c>
      <c r="R2040" s="1" t="s">
        <v>55</v>
      </c>
      <c r="T2040" s="1" t="s">
        <v>43</v>
      </c>
      <c r="U2040" s="1" t="s">
        <v>1151</v>
      </c>
      <c r="V2040" s="1" t="s">
        <v>1233</v>
      </c>
      <c r="W2040" s="1" t="s">
        <v>58</v>
      </c>
      <c r="X2040" s="1" t="s">
        <v>930</v>
      </c>
      <c r="Y2040" s="1" t="s">
        <v>236</v>
      </c>
      <c r="Z2040" s="1" t="str">
        <f t="shared" si="93"/>
        <v>8066 BW72</v>
      </c>
      <c r="AA2040" s="3">
        <f>IF(INDEX('CAMD Facility Data 2023'!$AA$2:$AE$10000,MATCH(Z2040,'CAMD Facility Data 2023'!$AE$2:$AE$10000,0),1)&gt;0,INDEX('CAMD Facility Data 2023'!$AA$2:$AE$10000,MATCH(Z2040,'CAMD Facility Data 2023'!$AE$2:$AE$10000,0),1),"")</f>
        <v>27729</v>
      </c>
      <c r="AB2040" s="5">
        <f>IF(INDEX('CAMD Facility Data 2023'!$AC$2:$AE$10000,MATCH(Z2040,'CAMD Facility Data 2023'!$AE$2:$AE$10000,0),1)&gt;0,INDEX('CAMD Facility Data 2023'!$AC$2:$AE$10000,MATCH(Z2040,'CAMD Facility Data 2023'!$AE$2:$AE$10000,0),1),"")</f>
        <v>7875</v>
      </c>
      <c r="AC2040" s="1" t="str">
        <f>IF(INDEX('CAMD Facility Data 2023'!$AE$2:$AG$10000,MATCH(Z2040,'CAMD Facility Data 2023'!$AE$2:$AE$10000,0),3)&gt;0,INDEX('CAMD Facility Data 2023'!$AE$2:$AG$10000,MATCH(Z2040,'CAMD Facility Data 2023'!$AE$2:$AE$10000,0),3),"")</f>
        <v/>
      </c>
      <c r="AD2040" s="20">
        <f t="shared" si="94"/>
        <v>1.7738071286837596</v>
      </c>
      <c r="AE2040" s="25">
        <f t="shared" si="95"/>
        <v>0.35183750882075815</v>
      </c>
    </row>
    <row r="2041" spans="1:31" x14ac:dyDescent="0.2">
      <c r="A2041" s="1" t="s">
        <v>3253</v>
      </c>
      <c r="B2041" s="1" t="s">
        <v>4706</v>
      </c>
      <c r="C2041" s="1">
        <v>8066</v>
      </c>
      <c r="D2041" s="1" t="s">
        <v>4714</v>
      </c>
      <c r="F2041" s="1">
        <v>2023</v>
      </c>
      <c r="G2041" s="5">
        <v>7203</v>
      </c>
      <c r="H2041" s="5">
        <v>7184.63</v>
      </c>
      <c r="I2041" s="5">
        <v>2127705.33</v>
      </c>
      <c r="K2041" s="5">
        <v>1705.749</v>
      </c>
      <c r="L2041" s="5">
        <v>0.15290000000000001</v>
      </c>
      <c r="M2041" s="5">
        <v>2413293.3569999998</v>
      </c>
      <c r="N2041" s="6">
        <v>0.105</v>
      </c>
      <c r="O2041" s="5">
        <v>638.14099999999996</v>
      </c>
      <c r="P2041" s="6">
        <v>5.6599999999999998E-2</v>
      </c>
      <c r="Q2041" s="5">
        <v>23010070.511999998</v>
      </c>
      <c r="R2041" s="1" t="s">
        <v>55</v>
      </c>
      <c r="T2041" s="1" t="s">
        <v>43</v>
      </c>
      <c r="U2041" s="1" t="s">
        <v>1151</v>
      </c>
      <c r="V2041" s="1" t="s">
        <v>299</v>
      </c>
      <c r="W2041" s="1" t="s">
        <v>58</v>
      </c>
      <c r="X2041" s="1" t="s">
        <v>930</v>
      </c>
      <c r="Y2041" s="1" t="s">
        <v>236</v>
      </c>
      <c r="Z2041" s="1" t="str">
        <f t="shared" si="93"/>
        <v>8066 BW73</v>
      </c>
      <c r="AA2041" s="3">
        <f>IF(INDEX('CAMD Facility Data 2023'!$AA$2:$AE$10000,MATCH(Z2041,'CAMD Facility Data 2023'!$AE$2:$AE$10000,0),1)&gt;0,INDEX('CAMD Facility Data 2023'!$AA$2:$AE$10000,MATCH(Z2041,'CAMD Facility Data 2023'!$AE$2:$AE$10000,0),1),"")</f>
        <v>28004</v>
      </c>
      <c r="AB2041" s="5">
        <f>IF(INDEX('CAMD Facility Data 2023'!$AC$2:$AE$10000,MATCH(Z2041,'CAMD Facility Data 2023'!$AE$2:$AE$10000,0),1)&gt;0,INDEX('CAMD Facility Data 2023'!$AC$2:$AE$10000,MATCH(Z2041,'CAMD Facility Data 2023'!$AE$2:$AE$10000,0),1),"")</f>
        <v>7458</v>
      </c>
      <c r="AC2041" s="1" t="str">
        <f>IF(INDEX('CAMD Facility Data 2023'!$AE$2:$AG$10000,MATCH(Z2041,'CAMD Facility Data 2023'!$AE$2:$AE$10000,0),3)&gt;0,INDEX('CAMD Facility Data 2023'!$AE$2:$AG$10000,MATCH(Z2041,'CAMD Facility Data 2023'!$AE$2:$AE$10000,0),3),"")</f>
        <v>Y</v>
      </c>
      <c r="AD2041" s="20">
        <f t="shared" si="94"/>
        <v>0.59983964038854942</v>
      </c>
      <c r="AE2041" s="25">
        <f t="shared" si="95"/>
        <v>0.35220171333899059</v>
      </c>
    </row>
    <row r="2042" spans="1:31" x14ac:dyDescent="0.2">
      <c r="A2042" s="1" t="s">
        <v>3253</v>
      </c>
      <c r="B2042" s="1" t="s">
        <v>4706</v>
      </c>
      <c r="C2042" s="1">
        <v>8066</v>
      </c>
      <c r="D2042" s="1" t="s">
        <v>4716</v>
      </c>
      <c r="F2042" s="1">
        <v>2023</v>
      </c>
      <c r="G2042" s="5">
        <v>7537</v>
      </c>
      <c r="H2042" s="5">
        <v>7521.14</v>
      </c>
      <c r="I2042" s="5">
        <v>2350168.9300000002</v>
      </c>
      <c r="K2042" s="5">
        <v>1495.72</v>
      </c>
      <c r="L2042" s="5">
        <v>0.13550000000000001</v>
      </c>
      <c r="M2042" s="5">
        <v>2332848.267</v>
      </c>
      <c r="N2042" s="6">
        <v>0.105</v>
      </c>
      <c r="O2042" s="5">
        <v>549.54</v>
      </c>
      <c r="P2042" s="6">
        <v>4.8899999999999999E-2</v>
      </c>
      <c r="Q2042" s="5">
        <v>22243018.166999999</v>
      </c>
      <c r="R2042" s="1" t="s">
        <v>55</v>
      </c>
      <c r="T2042" s="1" t="s">
        <v>43</v>
      </c>
      <c r="U2042" s="1" t="s">
        <v>1151</v>
      </c>
      <c r="V2042" s="1" t="s">
        <v>299</v>
      </c>
      <c r="W2042" s="1" t="s">
        <v>58</v>
      </c>
      <c r="X2042" s="1" t="s">
        <v>930</v>
      </c>
      <c r="Y2042" s="1" t="s">
        <v>236</v>
      </c>
      <c r="Z2042" s="1" t="str">
        <f t="shared" si="93"/>
        <v>8066 BW74</v>
      </c>
      <c r="AA2042" s="3">
        <f>IF(INDEX('CAMD Facility Data 2023'!$AA$2:$AE$10000,MATCH(Z2042,'CAMD Facility Data 2023'!$AE$2:$AE$10000,0),1)&gt;0,INDEX('CAMD Facility Data 2023'!$AA$2:$AE$10000,MATCH(Z2042,'CAMD Facility Data 2023'!$AE$2:$AE$10000,0),1),"")</f>
        <v>29188</v>
      </c>
      <c r="AB2042" s="5">
        <f>IF(INDEX('CAMD Facility Data 2023'!$AC$2:$AE$10000,MATCH(Z2042,'CAMD Facility Data 2023'!$AE$2:$AE$10000,0),1)&gt;0,INDEX('CAMD Facility Data 2023'!$AC$2:$AE$10000,MATCH(Z2042,'CAMD Facility Data 2023'!$AE$2:$AE$10000,0),1),"")</f>
        <v>7536</v>
      </c>
      <c r="AC2042" s="1" t="str">
        <f>IF(INDEX('CAMD Facility Data 2023'!$AE$2:$AG$10000,MATCH(Z2042,'CAMD Facility Data 2023'!$AE$2:$AE$10000,0),3)&gt;0,INDEX('CAMD Facility Data 2023'!$AE$2:$AG$10000,MATCH(Z2042,'CAMD Facility Data 2023'!$AE$2:$AE$10000,0),3),"")</f>
        <v>Y</v>
      </c>
      <c r="AD2042" s="20">
        <f t="shared" si="94"/>
        <v>0.46765999923248069</v>
      </c>
      <c r="AE2042" s="25">
        <f t="shared" si="95"/>
        <v>0.33693701234076434</v>
      </c>
    </row>
    <row r="2043" spans="1:31" x14ac:dyDescent="0.2">
      <c r="A2043" s="1" t="s">
        <v>234</v>
      </c>
      <c r="B2043" s="1" t="s">
        <v>4718</v>
      </c>
      <c r="C2043" s="1">
        <v>8068</v>
      </c>
      <c r="D2043" s="1" t="s">
        <v>955</v>
      </c>
      <c r="F2043" s="1">
        <v>2023</v>
      </c>
      <c r="G2043" s="5">
        <v>5805</v>
      </c>
      <c r="H2043" s="5">
        <v>5698.42</v>
      </c>
      <c r="I2043" s="5">
        <v>1473045.87</v>
      </c>
      <c r="K2043" s="5">
        <v>3.1320000000000001</v>
      </c>
      <c r="L2043" s="5">
        <v>1E-3</v>
      </c>
      <c r="M2043" s="5">
        <v>620450.78899999999</v>
      </c>
      <c r="N2043" s="6">
        <v>5.9200000000000003E-2</v>
      </c>
      <c r="O2043" s="5">
        <v>32.435000000000002</v>
      </c>
      <c r="P2043" s="6">
        <v>9.2999999999999992E-3</v>
      </c>
      <c r="Q2043" s="5">
        <v>10440262.392000001</v>
      </c>
      <c r="R2043" s="1" t="s">
        <v>44</v>
      </c>
      <c r="T2043" s="1" t="s">
        <v>71</v>
      </c>
      <c r="V2043" s="1" t="s">
        <v>64</v>
      </c>
      <c r="Y2043" s="1" t="s">
        <v>247</v>
      </c>
      <c r="Z2043" s="1" t="str">
        <f t="shared" si="93"/>
        <v>8068 5A</v>
      </c>
      <c r="AA2043" s="3">
        <f>IF(INDEX('CAMD Facility Data 2023'!$AA$2:$AE$10000,MATCH(Z2043,'CAMD Facility Data 2023'!$AE$2:$AE$10000,0),1)&gt;0,INDEX('CAMD Facility Data 2023'!$AA$2:$AE$10000,MATCH(Z2043,'CAMD Facility Data 2023'!$AE$2:$AE$10000,0),1),"")</f>
        <v>38296</v>
      </c>
      <c r="AB2043" s="5">
        <f>IF(INDEX('CAMD Facility Data 2023'!$AC$2:$AE$10000,MATCH(Z2043,'CAMD Facility Data 2023'!$AE$2:$AE$10000,0),1)&gt;0,INDEX('CAMD Facility Data 2023'!$AC$2:$AE$10000,MATCH(Z2043,'CAMD Facility Data 2023'!$AE$2:$AE$10000,0),1),"")</f>
        <v>2530</v>
      </c>
      <c r="AC2043" s="1" t="str">
        <f>IF(INDEX('CAMD Facility Data 2023'!$AE$2:$AG$10000,MATCH(Z2043,'CAMD Facility Data 2023'!$AE$2:$AE$10000,0),3)&gt;0,INDEX('CAMD Facility Data 2023'!$AE$2:$AG$10000,MATCH(Z2043,'CAMD Facility Data 2023'!$AE$2:$AE$10000,0),3),"")</f>
        <v>Y</v>
      </c>
      <c r="AD2043" s="20">
        <f t="shared" si="94"/>
        <v>4.4038004057538278E-2</v>
      </c>
      <c r="AE2043" s="25">
        <f t="shared" si="95"/>
        <v>0.47107145270453193</v>
      </c>
    </row>
    <row r="2044" spans="1:31" x14ac:dyDescent="0.2">
      <c r="A2044" s="1" t="s">
        <v>234</v>
      </c>
      <c r="B2044" s="1" t="s">
        <v>4718</v>
      </c>
      <c r="C2044" s="1">
        <v>8068</v>
      </c>
      <c r="D2044" s="1" t="s">
        <v>957</v>
      </c>
      <c r="F2044" s="1">
        <v>2023</v>
      </c>
      <c r="G2044" s="5">
        <v>5754</v>
      </c>
      <c r="H2044" s="5">
        <v>5669.99</v>
      </c>
      <c r="I2044" s="5">
        <v>1464434.69</v>
      </c>
      <c r="K2044" s="5">
        <v>3.1349999999999998</v>
      </c>
      <c r="L2044" s="5">
        <v>1E-3</v>
      </c>
      <c r="M2044" s="5">
        <v>620917.85100000002</v>
      </c>
      <c r="N2044" s="6">
        <v>5.8999999999999997E-2</v>
      </c>
      <c r="O2044" s="5">
        <v>32.406999999999996</v>
      </c>
      <c r="P2044" s="6">
        <v>8.8000000000000005E-3</v>
      </c>
      <c r="Q2044" s="5">
        <v>10448109.431</v>
      </c>
      <c r="R2044" s="1" t="s">
        <v>44</v>
      </c>
      <c r="T2044" s="1" t="s">
        <v>71</v>
      </c>
      <c r="V2044" s="1" t="s">
        <v>64</v>
      </c>
      <c r="Y2044" s="1" t="s">
        <v>247</v>
      </c>
      <c r="Z2044" s="1" t="str">
        <f t="shared" si="93"/>
        <v>8068 5B</v>
      </c>
      <c r="AA2044" s="3">
        <f>IF(INDEX('CAMD Facility Data 2023'!$AA$2:$AE$10000,MATCH(Z2044,'CAMD Facility Data 2023'!$AE$2:$AE$10000,0),1)&gt;0,INDEX('CAMD Facility Data 2023'!$AA$2:$AE$10000,MATCH(Z2044,'CAMD Facility Data 2023'!$AE$2:$AE$10000,0),1),"")</f>
        <v>38292</v>
      </c>
      <c r="AB2044" s="5">
        <f>IF(INDEX('CAMD Facility Data 2023'!$AC$2:$AE$10000,MATCH(Z2044,'CAMD Facility Data 2023'!$AE$2:$AE$10000,0),1)&gt;0,INDEX('CAMD Facility Data 2023'!$AC$2:$AE$10000,MATCH(Z2044,'CAMD Facility Data 2023'!$AE$2:$AE$10000,0),1),"")</f>
        <v>2530</v>
      </c>
      <c r="AC2044" s="1" t="str">
        <f>IF(INDEX('CAMD Facility Data 2023'!$AE$2:$AG$10000,MATCH(Z2044,'CAMD Facility Data 2023'!$AE$2:$AE$10000,0),3)&gt;0,INDEX('CAMD Facility Data 2023'!$AE$2:$AG$10000,MATCH(Z2044,'CAMD Facility Data 2023'!$AE$2:$AE$10000,0),3),"")</f>
        <v>Y</v>
      </c>
      <c r="AD2044" s="20">
        <f t="shared" si="94"/>
        <v>4.4258716651952565E-2</v>
      </c>
      <c r="AE2044" s="25">
        <f t="shared" si="95"/>
        <v>0.4714255162253867</v>
      </c>
    </row>
    <row r="2045" spans="1:31" x14ac:dyDescent="0.2">
      <c r="A2045" s="1" t="s">
        <v>234</v>
      </c>
      <c r="B2045" s="1" t="s">
        <v>4718</v>
      </c>
      <c r="C2045" s="1">
        <v>8068</v>
      </c>
      <c r="D2045" s="1" t="s">
        <v>70</v>
      </c>
      <c r="F2045" s="1">
        <v>2023</v>
      </c>
      <c r="G2045" s="5">
        <v>7793</v>
      </c>
      <c r="H2045" s="5">
        <v>7742.95</v>
      </c>
      <c r="I2045" s="5">
        <v>1878975.36</v>
      </c>
      <c r="K2045" s="5">
        <v>4.0780000000000003</v>
      </c>
      <c r="L2045" s="5">
        <v>1E-3</v>
      </c>
      <c r="M2045" s="5">
        <v>807775.83700000006</v>
      </c>
      <c r="N2045" s="6">
        <v>5.8999999999999997E-2</v>
      </c>
      <c r="O2045" s="5">
        <v>39.978999999999999</v>
      </c>
      <c r="P2045" s="6">
        <v>7.4999999999999997E-3</v>
      </c>
      <c r="Q2045" s="5">
        <v>13592297.434</v>
      </c>
      <c r="R2045" s="1" t="s">
        <v>44</v>
      </c>
      <c r="T2045" s="1" t="s">
        <v>71</v>
      </c>
      <c r="V2045" s="1" t="s">
        <v>64</v>
      </c>
      <c r="Y2045" s="1" t="s">
        <v>247</v>
      </c>
      <c r="Z2045" s="1" t="str">
        <f t="shared" si="93"/>
        <v>8068 6A</v>
      </c>
      <c r="AA2045" s="3">
        <f>IF(INDEX('CAMD Facility Data 2023'!$AA$2:$AE$10000,MATCH(Z2045,'CAMD Facility Data 2023'!$AE$2:$AE$10000,0),1)&gt;0,INDEX('CAMD Facility Data 2023'!$AA$2:$AE$10000,MATCH(Z2045,'CAMD Facility Data 2023'!$AE$2:$AE$10000,0),1),"")</f>
        <v>38648</v>
      </c>
      <c r="AB2045" s="5">
        <f>IF(INDEX('CAMD Facility Data 2023'!$AC$2:$AE$10000,MATCH(Z2045,'CAMD Facility Data 2023'!$AE$2:$AE$10000,0),1)&gt;0,INDEX('CAMD Facility Data 2023'!$AC$2:$AE$10000,MATCH(Z2045,'CAMD Facility Data 2023'!$AE$2:$AE$10000,0),1),"")</f>
        <v>2300</v>
      </c>
      <c r="AC2045" s="1" t="str">
        <f>IF(INDEX('CAMD Facility Data 2023'!$AE$2:$AG$10000,MATCH(Z2045,'CAMD Facility Data 2023'!$AE$2:$AE$10000,0),3)&gt;0,INDEX('CAMD Facility Data 2023'!$AE$2:$AG$10000,MATCH(Z2045,'CAMD Facility Data 2023'!$AE$2:$AE$10000,0),3),"")</f>
        <v>Y</v>
      </c>
      <c r="AD2045" s="20">
        <f t="shared" si="94"/>
        <v>4.2554043923173107E-2</v>
      </c>
      <c r="AE2045" s="25">
        <f t="shared" si="95"/>
        <v>0.67462266398649995</v>
      </c>
    </row>
    <row r="2046" spans="1:31" x14ac:dyDescent="0.2">
      <c r="A2046" s="1" t="s">
        <v>3076</v>
      </c>
      <c r="B2046" s="1" t="s">
        <v>4722</v>
      </c>
      <c r="C2046" s="1">
        <v>8069</v>
      </c>
      <c r="D2046" s="1">
        <v>1</v>
      </c>
      <c r="F2046" s="1">
        <v>2023</v>
      </c>
      <c r="G2046" s="5">
        <v>8699</v>
      </c>
      <c r="H2046" s="5">
        <v>8695.91</v>
      </c>
      <c r="I2046" s="5">
        <v>2068629.27</v>
      </c>
      <c r="K2046" s="5">
        <v>529.33100000000002</v>
      </c>
      <c r="L2046" s="5">
        <v>3.9300000000000002E-2</v>
      </c>
      <c r="M2046" s="5">
        <v>2174137.125</v>
      </c>
      <c r="N2046" s="6">
        <v>0.10299999999999999</v>
      </c>
      <c r="O2046" s="5">
        <v>2046.6590000000001</v>
      </c>
      <c r="P2046" s="6">
        <v>0.1978</v>
      </c>
      <c r="Q2046" s="5">
        <v>21190399.164999999</v>
      </c>
      <c r="R2046" s="1" t="s">
        <v>55</v>
      </c>
      <c r="T2046" s="1" t="s">
        <v>43</v>
      </c>
      <c r="U2046" s="1" t="s">
        <v>241</v>
      </c>
      <c r="V2046" s="1" t="s">
        <v>213</v>
      </c>
      <c r="W2046" s="1" t="s">
        <v>232</v>
      </c>
      <c r="Y2046" s="1" t="s">
        <v>236</v>
      </c>
      <c r="Z2046" s="1" t="str">
        <f t="shared" si="93"/>
        <v>8069 1</v>
      </c>
      <c r="AA2046" s="3">
        <f>IF(INDEX('CAMD Facility Data 2023'!$AA$2:$AE$10000,MATCH(Z2046,'CAMD Facility Data 2023'!$AE$2:$AE$10000,0),1)&gt;0,INDEX('CAMD Facility Data 2023'!$AA$2:$AE$10000,MATCH(Z2046,'CAMD Facility Data 2023'!$AE$2:$AE$10000,0),1),"")</f>
        <v>28277</v>
      </c>
      <c r="AB2046" s="5">
        <f>IF(INDEX('CAMD Facility Data 2023'!$AC$2:$AE$10000,MATCH(Z2046,'CAMD Facility Data 2023'!$AE$2:$AE$10000,0),1)&gt;0,INDEX('CAMD Facility Data 2023'!$AC$2:$AE$10000,MATCH(Z2046,'CAMD Facility Data 2023'!$AE$2:$AE$10000,0),1),"")</f>
        <v>5263</v>
      </c>
      <c r="AC2046" s="1" t="str">
        <f>IF(INDEX('CAMD Facility Data 2023'!$AE$2:$AG$10000,MATCH(Z2046,'CAMD Facility Data 2023'!$AE$2:$AE$10000,0),3)&gt;0,INDEX('CAMD Facility Data 2023'!$AE$2:$AG$10000,MATCH(Z2046,'CAMD Facility Data 2023'!$AE$2:$AE$10000,0),3),"")</f>
        <v/>
      </c>
      <c r="AD2046" s="20">
        <f t="shared" si="94"/>
        <v>1.9787586201949081</v>
      </c>
      <c r="AE2046" s="25">
        <f t="shared" si="95"/>
        <v>0.45962290299645059</v>
      </c>
    </row>
    <row r="2047" spans="1:31" x14ac:dyDescent="0.2">
      <c r="A2047" s="1" t="s">
        <v>3076</v>
      </c>
      <c r="B2047" s="1" t="s">
        <v>4722</v>
      </c>
      <c r="C2047" s="1">
        <v>8069</v>
      </c>
      <c r="D2047" s="1">
        <v>2</v>
      </c>
      <c r="F2047" s="1">
        <v>2023</v>
      </c>
      <c r="G2047" s="5">
        <v>7756</v>
      </c>
      <c r="H2047" s="5">
        <v>7742.4</v>
      </c>
      <c r="I2047" s="5">
        <v>1762146.62</v>
      </c>
      <c r="K2047" s="5">
        <v>527.80600000000004</v>
      </c>
      <c r="L2047" s="5">
        <v>4.9500000000000002E-2</v>
      </c>
      <c r="M2047" s="5">
        <v>1884163.9850000001</v>
      </c>
      <c r="N2047" s="6">
        <v>0.10299999999999999</v>
      </c>
      <c r="O2047" s="5">
        <v>1752.183</v>
      </c>
      <c r="P2047" s="6">
        <v>0.18190000000000001</v>
      </c>
      <c r="Q2047" s="5">
        <v>18364165.302999999</v>
      </c>
      <c r="R2047" s="1" t="s">
        <v>55</v>
      </c>
      <c r="T2047" s="1" t="s">
        <v>43</v>
      </c>
      <c r="U2047" s="1" t="s">
        <v>241</v>
      </c>
      <c r="V2047" s="1" t="s">
        <v>213</v>
      </c>
      <c r="W2047" s="1" t="s">
        <v>232</v>
      </c>
      <c r="Y2047" s="1" t="s">
        <v>236</v>
      </c>
      <c r="Z2047" s="1" t="str">
        <f t="shared" si="93"/>
        <v>8069 2</v>
      </c>
      <c r="AA2047" s="3">
        <f>IF(INDEX('CAMD Facility Data 2023'!$AA$2:$AE$10000,MATCH(Z2047,'CAMD Facility Data 2023'!$AE$2:$AE$10000,0),1)&gt;0,INDEX('CAMD Facility Data 2023'!$AA$2:$AE$10000,MATCH(Z2047,'CAMD Facility Data 2023'!$AE$2:$AE$10000,0),1),"")</f>
        <v>27227</v>
      </c>
      <c r="AB2047" s="5">
        <f>IF(INDEX('CAMD Facility Data 2023'!$AC$2:$AE$10000,MATCH(Z2047,'CAMD Facility Data 2023'!$AE$2:$AE$10000,0),1)&gt;0,INDEX('CAMD Facility Data 2023'!$AC$2:$AE$10000,MATCH(Z2047,'CAMD Facility Data 2023'!$AE$2:$AE$10000,0),1),"")</f>
        <v>5733</v>
      </c>
      <c r="AC2047" s="1" t="str">
        <f>IF(INDEX('CAMD Facility Data 2023'!$AE$2:$AG$10000,MATCH(Z2047,'CAMD Facility Data 2023'!$AE$2:$AE$10000,0),3)&gt;0,INDEX('CAMD Facility Data 2023'!$AE$2:$AG$10000,MATCH(Z2047,'CAMD Facility Data 2023'!$AE$2:$AE$10000,0),3),"")</f>
        <v/>
      </c>
      <c r="AD2047" s="20">
        <f t="shared" si="94"/>
        <v>1.9886914971922143</v>
      </c>
      <c r="AE2047" s="25">
        <f t="shared" si="95"/>
        <v>0.36566647517337342</v>
      </c>
    </row>
    <row r="2048" spans="1:31" x14ac:dyDescent="0.2">
      <c r="A2048" s="1" t="s">
        <v>2430</v>
      </c>
      <c r="B2048" s="1" t="s">
        <v>4725</v>
      </c>
      <c r="C2048" s="1">
        <v>8102</v>
      </c>
      <c r="D2048" s="1">
        <v>1</v>
      </c>
      <c r="F2048" s="1">
        <v>2023</v>
      </c>
      <c r="G2048" s="5">
        <v>7005</v>
      </c>
      <c r="H2048" s="5">
        <v>6997.48</v>
      </c>
      <c r="I2048" s="5">
        <v>7448995.9900000002</v>
      </c>
      <c r="K2048" s="5">
        <v>9877.7870000000003</v>
      </c>
      <c r="L2048" s="5">
        <v>0.30840000000000001</v>
      </c>
      <c r="M2048" s="5">
        <v>7528240.2570000002</v>
      </c>
      <c r="N2048" s="6">
        <v>0.10299999999999999</v>
      </c>
      <c r="O2048" s="5">
        <v>3398.886</v>
      </c>
      <c r="P2048" s="6">
        <v>9.3399999999999997E-2</v>
      </c>
      <c r="Q2048" s="5">
        <v>73374690.467999995</v>
      </c>
      <c r="R2048" s="1" t="s">
        <v>55</v>
      </c>
      <c r="T2048" s="1" t="s">
        <v>86</v>
      </c>
      <c r="U2048" s="1" t="s">
        <v>241</v>
      </c>
      <c r="V2048" s="1" t="s">
        <v>1633</v>
      </c>
      <c r="W2048" s="1" t="s">
        <v>58</v>
      </c>
      <c r="Y2048" s="1" t="s">
        <v>1005</v>
      </c>
      <c r="Z2048" s="1" t="str">
        <f t="shared" si="93"/>
        <v>8102 1</v>
      </c>
      <c r="AA2048" s="3">
        <f>IF(INDEX('CAMD Facility Data 2023'!$AA$2:$AE$10000,MATCH(Z2048,'CAMD Facility Data 2023'!$AE$2:$AE$10000,0),1)&gt;0,INDEX('CAMD Facility Data 2023'!$AA$2:$AE$10000,MATCH(Z2048,'CAMD Facility Data 2023'!$AE$2:$AE$10000,0),1),"")</f>
        <v>27322</v>
      </c>
      <c r="AB2048" s="5">
        <f>IF(INDEX('CAMD Facility Data 2023'!$AC$2:$AE$10000,MATCH(Z2048,'CAMD Facility Data 2023'!$AE$2:$AE$10000,0),1)&gt;0,INDEX('CAMD Facility Data 2023'!$AC$2:$AE$10000,MATCH(Z2048,'CAMD Facility Data 2023'!$AE$2:$AE$10000,0),1),"")</f>
        <v>15826</v>
      </c>
      <c r="AC2048" s="1" t="str">
        <f>IF(INDEX('CAMD Facility Data 2023'!$AE$2:$AG$10000,MATCH(Z2048,'CAMD Facility Data 2023'!$AE$2:$AE$10000,0),3)&gt;0,INDEX('CAMD Facility Data 2023'!$AE$2:$AG$10000,MATCH(Z2048,'CAMD Facility Data 2023'!$AE$2:$AE$10000,0),3),"")</f>
        <v>Y</v>
      </c>
      <c r="AD2048" s="20">
        <f t="shared" si="94"/>
        <v>0.91257560201747401</v>
      </c>
      <c r="AE2048" s="25">
        <f t="shared" si="95"/>
        <v>0.52926236685253503</v>
      </c>
    </row>
    <row r="2049" spans="1:31" x14ac:dyDescent="0.2">
      <c r="A2049" s="1" t="s">
        <v>2430</v>
      </c>
      <c r="B2049" s="1" t="s">
        <v>4725</v>
      </c>
      <c r="C2049" s="1">
        <v>8102</v>
      </c>
      <c r="D2049" s="1">
        <v>2</v>
      </c>
      <c r="F2049" s="1">
        <v>2023</v>
      </c>
      <c r="G2049" s="5">
        <v>6543</v>
      </c>
      <c r="H2049" s="5">
        <v>6529.95</v>
      </c>
      <c r="I2049" s="5">
        <v>7229636.0199999996</v>
      </c>
      <c r="K2049" s="5">
        <v>8554.0709999999999</v>
      </c>
      <c r="L2049" s="5">
        <v>0.24340000000000001</v>
      </c>
      <c r="M2049" s="5">
        <v>7173452.8849999998</v>
      </c>
      <c r="N2049" s="6">
        <v>0.10290000000000001</v>
      </c>
      <c r="O2049" s="5">
        <v>2863.9</v>
      </c>
      <c r="P2049" s="6">
        <v>8.4699999999999998E-2</v>
      </c>
      <c r="Q2049" s="5">
        <v>69916693.841000006</v>
      </c>
      <c r="R2049" s="1" t="s">
        <v>55</v>
      </c>
      <c r="T2049" s="1" t="s">
        <v>86</v>
      </c>
      <c r="U2049" s="1" t="s">
        <v>241</v>
      </c>
      <c r="V2049" s="1" t="s">
        <v>1633</v>
      </c>
      <c r="W2049" s="1" t="s">
        <v>58</v>
      </c>
      <c r="Y2049" s="1" t="s">
        <v>1005</v>
      </c>
      <c r="Z2049" s="1" t="str">
        <f t="shared" si="93"/>
        <v>8102 2</v>
      </c>
      <c r="AA2049" s="3">
        <f>IF(INDEX('CAMD Facility Data 2023'!$AA$2:$AE$10000,MATCH(Z2049,'CAMD Facility Data 2023'!$AE$2:$AE$10000,0),1)&gt;0,INDEX('CAMD Facility Data 2023'!$AA$2:$AE$10000,MATCH(Z2049,'CAMD Facility Data 2023'!$AE$2:$AE$10000,0),1),"")</f>
        <v>27581</v>
      </c>
      <c r="AB2049" s="5">
        <f>IF(INDEX('CAMD Facility Data 2023'!$AC$2:$AE$10000,MATCH(Z2049,'CAMD Facility Data 2023'!$AE$2:$AE$10000,0),1)&gt;0,INDEX('CAMD Facility Data 2023'!$AC$2:$AE$10000,MATCH(Z2049,'CAMD Facility Data 2023'!$AE$2:$AE$10000,0),1),"")</f>
        <v>16250</v>
      </c>
      <c r="AC2049" s="1" t="str">
        <f>IF(INDEX('CAMD Facility Data 2023'!$AE$2:$AG$10000,MATCH(Z2049,'CAMD Facility Data 2023'!$AE$2:$AE$10000,0),3)&gt;0,INDEX('CAMD Facility Data 2023'!$AE$2:$AG$10000,MATCH(Z2049,'CAMD Facility Data 2023'!$AE$2:$AE$10000,0),3),"")</f>
        <v>Y</v>
      </c>
      <c r="AD2049" s="20">
        <f t="shared" si="94"/>
        <v>0.79226671773719537</v>
      </c>
      <c r="AE2049" s="25">
        <f t="shared" si="95"/>
        <v>0.49116047657885498</v>
      </c>
    </row>
    <row r="2050" spans="1:31" x14ac:dyDescent="0.2">
      <c r="A2050" s="1" t="s">
        <v>516</v>
      </c>
      <c r="B2050" s="1" t="s">
        <v>4727</v>
      </c>
      <c r="C2050" s="1">
        <v>8219</v>
      </c>
      <c r="D2050" s="1">
        <v>1</v>
      </c>
      <c r="F2050" s="1">
        <v>2023</v>
      </c>
      <c r="G2050" s="5">
        <v>6934</v>
      </c>
      <c r="H2050" s="5">
        <v>6926.05</v>
      </c>
      <c r="I2050" s="5">
        <v>1178687.47</v>
      </c>
      <c r="K2050" s="5">
        <v>411.40699999999998</v>
      </c>
      <c r="L2050" s="5">
        <v>7.4800000000000005E-2</v>
      </c>
      <c r="M2050" s="5">
        <v>1162298.3899999999</v>
      </c>
      <c r="N2050" s="6">
        <v>0.1047</v>
      </c>
      <c r="O2050" s="5">
        <v>889.06500000000005</v>
      </c>
      <c r="P2050" s="6">
        <v>0.1583</v>
      </c>
      <c r="Q2050" s="5">
        <v>11085309.26</v>
      </c>
      <c r="R2050" s="1" t="s">
        <v>55</v>
      </c>
      <c r="S2050" s="1" t="s">
        <v>94</v>
      </c>
      <c r="T2050" s="1" t="s">
        <v>89</v>
      </c>
      <c r="U2050" s="1" t="s">
        <v>212</v>
      </c>
      <c r="V2050" s="1" t="s">
        <v>289</v>
      </c>
      <c r="W2050" s="1" t="s">
        <v>232</v>
      </c>
      <c r="X2050" s="1" t="s">
        <v>214</v>
      </c>
      <c r="Y2050" s="1" t="s">
        <v>236</v>
      </c>
      <c r="Z2050" s="1" t="str">
        <f t="shared" si="93"/>
        <v>8219 1</v>
      </c>
      <c r="AA2050" s="3">
        <f>IF(INDEX('CAMD Facility Data 2023'!$AA$2:$AE$10000,MATCH(Z2050,'CAMD Facility Data 2023'!$AE$2:$AE$10000,0),1)&gt;0,INDEX('CAMD Facility Data 2023'!$AA$2:$AE$10000,MATCH(Z2050,'CAMD Facility Data 2023'!$AE$2:$AE$10000,0),1),"")</f>
        <v>29315</v>
      </c>
      <c r="AB2050" s="5">
        <f>IF(INDEX('CAMD Facility Data 2023'!$AC$2:$AE$10000,MATCH(Z2050,'CAMD Facility Data 2023'!$AE$2:$AE$10000,0),1)&gt;0,INDEX('CAMD Facility Data 2023'!$AC$2:$AE$10000,MATCH(Z2050,'CAMD Facility Data 2023'!$AE$2:$AE$10000,0),1),"")</f>
        <v>2610</v>
      </c>
      <c r="AC2050" s="1" t="str">
        <f>IF(INDEX('CAMD Facility Data 2023'!$AE$2:$AG$10000,MATCH(Z2050,'CAMD Facility Data 2023'!$AE$2:$AE$10000,0),3)&gt;0,INDEX('CAMD Facility Data 2023'!$AE$2:$AG$10000,MATCH(Z2050,'CAMD Facility Data 2023'!$AE$2:$AE$10000,0),3),"")</f>
        <v/>
      </c>
      <c r="AD2050" s="20">
        <f t="shared" si="94"/>
        <v>1.5085678309620107</v>
      </c>
      <c r="AE2050" s="25">
        <f t="shared" si="95"/>
        <v>0.48484531132455083</v>
      </c>
    </row>
    <row r="2051" spans="1:31" x14ac:dyDescent="0.2">
      <c r="A2051" s="1" t="s">
        <v>516</v>
      </c>
      <c r="B2051" s="1" t="s">
        <v>4727</v>
      </c>
      <c r="C2051" s="1">
        <v>8219</v>
      </c>
      <c r="D2051" s="1">
        <v>2</v>
      </c>
      <c r="F2051" s="1">
        <v>2023</v>
      </c>
      <c r="G2051" s="5">
        <v>117</v>
      </c>
      <c r="H2051" s="5">
        <v>105.15</v>
      </c>
      <c r="I2051" s="5">
        <v>2112.96</v>
      </c>
      <c r="K2051" s="5">
        <v>8.9999999999999993E-3</v>
      </c>
      <c r="L2051" s="5">
        <v>1E-3</v>
      </c>
      <c r="M2051" s="5">
        <v>1708.336</v>
      </c>
      <c r="N2051" s="6">
        <v>5.8799999999999998E-2</v>
      </c>
      <c r="O2051" s="5">
        <v>0.46400000000000002</v>
      </c>
      <c r="P2051" s="6">
        <v>3.6600000000000001E-2</v>
      </c>
      <c r="Q2051" s="5">
        <v>28752.166000000001</v>
      </c>
      <c r="R2051" s="1" t="s">
        <v>44</v>
      </c>
      <c r="T2051" s="1" t="s">
        <v>93</v>
      </c>
      <c r="V2051" s="1" t="s">
        <v>140</v>
      </c>
      <c r="Y2051" s="1" t="s">
        <v>247</v>
      </c>
      <c r="Z2051" s="1" t="str">
        <f t="shared" ref="Z2051:Z2114" si="96">C2051&amp;" "&amp;D2051</f>
        <v>8219 2</v>
      </c>
      <c r="AA2051" s="3">
        <f>IF(INDEX('CAMD Facility Data 2023'!$AA$2:$AE$10000,MATCH(Z2051,'CAMD Facility Data 2023'!$AE$2:$AE$10000,0),1)&gt;0,INDEX('CAMD Facility Data 2023'!$AA$2:$AE$10000,MATCH(Z2051,'CAMD Facility Data 2023'!$AE$2:$AE$10000,0),1),"")</f>
        <v>36344</v>
      </c>
      <c r="AB2051" s="5">
        <f>IF(INDEX('CAMD Facility Data 2023'!$AC$2:$AE$10000,MATCH(Z2051,'CAMD Facility Data 2023'!$AE$2:$AE$10000,0),1)&gt;0,INDEX('CAMD Facility Data 2023'!$AC$2:$AE$10000,MATCH(Z2051,'CAMD Facility Data 2023'!$AE$2:$AE$10000,0),1),"")</f>
        <v>425</v>
      </c>
      <c r="AC2051" s="1" t="str">
        <f>IF(INDEX('CAMD Facility Data 2023'!$AE$2:$AG$10000,MATCH(Z2051,'CAMD Facility Data 2023'!$AE$2:$AE$10000,0),3)&gt;0,INDEX('CAMD Facility Data 2023'!$AE$2:$AG$10000,MATCH(Z2051,'CAMD Facility Data 2023'!$AE$2:$AE$10000,0),3),"")</f>
        <v/>
      </c>
      <c r="AD2051" s="20">
        <f t="shared" ref="AD2051:AD2114" si="97">IF(ISNUMBER(O2051*2000/I2051),O2051*2000/I2051,"")</f>
        <v>0.43919430561865819</v>
      </c>
      <c r="AE2051" s="25">
        <f t="shared" ref="AE2051:AE2114" si="98">Q2051/(AB2051*8760)</f>
        <v>7.7228487778673114E-3</v>
      </c>
    </row>
    <row r="2052" spans="1:31" x14ac:dyDescent="0.2">
      <c r="A2052" s="1" t="s">
        <v>516</v>
      </c>
      <c r="B2052" s="1" t="s">
        <v>4727</v>
      </c>
      <c r="C2052" s="1">
        <v>8219</v>
      </c>
      <c r="D2052" s="1">
        <v>3</v>
      </c>
      <c r="F2052" s="1">
        <v>2023</v>
      </c>
      <c r="G2052" s="5">
        <v>350</v>
      </c>
      <c r="H2052" s="5">
        <v>325.07</v>
      </c>
      <c r="I2052" s="5">
        <v>6593.81</v>
      </c>
      <c r="K2052" s="5">
        <v>2.7E-2</v>
      </c>
      <c r="L2052" s="5">
        <v>1E-3</v>
      </c>
      <c r="M2052" s="5">
        <v>5424.3729999999996</v>
      </c>
      <c r="N2052" s="6">
        <v>5.9299999999999999E-2</v>
      </c>
      <c r="O2052" s="5">
        <v>2.3290000000000002</v>
      </c>
      <c r="P2052" s="6">
        <v>5.4800000000000001E-2</v>
      </c>
      <c r="Q2052" s="5">
        <v>91263.038</v>
      </c>
      <c r="R2052" s="1" t="s">
        <v>44</v>
      </c>
      <c r="T2052" s="1" t="s">
        <v>93</v>
      </c>
      <c r="V2052" s="1" t="s">
        <v>140</v>
      </c>
      <c r="Y2052" s="1" t="s">
        <v>247</v>
      </c>
      <c r="Z2052" s="1" t="str">
        <f t="shared" si="96"/>
        <v>8219 3</v>
      </c>
      <c r="AA2052" s="3">
        <f>IF(INDEX('CAMD Facility Data 2023'!$AA$2:$AE$10000,MATCH(Z2052,'CAMD Facility Data 2023'!$AE$2:$AE$10000,0),1)&gt;0,INDEX('CAMD Facility Data 2023'!$AA$2:$AE$10000,MATCH(Z2052,'CAMD Facility Data 2023'!$AE$2:$AE$10000,0),1),"")</f>
        <v>36339</v>
      </c>
      <c r="AB2052" s="5">
        <f>IF(INDEX('CAMD Facility Data 2023'!$AC$2:$AE$10000,MATCH(Z2052,'CAMD Facility Data 2023'!$AE$2:$AE$10000,0),1)&gt;0,INDEX('CAMD Facility Data 2023'!$AC$2:$AE$10000,MATCH(Z2052,'CAMD Facility Data 2023'!$AE$2:$AE$10000,0),1),"")</f>
        <v>420</v>
      </c>
      <c r="AC2052" s="1" t="str">
        <f>IF(INDEX('CAMD Facility Data 2023'!$AE$2:$AG$10000,MATCH(Z2052,'CAMD Facility Data 2023'!$AE$2:$AE$10000,0),3)&gt;0,INDEX('CAMD Facility Data 2023'!$AE$2:$AG$10000,MATCH(Z2052,'CAMD Facility Data 2023'!$AE$2:$AE$10000,0),3),"")</f>
        <v/>
      </c>
      <c r="AD2052" s="20">
        <f t="shared" si="97"/>
        <v>0.70642011219613543</v>
      </c>
      <c r="AE2052" s="25">
        <f t="shared" si="98"/>
        <v>2.4805131006740595E-2</v>
      </c>
    </row>
    <row r="2053" spans="1:31" x14ac:dyDescent="0.2">
      <c r="A2053" s="1" t="s">
        <v>2411</v>
      </c>
      <c r="B2053" s="1" t="s">
        <v>4731</v>
      </c>
      <c r="C2053" s="1">
        <v>8222</v>
      </c>
      <c r="D2053" s="1" t="s">
        <v>866</v>
      </c>
      <c r="F2053" s="1">
        <v>2023</v>
      </c>
      <c r="G2053" s="5">
        <v>7977</v>
      </c>
      <c r="H2053" s="5">
        <v>7963.48</v>
      </c>
      <c r="I2053" s="5">
        <v>2750235.48</v>
      </c>
      <c r="K2053" s="5">
        <v>13752.532999999999</v>
      </c>
      <c r="L2053" s="5">
        <v>0.92610000000000003</v>
      </c>
      <c r="M2053" s="5">
        <v>3209506.0359999998</v>
      </c>
      <c r="N2053" s="6">
        <v>0.109</v>
      </c>
      <c r="O2053" s="5">
        <v>6463.7629999999999</v>
      </c>
      <c r="P2053" s="6">
        <v>0.43540000000000001</v>
      </c>
      <c r="Q2053" s="5">
        <v>29480154.127</v>
      </c>
      <c r="R2053" s="1" t="s">
        <v>55</v>
      </c>
      <c r="S2053" s="1" t="s">
        <v>94</v>
      </c>
      <c r="T2053" s="1" t="s">
        <v>606</v>
      </c>
      <c r="U2053" s="1" t="s">
        <v>212</v>
      </c>
      <c r="V2053" s="1" t="s">
        <v>220</v>
      </c>
      <c r="W2053" s="1" t="s">
        <v>232</v>
      </c>
      <c r="X2053" s="1" t="s">
        <v>214</v>
      </c>
      <c r="Y2053" s="1" t="s">
        <v>236</v>
      </c>
      <c r="Z2053" s="1" t="str">
        <f t="shared" si="96"/>
        <v>8222 B1</v>
      </c>
      <c r="AA2053" s="3">
        <f>IF(INDEX('CAMD Facility Data 2023'!$AA$2:$AE$10000,MATCH(Z2053,'CAMD Facility Data 2023'!$AE$2:$AE$10000,0),1)&gt;0,INDEX('CAMD Facility Data 2023'!$AA$2:$AE$10000,MATCH(Z2053,'CAMD Facility Data 2023'!$AE$2:$AE$10000,0),1),"")</f>
        <v>29707</v>
      </c>
      <c r="AB2053" s="5">
        <f>IF(INDEX('CAMD Facility Data 2023'!$AC$2:$AE$10000,MATCH(Z2053,'CAMD Facility Data 2023'!$AE$2:$AE$10000,0),1)&gt;0,INDEX('CAMD Facility Data 2023'!$AC$2:$AE$10000,MATCH(Z2053,'CAMD Facility Data 2023'!$AE$2:$AE$10000,0),1),"")</f>
        <v>5280</v>
      </c>
      <c r="AC2053" s="1" t="str">
        <f>IF(INDEX('CAMD Facility Data 2023'!$AE$2:$AG$10000,MATCH(Z2053,'CAMD Facility Data 2023'!$AE$2:$AE$10000,0),3)&gt;0,INDEX('CAMD Facility Data 2023'!$AE$2:$AG$10000,MATCH(Z2053,'CAMD Facility Data 2023'!$AE$2:$AE$10000,0),3),"")</f>
        <v/>
      </c>
      <c r="AD2053" s="20">
        <f t="shared" si="97"/>
        <v>4.7005160445388476</v>
      </c>
      <c r="AE2053" s="25">
        <f t="shared" si="98"/>
        <v>0.6373701511476062</v>
      </c>
    </row>
    <row r="2054" spans="1:31" x14ac:dyDescent="0.2">
      <c r="A2054" s="1" t="s">
        <v>234</v>
      </c>
      <c r="B2054" s="1" t="s">
        <v>4734</v>
      </c>
      <c r="C2054" s="1">
        <v>8223</v>
      </c>
      <c r="D2054" s="1">
        <v>1</v>
      </c>
      <c r="F2054" s="1">
        <v>2023</v>
      </c>
      <c r="G2054" s="5">
        <v>7727</v>
      </c>
      <c r="H2054" s="5">
        <v>7713.42</v>
      </c>
      <c r="I2054" s="5">
        <v>2239719.38</v>
      </c>
      <c r="K2054" s="5">
        <v>2385.5059999999999</v>
      </c>
      <c r="L2054" s="5">
        <v>0.22900000000000001</v>
      </c>
      <c r="M2054" s="5">
        <v>2170335.642</v>
      </c>
      <c r="N2054" s="6">
        <v>0.105</v>
      </c>
      <c r="O2054" s="5">
        <v>1719.9749999999999</v>
      </c>
      <c r="P2054" s="6">
        <v>0.16880000000000001</v>
      </c>
      <c r="Q2054" s="5">
        <v>20693532.789000001</v>
      </c>
      <c r="R2054" s="1" t="s">
        <v>55</v>
      </c>
      <c r="T2054" s="1" t="s">
        <v>43</v>
      </c>
      <c r="U2054" s="1" t="s">
        <v>212</v>
      </c>
      <c r="V2054" s="1" t="s">
        <v>1233</v>
      </c>
      <c r="W2054" s="1" t="s">
        <v>232</v>
      </c>
      <c r="Y2054" s="1" t="s">
        <v>236</v>
      </c>
      <c r="Z2054" s="1" t="str">
        <f t="shared" si="96"/>
        <v>8223 1</v>
      </c>
      <c r="AA2054" s="3">
        <f>IF(INDEX('CAMD Facility Data 2023'!$AA$2:$AE$10000,MATCH(Z2054,'CAMD Facility Data 2023'!$AE$2:$AE$10000,0),1)&gt;0,INDEX('CAMD Facility Data 2023'!$AA$2:$AE$10000,MATCH(Z2054,'CAMD Facility Data 2023'!$AE$2:$AE$10000,0),1),"")</f>
        <v>31199</v>
      </c>
      <c r="AB2054" s="5">
        <f>IF(INDEX('CAMD Facility Data 2023'!$AC$2:$AE$10000,MATCH(Z2054,'CAMD Facility Data 2023'!$AE$2:$AE$10000,0),1)&gt;0,INDEX('CAMD Facility Data 2023'!$AC$2:$AE$10000,MATCH(Z2054,'CAMD Facility Data 2023'!$AE$2:$AE$10000,0),1),"")</f>
        <v>4700</v>
      </c>
      <c r="AC2054" s="1" t="str">
        <f>IF(INDEX('CAMD Facility Data 2023'!$AE$2:$AG$10000,MATCH(Z2054,'CAMD Facility Data 2023'!$AE$2:$AE$10000,0),3)&gt;0,INDEX('CAMD Facility Data 2023'!$AE$2:$AG$10000,MATCH(Z2054,'CAMD Facility Data 2023'!$AE$2:$AE$10000,0),3),"")</f>
        <v/>
      </c>
      <c r="AD2054" s="20">
        <f t="shared" si="97"/>
        <v>1.5358843749434361</v>
      </c>
      <c r="AE2054" s="25">
        <f t="shared" si="98"/>
        <v>0.5026117941562227</v>
      </c>
    </row>
    <row r="2055" spans="1:31" x14ac:dyDescent="0.2">
      <c r="A2055" s="1" t="s">
        <v>234</v>
      </c>
      <c r="B2055" s="1" t="s">
        <v>4734</v>
      </c>
      <c r="C2055" s="1">
        <v>8223</v>
      </c>
      <c r="D2055" s="1">
        <v>2</v>
      </c>
      <c r="F2055" s="1">
        <v>2023</v>
      </c>
      <c r="G2055" s="5">
        <v>5533</v>
      </c>
      <c r="H2055" s="5">
        <v>5511.18</v>
      </c>
      <c r="I2055" s="5">
        <v>1489913.87</v>
      </c>
      <c r="K2055" s="5">
        <v>1741.5319999999999</v>
      </c>
      <c r="L2055" s="5">
        <v>0.25700000000000001</v>
      </c>
      <c r="M2055" s="5">
        <v>1447855.8430000001</v>
      </c>
      <c r="N2055" s="6">
        <v>0.1048</v>
      </c>
      <c r="O2055" s="5">
        <v>1053.183</v>
      </c>
      <c r="P2055" s="6">
        <v>0.1472</v>
      </c>
      <c r="Q2055" s="5">
        <v>13804882.300000001</v>
      </c>
      <c r="R2055" s="1" t="s">
        <v>55</v>
      </c>
      <c r="T2055" s="1" t="s">
        <v>43</v>
      </c>
      <c r="U2055" s="1" t="s">
        <v>212</v>
      </c>
      <c r="V2055" s="1" t="s">
        <v>1233</v>
      </c>
      <c r="W2055" s="1" t="s">
        <v>232</v>
      </c>
      <c r="Y2055" s="1" t="s">
        <v>236</v>
      </c>
      <c r="Z2055" s="1" t="str">
        <f t="shared" si="96"/>
        <v>8223 2</v>
      </c>
      <c r="AA2055" s="3">
        <f>IF(INDEX('CAMD Facility Data 2023'!$AA$2:$AE$10000,MATCH(Z2055,'CAMD Facility Data 2023'!$AE$2:$AE$10000,0),1)&gt;0,INDEX('CAMD Facility Data 2023'!$AA$2:$AE$10000,MATCH(Z2055,'CAMD Facility Data 2023'!$AE$2:$AE$10000,0),1),"")</f>
        <v>33025</v>
      </c>
      <c r="AB2055" s="5">
        <f>IF(INDEX('CAMD Facility Data 2023'!$AC$2:$AE$10000,MATCH(Z2055,'CAMD Facility Data 2023'!$AE$2:$AE$10000,0),1)&gt;0,INDEX('CAMD Facility Data 2023'!$AC$2:$AE$10000,MATCH(Z2055,'CAMD Facility Data 2023'!$AE$2:$AE$10000,0),1),"")</f>
        <v>4700</v>
      </c>
      <c r="AC2055" s="1" t="str">
        <f>IF(INDEX('CAMD Facility Data 2023'!$AE$2:$AG$10000,MATCH(Z2055,'CAMD Facility Data 2023'!$AE$2:$AE$10000,0),3)&gt;0,INDEX('CAMD Facility Data 2023'!$AE$2:$AG$10000,MATCH(Z2055,'CAMD Facility Data 2023'!$AE$2:$AE$10000,0),3),"")</f>
        <v/>
      </c>
      <c r="AD2055" s="20">
        <f t="shared" si="97"/>
        <v>1.4137501787267741</v>
      </c>
      <c r="AE2055" s="25">
        <f t="shared" si="98"/>
        <v>0.33529783105022831</v>
      </c>
    </row>
    <row r="2056" spans="1:31" x14ac:dyDescent="0.2">
      <c r="A2056" s="1" t="s">
        <v>234</v>
      </c>
      <c r="B2056" s="1" t="s">
        <v>4734</v>
      </c>
      <c r="C2056" s="1">
        <v>8223</v>
      </c>
      <c r="D2056" s="1">
        <v>4</v>
      </c>
      <c r="F2056" s="1">
        <v>2023</v>
      </c>
      <c r="G2056" s="5">
        <v>7025</v>
      </c>
      <c r="H2056" s="5">
        <v>7013.66</v>
      </c>
      <c r="I2056" s="5">
        <v>1802945.5</v>
      </c>
      <c r="K2056" s="5">
        <v>728.52099999999996</v>
      </c>
      <c r="L2056" s="5">
        <v>7.7700000000000005E-2</v>
      </c>
      <c r="M2056" s="5">
        <v>1865878.8559999999</v>
      </c>
      <c r="N2056" s="6">
        <v>0.1045</v>
      </c>
      <c r="O2056" s="5">
        <v>647.17499999999995</v>
      </c>
      <c r="P2056" s="6">
        <v>7.1499999999999994E-2</v>
      </c>
      <c r="Q2056" s="5">
        <v>17807984.614</v>
      </c>
      <c r="R2056" s="1" t="s">
        <v>55</v>
      </c>
      <c r="S2056" s="1" t="s">
        <v>94</v>
      </c>
      <c r="T2056" s="1" t="s">
        <v>89</v>
      </c>
      <c r="U2056" s="1" t="s">
        <v>212</v>
      </c>
      <c r="V2056" s="1" t="s">
        <v>639</v>
      </c>
      <c r="W2056" s="1" t="s">
        <v>232</v>
      </c>
      <c r="Y2056" s="1" t="s">
        <v>236</v>
      </c>
      <c r="Z2056" s="1" t="str">
        <f t="shared" si="96"/>
        <v>8223 4</v>
      </c>
      <c r="AA2056" s="3">
        <f>IF(INDEX('CAMD Facility Data 2023'!$AA$2:$AE$10000,MATCH(Z2056,'CAMD Facility Data 2023'!$AE$2:$AE$10000,0),1)&gt;0,INDEX('CAMD Facility Data 2023'!$AA$2:$AE$10000,MATCH(Z2056,'CAMD Facility Data 2023'!$AE$2:$AE$10000,0),1),"")</f>
        <v>40089</v>
      </c>
      <c r="AB2056" s="5">
        <f>IF(INDEX('CAMD Facility Data 2023'!$AC$2:$AE$10000,MATCH(Z2056,'CAMD Facility Data 2023'!$AE$2:$AE$10000,0),1)&gt;0,INDEX('CAMD Facility Data 2023'!$AC$2:$AE$10000,MATCH(Z2056,'CAMD Facility Data 2023'!$AE$2:$AE$10000,0),1),"")</f>
        <v>5040</v>
      </c>
      <c r="AC2056" s="1" t="str">
        <f>IF(INDEX('CAMD Facility Data 2023'!$AE$2:$AG$10000,MATCH(Z2056,'CAMD Facility Data 2023'!$AE$2:$AE$10000,0),3)&gt;0,INDEX('CAMD Facility Data 2023'!$AE$2:$AG$10000,MATCH(Z2056,'CAMD Facility Data 2023'!$AE$2:$AE$10000,0),3),"")</f>
        <v>Y</v>
      </c>
      <c r="AD2056" s="20">
        <f t="shared" si="97"/>
        <v>0.71790855574946666</v>
      </c>
      <c r="AE2056" s="25">
        <f t="shared" si="98"/>
        <v>0.40334820554287165</v>
      </c>
    </row>
    <row r="2057" spans="1:31" x14ac:dyDescent="0.2">
      <c r="A2057" s="1" t="s">
        <v>234</v>
      </c>
      <c r="B2057" s="1" t="s">
        <v>4734</v>
      </c>
      <c r="C2057" s="1">
        <v>8223</v>
      </c>
      <c r="D2057" s="1" t="s">
        <v>4739</v>
      </c>
      <c r="F2057" s="1">
        <v>2023</v>
      </c>
      <c r="G2057" s="5">
        <v>6701</v>
      </c>
      <c r="H2057" s="5">
        <v>6691.55</v>
      </c>
      <c r="I2057" s="5">
        <v>2175932.06</v>
      </c>
      <c r="K2057" s="5">
        <v>820.84400000000005</v>
      </c>
      <c r="L2057" s="5">
        <v>7.51E-2</v>
      </c>
      <c r="M2057" s="5">
        <v>2195922.1129999999</v>
      </c>
      <c r="N2057" s="6">
        <v>0.1046</v>
      </c>
      <c r="O2057" s="5">
        <v>805.2</v>
      </c>
      <c r="P2057" s="6">
        <v>7.4499999999999997E-2</v>
      </c>
      <c r="Q2057" s="5">
        <v>20948302.327</v>
      </c>
      <c r="R2057" s="1" t="s">
        <v>55</v>
      </c>
      <c r="S2057" s="1" t="s">
        <v>94</v>
      </c>
      <c r="T2057" s="1" t="s">
        <v>89</v>
      </c>
      <c r="U2057" s="1" t="s">
        <v>212</v>
      </c>
      <c r="V2057" s="1" t="s">
        <v>639</v>
      </c>
      <c r="W2057" s="1" t="s">
        <v>232</v>
      </c>
      <c r="Y2057" s="1" t="s">
        <v>236</v>
      </c>
      <c r="Z2057" s="1" t="str">
        <f t="shared" si="96"/>
        <v>8223 TS3</v>
      </c>
      <c r="AA2057" s="3">
        <f>IF(INDEX('CAMD Facility Data 2023'!$AA$2:$AE$10000,MATCH(Z2057,'CAMD Facility Data 2023'!$AE$2:$AE$10000,0),1)&gt;0,INDEX('CAMD Facility Data 2023'!$AA$2:$AE$10000,MATCH(Z2057,'CAMD Facility Data 2023'!$AE$2:$AE$10000,0),1),"")</f>
        <v>38870</v>
      </c>
      <c r="AB2057" s="5">
        <f>IF(INDEX('CAMD Facility Data 2023'!$AC$2:$AE$10000,MATCH(Z2057,'CAMD Facility Data 2023'!$AE$2:$AE$10000,0),1)&gt;0,INDEX('CAMD Facility Data 2023'!$AC$2:$AE$10000,MATCH(Z2057,'CAMD Facility Data 2023'!$AE$2:$AE$10000,0),1),"")</f>
        <v>5040</v>
      </c>
      <c r="AC2057" s="1" t="str">
        <f>IF(INDEX('CAMD Facility Data 2023'!$AE$2:$AG$10000,MATCH(Z2057,'CAMD Facility Data 2023'!$AE$2:$AE$10000,0),3)&gt;0,INDEX('CAMD Facility Data 2023'!$AE$2:$AG$10000,MATCH(Z2057,'CAMD Facility Data 2023'!$AE$2:$AE$10000,0),3),"")</f>
        <v>Y</v>
      </c>
      <c r="AD2057" s="20">
        <f t="shared" si="97"/>
        <v>0.74009663702459527</v>
      </c>
      <c r="AE2057" s="25">
        <f t="shared" si="98"/>
        <v>0.47447593514441544</v>
      </c>
    </row>
    <row r="2058" spans="1:31" x14ac:dyDescent="0.2">
      <c r="A2058" s="1" t="s">
        <v>1903</v>
      </c>
      <c r="B2058" s="1" t="s">
        <v>4742</v>
      </c>
      <c r="C2058" s="1">
        <v>8224</v>
      </c>
      <c r="D2058" s="1">
        <v>1</v>
      </c>
      <c r="F2058" s="1">
        <v>2023</v>
      </c>
      <c r="G2058" s="5">
        <v>7109</v>
      </c>
      <c r="H2058" s="5">
        <v>7087.93</v>
      </c>
      <c r="I2058" s="5">
        <v>536809.18999999994</v>
      </c>
      <c r="K2058" s="5">
        <v>2199.7890000000002</v>
      </c>
      <c r="L2058" s="5">
        <v>0.73740000000000006</v>
      </c>
      <c r="M2058" s="5">
        <v>614087.74399999995</v>
      </c>
      <c r="N2058" s="6">
        <v>0.105</v>
      </c>
      <c r="O2058" s="5">
        <v>751.44600000000003</v>
      </c>
      <c r="P2058" s="6">
        <v>0.25109999999999999</v>
      </c>
      <c r="Q2058" s="5">
        <v>5855153.8660000004</v>
      </c>
      <c r="R2058" s="1" t="s">
        <v>55</v>
      </c>
      <c r="T2058" s="1" t="s">
        <v>89</v>
      </c>
      <c r="V2058" s="1" t="s">
        <v>90</v>
      </c>
      <c r="W2058" s="1" t="s">
        <v>232</v>
      </c>
      <c r="Y2058" s="1" t="s">
        <v>236</v>
      </c>
      <c r="Z2058" s="1" t="str">
        <f t="shared" si="96"/>
        <v>8224 1</v>
      </c>
      <c r="AA2058" s="3">
        <f>IF(INDEX('CAMD Facility Data 2023'!$AA$2:$AE$10000,MATCH(Z2058,'CAMD Facility Data 2023'!$AE$2:$AE$10000,0),1)&gt;0,INDEX('CAMD Facility Data 2023'!$AA$2:$AE$10000,MATCH(Z2058,'CAMD Facility Data 2023'!$AE$2:$AE$10000,0),1),"")</f>
        <v>29931</v>
      </c>
      <c r="AB2058" s="5">
        <f>IF(INDEX('CAMD Facility Data 2023'!$AC$2:$AE$10000,MATCH(Z2058,'CAMD Facility Data 2023'!$AE$2:$AE$10000,0),1)&gt;0,INDEX('CAMD Facility Data 2023'!$AC$2:$AE$10000,MATCH(Z2058,'CAMD Facility Data 2023'!$AE$2:$AE$10000,0),1),"")</f>
        <v>2750</v>
      </c>
      <c r="AC2058" s="1" t="str">
        <f>IF(INDEX('CAMD Facility Data 2023'!$AE$2:$AG$10000,MATCH(Z2058,'CAMD Facility Data 2023'!$AE$2:$AE$10000,0),3)&gt;0,INDEX('CAMD Facility Data 2023'!$AE$2:$AG$10000,MATCH(Z2058,'CAMD Facility Data 2023'!$AE$2:$AE$10000,0),3),"")</f>
        <v/>
      </c>
      <c r="AD2058" s="20">
        <f t="shared" si="97"/>
        <v>2.7996763617254765</v>
      </c>
      <c r="AE2058" s="25">
        <f t="shared" si="98"/>
        <v>0.24305329456205896</v>
      </c>
    </row>
    <row r="2059" spans="1:31" x14ac:dyDescent="0.2">
      <c r="A2059" s="1" t="s">
        <v>1903</v>
      </c>
      <c r="B2059" s="1" t="s">
        <v>4742</v>
      </c>
      <c r="C2059" s="1">
        <v>8224</v>
      </c>
      <c r="D2059" s="1">
        <v>2</v>
      </c>
      <c r="F2059" s="1">
        <v>2023</v>
      </c>
      <c r="G2059" s="5">
        <v>5750</v>
      </c>
      <c r="H2059" s="5">
        <v>5728.43</v>
      </c>
      <c r="I2059" s="5">
        <v>670475.93999999994</v>
      </c>
      <c r="K2059" s="5">
        <v>493.84</v>
      </c>
      <c r="L2059" s="5">
        <v>0.1341</v>
      </c>
      <c r="M2059" s="5">
        <v>735880.57499999995</v>
      </c>
      <c r="N2059" s="6">
        <v>0.105</v>
      </c>
      <c r="O2059" s="5">
        <v>932.37599999999998</v>
      </c>
      <c r="P2059" s="6">
        <v>0.2611</v>
      </c>
      <c r="Q2059" s="5">
        <v>7016428.9840000002</v>
      </c>
      <c r="R2059" s="1" t="s">
        <v>55</v>
      </c>
      <c r="T2059" s="1" t="s">
        <v>89</v>
      </c>
      <c r="U2059" s="1" t="s">
        <v>212</v>
      </c>
      <c r="V2059" s="1" t="s">
        <v>90</v>
      </c>
      <c r="W2059" s="1" t="s">
        <v>232</v>
      </c>
      <c r="Y2059" s="1" t="s">
        <v>236</v>
      </c>
      <c r="Z2059" s="1" t="str">
        <f t="shared" si="96"/>
        <v>8224 2</v>
      </c>
      <c r="AA2059" s="3">
        <f>IF(INDEX('CAMD Facility Data 2023'!$AA$2:$AE$10000,MATCH(Z2059,'CAMD Facility Data 2023'!$AE$2:$AE$10000,0),1)&gt;0,INDEX('CAMD Facility Data 2023'!$AA$2:$AE$10000,MATCH(Z2059,'CAMD Facility Data 2023'!$AE$2:$AE$10000,0),1),"")</f>
        <v>31188</v>
      </c>
      <c r="AB2059" s="5">
        <f>IF(INDEX('CAMD Facility Data 2023'!$AC$2:$AE$10000,MATCH(Z2059,'CAMD Facility Data 2023'!$AE$2:$AE$10000,0),1)&gt;0,INDEX('CAMD Facility Data 2023'!$AC$2:$AE$10000,MATCH(Z2059,'CAMD Facility Data 2023'!$AE$2:$AE$10000,0),1),"")</f>
        <v>3050</v>
      </c>
      <c r="AC2059" s="1" t="str">
        <f>IF(INDEX('CAMD Facility Data 2023'!$AE$2:$AG$10000,MATCH(Z2059,'CAMD Facility Data 2023'!$AE$2:$AE$10000,0),3)&gt;0,INDEX('CAMD Facility Data 2023'!$AE$2:$AG$10000,MATCH(Z2059,'CAMD Facility Data 2023'!$AE$2:$AE$10000,0),3),"")</f>
        <v/>
      </c>
      <c r="AD2059" s="20">
        <f t="shared" si="97"/>
        <v>2.7812362662857075</v>
      </c>
      <c r="AE2059" s="25">
        <f t="shared" si="98"/>
        <v>0.26261056156897972</v>
      </c>
    </row>
    <row r="2060" spans="1:31" x14ac:dyDescent="0.2">
      <c r="A2060" s="1" t="s">
        <v>2089</v>
      </c>
      <c r="B2060" s="1" t="s">
        <v>4748</v>
      </c>
      <c r="C2060" s="1">
        <v>8906</v>
      </c>
      <c r="D2060" s="1">
        <v>20</v>
      </c>
      <c r="F2060" s="1">
        <v>2023</v>
      </c>
      <c r="G2060" s="5">
        <v>294</v>
      </c>
      <c r="H2060" s="5">
        <v>274.95999999999998</v>
      </c>
      <c r="I2060" s="5">
        <v>13035.08</v>
      </c>
      <c r="K2060" s="5">
        <v>5.3999999999999999E-2</v>
      </c>
      <c r="L2060" s="5">
        <v>1E-3</v>
      </c>
      <c r="M2060" s="5">
        <v>10724.985000000001</v>
      </c>
      <c r="N2060" s="6">
        <v>5.9400000000000001E-2</v>
      </c>
      <c r="O2060" s="5">
        <v>6.2549999999999999</v>
      </c>
      <c r="P2060" s="6">
        <v>6.0400000000000002E-2</v>
      </c>
      <c r="Q2060" s="5">
        <v>180476.07500000001</v>
      </c>
      <c r="R2060" s="1" t="s">
        <v>44</v>
      </c>
      <c r="T2060" s="1" t="s">
        <v>89</v>
      </c>
      <c r="Y2060" s="1" t="s">
        <v>1515</v>
      </c>
      <c r="Z2060" s="1" t="str">
        <f t="shared" si="96"/>
        <v>8906 20</v>
      </c>
      <c r="AA2060" s="3">
        <f>IF(INDEX('CAMD Facility Data 2023'!$AA$2:$AE$10000,MATCH(Z2060,'CAMD Facility Data 2023'!$AE$2:$AE$10000,0),1)&gt;0,INDEX('CAMD Facility Data 2023'!$AA$2:$AE$10000,MATCH(Z2060,'CAMD Facility Data 2023'!$AE$2:$AE$10000,0),1),"")</f>
        <v>19360</v>
      </c>
      <c r="AB2060" s="5">
        <f>IF(INDEX('CAMD Facility Data 2023'!$AC$2:$AE$10000,MATCH(Z2060,'CAMD Facility Data 2023'!$AE$2:$AE$10000,0),1)&gt;0,INDEX('CAMD Facility Data 2023'!$AC$2:$AE$10000,MATCH(Z2060,'CAMD Facility Data 2023'!$AE$2:$AE$10000,0),1),"")</f>
        <v>2300</v>
      </c>
      <c r="AC2060" s="1" t="str">
        <f>IF(INDEX('CAMD Facility Data 2023'!$AE$2:$AG$10000,MATCH(Z2060,'CAMD Facility Data 2023'!$AE$2:$AE$10000,0),3)&gt;0,INDEX('CAMD Facility Data 2023'!$AE$2:$AG$10000,MATCH(Z2060,'CAMD Facility Data 2023'!$AE$2:$AE$10000,0),3),"")</f>
        <v/>
      </c>
      <c r="AD2060" s="20">
        <f t="shared" si="97"/>
        <v>0.95971793038477704</v>
      </c>
      <c r="AE2060" s="25">
        <f t="shared" si="98"/>
        <v>8.9575181159420297E-3</v>
      </c>
    </row>
    <row r="2061" spans="1:31" x14ac:dyDescent="0.2">
      <c r="A2061" s="1" t="s">
        <v>2089</v>
      </c>
      <c r="B2061" s="1" t="s">
        <v>4748</v>
      </c>
      <c r="C2061" s="1">
        <v>8906</v>
      </c>
      <c r="D2061" s="1" t="s">
        <v>4750</v>
      </c>
      <c r="E2061" s="1" t="s">
        <v>4751</v>
      </c>
      <c r="F2061" s="1">
        <v>2023</v>
      </c>
      <c r="G2061" s="5">
        <v>3283</v>
      </c>
      <c r="H2061" s="5">
        <v>3262.57</v>
      </c>
      <c r="I2061" s="5">
        <v>377629.85</v>
      </c>
      <c r="K2061" s="5">
        <v>0.68799999999999994</v>
      </c>
      <c r="L2061" s="5">
        <v>1E-3</v>
      </c>
      <c r="M2061" s="5">
        <v>128537.19899999999</v>
      </c>
      <c r="N2061" s="6">
        <v>5.9499999999999997E-2</v>
      </c>
      <c r="O2061" s="5">
        <v>52.381</v>
      </c>
      <c r="P2061" s="6">
        <v>4.3299999999999998E-2</v>
      </c>
      <c r="Q2061" s="5">
        <v>2122308.128</v>
      </c>
      <c r="R2061" s="1" t="s">
        <v>44</v>
      </c>
      <c r="S2061" s="1" t="s">
        <v>94</v>
      </c>
      <c r="T2061" s="1" t="s">
        <v>89</v>
      </c>
      <c r="Y2061" s="1" t="s">
        <v>1515</v>
      </c>
      <c r="Z2061" s="1" t="str">
        <f t="shared" si="96"/>
        <v>8906 31RH</v>
      </c>
      <c r="AA2061" s="3">
        <f>IF(INDEX('CAMD Facility Data 2023'!$AA$2:$AE$10000,MATCH(Z2061,'CAMD Facility Data 2023'!$AE$2:$AE$10000,0),1)&gt;0,INDEX('CAMD Facility Data 2023'!$AA$2:$AE$10000,MATCH(Z2061,'CAMD Facility Data 2023'!$AE$2:$AE$10000,0),1),"")</f>
        <v>21429</v>
      </c>
      <c r="AB2061" s="5">
        <f>IF(INDEX('CAMD Facility Data 2023'!$AC$2:$AE$10000,MATCH(Z2061,'CAMD Facility Data 2023'!$AE$2:$AE$10000,0),1)&gt;0,INDEX('CAMD Facility Data 2023'!$AC$2:$AE$10000,MATCH(Z2061,'CAMD Facility Data 2023'!$AE$2:$AE$10000,0),1),"")</f>
        <v>3984</v>
      </c>
      <c r="AC2061" s="1" t="str">
        <f>IF(INDEX('CAMD Facility Data 2023'!$AE$2:$AG$10000,MATCH(Z2061,'CAMD Facility Data 2023'!$AE$2:$AE$10000,0),3)&gt;0,INDEX('CAMD Facility Data 2023'!$AE$2:$AG$10000,MATCH(Z2061,'CAMD Facility Data 2023'!$AE$2:$AE$10000,0),3),"")</f>
        <v/>
      </c>
      <c r="AD2061" s="20">
        <f t="shared" si="97"/>
        <v>0.27741980672343569</v>
      </c>
      <c r="AE2061" s="25">
        <f t="shared" si="98"/>
        <v>6.0811399937650147E-2</v>
      </c>
    </row>
    <row r="2062" spans="1:31" x14ac:dyDescent="0.2">
      <c r="A2062" s="1" t="s">
        <v>2089</v>
      </c>
      <c r="B2062" s="1" t="s">
        <v>4748</v>
      </c>
      <c r="C2062" s="1">
        <v>8906</v>
      </c>
      <c r="D2062" s="1" t="s">
        <v>4753</v>
      </c>
      <c r="E2062" s="1" t="s">
        <v>4751</v>
      </c>
      <c r="F2062" s="1">
        <v>2023</v>
      </c>
      <c r="G2062" s="5">
        <v>3282</v>
      </c>
      <c r="H2062" s="5">
        <v>3262.27</v>
      </c>
      <c r="I2062" s="5">
        <v>377599.15</v>
      </c>
      <c r="K2062" s="5">
        <v>0.66</v>
      </c>
      <c r="L2062" s="5">
        <v>1E-3</v>
      </c>
      <c r="M2062" s="5">
        <v>123102.003</v>
      </c>
      <c r="N2062" s="6">
        <v>5.9499999999999997E-2</v>
      </c>
      <c r="O2062" s="5">
        <v>51.210999999999999</v>
      </c>
      <c r="P2062" s="6">
        <v>4.53E-2</v>
      </c>
      <c r="Q2062" s="5">
        <v>2032043.088</v>
      </c>
      <c r="R2062" s="1" t="s">
        <v>44</v>
      </c>
      <c r="S2062" s="1" t="s">
        <v>94</v>
      </c>
      <c r="T2062" s="1" t="s">
        <v>89</v>
      </c>
      <c r="Y2062" s="1" t="s">
        <v>1515</v>
      </c>
      <c r="Z2062" s="1" t="str">
        <f t="shared" si="96"/>
        <v>8906 32SH</v>
      </c>
      <c r="AA2062" s="3">
        <f>IF(INDEX('CAMD Facility Data 2023'!$AA$2:$AE$10000,MATCH(Z2062,'CAMD Facility Data 2023'!$AE$2:$AE$10000,0),1)&gt;0,INDEX('CAMD Facility Data 2023'!$AA$2:$AE$10000,MATCH(Z2062,'CAMD Facility Data 2023'!$AE$2:$AE$10000,0),1),"")</f>
        <v>21429</v>
      </c>
      <c r="AB2062" s="5">
        <f>IF(INDEX('CAMD Facility Data 2023'!$AC$2:$AE$10000,MATCH(Z2062,'CAMD Facility Data 2023'!$AE$2:$AE$10000,0),1)&gt;0,INDEX('CAMD Facility Data 2023'!$AC$2:$AE$10000,MATCH(Z2062,'CAMD Facility Data 2023'!$AE$2:$AE$10000,0),1),"")</f>
        <v>3984</v>
      </c>
      <c r="AC2062" s="1" t="str">
        <f>IF(INDEX('CAMD Facility Data 2023'!$AE$2:$AG$10000,MATCH(Z2062,'CAMD Facility Data 2023'!$AE$2:$AE$10000,0),3)&gt;0,INDEX('CAMD Facility Data 2023'!$AE$2:$AG$10000,MATCH(Z2062,'CAMD Facility Data 2023'!$AE$2:$AE$10000,0),3),"")</f>
        <v/>
      </c>
      <c r="AD2062" s="20">
        <f t="shared" si="97"/>
        <v>0.2712453139791231</v>
      </c>
      <c r="AE2062" s="25">
        <f t="shared" si="98"/>
        <v>5.8224997249271056E-2</v>
      </c>
    </row>
    <row r="2063" spans="1:31" x14ac:dyDescent="0.2">
      <c r="A2063" s="1" t="s">
        <v>2089</v>
      </c>
      <c r="B2063" s="1" t="s">
        <v>4748</v>
      </c>
      <c r="C2063" s="1">
        <v>8906</v>
      </c>
      <c r="D2063" s="1" t="s">
        <v>4754</v>
      </c>
      <c r="E2063" s="1" t="s">
        <v>4755</v>
      </c>
      <c r="F2063" s="1">
        <v>2023</v>
      </c>
      <c r="G2063" s="5">
        <v>3067</v>
      </c>
      <c r="H2063" s="5">
        <v>3045.84</v>
      </c>
      <c r="I2063" s="5">
        <v>387555.82</v>
      </c>
      <c r="K2063" s="5">
        <v>0.80800000000000005</v>
      </c>
      <c r="L2063" s="5">
        <v>1.1000000000000001E-3</v>
      </c>
      <c r="M2063" s="5">
        <v>136650.883</v>
      </c>
      <c r="N2063" s="6">
        <v>6.08E-2</v>
      </c>
      <c r="O2063" s="5">
        <v>56.302999999999997</v>
      </c>
      <c r="P2063" s="6">
        <v>4.4200000000000003E-2</v>
      </c>
      <c r="Q2063" s="5">
        <v>2177062.1469999999</v>
      </c>
      <c r="R2063" s="1" t="s">
        <v>44</v>
      </c>
      <c r="S2063" s="1" t="s">
        <v>94</v>
      </c>
      <c r="T2063" s="1" t="s">
        <v>43</v>
      </c>
      <c r="Y2063" s="1" t="s">
        <v>1515</v>
      </c>
      <c r="Z2063" s="1" t="str">
        <f t="shared" si="96"/>
        <v>8906 51RH</v>
      </c>
      <c r="AA2063" s="3">
        <f>IF(INDEX('CAMD Facility Data 2023'!$AA$2:$AE$10000,MATCH(Z2063,'CAMD Facility Data 2023'!$AE$2:$AE$10000,0),1)&gt;0,INDEX('CAMD Facility Data 2023'!$AA$2:$AE$10000,MATCH(Z2063,'CAMD Facility Data 2023'!$AE$2:$AE$10000,0),1),"")</f>
        <v>22767</v>
      </c>
      <c r="AB2063" s="5">
        <f>IF(INDEX('CAMD Facility Data 2023'!$AC$2:$AE$10000,MATCH(Z2063,'CAMD Facility Data 2023'!$AE$2:$AE$10000,0),1)&gt;0,INDEX('CAMD Facility Data 2023'!$AC$2:$AE$10000,MATCH(Z2063,'CAMD Facility Data 2023'!$AE$2:$AE$10000,0),1),"")</f>
        <v>4094</v>
      </c>
      <c r="AC2063" s="1" t="str">
        <f>IF(INDEX('CAMD Facility Data 2023'!$AE$2:$AG$10000,MATCH(Z2063,'CAMD Facility Data 2023'!$AE$2:$AE$10000,0),3)&gt;0,INDEX('CAMD Facility Data 2023'!$AE$2:$AG$10000,MATCH(Z2063,'CAMD Facility Data 2023'!$AE$2:$AE$10000,0),3),"")</f>
        <v/>
      </c>
      <c r="AD2063" s="20">
        <f t="shared" si="97"/>
        <v>0.29055427422042068</v>
      </c>
      <c r="AE2063" s="25">
        <f t="shared" si="98"/>
        <v>6.0704219868478869E-2</v>
      </c>
    </row>
    <row r="2064" spans="1:31" x14ac:dyDescent="0.2">
      <c r="A2064" s="1" t="s">
        <v>2089</v>
      </c>
      <c r="B2064" s="1" t="s">
        <v>4748</v>
      </c>
      <c r="C2064" s="1">
        <v>8906</v>
      </c>
      <c r="D2064" s="1" t="s">
        <v>4757</v>
      </c>
      <c r="E2064" s="1" t="s">
        <v>4755</v>
      </c>
      <c r="F2064" s="1">
        <v>2023</v>
      </c>
      <c r="G2064" s="5">
        <v>3067</v>
      </c>
      <c r="H2064" s="5">
        <v>3045.74</v>
      </c>
      <c r="I2064" s="5">
        <v>387555.72</v>
      </c>
      <c r="K2064" s="5">
        <v>0.81</v>
      </c>
      <c r="L2064" s="5">
        <v>1.1000000000000001E-3</v>
      </c>
      <c r="M2064" s="5">
        <v>137551.57199999999</v>
      </c>
      <c r="N2064" s="6">
        <v>6.0699999999999997E-2</v>
      </c>
      <c r="O2064" s="5">
        <v>58.024999999999999</v>
      </c>
      <c r="P2064" s="6">
        <v>4.5499999999999999E-2</v>
      </c>
      <c r="Q2064" s="5">
        <v>2195439.75</v>
      </c>
      <c r="R2064" s="1" t="s">
        <v>44</v>
      </c>
      <c r="S2064" s="1" t="s">
        <v>94</v>
      </c>
      <c r="T2064" s="1" t="s">
        <v>43</v>
      </c>
      <c r="Y2064" s="1" t="s">
        <v>1515</v>
      </c>
      <c r="Z2064" s="1" t="str">
        <f t="shared" si="96"/>
        <v>8906 52SH</v>
      </c>
      <c r="AA2064" s="3">
        <f>IF(INDEX('CAMD Facility Data 2023'!$AA$2:$AE$10000,MATCH(Z2064,'CAMD Facility Data 2023'!$AE$2:$AE$10000,0),1)&gt;0,INDEX('CAMD Facility Data 2023'!$AA$2:$AE$10000,MATCH(Z2064,'CAMD Facility Data 2023'!$AE$2:$AE$10000,0),1),"")</f>
        <v>22767</v>
      </c>
      <c r="AB2064" s="5">
        <f>IF(INDEX('CAMD Facility Data 2023'!$AC$2:$AE$10000,MATCH(Z2064,'CAMD Facility Data 2023'!$AE$2:$AE$10000,0),1)&gt;0,INDEX('CAMD Facility Data 2023'!$AC$2:$AE$10000,MATCH(Z2064,'CAMD Facility Data 2023'!$AE$2:$AE$10000,0),1),"")</f>
        <v>4094</v>
      </c>
      <c r="AC2064" s="1" t="str">
        <f>IF(INDEX('CAMD Facility Data 2023'!$AE$2:$AG$10000,MATCH(Z2064,'CAMD Facility Data 2023'!$AE$2:$AE$10000,0),3)&gt;0,INDEX('CAMD Facility Data 2023'!$AE$2:$AG$10000,MATCH(Z2064,'CAMD Facility Data 2023'!$AE$2:$AE$10000,0),3),"")</f>
        <v/>
      </c>
      <c r="AD2064" s="20">
        <f t="shared" si="97"/>
        <v>0.29944081331066408</v>
      </c>
      <c r="AE2064" s="25">
        <f t="shared" si="98"/>
        <v>6.1216652669124884E-2</v>
      </c>
    </row>
    <row r="2065" spans="1:31" x14ac:dyDescent="0.2">
      <c r="A2065" s="1" t="s">
        <v>2089</v>
      </c>
      <c r="B2065" s="1" t="s">
        <v>4748</v>
      </c>
      <c r="C2065" s="1">
        <v>8906</v>
      </c>
      <c r="D2065" s="1" t="s">
        <v>2104</v>
      </c>
      <c r="F2065" s="1">
        <v>2023</v>
      </c>
      <c r="G2065" s="5">
        <v>102</v>
      </c>
      <c r="H2065" s="5">
        <v>74.760000000000005</v>
      </c>
      <c r="I2065" s="5">
        <v>866.93</v>
      </c>
      <c r="M2065" s="5">
        <v>794</v>
      </c>
      <c r="N2065" s="6">
        <v>5.8900000000000001E-2</v>
      </c>
      <c r="O2065" s="5">
        <v>2.4990000000000001</v>
      </c>
      <c r="P2065" s="6">
        <v>0.36919999999999997</v>
      </c>
      <c r="Q2065" s="5">
        <v>13467.2</v>
      </c>
      <c r="R2065" s="1" t="s">
        <v>44</v>
      </c>
      <c r="T2065" s="1" t="s">
        <v>93</v>
      </c>
      <c r="Y2065" s="1" t="s">
        <v>617</v>
      </c>
      <c r="Z2065" s="1" t="str">
        <f t="shared" si="96"/>
        <v>8906 CT0001</v>
      </c>
      <c r="AA2065" s="3">
        <f>IF(INDEX('CAMD Facility Data 2023'!$AA$2:$AE$10000,MATCH(Z2065,'CAMD Facility Data 2023'!$AE$2:$AE$10000,0),1)&gt;0,INDEX('CAMD Facility Data 2023'!$AA$2:$AE$10000,MATCH(Z2065,'CAMD Facility Data 2023'!$AE$2:$AE$10000,0),1),"")</f>
        <v>24654</v>
      </c>
      <c r="AB2065" s="5">
        <f>IF(INDEX('CAMD Facility Data 2023'!$AC$2:$AE$10000,MATCH(Z2065,'CAMD Facility Data 2023'!$AE$2:$AE$10000,0),1)&gt;0,INDEX('CAMD Facility Data 2023'!$AC$2:$AE$10000,MATCH(Z2065,'CAMD Facility Data 2023'!$AE$2:$AE$10000,0),1),"")</f>
        <v>243</v>
      </c>
      <c r="AC2065" s="1" t="str">
        <f>IF(INDEX('CAMD Facility Data 2023'!$AE$2:$AG$10000,MATCH(Z2065,'CAMD Facility Data 2023'!$AE$2:$AE$10000,0),3)&gt;0,INDEX('CAMD Facility Data 2023'!$AE$2:$AG$10000,MATCH(Z2065,'CAMD Facility Data 2023'!$AE$2:$AE$10000,0),3),"")</f>
        <v/>
      </c>
      <c r="AD2065" s="20">
        <f t="shared" si="97"/>
        <v>5.7651713517815741</v>
      </c>
      <c r="AE2065" s="25">
        <f t="shared" si="98"/>
        <v>6.3265497867222888E-3</v>
      </c>
    </row>
    <row r="2066" spans="1:31" x14ac:dyDescent="0.2">
      <c r="A2066" s="1" t="s">
        <v>660</v>
      </c>
      <c r="B2066" s="1" t="s">
        <v>4759</v>
      </c>
      <c r="C2066" s="1">
        <v>10030</v>
      </c>
      <c r="D2066" s="1">
        <v>2</v>
      </c>
      <c r="F2066" s="1">
        <v>2023</v>
      </c>
      <c r="G2066" s="5">
        <v>1614</v>
      </c>
      <c r="H2066" s="5">
        <v>1450.27</v>
      </c>
      <c r="I2066" s="5">
        <v>67263.520000000004</v>
      </c>
      <c r="K2066" s="5">
        <v>0.187</v>
      </c>
      <c r="L2066" s="5">
        <v>1E-3</v>
      </c>
      <c r="M2066" s="5">
        <v>36952.595000000001</v>
      </c>
      <c r="N2066" s="6">
        <v>5.9200000000000003E-2</v>
      </c>
      <c r="O2066" s="5">
        <v>2.0129999999999999</v>
      </c>
      <c r="P2066" s="6">
        <v>1.0200000000000001E-2</v>
      </c>
      <c r="Q2066" s="5">
        <v>621795.42799999996</v>
      </c>
      <c r="R2066" s="1" t="s">
        <v>44</v>
      </c>
      <c r="T2066" s="1" t="s">
        <v>71</v>
      </c>
      <c r="V2066" s="1" t="s">
        <v>611</v>
      </c>
      <c r="Y2066" s="1" t="s">
        <v>579</v>
      </c>
      <c r="Z2066" s="1" t="str">
        <f t="shared" si="96"/>
        <v>10030 2</v>
      </c>
      <c r="AA2066" s="3">
        <f>IF(INDEX('CAMD Facility Data 2023'!$AA$2:$AE$10000,MATCH(Z2066,'CAMD Facility Data 2023'!$AE$2:$AE$10000,0),1)&gt;0,INDEX('CAMD Facility Data 2023'!$AA$2:$AE$10000,MATCH(Z2066,'CAMD Facility Data 2023'!$AE$2:$AE$10000,0),1),"")</f>
        <v>37043</v>
      </c>
      <c r="AB2066" s="5">
        <f>IF(INDEX('CAMD Facility Data 2023'!$AC$2:$AE$10000,MATCH(Z2066,'CAMD Facility Data 2023'!$AE$2:$AE$10000,0),1)&gt;0,INDEX('CAMD Facility Data 2023'!$AC$2:$AE$10000,MATCH(Z2066,'CAMD Facility Data 2023'!$AE$2:$AE$10000,0),1),"")</f>
        <v>655</v>
      </c>
      <c r="AC2066" s="1" t="str">
        <f>IF(INDEX('CAMD Facility Data 2023'!$AE$2:$AG$10000,MATCH(Z2066,'CAMD Facility Data 2023'!$AE$2:$AE$10000,0),3)&gt;0,INDEX('CAMD Facility Data 2023'!$AE$2:$AG$10000,MATCH(Z2066,'CAMD Facility Data 2023'!$AE$2:$AE$10000,0),3),"")</f>
        <v>Y</v>
      </c>
      <c r="AD2066" s="20">
        <f t="shared" si="97"/>
        <v>5.9854137874437732E-2</v>
      </c>
      <c r="AE2066" s="25">
        <f t="shared" si="98"/>
        <v>0.10836826449161699</v>
      </c>
    </row>
    <row r="2067" spans="1:31" x14ac:dyDescent="0.2">
      <c r="A2067" s="1" t="s">
        <v>660</v>
      </c>
      <c r="B2067" s="1" t="s">
        <v>4759</v>
      </c>
      <c r="C2067" s="1">
        <v>10030</v>
      </c>
      <c r="D2067" s="1">
        <v>3</v>
      </c>
      <c r="F2067" s="1">
        <v>2023</v>
      </c>
      <c r="G2067" s="5">
        <v>854</v>
      </c>
      <c r="H2067" s="5">
        <v>725.71</v>
      </c>
      <c r="I2067" s="5">
        <v>25228.11</v>
      </c>
      <c r="K2067" s="5">
        <v>8.1000000000000003E-2</v>
      </c>
      <c r="L2067" s="5">
        <v>1E-3</v>
      </c>
      <c r="M2067" s="5">
        <v>16088.831</v>
      </c>
      <c r="N2067" s="6">
        <v>5.9499999999999997E-2</v>
      </c>
      <c r="O2067" s="5">
        <v>10.82</v>
      </c>
      <c r="P2067" s="6">
        <v>8.5999999999999993E-2</v>
      </c>
      <c r="Q2067" s="5">
        <v>270013.01899999997</v>
      </c>
      <c r="R2067" s="1" t="s">
        <v>44</v>
      </c>
      <c r="S2067" s="1" t="s">
        <v>94</v>
      </c>
      <c r="T2067" s="1" t="s">
        <v>93</v>
      </c>
      <c r="V2067" s="1" t="s">
        <v>95</v>
      </c>
      <c r="Y2067" s="1" t="s">
        <v>579</v>
      </c>
      <c r="Z2067" s="1" t="str">
        <f t="shared" si="96"/>
        <v>10030 3</v>
      </c>
      <c r="AA2067" s="3">
        <f>IF(INDEX('CAMD Facility Data 2023'!$AA$2:$AE$10000,MATCH(Z2067,'CAMD Facility Data 2023'!$AE$2:$AE$10000,0),1)&gt;0,INDEX('CAMD Facility Data 2023'!$AA$2:$AE$10000,MATCH(Z2067,'CAMD Facility Data 2023'!$AE$2:$AE$10000,0),1),"")</f>
        <v>37043</v>
      </c>
      <c r="AB2067" s="5">
        <f>IF(INDEX('CAMD Facility Data 2023'!$AC$2:$AE$10000,MATCH(Z2067,'CAMD Facility Data 2023'!$AE$2:$AE$10000,0),1)&gt;0,INDEX('CAMD Facility Data 2023'!$AC$2:$AE$10000,MATCH(Z2067,'CAMD Facility Data 2023'!$AE$2:$AE$10000,0),1),"")</f>
        <v>530</v>
      </c>
      <c r="AC2067" s="1" t="str">
        <f>IF(INDEX('CAMD Facility Data 2023'!$AE$2:$AG$10000,MATCH(Z2067,'CAMD Facility Data 2023'!$AE$2:$AE$10000,0),3)&gt;0,INDEX('CAMD Facility Data 2023'!$AE$2:$AG$10000,MATCH(Z2067,'CAMD Facility Data 2023'!$AE$2:$AE$10000,0),3),"")</f>
        <v/>
      </c>
      <c r="AD2067" s="20">
        <f t="shared" si="97"/>
        <v>0.8577733330003714</v>
      </c>
      <c r="AE2067" s="25">
        <f t="shared" si="98"/>
        <v>5.8157366029120354E-2</v>
      </c>
    </row>
    <row r="2068" spans="1:31" x14ac:dyDescent="0.2">
      <c r="A2068" s="1" t="s">
        <v>370</v>
      </c>
      <c r="B2068" s="1" t="s">
        <v>4764</v>
      </c>
      <c r="C2068" s="1">
        <v>10034</v>
      </c>
      <c r="D2068" s="1" t="s">
        <v>4765</v>
      </c>
      <c r="F2068" s="1">
        <v>2023</v>
      </c>
      <c r="G2068" s="5">
        <v>754</v>
      </c>
      <c r="H2068" s="5">
        <v>656.27</v>
      </c>
      <c r="I2068" s="5">
        <v>60564.72</v>
      </c>
      <c r="K2068" s="5">
        <v>0.153</v>
      </c>
      <c r="L2068" s="5">
        <v>1E-3</v>
      </c>
      <c r="M2068" s="5">
        <v>30267.118999999999</v>
      </c>
      <c r="N2068" s="6">
        <v>5.91E-2</v>
      </c>
      <c r="O2068" s="5">
        <v>7.9370000000000003</v>
      </c>
      <c r="P2068" s="6">
        <v>4.9299999999999997E-2</v>
      </c>
      <c r="Q2068" s="5">
        <v>509286.7</v>
      </c>
      <c r="R2068" s="1" t="s">
        <v>44</v>
      </c>
      <c r="T2068" s="1" t="s">
        <v>71</v>
      </c>
      <c r="V2068" s="1" t="s">
        <v>140</v>
      </c>
      <c r="Y2068" s="1" t="s">
        <v>247</v>
      </c>
      <c r="Z2068" s="1" t="str">
        <f t="shared" si="96"/>
        <v>10034 S-100</v>
      </c>
      <c r="AA2068" s="3">
        <f>IF(INDEX('CAMD Facility Data 2023'!$AA$2:$AE$10000,MATCH(Z2068,'CAMD Facility Data 2023'!$AE$2:$AE$10000,0),1)&gt;0,INDEX('CAMD Facility Data 2023'!$AA$2:$AE$10000,MATCH(Z2068,'CAMD Facility Data 2023'!$AE$2:$AE$10000,0),1),"")</f>
        <v>32021</v>
      </c>
      <c r="AB2068" s="5">
        <f>IF(INDEX('CAMD Facility Data 2023'!$AC$2:$AE$10000,MATCH(Z2068,'CAMD Facility Data 2023'!$AE$2:$AE$10000,0),1)&gt;0,INDEX('CAMD Facility Data 2023'!$AC$2:$AE$10000,MATCH(Z2068,'CAMD Facility Data 2023'!$AE$2:$AE$10000,0),1),"")</f>
        <v>1085</v>
      </c>
      <c r="AC2068" s="1" t="str">
        <f>IF(INDEX('CAMD Facility Data 2023'!$AE$2:$AG$10000,MATCH(Z2068,'CAMD Facility Data 2023'!$AE$2:$AE$10000,0),3)&gt;0,INDEX('CAMD Facility Data 2023'!$AE$2:$AG$10000,MATCH(Z2068,'CAMD Facility Data 2023'!$AE$2:$AE$10000,0),3),"")</f>
        <v/>
      </c>
      <c r="AD2068" s="20">
        <f t="shared" si="97"/>
        <v>0.26209978350432395</v>
      </c>
      <c r="AE2068" s="25">
        <f t="shared" si="98"/>
        <v>5.3583180775624434E-2</v>
      </c>
    </row>
    <row r="2069" spans="1:31" x14ac:dyDescent="0.2">
      <c r="A2069" s="1" t="s">
        <v>1663</v>
      </c>
      <c r="B2069" s="1" t="s">
        <v>4770</v>
      </c>
      <c r="C2069" s="1">
        <v>10075</v>
      </c>
      <c r="D2069" s="1">
        <v>1</v>
      </c>
      <c r="F2069" s="1">
        <v>2023</v>
      </c>
      <c r="G2069" s="5">
        <v>0</v>
      </c>
      <c r="H2069" s="5">
        <v>0</v>
      </c>
      <c r="R2069" s="1" t="s">
        <v>55</v>
      </c>
      <c r="T2069" s="1" t="s">
        <v>43</v>
      </c>
      <c r="U2069" s="1" t="s">
        <v>454</v>
      </c>
      <c r="V2069" s="1" t="s">
        <v>604</v>
      </c>
      <c r="W2069" s="1" t="s">
        <v>58</v>
      </c>
      <c r="Y2069" s="1" t="s">
        <v>205</v>
      </c>
      <c r="Z2069" s="1" t="str">
        <f t="shared" si="96"/>
        <v>10075 1</v>
      </c>
      <c r="AA2069" s="3">
        <f>IF(INDEX('CAMD Facility Data 2023'!$AA$2:$AE$10000,MATCH(Z2069,'CAMD Facility Data 2023'!$AE$2:$AE$10000,0),1)&gt;0,INDEX('CAMD Facility Data 2023'!$AA$2:$AE$10000,MATCH(Z2069,'CAMD Facility Data 2023'!$AE$2:$AE$10000,0),1),"")</f>
        <v>37386</v>
      </c>
      <c r="AB2069" s="5">
        <f>IF(INDEX('CAMD Facility Data 2023'!$AC$2:$AE$10000,MATCH(Z2069,'CAMD Facility Data 2023'!$AE$2:$AE$10000,0),1)&gt;0,INDEX('CAMD Facility Data 2023'!$AC$2:$AE$10000,MATCH(Z2069,'CAMD Facility Data 2023'!$AE$2:$AE$10000,0),1),"")</f>
        <v>900</v>
      </c>
      <c r="AC2069" s="1" t="str">
        <f>IF(INDEX('CAMD Facility Data 2023'!$AE$2:$AG$10000,MATCH(Z2069,'CAMD Facility Data 2023'!$AE$2:$AE$10000,0),3)&gt;0,INDEX('CAMD Facility Data 2023'!$AE$2:$AG$10000,MATCH(Z2069,'CAMD Facility Data 2023'!$AE$2:$AE$10000,0),3),"")</f>
        <v>Y</v>
      </c>
      <c r="AD2069" s="20" t="str">
        <f t="shared" si="97"/>
        <v/>
      </c>
      <c r="AE2069" s="25">
        <f t="shared" si="98"/>
        <v>0</v>
      </c>
    </row>
    <row r="2070" spans="1:31" x14ac:dyDescent="0.2">
      <c r="A2070" s="1" t="s">
        <v>1663</v>
      </c>
      <c r="B2070" s="1" t="s">
        <v>4770</v>
      </c>
      <c r="C2070" s="1">
        <v>10075</v>
      </c>
      <c r="D2070" s="1">
        <v>2</v>
      </c>
      <c r="F2070" s="1">
        <v>2023</v>
      </c>
      <c r="G2070" s="5">
        <v>0</v>
      </c>
      <c r="H2070" s="5">
        <v>0</v>
      </c>
      <c r="R2070" s="1" t="s">
        <v>55</v>
      </c>
      <c r="T2070" s="1" t="s">
        <v>43</v>
      </c>
      <c r="U2070" s="1" t="s">
        <v>454</v>
      </c>
      <c r="V2070" s="1" t="s">
        <v>604</v>
      </c>
      <c r="W2070" s="1" t="s">
        <v>58</v>
      </c>
      <c r="Y2070" s="1" t="s">
        <v>205</v>
      </c>
      <c r="Z2070" s="1" t="str">
        <f t="shared" si="96"/>
        <v>10075 2</v>
      </c>
      <c r="AA2070" s="3">
        <f>IF(INDEX('CAMD Facility Data 2023'!$AA$2:$AE$10000,MATCH(Z2070,'CAMD Facility Data 2023'!$AE$2:$AE$10000,0),1)&gt;0,INDEX('CAMD Facility Data 2023'!$AA$2:$AE$10000,MATCH(Z2070,'CAMD Facility Data 2023'!$AE$2:$AE$10000,0),1),"")</f>
        <v>37288</v>
      </c>
      <c r="AB2070" s="5">
        <f>IF(INDEX('CAMD Facility Data 2023'!$AC$2:$AE$10000,MATCH(Z2070,'CAMD Facility Data 2023'!$AE$2:$AE$10000,0),1)&gt;0,INDEX('CAMD Facility Data 2023'!$AC$2:$AE$10000,MATCH(Z2070,'CAMD Facility Data 2023'!$AE$2:$AE$10000,0),1),"")</f>
        <v>900</v>
      </c>
      <c r="AC2070" s="1" t="str">
        <f>IF(INDEX('CAMD Facility Data 2023'!$AE$2:$AG$10000,MATCH(Z2070,'CAMD Facility Data 2023'!$AE$2:$AE$10000,0),3)&gt;0,INDEX('CAMD Facility Data 2023'!$AE$2:$AG$10000,MATCH(Z2070,'CAMD Facility Data 2023'!$AE$2:$AE$10000,0),3),"")</f>
        <v>Y</v>
      </c>
      <c r="AD2070" s="20" t="str">
        <f t="shared" si="97"/>
        <v/>
      </c>
      <c r="AE2070" s="25">
        <f t="shared" si="98"/>
        <v>0</v>
      </c>
    </row>
    <row r="2071" spans="1:31" x14ac:dyDescent="0.2">
      <c r="A2071" s="1" t="s">
        <v>2584</v>
      </c>
      <c r="B2071" s="1" t="s">
        <v>4775</v>
      </c>
      <c r="C2071" s="1">
        <v>10113</v>
      </c>
      <c r="D2071" s="1">
        <v>31</v>
      </c>
      <c r="E2071" s="1" t="s">
        <v>1963</v>
      </c>
      <c r="F2071" s="1">
        <v>2023</v>
      </c>
      <c r="G2071" s="5">
        <v>8207</v>
      </c>
      <c r="H2071" s="5">
        <v>8198.41</v>
      </c>
      <c r="J2071" s="5">
        <v>3061278.22</v>
      </c>
      <c r="K2071" s="5">
        <v>374.988</v>
      </c>
      <c r="L2071" s="5">
        <v>0.1799</v>
      </c>
      <c r="M2071" s="5">
        <v>482612.89199999999</v>
      </c>
      <c r="N2071" s="6">
        <v>0.1157</v>
      </c>
      <c r="O2071" s="5">
        <v>128.619</v>
      </c>
      <c r="P2071" s="6">
        <v>6.1800000000000001E-2</v>
      </c>
      <c r="Q2071" s="5">
        <v>4171131.6460000002</v>
      </c>
      <c r="R2071" s="1" t="s">
        <v>2622</v>
      </c>
      <c r="T2071" s="1" t="s">
        <v>885</v>
      </c>
      <c r="U2071" s="1" t="s">
        <v>1069</v>
      </c>
      <c r="V2071" s="1" t="s">
        <v>220</v>
      </c>
      <c r="W2071" s="1" t="s">
        <v>232</v>
      </c>
      <c r="Y2071" s="1" t="s">
        <v>682</v>
      </c>
      <c r="Z2071" s="1" t="str">
        <f t="shared" si="96"/>
        <v>10113 31</v>
      </c>
      <c r="AA2071" s="3">
        <f>IF(INDEX('CAMD Facility Data 2023'!$AA$2:$AE$10000,MATCH(Z2071,'CAMD Facility Data 2023'!$AE$2:$AE$10000,0),1)&gt;0,INDEX('CAMD Facility Data 2023'!$AA$2:$AE$10000,MATCH(Z2071,'CAMD Facility Data 2023'!$AE$2:$AE$10000,0),1),"")</f>
        <v>32417</v>
      </c>
      <c r="AB2071" s="5">
        <f>IF(INDEX('CAMD Facility Data 2023'!$AC$2:$AE$10000,MATCH(Z2071,'CAMD Facility Data 2023'!$AE$2:$AE$10000,0),1)&gt;0,INDEX('CAMD Facility Data 2023'!$AC$2:$AE$10000,MATCH(Z2071,'CAMD Facility Data 2023'!$AE$2:$AE$10000,0),1),"")</f>
        <v>550</v>
      </c>
      <c r="AC2071" s="1" t="str">
        <f>IF(INDEX('CAMD Facility Data 2023'!$AE$2:$AG$10000,MATCH(Z2071,'CAMD Facility Data 2023'!$AE$2:$AE$10000,0),3)&gt;0,INDEX('CAMD Facility Data 2023'!$AE$2:$AG$10000,MATCH(Z2071,'CAMD Facility Data 2023'!$AE$2:$AE$10000,0),3),"")</f>
        <v/>
      </c>
      <c r="AD2071" s="20" t="str">
        <f t="shared" si="97"/>
        <v/>
      </c>
      <c r="AE2071" s="25">
        <f t="shared" si="98"/>
        <v>0.86573923744292236</v>
      </c>
    </row>
    <row r="2072" spans="1:31" x14ac:dyDescent="0.2">
      <c r="A2072" s="1" t="s">
        <v>2584</v>
      </c>
      <c r="B2072" s="1" t="s">
        <v>4775</v>
      </c>
      <c r="C2072" s="1">
        <v>10113</v>
      </c>
      <c r="D2072" s="1">
        <v>32</v>
      </c>
      <c r="E2072" s="1" t="s">
        <v>1963</v>
      </c>
      <c r="F2072" s="1">
        <v>2023</v>
      </c>
      <c r="G2072" s="5">
        <v>8163</v>
      </c>
      <c r="H2072" s="5">
        <v>8149.64</v>
      </c>
      <c r="J2072" s="5">
        <v>3027251.9</v>
      </c>
      <c r="K2072" s="5">
        <v>371.36700000000002</v>
      </c>
      <c r="L2072" s="5">
        <v>0.17960000000000001</v>
      </c>
      <c r="M2072" s="5">
        <v>477838.913</v>
      </c>
      <c r="N2072" s="6">
        <v>0.11559999999999999</v>
      </c>
      <c r="O2072" s="5">
        <v>127.169</v>
      </c>
      <c r="P2072" s="6">
        <v>6.1699999999999998E-2</v>
      </c>
      <c r="Q2072" s="5">
        <v>4127850.1680000001</v>
      </c>
      <c r="R2072" s="1" t="s">
        <v>2622</v>
      </c>
      <c r="T2072" s="1" t="s">
        <v>885</v>
      </c>
      <c r="U2072" s="1" t="s">
        <v>1069</v>
      </c>
      <c r="V2072" s="1" t="s">
        <v>220</v>
      </c>
      <c r="W2072" s="1" t="s">
        <v>232</v>
      </c>
      <c r="Y2072" s="1" t="s">
        <v>682</v>
      </c>
      <c r="Z2072" s="1" t="str">
        <f t="shared" si="96"/>
        <v>10113 32</v>
      </c>
      <c r="AA2072" s="3">
        <f>IF(INDEX('CAMD Facility Data 2023'!$AA$2:$AE$10000,MATCH(Z2072,'CAMD Facility Data 2023'!$AE$2:$AE$10000,0),1)&gt;0,INDEX('CAMD Facility Data 2023'!$AA$2:$AE$10000,MATCH(Z2072,'CAMD Facility Data 2023'!$AE$2:$AE$10000,0),1),"")</f>
        <v>32417</v>
      </c>
      <c r="AB2072" s="5">
        <f>IF(INDEX('CAMD Facility Data 2023'!$AC$2:$AE$10000,MATCH(Z2072,'CAMD Facility Data 2023'!$AE$2:$AE$10000,0),1)&gt;0,INDEX('CAMD Facility Data 2023'!$AC$2:$AE$10000,MATCH(Z2072,'CAMD Facility Data 2023'!$AE$2:$AE$10000,0),1),"")</f>
        <v>550</v>
      </c>
      <c r="AC2072" s="1" t="str">
        <f>IF(INDEX('CAMD Facility Data 2023'!$AE$2:$AG$10000,MATCH(Z2072,'CAMD Facility Data 2023'!$AE$2:$AE$10000,0),3)&gt;0,INDEX('CAMD Facility Data 2023'!$AE$2:$AG$10000,MATCH(Z2072,'CAMD Facility Data 2023'!$AE$2:$AE$10000,0),3),"")</f>
        <v/>
      </c>
      <c r="AD2072" s="20" t="str">
        <f t="shared" si="97"/>
        <v/>
      </c>
      <c r="AE2072" s="25">
        <f t="shared" si="98"/>
        <v>0.85675595018679951</v>
      </c>
    </row>
    <row r="2073" spans="1:31" x14ac:dyDescent="0.2">
      <c r="A2073" s="1" t="s">
        <v>2584</v>
      </c>
      <c r="B2073" s="1" t="s">
        <v>4780</v>
      </c>
      <c r="C2073" s="1">
        <v>10143</v>
      </c>
      <c r="D2073" s="1" t="s">
        <v>4781</v>
      </c>
      <c r="F2073" s="1">
        <v>2023</v>
      </c>
      <c r="G2073" s="5">
        <v>8024</v>
      </c>
      <c r="H2073" s="5">
        <v>7997.38</v>
      </c>
      <c r="I2073" s="5">
        <v>823270.40000000002</v>
      </c>
      <c r="K2073" s="5">
        <v>2475.6010000000001</v>
      </c>
      <c r="L2073" s="5">
        <v>0.53210000000000002</v>
      </c>
      <c r="M2073" s="5">
        <v>986547.68200000003</v>
      </c>
      <c r="N2073" s="6">
        <v>0.1047</v>
      </c>
      <c r="O2073" s="5">
        <v>591.38</v>
      </c>
      <c r="P2073" s="6">
        <v>0.125</v>
      </c>
      <c r="Q2073" s="5">
        <v>9363004.9360000007</v>
      </c>
      <c r="R2073" s="1" t="s">
        <v>2622</v>
      </c>
      <c r="T2073" s="1" t="s">
        <v>885</v>
      </c>
      <c r="U2073" s="1" t="s">
        <v>212</v>
      </c>
      <c r="V2073" s="1" t="s">
        <v>4785</v>
      </c>
      <c r="W2073" s="1" t="s">
        <v>232</v>
      </c>
      <c r="Y2073" s="1" t="s">
        <v>682</v>
      </c>
      <c r="Z2073" s="1" t="str">
        <f t="shared" si="96"/>
        <v>10143 AAB01</v>
      </c>
      <c r="AA2073" s="3">
        <f>IF(INDEX('CAMD Facility Data 2023'!$AA$2:$AE$10000,MATCH(Z2073,'CAMD Facility Data 2023'!$AE$2:$AE$10000,0),1)&gt;0,INDEX('CAMD Facility Data 2023'!$AA$2:$AE$10000,MATCH(Z2073,'CAMD Facility Data 2023'!$AE$2:$AE$10000,0),1),"")</f>
        <v>34835</v>
      </c>
      <c r="AB2073" s="5">
        <f>IF(INDEX('CAMD Facility Data 2023'!$AC$2:$AE$10000,MATCH(Z2073,'CAMD Facility Data 2023'!$AE$2:$AE$10000,0),1)&gt;0,INDEX('CAMD Facility Data 2023'!$AC$2:$AE$10000,MATCH(Z2073,'CAMD Facility Data 2023'!$AE$2:$AE$10000,0),1),"")</f>
        <v>1400</v>
      </c>
      <c r="AC2073" s="1" t="str">
        <f>IF(INDEX('CAMD Facility Data 2023'!$AE$2:$AG$10000,MATCH(Z2073,'CAMD Facility Data 2023'!$AE$2:$AE$10000,0),3)&gt;0,INDEX('CAMD Facility Data 2023'!$AE$2:$AG$10000,MATCH(Z2073,'CAMD Facility Data 2023'!$AE$2:$AE$10000,0),3),"")</f>
        <v/>
      </c>
      <c r="AD2073" s="20">
        <f t="shared" si="97"/>
        <v>1.4366604216549022</v>
      </c>
      <c r="AE2073" s="25">
        <f t="shared" si="98"/>
        <v>0.76345441422048277</v>
      </c>
    </row>
    <row r="2074" spans="1:31" x14ac:dyDescent="0.2">
      <c r="A2074" s="1" t="s">
        <v>3140</v>
      </c>
      <c r="B2074" s="1" t="s">
        <v>4787</v>
      </c>
      <c r="C2074" s="1">
        <v>10151</v>
      </c>
      <c r="D2074" s="1" t="s">
        <v>372</v>
      </c>
      <c r="E2074" s="1" t="s">
        <v>1421</v>
      </c>
      <c r="F2074" s="1">
        <v>2023</v>
      </c>
      <c r="G2074" s="5">
        <v>8097</v>
      </c>
      <c r="H2074" s="5">
        <v>8072.05</v>
      </c>
      <c r="J2074" s="5">
        <v>3127967.79</v>
      </c>
      <c r="K2074" s="5">
        <v>995.31899999999996</v>
      </c>
      <c r="L2074" s="5">
        <v>0.48549999999999999</v>
      </c>
      <c r="M2074" s="5">
        <v>410050.98100000003</v>
      </c>
      <c r="N2074" s="6">
        <v>0.1028</v>
      </c>
      <c r="O2074" s="5">
        <v>477.93200000000002</v>
      </c>
      <c r="P2074" s="6">
        <v>0.24030000000000001</v>
      </c>
      <c r="Q2074" s="5">
        <v>3996613.6349999998</v>
      </c>
      <c r="R2074" s="1" t="s">
        <v>2622</v>
      </c>
      <c r="T2074" s="1" t="s">
        <v>885</v>
      </c>
      <c r="U2074" s="1" t="s">
        <v>1069</v>
      </c>
      <c r="V2074" s="1" t="s">
        <v>4791</v>
      </c>
      <c r="W2074" s="1" t="s">
        <v>232</v>
      </c>
      <c r="Y2074" s="1" t="s">
        <v>4788</v>
      </c>
      <c r="Z2074" s="1" t="str">
        <f t="shared" si="96"/>
        <v>10151 1A</v>
      </c>
      <c r="AA2074" s="3">
        <f>IF(INDEX('CAMD Facility Data 2023'!$AA$2:$AE$10000,MATCH(Z2074,'CAMD Facility Data 2023'!$AE$2:$AE$10000,0),1)&gt;0,INDEX('CAMD Facility Data 2023'!$AA$2:$AE$10000,MATCH(Z2074,'CAMD Facility Data 2023'!$AE$2:$AE$10000,0),1),"")</f>
        <v>34060</v>
      </c>
      <c r="AB2074" s="5">
        <f>IF(INDEX('CAMD Facility Data 2023'!$AC$2:$AE$10000,MATCH(Z2074,'CAMD Facility Data 2023'!$AE$2:$AE$10000,0),1)&gt;0,INDEX('CAMD Facility Data 2023'!$AC$2:$AE$10000,MATCH(Z2074,'CAMD Facility Data 2023'!$AE$2:$AE$10000,0),1),"")</f>
        <v>866.5</v>
      </c>
      <c r="AC2074" s="1" t="str">
        <f>IF(INDEX('CAMD Facility Data 2023'!$AE$2:$AG$10000,MATCH(Z2074,'CAMD Facility Data 2023'!$AE$2:$AE$10000,0),3)&gt;0,INDEX('CAMD Facility Data 2023'!$AE$2:$AG$10000,MATCH(Z2074,'CAMD Facility Data 2023'!$AE$2:$AE$10000,0),3),"")</f>
        <v>Y</v>
      </c>
      <c r="AD2074" s="20" t="str">
        <f t="shared" si="97"/>
        <v/>
      </c>
      <c r="AE2074" s="25">
        <f t="shared" si="98"/>
        <v>0.52652560094538725</v>
      </c>
    </row>
    <row r="2075" spans="1:31" x14ac:dyDescent="0.2">
      <c r="A2075" s="1" t="s">
        <v>3140</v>
      </c>
      <c r="B2075" s="1" t="s">
        <v>4787</v>
      </c>
      <c r="C2075" s="1">
        <v>10151</v>
      </c>
      <c r="D2075" s="1" t="s">
        <v>1199</v>
      </c>
      <c r="E2075" s="1" t="s">
        <v>1421</v>
      </c>
      <c r="F2075" s="1">
        <v>2023</v>
      </c>
      <c r="G2075" s="5">
        <v>7973</v>
      </c>
      <c r="H2075" s="5">
        <v>7938.31</v>
      </c>
      <c r="J2075" s="5">
        <v>2965643.92</v>
      </c>
      <c r="K2075" s="5">
        <v>953.99300000000005</v>
      </c>
      <c r="L2075" s="5">
        <v>0.49030000000000001</v>
      </c>
      <c r="M2075" s="5">
        <v>388689.326</v>
      </c>
      <c r="N2075" s="6">
        <v>0.10290000000000001</v>
      </c>
      <c r="O2075" s="5">
        <v>457.625</v>
      </c>
      <c r="P2075" s="6">
        <v>0.24310000000000001</v>
      </c>
      <c r="Q2075" s="5">
        <v>3788412.5329999998</v>
      </c>
      <c r="R2075" s="1" t="s">
        <v>2622</v>
      </c>
      <c r="T2075" s="1" t="s">
        <v>885</v>
      </c>
      <c r="U2075" s="1" t="s">
        <v>1069</v>
      </c>
      <c r="V2075" s="1" t="s">
        <v>4791</v>
      </c>
      <c r="W2075" s="1" t="s">
        <v>232</v>
      </c>
      <c r="Y2075" s="1" t="s">
        <v>4788</v>
      </c>
      <c r="Z2075" s="1" t="str">
        <f t="shared" si="96"/>
        <v>10151 1B</v>
      </c>
      <c r="AA2075" s="3">
        <f>IF(INDEX('CAMD Facility Data 2023'!$AA$2:$AE$10000,MATCH(Z2075,'CAMD Facility Data 2023'!$AE$2:$AE$10000,0),1)&gt;0,INDEX('CAMD Facility Data 2023'!$AA$2:$AE$10000,MATCH(Z2075,'CAMD Facility Data 2023'!$AE$2:$AE$10000,0),1),"")</f>
        <v>34060</v>
      </c>
      <c r="AB2075" s="5">
        <f>IF(INDEX('CAMD Facility Data 2023'!$AC$2:$AE$10000,MATCH(Z2075,'CAMD Facility Data 2023'!$AE$2:$AE$10000,0),1)&gt;0,INDEX('CAMD Facility Data 2023'!$AC$2:$AE$10000,MATCH(Z2075,'CAMD Facility Data 2023'!$AE$2:$AE$10000,0),1),"")</f>
        <v>866.5</v>
      </c>
      <c r="AC2075" s="1" t="str">
        <f>IF(INDEX('CAMD Facility Data 2023'!$AE$2:$AG$10000,MATCH(Z2075,'CAMD Facility Data 2023'!$AE$2:$AE$10000,0),3)&gt;0,INDEX('CAMD Facility Data 2023'!$AE$2:$AG$10000,MATCH(Z2075,'CAMD Facility Data 2023'!$AE$2:$AE$10000,0),3),"")</f>
        <v>Y</v>
      </c>
      <c r="AD2075" s="20" t="str">
        <f t="shared" si="97"/>
        <v/>
      </c>
      <c r="AE2075" s="25">
        <f t="shared" si="98"/>
        <v>0.49909657718686679</v>
      </c>
    </row>
    <row r="2076" spans="1:31" x14ac:dyDescent="0.2">
      <c r="A2076" s="1" t="s">
        <v>370</v>
      </c>
      <c r="B2076" s="1" t="s">
        <v>4800</v>
      </c>
      <c r="C2076" s="1">
        <v>10156</v>
      </c>
      <c r="D2076" s="1" t="s">
        <v>4801</v>
      </c>
      <c r="F2076" s="1">
        <v>2023</v>
      </c>
      <c r="G2076" s="5">
        <v>158</v>
      </c>
      <c r="H2076" s="5">
        <v>112.21</v>
      </c>
      <c r="I2076" s="5">
        <v>2590.54</v>
      </c>
      <c r="K2076" s="5">
        <v>8.9999999999999993E-3</v>
      </c>
      <c r="L2076" s="5">
        <v>1E-3</v>
      </c>
      <c r="M2076" s="5">
        <v>1770.269</v>
      </c>
      <c r="N2076" s="6">
        <v>5.9299999999999999E-2</v>
      </c>
      <c r="O2076" s="5">
        <v>0.20300000000000001</v>
      </c>
      <c r="P2076" s="6">
        <v>2.47E-2</v>
      </c>
      <c r="Q2076" s="5">
        <v>29783.471000000001</v>
      </c>
      <c r="R2076" s="1" t="s">
        <v>44</v>
      </c>
      <c r="T2076" s="1" t="s">
        <v>71</v>
      </c>
      <c r="V2076" s="1" t="s">
        <v>176</v>
      </c>
      <c r="Y2076" s="1" t="s">
        <v>247</v>
      </c>
      <c r="Z2076" s="1" t="str">
        <f t="shared" si="96"/>
        <v>10156 GEN1</v>
      </c>
      <c r="AA2076" s="3">
        <f>IF(INDEX('CAMD Facility Data 2023'!$AA$2:$AE$10000,MATCH(Z2076,'CAMD Facility Data 2023'!$AE$2:$AE$10000,0),1)&gt;0,INDEX('CAMD Facility Data 2023'!$AA$2:$AE$10000,MATCH(Z2076,'CAMD Facility Data 2023'!$AE$2:$AE$10000,0),1),"")</f>
        <v>38369</v>
      </c>
      <c r="AB2076" s="5">
        <f>IF(INDEX('CAMD Facility Data 2023'!$AC$2:$AE$10000,MATCH(Z2076,'CAMD Facility Data 2023'!$AE$2:$AE$10000,0),1)&gt;0,INDEX('CAMD Facility Data 2023'!$AC$2:$AE$10000,MATCH(Z2076,'CAMD Facility Data 2023'!$AE$2:$AE$10000,0),1),"")</f>
        <v>495</v>
      </c>
      <c r="AC2076" s="1" t="str">
        <f>IF(INDEX('CAMD Facility Data 2023'!$AE$2:$AG$10000,MATCH(Z2076,'CAMD Facility Data 2023'!$AE$2:$AE$10000,0),3)&gt;0,INDEX('CAMD Facility Data 2023'!$AE$2:$AG$10000,MATCH(Z2076,'CAMD Facility Data 2023'!$AE$2:$AE$10000,0),3),"")</f>
        <v>Y</v>
      </c>
      <c r="AD2076" s="20">
        <f t="shared" si="97"/>
        <v>0.15672408069360055</v>
      </c>
      <c r="AE2076" s="25">
        <f t="shared" si="98"/>
        <v>6.8685648724689822E-3</v>
      </c>
    </row>
    <row r="2077" spans="1:31" x14ac:dyDescent="0.2">
      <c r="A2077" s="1" t="s">
        <v>370</v>
      </c>
      <c r="B2077" s="1" t="s">
        <v>4806</v>
      </c>
      <c r="C2077" s="1">
        <v>10169</v>
      </c>
      <c r="D2077" s="1" t="s">
        <v>4807</v>
      </c>
      <c r="F2077" s="1">
        <v>2023</v>
      </c>
      <c r="G2077" s="5">
        <v>1019</v>
      </c>
      <c r="H2077" s="5">
        <v>892.6</v>
      </c>
      <c r="I2077" s="5">
        <v>29255.74</v>
      </c>
      <c r="K2077" s="5">
        <v>9.0999999999999998E-2</v>
      </c>
      <c r="L2077" s="5">
        <v>1E-3</v>
      </c>
      <c r="M2077" s="5">
        <v>17986.569</v>
      </c>
      <c r="N2077" s="6">
        <v>5.9299999999999999E-2</v>
      </c>
      <c r="O2077" s="5">
        <v>2.2090000000000001</v>
      </c>
      <c r="P2077" s="6">
        <v>4.6699999999999998E-2</v>
      </c>
      <c r="Q2077" s="5">
        <v>302663.84999999998</v>
      </c>
      <c r="R2077" s="1" t="s">
        <v>44</v>
      </c>
      <c r="T2077" s="1" t="s">
        <v>71</v>
      </c>
      <c r="V2077" s="1" t="s">
        <v>176</v>
      </c>
      <c r="Y2077" s="1" t="s">
        <v>247</v>
      </c>
      <c r="Z2077" s="1" t="str">
        <f t="shared" si="96"/>
        <v>10169 D1</v>
      </c>
      <c r="AA2077" s="3">
        <f>IF(INDEX('CAMD Facility Data 2023'!$AA$2:$AE$10000,MATCH(Z2077,'CAMD Facility Data 2023'!$AE$2:$AE$10000,0),1)&gt;0,INDEX('CAMD Facility Data 2023'!$AA$2:$AE$10000,MATCH(Z2077,'CAMD Facility Data 2023'!$AE$2:$AE$10000,0),1),"")</f>
        <v>37945</v>
      </c>
      <c r="AB2077" s="5">
        <f>IF(INDEX('CAMD Facility Data 2023'!$AC$2:$AE$10000,MATCH(Z2077,'CAMD Facility Data 2023'!$AE$2:$AE$10000,0),1)&gt;0,INDEX('CAMD Facility Data 2023'!$AC$2:$AE$10000,MATCH(Z2077,'CAMD Facility Data 2023'!$AE$2:$AE$10000,0),1),"")</f>
        <v>453</v>
      </c>
      <c r="AC2077" s="1" t="str">
        <f>IF(INDEX('CAMD Facility Data 2023'!$AE$2:$AG$10000,MATCH(Z2077,'CAMD Facility Data 2023'!$AE$2:$AE$10000,0),3)&gt;0,INDEX('CAMD Facility Data 2023'!$AE$2:$AG$10000,MATCH(Z2077,'CAMD Facility Data 2023'!$AE$2:$AE$10000,0),3),"")</f>
        <v>Y</v>
      </c>
      <c r="AD2077" s="20">
        <f t="shared" si="97"/>
        <v>0.15101310033518209</v>
      </c>
      <c r="AE2077" s="25">
        <f t="shared" si="98"/>
        <v>7.6270789863618488E-2</v>
      </c>
    </row>
    <row r="2078" spans="1:31" x14ac:dyDescent="0.2">
      <c r="A2078" s="1" t="s">
        <v>1568</v>
      </c>
      <c r="B2078" s="1" t="s">
        <v>4810</v>
      </c>
      <c r="C2078" s="1">
        <v>10176</v>
      </c>
      <c r="D2078" s="1" t="s">
        <v>3087</v>
      </c>
      <c r="F2078" s="1">
        <v>2023</v>
      </c>
      <c r="G2078" s="5">
        <v>25</v>
      </c>
      <c r="H2078" s="5">
        <v>14.17</v>
      </c>
      <c r="I2078" s="5">
        <v>390.07</v>
      </c>
      <c r="M2078" s="5">
        <v>454.8</v>
      </c>
      <c r="N2078" s="6">
        <v>8.0699999999999994E-2</v>
      </c>
      <c r="O2078" s="5">
        <v>0.39100000000000001</v>
      </c>
      <c r="P2078" s="6">
        <v>0.25669999999999998</v>
      </c>
      <c r="Q2078" s="5">
        <v>5611.3</v>
      </c>
      <c r="R2078" s="1" t="s">
        <v>1292</v>
      </c>
      <c r="T2078" s="1" t="s">
        <v>93</v>
      </c>
      <c r="V2078" s="1" t="s">
        <v>95</v>
      </c>
      <c r="Y2078" s="1" t="s">
        <v>617</v>
      </c>
      <c r="Z2078" s="1" t="str">
        <f t="shared" si="96"/>
        <v>10176 A</v>
      </c>
      <c r="AA2078" s="3">
        <f>IF(INDEX('CAMD Facility Data 2023'!$AA$2:$AE$10000,MATCH(Z2078,'CAMD Facility Data 2023'!$AE$2:$AE$10000,0),1)&gt;0,INDEX('CAMD Facility Data 2023'!$AA$2:$AE$10000,MATCH(Z2078,'CAMD Facility Data 2023'!$AE$2:$AE$10000,0),1),"")</f>
        <v>29037</v>
      </c>
      <c r="AB2078" s="5">
        <f>IF(INDEX('CAMD Facility Data 2023'!$AC$2:$AE$10000,MATCH(Z2078,'CAMD Facility Data 2023'!$AE$2:$AE$10000,0),1)&gt;0,INDEX('CAMD Facility Data 2023'!$AC$2:$AE$10000,MATCH(Z2078,'CAMD Facility Data 2023'!$AE$2:$AE$10000,0),1),"")</f>
        <v>396</v>
      </c>
      <c r="AC2078" s="1" t="str">
        <f>IF(INDEX('CAMD Facility Data 2023'!$AE$2:$AG$10000,MATCH(Z2078,'CAMD Facility Data 2023'!$AE$2:$AE$10000,0),3)&gt;0,INDEX('CAMD Facility Data 2023'!$AE$2:$AG$10000,MATCH(Z2078,'CAMD Facility Data 2023'!$AE$2:$AE$10000,0),3),"")</f>
        <v/>
      </c>
      <c r="AD2078" s="20">
        <f t="shared" si="97"/>
        <v>2.0047683749070679</v>
      </c>
      <c r="AE2078" s="25">
        <f t="shared" si="98"/>
        <v>1.6175741432590748E-3</v>
      </c>
    </row>
    <row r="2079" spans="1:31" x14ac:dyDescent="0.2">
      <c r="A2079" s="1" t="s">
        <v>1568</v>
      </c>
      <c r="B2079" s="1" t="s">
        <v>4810</v>
      </c>
      <c r="C2079" s="1">
        <v>10176</v>
      </c>
      <c r="D2079" s="1" t="s">
        <v>3091</v>
      </c>
      <c r="F2079" s="1">
        <v>2023</v>
      </c>
      <c r="G2079" s="5">
        <v>7</v>
      </c>
      <c r="H2079" s="5">
        <v>4.88</v>
      </c>
      <c r="I2079" s="5">
        <v>93.12</v>
      </c>
      <c r="M2079" s="5">
        <v>156.5</v>
      </c>
      <c r="N2079" s="6">
        <v>8.1000000000000003E-2</v>
      </c>
      <c r="O2079" s="5">
        <v>0.124</v>
      </c>
      <c r="P2079" s="6">
        <v>0.128</v>
      </c>
      <c r="Q2079" s="5">
        <v>1932.5</v>
      </c>
      <c r="R2079" s="1" t="s">
        <v>1292</v>
      </c>
      <c r="T2079" s="1" t="s">
        <v>93</v>
      </c>
      <c r="V2079" s="1" t="s">
        <v>95</v>
      </c>
      <c r="Y2079" s="1" t="s">
        <v>617</v>
      </c>
      <c r="Z2079" s="1" t="str">
        <f t="shared" si="96"/>
        <v>10176 B</v>
      </c>
      <c r="AA2079" s="3">
        <f>IF(INDEX('CAMD Facility Data 2023'!$AA$2:$AE$10000,MATCH(Z2079,'CAMD Facility Data 2023'!$AE$2:$AE$10000,0),1)&gt;0,INDEX('CAMD Facility Data 2023'!$AA$2:$AE$10000,MATCH(Z2079,'CAMD Facility Data 2023'!$AE$2:$AE$10000,0),1),"")</f>
        <v>29037</v>
      </c>
      <c r="AB2079" s="5">
        <f>IF(INDEX('CAMD Facility Data 2023'!$AC$2:$AE$10000,MATCH(Z2079,'CAMD Facility Data 2023'!$AE$2:$AE$10000,0),1)&gt;0,INDEX('CAMD Facility Data 2023'!$AC$2:$AE$10000,MATCH(Z2079,'CAMD Facility Data 2023'!$AE$2:$AE$10000,0),1),"")</f>
        <v>396</v>
      </c>
      <c r="AC2079" s="1" t="str">
        <f>IF(INDEX('CAMD Facility Data 2023'!$AE$2:$AG$10000,MATCH(Z2079,'CAMD Facility Data 2023'!$AE$2:$AE$10000,0),3)&gt;0,INDEX('CAMD Facility Data 2023'!$AE$2:$AG$10000,MATCH(Z2079,'CAMD Facility Data 2023'!$AE$2:$AE$10000,0),3),"")</f>
        <v/>
      </c>
      <c r="AD2079" s="20">
        <f t="shared" si="97"/>
        <v>2.663230240549828</v>
      </c>
      <c r="AE2079" s="25">
        <f t="shared" si="98"/>
        <v>5.5708339098750061E-4</v>
      </c>
    </row>
    <row r="2080" spans="1:31" x14ac:dyDescent="0.2">
      <c r="A2080" s="1" t="s">
        <v>2089</v>
      </c>
      <c r="B2080" s="1" t="s">
        <v>4815</v>
      </c>
      <c r="C2080" s="1">
        <v>10190</v>
      </c>
      <c r="D2080" s="1">
        <v>1</v>
      </c>
      <c r="F2080" s="1">
        <v>2023</v>
      </c>
      <c r="G2080" s="5">
        <v>1704</v>
      </c>
      <c r="H2080" s="5">
        <v>1634.46</v>
      </c>
      <c r="I2080" s="5">
        <v>93552.14</v>
      </c>
      <c r="K2080" s="5">
        <v>0.25600000000000001</v>
      </c>
      <c r="L2080" s="5">
        <v>1E-3</v>
      </c>
      <c r="M2080" s="5">
        <v>50310.811000000002</v>
      </c>
      <c r="N2080" s="6">
        <v>5.9400000000000001E-2</v>
      </c>
      <c r="O2080" s="5">
        <v>32.554000000000002</v>
      </c>
      <c r="P2080" s="6">
        <v>8.7300000000000003E-2</v>
      </c>
      <c r="Q2080" s="5">
        <v>844955.45900000003</v>
      </c>
      <c r="R2080" s="1" t="s">
        <v>44</v>
      </c>
      <c r="S2080" s="1" t="s">
        <v>94</v>
      </c>
      <c r="T2080" s="1" t="s">
        <v>71</v>
      </c>
      <c r="V2080" s="1" t="s">
        <v>1606</v>
      </c>
      <c r="Y2080" s="1" t="s">
        <v>1515</v>
      </c>
      <c r="Z2080" s="1" t="str">
        <f t="shared" si="96"/>
        <v>10190 1</v>
      </c>
      <c r="AA2080" s="3">
        <f>IF(INDEX('CAMD Facility Data 2023'!$AA$2:$AE$10000,MATCH(Z2080,'CAMD Facility Data 2023'!$AE$2:$AE$10000,0),1)&gt;0,INDEX('CAMD Facility Data 2023'!$AA$2:$AE$10000,MATCH(Z2080,'CAMD Facility Data 2023'!$AE$2:$AE$10000,0),1),"")</f>
        <v>33848</v>
      </c>
      <c r="AB2080" s="5">
        <f>IF(INDEX('CAMD Facility Data 2023'!$AC$2:$AE$10000,MATCH(Z2080,'CAMD Facility Data 2023'!$AE$2:$AE$10000,0),1)&gt;0,INDEX('CAMD Facility Data 2023'!$AC$2:$AE$10000,MATCH(Z2080,'CAMD Facility Data 2023'!$AE$2:$AE$10000,0),1),"")</f>
        <v>670</v>
      </c>
      <c r="AC2080" s="1" t="str">
        <f>IF(INDEX('CAMD Facility Data 2023'!$AE$2:$AG$10000,MATCH(Z2080,'CAMD Facility Data 2023'!$AE$2:$AE$10000,0),3)&gt;0,INDEX('CAMD Facility Data 2023'!$AE$2:$AG$10000,MATCH(Z2080,'CAMD Facility Data 2023'!$AE$2:$AE$10000,0),3),"")</f>
        <v/>
      </c>
      <c r="AD2080" s="20">
        <f t="shared" si="97"/>
        <v>0.69595414920492471</v>
      </c>
      <c r="AE2080" s="25">
        <f t="shared" si="98"/>
        <v>0.14396433227697131</v>
      </c>
    </row>
    <row r="2081" spans="1:31" x14ac:dyDescent="0.2">
      <c r="A2081" s="1" t="s">
        <v>370</v>
      </c>
      <c r="B2081" s="1" t="s">
        <v>4820</v>
      </c>
      <c r="C2081" s="1">
        <v>10294</v>
      </c>
      <c r="D2081" s="1">
        <v>2</v>
      </c>
      <c r="F2081" s="1">
        <v>2023</v>
      </c>
      <c r="G2081" s="5">
        <v>499</v>
      </c>
      <c r="H2081" s="5">
        <v>361.85</v>
      </c>
      <c r="I2081" s="5">
        <v>12744.36</v>
      </c>
      <c r="K2081" s="5">
        <v>4.1000000000000002E-2</v>
      </c>
      <c r="L2081" s="5">
        <v>1E-3</v>
      </c>
      <c r="M2081" s="5">
        <v>8032.5410000000002</v>
      </c>
      <c r="N2081" s="6">
        <v>5.9299999999999999E-2</v>
      </c>
      <c r="O2081" s="5">
        <v>0.88300000000000001</v>
      </c>
      <c r="P2081" s="6">
        <v>2.1899999999999999E-2</v>
      </c>
      <c r="Q2081" s="5">
        <v>135164.09299999999</v>
      </c>
      <c r="R2081" s="1" t="s">
        <v>44</v>
      </c>
      <c r="T2081" s="1" t="s">
        <v>93</v>
      </c>
      <c r="V2081" s="1" t="s">
        <v>787</v>
      </c>
      <c r="Y2081" s="1" t="s">
        <v>247</v>
      </c>
      <c r="Z2081" s="1" t="str">
        <f t="shared" si="96"/>
        <v>10294 2</v>
      </c>
      <c r="AA2081" s="3">
        <f>IF(INDEX('CAMD Facility Data 2023'!$AA$2:$AE$10000,MATCH(Z2081,'CAMD Facility Data 2023'!$AE$2:$AE$10000,0),1)&gt;0,INDEX('CAMD Facility Data 2023'!$AA$2:$AE$10000,MATCH(Z2081,'CAMD Facility Data 2023'!$AE$2:$AE$10000,0),1),"")</f>
        <v>37164</v>
      </c>
      <c r="AB2081" s="5">
        <f>IF(INDEX('CAMD Facility Data 2023'!$AC$2:$AE$10000,MATCH(Z2081,'CAMD Facility Data 2023'!$AE$2:$AE$10000,0),1)&gt;0,INDEX('CAMD Facility Data 2023'!$AC$2:$AE$10000,MATCH(Z2081,'CAMD Facility Data 2023'!$AE$2:$AE$10000,0),1),"")</f>
        <v>500</v>
      </c>
      <c r="AC2081" s="1" t="str">
        <f>IF(INDEX('CAMD Facility Data 2023'!$AE$2:$AG$10000,MATCH(Z2081,'CAMD Facility Data 2023'!$AE$2:$AE$10000,0),3)&gt;0,INDEX('CAMD Facility Data 2023'!$AE$2:$AG$10000,MATCH(Z2081,'CAMD Facility Data 2023'!$AE$2:$AE$10000,0),3),"")</f>
        <v>Y</v>
      </c>
      <c r="AD2081" s="20">
        <f t="shared" si="97"/>
        <v>0.13857110125577118</v>
      </c>
      <c r="AE2081" s="25">
        <f t="shared" si="98"/>
        <v>3.0859381963470319E-2</v>
      </c>
    </row>
    <row r="2082" spans="1:31" x14ac:dyDescent="0.2">
      <c r="A2082" s="1" t="s">
        <v>370</v>
      </c>
      <c r="B2082" s="1" t="s">
        <v>4820</v>
      </c>
      <c r="C2082" s="1">
        <v>10294</v>
      </c>
      <c r="D2082" s="1" t="s">
        <v>4823</v>
      </c>
      <c r="F2082" s="1">
        <v>2023</v>
      </c>
      <c r="G2082" s="5">
        <v>745</v>
      </c>
      <c r="H2082" s="5">
        <v>659.71</v>
      </c>
      <c r="I2082" s="5">
        <v>56550.559999999998</v>
      </c>
      <c r="K2082" s="5">
        <v>0.152</v>
      </c>
      <c r="L2082" s="5">
        <v>1E-3</v>
      </c>
      <c r="M2082" s="5">
        <v>30090.809000000001</v>
      </c>
      <c r="N2082" s="6">
        <v>5.8999999999999997E-2</v>
      </c>
      <c r="O2082" s="5">
        <v>33.387999999999998</v>
      </c>
      <c r="P2082" s="6">
        <v>0.16489999999999999</v>
      </c>
      <c r="Q2082" s="5">
        <v>507300.61099999998</v>
      </c>
      <c r="R2082" s="1" t="s">
        <v>44</v>
      </c>
      <c r="T2082" s="1" t="s">
        <v>71</v>
      </c>
      <c r="V2082" s="1" t="s">
        <v>64</v>
      </c>
      <c r="Y2082" s="1" t="s">
        <v>247</v>
      </c>
      <c r="Z2082" s="1" t="str">
        <f t="shared" si="96"/>
        <v>10294 GTG</v>
      </c>
      <c r="AA2082" s="3">
        <f>IF(INDEX('CAMD Facility Data 2023'!$AA$2:$AE$10000,MATCH(Z2082,'CAMD Facility Data 2023'!$AE$2:$AE$10000,0),1)&gt;0,INDEX('CAMD Facility Data 2023'!$AA$2:$AE$10000,MATCH(Z2082,'CAMD Facility Data 2023'!$AE$2:$AE$10000,0),1),"")</f>
        <v>32540</v>
      </c>
      <c r="AB2082" s="5">
        <f>IF(INDEX('CAMD Facility Data 2023'!$AC$2:$AE$10000,MATCH(Z2082,'CAMD Facility Data 2023'!$AE$2:$AE$10000,0),1)&gt;0,INDEX('CAMD Facility Data 2023'!$AC$2:$AE$10000,MATCH(Z2082,'CAMD Facility Data 2023'!$AE$2:$AE$10000,0),1),"")</f>
        <v>1022</v>
      </c>
      <c r="AC2082" s="1" t="str">
        <f>IF(INDEX('CAMD Facility Data 2023'!$AE$2:$AG$10000,MATCH(Z2082,'CAMD Facility Data 2023'!$AE$2:$AE$10000,0),3)&gt;0,INDEX('CAMD Facility Data 2023'!$AE$2:$AG$10000,MATCH(Z2082,'CAMD Facility Data 2023'!$AE$2:$AE$10000,0),3),"")</f>
        <v>Y</v>
      </c>
      <c r="AD2082" s="20">
        <f t="shared" si="97"/>
        <v>1.180819429551184</v>
      </c>
      <c r="AE2082" s="25">
        <f t="shared" si="98"/>
        <v>5.6664411597816079E-2</v>
      </c>
    </row>
    <row r="2083" spans="1:31" x14ac:dyDescent="0.2">
      <c r="A2083" s="1" t="s">
        <v>1568</v>
      </c>
      <c r="B2083" s="1" t="s">
        <v>4826</v>
      </c>
      <c r="C2083" s="1">
        <v>10307</v>
      </c>
      <c r="D2083" s="1">
        <v>1</v>
      </c>
      <c r="E2083" s="1" t="s">
        <v>4827</v>
      </c>
      <c r="F2083" s="1">
        <v>2023</v>
      </c>
      <c r="G2083" s="5">
        <v>250</v>
      </c>
      <c r="H2083" s="5">
        <v>235.61</v>
      </c>
      <c r="I2083" s="5">
        <v>21161.54</v>
      </c>
      <c r="K2083" s="5">
        <v>7.3999999999999996E-2</v>
      </c>
      <c r="L2083" s="5">
        <v>1E-3</v>
      </c>
      <c r="M2083" s="5">
        <v>15042.332</v>
      </c>
      <c r="N2083" s="6">
        <v>6.1600000000000002E-2</v>
      </c>
      <c r="O2083" s="5">
        <v>9.8330000000000002</v>
      </c>
      <c r="P2083" s="6">
        <v>9.1399999999999995E-2</v>
      </c>
      <c r="Q2083" s="5">
        <v>241054.15100000001</v>
      </c>
      <c r="R2083" s="1" t="s">
        <v>44</v>
      </c>
      <c r="S2083" s="1" t="s">
        <v>94</v>
      </c>
      <c r="T2083" s="1" t="s">
        <v>71</v>
      </c>
      <c r="V2083" s="1" t="s">
        <v>1606</v>
      </c>
      <c r="Y2083" s="1" t="s">
        <v>579</v>
      </c>
      <c r="Z2083" s="1" t="str">
        <f t="shared" si="96"/>
        <v>10307 1</v>
      </c>
      <c r="AA2083" s="3">
        <f>IF(INDEX('CAMD Facility Data 2023'!$AA$2:$AE$10000,MATCH(Z2083,'CAMD Facility Data 2023'!$AE$2:$AE$10000,0),1)&gt;0,INDEX('CAMD Facility Data 2023'!$AA$2:$AE$10000,MATCH(Z2083,'CAMD Facility Data 2023'!$AE$2:$AE$10000,0),1),"")</f>
        <v>33496</v>
      </c>
      <c r="AB2083" s="5">
        <f>IF(INDEX('CAMD Facility Data 2023'!$AC$2:$AE$10000,MATCH(Z2083,'CAMD Facility Data 2023'!$AE$2:$AE$10000,0),1)&gt;0,INDEX('CAMD Facility Data 2023'!$AC$2:$AE$10000,MATCH(Z2083,'CAMD Facility Data 2023'!$AE$2:$AE$10000,0),1),"")</f>
        <v>1433</v>
      </c>
      <c r="AC2083" s="1" t="str">
        <f>IF(INDEX('CAMD Facility Data 2023'!$AE$2:$AG$10000,MATCH(Z2083,'CAMD Facility Data 2023'!$AE$2:$AE$10000,0),3)&gt;0,INDEX('CAMD Facility Data 2023'!$AE$2:$AG$10000,MATCH(Z2083,'CAMD Facility Data 2023'!$AE$2:$AE$10000,0),3),"")</f>
        <v/>
      </c>
      <c r="AD2083" s="20">
        <f t="shared" si="97"/>
        <v>0.92932744970356596</v>
      </c>
      <c r="AE2083" s="25">
        <f t="shared" si="98"/>
        <v>1.9202789355281732E-2</v>
      </c>
    </row>
    <row r="2084" spans="1:31" x14ac:dyDescent="0.2">
      <c r="A2084" s="1" t="s">
        <v>1568</v>
      </c>
      <c r="B2084" s="1" t="s">
        <v>4826</v>
      </c>
      <c r="C2084" s="1">
        <v>10307</v>
      </c>
      <c r="D2084" s="1">
        <v>2</v>
      </c>
      <c r="E2084" s="1" t="s">
        <v>4827</v>
      </c>
      <c r="F2084" s="1">
        <v>2023</v>
      </c>
      <c r="G2084" s="5">
        <v>588</v>
      </c>
      <c r="H2084" s="5">
        <v>571.55999999999995</v>
      </c>
      <c r="I2084" s="5">
        <v>53773.440000000002</v>
      </c>
      <c r="K2084" s="5">
        <v>0.188</v>
      </c>
      <c r="L2084" s="5">
        <v>1E-3</v>
      </c>
      <c r="M2084" s="5">
        <v>37493.43</v>
      </c>
      <c r="N2084" s="6">
        <v>6.0100000000000001E-2</v>
      </c>
      <c r="O2084" s="5">
        <v>26.17</v>
      </c>
      <c r="P2084" s="6">
        <v>9.35E-2</v>
      </c>
      <c r="Q2084" s="5">
        <v>618808.375</v>
      </c>
      <c r="R2084" s="1" t="s">
        <v>44</v>
      </c>
      <c r="S2084" s="1" t="s">
        <v>94</v>
      </c>
      <c r="T2084" s="1" t="s">
        <v>71</v>
      </c>
      <c r="V2084" s="1" t="s">
        <v>1606</v>
      </c>
      <c r="Y2084" s="1" t="s">
        <v>579</v>
      </c>
      <c r="Z2084" s="1" t="str">
        <f t="shared" si="96"/>
        <v>10307 2</v>
      </c>
      <c r="AA2084" s="3">
        <f>IF(INDEX('CAMD Facility Data 2023'!$AA$2:$AE$10000,MATCH(Z2084,'CAMD Facility Data 2023'!$AE$2:$AE$10000,0),1)&gt;0,INDEX('CAMD Facility Data 2023'!$AA$2:$AE$10000,MATCH(Z2084,'CAMD Facility Data 2023'!$AE$2:$AE$10000,0),1),"")</f>
        <v>33496</v>
      </c>
      <c r="AB2084" s="5">
        <f>IF(INDEX('CAMD Facility Data 2023'!$AC$2:$AE$10000,MATCH(Z2084,'CAMD Facility Data 2023'!$AE$2:$AE$10000,0),1)&gt;0,INDEX('CAMD Facility Data 2023'!$AC$2:$AE$10000,MATCH(Z2084,'CAMD Facility Data 2023'!$AE$2:$AE$10000,0),1),"")</f>
        <v>1433</v>
      </c>
      <c r="AC2084" s="1" t="str">
        <f>IF(INDEX('CAMD Facility Data 2023'!$AE$2:$AG$10000,MATCH(Z2084,'CAMD Facility Data 2023'!$AE$2:$AE$10000,0),3)&gt;0,INDEX('CAMD Facility Data 2023'!$AE$2:$AG$10000,MATCH(Z2084,'CAMD Facility Data 2023'!$AE$2:$AE$10000,0),3),"")</f>
        <v/>
      </c>
      <c r="AD2084" s="20">
        <f t="shared" si="97"/>
        <v>0.97334297378036438</v>
      </c>
      <c r="AE2084" s="25">
        <f t="shared" si="98"/>
        <v>4.929534225863294E-2</v>
      </c>
    </row>
    <row r="2085" spans="1:31" x14ac:dyDescent="0.2">
      <c r="A2085" s="1" t="s">
        <v>1980</v>
      </c>
      <c r="B2085" s="1" t="s">
        <v>4831</v>
      </c>
      <c r="C2085" s="1">
        <v>10308</v>
      </c>
      <c r="D2085" s="1">
        <v>1001</v>
      </c>
      <c r="F2085" s="1">
        <v>2023</v>
      </c>
      <c r="G2085" s="5">
        <v>3806</v>
      </c>
      <c r="H2085" s="5">
        <v>3563.59</v>
      </c>
      <c r="I2085" s="5">
        <v>470275.62</v>
      </c>
      <c r="K2085" s="5">
        <v>1.151</v>
      </c>
      <c r="L2085" s="5">
        <v>1E-3</v>
      </c>
      <c r="M2085" s="5">
        <v>227898.95</v>
      </c>
      <c r="N2085" s="6">
        <v>5.8999999999999997E-2</v>
      </c>
      <c r="O2085" s="5">
        <v>154.816</v>
      </c>
      <c r="P2085" s="6">
        <v>8.8900000000000007E-2</v>
      </c>
      <c r="Q2085" s="5">
        <v>3834870.21</v>
      </c>
      <c r="R2085" s="1" t="s">
        <v>44</v>
      </c>
      <c r="T2085" s="1" t="s">
        <v>71</v>
      </c>
      <c r="V2085" s="1" t="s">
        <v>1606</v>
      </c>
      <c r="Y2085" s="1" t="s">
        <v>1515</v>
      </c>
      <c r="Z2085" s="1" t="str">
        <f t="shared" si="96"/>
        <v>10308 1001</v>
      </c>
      <c r="AA2085" s="3">
        <f>IF(INDEX('CAMD Facility Data 2023'!$AA$2:$AE$10000,MATCH(Z2085,'CAMD Facility Data 2023'!$AE$2:$AE$10000,0),1)&gt;0,INDEX('CAMD Facility Data 2023'!$AA$2:$AE$10000,MATCH(Z2085,'CAMD Facility Data 2023'!$AE$2:$AE$10000,0),1),"")</f>
        <v>33463</v>
      </c>
      <c r="AB2085" s="5">
        <f>IF(INDEX('CAMD Facility Data 2023'!$AC$2:$AE$10000,MATCH(Z2085,'CAMD Facility Data 2023'!$AE$2:$AE$10000,0),1)&gt;0,INDEX('CAMD Facility Data 2023'!$AC$2:$AE$10000,MATCH(Z2085,'CAMD Facility Data 2023'!$AE$2:$AE$10000,0),1),"")</f>
        <v>1400</v>
      </c>
      <c r="AC2085" s="1" t="str">
        <f>IF(INDEX('CAMD Facility Data 2023'!$AE$2:$AG$10000,MATCH(Z2085,'CAMD Facility Data 2023'!$AE$2:$AE$10000,0),3)&gt;0,INDEX('CAMD Facility Data 2023'!$AE$2:$AG$10000,MATCH(Z2085,'CAMD Facility Data 2023'!$AE$2:$AE$10000,0),3),"")</f>
        <v/>
      </c>
      <c r="AD2085" s="20">
        <f t="shared" si="97"/>
        <v>0.65840538363438872</v>
      </c>
      <c r="AE2085" s="25">
        <f t="shared" si="98"/>
        <v>0.31269326565557731</v>
      </c>
    </row>
    <row r="2086" spans="1:31" x14ac:dyDescent="0.2">
      <c r="A2086" s="1" t="s">
        <v>1980</v>
      </c>
      <c r="B2086" s="1" t="s">
        <v>4831</v>
      </c>
      <c r="C2086" s="1">
        <v>10308</v>
      </c>
      <c r="D2086" s="1">
        <v>1002</v>
      </c>
      <c r="F2086" s="1">
        <v>2023</v>
      </c>
      <c r="G2086" s="5">
        <v>4195</v>
      </c>
      <c r="H2086" s="5">
        <v>3945.01</v>
      </c>
      <c r="I2086" s="5">
        <v>522173.59</v>
      </c>
      <c r="K2086" s="5">
        <v>1.292</v>
      </c>
      <c r="L2086" s="5">
        <v>1E-3</v>
      </c>
      <c r="M2086" s="5">
        <v>255923.63500000001</v>
      </c>
      <c r="N2086" s="6">
        <v>5.8999999999999997E-2</v>
      </c>
      <c r="O2086" s="5">
        <v>183.233</v>
      </c>
      <c r="P2086" s="6">
        <v>9.2999999999999999E-2</v>
      </c>
      <c r="Q2086" s="5">
        <v>4306330.3269999996</v>
      </c>
      <c r="R2086" s="1" t="s">
        <v>44</v>
      </c>
      <c r="T2086" s="1" t="s">
        <v>71</v>
      </c>
      <c r="V2086" s="1" t="s">
        <v>1606</v>
      </c>
      <c r="Y2086" s="1" t="s">
        <v>1515</v>
      </c>
      <c r="Z2086" s="1" t="str">
        <f t="shared" si="96"/>
        <v>10308 1002</v>
      </c>
      <c r="AA2086" s="3">
        <f>IF(INDEX('CAMD Facility Data 2023'!$AA$2:$AE$10000,MATCH(Z2086,'CAMD Facility Data 2023'!$AE$2:$AE$10000,0),1)&gt;0,INDEX('CAMD Facility Data 2023'!$AA$2:$AE$10000,MATCH(Z2086,'CAMD Facility Data 2023'!$AE$2:$AE$10000,0),1),"")</f>
        <v>33463</v>
      </c>
      <c r="AB2086" s="5">
        <f>IF(INDEX('CAMD Facility Data 2023'!$AC$2:$AE$10000,MATCH(Z2086,'CAMD Facility Data 2023'!$AE$2:$AE$10000,0),1)&gt;0,INDEX('CAMD Facility Data 2023'!$AC$2:$AE$10000,MATCH(Z2086,'CAMD Facility Data 2023'!$AE$2:$AE$10000,0),1),"")</f>
        <v>1400</v>
      </c>
      <c r="AC2086" s="1" t="str">
        <f>IF(INDEX('CAMD Facility Data 2023'!$AE$2:$AG$10000,MATCH(Z2086,'CAMD Facility Data 2023'!$AE$2:$AE$10000,0),3)&gt;0,INDEX('CAMD Facility Data 2023'!$AE$2:$AG$10000,MATCH(Z2086,'CAMD Facility Data 2023'!$AE$2:$AE$10000,0),3),"")</f>
        <v/>
      </c>
      <c r="AD2086" s="20">
        <f t="shared" si="97"/>
        <v>0.70180876056944963</v>
      </c>
      <c r="AE2086" s="25">
        <f t="shared" si="98"/>
        <v>0.35113587141226349</v>
      </c>
    </row>
    <row r="2087" spans="1:31" x14ac:dyDescent="0.2">
      <c r="A2087" s="1" t="s">
        <v>370</v>
      </c>
      <c r="B2087" s="1" t="s">
        <v>4842</v>
      </c>
      <c r="C2087" s="1">
        <v>10349</v>
      </c>
      <c r="D2087" s="1">
        <v>2</v>
      </c>
      <c r="F2087" s="1">
        <v>2023</v>
      </c>
      <c r="G2087" s="5">
        <v>1935</v>
      </c>
      <c r="H2087" s="5">
        <v>1714.5</v>
      </c>
      <c r="I2087" s="5">
        <v>51699.73</v>
      </c>
      <c r="K2087" s="5">
        <v>0.159</v>
      </c>
      <c r="L2087" s="5">
        <v>1E-3</v>
      </c>
      <c r="M2087" s="5">
        <v>31572.885999999999</v>
      </c>
      <c r="N2087" s="6">
        <v>5.9299999999999999E-2</v>
      </c>
      <c r="O2087" s="5">
        <v>14.138</v>
      </c>
      <c r="P2087" s="6">
        <v>0.15570000000000001</v>
      </c>
      <c r="Q2087" s="5">
        <v>531279.34400000004</v>
      </c>
      <c r="R2087" s="1" t="s">
        <v>44</v>
      </c>
      <c r="T2087" s="1" t="s">
        <v>93</v>
      </c>
      <c r="V2087" s="1" t="s">
        <v>176</v>
      </c>
      <c r="Y2087" s="1" t="s">
        <v>247</v>
      </c>
      <c r="Z2087" s="1" t="str">
        <f t="shared" si="96"/>
        <v>10349 2</v>
      </c>
      <c r="AA2087" s="3">
        <f>IF(INDEX('CAMD Facility Data 2023'!$AA$2:$AE$10000,MATCH(Z2087,'CAMD Facility Data 2023'!$AE$2:$AE$10000,0),1)&gt;0,INDEX('CAMD Facility Data 2023'!$AA$2:$AE$10000,MATCH(Z2087,'CAMD Facility Data 2023'!$AE$2:$AE$10000,0),1),"")</f>
        <v>37423</v>
      </c>
      <c r="AB2087" s="5">
        <f>IF(INDEX('CAMD Facility Data 2023'!$AC$2:$AE$10000,MATCH(Z2087,'CAMD Facility Data 2023'!$AE$2:$AE$10000,0),1)&gt;0,INDEX('CAMD Facility Data 2023'!$AC$2:$AE$10000,MATCH(Z2087,'CAMD Facility Data 2023'!$AE$2:$AE$10000,0),1),"")</f>
        <v>500</v>
      </c>
      <c r="AC2087" s="1" t="str">
        <f>IF(INDEX('CAMD Facility Data 2023'!$AE$2:$AG$10000,MATCH(Z2087,'CAMD Facility Data 2023'!$AE$2:$AE$10000,0),3)&gt;0,INDEX('CAMD Facility Data 2023'!$AE$2:$AG$10000,MATCH(Z2087,'CAMD Facility Data 2023'!$AE$2:$AE$10000,0),3),"")</f>
        <v>Y</v>
      </c>
      <c r="AD2087" s="20">
        <f t="shared" si="97"/>
        <v>0.54692742109098047</v>
      </c>
      <c r="AE2087" s="25">
        <f t="shared" si="98"/>
        <v>0.12129665388127855</v>
      </c>
    </row>
    <row r="2088" spans="1:31" x14ac:dyDescent="0.2">
      <c r="A2088" s="1" t="s">
        <v>370</v>
      </c>
      <c r="B2088" s="1" t="s">
        <v>4846</v>
      </c>
      <c r="C2088" s="1">
        <v>10350</v>
      </c>
      <c r="D2088" s="1" t="s">
        <v>4847</v>
      </c>
      <c r="F2088" s="1">
        <v>2023</v>
      </c>
      <c r="G2088" s="5">
        <v>91</v>
      </c>
      <c r="H2088" s="5">
        <v>56.77</v>
      </c>
      <c r="I2088" s="5">
        <v>1371.77</v>
      </c>
      <c r="K2088" s="5">
        <v>4.0000000000000001E-3</v>
      </c>
      <c r="L2088" s="5">
        <v>8.9999999999999998E-4</v>
      </c>
      <c r="M2088" s="5">
        <v>856.82100000000003</v>
      </c>
      <c r="N2088" s="6">
        <v>5.9400000000000001E-2</v>
      </c>
      <c r="O2088" s="5">
        <v>7.5999999999999998E-2</v>
      </c>
      <c r="P2088" s="6">
        <v>1.7500000000000002E-2</v>
      </c>
      <c r="Q2088" s="5">
        <v>14420.288</v>
      </c>
      <c r="R2088" s="1" t="s">
        <v>44</v>
      </c>
      <c r="T2088" s="1" t="s">
        <v>93</v>
      </c>
      <c r="V2088" s="1" t="s">
        <v>176</v>
      </c>
      <c r="Y2088" s="1" t="s">
        <v>247</v>
      </c>
      <c r="Z2088" s="1" t="str">
        <f t="shared" si="96"/>
        <v>10350 CTGA</v>
      </c>
      <c r="AA2088" s="3">
        <f>IF(INDEX('CAMD Facility Data 2023'!$AA$2:$AE$10000,MATCH(Z2088,'CAMD Facility Data 2023'!$AE$2:$AE$10000,0),1)&gt;0,INDEX('CAMD Facility Data 2023'!$AA$2:$AE$10000,MATCH(Z2088,'CAMD Facility Data 2023'!$AE$2:$AE$10000,0),1),"")</f>
        <v>44456</v>
      </c>
      <c r="AB2088" s="5">
        <f>IF(INDEX('CAMD Facility Data 2023'!$AC$2:$AE$10000,MATCH(Z2088,'CAMD Facility Data 2023'!$AE$2:$AE$10000,0),1)&gt;0,INDEX('CAMD Facility Data 2023'!$AC$2:$AE$10000,MATCH(Z2088,'CAMD Facility Data 2023'!$AE$2:$AE$10000,0),1),"")</f>
        <v>366.1</v>
      </c>
      <c r="AC2088" s="1" t="str">
        <f>IF(INDEX('CAMD Facility Data 2023'!$AE$2:$AG$10000,MATCH(Z2088,'CAMD Facility Data 2023'!$AE$2:$AE$10000,0),3)&gt;0,INDEX('CAMD Facility Data 2023'!$AE$2:$AG$10000,MATCH(Z2088,'CAMD Facility Data 2023'!$AE$2:$AE$10000,0),3),"")</f>
        <v>Y</v>
      </c>
      <c r="AD2088" s="20">
        <f t="shared" si="97"/>
        <v>0.110805747319157</v>
      </c>
      <c r="AE2088" s="25">
        <f t="shared" si="98"/>
        <v>4.4964534230360993E-3</v>
      </c>
    </row>
    <row r="2089" spans="1:31" x14ac:dyDescent="0.2">
      <c r="A2089" s="1" t="s">
        <v>370</v>
      </c>
      <c r="B2089" s="1" t="s">
        <v>4846</v>
      </c>
      <c r="C2089" s="1">
        <v>10350</v>
      </c>
      <c r="D2089" s="1" t="s">
        <v>4850</v>
      </c>
      <c r="F2089" s="1">
        <v>2023</v>
      </c>
      <c r="G2089" s="5">
        <v>87</v>
      </c>
      <c r="H2089" s="5">
        <v>50.5</v>
      </c>
      <c r="I2089" s="5">
        <v>1198.06</v>
      </c>
      <c r="K2089" s="5">
        <v>4.0000000000000001E-3</v>
      </c>
      <c r="L2089" s="5">
        <v>1E-3</v>
      </c>
      <c r="M2089" s="5">
        <v>729.12599999999998</v>
      </c>
      <c r="N2089" s="6">
        <v>5.9400000000000001E-2</v>
      </c>
      <c r="O2089" s="5">
        <v>8.5000000000000006E-2</v>
      </c>
      <c r="P2089" s="6">
        <v>3.73E-2</v>
      </c>
      <c r="Q2089" s="5">
        <v>12268.976000000001</v>
      </c>
      <c r="R2089" s="1" t="s">
        <v>44</v>
      </c>
      <c r="T2089" s="1" t="s">
        <v>93</v>
      </c>
      <c r="V2089" s="1" t="s">
        <v>176</v>
      </c>
      <c r="Y2089" s="1" t="s">
        <v>247</v>
      </c>
      <c r="Z2089" s="1" t="str">
        <f t="shared" si="96"/>
        <v>10350 CTGB</v>
      </c>
      <c r="AA2089" s="3">
        <f>IF(INDEX('CAMD Facility Data 2023'!$AA$2:$AE$10000,MATCH(Z2089,'CAMD Facility Data 2023'!$AE$2:$AE$10000,0),1)&gt;0,INDEX('CAMD Facility Data 2023'!$AA$2:$AE$10000,MATCH(Z2089,'CAMD Facility Data 2023'!$AE$2:$AE$10000,0),1),"")</f>
        <v>44457</v>
      </c>
      <c r="AB2089" s="5">
        <f>IF(INDEX('CAMD Facility Data 2023'!$AC$2:$AE$10000,MATCH(Z2089,'CAMD Facility Data 2023'!$AE$2:$AE$10000,0),1)&gt;0,INDEX('CAMD Facility Data 2023'!$AC$2:$AE$10000,MATCH(Z2089,'CAMD Facility Data 2023'!$AE$2:$AE$10000,0),1),"")</f>
        <v>366.1</v>
      </c>
      <c r="AC2089" s="1" t="str">
        <f>IF(INDEX('CAMD Facility Data 2023'!$AE$2:$AG$10000,MATCH(Z2089,'CAMD Facility Data 2023'!$AE$2:$AE$10000,0),3)&gt;0,INDEX('CAMD Facility Data 2023'!$AE$2:$AG$10000,MATCH(Z2089,'CAMD Facility Data 2023'!$AE$2:$AE$10000,0),3),"")</f>
        <v>Y</v>
      </c>
      <c r="AD2089" s="20">
        <f t="shared" si="97"/>
        <v>0.14189606530557736</v>
      </c>
      <c r="AE2089" s="25">
        <f t="shared" si="98"/>
        <v>3.8256433666475839E-3</v>
      </c>
    </row>
    <row r="2090" spans="1:31" x14ac:dyDescent="0.2">
      <c r="A2090" s="1" t="s">
        <v>370</v>
      </c>
      <c r="B2090" s="1" t="s">
        <v>4852</v>
      </c>
      <c r="C2090" s="1">
        <v>10405</v>
      </c>
      <c r="D2090" s="1">
        <v>1</v>
      </c>
      <c r="F2090" s="1">
        <v>2023</v>
      </c>
      <c r="G2090" s="5">
        <v>264</v>
      </c>
      <c r="H2090" s="5">
        <v>202.25</v>
      </c>
      <c r="I2090" s="5">
        <v>3902.07</v>
      </c>
      <c r="K2090" s="5">
        <v>1.4999999999999999E-2</v>
      </c>
      <c r="L2090" s="5">
        <v>8.9999999999999998E-4</v>
      </c>
      <c r="M2090" s="5">
        <v>2961.8670000000002</v>
      </c>
      <c r="N2090" s="6">
        <v>5.9700000000000003E-2</v>
      </c>
      <c r="O2090" s="5">
        <v>0.76800000000000002</v>
      </c>
      <c r="P2090" s="6">
        <v>3.5499999999999997E-2</v>
      </c>
      <c r="Q2090" s="5">
        <v>49847.256000000001</v>
      </c>
      <c r="R2090" s="1" t="s">
        <v>44</v>
      </c>
      <c r="T2090" s="1" t="s">
        <v>71</v>
      </c>
      <c r="V2090" s="1" t="s">
        <v>223</v>
      </c>
      <c r="Y2090" s="1" t="s">
        <v>247</v>
      </c>
      <c r="Z2090" s="1" t="str">
        <f t="shared" si="96"/>
        <v>10405 1</v>
      </c>
      <c r="AA2090" s="3">
        <f>IF(INDEX('CAMD Facility Data 2023'!$AA$2:$AE$10000,MATCH(Z2090,'CAMD Facility Data 2023'!$AE$2:$AE$10000,0),1)&gt;0,INDEX('CAMD Facility Data 2023'!$AA$2:$AE$10000,MATCH(Z2090,'CAMD Facility Data 2023'!$AE$2:$AE$10000,0),1),"")</f>
        <v>33335</v>
      </c>
      <c r="AB2090" s="5">
        <f>IF(INDEX('CAMD Facility Data 2023'!$AC$2:$AE$10000,MATCH(Z2090,'CAMD Facility Data 2023'!$AE$2:$AE$10000,0),1)&gt;0,INDEX('CAMD Facility Data 2023'!$AC$2:$AE$10000,MATCH(Z2090,'CAMD Facility Data 2023'!$AE$2:$AE$10000,0),1),"")</f>
        <v>425</v>
      </c>
      <c r="AC2090" s="1" t="str">
        <f>IF(INDEX('CAMD Facility Data 2023'!$AE$2:$AG$10000,MATCH(Z2090,'CAMD Facility Data 2023'!$AE$2:$AE$10000,0),3)&gt;0,INDEX('CAMD Facility Data 2023'!$AE$2:$AG$10000,MATCH(Z2090,'CAMD Facility Data 2023'!$AE$2:$AE$10000,0),3),"")</f>
        <v>Y</v>
      </c>
      <c r="AD2090" s="20">
        <f t="shared" si="97"/>
        <v>0.39363722331993017</v>
      </c>
      <c r="AE2090" s="25">
        <f t="shared" si="98"/>
        <v>1.3389002417405319E-2</v>
      </c>
    </row>
    <row r="2091" spans="1:31" x14ac:dyDescent="0.2">
      <c r="A2091" s="1" t="s">
        <v>2089</v>
      </c>
      <c r="B2091" s="1" t="s">
        <v>4855</v>
      </c>
      <c r="C2091" s="1">
        <v>10464</v>
      </c>
      <c r="D2091" s="1" t="s">
        <v>4856</v>
      </c>
      <c r="E2091" s="1" t="s">
        <v>4857</v>
      </c>
      <c r="F2091" s="1">
        <v>2023</v>
      </c>
      <c r="G2091" s="5">
        <v>2475</v>
      </c>
      <c r="H2091" s="5">
        <v>2470.1</v>
      </c>
      <c r="J2091" s="5">
        <v>279585.81</v>
      </c>
      <c r="K2091" s="5">
        <v>2.278</v>
      </c>
      <c r="L2091" s="5">
        <v>0.01</v>
      </c>
      <c r="M2091" s="5">
        <v>48801.042000000001</v>
      </c>
      <c r="N2091" s="6">
        <v>0.1047</v>
      </c>
      <c r="O2091" s="5">
        <v>31.215</v>
      </c>
      <c r="P2091" s="6">
        <v>0.1353</v>
      </c>
      <c r="Q2091" s="5">
        <v>463101.78600000002</v>
      </c>
      <c r="R2091" s="1" t="s">
        <v>657</v>
      </c>
      <c r="S2091" s="1" t="s">
        <v>4860</v>
      </c>
      <c r="T2091" s="1" t="s">
        <v>885</v>
      </c>
      <c r="W2091" s="1" t="s">
        <v>232</v>
      </c>
      <c r="Y2091" s="1" t="s">
        <v>1528</v>
      </c>
      <c r="Z2091" s="1" t="str">
        <f t="shared" si="96"/>
        <v>10464 E0001</v>
      </c>
      <c r="AA2091" s="3">
        <f>IF(INDEX('CAMD Facility Data 2023'!$AA$2:$AE$10000,MATCH(Z2091,'CAMD Facility Data 2023'!$AE$2:$AE$10000,0),1)&gt;0,INDEX('CAMD Facility Data 2023'!$AA$2:$AE$10000,MATCH(Z2091,'CAMD Facility Data 2023'!$AE$2:$AE$10000,0),1),"")</f>
        <v>33543</v>
      </c>
      <c r="AB2091" s="5">
        <f>IF(INDEX('CAMD Facility Data 2023'!$AC$2:$AE$10000,MATCH(Z2091,'CAMD Facility Data 2023'!$AE$2:$AE$10000,0),1)&gt;0,INDEX('CAMD Facility Data 2023'!$AC$2:$AE$10000,MATCH(Z2091,'CAMD Facility Data 2023'!$AE$2:$AE$10000,0),1),"")</f>
        <v>288</v>
      </c>
      <c r="AC2091" s="1" t="str">
        <f>IF(INDEX('CAMD Facility Data 2023'!$AE$2:$AG$10000,MATCH(Z2091,'CAMD Facility Data 2023'!$AE$2:$AE$10000,0),3)&gt;0,INDEX('CAMD Facility Data 2023'!$AE$2:$AG$10000,MATCH(Z2091,'CAMD Facility Data 2023'!$AE$2:$AE$10000,0),3),"")</f>
        <v/>
      </c>
      <c r="AD2091" s="20" t="str">
        <f t="shared" si="97"/>
        <v/>
      </c>
      <c r="AE2091" s="25">
        <f t="shared" si="98"/>
        <v>0.18356076626712331</v>
      </c>
    </row>
    <row r="2092" spans="1:31" x14ac:dyDescent="0.2">
      <c r="A2092" s="1" t="s">
        <v>2089</v>
      </c>
      <c r="B2092" s="1" t="s">
        <v>4855</v>
      </c>
      <c r="C2092" s="1">
        <v>10464</v>
      </c>
      <c r="D2092" s="1" t="s">
        <v>4862</v>
      </c>
      <c r="E2092" s="1" t="s">
        <v>4857</v>
      </c>
      <c r="F2092" s="1">
        <v>2023</v>
      </c>
      <c r="G2092" s="5">
        <v>2370</v>
      </c>
      <c r="H2092" s="5">
        <v>2366.65</v>
      </c>
      <c r="J2092" s="5">
        <v>268351</v>
      </c>
      <c r="K2092" s="5">
        <v>2.3140000000000001</v>
      </c>
      <c r="L2092" s="5">
        <v>9.1000000000000004E-3</v>
      </c>
      <c r="M2092" s="5">
        <v>46896.222999999998</v>
      </c>
      <c r="N2092" s="6">
        <v>0.1053</v>
      </c>
      <c r="O2092" s="5">
        <v>29.555</v>
      </c>
      <c r="P2092" s="6">
        <v>0.13439999999999999</v>
      </c>
      <c r="Q2092" s="5">
        <v>445133.8</v>
      </c>
      <c r="R2092" s="1" t="s">
        <v>657</v>
      </c>
      <c r="S2092" s="1" t="s">
        <v>4860</v>
      </c>
      <c r="T2092" s="1" t="s">
        <v>885</v>
      </c>
      <c r="W2092" s="1" t="s">
        <v>232</v>
      </c>
      <c r="Y2092" s="1" t="s">
        <v>1528</v>
      </c>
      <c r="Z2092" s="1" t="str">
        <f t="shared" si="96"/>
        <v>10464 E0002</v>
      </c>
      <c r="AA2092" s="3">
        <f>IF(INDEX('CAMD Facility Data 2023'!$AA$2:$AE$10000,MATCH(Z2092,'CAMD Facility Data 2023'!$AE$2:$AE$10000,0),1)&gt;0,INDEX('CAMD Facility Data 2023'!$AA$2:$AE$10000,MATCH(Z2092,'CAMD Facility Data 2023'!$AE$2:$AE$10000,0),1),"")</f>
        <v>33543</v>
      </c>
      <c r="AB2092" s="5">
        <f>IF(INDEX('CAMD Facility Data 2023'!$AC$2:$AE$10000,MATCH(Z2092,'CAMD Facility Data 2023'!$AE$2:$AE$10000,0),1)&gt;0,INDEX('CAMD Facility Data 2023'!$AC$2:$AE$10000,MATCH(Z2092,'CAMD Facility Data 2023'!$AE$2:$AE$10000,0),1),"")</f>
        <v>288</v>
      </c>
      <c r="AC2092" s="1" t="str">
        <f>IF(INDEX('CAMD Facility Data 2023'!$AE$2:$AG$10000,MATCH(Z2092,'CAMD Facility Data 2023'!$AE$2:$AE$10000,0),3)&gt;0,INDEX('CAMD Facility Data 2023'!$AE$2:$AG$10000,MATCH(Z2092,'CAMD Facility Data 2023'!$AE$2:$AE$10000,0),3),"")</f>
        <v/>
      </c>
      <c r="AD2092" s="20" t="str">
        <f t="shared" si="97"/>
        <v/>
      </c>
      <c r="AE2092" s="25">
        <f t="shared" si="98"/>
        <v>0.17643875253678334</v>
      </c>
    </row>
    <row r="2093" spans="1:31" x14ac:dyDescent="0.2">
      <c r="A2093" s="1" t="s">
        <v>2089</v>
      </c>
      <c r="B2093" s="1" t="s">
        <v>4855</v>
      </c>
      <c r="C2093" s="1">
        <v>10464</v>
      </c>
      <c r="D2093" s="1" t="s">
        <v>4863</v>
      </c>
      <c r="E2093" s="1" t="s">
        <v>4857</v>
      </c>
      <c r="F2093" s="1">
        <v>2023</v>
      </c>
      <c r="G2093" s="5">
        <v>2449</v>
      </c>
      <c r="H2093" s="5">
        <v>2445.4</v>
      </c>
      <c r="J2093" s="5">
        <v>275877</v>
      </c>
      <c r="K2093" s="5">
        <v>1.774</v>
      </c>
      <c r="L2093" s="5">
        <v>8.3999999999999995E-3</v>
      </c>
      <c r="M2093" s="5">
        <v>48201.273999999998</v>
      </c>
      <c r="N2093" s="6">
        <v>0.1047</v>
      </c>
      <c r="O2093" s="5">
        <v>30.834</v>
      </c>
      <c r="P2093" s="6">
        <v>0.13519999999999999</v>
      </c>
      <c r="Q2093" s="5">
        <v>457382.29300000001</v>
      </c>
      <c r="R2093" s="1" t="s">
        <v>657</v>
      </c>
      <c r="S2093" s="1" t="s">
        <v>4860</v>
      </c>
      <c r="T2093" s="1" t="s">
        <v>885</v>
      </c>
      <c r="W2093" s="1" t="s">
        <v>232</v>
      </c>
      <c r="Y2093" s="1" t="s">
        <v>1528</v>
      </c>
      <c r="Z2093" s="1" t="str">
        <f t="shared" si="96"/>
        <v>10464 E0003</v>
      </c>
      <c r="AA2093" s="3">
        <f>IF(INDEX('CAMD Facility Data 2023'!$AA$2:$AE$10000,MATCH(Z2093,'CAMD Facility Data 2023'!$AE$2:$AE$10000,0),1)&gt;0,INDEX('CAMD Facility Data 2023'!$AA$2:$AE$10000,MATCH(Z2093,'CAMD Facility Data 2023'!$AE$2:$AE$10000,0),1),"")</f>
        <v>33543</v>
      </c>
      <c r="AB2093" s="5">
        <f>IF(INDEX('CAMD Facility Data 2023'!$AC$2:$AE$10000,MATCH(Z2093,'CAMD Facility Data 2023'!$AE$2:$AE$10000,0),1)&gt;0,INDEX('CAMD Facility Data 2023'!$AC$2:$AE$10000,MATCH(Z2093,'CAMD Facility Data 2023'!$AE$2:$AE$10000,0),1),"")</f>
        <v>288</v>
      </c>
      <c r="AC2093" s="1" t="str">
        <f>IF(INDEX('CAMD Facility Data 2023'!$AE$2:$AG$10000,MATCH(Z2093,'CAMD Facility Data 2023'!$AE$2:$AE$10000,0),3)&gt;0,INDEX('CAMD Facility Data 2023'!$AE$2:$AG$10000,MATCH(Z2093,'CAMD Facility Data 2023'!$AE$2:$AE$10000,0),3),"")</f>
        <v/>
      </c>
      <c r="AD2093" s="20" t="str">
        <f t="shared" si="97"/>
        <v/>
      </c>
      <c r="AE2093" s="25">
        <f t="shared" si="98"/>
        <v>0.18129371710109082</v>
      </c>
    </row>
    <row r="2094" spans="1:31" x14ac:dyDescent="0.2">
      <c r="A2094" s="1" t="s">
        <v>1153</v>
      </c>
      <c r="B2094" s="1" t="s">
        <v>4864</v>
      </c>
      <c r="C2094" s="1">
        <v>10525</v>
      </c>
      <c r="D2094" s="1" t="s">
        <v>4865</v>
      </c>
      <c r="F2094" s="1">
        <v>2023</v>
      </c>
      <c r="G2094" s="5">
        <v>7739</v>
      </c>
      <c r="H2094" s="5">
        <v>7716.16</v>
      </c>
      <c r="I2094" s="5">
        <v>343065</v>
      </c>
      <c r="K2094" s="5">
        <v>287.5</v>
      </c>
      <c r="L2094" s="5">
        <v>0.12189999999999999</v>
      </c>
      <c r="M2094" s="5">
        <v>515831.83299999998</v>
      </c>
      <c r="N2094" s="6">
        <v>0.1038</v>
      </c>
      <c r="O2094" s="5">
        <v>446.07600000000002</v>
      </c>
      <c r="P2094" s="6">
        <v>0.17849999999999999</v>
      </c>
      <c r="Q2094" s="5">
        <v>4946110.4160000002</v>
      </c>
      <c r="R2094" s="1" t="s">
        <v>657</v>
      </c>
      <c r="S2094" s="1" t="s">
        <v>4870</v>
      </c>
      <c r="T2094" s="1" t="s">
        <v>1660</v>
      </c>
      <c r="W2094" s="1" t="s">
        <v>58</v>
      </c>
      <c r="Y2094" s="1" t="s">
        <v>2319</v>
      </c>
      <c r="Z2094" s="1" t="str">
        <f t="shared" si="96"/>
        <v>10525 ES5A</v>
      </c>
      <c r="AA2094" s="3">
        <f>IF(INDEX('CAMD Facility Data 2023'!$AA$2:$AE$10000,MATCH(Z2094,'CAMD Facility Data 2023'!$AE$2:$AE$10000,0),1)&gt;0,INDEX('CAMD Facility Data 2023'!$AA$2:$AE$10000,MATCH(Z2094,'CAMD Facility Data 2023'!$AE$2:$AE$10000,0),1),"")</f>
        <v>33162</v>
      </c>
      <c r="AB2094" s="5">
        <f>IF(INDEX('CAMD Facility Data 2023'!$AC$2:$AE$10000,MATCH(Z2094,'CAMD Facility Data 2023'!$AE$2:$AE$10000,0),1)&gt;0,INDEX('CAMD Facility Data 2023'!$AC$2:$AE$10000,MATCH(Z2094,'CAMD Facility Data 2023'!$AE$2:$AE$10000,0),1),"")</f>
        <v>990</v>
      </c>
      <c r="AC2094" s="1" t="str">
        <f>IF(INDEX('CAMD Facility Data 2023'!$AE$2:$AG$10000,MATCH(Z2094,'CAMD Facility Data 2023'!$AE$2:$AE$10000,0),3)&gt;0,INDEX('CAMD Facility Data 2023'!$AE$2:$AG$10000,MATCH(Z2094,'CAMD Facility Data 2023'!$AE$2:$AE$10000,0),3),"")</f>
        <v/>
      </c>
      <c r="AD2094" s="20">
        <f t="shared" si="97"/>
        <v>2.6005334266101174</v>
      </c>
      <c r="AE2094" s="25">
        <f t="shared" si="98"/>
        <v>0.57032775425487758</v>
      </c>
    </row>
    <row r="2095" spans="1:31" x14ac:dyDescent="0.2">
      <c r="A2095" s="1" t="s">
        <v>577</v>
      </c>
      <c r="B2095" s="1" t="s">
        <v>4872</v>
      </c>
      <c r="C2095" s="1">
        <v>10567</v>
      </c>
      <c r="D2095" s="1" t="s">
        <v>280</v>
      </c>
      <c r="F2095" s="1">
        <v>2023</v>
      </c>
      <c r="G2095" s="5">
        <v>278</v>
      </c>
      <c r="H2095" s="5">
        <v>233.4</v>
      </c>
      <c r="I2095" s="5">
        <v>5433.03</v>
      </c>
      <c r="M2095" s="5">
        <v>4397.8090000000002</v>
      </c>
      <c r="N2095" s="6">
        <v>6.0499999999999998E-2</v>
      </c>
      <c r="O2095" s="5">
        <v>4.6980000000000004</v>
      </c>
      <c r="P2095" s="6">
        <v>0.13700000000000001</v>
      </c>
      <c r="Q2095" s="5">
        <v>72779.880999999994</v>
      </c>
      <c r="R2095" s="1" t="s">
        <v>44</v>
      </c>
      <c r="S2095" s="1" t="s">
        <v>173</v>
      </c>
      <c r="T2095" s="1" t="s">
        <v>71</v>
      </c>
      <c r="V2095" s="1" t="s">
        <v>1606</v>
      </c>
      <c r="Y2095" s="1" t="s">
        <v>617</v>
      </c>
      <c r="Z2095" s="1" t="str">
        <f t="shared" si="96"/>
        <v>10567 GT1</v>
      </c>
      <c r="AA2095" s="3">
        <f>IF(INDEX('CAMD Facility Data 2023'!$AA$2:$AE$10000,MATCH(Z2095,'CAMD Facility Data 2023'!$AE$2:$AE$10000,0),1)&gt;0,INDEX('CAMD Facility Data 2023'!$AA$2:$AE$10000,MATCH(Z2095,'CAMD Facility Data 2023'!$AE$2:$AE$10000,0),1),"")</f>
        <v>32977</v>
      </c>
      <c r="AB2095" s="5">
        <f>IF(INDEX('CAMD Facility Data 2023'!$AC$2:$AE$10000,MATCH(Z2095,'CAMD Facility Data 2023'!$AE$2:$AE$10000,0),1)&gt;0,INDEX('CAMD Facility Data 2023'!$AC$2:$AE$10000,MATCH(Z2095,'CAMD Facility Data 2023'!$AE$2:$AE$10000,0),1),"")</f>
        <v>555.20000000000005</v>
      </c>
      <c r="AC2095" s="1" t="str">
        <f>IF(INDEX('CAMD Facility Data 2023'!$AE$2:$AG$10000,MATCH(Z2095,'CAMD Facility Data 2023'!$AE$2:$AE$10000,0),3)&gt;0,INDEX('CAMD Facility Data 2023'!$AE$2:$AG$10000,MATCH(Z2095,'CAMD Facility Data 2023'!$AE$2:$AE$10000,0),3),"")</f>
        <v/>
      </c>
      <c r="AD2095" s="20">
        <f t="shared" si="97"/>
        <v>1.7294217039110773</v>
      </c>
      <c r="AE2095" s="25">
        <f t="shared" si="98"/>
        <v>1.4964347250733619E-2</v>
      </c>
    </row>
    <row r="2096" spans="1:31" x14ac:dyDescent="0.2">
      <c r="A2096" s="1" t="s">
        <v>2584</v>
      </c>
      <c r="B2096" s="1" t="s">
        <v>4876</v>
      </c>
      <c r="C2096" s="1">
        <v>10603</v>
      </c>
      <c r="D2096" s="1">
        <v>31</v>
      </c>
      <c r="F2096" s="1">
        <v>2023</v>
      </c>
      <c r="G2096" s="5">
        <v>6408</v>
      </c>
      <c r="H2096" s="5">
        <v>6403.65</v>
      </c>
      <c r="I2096" s="5">
        <v>330514.96999999997</v>
      </c>
      <c r="K2096" s="5">
        <v>1217.24</v>
      </c>
      <c r="L2096" s="5">
        <v>0.58819999999999995</v>
      </c>
      <c r="M2096" s="5">
        <v>434639.72499999998</v>
      </c>
      <c r="N2096" s="6">
        <v>0.1051</v>
      </c>
      <c r="O2096" s="5">
        <v>150.86199999999999</v>
      </c>
      <c r="P2096" s="6">
        <v>7.3200000000000001E-2</v>
      </c>
      <c r="Q2096" s="5">
        <v>4121661.2889999999</v>
      </c>
      <c r="R2096" s="1" t="s">
        <v>55</v>
      </c>
      <c r="T2096" s="1" t="s">
        <v>885</v>
      </c>
      <c r="U2096" s="1" t="s">
        <v>1069</v>
      </c>
      <c r="W2096" s="1" t="s">
        <v>232</v>
      </c>
      <c r="Y2096" s="1" t="s">
        <v>682</v>
      </c>
      <c r="Z2096" s="1" t="str">
        <f t="shared" si="96"/>
        <v>10603 31</v>
      </c>
      <c r="AA2096" s="3">
        <f>IF(INDEX('CAMD Facility Data 2023'!$AA$2:$AE$10000,MATCH(Z2096,'CAMD Facility Data 2023'!$AE$2:$AE$10000,0),1)&gt;0,INDEX('CAMD Facility Data 2023'!$AA$2:$AE$10000,MATCH(Z2096,'CAMD Facility Data 2023'!$AE$2:$AE$10000,0),1),"")</f>
        <v>33370</v>
      </c>
      <c r="AB2096" s="5">
        <f>IF(INDEX('CAMD Facility Data 2023'!$AC$2:$AE$10000,MATCH(Z2096,'CAMD Facility Data 2023'!$AE$2:$AE$10000,0),1)&gt;0,INDEX('CAMD Facility Data 2023'!$AC$2:$AE$10000,MATCH(Z2096,'CAMD Facility Data 2023'!$AE$2:$AE$10000,0),1),"")</f>
        <v>930</v>
      </c>
      <c r="AC2096" s="1" t="str">
        <f>IF(INDEX('CAMD Facility Data 2023'!$AE$2:$AG$10000,MATCH(Z2096,'CAMD Facility Data 2023'!$AE$2:$AE$10000,0),3)&gt;0,INDEX('CAMD Facility Data 2023'!$AE$2:$AG$10000,MATCH(Z2096,'CAMD Facility Data 2023'!$AE$2:$AE$10000,0),3),"")</f>
        <v/>
      </c>
      <c r="AD2096" s="20">
        <f t="shared" si="97"/>
        <v>0.91289057194595458</v>
      </c>
      <c r="AE2096" s="25">
        <f t="shared" si="98"/>
        <v>0.50592395652280653</v>
      </c>
    </row>
    <row r="2097" spans="1:31" x14ac:dyDescent="0.2">
      <c r="A2097" s="1" t="s">
        <v>2089</v>
      </c>
      <c r="B2097" s="1" t="s">
        <v>4879</v>
      </c>
      <c r="C2097" s="1">
        <v>10617</v>
      </c>
      <c r="D2097" s="1">
        <v>1</v>
      </c>
      <c r="F2097" s="1">
        <v>2023</v>
      </c>
      <c r="G2097" s="5">
        <v>83</v>
      </c>
      <c r="H2097" s="5">
        <v>79.13</v>
      </c>
      <c r="I2097" s="5">
        <v>4861.17</v>
      </c>
      <c r="K2097" s="5">
        <v>1.2999999999999999E-2</v>
      </c>
      <c r="L2097" s="5">
        <v>1E-3</v>
      </c>
      <c r="M2097" s="5">
        <v>2510.9740000000002</v>
      </c>
      <c r="N2097" s="6">
        <v>5.91E-2</v>
      </c>
      <c r="O2097" s="5">
        <v>0.60599999999999998</v>
      </c>
      <c r="P2097" s="6">
        <v>4.0300000000000002E-2</v>
      </c>
      <c r="Q2097" s="5">
        <v>42254.879000000001</v>
      </c>
      <c r="R2097" s="1" t="s">
        <v>44</v>
      </c>
      <c r="S2097" s="1" t="s">
        <v>94</v>
      </c>
      <c r="T2097" s="1" t="s">
        <v>71</v>
      </c>
      <c r="V2097" s="1" t="s">
        <v>4050</v>
      </c>
      <c r="Y2097" s="1" t="s">
        <v>1528</v>
      </c>
      <c r="Z2097" s="1" t="str">
        <f t="shared" si="96"/>
        <v>10617 1</v>
      </c>
      <c r="AA2097" s="3">
        <f>IF(INDEX('CAMD Facility Data 2023'!$AA$2:$AE$10000,MATCH(Z2097,'CAMD Facility Data 2023'!$AE$2:$AE$10000,0),1)&gt;0,INDEX('CAMD Facility Data 2023'!$AA$2:$AE$10000,MATCH(Z2097,'CAMD Facility Data 2023'!$AE$2:$AE$10000,0),1),"")</f>
        <v>34700</v>
      </c>
      <c r="AB2097" s="5">
        <f>IF(INDEX('CAMD Facility Data 2023'!$AC$2:$AE$10000,MATCH(Z2097,'CAMD Facility Data 2023'!$AE$2:$AE$10000,0),1)&gt;0,INDEX('CAMD Facility Data 2023'!$AC$2:$AE$10000,MATCH(Z2097,'CAMD Facility Data 2023'!$AE$2:$AE$10000,0),1),"")</f>
        <v>812</v>
      </c>
      <c r="AC2097" s="1" t="str">
        <f>IF(INDEX('CAMD Facility Data 2023'!$AE$2:$AG$10000,MATCH(Z2097,'CAMD Facility Data 2023'!$AE$2:$AE$10000,0),3)&gt;0,INDEX('CAMD Facility Data 2023'!$AE$2:$AG$10000,MATCH(Z2097,'CAMD Facility Data 2023'!$AE$2:$AE$10000,0),3),"")</f>
        <v>Y</v>
      </c>
      <c r="AD2097" s="20">
        <f t="shared" si="97"/>
        <v>0.2493226939193651</v>
      </c>
      <c r="AE2097" s="25">
        <f t="shared" si="98"/>
        <v>5.940414192365657E-3</v>
      </c>
    </row>
    <row r="2098" spans="1:31" x14ac:dyDescent="0.2">
      <c r="A2098" s="1" t="s">
        <v>2089</v>
      </c>
      <c r="B2098" s="1" t="s">
        <v>4883</v>
      </c>
      <c r="C2098" s="1">
        <v>10619</v>
      </c>
      <c r="D2098" s="1">
        <v>1</v>
      </c>
      <c r="F2098" s="1">
        <v>2023</v>
      </c>
      <c r="G2098" s="5">
        <v>311</v>
      </c>
      <c r="H2098" s="5">
        <v>265.66000000000003</v>
      </c>
      <c r="I2098" s="5">
        <v>12637.49</v>
      </c>
      <c r="K2098" s="5">
        <v>0.03</v>
      </c>
      <c r="L2098" s="5">
        <v>1E-3</v>
      </c>
      <c r="M2098" s="5">
        <v>5982.5330000000004</v>
      </c>
      <c r="N2098" s="6">
        <v>5.9299999999999999E-2</v>
      </c>
      <c r="O2098" s="5">
        <v>1.5469999999999999</v>
      </c>
      <c r="P2098" s="6">
        <v>4.2099999999999999E-2</v>
      </c>
      <c r="Q2098" s="5">
        <v>100660.599</v>
      </c>
      <c r="R2098" s="1" t="s">
        <v>44</v>
      </c>
      <c r="T2098" s="1" t="s">
        <v>71</v>
      </c>
      <c r="V2098" s="1" t="s">
        <v>176</v>
      </c>
      <c r="Y2098" s="1" t="s">
        <v>1515</v>
      </c>
      <c r="Z2098" s="1" t="str">
        <f t="shared" si="96"/>
        <v>10619 1</v>
      </c>
      <c r="AA2098" s="3">
        <f>IF(INDEX('CAMD Facility Data 2023'!$AA$2:$AE$10000,MATCH(Z2098,'CAMD Facility Data 2023'!$AE$2:$AE$10000,0),1)&gt;0,INDEX('CAMD Facility Data 2023'!$AA$2:$AE$10000,MATCH(Z2098,'CAMD Facility Data 2023'!$AE$2:$AE$10000,0),1),"")</f>
        <v>35108</v>
      </c>
      <c r="AB2098" s="5">
        <f>IF(INDEX('CAMD Facility Data 2023'!$AC$2:$AE$10000,MATCH(Z2098,'CAMD Facility Data 2023'!$AE$2:$AE$10000,0),1)&gt;0,INDEX('CAMD Facility Data 2023'!$AC$2:$AE$10000,MATCH(Z2098,'CAMD Facility Data 2023'!$AE$2:$AE$10000,0),1),"")</f>
        <v>540</v>
      </c>
      <c r="AC2098" s="1" t="str">
        <f>IF(INDEX('CAMD Facility Data 2023'!$AE$2:$AG$10000,MATCH(Z2098,'CAMD Facility Data 2023'!$AE$2:$AE$10000,0),3)&gt;0,INDEX('CAMD Facility Data 2023'!$AE$2:$AG$10000,MATCH(Z2098,'CAMD Facility Data 2023'!$AE$2:$AE$10000,0),3),"")</f>
        <v>Y</v>
      </c>
      <c r="AD2098" s="20">
        <f t="shared" si="97"/>
        <v>0.24482709778603187</v>
      </c>
      <c r="AE2098" s="25">
        <f t="shared" si="98"/>
        <v>2.1279511035007612E-2</v>
      </c>
    </row>
    <row r="2099" spans="1:31" x14ac:dyDescent="0.2">
      <c r="A2099" s="1" t="s">
        <v>2089</v>
      </c>
      <c r="B2099" s="1" t="s">
        <v>4888</v>
      </c>
      <c r="C2099" s="1">
        <v>10620</v>
      </c>
      <c r="D2099" s="1">
        <v>1</v>
      </c>
      <c r="F2099" s="1">
        <v>2023</v>
      </c>
      <c r="G2099" s="5">
        <v>75</v>
      </c>
      <c r="H2099" s="5">
        <v>60.24</v>
      </c>
      <c r="I2099" s="5">
        <v>2292.92</v>
      </c>
      <c r="K2099" s="5">
        <v>7.0000000000000001E-3</v>
      </c>
      <c r="L2099" s="5">
        <v>1E-3</v>
      </c>
      <c r="M2099" s="5">
        <v>1300.4000000000001</v>
      </c>
      <c r="N2099" s="6">
        <v>5.9299999999999999E-2</v>
      </c>
      <c r="O2099" s="5">
        <v>2.3050000000000002</v>
      </c>
      <c r="P2099" s="6">
        <v>0.2346</v>
      </c>
      <c r="Q2099" s="5">
        <v>21885.463</v>
      </c>
      <c r="R2099" s="1" t="s">
        <v>44</v>
      </c>
      <c r="S2099" s="1" t="s">
        <v>94</v>
      </c>
      <c r="T2099" s="1" t="s">
        <v>71</v>
      </c>
      <c r="V2099" s="1" t="s">
        <v>1606</v>
      </c>
      <c r="Y2099" s="1" t="s">
        <v>1515</v>
      </c>
      <c r="Z2099" s="1" t="str">
        <f t="shared" si="96"/>
        <v>10620 1</v>
      </c>
      <c r="AA2099" s="3">
        <f>IF(INDEX('CAMD Facility Data 2023'!$AA$2:$AE$10000,MATCH(Z2099,'CAMD Facility Data 2023'!$AE$2:$AE$10000,0),1)&gt;0,INDEX('CAMD Facility Data 2023'!$AA$2:$AE$10000,MATCH(Z2099,'CAMD Facility Data 2023'!$AE$2:$AE$10000,0),1),"")</f>
        <v>33543</v>
      </c>
      <c r="AB2099" s="5">
        <f>IF(INDEX('CAMD Facility Data 2023'!$AC$2:$AE$10000,MATCH(Z2099,'CAMD Facility Data 2023'!$AE$2:$AE$10000,0),1)&gt;0,INDEX('CAMD Facility Data 2023'!$AC$2:$AE$10000,MATCH(Z2099,'CAMD Facility Data 2023'!$AE$2:$AE$10000,0),1),"")</f>
        <v>583</v>
      </c>
      <c r="AC2099" s="1" t="str">
        <f>IF(INDEX('CAMD Facility Data 2023'!$AE$2:$AG$10000,MATCH(Z2099,'CAMD Facility Data 2023'!$AE$2:$AE$10000,0),3)&gt;0,INDEX('CAMD Facility Data 2023'!$AE$2:$AG$10000,MATCH(Z2099,'CAMD Facility Data 2023'!$AE$2:$AE$10000,0),3),"")</f>
        <v/>
      </c>
      <c r="AD2099" s="20">
        <f t="shared" si="97"/>
        <v>2.0105367827922476</v>
      </c>
      <c r="AE2099" s="25">
        <f t="shared" si="98"/>
        <v>4.2853182248956349E-3</v>
      </c>
    </row>
    <row r="2100" spans="1:31" x14ac:dyDescent="0.2">
      <c r="A2100" s="1" t="s">
        <v>2089</v>
      </c>
      <c r="B2100" s="1" t="s">
        <v>4891</v>
      </c>
      <c r="C2100" s="1">
        <v>10621</v>
      </c>
      <c r="D2100" s="1">
        <v>1</v>
      </c>
      <c r="F2100" s="1">
        <v>2023</v>
      </c>
      <c r="G2100" s="5">
        <v>208</v>
      </c>
      <c r="H2100" s="5">
        <v>189.79</v>
      </c>
      <c r="I2100" s="5">
        <v>12237.82</v>
      </c>
      <c r="K2100" s="5">
        <v>3.1E-2</v>
      </c>
      <c r="L2100" s="5">
        <v>1E-3</v>
      </c>
      <c r="M2100" s="5">
        <v>6152.9859999999999</v>
      </c>
      <c r="N2100" s="6">
        <v>5.9200000000000003E-2</v>
      </c>
      <c r="O2100" s="5">
        <v>6.3440000000000003</v>
      </c>
      <c r="P2100" s="6">
        <v>0.32240000000000002</v>
      </c>
      <c r="Q2100" s="5">
        <v>103536.573</v>
      </c>
      <c r="R2100" s="1" t="s">
        <v>44</v>
      </c>
      <c r="S2100" s="1" t="s">
        <v>94</v>
      </c>
      <c r="T2100" s="1" t="s">
        <v>71</v>
      </c>
      <c r="V2100" s="1" t="s">
        <v>4050</v>
      </c>
      <c r="Y2100" s="1" t="s">
        <v>1515</v>
      </c>
      <c r="Z2100" s="1" t="str">
        <f t="shared" si="96"/>
        <v>10621 1</v>
      </c>
      <c r="AA2100" s="3">
        <f>IF(INDEX('CAMD Facility Data 2023'!$AA$2:$AE$10000,MATCH(Z2100,'CAMD Facility Data 2023'!$AE$2:$AE$10000,0),1)&gt;0,INDEX('CAMD Facility Data 2023'!$AA$2:$AE$10000,MATCH(Z2100,'CAMD Facility Data 2023'!$AE$2:$AE$10000,0),1),"")</f>
        <v>34366</v>
      </c>
      <c r="AB2100" s="5">
        <f>IF(INDEX('CAMD Facility Data 2023'!$AC$2:$AE$10000,MATCH(Z2100,'CAMD Facility Data 2023'!$AE$2:$AE$10000,0),1)&gt;0,INDEX('CAMD Facility Data 2023'!$AC$2:$AE$10000,MATCH(Z2100,'CAMD Facility Data 2023'!$AE$2:$AE$10000,0),1),"")</f>
        <v>800</v>
      </c>
      <c r="AC2100" s="1" t="str">
        <f>IF(INDEX('CAMD Facility Data 2023'!$AE$2:$AG$10000,MATCH(Z2100,'CAMD Facility Data 2023'!$AE$2:$AE$10000,0),3)&gt;0,INDEX('CAMD Facility Data 2023'!$AE$2:$AG$10000,MATCH(Z2100,'CAMD Facility Data 2023'!$AE$2:$AE$10000,0),3),"")</f>
        <v>Y</v>
      </c>
      <c r="AD2100" s="20">
        <f t="shared" si="97"/>
        <v>1.0367859635131094</v>
      </c>
      <c r="AE2100" s="25">
        <f t="shared" si="98"/>
        <v>1.4774054366438357E-2</v>
      </c>
    </row>
    <row r="2101" spans="1:31" x14ac:dyDescent="0.2">
      <c r="A2101" s="1" t="s">
        <v>3095</v>
      </c>
      <c r="B2101" s="1" t="s">
        <v>4895</v>
      </c>
      <c r="C2101" s="1">
        <v>10633</v>
      </c>
      <c r="D2101" s="1">
        <v>1</v>
      </c>
      <c r="F2101" s="1">
        <v>2023</v>
      </c>
      <c r="G2101" s="5">
        <v>3243</v>
      </c>
      <c r="H2101" s="5">
        <v>3147.13</v>
      </c>
      <c r="I2101" s="5">
        <v>264865.7</v>
      </c>
      <c r="K2101" s="5">
        <v>1.0269999999999999</v>
      </c>
      <c r="L2101" s="5">
        <v>1.1999999999999999E-3</v>
      </c>
      <c r="M2101" s="5">
        <v>184340.364</v>
      </c>
      <c r="N2101" s="6">
        <v>5.91E-2</v>
      </c>
      <c r="O2101" s="5">
        <v>191.958</v>
      </c>
      <c r="P2101" s="6">
        <v>0.1295</v>
      </c>
      <c r="Q2101" s="5">
        <v>3101162.0249999999</v>
      </c>
      <c r="R2101" s="1" t="s">
        <v>44</v>
      </c>
      <c r="S2101" s="1" t="s">
        <v>94</v>
      </c>
      <c r="T2101" s="1" t="s">
        <v>71</v>
      </c>
      <c r="V2101" s="1" t="s">
        <v>1606</v>
      </c>
      <c r="Y2101" s="1" t="s">
        <v>1528</v>
      </c>
      <c r="Z2101" s="1" t="str">
        <f t="shared" si="96"/>
        <v>10633 1</v>
      </c>
      <c r="AA2101" s="3">
        <f>IF(INDEX('CAMD Facility Data 2023'!$AA$2:$AE$10000,MATCH(Z2101,'CAMD Facility Data 2023'!$AE$2:$AE$10000,0),1)&gt;0,INDEX('CAMD Facility Data 2023'!$AA$2:$AE$10000,MATCH(Z2101,'CAMD Facility Data 2023'!$AE$2:$AE$10000,0),1),"")</f>
        <v>33086</v>
      </c>
      <c r="AB2101" s="5">
        <f>IF(INDEX('CAMD Facility Data 2023'!$AC$2:$AE$10000,MATCH(Z2101,'CAMD Facility Data 2023'!$AE$2:$AE$10000,0),1)&gt;0,INDEX('CAMD Facility Data 2023'!$AC$2:$AE$10000,MATCH(Z2101,'CAMD Facility Data 2023'!$AE$2:$AE$10000,0),1),"")</f>
        <v>1517</v>
      </c>
      <c r="AC2101" s="1" t="str">
        <f>IF(INDEX('CAMD Facility Data 2023'!$AE$2:$AG$10000,MATCH(Z2101,'CAMD Facility Data 2023'!$AE$2:$AE$10000,0),3)&gt;0,INDEX('CAMD Facility Data 2023'!$AE$2:$AG$10000,MATCH(Z2101,'CAMD Facility Data 2023'!$AE$2:$AE$10000,0),3),"")</f>
        <v/>
      </c>
      <c r="AD2101" s="20">
        <f t="shared" si="97"/>
        <v>1.4494742052292917</v>
      </c>
      <c r="AE2101" s="25">
        <f t="shared" si="98"/>
        <v>0.23336448898781842</v>
      </c>
    </row>
    <row r="2102" spans="1:31" x14ac:dyDescent="0.2">
      <c r="A2102" s="1" t="s">
        <v>3095</v>
      </c>
      <c r="B2102" s="1" t="s">
        <v>4895</v>
      </c>
      <c r="C2102" s="1">
        <v>10633</v>
      </c>
      <c r="D2102" s="1">
        <v>2</v>
      </c>
      <c r="F2102" s="1">
        <v>2023</v>
      </c>
      <c r="G2102" s="5">
        <v>3157</v>
      </c>
      <c r="H2102" s="5">
        <v>3061.86</v>
      </c>
      <c r="I2102" s="5">
        <v>256291.14</v>
      </c>
      <c r="K2102" s="5">
        <v>0.90700000000000003</v>
      </c>
      <c r="L2102" s="5">
        <v>1E-3</v>
      </c>
      <c r="M2102" s="5">
        <v>176231.4</v>
      </c>
      <c r="N2102" s="6">
        <v>5.8999999999999997E-2</v>
      </c>
      <c r="O2102" s="5">
        <v>177.238</v>
      </c>
      <c r="P2102" s="6">
        <v>0.1236</v>
      </c>
      <c r="Q2102" s="5">
        <v>2965262.5440000002</v>
      </c>
      <c r="R2102" s="1" t="s">
        <v>44</v>
      </c>
      <c r="S2102" s="1" t="s">
        <v>94</v>
      </c>
      <c r="T2102" s="1" t="s">
        <v>71</v>
      </c>
      <c r="V2102" s="1" t="s">
        <v>1606</v>
      </c>
      <c r="Y2102" s="1" t="s">
        <v>1528</v>
      </c>
      <c r="Z2102" s="1" t="str">
        <f t="shared" si="96"/>
        <v>10633 2</v>
      </c>
      <c r="AA2102" s="3">
        <f>IF(INDEX('CAMD Facility Data 2023'!$AA$2:$AE$10000,MATCH(Z2102,'CAMD Facility Data 2023'!$AE$2:$AE$10000,0),1)&gt;0,INDEX('CAMD Facility Data 2023'!$AA$2:$AE$10000,MATCH(Z2102,'CAMD Facility Data 2023'!$AE$2:$AE$10000,0),1),"")</f>
        <v>33086</v>
      </c>
      <c r="AB2102" s="5">
        <f>IF(INDEX('CAMD Facility Data 2023'!$AC$2:$AE$10000,MATCH(Z2102,'CAMD Facility Data 2023'!$AE$2:$AE$10000,0),1)&gt;0,INDEX('CAMD Facility Data 2023'!$AC$2:$AE$10000,MATCH(Z2102,'CAMD Facility Data 2023'!$AE$2:$AE$10000,0),1),"")</f>
        <v>1517</v>
      </c>
      <c r="AC2102" s="1" t="str">
        <f>IF(INDEX('CAMD Facility Data 2023'!$AE$2:$AG$10000,MATCH(Z2102,'CAMD Facility Data 2023'!$AE$2:$AE$10000,0),3)&gt;0,INDEX('CAMD Facility Data 2023'!$AE$2:$AG$10000,MATCH(Z2102,'CAMD Facility Data 2023'!$AE$2:$AE$10000,0),3),"")</f>
        <v/>
      </c>
      <c r="AD2102" s="20">
        <f t="shared" si="97"/>
        <v>1.3830989241376037</v>
      </c>
      <c r="AE2102" s="25">
        <f t="shared" si="98"/>
        <v>0.22313796335593866</v>
      </c>
    </row>
    <row r="2103" spans="1:31" x14ac:dyDescent="0.2">
      <c r="A2103" s="1" t="s">
        <v>3095</v>
      </c>
      <c r="B2103" s="1" t="s">
        <v>4895</v>
      </c>
      <c r="C2103" s="1">
        <v>10633</v>
      </c>
      <c r="D2103" s="1">
        <v>3</v>
      </c>
      <c r="F2103" s="1">
        <v>2023</v>
      </c>
      <c r="G2103" s="5">
        <v>2369</v>
      </c>
      <c r="H2103" s="5">
        <v>2273.75</v>
      </c>
      <c r="I2103" s="5">
        <v>182237.25</v>
      </c>
      <c r="K2103" s="5">
        <v>0.68</v>
      </c>
      <c r="L2103" s="5">
        <v>1.1999999999999999E-3</v>
      </c>
      <c r="M2103" s="5">
        <v>128643.91</v>
      </c>
      <c r="N2103" s="6">
        <v>5.91E-2</v>
      </c>
      <c r="O2103" s="5">
        <v>143.625</v>
      </c>
      <c r="P2103" s="6">
        <v>0.1381</v>
      </c>
      <c r="Q2103" s="5">
        <v>2164450.11</v>
      </c>
      <c r="R2103" s="1" t="s">
        <v>44</v>
      </c>
      <c r="S2103" s="1" t="s">
        <v>94</v>
      </c>
      <c r="T2103" s="1" t="s">
        <v>71</v>
      </c>
      <c r="V2103" s="1" t="s">
        <v>1606</v>
      </c>
      <c r="Y2103" s="1" t="s">
        <v>1528</v>
      </c>
      <c r="Z2103" s="1" t="str">
        <f t="shared" si="96"/>
        <v>10633 3</v>
      </c>
      <c r="AA2103" s="3">
        <f>IF(INDEX('CAMD Facility Data 2023'!$AA$2:$AE$10000,MATCH(Z2103,'CAMD Facility Data 2023'!$AE$2:$AE$10000,0),1)&gt;0,INDEX('CAMD Facility Data 2023'!$AA$2:$AE$10000,MATCH(Z2103,'CAMD Facility Data 2023'!$AE$2:$AE$10000,0),1),"")</f>
        <v>33086</v>
      </c>
      <c r="AB2103" s="5">
        <f>IF(INDEX('CAMD Facility Data 2023'!$AC$2:$AE$10000,MATCH(Z2103,'CAMD Facility Data 2023'!$AE$2:$AE$10000,0),1)&gt;0,INDEX('CAMD Facility Data 2023'!$AC$2:$AE$10000,MATCH(Z2103,'CAMD Facility Data 2023'!$AE$2:$AE$10000,0),1),"")</f>
        <v>1517</v>
      </c>
      <c r="AC2103" s="1" t="str">
        <f>IF(INDEX('CAMD Facility Data 2023'!$AE$2:$AG$10000,MATCH(Z2103,'CAMD Facility Data 2023'!$AE$2:$AE$10000,0),3)&gt;0,INDEX('CAMD Facility Data 2023'!$AE$2:$AG$10000,MATCH(Z2103,'CAMD Facility Data 2023'!$AE$2:$AE$10000,0),3),"")</f>
        <v/>
      </c>
      <c r="AD2103" s="20">
        <f t="shared" si="97"/>
        <v>1.576241959314026</v>
      </c>
      <c r="AE2103" s="25">
        <f t="shared" si="98"/>
        <v>0.16287629920264399</v>
      </c>
    </row>
    <row r="2104" spans="1:31" x14ac:dyDescent="0.2">
      <c r="A2104" s="1" t="s">
        <v>370</v>
      </c>
      <c r="B2104" s="1" t="s">
        <v>4902</v>
      </c>
      <c r="C2104" s="1">
        <v>10649</v>
      </c>
      <c r="D2104" s="1" t="s">
        <v>280</v>
      </c>
      <c r="F2104" s="1">
        <v>2023</v>
      </c>
      <c r="G2104" s="5">
        <v>1365</v>
      </c>
      <c r="H2104" s="5">
        <v>1271.29</v>
      </c>
      <c r="I2104" s="5">
        <v>48863.68</v>
      </c>
      <c r="K2104" s="5">
        <v>0.11799999999999999</v>
      </c>
      <c r="L2104" s="5">
        <v>1E-3</v>
      </c>
      <c r="M2104" s="5">
        <v>23347.531999999999</v>
      </c>
      <c r="N2104" s="6">
        <v>5.7099999999999998E-2</v>
      </c>
      <c r="O2104" s="5">
        <v>3.58</v>
      </c>
      <c r="P2104" s="6">
        <v>3.1E-2</v>
      </c>
      <c r="Q2104" s="5">
        <v>392921.152</v>
      </c>
      <c r="R2104" s="1" t="s">
        <v>44</v>
      </c>
      <c r="T2104" s="1" t="s">
        <v>93</v>
      </c>
      <c r="V2104" s="1" t="s">
        <v>223</v>
      </c>
      <c r="Y2104" s="1" t="s">
        <v>247</v>
      </c>
      <c r="Z2104" s="1" t="str">
        <f t="shared" si="96"/>
        <v>10649 GT1</v>
      </c>
      <c r="AA2104" s="3">
        <f>IF(INDEX('CAMD Facility Data 2023'!$AA$2:$AE$10000,MATCH(Z2104,'CAMD Facility Data 2023'!$AE$2:$AE$10000,0),1)&gt;0,INDEX('CAMD Facility Data 2023'!$AA$2:$AE$10000,MATCH(Z2104,'CAMD Facility Data 2023'!$AE$2:$AE$10000,0),1),"")</f>
        <v>34813</v>
      </c>
      <c r="AB2104" s="5">
        <f>IF(INDEX('CAMD Facility Data 2023'!$AC$2:$AE$10000,MATCH(Z2104,'CAMD Facility Data 2023'!$AE$2:$AE$10000,0),1)&gt;0,INDEX('CAMD Facility Data 2023'!$AC$2:$AE$10000,MATCH(Z2104,'CAMD Facility Data 2023'!$AE$2:$AE$10000,0),1),"")</f>
        <v>435</v>
      </c>
      <c r="AC2104" s="1" t="str">
        <f>IF(INDEX('CAMD Facility Data 2023'!$AE$2:$AG$10000,MATCH(Z2104,'CAMD Facility Data 2023'!$AE$2:$AE$10000,0),3)&gt;0,INDEX('CAMD Facility Data 2023'!$AE$2:$AG$10000,MATCH(Z2104,'CAMD Facility Data 2023'!$AE$2:$AE$10000,0),3),"")</f>
        <v>Y</v>
      </c>
      <c r="AD2104" s="20">
        <f t="shared" si="97"/>
        <v>0.14653010170335104</v>
      </c>
      <c r="AE2104" s="25">
        <f t="shared" si="98"/>
        <v>0.10311267306985776</v>
      </c>
    </row>
    <row r="2105" spans="1:31" x14ac:dyDescent="0.2">
      <c r="A2105" s="1" t="s">
        <v>370</v>
      </c>
      <c r="B2105" s="1" t="s">
        <v>4907</v>
      </c>
      <c r="C2105" s="1">
        <v>10650</v>
      </c>
      <c r="D2105" s="1" t="s">
        <v>280</v>
      </c>
      <c r="F2105" s="1">
        <v>2023</v>
      </c>
      <c r="G2105" s="5">
        <v>795</v>
      </c>
      <c r="H2105" s="5">
        <v>751.57</v>
      </c>
      <c r="I2105" s="5">
        <v>26068.45</v>
      </c>
      <c r="K2105" s="5">
        <v>6.7000000000000004E-2</v>
      </c>
      <c r="L2105" s="5">
        <v>1E-3</v>
      </c>
      <c r="M2105" s="5">
        <v>13298.003000000001</v>
      </c>
      <c r="N2105" s="6">
        <v>5.9499999999999997E-2</v>
      </c>
      <c r="O2105" s="5">
        <v>1.611</v>
      </c>
      <c r="P2105" s="6">
        <v>1.8100000000000002E-2</v>
      </c>
      <c r="Q2105" s="5">
        <v>223714.44399999999</v>
      </c>
      <c r="R2105" s="1" t="s">
        <v>44</v>
      </c>
      <c r="T2105" s="1" t="s">
        <v>93</v>
      </c>
      <c r="V2105" s="1" t="s">
        <v>223</v>
      </c>
      <c r="Y2105" s="1" t="s">
        <v>247</v>
      </c>
      <c r="Z2105" s="1" t="str">
        <f t="shared" si="96"/>
        <v>10650 GT1</v>
      </c>
      <c r="AA2105" s="3">
        <f>IF(INDEX('CAMD Facility Data 2023'!$AA$2:$AE$10000,MATCH(Z2105,'CAMD Facility Data 2023'!$AE$2:$AE$10000,0),1)&gt;0,INDEX('CAMD Facility Data 2023'!$AA$2:$AE$10000,MATCH(Z2105,'CAMD Facility Data 2023'!$AE$2:$AE$10000,0),1),"")</f>
        <v>33347</v>
      </c>
      <c r="AB2105" s="5">
        <f>IF(INDEX('CAMD Facility Data 2023'!$AC$2:$AE$10000,MATCH(Z2105,'CAMD Facility Data 2023'!$AE$2:$AE$10000,0),1)&gt;0,INDEX('CAMD Facility Data 2023'!$AC$2:$AE$10000,MATCH(Z2105,'CAMD Facility Data 2023'!$AE$2:$AE$10000,0),1),"")</f>
        <v>432</v>
      </c>
      <c r="AC2105" s="1" t="str">
        <f>IF(INDEX('CAMD Facility Data 2023'!$AE$2:$AG$10000,MATCH(Z2105,'CAMD Facility Data 2023'!$AE$2:$AE$10000,0),3)&gt;0,INDEX('CAMD Facility Data 2023'!$AE$2:$AG$10000,MATCH(Z2105,'CAMD Facility Data 2023'!$AE$2:$AE$10000,0),3),"")</f>
        <v>Y</v>
      </c>
      <c r="AD2105" s="20">
        <f t="shared" si="97"/>
        <v>0.1235976822557536</v>
      </c>
      <c r="AE2105" s="25">
        <f t="shared" si="98"/>
        <v>5.9116154025029594E-2</v>
      </c>
    </row>
    <row r="2106" spans="1:31" x14ac:dyDescent="0.2">
      <c r="A2106" s="1" t="s">
        <v>335</v>
      </c>
      <c r="B2106" s="1" t="s">
        <v>4908</v>
      </c>
      <c r="C2106" s="1">
        <v>10671</v>
      </c>
      <c r="D2106" s="1" t="s">
        <v>372</v>
      </c>
      <c r="E2106" s="1" t="s">
        <v>1421</v>
      </c>
      <c r="F2106" s="1">
        <v>2023</v>
      </c>
      <c r="G2106" s="5">
        <v>2750</v>
      </c>
      <c r="H2106" s="5">
        <v>2740.5</v>
      </c>
      <c r="J2106" s="5">
        <v>1126516.54</v>
      </c>
      <c r="K2106" s="5">
        <v>108.88500000000001</v>
      </c>
      <c r="L2106" s="5">
        <v>0.13450000000000001</v>
      </c>
      <c r="M2106" s="5">
        <v>190818.55300000001</v>
      </c>
      <c r="N2106" s="6">
        <v>0.1036</v>
      </c>
      <c r="O2106" s="5">
        <v>191.24100000000001</v>
      </c>
      <c r="P2106" s="6">
        <v>0.20899999999999999</v>
      </c>
      <c r="Q2106" s="5">
        <v>1824878.7409999999</v>
      </c>
      <c r="R2106" s="1" t="s">
        <v>55</v>
      </c>
      <c r="T2106" s="1" t="s">
        <v>885</v>
      </c>
      <c r="U2106" s="1" t="s">
        <v>1069</v>
      </c>
      <c r="Y2106" s="1" t="s">
        <v>337</v>
      </c>
      <c r="Z2106" s="1" t="str">
        <f t="shared" si="96"/>
        <v>10671 1A</v>
      </c>
      <c r="AA2106" s="3">
        <f>IF(INDEX('CAMD Facility Data 2023'!$AA$2:$AE$10000,MATCH(Z2106,'CAMD Facility Data 2023'!$AE$2:$AE$10000,0),1)&gt;0,INDEX('CAMD Facility Data 2023'!$AA$2:$AE$10000,MATCH(Z2106,'CAMD Facility Data 2023'!$AE$2:$AE$10000,0),1),"")</f>
        <v>32888</v>
      </c>
      <c r="AB2106" s="5">
        <f>IF(INDEX('CAMD Facility Data 2023'!$AC$2:$AE$10000,MATCH(Z2106,'CAMD Facility Data 2023'!$AE$2:$AE$10000,0),1)&gt;0,INDEX('CAMD Facility Data 2023'!$AC$2:$AE$10000,MATCH(Z2106,'CAMD Facility Data 2023'!$AE$2:$AE$10000,0),1),"")</f>
        <v>1500</v>
      </c>
      <c r="AC2106" s="1" t="str">
        <f>IF(INDEX('CAMD Facility Data 2023'!$AE$2:$AG$10000,MATCH(Z2106,'CAMD Facility Data 2023'!$AE$2:$AE$10000,0),3)&gt;0,INDEX('CAMD Facility Data 2023'!$AE$2:$AG$10000,MATCH(Z2106,'CAMD Facility Data 2023'!$AE$2:$AE$10000,0),3),"")</f>
        <v/>
      </c>
      <c r="AD2106" s="20" t="str">
        <f t="shared" si="97"/>
        <v/>
      </c>
      <c r="AE2106" s="25">
        <f t="shared" si="98"/>
        <v>0.13887966065449009</v>
      </c>
    </row>
    <row r="2107" spans="1:31" x14ac:dyDescent="0.2">
      <c r="A2107" s="1" t="s">
        <v>335</v>
      </c>
      <c r="B2107" s="1" t="s">
        <v>4908</v>
      </c>
      <c r="C2107" s="1">
        <v>10671</v>
      </c>
      <c r="D2107" s="1" t="s">
        <v>1199</v>
      </c>
      <c r="E2107" s="1" t="s">
        <v>1421</v>
      </c>
      <c r="F2107" s="1">
        <v>2023</v>
      </c>
      <c r="G2107" s="5">
        <v>2273</v>
      </c>
      <c r="H2107" s="5">
        <v>2261.13</v>
      </c>
      <c r="J2107" s="5">
        <v>879821.77</v>
      </c>
      <c r="K2107" s="5">
        <v>84.251000000000005</v>
      </c>
      <c r="L2107" s="5">
        <v>0.13569999999999999</v>
      </c>
      <c r="M2107" s="5">
        <v>145369.20600000001</v>
      </c>
      <c r="N2107" s="6">
        <v>0.1041</v>
      </c>
      <c r="O2107" s="5">
        <v>152.126</v>
      </c>
      <c r="P2107" s="6">
        <v>0.21909999999999999</v>
      </c>
      <c r="Q2107" s="5">
        <v>1388722.186</v>
      </c>
      <c r="R2107" s="1" t="s">
        <v>55</v>
      </c>
      <c r="T2107" s="1" t="s">
        <v>885</v>
      </c>
      <c r="U2107" s="1" t="s">
        <v>1069</v>
      </c>
      <c r="Y2107" s="1" t="s">
        <v>337</v>
      </c>
      <c r="Z2107" s="1" t="str">
        <f t="shared" si="96"/>
        <v>10671 1B</v>
      </c>
      <c r="AA2107" s="3">
        <f>IF(INDEX('CAMD Facility Data 2023'!$AA$2:$AE$10000,MATCH(Z2107,'CAMD Facility Data 2023'!$AE$2:$AE$10000,0),1)&gt;0,INDEX('CAMD Facility Data 2023'!$AA$2:$AE$10000,MATCH(Z2107,'CAMD Facility Data 2023'!$AE$2:$AE$10000,0),1),"")</f>
        <v>32888</v>
      </c>
      <c r="AB2107" s="5">
        <f>IF(INDEX('CAMD Facility Data 2023'!$AC$2:$AE$10000,MATCH(Z2107,'CAMD Facility Data 2023'!$AE$2:$AE$10000,0),1)&gt;0,INDEX('CAMD Facility Data 2023'!$AC$2:$AE$10000,MATCH(Z2107,'CAMD Facility Data 2023'!$AE$2:$AE$10000,0),1),"")</f>
        <v>1500</v>
      </c>
      <c r="AC2107" s="1" t="str">
        <f>IF(INDEX('CAMD Facility Data 2023'!$AE$2:$AG$10000,MATCH(Z2107,'CAMD Facility Data 2023'!$AE$2:$AE$10000,0),3)&gt;0,INDEX('CAMD Facility Data 2023'!$AE$2:$AG$10000,MATCH(Z2107,'CAMD Facility Data 2023'!$AE$2:$AE$10000,0),3),"")</f>
        <v/>
      </c>
      <c r="AD2107" s="20" t="str">
        <f t="shared" si="97"/>
        <v/>
      </c>
      <c r="AE2107" s="25">
        <f t="shared" si="98"/>
        <v>0.1056866199391172</v>
      </c>
    </row>
    <row r="2108" spans="1:31" x14ac:dyDescent="0.2">
      <c r="A2108" s="1" t="s">
        <v>335</v>
      </c>
      <c r="B2108" s="1" t="s">
        <v>4908</v>
      </c>
      <c r="C2108" s="1">
        <v>10671</v>
      </c>
      <c r="D2108" s="1" t="s">
        <v>377</v>
      </c>
      <c r="E2108" s="1" t="s">
        <v>1421</v>
      </c>
      <c r="F2108" s="1">
        <v>2023</v>
      </c>
      <c r="G2108" s="5">
        <v>3211</v>
      </c>
      <c r="H2108" s="5">
        <v>3198.98</v>
      </c>
      <c r="J2108" s="5">
        <v>1281697.58</v>
      </c>
      <c r="K2108" s="5">
        <v>117.642</v>
      </c>
      <c r="L2108" s="5">
        <v>0.1036</v>
      </c>
      <c r="M2108" s="5">
        <v>216017.98499999999</v>
      </c>
      <c r="N2108" s="6">
        <v>0.1036</v>
      </c>
      <c r="O2108" s="5">
        <v>220.54</v>
      </c>
      <c r="P2108" s="6">
        <v>0.21110000000000001</v>
      </c>
      <c r="Q2108" s="5">
        <v>2067915.496</v>
      </c>
      <c r="R2108" s="1" t="s">
        <v>55</v>
      </c>
      <c r="T2108" s="1" t="s">
        <v>885</v>
      </c>
      <c r="U2108" s="1" t="s">
        <v>1069</v>
      </c>
      <c r="Y2108" s="1" t="s">
        <v>337</v>
      </c>
      <c r="Z2108" s="1" t="str">
        <f t="shared" si="96"/>
        <v>10671 2A</v>
      </c>
      <c r="AA2108" s="3">
        <f>IF(INDEX('CAMD Facility Data 2023'!$AA$2:$AE$10000,MATCH(Z2108,'CAMD Facility Data 2023'!$AE$2:$AE$10000,0),1)&gt;0,INDEX('CAMD Facility Data 2023'!$AA$2:$AE$10000,MATCH(Z2108,'CAMD Facility Data 2023'!$AE$2:$AE$10000,0),1),"")</f>
        <v>32888</v>
      </c>
      <c r="AB2108" s="5">
        <f>IF(INDEX('CAMD Facility Data 2023'!$AC$2:$AE$10000,MATCH(Z2108,'CAMD Facility Data 2023'!$AE$2:$AE$10000,0),1)&gt;0,INDEX('CAMD Facility Data 2023'!$AC$2:$AE$10000,MATCH(Z2108,'CAMD Facility Data 2023'!$AE$2:$AE$10000,0),1),"")</f>
        <v>1500</v>
      </c>
      <c r="AC2108" s="1" t="str">
        <f>IF(INDEX('CAMD Facility Data 2023'!$AE$2:$AG$10000,MATCH(Z2108,'CAMD Facility Data 2023'!$AE$2:$AE$10000,0),3)&gt;0,INDEX('CAMD Facility Data 2023'!$AE$2:$AG$10000,MATCH(Z2108,'CAMD Facility Data 2023'!$AE$2:$AE$10000,0),3),"")</f>
        <v/>
      </c>
      <c r="AD2108" s="20" t="str">
        <f t="shared" si="97"/>
        <v/>
      </c>
      <c r="AE2108" s="25">
        <f t="shared" si="98"/>
        <v>0.15737560852359209</v>
      </c>
    </row>
    <row r="2109" spans="1:31" x14ac:dyDescent="0.2">
      <c r="A2109" s="1" t="s">
        <v>335</v>
      </c>
      <c r="B2109" s="1" t="s">
        <v>4908</v>
      </c>
      <c r="C2109" s="1">
        <v>10671</v>
      </c>
      <c r="D2109" s="1" t="s">
        <v>1201</v>
      </c>
      <c r="E2109" s="1" t="s">
        <v>1421</v>
      </c>
      <c r="F2109" s="1">
        <v>2023</v>
      </c>
      <c r="G2109" s="5">
        <v>3065</v>
      </c>
      <c r="H2109" s="5">
        <v>3052.39</v>
      </c>
      <c r="J2109" s="5">
        <v>1210839.49</v>
      </c>
      <c r="K2109" s="5">
        <v>109.07299999999999</v>
      </c>
      <c r="L2109" s="5">
        <v>0.1</v>
      </c>
      <c r="M2109" s="5">
        <v>205398.63500000001</v>
      </c>
      <c r="N2109" s="6">
        <v>0.10290000000000001</v>
      </c>
      <c r="O2109" s="5">
        <v>208.39400000000001</v>
      </c>
      <c r="P2109" s="6">
        <v>0.20780000000000001</v>
      </c>
      <c r="Q2109" s="5">
        <v>1971240.173</v>
      </c>
      <c r="R2109" s="1" t="s">
        <v>55</v>
      </c>
      <c r="T2109" s="1" t="s">
        <v>885</v>
      </c>
      <c r="U2109" s="1" t="s">
        <v>1069</v>
      </c>
      <c r="Y2109" s="1" t="s">
        <v>337</v>
      </c>
      <c r="Z2109" s="1" t="str">
        <f t="shared" si="96"/>
        <v>10671 2B</v>
      </c>
      <c r="AA2109" s="3">
        <f>IF(INDEX('CAMD Facility Data 2023'!$AA$2:$AE$10000,MATCH(Z2109,'CAMD Facility Data 2023'!$AE$2:$AE$10000,0),1)&gt;0,INDEX('CAMD Facility Data 2023'!$AA$2:$AE$10000,MATCH(Z2109,'CAMD Facility Data 2023'!$AE$2:$AE$10000,0),1),"")</f>
        <v>32888</v>
      </c>
      <c r="AB2109" s="5">
        <f>IF(INDEX('CAMD Facility Data 2023'!$AC$2:$AE$10000,MATCH(Z2109,'CAMD Facility Data 2023'!$AE$2:$AE$10000,0),1)&gt;0,INDEX('CAMD Facility Data 2023'!$AC$2:$AE$10000,MATCH(Z2109,'CAMD Facility Data 2023'!$AE$2:$AE$10000,0),1),"")</f>
        <v>1500</v>
      </c>
      <c r="AC2109" s="1" t="str">
        <f>IF(INDEX('CAMD Facility Data 2023'!$AE$2:$AG$10000,MATCH(Z2109,'CAMD Facility Data 2023'!$AE$2:$AE$10000,0),3)&gt;0,INDEX('CAMD Facility Data 2023'!$AE$2:$AG$10000,MATCH(Z2109,'CAMD Facility Data 2023'!$AE$2:$AE$10000,0),3),"")</f>
        <v/>
      </c>
      <c r="AD2109" s="20" t="str">
        <f t="shared" si="97"/>
        <v/>
      </c>
      <c r="AE2109" s="25">
        <f t="shared" si="98"/>
        <v>0.15001827800608827</v>
      </c>
    </row>
    <row r="2110" spans="1:31" x14ac:dyDescent="0.2">
      <c r="A2110" s="1" t="s">
        <v>680</v>
      </c>
      <c r="B2110" s="1" t="s">
        <v>4913</v>
      </c>
      <c r="C2110" s="1">
        <v>10678</v>
      </c>
      <c r="D2110" s="1">
        <v>1</v>
      </c>
      <c r="F2110" s="1">
        <v>2023</v>
      </c>
      <c r="G2110" s="5">
        <v>6440</v>
      </c>
      <c r="H2110" s="5">
        <v>6429.91</v>
      </c>
      <c r="I2110" s="5">
        <v>658186.54</v>
      </c>
      <c r="K2110" s="5">
        <v>646.73400000000004</v>
      </c>
      <c r="L2110" s="5">
        <v>0.1542</v>
      </c>
      <c r="M2110" s="5">
        <v>857150.51599999995</v>
      </c>
      <c r="N2110" s="6">
        <v>0.1027</v>
      </c>
      <c r="O2110" s="5">
        <v>256.87200000000001</v>
      </c>
      <c r="P2110" s="6">
        <v>6.2300000000000001E-2</v>
      </c>
      <c r="Q2110" s="5">
        <v>8357782.6069999998</v>
      </c>
      <c r="R2110" s="1" t="s">
        <v>55</v>
      </c>
      <c r="S2110" s="1" t="s">
        <v>94</v>
      </c>
      <c r="T2110" s="1" t="s">
        <v>885</v>
      </c>
      <c r="U2110" s="1" t="s">
        <v>1069</v>
      </c>
      <c r="V2110" s="1" t="s">
        <v>4916</v>
      </c>
      <c r="W2110" s="1" t="s">
        <v>232</v>
      </c>
      <c r="Y2110" s="1" t="s">
        <v>682</v>
      </c>
      <c r="Z2110" s="1" t="str">
        <f t="shared" si="96"/>
        <v>10678 1</v>
      </c>
      <c r="AA2110" s="3">
        <f>IF(INDEX('CAMD Facility Data 2023'!$AA$2:$AE$10000,MATCH(Z2110,'CAMD Facility Data 2023'!$AE$2:$AE$10000,0),1)&gt;0,INDEX('CAMD Facility Data 2023'!$AA$2:$AE$10000,MATCH(Z2110,'CAMD Facility Data 2023'!$AE$2:$AE$10000,0),1),"")</f>
        <v>36566</v>
      </c>
      <c r="AB2110" s="5">
        <f>IF(INDEX('CAMD Facility Data 2023'!$AC$2:$AE$10000,MATCH(Z2110,'CAMD Facility Data 2023'!$AE$2:$AE$10000,0),1)&gt;0,INDEX('CAMD Facility Data 2023'!$AC$2:$AE$10000,MATCH(Z2110,'CAMD Facility Data 2023'!$AE$2:$AE$10000,0),1),"")</f>
        <v>2350</v>
      </c>
      <c r="AC2110" s="1" t="str">
        <f>IF(INDEX('CAMD Facility Data 2023'!$AE$2:$AG$10000,MATCH(Z2110,'CAMD Facility Data 2023'!$AE$2:$AE$10000,0),3)&gt;0,INDEX('CAMD Facility Data 2023'!$AE$2:$AG$10000,MATCH(Z2110,'CAMD Facility Data 2023'!$AE$2:$AE$10000,0),3),"")</f>
        <v>Y</v>
      </c>
      <c r="AD2110" s="20">
        <f t="shared" si="97"/>
        <v>0.78054467658970961</v>
      </c>
      <c r="AE2110" s="25">
        <f t="shared" si="98"/>
        <v>0.4059935202079083</v>
      </c>
    </row>
    <row r="2111" spans="1:31" x14ac:dyDescent="0.2">
      <c r="A2111" s="1" t="s">
        <v>516</v>
      </c>
      <c r="B2111" s="1" t="s">
        <v>4918</v>
      </c>
      <c r="C2111" s="1">
        <v>10682</v>
      </c>
      <c r="D2111" s="1" t="s">
        <v>1102</v>
      </c>
      <c r="F2111" s="1">
        <v>2023</v>
      </c>
      <c r="G2111" s="5">
        <v>671</v>
      </c>
      <c r="H2111" s="5">
        <v>604.17999999999995</v>
      </c>
      <c r="I2111" s="5">
        <v>15078.28</v>
      </c>
      <c r="K2111" s="5">
        <v>7.0000000000000007E-2</v>
      </c>
      <c r="L2111" s="5">
        <v>1E-3</v>
      </c>
      <c r="M2111" s="5">
        <v>13848.462</v>
      </c>
      <c r="N2111" s="6">
        <v>5.9200000000000003E-2</v>
      </c>
      <c r="O2111" s="5">
        <v>10.023999999999999</v>
      </c>
      <c r="P2111" s="6">
        <v>8.7800000000000003E-2</v>
      </c>
      <c r="Q2111" s="5">
        <v>233026.19</v>
      </c>
      <c r="R2111" s="1" t="s">
        <v>44</v>
      </c>
      <c r="T2111" s="1" t="s">
        <v>93</v>
      </c>
      <c r="V2111" s="1" t="s">
        <v>95</v>
      </c>
      <c r="Y2111" s="1" t="s">
        <v>247</v>
      </c>
      <c r="Z2111" s="1" t="str">
        <f t="shared" si="96"/>
        <v>10682 GT2</v>
      </c>
      <c r="AA2111" s="3">
        <f>IF(INDEX('CAMD Facility Data 2023'!$AA$2:$AE$10000,MATCH(Z2111,'CAMD Facility Data 2023'!$AE$2:$AE$10000,0),1)&gt;0,INDEX('CAMD Facility Data 2023'!$AA$2:$AE$10000,MATCH(Z2111,'CAMD Facility Data 2023'!$AE$2:$AE$10000,0),1),"")</f>
        <v>36675</v>
      </c>
      <c r="AB2111" s="5">
        <f>IF(INDEX('CAMD Facility Data 2023'!$AC$2:$AE$10000,MATCH(Z2111,'CAMD Facility Data 2023'!$AE$2:$AE$10000,0),1)&gt;0,INDEX('CAMD Facility Data 2023'!$AC$2:$AE$10000,MATCH(Z2111,'CAMD Facility Data 2023'!$AE$2:$AE$10000,0),1),"")</f>
        <v>734</v>
      </c>
      <c r="AC2111" s="1" t="str">
        <f>IF(INDEX('CAMD Facility Data 2023'!$AE$2:$AG$10000,MATCH(Z2111,'CAMD Facility Data 2023'!$AE$2:$AE$10000,0),3)&gt;0,INDEX('CAMD Facility Data 2023'!$AE$2:$AG$10000,MATCH(Z2111,'CAMD Facility Data 2023'!$AE$2:$AE$10000,0),3),"")</f>
        <v/>
      </c>
      <c r="AD2111" s="20">
        <f t="shared" si="97"/>
        <v>1.3295946221982877</v>
      </c>
      <c r="AE2111" s="25">
        <f t="shared" si="98"/>
        <v>3.6241366814726339E-2</v>
      </c>
    </row>
    <row r="2112" spans="1:31" x14ac:dyDescent="0.2">
      <c r="A2112" s="1" t="s">
        <v>516</v>
      </c>
      <c r="B2112" s="1" t="s">
        <v>4918</v>
      </c>
      <c r="C2112" s="1">
        <v>10682</v>
      </c>
      <c r="D2112" s="1" t="s">
        <v>251</v>
      </c>
      <c r="E2112" s="1" t="s">
        <v>4921</v>
      </c>
      <c r="F2112" s="1">
        <v>2023</v>
      </c>
      <c r="G2112" s="5">
        <v>646</v>
      </c>
      <c r="H2112" s="5">
        <v>598.15</v>
      </c>
      <c r="I2112" s="5">
        <v>26542.43</v>
      </c>
      <c r="K2112" s="5">
        <v>9.1999999999999998E-2</v>
      </c>
      <c r="L2112" s="5">
        <v>1E-3</v>
      </c>
      <c r="M2112" s="5">
        <v>18188.782999999999</v>
      </c>
      <c r="N2112" s="6">
        <v>5.9200000000000003E-2</v>
      </c>
      <c r="O2112" s="5">
        <v>14.128</v>
      </c>
      <c r="P2112" s="6">
        <v>9.4100000000000003E-2</v>
      </c>
      <c r="Q2112" s="5">
        <v>306038.70299999998</v>
      </c>
      <c r="R2112" s="1" t="s">
        <v>44</v>
      </c>
      <c r="T2112" s="1" t="s">
        <v>71</v>
      </c>
      <c r="V2112" s="1" t="s">
        <v>95</v>
      </c>
      <c r="Y2112" s="1" t="s">
        <v>247</v>
      </c>
      <c r="Z2112" s="1" t="str">
        <f t="shared" si="96"/>
        <v>10682 GT4</v>
      </c>
      <c r="AA2112" s="3">
        <f>IF(INDEX('CAMD Facility Data 2023'!$AA$2:$AE$10000,MATCH(Z2112,'CAMD Facility Data 2023'!$AE$2:$AE$10000,0),1)&gt;0,INDEX('CAMD Facility Data 2023'!$AA$2:$AE$10000,MATCH(Z2112,'CAMD Facility Data 2023'!$AE$2:$AE$10000,0),1),"")</f>
        <v>36941</v>
      </c>
      <c r="AB2112" s="5">
        <f>IF(INDEX('CAMD Facility Data 2023'!$AC$2:$AE$10000,MATCH(Z2112,'CAMD Facility Data 2023'!$AE$2:$AE$10000,0),1)&gt;0,INDEX('CAMD Facility Data 2023'!$AC$2:$AE$10000,MATCH(Z2112,'CAMD Facility Data 2023'!$AE$2:$AE$10000,0),1),"")</f>
        <v>843</v>
      </c>
      <c r="AC2112" s="1" t="str">
        <f>IF(INDEX('CAMD Facility Data 2023'!$AE$2:$AG$10000,MATCH(Z2112,'CAMD Facility Data 2023'!$AE$2:$AE$10000,0),3)&gt;0,INDEX('CAMD Facility Data 2023'!$AE$2:$AG$10000,MATCH(Z2112,'CAMD Facility Data 2023'!$AE$2:$AE$10000,0),3),"")</f>
        <v/>
      </c>
      <c r="AD2112" s="20">
        <f t="shared" si="97"/>
        <v>1.0645596503409824</v>
      </c>
      <c r="AE2112" s="25">
        <f t="shared" si="98"/>
        <v>4.1442378410438907E-2</v>
      </c>
    </row>
    <row r="2113" spans="1:31" x14ac:dyDescent="0.2">
      <c r="A2113" s="1" t="s">
        <v>516</v>
      </c>
      <c r="B2113" s="1" t="s">
        <v>4918</v>
      </c>
      <c r="C2113" s="1">
        <v>10682</v>
      </c>
      <c r="D2113" s="1" t="s">
        <v>253</v>
      </c>
      <c r="E2113" s="1" t="s">
        <v>128</v>
      </c>
      <c r="F2113" s="1">
        <v>2023</v>
      </c>
      <c r="G2113" s="5">
        <v>642</v>
      </c>
      <c r="H2113" s="5">
        <v>590.74</v>
      </c>
      <c r="I2113" s="5">
        <v>25433.01</v>
      </c>
      <c r="K2113" s="5">
        <v>8.5000000000000006E-2</v>
      </c>
      <c r="L2113" s="5">
        <v>1E-3</v>
      </c>
      <c r="M2113" s="5">
        <v>16910.981</v>
      </c>
      <c r="N2113" s="6">
        <v>5.9299999999999999E-2</v>
      </c>
      <c r="O2113" s="5">
        <v>12.849</v>
      </c>
      <c r="P2113" s="6">
        <v>9.1899999999999996E-2</v>
      </c>
      <c r="Q2113" s="5">
        <v>284565.27799999999</v>
      </c>
      <c r="R2113" s="1" t="s">
        <v>44</v>
      </c>
      <c r="T2113" s="1" t="s">
        <v>71</v>
      </c>
      <c r="V2113" s="1" t="s">
        <v>95</v>
      </c>
      <c r="Y2113" s="1" t="s">
        <v>247</v>
      </c>
      <c r="Z2113" s="1" t="str">
        <f t="shared" si="96"/>
        <v>10682 GT5</v>
      </c>
      <c r="AA2113" s="3">
        <f>IF(INDEX('CAMD Facility Data 2023'!$AA$2:$AE$10000,MATCH(Z2113,'CAMD Facility Data 2023'!$AE$2:$AE$10000,0),1)&gt;0,INDEX('CAMD Facility Data 2023'!$AA$2:$AE$10000,MATCH(Z2113,'CAMD Facility Data 2023'!$AE$2:$AE$10000,0),1),"")</f>
        <v>36941</v>
      </c>
      <c r="AB2113" s="5">
        <f>IF(INDEX('CAMD Facility Data 2023'!$AC$2:$AE$10000,MATCH(Z2113,'CAMD Facility Data 2023'!$AE$2:$AE$10000,0),1)&gt;0,INDEX('CAMD Facility Data 2023'!$AC$2:$AE$10000,MATCH(Z2113,'CAMD Facility Data 2023'!$AE$2:$AE$10000,0),1),"")</f>
        <v>845</v>
      </c>
      <c r="AC2113" s="1" t="str">
        <f>IF(INDEX('CAMD Facility Data 2023'!$AE$2:$AG$10000,MATCH(Z2113,'CAMD Facility Data 2023'!$AE$2:$AE$10000,0),3)&gt;0,INDEX('CAMD Facility Data 2023'!$AE$2:$AG$10000,MATCH(Z2113,'CAMD Facility Data 2023'!$AE$2:$AE$10000,0),3),"")</f>
        <v/>
      </c>
      <c r="AD2113" s="20">
        <f t="shared" si="97"/>
        <v>1.0104191363900694</v>
      </c>
      <c r="AE2113" s="25">
        <f t="shared" si="98"/>
        <v>3.8443338196752316E-2</v>
      </c>
    </row>
    <row r="2114" spans="1:31" x14ac:dyDescent="0.2">
      <c r="A2114" s="1" t="s">
        <v>2089</v>
      </c>
      <c r="B2114" s="1" t="s">
        <v>4925</v>
      </c>
      <c r="C2114" s="1">
        <v>10725</v>
      </c>
      <c r="D2114" s="1" t="s">
        <v>4926</v>
      </c>
      <c r="F2114" s="1">
        <v>2023</v>
      </c>
      <c r="G2114" s="5">
        <v>544</v>
      </c>
      <c r="H2114" s="5">
        <v>538.89</v>
      </c>
      <c r="I2114" s="5">
        <v>57022.04</v>
      </c>
      <c r="K2114" s="5">
        <v>0.14499999999999999</v>
      </c>
      <c r="L2114" s="5">
        <v>1E-3</v>
      </c>
      <c r="M2114" s="5">
        <v>28648.444</v>
      </c>
      <c r="N2114" s="6">
        <v>5.8999999999999997E-2</v>
      </c>
      <c r="O2114" s="5">
        <v>19.768000000000001</v>
      </c>
      <c r="P2114" s="6">
        <v>8.2600000000000007E-2</v>
      </c>
      <c r="Q2114" s="5">
        <v>482115.40899999999</v>
      </c>
      <c r="R2114" s="1" t="s">
        <v>44</v>
      </c>
      <c r="S2114" s="1" t="s">
        <v>94</v>
      </c>
      <c r="T2114" s="1" t="s">
        <v>71</v>
      </c>
      <c r="V2114" s="1" t="s">
        <v>1606</v>
      </c>
      <c r="Y2114" s="1" t="s">
        <v>1515</v>
      </c>
      <c r="Z2114" s="1" t="str">
        <f t="shared" si="96"/>
        <v>10725 CTG101</v>
      </c>
      <c r="AA2114" s="3">
        <f>IF(INDEX('CAMD Facility Data 2023'!$AA$2:$AE$10000,MATCH(Z2114,'CAMD Facility Data 2023'!$AE$2:$AE$10000,0),1)&gt;0,INDEX('CAMD Facility Data 2023'!$AA$2:$AE$10000,MATCH(Z2114,'CAMD Facility Data 2023'!$AE$2:$AE$10000,0),1),"")</f>
        <v>33711</v>
      </c>
      <c r="AB2114" s="5">
        <f>IF(INDEX('CAMD Facility Data 2023'!$AC$2:$AE$10000,MATCH(Z2114,'CAMD Facility Data 2023'!$AE$2:$AE$10000,0),1)&gt;0,INDEX('CAMD Facility Data 2023'!$AC$2:$AE$10000,MATCH(Z2114,'CAMD Facility Data 2023'!$AE$2:$AE$10000,0),1),"")</f>
        <v>1215</v>
      </c>
      <c r="AC2114" s="1" t="str">
        <f>IF(INDEX('CAMD Facility Data 2023'!$AE$2:$AG$10000,MATCH(Z2114,'CAMD Facility Data 2023'!$AE$2:$AE$10000,0),3)&gt;0,INDEX('CAMD Facility Data 2023'!$AE$2:$AG$10000,MATCH(Z2114,'CAMD Facility Data 2023'!$AE$2:$AE$10000,0),3),"")</f>
        <v/>
      </c>
      <c r="AD2114" s="20">
        <f t="shared" si="97"/>
        <v>0.69334594132374072</v>
      </c>
      <c r="AE2114" s="25">
        <f t="shared" si="98"/>
        <v>4.5297123945355809E-2</v>
      </c>
    </row>
    <row r="2115" spans="1:31" x14ac:dyDescent="0.2">
      <c r="A2115" s="1" t="s">
        <v>2089</v>
      </c>
      <c r="B2115" s="1" t="s">
        <v>4925</v>
      </c>
      <c r="C2115" s="1">
        <v>10725</v>
      </c>
      <c r="D2115" s="1" t="s">
        <v>4929</v>
      </c>
      <c r="F2115" s="1">
        <v>2023</v>
      </c>
      <c r="G2115" s="5">
        <v>510</v>
      </c>
      <c r="H2115" s="5">
        <v>495.32</v>
      </c>
      <c r="I2115" s="5">
        <v>52972.04</v>
      </c>
      <c r="K2115" s="5">
        <v>0.13400000000000001</v>
      </c>
      <c r="L2115" s="5">
        <v>1E-3</v>
      </c>
      <c r="M2115" s="5">
        <v>26530.571</v>
      </c>
      <c r="N2115" s="6">
        <v>5.8999999999999997E-2</v>
      </c>
      <c r="O2115" s="5">
        <v>5.9249999999999998</v>
      </c>
      <c r="P2115" s="6">
        <v>2.87E-2</v>
      </c>
      <c r="Q2115" s="5">
        <v>446429.30200000003</v>
      </c>
      <c r="R2115" s="1" t="s">
        <v>44</v>
      </c>
      <c r="S2115" s="1" t="s">
        <v>94</v>
      </c>
      <c r="T2115" s="1" t="s">
        <v>71</v>
      </c>
      <c r="V2115" s="1" t="s">
        <v>4050</v>
      </c>
      <c r="Y2115" s="1" t="s">
        <v>1515</v>
      </c>
      <c r="Z2115" s="1" t="str">
        <f t="shared" ref="Z2115:Z2178" si="99">C2115&amp;" "&amp;D2115</f>
        <v>10725 CTG201</v>
      </c>
      <c r="AA2115" s="3">
        <f>IF(INDEX('CAMD Facility Data 2023'!$AA$2:$AE$10000,MATCH(Z2115,'CAMD Facility Data 2023'!$AE$2:$AE$10000,0),1)&gt;0,INDEX('CAMD Facility Data 2023'!$AA$2:$AE$10000,MATCH(Z2115,'CAMD Facility Data 2023'!$AE$2:$AE$10000,0),1),"")</f>
        <v>34578</v>
      </c>
      <c r="AB2115" s="5">
        <f>IF(INDEX('CAMD Facility Data 2023'!$AC$2:$AE$10000,MATCH(Z2115,'CAMD Facility Data 2023'!$AE$2:$AE$10000,0),1)&gt;0,INDEX('CAMD Facility Data 2023'!$AC$2:$AE$10000,MATCH(Z2115,'CAMD Facility Data 2023'!$AE$2:$AE$10000,0),1),"")</f>
        <v>1259</v>
      </c>
      <c r="AC2115" s="1" t="str">
        <f>IF(INDEX('CAMD Facility Data 2023'!$AE$2:$AG$10000,MATCH(Z2115,'CAMD Facility Data 2023'!$AE$2:$AE$10000,0),3)&gt;0,INDEX('CAMD Facility Data 2023'!$AE$2:$AG$10000,MATCH(Z2115,'CAMD Facility Data 2023'!$AE$2:$AE$10000,0),3),"")</f>
        <v>Y</v>
      </c>
      <c r="AD2115" s="20">
        <f t="shared" ref="AD2115:AD2178" si="100">IF(ISNUMBER(O2115*2000/I2115),O2115*2000/I2115,"")</f>
        <v>0.2237029195024394</v>
      </c>
      <c r="AE2115" s="25">
        <f t="shared" ref="AE2115:AE2178" si="101">Q2115/(AB2115*8760)</f>
        <v>4.0478355112595704E-2</v>
      </c>
    </row>
    <row r="2116" spans="1:31" x14ac:dyDescent="0.2">
      <c r="A2116" s="1" t="s">
        <v>2089</v>
      </c>
      <c r="B2116" s="1" t="s">
        <v>4925</v>
      </c>
      <c r="C2116" s="1">
        <v>10725</v>
      </c>
      <c r="D2116" s="1" t="s">
        <v>4931</v>
      </c>
      <c r="F2116" s="1">
        <v>2023</v>
      </c>
      <c r="G2116" s="5">
        <v>442</v>
      </c>
      <c r="H2116" s="5">
        <v>426.13</v>
      </c>
      <c r="I2116" s="5">
        <v>44928.87</v>
      </c>
      <c r="K2116" s="5">
        <v>0.113</v>
      </c>
      <c r="L2116" s="5">
        <v>1E-3</v>
      </c>
      <c r="M2116" s="5">
        <v>22307.702000000001</v>
      </c>
      <c r="N2116" s="6">
        <v>5.8999999999999997E-2</v>
      </c>
      <c r="O2116" s="5">
        <v>4.9669999999999996</v>
      </c>
      <c r="P2116" s="6">
        <v>2.81E-2</v>
      </c>
      <c r="Q2116" s="5">
        <v>375373.24699999997</v>
      </c>
      <c r="R2116" s="1" t="s">
        <v>44</v>
      </c>
      <c r="S2116" s="1" t="s">
        <v>94</v>
      </c>
      <c r="T2116" s="1" t="s">
        <v>71</v>
      </c>
      <c r="V2116" s="1" t="s">
        <v>4050</v>
      </c>
      <c r="Y2116" s="1" t="s">
        <v>1515</v>
      </c>
      <c r="Z2116" s="1" t="str">
        <f t="shared" si="99"/>
        <v>10725 CTG301</v>
      </c>
      <c r="AA2116" s="3">
        <f>IF(INDEX('CAMD Facility Data 2023'!$AA$2:$AE$10000,MATCH(Z2116,'CAMD Facility Data 2023'!$AE$2:$AE$10000,0),1)&gt;0,INDEX('CAMD Facility Data 2023'!$AA$2:$AE$10000,MATCH(Z2116,'CAMD Facility Data 2023'!$AE$2:$AE$10000,0),1),"")</f>
        <v>34578</v>
      </c>
      <c r="AB2116" s="5">
        <f>IF(INDEX('CAMD Facility Data 2023'!$AC$2:$AE$10000,MATCH(Z2116,'CAMD Facility Data 2023'!$AE$2:$AE$10000,0),1)&gt;0,INDEX('CAMD Facility Data 2023'!$AC$2:$AE$10000,MATCH(Z2116,'CAMD Facility Data 2023'!$AE$2:$AE$10000,0),1),"")</f>
        <v>1250</v>
      </c>
      <c r="AC2116" s="1" t="str">
        <f>IF(INDEX('CAMD Facility Data 2023'!$AE$2:$AG$10000,MATCH(Z2116,'CAMD Facility Data 2023'!$AE$2:$AE$10000,0),3)&gt;0,INDEX('CAMD Facility Data 2023'!$AE$2:$AG$10000,MATCH(Z2116,'CAMD Facility Data 2023'!$AE$2:$AE$10000,0),3),"")</f>
        <v>Y</v>
      </c>
      <c r="AD2116" s="20">
        <f t="shared" si="100"/>
        <v>0.22110504893624075</v>
      </c>
      <c r="AE2116" s="25">
        <f t="shared" si="101"/>
        <v>3.4280661826484017E-2</v>
      </c>
    </row>
    <row r="2117" spans="1:31" x14ac:dyDescent="0.2">
      <c r="A2117" s="1" t="s">
        <v>1568</v>
      </c>
      <c r="B2117" s="1" t="s">
        <v>4933</v>
      </c>
      <c r="C2117" s="1">
        <v>10726</v>
      </c>
      <c r="D2117" s="1">
        <v>1</v>
      </c>
      <c r="F2117" s="1">
        <v>2023</v>
      </c>
      <c r="G2117" s="5">
        <v>3516</v>
      </c>
      <c r="H2117" s="5">
        <v>3331</v>
      </c>
      <c r="I2117" s="5">
        <v>233226</v>
      </c>
      <c r="K2117" s="5">
        <v>0.83799999999999997</v>
      </c>
      <c r="L2117" s="5">
        <v>1E-3</v>
      </c>
      <c r="M2117" s="5">
        <v>164997.6</v>
      </c>
      <c r="N2117" s="6">
        <v>5.8999999999999997E-2</v>
      </c>
      <c r="O2117" s="5">
        <v>52.261000000000003</v>
      </c>
      <c r="P2117" s="6">
        <v>4.1700000000000001E-2</v>
      </c>
      <c r="Q2117" s="5">
        <v>2776356.0750000002</v>
      </c>
      <c r="R2117" s="1" t="s">
        <v>44</v>
      </c>
      <c r="S2117" s="1" t="s">
        <v>94</v>
      </c>
      <c r="T2117" s="1" t="s">
        <v>71</v>
      </c>
      <c r="V2117" s="1" t="s">
        <v>4050</v>
      </c>
      <c r="Y2117" s="1" t="s">
        <v>579</v>
      </c>
      <c r="Z2117" s="1" t="str">
        <f t="shared" si="99"/>
        <v>10726 1</v>
      </c>
      <c r="AA2117" s="3">
        <f>IF(INDEX('CAMD Facility Data 2023'!$AA$2:$AE$10000,MATCH(Z2117,'CAMD Facility Data 2023'!$AE$2:$AE$10000,0),1)&gt;0,INDEX('CAMD Facility Data 2023'!$AA$2:$AE$10000,MATCH(Z2117,'CAMD Facility Data 2023'!$AE$2:$AE$10000,0),1),"")</f>
        <v>34181</v>
      </c>
      <c r="AB2117" s="5">
        <f>IF(INDEX('CAMD Facility Data 2023'!$AC$2:$AE$10000,MATCH(Z2117,'CAMD Facility Data 2023'!$AE$2:$AE$10000,0),1)&gt;0,INDEX('CAMD Facility Data 2023'!$AC$2:$AE$10000,MATCH(Z2117,'CAMD Facility Data 2023'!$AE$2:$AE$10000,0),1),"")</f>
        <v>1250</v>
      </c>
      <c r="AC2117" s="1" t="str">
        <f>IF(INDEX('CAMD Facility Data 2023'!$AE$2:$AG$10000,MATCH(Z2117,'CAMD Facility Data 2023'!$AE$2:$AE$10000,0),3)&gt;0,INDEX('CAMD Facility Data 2023'!$AE$2:$AG$10000,MATCH(Z2117,'CAMD Facility Data 2023'!$AE$2:$AE$10000,0),3),"")</f>
        <v>Y</v>
      </c>
      <c r="AD2117" s="20">
        <f t="shared" si="100"/>
        <v>0.44815758105871556</v>
      </c>
      <c r="AE2117" s="25">
        <f t="shared" si="101"/>
        <v>0.25354850000000001</v>
      </c>
    </row>
    <row r="2118" spans="1:31" x14ac:dyDescent="0.2">
      <c r="A2118" s="1" t="s">
        <v>1568</v>
      </c>
      <c r="B2118" s="1" t="s">
        <v>4933</v>
      </c>
      <c r="C2118" s="1">
        <v>10726</v>
      </c>
      <c r="D2118" s="1">
        <v>2</v>
      </c>
      <c r="F2118" s="1">
        <v>2023</v>
      </c>
      <c r="G2118" s="5">
        <v>3096</v>
      </c>
      <c r="H2118" s="5">
        <v>2929.75</v>
      </c>
      <c r="I2118" s="5">
        <v>209362.5</v>
      </c>
      <c r="K2118" s="5">
        <v>0.747</v>
      </c>
      <c r="L2118" s="5">
        <v>1E-3</v>
      </c>
      <c r="M2118" s="5">
        <v>146912.82500000001</v>
      </c>
      <c r="N2118" s="6">
        <v>5.8999999999999997E-2</v>
      </c>
      <c r="O2118" s="5">
        <v>42.261000000000003</v>
      </c>
      <c r="P2118" s="6">
        <v>3.7100000000000001E-2</v>
      </c>
      <c r="Q2118" s="5">
        <v>2472081.65</v>
      </c>
      <c r="R2118" s="1" t="s">
        <v>44</v>
      </c>
      <c r="S2118" s="1" t="s">
        <v>94</v>
      </c>
      <c r="T2118" s="1" t="s">
        <v>71</v>
      </c>
      <c r="V2118" s="1" t="s">
        <v>4050</v>
      </c>
      <c r="Y2118" s="1" t="s">
        <v>579</v>
      </c>
      <c r="Z2118" s="1" t="str">
        <f t="shared" si="99"/>
        <v>10726 2</v>
      </c>
      <c r="AA2118" s="3">
        <f>IF(INDEX('CAMD Facility Data 2023'!$AA$2:$AE$10000,MATCH(Z2118,'CAMD Facility Data 2023'!$AE$2:$AE$10000,0),1)&gt;0,INDEX('CAMD Facility Data 2023'!$AA$2:$AE$10000,MATCH(Z2118,'CAMD Facility Data 2023'!$AE$2:$AE$10000,0),1),"")</f>
        <v>34181</v>
      </c>
      <c r="AB2118" s="5">
        <f>IF(INDEX('CAMD Facility Data 2023'!$AC$2:$AE$10000,MATCH(Z2118,'CAMD Facility Data 2023'!$AE$2:$AE$10000,0),1)&gt;0,INDEX('CAMD Facility Data 2023'!$AC$2:$AE$10000,MATCH(Z2118,'CAMD Facility Data 2023'!$AE$2:$AE$10000,0),1),"")</f>
        <v>1250</v>
      </c>
      <c r="AC2118" s="1" t="str">
        <f>IF(INDEX('CAMD Facility Data 2023'!$AE$2:$AG$10000,MATCH(Z2118,'CAMD Facility Data 2023'!$AE$2:$AE$10000,0),3)&gt;0,INDEX('CAMD Facility Data 2023'!$AE$2:$AG$10000,MATCH(Z2118,'CAMD Facility Data 2023'!$AE$2:$AE$10000,0),3),"")</f>
        <v>Y</v>
      </c>
      <c r="AD2118" s="20">
        <f t="shared" si="100"/>
        <v>0.40371126634425936</v>
      </c>
      <c r="AE2118" s="25">
        <f t="shared" si="101"/>
        <v>0.2257608812785388</v>
      </c>
    </row>
    <row r="2119" spans="1:31" x14ac:dyDescent="0.2">
      <c r="A2119" s="1" t="s">
        <v>3140</v>
      </c>
      <c r="B2119" s="1" t="s">
        <v>4937</v>
      </c>
      <c r="C2119" s="1">
        <v>10743</v>
      </c>
      <c r="D2119" s="1" t="s">
        <v>4938</v>
      </c>
      <c r="E2119" s="1" t="s">
        <v>4827</v>
      </c>
      <c r="F2119" s="1">
        <v>2023</v>
      </c>
      <c r="G2119" s="5">
        <v>12</v>
      </c>
      <c r="H2119" s="5">
        <v>10.75</v>
      </c>
      <c r="J2119" s="5">
        <v>467.84</v>
      </c>
      <c r="K2119" s="5">
        <v>1E-3</v>
      </c>
      <c r="L2119" s="5">
        <v>1E-3</v>
      </c>
      <c r="O2119" s="5">
        <v>9.8000000000000004E-2</v>
      </c>
      <c r="P2119" s="6">
        <v>0.10730000000000001</v>
      </c>
      <c r="Q2119" s="5">
        <v>1748.3040000000001</v>
      </c>
      <c r="R2119" s="1" t="s">
        <v>44</v>
      </c>
      <c r="T2119" s="1" t="s">
        <v>885</v>
      </c>
      <c r="W2119" s="1" t="s">
        <v>232</v>
      </c>
      <c r="Y2119" s="1" t="s">
        <v>1388</v>
      </c>
      <c r="Z2119" s="1" t="str">
        <f t="shared" si="99"/>
        <v>10743 CFB1</v>
      </c>
      <c r="AA2119" s="3">
        <f>IF(INDEX('CAMD Facility Data 2023'!$AA$2:$AE$10000,MATCH(Z2119,'CAMD Facility Data 2023'!$AE$2:$AE$10000,0),1)&gt;0,INDEX('CAMD Facility Data 2023'!$AA$2:$AE$10000,MATCH(Z2119,'CAMD Facility Data 2023'!$AE$2:$AE$10000,0),1),"")</f>
        <v>33708</v>
      </c>
      <c r="AB2119" s="5">
        <f>IF(INDEX('CAMD Facility Data 2023'!$AC$2:$AE$10000,MATCH(Z2119,'CAMD Facility Data 2023'!$AE$2:$AE$10000,0),1)&gt;0,INDEX('CAMD Facility Data 2023'!$AC$2:$AE$10000,MATCH(Z2119,'CAMD Facility Data 2023'!$AE$2:$AE$10000,0),1),"")</f>
        <v>138.6</v>
      </c>
      <c r="AC2119" s="1" t="str">
        <f>IF(INDEX('CAMD Facility Data 2023'!$AE$2:$AG$10000,MATCH(Z2119,'CAMD Facility Data 2023'!$AE$2:$AE$10000,0),3)&gt;0,INDEX('CAMD Facility Data 2023'!$AE$2:$AG$10000,MATCH(Z2119,'CAMD Facility Data 2023'!$AE$2:$AE$10000,0),3),"")</f>
        <v/>
      </c>
      <c r="AD2119" s="20" t="str">
        <f t="shared" si="100"/>
        <v/>
      </c>
      <c r="AE2119" s="25">
        <f t="shared" si="101"/>
        <v>1.4399573029710018E-3</v>
      </c>
    </row>
    <row r="2120" spans="1:31" x14ac:dyDescent="0.2">
      <c r="A2120" s="1" t="s">
        <v>3140</v>
      </c>
      <c r="B2120" s="1" t="s">
        <v>4937</v>
      </c>
      <c r="C2120" s="1">
        <v>10743</v>
      </c>
      <c r="D2120" s="1" t="s">
        <v>4942</v>
      </c>
      <c r="E2120" s="1" t="s">
        <v>4827</v>
      </c>
      <c r="F2120" s="1">
        <v>2023</v>
      </c>
      <c r="G2120" s="5">
        <v>0</v>
      </c>
      <c r="H2120" s="5">
        <v>0</v>
      </c>
      <c r="R2120" s="1" t="s">
        <v>44</v>
      </c>
      <c r="T2120" s="1" t="s">
        <v>885</v>
      </c>
      <c r="W2120" s="1" t="s">
        <v>232</v>
      </c>
      <c r="Y2120" s="1" t="s">
        <v>1388</v>
      </c>
      <c r="Z2120" s="1" t="str">
        <f t="shared" si="99"/>
        <v>10743 CFB2</v>
      </c>
      <c r="AA2120" s="3">
        <f>IF(INDEX('CAMD Facility Data 2023'!$AA$2:$AE$10000,MATCH(Z2120,'CAMD Facility Data 2023'!$AE$2:$AE$10000,0),1)&gt;0,INDEX('CAMD Facility Data 2023'!$AA$2:$AE$10000,MATCH(Z2120,'CAMD Facility Data 2023'!$AE$2:$AE$10000,0),1),"")</f>
        <v>33708</v>
      </c>
      <c r="AB2120" s="5">
        <f>IF(INDEX('CAMD Facility Data 2023'!$AC$2:$AE$10000,MATCH(Z2120,'CAMD Facility Data 2023'!$AE$2:$AE$10000,0),1)&gt;0,INDEX('CAMD Facility Data 2023'!$AC$2:$AE$10000,MATCH(Z2120,'CAMD Facility Data 2023'!$AE$2:$AE$10000,0),1),"")</f>
        <v>138.6</v>
      </c>
      <c r="AC2120" s="1" t="str">
        <f>IF(INDEX('CAMD Facility Data 2023'!$AE$2:$AG$10000,MATCH(Z2120,'CAMD Facility Data 2023'!$AE$2:$AE$10000,0),3)&gt;0,INDEX('CAMD Facility Data 2023'!$AE$2:$AG$10000,MATCH(Z2120,'CAMD Facility Data 2023'!$AE$2:$AE$10000,0),3),"")</f>
        <v/>
      </c>
      <c r="AD2120" s="20" t="str">
        <f t="shared" si="100"/>
        <v/>
      </c>
      <c r="AE2120" s="25">
        <f t="shared" si="101"/>
        <v>0</v>
      </c>
    </row>
    <row r="2121" spans="1:31" x14ac:dyDescent="0.2">
      <c r="A2121" s="1" t="s">
        <v>1621</v>
      </c>
      <c r="B2121" s="1" t="s">
        <v>4943</v>
      </c>
      <c r="C2121" s="1">
        <v>10745</v>
      </c>
      <c r="D2121" s="1">
        <v>3</v>
      </c>
      <c r="F2121" s="1">
        <v>2023</v>
      </c>
      <c r="G2121" s="5">
        <v>6524</v>
      </c>
      <c r="H2121" s="5">
        <v>6484.52</v>
      </c>
      <c r="I2121" s="5">
        <v>587193.73</v>
      </c>
      <c r="K2121" s="5">
        <v>1.9019999999999999</v>
      </c>
      <c r="L2121" s="5">
        <v>1E-3</v>
      </c>
      <c r="O2121" s="5">
        <v>273.22899999999998</v>
      </c>
      <c r="P2121" s="6">
        <v>8.8300000000000003E-2</v>
      </c>
      <c r="Q2121" s="5">
        <v>6338416.8839999996</v>
      </c>
      <c r="R2121" s="1" t="s">
        <v>44</v>
      </c>
      <c r="T2121" s="1" t="s">
        <v>71</v>
      </c>
      <c r="V2121" s="1" t="s">
        <v>1606</v>
      </c>
      <c r="Y2121" s="1" t="s">
        <v>1020</v>
      </c>
      <c r="Z2121" s="1" t="str">
        <f t="shared" si="99"/>
        <v>10745 3</v>
      </c>
      <c r="AA2121" s="3">
        <f>IF(INDEX('CAMD Facility Data 2023'!$AA$2:$AE$10000,MATCH(Z2121,'CAMD Facility Data 2023'!$AE$2:$AE$10000,0),1)&gt;0,INDEX('CAMD Facility Data 2023'!$AA$2:$AE$10000,MATCH(Z2121,'CAMD Facility Data 2023'!$AE$2:$AE$10000,0),1),"")</f>
        <v>32933</v>
      </c>
      <c r="AB2121" s="5">
        <f>IF(INDEX('CAMD Facility Data 2023'!$AC$2:$AE$10000,MATCH(Z2121,'CAMD Facility Data 2023'!$AE$2:$AE$10000,0),1)&gt;0,INDEX('CAMD Facility Data 2023'!$AC$2:$AE$10000,MATCH(Z2121,'CAMD Facility Data 2023'!$AE$2:$AE$10000,0),1),"")</f>
        <v>1175</v>
      </c>
      <c r="AC2121" s="1" t="str">
        <f>IF(INDEX('CAMD Facility Data 2023'!$AE$2:$AG$10000,MATCH(Z2121,'CAMD Facility Data 2023'!$AE$2:$AE$10000,0),3)&gt;0,INDEX('CAMD Facility Data 2023'!$AE$2:$AG$10000,MATCH(Z2121,'CAMD Facility Data 2023'!$AE$2:$AE$10000,0),3),"")</f>
        <v/>
      </c>
      <c r="AD2121" s="20">
        <f t="shared" si="100"/>
        <v>0.93062642204984036</v>
      </c>
      <c r="AE2121" s="25">
        <f t="shared" si="101"/>
        <v>0.61579878402798016</v>
      </c>
    </row>
    <row r="2122" spans="1:31" x14ac:dyDescent="0.2">
      <c r="A2122" s="1" t="s">
        <v>1621</v>
      </c>
      <c r="B2122" s="1" t="s">
        <v>4943</v>
      </c>
      <c r="C2122" s="1">
        <v>10745</v>
      </c>
      <c r="D2122" s="1">
        <v>4</v>
      </c>
      <c r="F2122" s="1">
        <v>2023</v>
      </c>
      <c r="G2122" s="5">
        <v>7202</v>
      </c>
      <c r="H2122" s="5">
        <v>7114.52</v>
      </c>
      <c r="I2122" s="5">
        <v>634614.15</v>
      </c>
      <c r="K2122" s="5">
        <v>2.056</v>
      </c>
      <c r="L2122" s="5">
        <v>1E-3</v>
      </c>
      <c r="O2122" s="5">
        <v>330.99799999999999</v>
      </c>
      <c r="P2122" s="6">
        <v>0.104</v>
      </c>
      <c r="Q2122" s="5">
        <v>6852502.8880000003</v>
      </c>
      <c r="R2122" s="1" t="s">
        <v>44</v>
      </c>
      <c r="T2122" s="1" t="s">
        <v>71</v>
      </c>
      <c r="V2122" s="1" t="s">
        <v>1606</v>
      </c>
      <c r="Y2122" s="1" t="s">
        <v>1020</v>
      </c>
      <c r="Z2122" s="1" t="str">
        <f t="shared" si="99"/>
        <v>10745 4</v>
      </c>
      <c r="AA2122" s="3">
        <f>IF(INDEX('CAMD Facility Data 2023'!$AA$2:$AE$10000,MATCH(Z2122,'CAMD Facility Data 2023'!$AE$2:$AE$10000,0),1)&gt;0,INDEX('CAMD Facility Data 2023'!$AA$2:$AE$10000,MATCH(Z2122,'CAMD Facility Data 2023'!$AE$2:$AE$10000,0),1),"")</f>
        <v>32933</v>
      </c>
      <c r="AB2122" s="5">
        <f>IF(INDEX('CAMD Facility Data 2023'!$AC$2:$AE$10000,MATCH(Z2122,'CAMD Facility Data 2023'!$AE$2:$AE$10000,0),1)&gt;0,INDEX('CAMD Facility Data 2023'!$AC$2:$AE$10000,MATCH(Z2122,'CAMD Facility Data 2023'!$AE$2:$AE$10000,0),1),"")</f>
        <v>1175</v>
      </c>
      <c r="AC2122" s="1" t="str">
        <f>IF(INDEX('CAMD Facility Data 2023'!$AE$2:$AG$10000,MATCH(Z2122,'CAMD Facility Data 2023'!$AE$2:$AE$10000,0),3)&gt;0,INDEX('CAMD Facility Data 2023'!$AE$2:$AG$10000,MATCH(Z2122,'CAMD Facility Data 2023'!$AE$2:$AE$10000,0),3),"")</f>
        <v/>
      </c>
      <c r="AD2122" s="20">
        <f t="shared" si="100"/>
        <v>1.0431472415167546</v>
      </c>
      <c r="AE2122" s="25">
        <f t="shared" si="101"/>
        <v>0.66574398989604588</v>
      </c>
    </row>
    <row r="2123" spans="1:31" x14ac:dyDescent="0.2">
      <c r="A2123" s="1" t="s">
        <v>1621</v>
      </c>
      <c r="B2123" s="1" t="s">
        <v>4943</v>
      </c>
      <c r="C2123" s="1">
        <v>10745</v>
      </c>
      <c r="D2123" s="1">
        <v>5</v>
      </c>
      <c r="F2123" s="1">
        <v>2023</v>
      </c>
      <c r="G2123" s="5">
        <v>7803</v>
      </c>
      <c r="H2123" s="5">
        <v>7706.26</v>
      </c>
      <c r="I2123" s="5">
        <v>697304.65</v>
      </c>
      <c r="K2123" s="5">
        <v>2.206</v>
      </c>
      <c r="L2123" s="5">
        <v>1E-3</v>
      </c>
      <c r="O2123" s="5">
        <v>282.44200000000001</v>
      </c>
      <c r="P2123" s="6">
        <v>8.6199999999999999E-2</v>
      </c>
      <c r="Q2123" s="5">
        <v>7351280.0219999999</v>
      </c>
      <c r="R2123" s="1" t="s">
        <v>44</v>
      </c>
      <c r="T2123" s="1" t="s">
        <v>71</v>
      </c>
      <c r="V2123" s="1" t="s">
        <v>1606</v>
      </c>
      <c r="Y2123" s="1" t="s">
        <v>1020</v>
      </c>
      <c r="Z2123" s="1" t="str">
        <f t="shared" si="99"/>
        <v>10745 5</v>
      </c>
      <c r="AA2123" s="3">
        <f>IF(INDEX('CAMD Facility Data 2023'!$AA$2:$AE$10000,MATCH(Z2123,'CAMD Facility Data 2023'!$AE$2:$AE$10000,0),1)&gt;0,INDEX('CAMD Facility Data 2023'!$AA$2:$AE$10000,MATCH(Z2123,'CAMD Facility Data 2023'!$AE$2:$AE$10000,0),1),"")</f>
        <v>32933</v>
      </c>
      <c r="AB2123" s="5">
        <f>IF(INDEX('CAMD Facility Data 2023'!$AC$2:$AE$10000,MATCH(Z2123,'CAMD Facility Data 2023'!$AE$2:$AE$10000,0),1)&gt;0,INDEX('CAMD Facility Data 2023'!$AC$2:$AE$10000,MATCH(Z2123,'CAMD Facility Data 2023'!$AE$2:$AE$10000,0),1),"")</f>
        <v>1175</v>
      </c>
      <c r="AC2123" s="1" t="str">
        <f>IF(INDEX('CAMD Facility Data 2023'!$AE$2:$AG$10000,MATCH(Z2123,'CAMD Facility Data 2023'!$AE$2:$AE$10000,0),3)&gt;0,INDEX('CAMD Facility Data 2023'!$AE$2:$AG$10000,MATCH(Z2123,'CAMD Facility Data 2023'!$AE$2:$AE$10000,0),3),"")</f>
        <v/>
      </c>
      <c r="AD2123" s="20">
        <f t="shared" si="100"/>
        <v>0.81009641911896035</v>
      </c>
      <c r="AE2123" s="25">
        <f t="shared" si="101"/>
        <v>0.71420188691343633</v>
      </c>
    </row>
    <row r="2124" spans="1:31" x14ac:dyDescent="0.2">
      <c r="A2124" s="1" t="s">
        <v>1621</v>
      </c>
      <c r="B2124" s="1" t="s">
        <v>4943</v>
      </c>
      <c r="C2124" s="1">
        <v>10745</v>
      </c>
      <c r="D2124" s="1">
        <v>6</v>
      </c>
      <c r="F2124" s="1">
        <v>2023</v>
      </c>
      <c r="G2124" s="5">
        <v>6944</v>
      </c>
      <c r="H2124" s="5">
        <v>6873.01</v>
      </c>
      <c r="I2124" s="5">
        <v>616163.91</v>
      </c>
      <c r="K2124" s="5">
        <v>1.9890000000000001</v>
      </c>
      <c r="L2124" s="5">
        <v>1E-3</v>
      </c>
      <c r="O2124" s="5">
        <v>294.79899999999998</v>
      </c>
      <c r="P2124" s="6">
        <v>9.7000000000000003E-2</v>
      </c>
      <c r="Q2124" s="5">
        <v>6629152.8020000001</v>
      </c>
      <c r="R2124" s="1" t="s">
        <v>44</v>
      </c>
      <c r="T2124" s="1" t="s">
        <v>71</v>
      </c>
      <c r="V2124" s="1" t="s">
        <v>1606</v>
      </c>
      <c r="Y2124" s="1" t="s">
        <v>1020</v>
      </c>
      <c r="Z2124" s="1" t="str">
        <f t="shared" si="99"/>
        <v>10745 6</v>
      </c>
      <c r="AA2124" s="3">
        <f>IF(INDEX('CAMD Facility Data 2023'!$AA$2:$AE$10000,MATCH(Z2124,'CAMD Facility Data 2023'!$AE$2:$AE$10000,0),1)&gt;0,INDEX('CAMD Facility Data 2023'!$AA$2:$AE$10000,MATCH(Z2124,'CAMD Facility Data 2023'!$AE$2:$AE$10000,0),1),"")</f>
        <v>32933</v>
      </c>
      <c r="AB2124" s="5">
        <f>IF(INDEX('CAMD Facility Data 2023'!$AC$2:$AE$10000,MATCH(Z2124,'CAMD Facility Data 2023'!$AE$2:$AE$10000,0),1)&gt;0,INDEX('CAMD Facility Data 2023'!$AC$2:$AE$10000,MATCH(Z2124,'CAMD Facility Data 2023'!$AE$2:$AE$10000,0),1),"")</f>
        <v>1175</v>
      </c>
      <c r="AC2124" s="1" t="str">
        <f>IF(INDEX('CAMD Facility Data 2023'!$AE$2:$AG$10000,MATCH(Z2124,'CAMD Facility Data 2023'!$AE$2:$AE$10000,0),3)&gt;0,INDEX('CAMD Facility Data 2023'!$AE$2:$AG$10000,MATCH(Z2124,'CAMD Facility Data 2023'!$AE$2:$AE$10000,0),3),"")</f>
        <v/>
      </c>
      <c r="AD2124" s="20">
        <f t="shared" si="100"/>
        <v>0.95688499509813874</v>
      </c>
      <c r="AE2124" s="25">
        <f t="shared" si="101"/>
        <v>0.64404476848343539</v>
      </c>
    </row>
    <row r="2125" spans="1:31" x14ac:dyDescent="0.2">
      <c r="A2125" s="1" t="s">
        <v>1621</v>
      </c>
      <c r="B2125" s="1" t="s">
        <v>4943</v>
      </c>
      <c r="C2125" s="1">
        <v>10745</v>
      </c>
      <c r="D2125" s="1">
        <v>7</v>
      </c>
      <c r="F2125" s="1">
        <v>2023</v>
      </c>
      <c r="G2125" s="5">
        <v>7406</v>
      </c>
      <c r="H2125" s="5">
        <v>7314.74</v>
      </c>
      <c r="I2125" s="5">
        <v>664310.03</v>
      </c>
      <c r="K2125" s="5">
        <v>2.1539999999999999</v>
      </c>
      <c r="L2125" s="5">
        <v>1E-3</v>
      </c>
      <c r="O2125" s="5">
        <v>259.33800000000002</v>
      </c>
      <c r="P2125" s="6">
        <v>7.85E-2</v>
      </c>
      <c r="Q2125" s="5">
        <v>7179513.0970000001</v>
      </c>
      <c r="R2125" s="1" t="s">
        <v>44</v>
      </c>
      <c r="T2125" s="1" t="s">
        <v>71</v>
      </c>
      <c r="V2125" s="1" t="s">
        <v>1606</v>
      </c>
      <c r="Y2125" s="1" t="s">
        <v>1020</v>
      </c>
      <c r="Z2125" s="1" t="str">
        <f t="shared" si="99"/>
        <v>10745 7</v>
      </c>
      <c r="AA2125" s="3">
        <f>IF(INDEX('CAMD Facility Data 2023'!$AA$2:$AE$10000,MATCH(Z2125,'CAMD Facility Data 2023'!$AE$2:$AE$10000,0),1)&gt;0,INDEX('CAMD Facility Data 2023'!$AA$2:$AE$10000,MATCH(Z2125,'CAMD Facility Data 2023'!$AE$2:$AE$10000,0),1),"")</f>
        <v>32933</v>
      </c>
      <c r="AB2125" s="5">
        <f>IF(INDEX('CAMD Facility Data 2023'!$AC$2:$AE$10000,MATCH(Z2125,'CAMD Facility Data 2023'!$AE$2:$AE$10000,0),1)&gt;0,INDEX('CAMD Facility Data 2023'!$AC$2:$AE$10000,MATCH(Z2125,'CAMD Facility Data 2023'!$AE$2:$AE$10000,0),1),"")</f>
        <v>1175</v>
      </c>
      <c r="AC2125" s="1" t="str">
        <f>IF(INDEX('CAMD Facility Data 2023'!$AE$2:$AG$10000,MATCH(Z2125,'CAMD Facility Data 2023'!$AE$2:$AE$10000,0),3)&gt;0,INDEX('CAMD Facility Data 2023'!$AE$2:$AG$10000,MATCH(Z2125,'CAMD Facility Data 2023'!$AE$2:$AE$10000,0),3),"")</f>
        <v/>
      </c>
      <c r="AD2125" s="20">
        <f t="shared" si="100"/>
        <v>0.78077400095855853</v>
      </c>
      <c r="AE2125" s="25">
        <f t="shared" si="101"/>
        <v>0.69751414524434086</v>
      </c>
    </row>
    <row r="2126" spans="1:31" x14ac:dyDescent="0.2">
      <c r="A2126" s="1" t="s">
        <v>1621</v>
      </c>
      <c r="B2126" s="1" t="s">
        <v>4943</v>
      </c>
      <c r="C2126" s="1">
        <v>10745</v>
      </c>
      <c r="D2126" s="1">
        <v>8</v>
      </c>
      <c r="F2126" s="1">
        <v>2023</v>
      </c>
      <c r="G2126" s="5">
        <v>6978</v>
      </c>
      <c r="H2126" s="5">
        <v>6902.57</v>
      </c>
      <c r="I2126" s="5">
        <v>632853.6</v>
      </c>
      <c r="K2126" s="5">
        <v>2.032</v>
      </c>
      <c r="L2126" s="5">
        <v>1E-3</v>
      </c>
      <c r="O2126" s="5">
        <v>234.57499999999999</v>
      </c>
      <c r="P2126" s="6">
        <v>7.3300000000000004E-2</v>
      </c>
      <c r="Q2126" s="5">
        <v>6771997.2359999996</v>
      </c>
      <c r="R2126" s="1" t="s">
        <v>44</v>
      </c>
      <c r="T2126" s="1" t="s">
        <v>71</v>
      </c>
      <c r="V2126" s="1" t="s">
        <v>1606</v>
      </c>
      <c r="Y2126" s="1" t="s">
        <v>1020</v>
      </c>
      <c r="Z2126" s="1" t="str">
        <f t="shared" si="99"/>
        <v>10745 8</v>
      </c>
      <c r="AA2126" s="3">
        <f>IF(INDEX('CAMD Facility Data 2023'!$AA$2:$AE$10000,MATCH(Z2126,'CAMD Facility Data 2023'!$AE$2:$AE$10000,0),1)&gt;0,INDEX('CAMD Facility Data 2023'!$AA$2:$AE$10000,MATCH(Z2126,'CAMD Facility Data 2023'!$AE$2:$AE$10000,0),1),"")</f>
        <v>32933</v>
      </c>
      <c r="AB2126" s="5">
        <f>IF(INDEX('CAMD Facility Data 2023'!$AC$2:$AE$10000,MATCH(Z2126,'CAMD Facility Data 2023'!$AE$2:$AE$10000,0),1)&gt;0,INDEX('CAMD Facility Data 2023'!$AC$2:$AE$10000,MATCH(Z2126,'CAMD Facility Data 2023'!$AE$2:$AE$10000,0),1),"")</f>
        <v>1175</v>
      </c>
      <c r="AC2126" s="1" t="str">
        <f>IF(INDEX('CAMD Facility Data 2023'!$AE$2:$AG$10000,MATCH(Z2126,'CAMD Facility Data 2023'!$AE$2:$AE$10000,0),3)&gt;0,INDEX('CAMD Facility Data 2023'!$AE$2:$AG$10000,MATCH(Z2126,'CAMD Facility Data 2023'!$AE$2:$AE$10000,0),3),"")</f>
        <v/>
      </c>
      <c r="AD2126" s="20">
        <f t="shared" si="100"/>
        <v>0.7413246918402614</v>
      </c>
      <c r="AE2126" s="25">
        <f t="shared" si="101"/>
        <v>0.65792259166423783</v>
      </c>
    </row>
    <row r="2127" spans="1:31" x14ac:dyDescent="0.2">
      <c r="A2127" s="1" t="s">
        <v>1621</v>
      </c>
      <c r="B2127" s="1" t="s">
        <v>4943</v>
      </c>
      <c r="C2127" s="1">
        <v>10745</v>
      </c>
      <c r="D2127" s="1">
        <v>9</v>
      </c>
      <c r="F2127" s="1">
        <v>2023</v>
      </c>
      <c r="G2127" s="5">
        <v>7582</v>
      </c>
      <c r="H2127" s="5">
        <v>7482.31</v>
      </c>
      <c r="I2127" s="5">
        <v>689588.15</v>
      </c>
      <c r="K2127" s="5">
        <v>2.2690000000000001</v>
      </c>
      <c r="L2127" s="5">
        <v>1E-3</v>
      </c>
      <c r="O2127" s="5">
        <v>327.49099999999999</v>
      </c>
      <c r="P2127" s="6">
        <v>9.2200000000000004E-2</v>
      </c>
      <c r="Q2127" s="5">
        <v>7561131.648</v>
      </c>
      <c r="R2127" s="1" t="s">
        <v>44</v>
      </c>
      <c r="T2127" s="1" t="s">
        <v>71</v>
      </c>
      <c r="V2127" s="1" t="s">
        <v>1606</v>
      </c>
      <c r="Y2127" s="1" t="s">
        <v>1020</v>
      </c>
      <c r="Z2127" s="1" t="str">
        <f t="shared" si="99"/>
        <v>10745 9</v>
      </c>
      <c r="AA2127" s="3">
        <f>IF(INDEX('CAMD Facility Data 2023'!$AA$2:$AE$10000,MATCH(Z2127,'CAMD Facility Data 2023'!$AE$2:$AE$10000,0),1)&gt;0,INDEX('CAMD Facility Data 2023'!$AA$2:$AE$10000,MATCH(Z2127,'CAMD Facility Data 2023'!$AE$2:$AE$10000,0),1),"")</f>
        <v>32933</v>
      </c>
      <c r="AB2127" s="5">
        <f>IF(INDEX('CAMD Facility Data 2023'!$AC$2:$AE$10000,MATCH(Z2127,'CAMD Facility Data 2023'!$AE$2:$AE$10000,0),1)&gt;0,INDEX('CAMD Facility Data 2023'!$AC$2:$AE$10000,MATCH(Z2127,'CAMD Facility Data 2023'!$AE$2:$AE$10000,0),1),"")</f>
        <v>1400</v>
      </c>
      <c r="AC2127" s="1" t="str">
        <f>IF(INDEX('CAMD Facility Data 2023'!$AE$2:$AG$10000,MATCH(Z2127,'CAMD Facility Data 2023'!$AE$2:$AE$10000,0),3)&gt;0,INDEX('CAMD Facility Data 2023'!$AE$2:$AG$10000,MATCH(Z2127,'CAMD Facility Data 2023'!$AE$2:$AE$10000,0),3),"")</f>
        <v/>
      </c>
      <c r="AD2127" s="20">
        <f t="shared" si="100"/>
        <v>0.9498162055133923</v>
      </c>
      <c r="AE2127" s="25">
        <f t="shared" si="101"/>
        <v>0.61653063013698628</v>
      </c>
    </row>
    <row r="2128" spans="1:31" x14ac:dyDescent="0.2">
      <c r="A2128" s="1" t="s">
        <v>1621</v>
      </c>
      <c r="B2128" s="1" t="s">
        <v>4943</v>
      </c>
      <c r="C2128" s="1">
        <v>10745</v>
      </c>
      <c r="D2128" s="1">
        <v>10</v>
      </c>
      <c r="F2128" s="1">
        <v>2023</v>
      </c>
      <c r="G2128" s="5">
        <v>7440</v>
      </c>
      <c r="H2128" s="5">
        <v>7339.24</v>
      </c>
      <c r="I2128" s="5">
        <v>663443</v>
      </c>
      <c r="K2128" s="5">
        <v>2.149</v>
      </c>
      <c r="L2128" s="5">
        <v>1E-3</v>
      </c>
      <c r="O2128" s="5">
        <v>261.60399999999998</v>
      </c>
      <c r="P2128" s="6">
        <v>8.3099999999999993E-2</v>
      </c>
      <c r="Q2128" s="5">
        <v>7161911.0640000002</v>
      </c>
      <c r="R2128" s="1" t="s">
        <v>44</v>
      </c>
      <c r="T2128" s="1" t="s">
        <v>71</v>
      </c>
      <c r="V2128" s="1" t="s">
        <v>1606</v>
      </c>
      <c r="Y2128" s="1" t="s">
        <v>1020</v>
      </c>
      <c r="Z2128" s="1" t="str">
        <f t="shared" si="99"/>
        <v>10745 10</v>
      </c>
      <c r="AA2128" s="3">
        <f>IF(INDEX('CAMD Facility Data 2023'!$AA$2:$AE$10000,MATCH(Z2128,'CAMD Facility Data 2023'!$AE$2:$AE$10000,0),1)&gt;0,INDEX('CAMD Facility Data 2023'!$AA$2:$AE$10000,MATCH(Z2128,'CAMD Facility Data 2023'!$AE$2:$AE$10000,0),1),"")</f>
        <v>32933</v>
      </c>
      <c r="AB2128" s="5">
        <f>IF(INDEX('CAMD Facility Data 2023'!$AC$2:$AE$10000,MATCH(Z2128,'CAMD Facility Data 2023'!$AE$2:$AE$10000,0),1)&gt;0,INDEX('CAMD Facility Data 2023'!$AC$2:$AE$10000,MATCH(Z2128,'CAMD Facility Data 2023'!$AE$2:$AE$10000,0),1),"")</f>
        <v>1400</v>
      </c>
      <c r="AC2128" s="1" t="str">
        <f>IF(INDEX('CAMD Facility Data 2023'!$AE$2:$AG$10000,MATCH(Z2128,'CAMD Facility Data 2023'!$AE$2:$AE$10000,0),3)&gt;0,INDEX('CAMD Facility Data 2023'!$AE$2:$AG$10000,MATCH(Z2128,'CAMD Facility Data 2023'!$AE$2:$AE$10000,0),3),"")</f>
        <v/>
      </c>
      <c r="AD2128" s="20">
        <f t="shared" si="100"/>
        <v>0.78862539811257326</v>
      </c>
      <c r="AE2128" s="25">
        <f t="shared" si="101"/>
        <v>0.58397839726027401</v>
      </c>
    </row>
    <row r="2129" spans="1:31" x14ac:dyDescent="0.2">
      <c r="A2129" s="1" t="s">
        <v>1621</v>
      </c>
      <c r="B2129" s="1" t="s">
        <v>4943</v>
      </c>
      <c r="C2129" s="1">
        <v>10745</v>
      </c>
      <c r="D2129" s="1">
        <v>11</v>
      </c>
      <c r="F2129" s="1">
        <v>2023</v>
      </c>
      <c r="G2129" s="5">
        <v>8096</v>
      </c>
      <c r="H2129" s="5">
        <v>8075.9</v>
      </c>
      <c r="I2129" s="5">
        <v>731069.8</v>
      </c>
      <c r="K2129" s="5">
        <v>2.4119999999999999</v>
      </c>
      <c r="L2129" s="5">
        <v>1E-3</v>
      </c>
      <c r="O2129" s="5">
        <v>365.61200000000002</v>
      </c>
      <c r="P2129" s="6">
        <v>9.2600000000000002E-2</v>
      </c>
      <c r="Q2129" s="5">
        <v>8037958.2309999997</v>
      </c>
      <c r="R2129" s="1" t="s">
        <v>44</v>
      </c>
      <c r="T2129" s="1" t="s">
        <v>71</v>
      </c>
      <c r="V2129" s="1" t="s">
        <v>1606</v>
      </c>
      <c r="Y2129" s="1" t="s">
        <v>1020</v>
      </c>
      <c r="Z2129" s="1" t="str">
        <f t="shared" si="99"/>
        <v>10745 11</v>
      </c>
      <c r="AA2129" s="3">
        <f>IF(INDEX('CAMD Facility Data 2023'!$AA$2:$AE$10000,MATCH(Z2129,'CAMD Facility Data 2023'!$AE$2:$AE$10000,0),1)&gt;0,INDEX('CAMD Facility Data 2023'!$AA$2:$AE$10000,MATCH(Z2129,'CAMD Facility Data 2023'!$AE$2:$AE$10000,0),1),"")</f>
        <v>32933</v>
      </c>
      <c r="AB2129" s="5">
        <f>IF(INDEX('CAMD Facility Data 2023'!$AC$2:$AE$10000,MATCH(Z2129,'CAMD Facility Data 2023'!$AE$2:$AE$10000,0),1)&gt;0,INDEX('CAMD Facility Data 2023'!$AC$2:$AE$10000,MATCH(Z2129,'CAMD Facility Data 2023'!$AE$2:$AE$10000,0),1),"")</f>
        <v>1400</v>
      </c>
      <c r="AC2129" s="1" t="str">
        <f>IF(INDEX('CAMD Facility Data 2023'!$AE$2:$AG$10000,MATCH(Z2129,'CAMD Facility Data 2023'!$AE$2:$AE$10000,0),3)&gt;0,INDEX('CAMD Facility Data 2023'!$AE$2:$AG$10000,MATCH(Z2129,'CAMD Facility Data 2023'!$AE$2:$AE$10000,0),3),"")</f>
        <v/>
      </c>
      <c r="AD2129" s="20">
        <f t="shared" si="100"/>
        <v>1.0002109237722581</v>
      </c>
      <c r="AE2129" s="25">
        <f t="shared" si="101"/>
        <v>0.65541081466079576</v>
      </c>
    </row>
    <row r="2130" spans="1:31" x14ac:dyDescent="0.2">
      <c r="A2130" s="1" t="s">
        <v>1621</v>
      </c>
      <c r="B2130" s="1" t="s">
        <v>4943</v>
      </c>
      <c r="C2130" s="1">
        <v>10745</v>
      </c>
      <c r="D2130" s="1">
        <v>12</v>
      </c>
      <c r="F2130" s="1">
        <v>2023</v>
      </c>
      <c r="G2130" s="5">
        <v>8054</v>
      </c>
      <c r="H2130" s="5">
        <v>8023.57</v>
      </c>
      <c r="I2130" s="5">
        <v>675240.56</v>
      </c>
      <c r="K2130" s="5">
        <v>2.3889999999999998</v>
      </c>
      <c r="L2130" s="5">
        <v>1E-3</v>
      </c>
      <c r="O2130" s="5">
        <v>326.44200000000001</v>
      </c>
      <c r="P2130" s="6">
        <v>8.2900000000000001E-2</v>
      </c>
      <c r="Q2130" s="5">
        <v>7964191.4400000004</v>
      </c>
      <c r="R2130" s="1" t="s">
        <v>44</v>
      </c>
      <c r="T2130" s="1" t="s">
        <v>71</v>
      </c>
      <c r="V2130" s="1" t="s">
        <v>140</v>
      </c>
      <c r="Y2130" s="1" t="s">
        <v>1020</v>
      </c>
      <c r="Z2130" s="1" t="str">
        <f t="shared" si="99"/>
        <v>10745 12</v>
      </c>
      <c r="AA2130" s="3">
        <f>IF(INDEX('CAMD Facility Data 2023'!$AA$2:$AE$10000,MATCH(Z2130,'CAMD Facility Data 2023'!$AE$2:$AE$10000,0),1)&gt;0,INDEX('CAMD Facility Data 2023'!$AA$2:$AE$10000,MATCH(Z2130,'CAMD Facility Data 2023'!$AE$2:$AE$10000,0),1),"")</f>
        <v>32933</v>
      </c>
      <c r="AB2130" s="5">
        <f>IF(INDEX('CAMD Facility Data 2023'!$AC$2:$AE$10000,MATCH(Z2130,'CAMD Facility Data 2023'!$AE$2:$AE$10000,0),1)&gt;0,INDEX('CAMD Facility Data 2023'!$AC$2:$AE$10000,MATCH(Z2130,'CAMD Facility Data 2023'!$AE$2:$AE$10000,0),1),"")</f>
        <v>1375</v>
      </c>
      <c r="AC2130" s="1" t="str">
        <f>IF(INDEX('CAMD Facility Data 2023'!$AE$2:$AG$10000,MATCH(Z2130,'CAMD Facility Data 2023'!$AE$2:$AE$10000,0),3)&gt;0,INDEX('CAMD Facility Data 2023'!$AE$2:$AG$10000,MATCH(Z2130,'CAMD Facility Data 2023'!$AE$2:$AE$10000,0),3),"")</f>
        <v/>
      </c>
      <c r="AD2130" s="20">
        <f t="shared" si="100"/>
        <v>0.96689096993818013</v>
      </c>
      <c r="AE2130" s="25">
        <f t="shared" si="101"/>
        <v>0.6612031083437111</v>
      </c>
    </row>
    <row r="2131" spans="1:31" x14ac:dyDescent="0.2">
      <c r="A2131" s="1" t="s">
        <v>1621</v>
      </c>
      <c r="B2131" s="1" t="s">
        <v>4943</v>
      </c>
      <c r="C2131" s="1">
        <v>10745</v>
      </c>
      <c r="D2131" s="1">
        <v>13</v>
      </c>
      <c r="F2131" s="1">
        <v>2023</v>
      </c>
      <c r="G2131" s="5">
        <v>7517</v>
      </c>
      <c r="H2131" s="5">
        <v>7444.75</v>
      </c>
      <c r="I2131" s="5">
        <v>683752.1</v>
      </c>
      <c r="K2131" s="5">
        <v>2.3050000000000002</v>
      </c>
      <c r="L2131" s="5">
        <v>1E-3</v>
      </c>
      <c r="O2131" s="5">
        <v>336.82</v>
      </c>
      <c r="P2131" s="6">
        <v>9.1200000000000003E-2</v>
      </c>
      <c r="Q2131" s="5">
        <v>7682427.3190000001</v>
      </c>
      <c r="R2131" s="1" t="s">
        <v>44</v>
      </c>
      <c r="T2131" s="1" t="s">
        <v>71</v>
      </c>
      <c r="V2131" s="1" t="s">
        <v>1606</v>
      </c>
      <c r="Y2131" s="1" t="s">
        <v>1020</v>
      </c>
      <c r="Z2131" s="1" t="str">
        <f t="shared" si="99"/>
        <v>10745 13</v>
      </c>
      <c r="AA2131" s="3">
        <f>IF(INDEX('CAMD Facility Data 2023'!$AA$2:$AE$10000,MATCH(Z2131,'CAMD Facility Data 2023'!$AE$2:$AE$10000,0),1)&gt;0,INDEX('CAMD Facility Data 2023'!$AA$2:$AE$10000,MATCH(Z2131,'CAMD Facility Data 2023'!$AE$2:$AE$10000,0),1),"")</f>
        <v>32964</v>
      </c>
      <c r="AB2131" s="5">
        <f>IF(INDEX('CAMD Facility Data 2023'!$AC$2:$AE$10000,MATCH(Z2131,'CAMD Facility Data 2023'!$AE$2:$AE$10000,0),1)&gt;0,INDEX('CAMD Facility Data 2023'!$AC$2:$AE$10000,MATCH(Z2131,'CAMD Facility Data 2023'!$AE$2:$AE$10000,0),1),"")</f>
        <v>1400</v>
      </c>
      <c r="AC2131" s="1" t="str">
        <f>IF(INDEX('CAMD Facility Data 2023'!$AE$2:$AG$10000,MATCH(Z2131,'CAMD Facility Data 2023'!$AE$2:$AE$10000,0),3)&gt;0,INDEX('CAMD Facility Data 2023'!$AE$2:$AG$10000,MATCH(Z2131,'CAMD Facility Data 2023'!$AE$2:$AE$10000,0),3),"")</f>
        <v/>
      </c>
      <c r="AD2131" s="20">
        <f t="shared" si="100"/>
        <v>0.98521086809093528</v>
      </c>
      <c r="AE2131" s="25">
        <f t="shared" si="101"/>
        <v>0.62642101426940644</v>
      </c>
    </row>
    <row r="2132" spans="1:31" x14ac:dyDescent="0.2">
      <c r="A2132" s="1" t="s">
        <v>1621</v>
      </c>
      <c r="B2132" s="1" t="s">
        <v>4943</v>
      </c>
      <c r="C2132" s="1">
        <v>10745</v>
      </c>
      <c r="D2132" s="1">
        <v>14</v>
      </c>
      <c r="F2132" s="1">
        <v>2023</v>
      </c>
      <c r="G2132" s="5">
        <v>6632</v>
      </c>
      <c r="H2132" s="5">
        <v>6524.32</v>
      </c>
      <c r="I2132" s="5">
        <v>587572.22</v>
      </c>
      <c r="K2132" s="5">
        <v>1.9430000000000001</v>
      </c>
      <c r="L2132" s="5">
        <v>1E-3</v>
      </c>
      <c r="O2132" s="5">
        <v>276.51900000000001</v>
      </c>
      <c r="P2132" s="6">
        <v>9.3700000000000006E-2</v>
      </c>
      <c r="Q2132" s="5">
        <v>6476037.665</v>
      </c>
      <c r="R2132" s="1" t="s">
        <v>44</v>
      </c>
      <c r="T2132" s="1" t="s">
        <v>71</v>
      </c>
      <c r="V2132" s="1" t="s">
        <v>1606</v>
      </c>
      <c r="Y2132" s="1" t="s">
        <v>1020</v>
      </c>
      <c r="Z2132" s="1" t="str">
        <f t="shared" si="99"/>
        <v>10745 14</v>
      </c>
      <c r="AA2132" s="3">
        <f>IF(INDEX('CAMD Facility Data 2023'!$AA$2:$AE$10000,MATCH(Z2132,'CAMD Facility Data 2023'!$AE$2:$AE$10000,0),1)&gt;0,INDEX('CAMD Facility Data 2023'!$AA$2:$AE$10000,MATCH(Z2132,'CAMD Facility Data 2023'!$AE$2:$AE$10000,0),1),"")</f>
        <v>32994</v>
      </c>
      <c r="AB2132" s="5">
        <f>IF(INDEX('CAMD Facility Data 2023'!$AC$2:$AE$10000,MATCH(Z2132,'CAMD Facility Data 2023'!$AE$2:$AE$10000,0),1)&gt;0,INDEX('CAMD Facility Data 2023'!$AC$2:$AE$10000,MATCH(Z2132,'CAMD Facility Data 2023'!$AE$2:$AE$10000,0),1),"")</f>
        <v>1400</v>
      </c>
      <c r="AC2132" s="1" t="str">
        <f>IF(INDEX('CAMD Facility Data 2023'!$AE$2:$AG$10000,MATCH(Z2132,'CAMD Facility Data 2023'!$AE$2:$AE$10000,0),3)&gt;0,INDEX('CAMD Facility Data 2023'!$AE$2:$AG$10000,MATCH(Z2132,'CAMD Facility Data 2023'!$AE$2:$AE$10000,0),3),"")</f>
        <v/>
      </c>
      <c r="AD2132" s="20">
        <f t="shared" si="100"/>
        <v>0.94122557393880879</v>
      </c>
      <c r="AE2132" s="25">
        <f t="shared" si="101"/>
        <v>0.52805264717873446</v>
      </c>
    </row>
    <row r="2133" spans="1:31" x14ac:dyDescent="0.2">
      <c r="A2133" s="1" t="s">
        <v>1621</v>
      </c>
      <c r="B2133" s="1" t="s">
        <v>4943</v>
      </c>
      <c r="C2133" s="1">
        <v>10745</v>
      </c>
      <c r="D2133" s="1">
        <v>16</v>
      </c>
      <c r="F2133" s="1">
        <v>2023</v>
      </c>
      <c r="G2133" s="5">
        <v>90</v>
      </c>
      <c r="H2133" s="5">
        <v>76.33</v>
      </c>
      <c r="J2133" s="5">
        <v>6007.63</v>
      </c>
      <c r="K2133" s="5">
        <v>3.0000000000000001E-3</v>
      </c>
      <c r="L2133" s="5">
        <v>1E-3</v>
      </c>
      <c r="O2133" s="5">
        <v>0.14599999999999999</v>
      </c>
      <c r="P2133" s="6">
        <v>3.1399999999999997E-2</v>
      </c>
      <c r="Q2133" s="5">
        <v>9519.91</v>
      </c>
      <c r="R2133" s="1" t="s">
        <v>44</v>
      </c>
      <c r="T2133" s="1" t="s">
        <v>656</v>
      </c>
      <c r="V2133" s="1" t="s">
        <v>90</v>
      </c>
      <c r="Y2133" s="1" t="s">
        <v>1020</v>
      </c>
      <c r="Z2133" s="1" t="str">
        <f t="shared" si="99"/>
        <v>10745 16</v>
      </c>
      <c r="AA2133" s="3">
        <f>IF(INDEX('CAMD Facility Data 2023'!$AA$2:$AE$10000,MATCH(Z2133,'CAMD Facility Data 2023'!$AE$2:$AE$10000,0),1)&gt;0,INDEX('CAMD Facility Data 2023'!$AA$2:$AE$10000,MATCH(Z2133,'CAMD Facility Data 2023'!$AE$2:$AE$10000,0),1),"")</f>
        <v>39736</v>
      </c>
      <c r="AB2133" s="5">
        <f>IF(INDEX('CAMD Facility Data 2023'!$AC$2:$AE$10000,MATCH(Z2133,'CAMD Facility Data 2023'!$AE$2:$AE$10000,0),1)&gt;0,INDEX('CAMD Facility Data 2023'!$AC$2:$AE$10000,MATCH(Z2133,'CAMD Facility Data 2023'!$AE$2:$AE$10000,0),1),"")</f>
        <v>370</v>
      </c>
      <c r="AC2133" s="1" t="str">
        <f>IF(INDEX('CAMD Facility Data 2023'!$AE$2:$AG$10000,MATCH(Z2133,'CAMD Facility Data 2023'!$AE$2:$AE$10000,0),3)&gt;0,INDEX('CAMD Facility Data 2023'!$AE$2:$AG$10000,MATCH(Z2133,'CAMD Facility Data 2023'!$AE$2:$AE$10000,0),3),"")</f>
        <v/>
      </c>
      <c r="AD2133" s="20" t="str">
        <f t="shared" si="100"/>
        <v/>
      </c>
      <c r="AE2133" s="25">
        <f t="shared" si="101"/>
        <v>2.9371559916080464E-3</v>
      </c>
    </row>
    <row r="2134" spans="1:31" x14ac:dyDescent="0.2">
      <c r="A2134" s="1" t="s">
        <v>1621</v>
      </c>
      <c r="B2134" s="1" t="s">
        <v>4943</v>
      </c>
      <c r="C2134" s="1">
        <v>10745</v>
      </c>
      <c r="D2134" s="1">
        <v>17</v>
      </c>
      <c r="F2134" s="1">
        <v>2023</v>
      </c>
      <c r="G2134" s="5">
        <v>209</v>
      </c>
      <c r="H2134" s="5">
        <v>193.92</v>
      </c>
      <c r="J2134" s="5">
        <v>15056.74</v>
      </c>
      <c r="K2134" s="5">
        <v>7.0000000000000001E-3</v>
      </c>
      <c r="L2134" s="5">
        <v>1E-3</v>
      </c>
      <c r="O2134" s="5">
        <v>0.32800000000000001</v>
      </c>
      <c r="P2134" s="6">
        <v>2.9399999999999999E-2</v>
      </c>
      <c r="Q2134" s="5">
        <v>23445.436000000002</v>
      </c>
      <c r="R2134" s="1" t="s">
        <v>44</v>
      </c>
      <c r="T2134" s="1" t="s">
        <v>656</v>
      </c>
      <c r="V2134" s="1" t="s">
        <v>90</v>
      </c>
      <c r="Y2134" s="1" t="s">
        <v>1020</v>
      </c>
      <c r="Z2134" s="1" t="str">
        <f t="shared" si="99"/>
        <v>10745 17</v>
      </c>
      <c r="AA2134" s="3">
        <f>IF(INDEX('CAMD Facility Data 2023'!$AA$2:$AE$10000,MATCH(Z2134,'CAMD Facility Data 2023'!$AE$2:$AE$10000,0),1)&gt;0,INDEX('CAMD Facility Data 2023'!$AA$2:$AE$10000,MATCH(Z2134,'CAMD Facility Data 2023'!$AE$2:$AE$10000,0),1),"")</f>
        <v>39736</v>
      </c>
      <c r="AB2134" s="5">
        <f>IF(INDEX('CAMD Facility Data 2023'!$AC$2:$AE$10000,MATCH(Z2134,'CAMD Facility Data 2023'!$AE$2:$AE$10000,0),1)&gt;0,INDEX('CAMD Facility Data 2023'!$AC$2:$AE$10000,MATCH(Z2134,'CAMD Facility Data 2023'!$AE$2:$AE$10000,0),1),"")</f>
        <v>370</v>
      </c>
      <c r="AC2134" s="1" t="str">
        <f>IF(INDEX('CAMD Facility Data 2023'!$AE$2:$AG$10000,MATCH(Z2134,'CAMD Facility Data 2023'!$AE$2:$AE$10000,0),3)&gt;0,INDEX('CAMD Facility Data 2023'!$AE$2:$AG$10000,MATCH(Z2134,'CAMD Facility Data 2023'!$AE$2:$AE$10000,0),3),"")</f>
        <v/>
      </c>
      <c r="AD2134" s="20" t="str">
        <f t="shared" si="100"/>
        <v/>
      </c>
      <c r="AE2134" s="25">
        <f t="shared" si="101"/>
        <v>7.2335665802789094E-3</v>
      </c>
    </row>
    <row r="2135" spans="1:31" x14ac:dyDescent="0.2">
      <c r="A2135" s="1" t="s">
        <v>1621</v>
      </c>
      <c r="B2135" s="1" t="s">
        <v>4943</v>
      </c>
      <c r="C2135" s="1">
        <v>10745</v>
      </c>
      <c r="D2135" s="1">
        <v>18</v>
      </c>
      <c r="F2135" s="1">
        <v>2023</v>
      </c>
      <c r="G2135" s="5">
        <v>157</v>
      </c>
      <c r="H2135" s="5">
        <v>144.41999999999999</v>
      </c>
      <c r="J2135" s="5">
        <v>11512.35</v>
      </c>
      <c r="K2135" s="5">
        <v>7.0000000000000001E-3</v>
      </c>
      <c r="L2135" s="5">
        <v>1E-3</v>
      </c>
      <c r="O2135" s="5">
        <v>0.29499999999999998</v>
      </c>
      <c r="P2135" s="6">
        <v>2.8199999999999999E-2</v>
      </c>
      <c r="Q2135" s="5">
        <v>21680.769</v>
      </c>
      <c r="R2135" s="1" t="s">
        <v>44</v>
      </c>
      <c r="T2135" s="1" t="s">
        <v>656</v>
      </c>
      <c r="V2135" s="1" t="s">
        <v>90</v>
      </c>
      <c r="Y2135" s="1" t="s">
        <v>1020</v>
      </c>
      <c r="Z2135" s="1" t="str">
        <f t="shared" si="99"/>
        <v>10745 18</v>
      </c>
      <c r="AA2135" s="3">
        <f>IF(INDEX('CAMD Facility Data 2023'!$AA$2:$AE$10000,MATCH(Z2135,'CAMD Facility Data 2023'!$AE$2:$AE$10000,0),1)&gt;0,INDEX('CAMD Facility Data 2023'!$AA$2:$AE$10000,MATCH(Z2135,'CAMD Facility Data 2023'!$AE$2:$AE$10000,0),1),"")</f>
        <v>39736</v>
      </c>
      <c r="AB2135" s="5">
        <f>IF(INDEX('CAMD Facility Data 2023'!$AC$2:$AE$10000,MATCH(Z2135,'CAMD Facility Data 2023'!$AE$2:$AE$10000,0),1)&gt;0,INDEX('CAMD Facility Data 2023'!$AC$2:$AE$10000,MATCH(Z2135,'CAMD Facility Data 2023'!$AE$2:$AE$10000,0),1),"")</f>
        <v>370</v>
      </c>
      <c r="AC2135" s="1" t="str">
        <f>IF(INDEX('CAMD Facility Data 2023'!$AE$2:$AG$10000,MATCH(Z2135,'CAMD Facility Data 2023'!$AE$2:$AE$10000,0),3)&gt;0,INDEX('CAMD Facility Data 2023'!$AE$2:$AG$10000,MATCH(Z2135,'CAMD Facility Data 2023'!$AE$2:$AE$10000,0),3),"")</f>
        <v/>
      </c>
      <c r="AD2135" s="20" t="str">
        <f t="shared" si="100"/>
        <v/>
      </c>
      <c r="AE2135" s="25">
        <f t="shared" si="101"/>
        <v>6.6891179192891522E-3</v>
      </c>
    </row>
    <row r="2136" spans="1:31" x14ac:dyDescent="0.2">
      <c r="A2136" s="1" t="s">
        <v>1621</v>
      </c>
      <c r="B2136" s="1" t="s">
        <v>4943</v>
      </c>
      <c r="C2136" s="1">
        <v>10745</v>
      </c>
      <c r="D2136" s="1">
        <v>19</v>
      </c>
      <c r="F2136" s="1">
        <v>2023</v>
      </c>
      <c r="G2136" s="5">
        <v>133</v>
      </c>
      <c r="H2136" s="5">
        <v>123.07</v>
      </c>
      <c r="J2136" s="5">
        <v>11603.64</v>
      </c>
      <c r="K2136" s="5">
        <v>5.0000000000000001E-3</v>
      </c>
      <c r="L2136" s="5">
        <v>1E-3</v>
      </c>
      <c r="O2136" s="5">
        <v>0.249</v>
      </c>
      <c r="P2136" s="6">
        <v>3.0599999999999999E-2</v>
      </c>
      <c r="Q2136" s="5">
        <v>16392.898000000001</v>
      </c>
      <c r="R2136" s="1" t="s">
        <v>44</v>
      </c>
      <c r="T2136" s="1" t="s">
        <v>656</v>
      </c>
      <c r="V2136" s="1" t="s">
        <v>90</v>
      </c>
      <c r="Y2136" s="1" t="s">
        <v>1020</v>
      </c>
      <c r="Z2136" s="1" t="str">
        <f t="shared" si="99"/>
        <v>10745 19</v>
      </c>
      <c r="AA2136" s="3">
        <f>IF(INDEX('CAMD Facility Data 2023'!$AA$2:$AE$10000,MATCH(Z2136,'CAMD Facility Data 2023'!$AE$2:$AE$10000,0),1)&gt;0,INDEX('CAMD Facility Data 2023'!$AA$2:$AE$10000,MATCH(Z2136,'CAMD Facility Data 2023'!$AE$2:$AE$10000,0),1),"")</f>
        <v>39736</v>
      </c>
      <c r="AB2136" s="5">
        <f>IF(INDEX('CAMD Facility Data 2023'!$AC$2:$AE$10000,MATCH(Z2136,'CAMD Facility Data 2023'!$AE$2:$AE$10000,0),1)&gt;0,INDEX('CAMD Facility Data 2023'!$AC$2:$AE$10000,MATCH(Z2136,'CAMD Facility Data 2023'!$AE$2:$AE$10000,0),1),"")</f>
        <v>370</v>
      </c>
      <c r="AC2136" s="1" t="str">
        <f>IF(INDEX('CAMD Facility Data 2023'!$AE$2:$AG$10000,MATCH(Z2136,'CAMD Facility Data 2023'!$AE$2:$AE$10000,0),3)&gt;0,INDEX('CAMD Facility Data 2023'!$AE$2:$AG$10000,MATCH(Z2136,'CAMD Facility Data 2023'!$AE$2:$AE$10000,0),3),"")</f>
        <v/>
      </c>
      <c r="AD2136" s="20" t="str">
        <f t="shared" si="100"/>
        <v/>
      </c>
      <c r="AE2136" s="25">
        <f t="shared" si="101"/>
        <v>5.0576632111563619E-3</v>
      </c>
    </row>
    <row r="2137" spans="1:31" x14ac:dyDescent="0.2">
      <c r="A2137" s="1" t="s">
        <v>1621</v>
      </c>
      <c r="B2137" s="1" t="s">
        <v>4943</v>
      </c>
      <c r="C2137" s="1">
        <v>10745</v>
      </c>
      <c r="D2137" s="1">
        <v>20</v>
      </c>
      <c r="F2137" s="1">
        <v>2023</v>
      </c>
      <c r="G2137" s="5">
        <v>43</v>
      </c>
      <c r="H2137" s="5">
        <v>34.53</v>
      </c>
      <c r="J2137" s="5">
        <v>2721.99</v>
      </c>
      <c r="K2137" s="5">
        <v>1E-3</v>
      </c>
      <c r="L2137" s="5">
        <v>8.9999999999999998E-4</v>
      </c>
      <c r="O2137" s="5">
        <v>6.3E-2</v>
      </c>
      <c r="P2137" s="6">
        <v>3.2300000000000002E-2</v>
      </c>
      <c r="Q2137" s="5">
        <v>4090.0810000000001</v>
      </c>
      <c r="R2137" s="1" t="s">
        <v>44</v>
      </c>
      <c r="T2137" s="1" t="s">
        <v>656</v>
      </c>
      <c r="V2137" s="1" t="s">
        <v>90</v>
      </c>
      <c r="Y2137" s="1" t="s">
        <v>1020</v>
      </c>
      <c r="Z2137" s="1" t="str">
        <f t="shared" si="99"/>
        <v>10745 20</v>
      </c>
      <c r="AA2137" s="3">
        <f>IF(INDEX('CAMD Facility Data 2023'!$AA$2:$AE$10000,MATCH(Z2137,'CAMD Facility Data 2023'!$AE$2:$AE$10000,0),1)&gt;0,INDEX('CAMD Facility Data 2023'!$AA$2:$AE$10000,MATCH(Z2137,'CAMD Facility Data 2023'!$AE$2:$AE$10000,0),1),"")</f>
        <v>39853</v>
      </c>
      <c r="AB2137" s="5">
        <f>IF(INDEX('CAMD Facility Data 2023'!$AC$2:$AE$10000,MATCH(Z2137,'CAMD Facility Data 2023'!$AE$2:$AE$10000,0),1)&gt;0,INDEX('CAMD Facility Data 2023'!$AC$2:$AE$10000,MATCH(Z2137,'CAMD Facility Data 2023'!$AE$2:$AE$10000,0),1),"")</f>
        <v>370</v>
      </c>
      <c r="AC2137" s="1" t="str">
        <f>IF(INDEX('CAMD Facility Data 2023'!$AE$2:$AG$10000,MATCH(Z2137,'CAMD Facility Data 2023'!$AE$2:$AE$10000,0),3)&gt;0,INDEX('CAMD Facility Data 2023'!$AE$2:$AG$10000,MATCH(Z2137,'CAMD Facility Data 2023'!$AE$2:$AE$10000,0),3),"")</f>
        <v/>
      </c>
      <c r="AD2137" s="20" t="str">
        <f t="shared" si="100"/>
        <v/>
      </c>
      <c r="AE2137" s="25">
        <f t="shared" si="101"/>
        <v>1.2619033074170061E-3</v>
      </c>
    </row>
    <row r="2138" spans="1:31" x14ac:dyDescent="0.2">
      <c r="A2138" s="1" t="s">
        <v>1621</v>
      </c>
      <c r="B2138" s="1" t="s">
        <v>4943</v>
      </c>
      <c r="C2138" s="1">
        <v>10745</v>
      </c>
      <c r="D2138" s="1">
        <v>21</v>
      </c>
      <c r="F2138" s="1">
        <v>2023</v>
      </c>
      <c r="G2138" s="5">
        <v>45</v>
      </c>
      <c r="H2138" s="5">
        <v>36.9</v>
      </c>
      <c r="J2138" s="5">
        <v>2737.41</v>
      </c>
      <c r="K2138" s="5">
        <v>2E-3</v>
      </c>
      <c r="L2138" s="5">
        <v>1E-3</v>
      </c>
      <c r="O2138" s="5">
        <v>9.0999999999999998E-2</v>
      </c>
      <c r="P2138" s="6">
        <v>3.4200000000000001E-2</v>
      </c>
      <c r="Q2138" s="5">
        <v>5431.8130000000001</v>
      </c>
      <c r="R2138" s="1" t="s">
        <v>44</v>
      </c>
      <c r="T2138" s="1" t="s">
        <v>656</v>
      </c>
      <c r="V2138" s="1" t="s">
        <v>90</v>
      </c>
      <c r="Y2138" s="1" t="s">
        <v>1020</v>
      </c>
      <c r="Z2138" s="1" t="str">
        <f t="shared" si="99"/>
        <v>10745 21</v>
      </c>
      <c r="AA2138" s="3">
        <f>IF(INDEX('CAMD Facility Data 2023'!$AA$2:$AE$10000,MATCH(Z2138,'CAMD Facility Data 2023'!$AE$2:$AE$10000,0),1)&gt;0,INDEX('CAMD Facility Data 2023'!$AA$2:$AE$10000,MATCH(Z2138,'CAMD Facility Data 2023'!$AE$2:$AE$10000,0),1),"")</f>
        <v>39853</v>
      </c>
      <c r="AB2138" s="5">
        <f>IF(INDEX('CAMD Facility Data 2023'!$AC$2:$AE$10000,MATCH(Z2138,'CAMD Facility Data 2023'!$AE$2:$AE$10000,0),1)&gt;0,INDEX('CAMD Facility Data 2023'!$AC$2:$AE$10000,MATCH(Z2138,'CAMD Facility Data 2023'!$AE$2:$AE$10000,0),1),"")</f>
        <v>370</v>
      </c>
      <c r="AC2138" s="1" t="str">
        <f>IF(INDEX('CAMD Facility Data 2023'!$AE$2:$AG$10000,MATCH(Z2138,'CAMD Facility Data 2023'!$AE$2:$AE$10000,0),3)&gt;0,INDEX('CAMD Facility Data 2023'!$AE$2:$AG$10000,MATCH(Z2138,'CAMD Facility Data 2023'!$AE$2:$AE$10000,0),3),"")</f>
        <v/>
      </c>
      <c r="AD2138" s="20" t="str">
        <f t="shared" si="100"/>
        <v/>
      </c>
      <c r="AE2138" s="25">
        <f t="shared" si="101"/>
        <v>1.6758648031593238E-3</v>
      </c>
    </row>
    <row r="2139" spans="1:31" x14ac:dyDescent="0.2">
      <c r="A2139" s="1" t="s">
        <v>1980</v>
      </c>
      <c r="B2139" s="1" t="s">
        <v>4961</v>
      </c>
      <c r="C2139" s="1">
        <v>10751</v>
      </c>
      <c r="D2139" s="1">
        <v>2001</v>
      </c>
      <c r="F2139" s="1">
        <v>2023</v>
      </c>
      <c r="G2139" s="5">
        <v>794</v>
      </c>
      <c r="H2139" s="5">
        <v>715.36</v>
      </c>
      <c r="I2139" s="5">
        <v>79052.899999999994</v>
      </c>
      <c r="K2139" s="5">
        <v>0.223</v>
      </c>
      <c r="L2139" s="5">
        <v>1E-3</v>
      </c>
      <c r="M2139" s="5">
        <v>44109.362999999998</v>
      </c>
      <c r="N2139" s="6">
        <v>5.8999999999999997E-2</v>
      </c>
      <c r="O2139" s="5">
        <v>20.568999999999999</v>
      </c>
      <c r="P2139" s="6">
        <v>7.5800000000000006E-2</v>
      </c>
      <c r="Q2139" s="5">
        <v>742218.57</v>
      </c>
      <c r="R2139" s="1" t="s">
        <v>44</v>
      </c>
      <c r="S2139" s="1" t="s">
        <v>1292</v>
      </c>
      <c r="T2139" s="1" t="s">
        <v>71</v>
      </c>
      <c r="V2139" s="1" t="s">
        <v>4050</v>
      </c>
      <c r="Y2139" s="1" t="s">
        <v>1515</v>
      </c>
      <c r="Z2139" s="1" t="str">
        <f t="shared" si="99"/>
        <v>10751 2001</v>
      </c>
      <c r="AA2139" s="3">
        <f>IF(INDEX('CAMD Facility Data 2023'!$AA$2:$AE$10000,MATCH(Z2139,'CAMD Facility Data 2023'!$AE$2:$AE$10000,0),1)&gt;0,INDEX('CAMD Facility Data 2023'!$AA$2:$AE$10000,MATCH(Z2139,'CAMD Facility Data 2023'!$AE$2:$AE$10000,0),1),"")</f>
        <v>34035</v>
      </c>
      <c r="AB2139" s="5">
        <f>IF(INDEX('CAMD Facility Data 2023'!$AC$2:$AE$10000,MATCH(Z2139,'CAMD Facility Data 2023'!$AE$2:$AE$10000,0),1)&gt;0,INDEX('CAMD Facility Data 2023'!$AC$2:$AE$10000,MATCH(Z2139,'CAMD Facility Data 2023'!$AE$2:$AE$10000,0),1),"")</f>
        <v>1369</v>
      </c>
      <c r="AC2139" s="1" t="str">
        <f>IF(INDEX('CAMD Facility Data 2023'!$AE$2:$AG$10000,MATCH(Z2139,'CAMD Facility Data 2023'!$AE$2:$AE$10000,0),3)&gt;0,INDEX('CAMD Facility Data 2023'!$AE$2:$AG$10000,MATCH(Z2139,'CAMD Facility Data 2023'!$AE$2:$AE$10000,0),3),"")</f>
        <v>Y</v>
      </c>
      <c r="AD2139" s="20">
        <f t="shared" si="100"/>
        <v>0.52038571640003095</v>
      </c>
      <c r="AE2139" s="25">
        <f t="shared" si="101"/>
        <v>6.1890538539279741E-2</v>
      </c>
    </row>
    <row r="2140" spans="1:31" x14ac:dyDescent="0.2">
      <c r="A2140" s="1" t="s">
        <v>1903</v>
      </c>
      <c r="B2140" s="1" t="s">
        <v>4966</v>
      </c>
      <c r="C2140" s="1">
        <v>10761</v>
      </c>
      <c r="D2140" s="1">
        <v>1</v>
      </c>
      <c r="F2140" s="1">
        <v>2023</v>
      </c>
      <c r="G2140" s="5">
        <v>1253</v>
      </c>
      <c r="H2140" s="5">
        <v>1088.72</v>
      </c>
      <c r="I2140" s="5">
        <v>33144.120000000003</v>
      </c>
      <c r="K2140" s="5">
        <v>0.105</v>
      </c>
      <c r="L2140" s="5">
        <v>1E-3</v>
      </c>
      <c r="M2140" s="5">
        <v>20764.603999999999</v>
      </c>
      <c r="N2140" s="6">
        <v>5.9299999999999999E-2</v>
      </c>
      <c r="O2140" s="5">
        <v>3.8370000000000002</v>
      </c>
      <c r="P2140" s="6">
        <v>3.2599999999999997E-2</v>
      </c>
      <c r="Q2140" s="5">
        <v>349403.15100000001</v>
      </c>
      <c r="R2140" s="1" t="s">
        <v>44</v>
      </c>
      <c r="T2140" s="1" t="s">
        <v>71</v>
      </c>
      <c r="V2140" s="1" t="s">
        <v>223</v>
      </c>
      <c r="Y2140" s="1" t="s">
        <v>247</v>
      </c>
      <c r="Z2140" s="1" t="str">
        <f t="shared" si="99"/>
        <v>10761 1</v>
      </c>
      <c r="AA2140" s="3">
        <f>IF(INDEX('CAMD Facility Data 2023'!$AA$2:$AE$10000,MATCH(Z2140,'CAMD Facility Data 2023'!$AE$2:$AE$10000,0),1)&gt;0,INDEX('CAMD Facility Data 2023'!$AA$2:$AE$10000,MATCH(Z2140,'CAMD Facility Data 2023'!$AE$2:$AE$10000,0),1),"")</f>
        <v>34469</v>
      </c>
      <c r="AB2140" s="5">
        <f>IF(INDEX('CAMD Facility Data 2023'!$AC$2:$AE$10000,MATCH(Z2140,'CAMD Facility Data 2023'!$AE$2:$AE$10000,0),1)&gt;0,INDEX('CAMD Facility Data 2023'!$AC$2:$AE$10000,MATCH(Z2140,'CAMD Facility Data 2023'!$AE$2:$AE$10000,0),1),"")</f>
        <v>460</v>
      </c>
      <c r="AC2140" s="1" t="str">
        <f>IF(INDEX('CAMD Facility Data 2023'!$AE$2:$AG$10000,MATCH(Z2140,'CAMD Facility Data 2023'!$AE$2:$AE$10000,0),3)&gt;0,INDEX('CAMD Facility Data 2023'!$AE$2:$AG$10000,MATCH(Z2140,'CAMD Facility Data 2023'!$AE$2:$AE$10000,0),3),"")</f>
        <v>Y</v>
      </c>
      <c r="AD2140" s="20">
        <f t="shared" si="100"/>
        <v>0.23153428119376829</v>
      </c>
      <c r="AE2140" s="25">
        <f t="shared" si="101"/>
        <v>8.6709140113162594E-2</v>
      </c>
    </row>
    <row r="2141" spans="1:31" x14ac:dyDescent="0.2">
      <c r="A2141" s="1" t="s">
        <v>1903</v>
      </c>
      <c r="B2141" s="1" t="s">
        <v>4966</v>
      </c>
      <c r="C2141" s="1">
        <v>10761</v>
      </c>
      <c r="D2141" s="1">
        <v>2</v>
      </c>
      <c r="F2141" s="1">
        <v>2023</v>
      </c>
      <c r="G2141" s="5">
        <v>2712</v>
      </c>
      <c r="H2141" s="5">
        <v>2524.15</v>
      </c>
      <c r="I2141" s="5">
        <v>64992.19</v>
      </c>
      <c r="K2141" s="5">
        <v>0.21</v>
      </c>
      <c r="L2141" s="5">
        <v>1E-3</v>
      </c>
      <c r="M2141" s="5">
        <v>41507.972000000002</v>
      </c>
      <c r="N2141" s="6">
        <v>5.9299999999999999E-2</v>
      </c>
      <c r="O2141" s="5">
        <v>3.4409999999999998</v>
      </c>
      <c r="P2141" s="6">
        <v>1.6299999999999999E-2</v>
      </c>
      <c r="Q2141" s="5">
        <v>698458.86600000004</v>
      </c>
      <c r="R2141" s="1" t="s">
        <v>44</v>
      </c>
      <c r="T2141" s="1" t="s">
        <v>71</v>
      </c>
      <c r="V2141" s="1" t="s">
        <v>223</v>
      </c>
      <c r="Y2141" s="1" t="s">
        <v>247</v>
      </c>
      <c r="Z2141" s="1" t="str">
        <f t="shared" si="99"/>
        <v>10761 2</v>
      </c>
      <c r="AA2141" s="3">
        <f>IF(INDEX('CAMD Facility Data 2023'!$AA$2:$AE$10000,MATCH(Z2141,'CAMD Facility Data 2023'!$AE$2:$AE$10000,0),1)&gt;0,INDEX('CAMD Facility Data 2023'!$AA$2:$AE$10000,MATCH(Z2141,'CAMD Facility Data 2023'!$AE$2:$AE$10000,0),1),"")</f>
        <v>37484</v>
      </c>
      <c r="AB2141" s="5">
        <f>IF(INDEX('CAMD Facility Data 2023'!$AC$2:$AE$10000,MATCH(Z2141,'CAMD Facility Data 2023'!$AE$2:$AE$10000,0),1)&gt;0,INDEX('CAMD Facility Data 2023'!$AC$2:$AE$10000,MATCH(Z2141,'CAMD Facility Data 2023'!$AE$2:$AE$10000,0),1),"")</f>
        <v>470</v>
      </c>
      <c r="AC2141" s="1" t="str">
        <f>IF(INDEX('CAMD Facility Data 2023'!$AE$2:$AG$10000,MATCH(Z2141,'CAMD Facility Data 2023'!$AE$2:$AE$10000,0),3)&gt;0,INDEX('CAMD Facility Data 2023'!$AE$2:$AG$10000,MATCH(Z2141,'CAMD Facility Data 2023'!$AE$2:$AE$10000,0),3),"")</f>
        <v>Y</v>
      </c>
      <c r="AD2141" s="20">
        <f t="shared" si="100"/>
        <v>0.10588964612517288</v>
      </c>
      <c r="AE2141" s="25">
        <f t="shared" si="101"/>
        <v>0.16964414310696591</v>
      </c>
    </row>
    <row r="2142" spans="1:31" x14ac:dyDescent="0.2">
      <c r="A2142" s="1" t="s">
        <v>1903</v>
      </c>
      <c r="B2142" s="1" t="s">
        <v>4966</v>
      </c>
      <c r="C2142" s="1">
        <v>10761</v>
      </c>
      <c r="D2142" s="1">
        <v>3</v>
      </c>
      <c r="F2142" s="1">
        <v>2023</v>
      </c>
      <c r="G2142" s="5">
        <v>2623</v>
      </c>
      <c r="H2142" s="5">
        <v>2439.36</v>
      </c>
      <c r="I2142" s="5">
        <v>63016.69</v>
      </c>
      <c r="K2142" s="5">
        <v>0.20699999999999999</v>
      </c>
      <c r="L2142" s="5">
        <v>1E-3</v>
      </c>
      <c r="M2142" s="5">
        <v>40941.534</v>
      </c>
      <c r="N2142" s="6">
        <v>5.9299999999999999E-2</v>
      </c>
      <c r="O2142" s="5">
        <v>3.6850000000000001</v>
      </c>
      <c r="P2142" s="6">
        <v>1.8499999999999999E-2</v>
      </c>
      <c r="Q2142" s="5">
        <v>688890.92799999996</v>
      </c>
      <c r="R2142" s="1" t="s">
        <v>44</v>
      </c>
      <c r="T2142" s="1" t="s">
        <v>71</v>
      </c>
      <c r="V2142" s="1" t="s">
        <v>223</v>
      </c>
      <c r="Y2142" s="1" t="s">
        <v>247</v>
      </c>
      <c r="Z2142" s="1" t="str">
        <f t="shared" si="99"/>
        <v>10761 3</v>
      </c>
      <c r="AA2142" s="3">
        <f>IF(INDEX('CAMD Facility Data 2023'!$AA$2:$AE$10000,MATCH(Z2142,'CAMD Facility Data 2023'!$AE$2:$AE$10000,0),1)&gt;0,INDEX('CAMD Facility Data 2023'!$AA$2:$AE$10000,MATCH(Z2142,'CAMD Facility Data 2023'!$AE$2:$AE$10000,0),1),"")</f>
        <v>37484</v>
      </c>
      <c r="AB2142" s="5">
        <f>IF(INDEX('CAMD Facility Data 2023'!$AC$2:$AE$10000,MATCH(Z2142,'CAMD Facility Data 2023'!$AE$2:$AE$10000,0),1)&gt;0,INDEX('CAMD Facility Data 2023'!$AC$2:$AE$10000,MATCH(Z2142,'CAMD Facility Data 2023'!$AE$2:$AE$10000,0),1),"")</f>
        <v>470</v>
      </c>
      <c r="AC2142" s="1" t="str">
        <f>IF(INDEX('CAMD Facility Data 2023'!$AE$2:$AG$10000,MATCH(Z2142,'CAMD Facility Data 2023'!$AE$2:$AE$10000,0),3)&gt;0,INDEX('CAMD Facility Data 2023'!$AE$2:$AG$10000,MATCH(Z2142,'CAMD Facility Data 2023'!$AE$2:$AE$10000,0),3),"")</f>
        <v>Y</v>
      </c>
      <c r="AD2142" s="20">
        <f t="shared" si="100"/>
        <v>0.1169531436830465</v>
      </c>
      <c r="AE2142" s="25">
        <f t="shared" si="101"/>
        <v>0.16732024871271736</v>
      </c>
    </row>
    <row r="2143" spans="1:31" x14ac:dyDescent="0.2">
      <c r="A2143" s="1" t="s">
        <v>1903</v>
      </c>
      <c r="B2143" s="1" t="s">
        <v>4966</v>
      </c>
      <c r="C2143" s="1">
        <v>10761</v>
      </c>
      <c r="D2143" s="1">
        <v>4</v>
      </c>
      <c r="F2143" s="1">
        <v>2023</v>
      </c>
      <c r="G2143" s="5">
        <v>2422</v>
      </c>
      <c r="H2143" s="5">
        <v>2240.89</v>
      </c>
      <c r="I2143" s="5">
        <v>57228.08</v>
      </c>
      <c r="K2143" s="5">
        <v>0.186</v>
      </c>
      <c r="L2143" s="5">
        <v>1E-3</v>
      </c>
      <c r="M2143" s="5">
        <v>36832.038</v>
      </c>
      <c r="N2143" s="6">
        <v>5.9299999999999999E-2</v>
      </c>
      <c r="O2143" s="5">
        <v>2.927</v>
      </c>
      <c r="P2143" s="6">
        <v>1.7399999999999999E-2</v>
      </c>
      <c r="Q2143" s="5">
        <v>619782.48100000003</v>
      </c>
      <c r="R2143" s="1" t="s">
        <v>44</v>
      </c>
      <c r="T2143" s="1" t="s">
        <v>71</v>
      </c>
      <c r="V2143" s="1" t="s">
        <v>223</v>
      </c>
      <c r="Y2143" s="1" t="s">
        <v>247</v>
      </c>
      <c r="Z2143" s="1" t="str">
        <f t="shared" si="99"/>
        <v>10761 4</v>
      </c>
      <c r="AA2143" s="3">
        <f>IF(INDEX('CAMD Facility Data 2023'!$AA$2:$AE$10000,MATCH(Z2143,'CAMD Facility Data 2023'!$AE$2:$AE$10000,0),1)&gt;0,INDEX('CAMD Facility Data 2023'!$AA$2:$AE$10000,MATCH(Z2143,'CAMD Facility Data 2023'!$AE$2:$AE$10000,0),1),"")</f>
        <v>37521</v>
      </c>
      <c r="AB2143" s="5">
        <f>IF(INDEX('CAMD Facility Data 2023'!$AC$2:$AE$10000,MATCH(Z2143,'CAMD Facility Data 2023'!$AE$2:$AE$10000,0),1)&gt;0,INDEX('CAMD Facility Data 2023'!$AC$2:$AE$10000,MATCH(Z2143,'CAMD Facility Data 2023'!$AE$2:$AE$10000,0),1),"")</f>
        <v>470</v>
      </c>
      <c r="AC2143" s="1" t="str">
        <f>IF(INDEX('CAMD Facility Data 2023'!$AE$2:$AG$10000,MATCH(Z2143,'CAMD Facility Data 2023'!$AE$2:$AE$10000,0),3)&gt;0,INDEX('CAMD Facility Data 2023'!$AE$2:$AG$10000,MATCH(Z2143,'CAMD Facility Data 2023'!$AE$2:$AE$10000,0),3),"")</f>
        <v>Y</v>
      </c>
      <c r="AD2143" s="20">
        <f t="shared" si="100"/>
        <v>0.10229244105341294</v>
      </c>
      <c r="AE2143" s="25">
        <f t="shared" si="101"/>
        <v>0.15053494632274361</v>
      </c>
    </row>
    <row r="2144" spans="1:31" x14ac:dyDescent="0.2">
      <c r="A2144" s="1" t="s">
        <v>1903</v>
      </c>
      <c r="B2144" s="1" t="s">
        <v>4966</v>
      </c>
      <c r="C2144" s="1">
        <v>10761</v>
      </c>
      <c r="D2144" s="1">
        <v>5</v>
      </c>
      <c r="F2144" s="1">
        <v>2023</v>
      </c>
      <c r="G2144" s="5">
        <v>2463</v>
      </c>
      <c r="H2144" s="5">
        <v>2290.91</v>
      </c>
      <c r="I2144" s="5">
        <v>59160.29</v>
      </c>
      <c r="K2144" s="5">
        <v>0.186</v>
      </c>
      <c r="L2144" s="5">
        <v>1E-3</v>
      </c>
      <c r="M2144" s="5">
        <v>36783.987999999998</v>
      </c>
      <c r="N2144" s="6">
        <v>5.9299999999999999E-2</v>
      </c>
      <c r="O2144" s="5">
        <v>3.0840000000000001</v>
      </c>
      <c r="P2144" s="6">
        <v>1.77E-2</v>
      </c>
      <c r="Q2144" s="5">
        <v>618973.65399999998</v>
      </c>
      <c r="R2144" s="1" t="s">
        <v>44</v>
      </c>
      <c r="T2144" s="1" t="s">
        <v>71</v>
      </c>
      <c r="V2144" s="1" t="s">
        <v>223</v>
      </c>
      <c r="Y2144" s="1" t="s">
        <v>247</v>
      </c>
      <c r="Z2144" s="1" t="str">
        <f t="shared" si="99"/>
        <v>10761 5</v>
      </c>
      <c r="AA2144" s="3">
        <f>IF(INDEX('CAMD Facility Data 2023'!$AA$2:$AE$10000,MATCH(Z2144,'CAMD Facility Data 2023'!$AE$2:$AE$10000,0),1)&gt;0,INDEX('CAMD Facility Data 2023'!$AA$2:$AE$10000,MATCH(Z2144,'CAMD Facility Data 2023'!$AE$2:$AE$10000,0),1),"")</f>
        <v>37526</v>
      </c>
      <c r="AB2144" s="5">
        <f>IF(INDEX('CAMD Facility Data 2023'!$AC$2:$AE$10000,MATCH(Z2144,'CAMD Facility Data 2023'!$AE$2:$AE$10000,0),1)&gt;0,INDEX('CAMD Facility Data 2023'!$AC$2:$AE$10000,MATCH(Z2144,'CAMD Facility Data 2023'!$AE$2:$AE$10000,0),1),"")</f>
        <v>470</v>
      </c>
      <c r="AC2144" s="1" t="str">
        <f>IF(INDEX('CAMD Facility Data 2023'!$AE$2:$AG$10000,MATCH(Z2144,'CAMD Facility Data 2023'!$AE$2:$AE$10000,0),3)&gt;0,INDEX('CAMD Facility Data 2023'!$AE$2:$AG$10000,MATCH(Z2144,'CAMD Facility Data 2023'!$AE$2:$AE$10000,0),3),"")</f>
        <v>Y</v>
      </c>
      <c r="AD2144" s="20">
        <f t="shared" si="100"/>
        <v>0.10425912381430179</v>
      </c>
      <c r="AE2144" s="25">
        <f t="shared" si="101"/>
        <v>0.15033849557952006</v>
      </c>
    </row>
    <row r="2145" spans="1:31" x14ac:dyDescent="0.2">
      <c r="A2145" s="1" t="s">
        <v>3095</v>
      </c>
      <c r="B2145" s="1" t="s">
        <v>4973</v>
      </c>
      <c r="C2145" s="1">
        <v>10771</v>
      </c>
      <c r="D2145" s="1">
        <v>1</v>
      </c>
      <c r="E2145" s="1" t="s">
        <v>3161</v>
      </c>
      <c r="F2145" s="1">
        <v>2023</v>
      </c>
      <c r="G2145" s="5">
        <v>7087</v>
      </c>
      <c r="H2145" s="5">
        <v>7074.59</v>
      </c>
      <c r="J2145" s="5">
        <v>1374572.79</v>
      </c>
      <c r="K2145" s="5">
        <v>7.2110000000000003</v>
      </c>
      <c r="L2145" s="5">
        <v>6.1999999999999998E-3</v>
      </c>
      <c r="M2145" s="5">
        <v>274326.36499999999</v>
      </c>
      <c r="N2145" s="6">
        <v>0.1085</v>
      </c>
      <c r="O2145" s="5">
        <v>148.602</v>
      </c>
      <c r="P2145" s="6">
        <v>0.1178</v>
      </c>
      <c r="Q2145" s="5">
        <v>2508850.06</v>
      </c>
      <c r="R2145" s="1" t="s">
        <v>657</v>
      </c>
      <c r="T2145" s="1" t="s">
        <v>1660</v>
      </c>
      <c r="U2145" s="1" t="s">
        <v>212</v>
      </c>
      <c r="V2145" s="1" t="s">
        <v>604</v>
      </c>
      <c r="W2145" s="1" t="s">
        <v>232</v>
      </c>
      <c r="Y2145" s="1" t="s">
        <v>461</v>
      </c>
      <c r="Z2145" s="1" t="str">
        <f t="shared" si="99"/>
        <v>10771 1</v>
      </c>
      <c r="AA2145" s="3">
        <f>IF(INDEX('CAMD Facility Data 2023'!$AA$2:$AE$10000,MATCH(Z2145,'CAMD Facility Data 2023'!$AE$2:$AE$10000,0),1)&gt;0,INDEX('CAMD Facility Data 2023'!$AA$2:$AE$10000,MATCH(Z2145,'CAMD Facility Data 2023'!$AE$2:$AE$10000,0),1),"")</f>
        <v>33786</v>
      </c>
      <c r="AB2145" s="5">
        <f>IF(INDEX('CAMD Facility Data 2023'!$AC$2:$AE$10000,MATCH(Z2145,'CAMD Facility Data 2023'!$AE$2:$AE$10000,0),1)&gt;0,INDEX('CAMD Facility Data 2023'!$AC$2:$AE$10000,MATCH(Z2145,'CAMD Facility Data 2023'!$AE$2:$AE$10000,0),1),"")</f>
        <v>410</v>
      </c>
      <c r="AC2145" s="1" t="str">
        <f>IF(INDEX('CAMD Facility Data 2023'!$AE$2:$AG$10000,MATCH(Z2145,'CAMD Facility Data 2023'!$AE$2:$AE$10000,0),3)&gt;0,INDEX('CAMD Facility Data 2023'!$AE$2:$AG$10000,MATCH(Z2145,'CAMD Facility Data 2023'!$AE$2:$AE$10000,0),3),"")</f>
        <v>Y</v>
      </c>
      <c r="AD2145" s="20" t="str">
        <f t="shared" si="100"/>
        <v/>
      </c>
      <c r="AE2145" s="25">
        <f t="shared" si="101"/>
        <v>0.69853270408731483</v>
      </c>
    </row>
    <row r="2146" spans="1:31" x14ac:dyDescent="0.2">
      <c r="A2146" s="1" t="s">
        <v>3095</v>
      </c>
      <c r="B2146" s="1" t="s">
        <v>4973</v>
      </c>
      <c r="C2146" s="1">
        <v>10771</v>
      </c>
      <c r="D2146" s="1">
        <v>2</v>
      </c>
      <c r="E2146" s="1" t="s">
        <v>3161</v>
      </c>
      <c r="F2146" s="1">
        <v>2023</v>
      </c>
      <c r="G2146" s="5">
        <v>7499</v>
      </c>
      <c r="H2146" s="5">
        <v>7491.6</v>
      </c>
      <c r="J2146" s="5">
        <v>1474674.43</v>
      </c>
      <c r="K2146" s="5">
        <v>7.8150000000000004</v>
      </c>
      <c r="L2146" s="5">
        <v>6.1999999999999998E-3</v>
      </c>
      <c r="M2146" s="5">
        <v>295040.53600000002</v>
      </c>
      <c r="N2146" s="6">
        <v>0.1087</v>
      </c>
      <c r="O2146" s="5">
        <v>159.45599999999999</v>
      </c>
      <c r="P2146" s="6">
        <v>0.1178</v>
      </c>
      <c r="Q2146" s="5">
        <v>2696079.76</v>
      </c>
      <c r="R2146" s="1" t="s">
        <v>657</v>
      </c>
      <c r="T2146" s="1" t="s">
        <v>1660</v>
      </c>
      <c r="U2146" s="1" t="s">
        <v>212</v>
      </c>
      <c r="V2146" s="1" t="s">
        <v>604</v>
      </c>
      <c r="W2146" s="1" t="s">
        <v>232</v>
      </c>
      <c r="Y2146" s="1" t="s">
        <v>461</v>
      </c>
      <c r="Z2146" s="1" t="str">
        <f t="shared" si="99"/>
        <v>10771 2</v>
      </c>
      <c r="AA2146" s="3">
        <f>IF(INDEX('CAMD Facility Data 2023'!$AA$2:$AE$10000,MATCH(Z2146,'CAMD Facility Data 2023'!$AE$2:$AE$10000,0),1)&gt;0,INDEX('CAMD Facility Data 2023'!$AA$2:$AE$10000,MATCH(Z2146,'CAMD Facility Data 2023'!$AE$2:$AE$10000,0),1),"")</f>
        <v>33786</v>
      </c>
      <c r="AB2146" s="5">
        <f>IF(INDEX('CAMD Facility Data 2023'!$AC$2:$AE$10000,MATCH(Z2146,'CAMD Facility Data 2023'!$AE$2:$AE$10000,0),1)&gt;0,INDEX('CAMD Facility Data 2023'!$AC$2:$AE$10000,MATCH(Z2146,'CAMD Facility Data 2023'!$AE$2:$AE$10000,0),1),"")</f>
        <v>410</v>
      </c>
      <c r="AC2146" s="1" t="str">
        <f>IF(INDEX('CAMD Facility Data 2023'!$AE$2:$AG$10000,MATCH(Z2146,'CAMD Facility Data 2023'!$AE$2:$AE$10000,0),3)&gt;0,INDEX('CAMD Facility Data 2023'!$AE$2:$AG$10000,MATCH(Z2146,'CAMD Facility Data 2023'!$AE$2:$AE$10000,0),3),"")</f>
        <v>Y</v>
      </c>
      <c r="AD2146" s="20" t="str">
        <f t="shared" si="100"/>
        <v/>
      </c>
      <c r="AE2146" s="25">
        <f t="shared" si="101"/>
        <v>0.75066259048891848</v>
      </c>
    </row>
    <row r="2147" spans="1:31" x14ac:dyDescent="0.2">
      <c r="A2147" s="1" t="s">
        <v>3095</v>
      </c>
      <c r="B2147" s="1" t="s">
        <v>4975</v>
      </c>
      <c r="C2147" s="1">
        <v>10773</v>
      </c>
      <c r="D2147" s="1">
        <v>1</v>
      </c>
      <c r="E2147" s="1" t="s">
        <v>3161</v>
      </c>
      <c r="F2147" s="1">
        <v>2023</v>
      </c>
      <c r="G2147" s="5">
        <v>6256</v>
      </c>
      <c r="H2147" s="5">
        <v>6235.87</v>
      </c>
      <c r="J2147" s="5">
        <v>1226446.82</v>
      </c>
      <c r="K2147" s="5">
        <v>5.891</v>
      </c>
      <c r="L2147" s="5">
        <v>6.7999999999999996E-3</v>
      </c>
      <c r="M2147" s="5">
        <v>228876.71900000001</v>
      </c>
      <c r="N2147" s="6">
        <v>0.1072</v>
      </c>
      <c r="O2147" s="5">
        <v>128.59700000000001</v>
      </c>
      <c r="P2147" s="6">
        <v>0.1196</v>
      </c>
      <c r="Q2147" s="5">
        <v>2093959.507</v>
      </c>
      <c r="R2147" s="1" t="s">
        <v>657</v>
      </c>
      <c r="T2147" s="1" t="s">
        <v>1660</v>
      </c>
      <c r="U2147" s="1" t="s">
        <v>212</v>
      </c>
      <c r="V2147" s="1" t="s">
        <v>604</v>
      </c>
      <c r="W2147" s="1" t="s">
        <v>232</v>
      </c>
      <c r="Y2147" s="1" t="s">
        <v>461</v>
      </c>
      <c r="Z2147" s="1" t="str">
        <f t="shared" si="99"/>
        <v>10773 1</v>
      </c>
      <c r="AA2147" s="3">
        <f>IF(INDEX('CAMD Facility Data 2023'!$AA$2:$AE$10000,MATCH(Z2147,'CAMD Facility Data 2023'!$AE$2:$AE$10000,0),1)&gt;0,INDEX('CAMD Facility Data 2023'!$AA$2:$AE$10000,MATCH(Z2147,'CAMD Facility Data 2023'!$AE$2:$AE$10000,0),1),"")</f>
        <v>33656</v>
      </c>
      <c r="AB2147" s="5">
        <f>IF(INDEX('CAMD Facility Data 2023'!$AC$2:$AE$10000,MATCH(Z2147,'CAMD Facility Data 2023'!$AE$2:$AE$10000,0),1)&gt;0,INDEX('CAMD Facility Data 2023'!$AC$2:$AE$10000,MATCH(Z2147,'CAMD Facility Data 2023'!$AE$2:$AE$10000,0),1),"")</f>
        <v>410</v>
      </c>
      <c r="AC2147" s="1" t="str">
        <f>IF(INDEX('CAMD Facility Data 2023'!$AE$2:$AG$10000,MATCH(Z2147,'CAMD Facility Data 2023'!$AE$2:$AE$10000,0),3)&gt;0,INDEX('CAMD Facility Data 2023'!$AE$2:$AG$10000,MATCH(Z2147,'CAMD Facility Data 2023'!$AE$2:$AE$10000,0),3),"")</f>
        <v>Y</v>
      </c>
      <c r="AD2147" s="20" t="str">
        <f t="shared" si="100"/>
        <v/>
      </c>
      <c r="AE2147" s="25">
        <f t="shared" si="101"/>
        <v>0.58301578878494265</v>
      </c>
    </row>
    <row r="2148" spans="1:31" x14ac:dyDescent="0.2">
      <c r="A2148" s="1" t="s">
        <v>3095</v>
      </c>
      <c r="B2148" s="1" t="s">
        <v>4975</v>
      </c>
      <c r="C2148" s="1">
        <v>10773</v>
      </c>
      <c r="D2148" s="1">
        <v>2</v>
      </c>
      <c r="E2148" s="1" t="s">
        <v>3161</v>
      </c>
      <c r="F2148" s="1">
        <v>2023</v>
      </c>
      <c r="G2148" s="5">
        <v>6231</v>
      </c>
      <c r="H2148" s="5">
        <v>6212.93</v>
      </c>
      <c r="J2148" s="5">
        <v>1222784.6000000001</v>
      </c>
      <c r="K2148" s="5">
        <v>5.915</v>
      </c>
      <c r="L2148" s="5">
        <v>6.7999999999999996E-3</v>
      </c>
      <c r="M2148" s="5">
        <v>227888.671</v>
      </c>
      <c r="N2148" s="6">
        <v>0.1072</v>
      </c>
      <c r="O2148" s="5">
        <v>127.89400000000001</v>
      </c>
      <c r="P2148" s="6">
        <v>0.1196</v>
      </c>
      <c r="Q2148" s="5">
        <v>2086749.4169999999</v>
      </c>
      <c r="R2148" s="1" t="s">
        <v>657</v>
      </c>
      <c r="T2148" s="1" t="s">
        <v>1660</v>
      </c>
      <c r="U2148" s="1" t="s">
        <v>212</v>
      </c>
      <c r="V2148" s="1" t="s">
        <v>604</v>
      </c>
      <c r="W2148" s="1" t="s">
        <v>232</v>
      </c>
      <c r="Y2148" s="1" t="s">
        <v>461</v>
      </c>
      <c r="Z2148" s="1" t="str">
        <f t="shared" si="99"/>
        <v>10773 2</v>
      </c>
      <c r="AA2148" s="3">
        <f>IF(INDEX('CAMD Facility Data 2023'!$AA$2:$AE$10000,MATCH(Z2148,'CAMD Facility Data 2023'!$AE$2:$AE$10000,0),1)&gt;0,INDEX('CAMD Facility Data 2023'!$AA$2:$AE$10000,MATCH(Z2148,'CAMD Facility Data 2023'!$AE$2:$AE$10000,0),1),"")</f>
        <v>33656</v>
      </c>
      <c r="AB2148" s="5">
        <f>IF(INDEX('CAMD Facility Data 2023'!$AC$2:$AE$10000,MATCH(Z2148,'CAMD Facility Data 2023'!$AE$2:$AE$10000,0),1)&gt;0,INDEX('CAMD Facility Data 2023'!$AC$2:$AE$10000,MATCH(Z2148,'CAMD Facility Data 2023'!$AE$2:$AE$10000,0),1),"")</f>
        <v>410</v>
      </c>
      <c r="AC2148" s="1" t="str">
        <f>IF(INDEX('CAMD Facility Data 2023'!$AE$2:$AG$10000,MATCH(Z2148,'CAMD Facility Data 2023'!$AE$2:$AE$10000,0),3)&gt;0,INDEX('CAMD Facility Data 2023'!$AE$2:$AG$10000,MATCH(Z2148,'CAMD Facility Data 2023'!$AE$2:$AE$10000,0),3),"")</f>
        <v>Y</v>
      </c>
      <c r="AD2148" s="20" t="str">
        <f t="shared" si="100"/>
        <v/>
      </c>
      <c r="AE2148" s="25">
        <f t="shared" si="101"/>
        <v>0.58100830187103236</v>
      </c>
    </row>
    <row r="2149" spans="1:31" x14ac:dyDescent="0.2">
      <c r="A2149" s="1" t="s">
        <v>3095</v>
      </c>
      <c r="B2149" s="1" t="s">
        <v>4978</v>
      </c>
      <c r="C2149" s="1">
        <v>10774</v>
      </c>
      <c r="D2149" s="1">
        <v>1</v>
      </c>
      <c r="E2149" s="1" t="s">
        <v>3161</v>
      </c>
      <c r="F2149" s="1">
        <v>2023</v>
      </c>
      <c r="G2149" s="5">
        <v>7316</v>
      </c>
      <c r="H2149" s="5">
        <v>7295.76</v>
      </c>
      <c r="J2149" s="5">
        <v>1441443.9</v>
      </c>
      <c r="K2149" s="5">
        <v>8.2829999999999995</v>
      </c>
      <c r="L2149" s="5">
        <v>6.7000000000000002E-3</v>
      </c>
      <c r="M2149" s="5">
        <v>290218.64</v>
      </c>
      <c r="N2149" s="6">
        <v>0.10879999999999999</v>
      </c>
      <c r="O2149" s="5">
        <v>162.78700000000001</v>
      </c>
      <c r="P2149" s="6">
        <v>0.12180000000000001</v>
      </c>
      <c r="Q2149" s="5">
        <v>2652698.9330000002</v>
      </c>
      <c r="R2149" s="1" t="s">
        <v>657</v>
      </c>
      <c r="T2149" s="1" t="s">
        <v>1660</v>
      </c>
      <c r="U2149" s="1" t="s">
        <v>212</v>
      </c>
      <c r="V2149" s="1" t="s">
        <v>4981</v>
      </c>
      <c r="W2149" s="1" t="s">
        <v>232</v>
      </c>
      <c r="Y2149" s="1" t="s">
        <v>461</v>
      </c>
      <c r="Z2149" s="1" t="str">
        <f t="shared" si="99"/>
        <v>10774 1</v>
      </c>
      <c r="AA2149" s="3">
        <f>IF(INDEX('CAMD Facility Data 2023'!$AA$2:$AE$10000,MATCH(Z2149,'CAMD Facility Data 2023'!$AE$2:$AE$10000,0),1)&gt;0,INDEX('CAMD Facility Data 2023'!$AA$2:$AE$10000,MATCH(Z2149,'CAMD Facility Data 2023'!$AE$2:$AE$10000,0),1),"")</f>
        <v>33670</v>
      </c>
      <c r="AB2149" s="5">
        <f>IF(INDEX('CAMD Facility Data 2023'!$AC$2:$AE$10000,MATCH(Z2149,'CAMD Facility Data 2023'!$AE$2:$AE$10000,0),1)&gt;0,INDEX('CAMD Facility Data 2023'!$AC$2:$AE$10000,MATCH(Z2149,'CAMD Facility Data 2023'!$AE$2:$AE$10000,0),1),"")</f>
        <v>435</v>
      </c>
      <c r="AC2149" s="1" t="str">
        <f>IF(INDEX('CAMD Facility Data 2023'!$AE$2:$AG$10000,MATCH(Z2149,'CAMD Facility Data 2023'!$AE$2:$AE$10000,0),3)&gt;0,INDEX('CAMD Facility Data 2023'!$AE$2:$AG$10000,MATCH(Z2149,'CAMD Facility Data 2023'!$AE$2:$AE$10000,0),3),"")</f>
        <v>Y</v>
      </c>
      <c r="AD2149" s="20" t="str">
        <f t="shared" si="100"/>
        <v/>
      </c>
      <c r="AE2149" s="25">
        <f t="shared" si="101"/>
        <v>0.69613681126331817</v>
      </c>
    </row>
    <row r="2150" spans="1:31" x14ac:dyDescent="0.2">
      <c r="A2150" s="1" t="s">
        <v>3095</v>
      </c>
      <c r="B2150" s="1" t="s">
        <v>4978</v>
      </c>
      <c r="C2150" s="1">
        <v>10774</v>
      </c>
      <c r="D2150" s="1">
        <v>2</v>
      </c>
      <c r="E2150" s="1" t="s">
        <v>3161</v>
      </c>
      <c r="F2150" s="1">
        <v>2023</v>
      </c>
      <c r="G2150" s="5">
        <v>7386</v>
      </c>
      <c r="H2150" s="5">
        <v>7371.2</v>
      </c>
      <c r="J2150" s="5">
        <v>1444564.55</v>
      </c>
      <c r="K2150" s="5">
        <v>8.3179999999999996</v>
      </c>
      <c r="L2150" s="5">
        <v>6.6E-3</v>
      </c>
      <c r="M2150" s="5">
        <v>290335.12300000002</v>
      </c>
      <c r="N2150" s="6">
        <v>0.10879999999999999</v>
      </c>
      <c r="O2150" s="5">
        <v>162.90100000000001</v>
      </c>
      <c r="P2150" s="6">
        <v>0.12189999999999999</v>
      </c>
      <c r="Q2150" s="5">
        <v>2653662.1529999999</v>
      </c>
      <c r="R2150" s="1" t="s">
        <v>657</v>
      </c>
      <c r="T2150" s="1" t="s">
        <v>1660</v>
      </c>
      <c r="U2150" s="1" t="s">
        <v>212</v>
      </c>
      <c r="V2150" s="1" t="s">
        <v>4981</v>
      </c>
      <c r="W2150" s="1" t="s">
        <v>232</v>
      </c>
      <c r="Y2150" s="1" t="s">
        <v>461</v>
      </c>
      <c r="Z2150" s="1" t="str">
        <f t="shared" si="99"/>
        <v>10774 2</v>
      </c>
      <c r="AA2150" s="3">
        <f>IF(INDEX('CAMD Facility Data 2023'!$AA$2:$AE$10000,MATCH(Z2150,'CAMD Facility Data 2023'!$AE$2:$AE$10000,0),1)&gt;0,INDEX('CAMD Facility Data 2023'!$AA$2:$AE$10000,MATCH(Z2150,'CAMD Facility Data 2023'!$AE$2:$AE$10000,0),1),"")</f>
        <v>33670</v>
      </c>
      <c r="AB2150" s="5">
        <f>IF(INDEX('CAMD Facility Data 2023'!$AC$2:$AE$10000,MATCH(Z2150,'CAMD Facility Data 2023'!$AE$2:$AE$10000,0),1)&gt;0,INDEX('CAMD Facility Data 2023'!$AC$2:$AE$10000,MATCH(Z2150,'CAMD Facility Data 2023'!$AE$2:$AE$10000,0),1),"")</f>
        <v>435</v>
      </c>
      <c r="AC2150" s="1" t="str">
        <f>IF(INDEX('CAMD Facility Data 2023'!$AE$2:$AG$10000,MATCH(Z2150,'CAMD Facility Data 2023'!$AE$2:$AE$10000,0),3)&gt;0,INDEX('CAMD Facility Data 2023'!$AE$2:$AG$10000,MATCH(Z2150,'CAMD Facility Data 2023'!$AE$2:$AE$10000,0),3),"")</f>
        <v>Y</v>
      </c>
      <c r="AD2150" s="20" t="str">
        <f t="shared" si="100"/>
        <v/>
      </c>
      <c r="AE2150" s="25">
        <f t="shared" si="101"/>
        <v>0.69638958510470794</v>
      </c>
    </row>
    <row r="2151" spans="1:31" x14ac:dyDescent="0.2">
      <c r="A2151" s="1" t="s">
        <v>370</v>
      </c>
      <c r="B2151" s="1" t="s">
        <v>4982</v>
      </c>
      <c r="C2151" s="1">
        <v>10776</v>
      </c>
      <c r="D2151" s="1" t="s">
        <v>4823</v>
      </c>
      <c r="F2151" s="1">
        <v>2023</v>
      </c>
      <c r="G2151" s="5">
        <v>229</v>
      </c>
      <c r="H2151" s="5">
        <v>169.17</v>
      </c>
      <c r="I2151" s="5">
        <v>5649.69</v>
      </c>
      <c r="K2151" s="5">
        <v>0.76700000000000002</v>
      </c>
      <c r="L2151" s="5">
        <v>2.7E-2</v>
      </c>
      <c r="M2151" s="5">
        <v>3350.8820000000001</v>
      </c>
      <c r="N2151" s="6">
        <v>5.9299999999999999E-2</v>
      </c>
      <c r="O2151" s="5">
        <v>18.643000000000001</v>
      </c>
      <c r="P2151" s="6">
        <v>0.6431</v>
      </c>
      <c r="Q2151" s="5">
        <v>56380.116999999998</v>
      </c>
      <c r="R2151" s="1" t="s">
        <v>284</v>
      </c>
      <c r="T2151" s="1" t="s">
        <v>93</v>
      </c>
      <c r="V2151" s="1" t="s">
        <v>223</v>
      </c>
      <c r="Y2151" s="1" t="s">
        <v>247</v>
      </c>
      <c r="Z2151" s="1" t="str">
        <f t="shared" si="99"/>
        <v>10776 GTG</v>
      </c>
      <c r="AA2151" s="3">
        <f>IF(INDEX('CAMD Facility Data 2023'!$AA$2:$AE$10000,MATCH(Z2151,'CAMD Facility Data 2023'!$AE$2:$AE$10000,0),1)&gt;0,INDEX('CAMD Facility Data 2023'!$AA$2:$AE$10000,MATCH(Z2151,'CAMD Facility Data 2023'!$AE$2:$AE$10000,0),1),"")</f>
        <v>32976</v>
      </c>
      <c r="AB2151" s="5">
        <f>IF(INDEX('CAMD Facility Data 2023'!$AC$2:$AE$10000,MATCH(Z2151,'CAMD Facility Data 2023'!$AE$2:$AE$10000,0),1)&gt;0,INDEX('CAMD Facility Data 2023'!$AC$2:$AE$10000,MATCH(Z2151,'CAMD Facility Data 2023'!$AE$2:$AE$10000,0),1),"")</f>
        <v>449.6</v>
      </c>
      <c r="AC2151" s="1" t="str">
        <f>IF(INDEX('CAMD Facility Data 2023'!$AE$2:$AG$10000,MATCH(Z2151,'CAMD Facility Data 2023'!$AE$2:$AE$10000,0),3)&gt;0,INDEX('CAMD Facility Data 2023'!$AE$2:$AG$10000,MATCH(Z2151,'CAMD Facility Data 2023'!$AE$2:$AE$10000,0),3),"")</f>
        <v>Y</v>
      </c>
      <c r="AD2151" s="20">
        <f t="shared" si="100"/>
        <v>6.5996541403156641</v>
      </c>
      <c r="AE2151" s="25">
        <f t="shared" si="101"/>
        <v>1.4315138824566535E-2</v>
      </c>
    </row>
    <row r="2152" spans="1:31" x14ac:dyDescent="0.2">
      <c r="A2152" s="1" t="s">
        <v>2089</v>
      </c>
      <c r="B2152" s="1" t="s">
        <v>4985</v>
      </c>
      <c r="C2152" s="1">
        <v>10803</v>
      </c>
      <c r="D2152" s="1">
        <v>1</v>
      </c>
      <c r="F2152" s="1">
        <v>2023</v>
      </c>
      <c r="G2152" s="5">
        <v>0</v>
      </c>
      <c r="H2152" s="5">
        <v>0</v>
      </c>
      <c r="R2152" s="1" t="s">
        <v>44</v>
      </c>
      <c r="S2152" s="1" t="s">
        <v>94</v>
      </c>
      <c r="T2152" s="1" t="s">
        <v>71</v>
      </c>
      <c r="V2152" s="1" t="s">
        <v>176</v>
      </c>
      <c r="Y2152" s="1" t="s">
        <v>1515</v>
      </c>
      <c r="Z2152" s="1" t="str">
        <f t="shared" si="99"/>
        <v>10803 1</v>
      </c>
      <c r="AA2152" s="3">
        <f>IF(INDEX('CAMD Facility Data 2023'!$AA$2:$AE$10000,MATCH(Z2152,'CAMD Facility Data 2023'!$AE$2:$AE$10000,0),1)&gt;0,INDEX('CAMD Facility Data 2023'!$AA$2:$AE$10000,MATCH(Z2152,'CAMD Facility Data 2023'!$AE$2:$AE$10000,0),1),"")</f>
        <v>34473</v>
      </c>
      <c r="AB2152" s="5">
        <f>IF(INDEX('CAMD Facility Data 2023'!$AC$2:$AE$10000,MATCH(Z2152,'CAMD Facility Data 2023'!$AE$2:$AE$10000,0),1)&gt;0,INDEX('CAMD Facility Data 2023'!$AC$2:$AE$10000,MATCH(Z2152,'CAMD Facility Data 2023'!$AE$2:$AE$10000,0),1),"")</f>
        <v>536</v>
      </c>
      <c r="AC2152" s="1" t="str">
        <f>IF(INDEX('CAMD Facility Data 2023'!$AE$2:$AG$10000,MATCH(Z2152,'CAMD Facility Data 2023'!$AE$2:$AE$10000,0),3)&gt;0,INDEX('CAMD Facility Data 2023'!$AE$2:$AG$10000,MATCH(Z2152,'CAMD Facility Data 2023'!$AE$2:$AE$10000,0),3),"")</f>
        <v>Y</v>
      </c>
      <c r="AD2152" s="20" t="str">
        <f t="shared" si="100"/>
        <v/>
      </c>
      <c r="AE2152" s="25">
        <f t="shared" si="101"/>
        <v>0</v>
      </c>
    </row>
    <row r="2153" spans="1:31" x14ac:dyDescent="0.2">
      <c r="A2153" s="1" t="s">
        <v>2089</v>
      </c>
      <c r="B2153" s="1" t="s">
        <v>4985</v>
      </c>
      <c r="C2153" s="1">
        <v>10803</v>
      </c>
      <c r="D2153" s="1">
        <v>2</v>
      </c>
      <c r="F2153" s="1">
        <v>2023</v>
      </c>
      <c r="G2153" s="5">
        <v>0</v>
      </c>
      <c r="H2153" s="5">
        <v>0</v>
      </c>
      <c r="R2153" s="1" t="s">
        <v>44</v>
      </c>
      <c r="S2153" s="1" t="s">
        <v>94</v>
      </c>
      <c r="T2153" s="1" t="s">
        <v>71</v>
      </c>
      <c r="V2153" s="1" t="s">
        <v>176</v>
      </c>
      <c r="Y2153" s="1" t="s">
        <v>1515</v>
      </c>
      <c r="Z2153" s="1" t="str">
        <f t="shared" si="99"/>
        <v>10803 2</v>
      </c>
      <c r="AA2153" s="3">
        <f>IF(INDEX('CAMD Facility Data 2023'!$AA$2:$AE$10000,MATCH(Z2153,'CAMD Facility Data 2023'!$AE$2:$AE$10000,0),1)&gt;0,INDEX('CAMD Facility Data 2023'!$AA$2:$AE$10000,MATCH(Z2153,'CAMD Facility Data 2023'!$AE$2:$AE$10000,0),1),"")</f>
        <v>34473</v>
      </c>
      <c r="AB2153" s="5">
        <f>IF(INDEX('CAMD Facility Data 2023'!$AC$2:$AE$10000,MATCH(Z2153,'CAMD Facility Data 2023'!$AE$2:$AE$10000,0),1)&gt;0,INDEX('CAMD Facility Data 2023'!$AC$2:$AE$10000,MATCH(Z2153,'CAMD Facility Data 2023'!$AE$2:$AE$10000,0),1),"")</f>
        <v>254</v>
      </c>
      <c r="AC2153" s="1" t="str">
        <f>IF(INDEX('CAMD Facility Data 2023'!$AE$2:$AG$10000,MATCH(Z2153,'CAMD Facility Data 2023'!$AE$2:$AE$10000,0),3)&gt;0,INDEX('CAMD Facility Data 2023'!$AE$2:$AG$10000,MATCH(Z2153,'CAMD Facility Data 2023'!$AE$2:$AE$10000,0),3),"")</f>
        <v>Y</v>
      </c>
      <c r="AD2153" s="20" t="str">
        <f t="shared" si="100"/>
        <v/>
      </c>
      <c r="AE2153" s="25">
        <f t="shared" si="101"/>
        <v>0</v>
      </c>
    </row>
    <row r="2154" spans="1:31" x14ac:dyDescent="0.2">
      <c r="A2154" s="1" t="s">
        <v>1621</v>
      </c>
      <c r="B2154" s="1" t="s">
        <v>4991</v>
      </c>
      <c r="C2154" s="1">
        <v>10822</v>
      </c>
      <c r="D2154" s="1">
        <v>1</v>
      </c>
      <c r="F2154" s="1">
        <v>2023</v>
      </c>
      <c r="G2154" s="5">
        <v>8304</v>
      </c>
      <c r="H2154" s="5">
        <v>8289.82</v>
      </c>
      <c r="J2154" s="5">
        <v>1273627.79</v>
      </c>
      <c r="K2154" s="5">
        <v>11.795999999999999</v>
      </c>
      <c r="L2154" s="5">
        <v>1.0999999999999999E-2</v>
      </c>
      <c r="O2154" s="5">
        <v>134.05199999999999</v>
      </c>
      <c r="P2154" s="6">
        <v>0.1275</v>
      </c>
      <c r="Q2154" s="5">
        <v>2086835.1329999999</v>
      </c>
      <c r="R2154" s="1" t="s">
        <v>657</v>
      </c>
      <c r="S2154" s="1" t="s">
        <v>4995</v>
      </c>
      <c r="T2154" s="1" t="s">
        <v>1660</v>
      </c>
      <c r="V2154" s="1" t="s">
        <v>669</v>
      </c>
      <c r="W2154" s="1" t="s">
        <v>658</v>
      </c>
      <c r="Y2154" s="1" t="s">
        <v>1020</v>
      </c>
      <c r="Z2154" s="1" t="str">
        <f t="shared" si="99"/>
        <v>10822 1</v>
      </c>
      <c r="AA2154" s="3">
        <f>IF(INDEX('CAMD Facility Data 2023'!$AA$2:$AE$10000,MATCH(Z2154,'CAMD Facility Data 2023'!$AE$2:$AE$10000,0),1)&gt;0,INDEX('CAMD Facility Data 2023'!$AA$2:$AE$10000,MATCH(Z2154,'CAMD Facility Data 2023'!$AE$2:$AE$10000,0),1),"")</f>
        <v>33764</v>
      </c>
      <c r="AB2154" s="5">
        <f>IF(INDEX('CAMD Facility Data 2023'!$AC$2:$AE$10000,MATCH(Z2154,'CAMD Facility Data 2023'!$AE$2:$AE$10000,0),1)&gt;0,INDEX('CAMD Facility Data 2023'!$AC$2:$AE$10000,MATCH(Z2154,'CAMD Facility Data 2023'!$AE$2:$AE$10000,0),1),"")</f>
        <v>635</v>
      </c>
      <c r="AC2154" s="1" t="str">
        <f>IF(INDEX('CAMD Facility Data 2023'!$AE$2:$AG$10000,MATCH(Z2154,'CAMD Facility Data 2023'!$AE$2:$AE$10000,0),3)&gt;0,INDEX('CAMD Facility Data 2023'!$AE$2:$AG$10000,MATCH(Z2154,'CAMD Facility Data 2023'!$AE$2:$AE$10000,0),3),"")</f>
        <v>Y</v>
      </c>
      <c r="AD2154" s="20" t="str">
        <f t="shared" si="100"/>
        <v/>
      </c>
      <c r="AE2154" s="25">
        <f t="shared" si="101"/>
        <v>0.37515462787185849</v>
      </c>
    </row>
    <row r="2155" spans="1:31" x14ac:dyDescent="0.2">
      <c r="A2155" s="1" t="s">
        <v>1568</v>
      </c>
      <c r="B2155" s="1" t="s">
        <v>4997</v>
      </c>
      <c r="C2155" s="1">
        <v>10823</v>
      </c>
      <c r="D2155" s="1" t="s">
        <v>4998</v>
      </c>
      <c r="F2155" s="1">
        <v>2023</v>
      </c>
      <c r="G2155" s="5">
        <v>138</v>
      </c>
      <c r="H2155" s="5">
        <v>118.53</v>
      </c>
      <c r="I2155" s="5">
        <v>1562.94</v>
      </c>
      <c r="M2155" s="5">
        <v>1528.6790000000001</v>
      </c>
      <c r="N2155" s="6">
        <v>8.1000000000000003E-2</v>
      </c>
      <c r="O2155" s="5">
        <v>2.5539999999999998</v>
      </c>
      <c r="P2155" s="6">
        <v>0.34570000000000001</v>
      </c>
      <c r="Q2155" s="5">
        <v>18839.975999999999</v>
      </c>
      <c r="R2155" s="1" t="s">
        <v>94</v>
      </c>
      <c r="T2155" s="1" t="s">
        <v>93</v>
      </c>
      <c r="V2155" s="1" t="s">
        <v>95</v>
      </c>
      <c r="Y2155" s="1" t="s">
        <v>617</v>
      </c>
      <c r="Z2155" s="1" t="str">
        <f t="shared" si="99"/>
        <v>10823 S42</v>
      </c>
      <c r="AA2155" s="3">
        <f>IF(INDEX('CAMD Facility Data 2023'!$AA$2:$AE$10000,MATCH(Z2155,'CAMD Facility Data 2023'!$AE$2:$AE$10000,0),1)&gt;0,INDEX('CAMD Facility Data 2023'!$AA$2:$AE$10000,MATCH(Z2155,'CAMD Facility Data 2023'!$AE$2:$AE$10000,0),1),"")</f>
        <v>34928</v>
      </c>
      <c r="AB2155" s="5">
        <f>IF(INDEX('CAMD Facility Data 2023'!$AC$2:$AE$10000,MATCH(Z2155,'CAMD Facility Data 2023'!$AE$2:$AE$10000,0),1)&gt;0,INDEX('CAMD Facility Data 2023'!$AC$2:$AE$10000,MATCH(Z2155,'CAMD Facility Data 2023'!$AE$2:$AE$10000,0),1),"")</f>
        <v>293.8</v>
      </c>
      <c r="AC2155" s="1" t="str">
        <f>IF(INDEX('CAMD Facility Data 2023'!$AE$2:$AG$10000,MATCH(Z2155,'CAMD Facility Data 2023'!$AE$2:$AE$10000,0),3)&gt;0,INDEX('CAMD Facility Data 2023'!$AE$2:$AG$10000,MATCH(Z2155,'CAMD Facility Data 2023'!$AE$2:$AE$10000,0),3),"")</f>
        <v/>
      </c>
      <c r="AD2155" s="20">
        <f t="shared" si="100"/>
        <v>3.2681996749715281</v>
      </c>
      <c r="AE2155" s="25">
        <f t="shared" si="101"/>
        <v>7.320225295373798E-3</v>
      </c>
    </row>
    <row r="2156" spans="1:31" x14ac:dyDescent="0.2">
      <c r="A2156" s="1" t="s">
        <v>1568</v>
      </c>
      <c r="B2156" s="1" t="s">
        <v>4997</v>
      </c>
      <c r="C2156" s="1">
        <v>10823</v>
      </c>
      <c r="D2156" s="1" t="s">
        <v>5002</v>
      </c>
      <c r="F2156" s="1">
        <v>2023</v>
      </c>
      <c r="G2156" s="5">
        <v>53</v>
      </c>
      <c r="H2156" s="5">
        <v>36.39</v>
      </c>
      <c r="I2156" s="5">
        <v>443.12</v>
      </c>
      <c r="M2156" s="5">
        <v>470.94400000000002</v>
      </c>
      <c r="N2156" s="6">
        <v>8.1100000000000005E-2</v>
      </c>
      <c r="O2156" s="5">
        <v>2.056</v>
      </c>
      <c r="P2156" s="6">
        <v>0.75600000000000001</v>
      </c>
      <c r="Q2156" s="5">
        <v>5805.58</v>
      </c>
      <c r="R2156" s="1" t="s">
        <v>94</v>
      </c>
      <c r="T2156" s="1" t="s">
        <v>93</v>
      </c>
      <c r="V2156" s="1" t="s">
        <v>95</v>
      </c>
      <c r="Y2156" s="1" t="s">
        <v>617</v>
      </c>
      <c r="Z2156" s="1" t="str">
        <f t="shared" si="99"/>
        <v>10823 S43</v>
      </c>
      <c r="AA2156" s="3">
        <f>IF(INDEX('CAMD Facility Data 2023'!$AA$2:$AE$10000,MATCH(Z2156,'CAMD Facility Data 2023'!$AE$2:$AE$10000,0),1)&gt;0,INDEX('CAMD Facility Data 2023'!$AA$2:$AE$10000,MATCH(Z2156,'CAMD Facility Data 2023'!$AE$2:$AE$10000,0),1),"")</f>
        <v>34928</v>
      </c>
      <c r="AB2156" s="5">
        <f>IF(INDEX('CAMD Facility Data 2023'!$AC$2:$AE$10000,MATCH(Z2156,'CAMD Facility Data 2023'!$AE$2:$AE$10000,0),1)&gt;0,INDEX('CAMD Facility Data 2023'!$AC$2:$AE$10000,MATCH(Z2156,'CAMD Facility Data 2023'!$AE$2:$AE$10000,0),1),"")</f>
        <v>292.89999999999998</v>
      </c>
      <c r="AC2156" s="1" t="str">
        <f>IF(INDEX('CAMD Facility Data 2023'!$AE$2:$AG$10000,MATCH(Z2156,'CAMD Facility Data 2023'!$AE$2:$AE$10000,0),3)&gt;0,INDEX('CAMD Facility Data 2023'!$AE$2:$AG$10000,MATCH(Z2156,'CAMD Facility Data 2023'!$AE$2:$AE$10000,0),3),"")</f>
        <v/>
      </c>
      <c r="AD2156" s="20">
        <f t="shared" si="100"/>
        <v>9.2796533670337613</v>
      </c>
      <c r="AE2156" s="25">
        <f t="shared" si="101"/>
        <v>2.2626747795232993E-3</v>
      </c>
    </row>
    <row r="2157" spans="1:31" x14ac:dyDescent="0.2">
      <c r="A2157" s="1" t="s">
        <v>1663</v>
      </c>
      <c r="B2157" s="1" t="s">
        <v>5004</v>
      </c>
      <c r="C2157" s="1">
        <v>10849</v>
      </c>
      <c r="D2157" s="1" t="s">
        <v>5005</v>
      </c>
      <c r="F2157" s="1">
        <v>2023</v>
      </c>
      <c r="G2157" s="5">
        <v>0</v>
      </c>
      <c r="H2157" s="5">
        <v>0</v>
      </c>
      <c r="R2157" s="1" t="s">
        <v>55</v>
      </c>
      <c r="S2157" s="1" t="s">
        <v>44</v>
      </c>
      <c r="T2157" s="1" t="s">
        <v>89</v>
      </c>
      <c r="Y2157" s="1" t="s">
        <v>1696</v>
      </c>
      <c r="Z2157" s="1" t="str">
        <f t="shared" si="99"/>
        <v>10849 PB1</v>
      </c>
      <c r="AA2157" s="3">
        <f>IF(INDEX('CAMD Facility Data 2023'!$AA$2:$AE$10000,MATCH(Z2157,'CAMD Facility Data 2023'!$AE$2:$AE$10000,0),1)&gt;0,INDEX('CAMD Facility Data 2023'!$AA$2:$AE$10000,MATCH(Z2157,'CAMD Facility Data 2023'!$AE$2:$AE$10000,0),1),"")</f>
        <v>20365</v>
      </c>
      <c r="AB2157" s="5">
        <f>IF(INDEX('CAMD Facility Data 2023'!$AC$2:$AE$10000,MATCH(Z2157,'CAMD Facility Data 2023'!$AE$2:$AE$10000,0),1)&gt;0,INDEX('CAMD Facility Data 2023'!$AC$2:$AE$10000,MATCH(Z2157,'CAMD Facility Data 2023'!$AE$2:$AE$10000,0),1),"")</f>
        <v>750</v>
      </c>
      <c r="AC2157" s="1" t="str">
        <f>IF(INDEX('CAMD Facility Data 2023'!$AE$2:$AG$10000,MATCH(Z2157,'CAMD Facility Data 2023'!$AE$2:$AE$10000,0),3)&gt;0,INDEX('CAMD Facility Data 2023'!$AE$2:$AG$10000,MATCH(Z2157,'CAMD Facility Data 2023'!$AE$2:$AE$10000,0),3),"")</f>
        <v/>
      </c>
      <c r="AD2157" s="20" t="str">
        <f t="shared" si="100"/>
        <v/>
      </c>
      <c r="AE2157" s="25">
        <f t="shared" si="101"/>
        <v>0</v>
      </c>
    </row>
    <row r="2158" spans="1:31" x14ac:dyDescent="0.2">
      <c r="A2158" s="1" t="s">
        <v>1663</v>
      </c>
      <c r="B2158" s="1" t="s">
        <v>5004</v>
      </c>
      <c r="C2158" s="1">
        <v>10849</v>
      </c>
      <c r="D2158" s="1" t="s">
        <v>5008</v>
      </c>
      <c r="F2158" s="1">
        <v>2023</v>
      </c>
      <c r="G2158" s="5">
        <v>0</v>
      </c>
      <c r="H2158" s="5">
        <v>0</v>
      </c>
      <c r="R2158" s="1" t="s">
        <v>55</v>
      </c>
      <c r="S2158" s="1" t="s">
        <v>44</v>
      </c>
      <c r="T2158" s="1" t="s">
        <v>89</v>
      </c>
      <c r="W2158" s="1" t="s">
        <v>232</v>
      </c>
      <c r="Y2158" s="1" t="s">
        <v>1696</v>
      </c>
      <c r="Z2158" s="1" t="str">
        <f t="shared" si="99"/>
        <v>10849 PB2</v>
      </c>
      <c r="AA2158" s="3">
        <f>IF(INDEX('CAMD Facility Data 2023'!$AA$2:$AE$10000,MATCH(Z2158,'CAMD Facility Data 2023'!$AE$2:$AE$10000,0),1)&gt;0,INDEX('CAMD Facility Data 2023'!$AA$2:$AE$10000,MATCH(Z2158,'CAMD Facility Data 2023'!$AE$2:$AE$10000,0),1),"")</f>
        <v>23040</v>
      </c>
      <c r="AB2158" s="5">
        <f>IF(INDEX('CAMD Facility Data 2023'!$AC$2:$AE$10000,MATCH(Z2158,'CAMD Facility Data 2023'!$AE$2:$AE$10000,0),1)&gt;0,INDEX('CAMD Facility Data 2023'!$AC$2:$AE$10000,MATCH(Z2158,'CAMD Facility Data 2023'!$AE$2:$AE$10000,0),1),"")</f>
        <v>900</v>
      </c>
      <c r="AC2158" s="1" t="str">
        <f>IF(INDEX('CAMD Facility Data 2023'!$AE$2:$AG$10000,MATCH(Z2158,'CAMD Facility Data 2023'!$AE$2:$AE$10000,0),3)&gt;0,INDEX('CAMD Facility Data 2023'!$AE$2:$AG$10000,MATCH(Z2158,'CAMD Facility Data 2023'!$AE$2:$AE$10000,0),3),"")</f>
        <v/>
      </c>
      <c r="AD2158" s="20" t="str">
        <f t="shared" si="100"/>
        <v/>
      </c>
      <c r="AE2158" s="25">
        <f t="shared" si="101"/>
        <v>0</v>
      </c>
    </row>
    <row r="2159" spans="1:31" x14ac:dyDescent="0.2">
      <c r="A2159" s="1" t="s">
        <v>2584</v>
      </c>
      <c r="B2159" s="1" t="s">
        <v>5010</v>
      </c>
      <c r="C2159" s="1">
        <v>10870</v>
      </c>
      <c r="D2159" s="1" t="s">
        <v>5011</v>
      </c>
      <c r="F2159" s="1">
        <v>2023</v>
      </c>
      <c r="G2159" s="5">
        <v>142</v>
      </c>
      <c r="H2159" s="5">
        <v>113.18</v>
      </c>
      <c r="I2159" s="5">
        <v>2717.77</v>
      </c>
      <c r="K2159" s="5">
        <v>0.01</v>
      </c>
      <c r="L2159" s="5">
        <v>1E-3</v>
      </c>
      <c r="M2159" s="5">
        <v>2028.4159999999999</v>
      </c>
      <c r="N2159" s="6">
        <v>5.9400000000000001E-2</v>
      </c>
      <c r="O2159" s="5">
        <v>1.4930000000000001</v>
      </c>
      <c r="P2159" s="6">
        <v>0.1007</v>
      </c>
      <c r="Q2159" s="5">
        <v>34088.506999999998</v>
      </c>
      <c r="R2159" s="1" t="s">
        <v>44</v>
      </c>
      <c r="S2159" s="1" t="s">
        <v>94</v>
      </c>
      <c r="T2159" s="1" t="s">
        <v>93</v>
      </c>
      <c r="V2159" s="1" t="s">
        <v>95</v>
      </c>
      <c r="Y2159" s="1" t="s">
        <v>1515</v>
      </c>
      <c r="Z2159" s="1" t="str">
        <f t="shared" si="99"/>
        <v>10870 TURB2</v>
      </c>
      <c r="AA2159" s="3">
        <f>IF(INDEX('CAMD Facility Data 2023'!$AA$2:$AE$10000,MATCH(Z2159,'CAMD Facility Data 2023'!$AE$2:$AE$10000,0),1)&gt;0,INDEX('CAMD Facility Data 2023'!$AA$2:$AE$10000,MATCH(Z2159,'CAMD Facility Data 2023'!$AE$2:$AE$10000,0),1),"")</f>
        <v>37316</v>
      </c>
      <c r="AB2159" s="5">
        <f>IF(INDEX('CAMD Facility Data 2023'!$AC$2:$AE$10000,MATCH(Z2159,'CAMD Facility Data 2023'!$AE$2:$AE$10000,0),1)&gt;0,INDEX('CAMD Facility Data 2023'!$AC$2:$AE$10000,MATCH(Z2159,'CAMD Facility Data 2023'!$AE$2:$AE$10000,0),1),"")</f>
        <v>400.2</v>
      </c>
      <c r="AC2159" s="1" t="str">
        <f>IF(INDEX('CAMD Facility Data 2023'!$AE$2:$AG$10000,MATCH(Z2159,'CAMD Facility Data 2023'!$AE$2:$AE$10000,0),3)&gt;0,INDEX('CAMD Facility Data 2023'!$AE$2:$AG$10000,MATCH(Z2159,'CAMD Facility Data 2023'!$AE$2:$AE$10000,0),3),"")</f>
        <v/>
      </c>
      <c r="AD2159" s="20">
        <f t="shared" si="100"/>
        <v>1.0986948858807037</v>
      </c>
      <c r="AE2159" s="25">
        <f t="shared" si="101"/>
        <v>9.723593397365244E-3</v>
      </c>
    </row>
    <row r="2160" spans="1:31" x14ac:dyDescent="0.2">
      <c r="A2160" s="1" t="s">
        <v>2584</v>
      </c>
      <c r="B2160" s="1" t="s">
        <v>5010</v>
      </c>
      <c r="C2160" s="1">
        <v>10870</v>
      </c>
      <c r="D2160" s="1" t="s">
        <v>5014</v>
      </c>
      <c r="F2160" s="1">
        <v>2023</v>
      </c>
      <c r="G2160" s="5">
        <v>143</v>
      </c>
      <c r="H2160" s="5">
        <v>120.43</v>
      </c>
      <c r="I2160" s="5">
        <v>3255.59</v>
      </c>
      <c r="K2160" s="5">
        <v>1.2E-2</v>
      </c>
      <c r="L2160" s="5">
        <v>1E-3</v>
      </c>
      <c r="M2160" s="5">
        <v>2351.2620000000002</v>
      </c>
      <c r="N2160" s="6">
        <v>5.9799999999999999E-2</v>
      </c>
      <c r="O2160" s="5">
        <v>1.71</v>
      </c>
      <c r="P2160" s="6">
        <v>9.5299999999999996E-2</v>
      </c>
      <c r="Q2160" s="5">
        <v>39501.349000000002</v>
      </c>
      <c r="R2160" s="1" t="s">
        <v>44</v>
      </c>
      <c r="S2160" s="1" t="s">
        <v>94</v>
      </c>
      <c r="T2160" s="1" t="s">
        <v>93</v>
      </c>
      <c r="V2160" s="1" t="s">
        <v>95</v>
      </c>
      <c r="Y2160" s="1" t="s">
        <v>1515</v>
      </c>
      <c r="Z2160" s="1" t="str">
        <f t="shared" si="99"/>
        <v>10870 TURB3</v>
      </c>
      <c r="AA2160" s="3">
        <f>IF(INDEX('CAMD Facility Data 2023'!$AA$2:$AE$10000,MATCH(Z2160,'CAMD Facility Data 2023'!$AE$2:$AE$10000,0),1)&gt;0,INDEX('CAMD Facility Data 2023'!$AA$2:$AE$10000,MATCH(Z2160,'CAMD Facility Data 2023'!$AE$2:$AE$10000,0),1),"")</f>
        <v>37316</v>
      </c>
      <c r="AB2160" s="5">
        <f>IF(INDEX('CAMD Facility Data 2023'!$AC$2:$AE$10000,MATCH(Z2160,'CAMD Facility Data 2023'!$AE$2:$AE$10000,0),1)&gt;0,INDEX('CAMD Facility Data 2023'!$AC$2:$AE$10000,MATCH(Z2160,'CAMD Facility Data 2023'!$AE$2:$AE$10000,0),1),"")</f>
        <v>360</v>
      </c>
      <c r="AC2160" s="1" t="str">
        <f>IF(INDEX('CAMD Facility Data 2023'!$AE$2:$AG$10000,MATCH(Z2160,'CAMD Facility Data 2023'!$AE$2:$AE$10000,0),3)&gt;0,INDEX('CAMD Facility Data 2023'!$AE$2:$AG$10000,MATCH(Z2160,'CAMD Facility Data 2023'!$AE$2:$AE$10000,0),3),"")</f>
        <v/>
      </c>
      <c r="AD2160" s="20">
        <f t="shared" si="100"/>
        <v>1.050500830878581</v>
      </c>
      <c r="AE2160" s="25">
        <f t="shared" si="101"/>
        <v>1.2525795598680873E-2</v>
      </c>
    </row>
    <row r="2161" spans="1:31" x14ac:dyDescent="0.2">
      <c r="A2161" s="1" t="s">
        <v>2584</v>
      </c>
      <c r="B2161" s="1" t="s">
        <v>5010</v>
      </c>
      <c r="C2161" s="1">
        <v>10870</v>
      </c>
      <c r="D2161" s="1" t="s">
        <v>5016</v>
      </c>
      <c r="F2161" s="1">
        <v>2023</v>
      </c>
      <c r="G2161" s="5">
        <v>136</v>
      </c>
      <c r="H2161" s="5">
        <v>124.39</v>
      </c>
      <c r="I2161" s="5">
        <v>3483.93</v>
      </c>
      <c r="K2161" s="5">
        <v>1.4999999999999999E-2</v>
      </c>
      <c r="L2161" s="5">
        <v>1.1000000000000001E-3</v>
      </c>
      <c r="M2161" s="5">
        <v>2508.8910000000001</v>
      </c>
      <c r="N2161" s="6">
        <v>0.06</v>
      </c>
      <c r="O2161" s="5">
        <v>1.76</v>
      </c>
      <c r="P2161" s="6">
        <v>8.77E-2</v>
      </c>
      <c r="Q2161" s="5">
        <v>41704.885000000002</v>
      </c>
      <c r="R2161" s="1" t="s">
        <v>44</v>
      </c>
      <c r="S2161" s="1" t="s">
        <v>94</v>
      </c>
      <c r="T2161" s="1" t="s">
        <v>93</v>
      </c>
      <c r="V2161" s="1" t="s">
        <v>95</v>
      </c>
      <c r="Y2161" s="1" t="s">
        <v>1515</v>
      </c>
      <c r="Z2161" s="1" t="str">
        <f t="shared" si="99"/>
        <v>10870 TURB4</v>
      </c>
      <c r="AA2161" s="3">
        <f>IF(INDEX('CAMD Facility Data 2023'!$AA$2:$AE$10000,MATCH(Z2161,'CAMD Facility Data 2023'!$AE$2:$AE$10000,0),1)&gt;0,INDEX('CAMD Facility Data 2023'!$AA$2:$AE$10000,MATCH(Z2161,'CAMD Facility Data 2023'!$AE$2:$AE$10000,0),1),"")</f>
        <v>37316</v>
      </c>
      <c r="AB2161" s="5">
        <f>IF(INDEX('CAMD Facility Data 2023'!$AC$2:$AE$10000,MATCH(Z2161,'CAMD Facility Data 2023'!$AE$2:$AE$10000,0),1)&gt;0,INDEX('CAMD Facility Data 2023'!$AC$2:$AE$10000,MATCH(Z2161,'CAMD Facility Data 2023'!$AE$2:$AE$10000,0),1),"")</f>
        <v>360</v>
      </c>
      <c r="AC2161" s="1" t="str">
        <f>IF(INDEX('CAMD Facility Data 2023'!$AE$2:$AG$10000,MATCH(Z2161,'CAMD Facility Data 2023'!$AE$2:$AE$10000,0),3)&gt;0,INDEX('CAMD Facility Data 2023'!$AE$2:$AG$10000,MATCH(Z2161,'CAMD Facility Data 2023'!$AE$2:$AE$10000,0),3),"")</f>
        <v/>
      </c>
      <c r="AD2161" s="20">
        <f t="shared" si="100"/>
        <v>1.0103532504958481</v>
      </c>
      <c r="AE2161" s="25">
        <f t="shared" si="101"/>
        <v>1.3224532280568239E-2</v>
      </c>
    </row>
    <row r="2162" spans="1:31" x14ac:dyDescent="0.2">
      <c r="A2162" s="1" t="s">
        <v>2584</v>
      </c>
      <c r="B2162" s="1" t="s">
        <v>5010</v>
      </c>
      <c r="C2162" s="1">
        <v>10870</v>
      </c>
      <c r="D2162" s="1" t="s">
        <v>5018</v>
      </c>
      <c r="F2162" s="1">
        <v>2023</v>
      </c>
      <c r="G2162" s="5">
        <v>66</v>
      </c>
      <c r="H2162" s="5">
        <v>53.9</v>
      </c>
      <c r="I2162" s="5">
        <v>2662.4</v>
      </c>
      <c r="K2162" s="5">
        <v>1.2999999999999999E-2</v>
      </c>
      <c r="L2162" s="5">
        <v>1.2999999999999999E-3</v>
      </c>
      <c r="M2162" s="5">
        <v>2103.7429999999999</v>
      </c>
      <c r="N2162" s="6">
        <v>6.0699999999999997E-2</v>
      </c>
      <c r="O2162" s="5">
        <v>4.1559999999999997</v>
      </c>
      <c r="P2162" s="6">
        <v>0.28960000000000002</v>
      </c>
      <c r="Q2162" s="5">
        <v>35071.913999999997</v>
      </c>
      <c r="R2162" s="1" t="s">
        <v>44</v>
      </c>
      <c r="S2162" s="1" t="s">
        <v>94</v>
      </c>
      <c r="T2162" s="1" t="s">
        <v>93</v>
      </c>
      <c r="V2162" s="1" t="s">
        <v>95</v>
      </c>
      <c r="Y2162" s="1" t="s">
        <v>1528</v>
      </c>
      <c r="Z2162" s="1" t="str">
        <f t="shared" si="99"/>
        <v>10870 TURBIN</v>
      </c>
      <c r="AA2162" s="3">
        <f>IF(INDEX('CAMD Facility Data 2023'!$AA$2:$AE$10000,MATCH(Z2162,'CAMD Facility Data 2023'!$AE$2:$AE$10000,0),1)&gt;0,INDEX('CAMD Facility Data 2023'!$AA$2:$AE$10000,MATCH(Z2162,'CAMD Facility Data 2023'!$AE$2:$AE$10000,0),1),"")</f>
        <v>32843</v>
      </c>
      <c r="AB2162" s="5">
        <f>IF(INDEX('CAMD Facility Data 2023'!$AC$2:$AE$10000,MATCH(Z2162,'CAMD Facility Data 2023'!$AE$2:$AE$10000,0),1)&gt;0,INDEX('CAMD Facility Data 2023'!$AC$2:$AE$10000,MATCH(Z2162,'CAMD Facility Data 2023'!$AE$2:$AE$10000,0),1),"")</f>
        <v>900</v>
      </c>
      <c r="AC2162" s="1" t="str">
        <f>IF(INDEX('CAMD Facility Data 2023'!$AE$2:$AG$10000,MATCH(Z2162,'CAMD Facility Data 2023'!$AE$2:$AE$10000,0),3)&gt;0,INDEX('CAMD Facility Data 2023'!$AE$2:$AG$10000,MATCH(Z2162,'CAMD Facility Data 2023'!$AE$2:$AE$10000,0),3),"")</f>
        <v/>
      </c>
      <c r="AD2162" s="20">
        <f t="shared" si="100"/>
        <v>3.1219951923076921</v>
      </c>
      <c r="AE2162" s="25">
        <f t="shared" si="101"/>
        <v>4.4484923896499235E-3</v>
      </c>
    </row>
    <row r="2163" spans="1:31" x14ac:dyDescent="0.2">
      <c r="A2163" s="1" t="s">
        <v>1568</v>
      </c>
      <c r="B2163" s="1" t="s">
        <v>5020</v>
      </c>
      <c r="C2163" s="1">
        <v>50002</v>
      </c>
      <c r="D2163" s="1">
        <v>1</v>
      </c>
      <c r="F2163" s="1">
        <v>2023</v>
      </c>
      <c r="G2163" s="5">
        <v>178</v>
      </c>
      <c r="H2163" s="5">
        <v>155.22</v>
      </c>
      <c r="I2163" s="5">
        <v>4390.43</v>
      </c>
      <c r="M2163" s="5">
        <v>3428.5320000000002</v>
      </c>
      <c r="N2163" s="6">
        <v>6.0299999999999999E-2</v>
      </c>
      <c r="O2163" s="5">
        <v>0.55000000000000004</v>
      </c>
      <c r="P2163" s="6">
        <v>2.8000000000000001E-2</v>
      </c>
      <c r="Q2163" s="5">
        <v>56442.196000000004</v>
      </c>
      <c r="R2163" s="1" t="s">
        <v>44</v>
      </c>
      <c r="S2163" s="1" t="s">
        <v>94</v>
      </c>
      <c r="T2163" s="1" t="s">
        <v>71</v>
      </c>
      <c r="V2163" s="1" t="s">
        <v>4050</v>
      </c>
      <c r="Y2163" s="1" t="s">
        <v>617</v>
      </c>
      <c r="Z2163" s="1" t="str">
        <f t="shared" si="99"/>
        <v>50002 1</v>
      </c>
      <c r="AA2163" s="3">
        <f>IF(INDEX('CAMD Facility Data 2023'!$AA$2:$AE$10000,MATCH(Z2163,'CAMD Facility Data 2023'!$AE$2:$AE$10000,0),1)&gt;0,INDEX('CAMD Facility Data 2023'!$AA$2:$AE$10000,MATCH(Z2163,'CAMD Facility Data 2023'!$AE$2:$AE$10000,0),1),"")</f>
        <v>33117</v>
      </c>
      <c r="AB2163" s="5">
        <f>IF(INDEX('CAMD Facility Data 2023'!$AC$2:$AE$10000,MATCH(Z2163,'CAMD Facility Data 2023'!$AE$2:$AE$10000,0),1)&gt;0,INDEX('CAMD Facility Data 2023'!$AC$2:$AE$10000,MATCH(Z2163,'CAMD Facility Data 2023'!$AE$2:$AE$10000,0),1),"")</f>
        <v>595</v>
      </c>
      <c r="AC2163" s="1" t="str">
        <f>IF(INDEX('CAMD Facility Data 2023'!$AE$2:$AG$10000,MATCH(Z2163,'CAMD Facility Data 2023'!$AE$2:$AE$10000,0),3)&gt;0,INDEX('CAMD Facility Data 2023'!$AE$2:$AG$10000,MATCH(Z2163,'CAMD Facility Data 2023'!$AE$2:$AE$10000,0),3),"")</f>
        <v>Y</v>
      </c>
      <c r="AD2163" s="20">
        <f t="shared" si="100"/>
        <v>0.25054493523413424</v>
      </c>
      <c r="AE2163" s="25">
        <f t="shared" si="101"/>
        <v>1.0828862284639884E-2</v>
      </c>
    </row>
    <row r="2164" spans="1:31" x14ac:dyDescent="0.2">
      <c r="A2164" s="1" t="s">
        <v>1568</v>
      </c>
      <c r="B2164" s="1" t="s">
        <v>5020</v>
      </c>
      <c r="C2164" s="1">
        <v>50002</v>
      </c>
      <c r="D2164" s="1">
        <v>2</v>
      </c>
      <c r="F2164" s="1">
        <v>2023</v>
      </c>
      <c r="G2164" s="5">
        <v>199</v>
      </c>
      <c r="H2164" s="5">
        <v>178.47</v>
      </c>
      <c r="I2164" s="5">
        <v>4983.9799999999996</v>
      </c>
      <c r="M2164" s="5">
        <v>3927.395</v>
      </c>
      <c r="N2164" s="6">
        <v>5.9499999999999997E-2</v>
      </c>
      <c r="O2164" s="5">
        <v>0.64600000000000002</v>
      </c>
      <c r="P2164" s="6">
        <v>2.92E-2</v>
      </c>
      <c r="Q2164" s="5">
        <v>65832.667000000001</v>
      </c>
      <c r="R2164" s="1" t="s">
        <v>44</v>
      </c>
      <c r="S2164" s="1" t="s">
        <v>94</v>
      </c>
      <c r="T2164" s="1" t="s">
        <v>71</v>
      </c>
      <c r="V2164" s="1" t="s">
        <v>4050</v>
      </c>
      <c r="Y2164" s="1" t="s">
        <v>617</v>
      </c>
      <c r="Z2164" s="1" t="str">
        <f t="shared" si="99"/>
        <v>50002 2</v>
      </c>
      <c r="AA2164" s="3">
        <f>IF(INDEX('CAMD Facility Data 2023'!$AA$2:$AE$10000,MATCH(Z2164,'CAMD Facility Data 2023'!$AE$2:$AE$10000,0),1)&gt;0,INDEX('CAMD Facility Data 2023'!$AA$2:$AE$10000,MATCH(Z2164,'CAMD Facility Data 2023'!$AE$2:$AE$10000,0),1),"")</f>
        <v>33117</v>
      </c>
      <c r="AB2164" s="5">
        <f>IF(INDEX('CAMD Facility Data 2023'!$AC$2:$AE$10000,MATCH(Z2164,'CAMD Facility Data 2023'!$AE$2:$AE$10000,0),1)&gt;0,INDEX('CAMD Facility Data 2023'!$AC$2:$AE$10000,MATCH(Z2164,'CAMD Facility Data 2023'!$AE$2:$AE$10000,0),1),"")</f>
        <v>595</v>
      </c>
      <c r="AC2164" s="1" t="str">
        <f>IF(INDEX('CAMD Facility Data 2023'!$AE$2:$AG$10000,MATCH(Z2164,'CAMD Facility Data 2023'!$AE$2:$AE$10000,0),3)&gt;0,INDEX('CAMD Facility Data 2023'!$AE$2:$AG$10000,MATCH(Z2164,'CAMD Facility Data 2023'!$AE$2:$AE$10000,0),3),"")</f>
        <v>Y</v>
      </c>
      <c r="AD2164" s="20">
        <f t="shared" si="100"/>
        <v>0.25923057476153599</v>
      </c>
      <c r="AE2164" s="25">
        <f t="shared" si="101"/>
        <v>1.263049518437512E-2</v>
      </c>
    </row>
    <row r="2165" spans="1:31" x14ac:dyDescent="0.2">
      <c r="A2165" s="1" t="s">
        <v>1568</v>
      </c>
      <c r="B2165" s="1" t="s">
        <v>5020</v>
      </c>
      <c r="C2165" s="1">
        <v>50002</v>
      </c>
      <c r="D2165" s="1">
        <v>3</v>
      </c>
      <c r="F2165" s="1">
        <v>2023</v>
      </c>
      <c r="G2165" s="5">
        <v>196</v>
      </c>
      <c r="H2165" s="5">
        <v>176.25</v>
      </c>
      <c r="I2165" s="5">
        <v>5027.8</v>
      </c>
      <c r="M2165" s="5">
        <v>3902.1179999999999</v>
      </c>
      <c r="N2165" s="6">
        <v>6.0199999999999997E-2</v>
      </c>
      <c r="O2165" s="5">
        <v>0.59799999999999998</v>
      </c>
      <c r="P2165" s="6">
        <v>2.5899999999999999E-2</v>
      </c>
      <c r="Q2165" s="5">
        <v>64706.42</v>
      </c>
      <c r="R2165" s="1" t="s">
        <v>44</v>
      </c>
      <c r="S2165" s="1" t="s">
        <v>94</v>
      </c>
      <c r="T2165" s="1" t="s">
        <v>71</v>
      </c>
      <c r="V2165" s="1" t="s">
        <v>4050</v>
      </c>
      <c r="Y2165" s="1" t="s">
        <v>617</v>
      </c>
      <c r="Z2165" s="1" t="str">
        <f t="shared" si="99"/>
        <v>50002 3</v>
      </c>
      <c r="AA2165" s="3">
        <f>IF(INDEX('CAMD Facility Data 2023'!$AA$2:$AE$10000,MATCH(Z2165,'CAMD Facility Data 2023'!$AE$2:$AE$10000,0),1)&gt;0,INDEX('CAMD Facility Data 2023'!$AA$2:$AE$10000,MATCH(Z2165,'CAMD Facility Data 2023'!$AE$2:$AE$10000,0),1),"")</f>
        <v>33117</v>
      </c>
      <c r="AB2165" s="5">
        <f>IF(INDEX('CAMD Facility Data 2023'!$AC$2:$AE$10000,MATCH(Z2165,'CAMD Facility Data 2023'!$AE$2:$AE$10000,0),1)&gt;0,INDEX('CAMD Facility Data 2023'!$AC$2:$AE$10000,MATCH(Z2165,'CAMD Facility Data 2023'!$AE$2:$AE$10000,0),1),"")</f>
        <v>595</v>
      </c>
      <c r="AC2165" s="1" t="str">
        <f>IF(INDEX('CAMD Facility Data 2023'!$AE$2:$AG$10000,MATCH(Z2165,'CAMD Facility Data 2023'!$AE$2:$AE$10000,0),3)&gt;0,INDEX('CAMD Facility Data 2023'!$AE$2:$AG$10000,MATCH(Z2165,'CAMD Facility Data 2023'!$AE$2:$AE$10000,0),3),"")</f>
        <v>Y</v>
      </c>
      <c r="AD2165" s="20">
        <f t="shared" si="100"/>
        <v>0.23787740164684354</v>
      </c>
      <c r="AE2165" s="25">
        <f t="shared" si="101"/>
        <v>1.2414416177429876E-2</v>
      </c>
    </row>
    <row r="2166" spans="1:31" x14ac:dyDescent="0.2">
      <c r="A2166" s="1" t="s">
        <v>1980</v>
      </c>
      <c r="B2166" s="1" t="s">
        <v>5027</v>
      </c>
      <c r="C2166" s="1">
        <v>50006</v>
      </c>
      <c r="D2166" s="1">
        <v>4001</v>
      </c>
      <c r="F2166" s="1">
        <v>2023</v>
      </c>
      <c r="G2166" s="5">
        <v>7852</v>
      </c>
      <c r="H2166" s="5">
        <v>7806.9</v>
      </c>
      <c r="I2166" s="5">
        <v>2032679.65</v>
      </c>
      <c r="K2166" s="5">
        <v>3.9929999999999999</v>
      </c>
      <c r="L2166" s="5">
        <v>1E-3</v>
      </c>
      <c r="M2166" s="5">
        <v>794720.86199999996</v>
      </c>
      <c r="N2166" s="6">
        <v>5.9299999999999999E-2</v>
      </c>
      <c r="O2166" s="5">
        <v>40.268000000000001</v>
      </c>
      <c r="P2166" s="6">
        <v>7.6E-3</v>
      </c>
      <c r="Q2166" s="5">
        <v>13340008.874</v>
      </c>
      <c r="R2166" s="1" t="s">
        <v>44</v>
      </c>
      <c r="S2166" s="1" t="s">
        <v>5029</v>
      </c>
      <c r="T2166" s="1" t="s">
        <v>71</v>
      </c>
      <c r="V2166" s="1" t="s">
        <v>643</v>
      </c>
      <c r="Y2166" s="1" t="s">
        <v>1515</v>
      </c>
      <c r="Z2166" s="1" t="str">
        <f t="shared" si="99"/>
        <v>50006 4001</v>
      </c>
      <c r="AA2166" s="3">
        <f>IF(INDEX('CAMD Facility Data 2023'!$AA$2:$AE$10000,MATCH(Z2166,'CAMD Facility Data 2023'!$AE$2:$AE$10000,0),1)&gt;0,INDEX('CAMD Facility Data 2023'!$AA$2:$AE$10000,MATCH(Z2166,'CAMD Facility Data 2023'!$AE$2:$AE$10000,0),1),"")</f>
        <v>37208</v>
      </c>
      <c r="AB2166" s="5">
        <f>IF(INDEX('CAMD Facility Data 2023'!$AC$2:$AE$10000,MATCH(Z2166,'CAMD Facility Data 2023'!$AE$2:$AE$10000,0),1)&gt;0,INDEX('CAMD Facility Data 2023'!$AC$2:$AE$10000,MATCH(Z2166,'CAMD Facility Data 2023'!$AE$2:$AE$10000,0),1),"")</f>
        <v>2119</v>
      </c>
      <c r="AC2166" s="1" t="str">
        <f>IF(INDEX('CAMD Facility Data 2023'!$AE$2:$AG$10000,MATCH(Z2166,'CAMD Facility Data 2023'!$AE$2:$AE$10000,0),3)&gt;0,INDEX('CAMD Facility Data 2023'!$AE$2:$AG$10000,MATCH(Z2166,'CAMD Facility Data 2023'!$AE$2:$AE$10000,0),3),"")</f>
        <v>Y</v>
      </c>
      <c r="AD2166" s="20">
        <f t="shared" si="100"/>
        <v>3.9620606227843136E-2</v>
      </c>
      <c r="AE2166" s="25">
        <f t="shared" si="101"/>
        <v>0.71865599964228843</v>
      </c>
    </row>
    <row r="2167" spans="1:31" x14ac:dyDescent="0.2">
      <c r="A2167" s="1" t="s">
        <v>1980</v>
      </c>
      <c r="B2167" s="1" t="s">
        <v>5027</v>
      </c>
      <c r="C2167" s="1">
        <v>50006</v>
      </c>
      <c r="D2167" s="1">
        <v>5001</v>
      </c>
      <c r="F2167" s="1">
        <v>2023</v>
      </c>
      <c r="G2167" s="5">
        <v>7086</v>
      </c>
      <c r="H2167" s="5">
        <v>7077.16</v>
      </c>
      <c r="I2167" s="5">
        <v>1000305.99</v>
      </c>
      <c r="K2167" s="5">
        <v>2.1459999999999999</v>
      </c>
      <c r="L2167" s="5">
        <v>1E-3</v>
      </c>
      <c r="M2167" s="5">
        <v>425080.592</v>
      </c>
      <c r="N2167" s="6">
        <v>5.8999999999999997E-2</v>
      </c>
      <c r="O2167" s="5">
        <v>77.239999999999995</v>
      </c>
      <c r="P2167" s="6">
        <v>2.18E-2</v>
      </c>
      <c r="Q2167" s="5">
        <v>7152748.6529999999</v>
      </c>
      <c r="R2167" s="1" t="s">
        <v>44</v>
      </c>
      <c r="S2167" s="1" t="s">
        <v>288</v>
      </c>
      <c r="T2167" s="1" t="s">
        <v>71</v>
      </c>
      <c r="V2167" s="1" t="s">
        <v>4050</v>
      </c>
      <c r="Y2167" s="1" t="s">
        <v>1528</v>
      </c>
      <c r="Z2167" s="1" t="str">
        <f t="shared" si="99"/>
        <v>50006 5001</v>
      </c>
      <c r="AA2167" s="3">
        <f>IF(INDEX('CAMD Facility Data 2023'!$AA$2:$AE$10000,MATCH(Z2167,'CAMD Facility Data 2023'!$AE$2:$AE$10000,0),1)&gt;0,INDEX('CAMD Facility Data 2023'!$AA$2:$AE$10000,MATCH(Z2167,'CAMD Facility Data 2023'!$AE$2:$AE$10000,0),1),"")</f>
        <v>33732</v>
      </c>
      <c r="AB2167" s="5">
        <f>IF(INDEX('CAMD Facility Data 2023'!$AC$2:$AE$10000,MATCH(Z2167,'CAMD Facility Data 2023'!$AE$2:$AE$10000,0),1)&gt;0,INDEX('CAMD Facility Data 2023'!$AC$2:$AE$10000,MATCH(Z2167,'CAMD Facility Data 2023'!$AE$2:$AE$10000,0),1),"")</f>
        <v>1416</v>
      </c>
      <c r="AC2167" s="1" t="str">
        <f>IF(INDEX('CAMD Facility Data 2023'!$AE$2:$AG$10000,MATCH(Z2167,'CAMD Facility Data 2023'!$AE$2:$AE$10000,0),3)&gt;0,INDEX('CAMD Facility Data 2023'!$AE$2:$AG$10000,MATCH(Z2167,'CAMD Facility Data 2023'!$AE$2:$AE$10000,0),3),"")</f>
        <v>Y</v>
      </c>
      <c r="AD2167" s="20">
        <f t="shared" si="100"/>
        <v>0.1544327451243194</v>
      </c>
      <c r="AE2167" s="25">
        <f t="shared" si="101"/>
        <v>0.57664111499690429</v>
      </c>
    </row>
    <row r="2168" spans="1:31" x14ac:dyDescent="0.2">
      <c r="A2168" s="1" t="s">
        <v>1980</v>
      </c>
      <c r="B2168" s="1" t="s">
        <v>5027</v>
      </c>
      <c r="C2168" s="1">
        <v>50006</v>
      </c>
      <c r="D2168" s="1">
        <v>6001</v>
      </c>
      <c r="F2168" s="1">
        <v>2023</v>
      </c>
      <c r="G2168" s="5">
        <v>7223</v>
      </c>
      <c r="H2168" s="5">
        <v>7212.38</v>
      </c>
      <c r="I2168" s="5">
        <v>1012470.31</v>
      </c>
      <c r="K2168" s="5">
        <v>2.1549999999999998</v>
      </c>
      <c r="L2168" s="5">
        <v>1E-3</v>
      </c>
      <c r="M2168" s="5">
        <v>426784.53</v>
      </c>
      <c r="N2168" s="6">
        <v>5.8999999999999997E-2</v>
      </c>
      <c r="O2168" s="5">
        <v>75.578999999999994</v>
      </c>
      <c r="P2168" s="6">
        <v>2.12E-2</v>
      </c>
      <c r="Q2168" s="5">
        <v>7181497.2510000002</v>
      </c>
      <c r="R2168" s="1" t="s">
        <v>44</v>
      </c>
      <c r="S2168" s="1" t="s">
        <v>288</v>
      </c>
      <c r="T2168" s="1" t="s">
        <v>71</v>
      </c>
      <c r="V2168" s="1" t="s">
        <v>4050</v>
      </c>
      <c r="Y2168" s="1" t="s">
        <v>1528</v>
      </c>
      <c r="Z2168" s="1" t="str">
        <f t="shared" si="99"/>
        <v>50006 6001</v>
      </c>
      <c r="AA2168" s="3">
        <f>IF(INDEX('CAMD Facility Data 2023'!$AA$2:$AE$10000,MATCH(Z2168,'CAMD Facility Data 2023'!$AE$2:$AE$10000,0),1)&gt;0,INDEX('CAMD Facility Data 2023'!$AA$2:$AE$10000,MATCH(Z2168,'CAMD Facility Data 2023'!$AE$2:$AE$10000,0),1),"")</f>
        <v>33732</v>
      </c>
      <c r="AB2168" s="5">
        <f>IF(INDEX('CAMD Facility Data 2023'!$AC$2:$AE$10000,MATCH(Z2168,'CAMD Facility Data 2023'!$AE$2:$AE$10000,0),1)&gt;0,INDEX('CAMD Facility Data 2023'!$AC$2:$AE$10000,MATCH(Z2168,'CAMD Facility Data 2023'!$AE$2:$AE$10000,0),1),"")</f>
        <v>2140</v>
      </c>
      <c r="AC2168" s="1" t="str">
        <f>IF(INDEX('CAMD Facility Data 2023'!$AE$2:$AG$10000,MATCH(Z2168,'CAMD Facility Data 2023'!$AE$2:$AE$10000,0),3)&gt;0,INDEX('CAMD Facility Data 2023'!$AE$2:$AG$10000,MATCH(Z2168,'CAMD Facility Data 2023'!$AE$2:$AE$10000,0),3),"")</f>
        <v>Y</v>
      </c>
      <c r="AD2168" s="20">
        <f t="shared" si="100"/>
        <v>0.14929622973339335</v>
      </c>
      <c r="AE2168" s="25">
        <f t="shared" si="101"/>
        <v>0.38308673937395982</v>
      </c>
    </row>
    <row r="2169" spans="1:31" x14ac:dyDescent="0.2">
      <c r="A2169" s="1" t="s">
        <v>1980</v>
      </c>
      <c r="B2169" s="1" t="s">
        <v>5027</v>
      </c>
      <c r="C2169" s="1">
        <v>50006</v>
      </c>
      <c r="D2169" s="1">
        <v>7001</v>
      </c>
      <c r="F2169" s="1">
        <v>2023</v>
      </c>
      <c r="G2169" s="5">
        <v>8197</v>
      </c>
      <c r="H2169" s="5">
        <v>8178.62</v>
      </c>
      <c r="I2169" s="5">
        <v>1154945.01</v>
      </c>
      <c r="K2169" s="5">
        <v>2.4820000000000002</v>
      </c>
      <c r="L2169" s="5">
        <v>1E-3</v>
      </c>
      <c r="M2169" s="5">
        <v>491575.25</v>
      </c>
      <c r="N2169" s="6">
        <v>5.8999999999999997E-2</v>
      </c>
      <c r="O2169" s="5">
        <v>91.242000000000004</v>
      </c>
      <c r="P2169" s="6">
        <v>2.23E-2</v>
      </c>
      <c r="Q2169" s="5">
        <v>8271463.7539999997</v>
      </c>
      <c r="R2169" s="1" t="s">
        <v>44</v>
      </c>
      <c r="S2169" s="1" t="s">
        <v>288</v>
      </c>
      <c r="T2169" s="1" t="s">
        <v>71</v>
      </c>
      <c r="V2169" s="1" t="s">
        <v>4050</v>
      </c>
      <c r="Y2169" s="1" t="s">
        <v>1528</v>
      </c>
      <c r="Z2169" s="1" t="str">
        <f t="shared" si="99"/>
        <v>50006 7001</v>
      </c>
      <c r="AA2169" s="3">
        <f>IF(INDEX('CAMD Facility Data 2023'!$AA$2:$AE$10000,MATCH(Z2169,'CAMD Facility Data 2023'!$AE$2:$AE$10000,0),1)&gt;0,INDEX('CAMD Facility Data 2023'!$AA$2:$AE$10000,MATCH(Z2169,'CAMD Facility Data 2023'!$AE$2:$AE$10000,0),1),"")</f>
        <v>33732</v>
      </c>
      <c r="AB2169" s="5">
        <f>IF(INDEX('CAMD Facility Data 2023'!$AC$2:$AE$10000,MATCH(Z2169,'CAMD Facility Data 2023'!$AE$2:$AE$10000,0),1)&gt;0,INDEX('CAMD Facility Data 2023'!$AC$2:$AE$10000,MATCH(Z2169,'CAMD Facility Data 2023'!$AE$2:$AE$10000,0),1),"")</f>
        <v>1452</v>
      </c>
      <c r="AC2169" s="1" t="str">
        <f>IF(INDEX('CAMD Facility Data 2023'!$AE$2:$AG$10000,MATCH(Z2169,'CAMD Facility Data 2023'!$AE$2:$AE$10000,0),3)&gt;0,INDEX('CAMD Facility Data 2023'!$AE$2:$AG$10000,MATCH(Z2169,'CAMD Facility Data 2023'!$AE$2:$AE$10000,0),3),"")</f>
        <v>Y</v>
      </c>
      <c r="AD2169" s="20">
        <f t="shared" si="100"/>
        <v>0.15800232774718859</v>
      </c>
      <c r="AE2169" s="25">
        <f t="shared" si="101"/>
        <v>0.65029684720807068</v>
      </c>
    </row>
    <row r="2170" spans="1:31" x14ac:dyDescent="0.2">
      <c r="A2170" s="1" t="s">
        <v>1980</v>
      </c>
      <c r="B2170" s="1" t="s">
        <v>5027</v>
      </c>
      <c r="C2170" s="1">
        <v>50006</v>
      </c>
      <c r="D2170" s="1">
        <v>8001</v>
      </c>
      <c r="F2170" s="1">
        <v>2023</v>
      </c>
      <c r="G2170" s="5">
        <v>7807</v>
      </c>
      <c r="H2170" s="5">
        <v>7789.4</v>
      </c>
      <c r="I2170" s="5">
        <v>1089512.43</v>
      </c>
      <c r="K2170" s="5">
        <v>2.3359999999999999</v>
      </c>
      <c r="L2170" s="5">
        <v>1E-3</v>
      </c>
      <c r="M2170" s="5">
        <v>462572.63199999998</v>
      </c>
      <c r="N2170" s="6">
        <v>5.8999999999999997E-2</v>
      </c>
      <c r="O2170" s="5">
        <v>87.51</v>
      </c>
      <c r="P2170" s="6">
        <v>2.2700000000000001E-2</v>
      </c>
      <c r="Q2170" s="5">
        <v>7783516.9819999998</v>
      </c>
      <c r="R2170" s="1" t="s">
        <v>44</v>
      </c>
      <c r="S2170" s="1" t="s">
        <v>288</v>
      </c>
      <c r="T2170" s="1" t="s">
        <v>71</v>
      </c>
      <c r="V2170" s="1" t="s">
        <v>4050</v>
      </c>
      <c r="Y2170" s="1" t="s">
        <v>1528</v>
      </c>
      <c r="Z2170" s="1" t="str">
        <f t="shared" si="99"/>
        <v>50006 8001</v>
      </c>
      <c r="AA2170" s="3">
        <f>IF(INDEX('CAMD Facility Data 2023'!$AA$2:$AE$10000,MATCH(Z2170,'CAMD Facility Data 2023'!$AE$2:$AE$10000,0),1)&gt;0,INDEX('CAMD Facility Data 2023'!$AA$2:$AE$10000,MATCH(Z2170,'CAMD Facility Data 2023'!$AE$2:$AE$10000,0),1),"")</f>
        <v>33732</v>
      </c>
      <c r="AB2170" s="5">
        <f>IF(INDEX('CAMD Facility Data 2023'!$AC$2:$AE$10000,MATCH(Z2170,'CAMD Facility Data 2023'!$AE$2:$AE$10000,0),1)&gt;0,INDEX('CAMD Facility Data 2023'!$AC$2:$AE$10000,MATCH(Z2170,'CAMD Facility Data 2023'!$AE$2:$AE$10000,0),1),"")</f>
        <v>1450</v>
      </c>
      <c r="AC2170" s="1" t="str">
        <f>IF(INDEX('CAMD Facility Data 2023'!$AE$2:$AG$10000,MATCH(Z2170,'CAMD Facility Data 2023'!$AE$2:$AE$10000,0),3)&gt;0,INDEX('CAMD Facility Data 2023'!$AE$2:$AG$10000,MATCH(Z2170,'CAMD Facility Data 2023'!$AE$2:$AE$10000,0),3),"")</f>
        <v>Y</v>
      </c>
      <c r="AD2170" s="20">
        <f t="shared" si="100"/>
        <v>0.16064066382427597</v>
      </c>
      <c r="AE2170" s="25">
        <f t="shared" si="101"/>
        <v>0.61277885230672335</v>
      </c>
    </row>
    <row r="2171" spans="1:31" x14ac:dyDescent="0.2">
      <c r="A2171" s="1" t="s">
        <v>1980</v>
      </c>
      <c r="B2171" s="1" t="s">
        <v>5027</v>
      </c>
      <c r="C2171" s="1">
        <v>50006</v>
      </c>
      <c r="D2171" s="1">
        <v>9001</v>
      </c>
      <c r="F2171" s="1">
        <v>2023</v>
      </c>
      <c r="G2171" s="5">
        <v>8169</v>
      </c>
      <c r="H2171" s="5">
        <v>8160.43</v>
      </c>
      <c r="I2171" s="5">
        <v>1158846.74</v>
      </c>
      <c r="K2171" s="5">
        <v>2.5030000000000001</v>
      </c>
      <c r="L2171" s="5">
        <v>1E-3</v>
      </c>
      <c r="M2171" s="5">
        <v>495822.18800000002</v>
      </c>
      <c r="N2171" s="6">
        <v>5.8999999999999997E-2</v>
      </c>
      <c r="O2171" s="5">
        <v>92.298000000000002</v>
      </c>
      <c r="P2171" s="6">
        <v>2.23E-2</v>
      </c>
      <c r="Q2171" s="5">
        <v>8343239.7230000002</v>
      </c>
      <c r="R2171" s="1" t="s">
        <v>44</v>
      </c>
      <c r="S2171" s="1" t="s">
        <v>288</v>
      </c>
      <c r="T2171" s="1" t="s">
        <v>71</v>
      </c>
      <c r="V2171" s="1" t="s">
        <v>4050</v>
      </c>
      <c r="Y2171" s="1" t="s">
        <v>1528</v>
      </c>
      <c r="Z2171" s="1" t="str">
        <f t="shared" si="99"/>
        <v>50006 9001</v>
      </c>
      <c r="AA2171" s="3">
        <f>IF(INDEX('CAMD Facility Data 2023'!$AA$2:$AE$10000,MATCH(Z2171,'CAMD Facility Data 2023'!$AE$2:$AE$10000,0),1)&gt;0,INDEX('CAMD Facility Data 2023'!$AA$2:$AE$10000,MATCH(Z2171,'CAMD Facility Data 2023'!$AE$2:$AE$10000,0),1),"")</f>
        <v>33732</v>
      </c>
      <c r="AB2171" s="5">
        <f>IF(INDEX('CAMD Facility Data 2023'!$AC$2:$AE$10000,MATCH(Z2171,'CAMD Facility Data 2023'!$AE$2:$AE$10000,0),1)&gt;0,INDEX('CAMD Facility Data 2023'!$AC$2:$AE$10000,MATCH(Z2171,'CAMD Facility Data 2023'!$AE$2:$AE$10000,0),1),"")</f>
        <v>1610</v>
      </c>
      <c r="AC2171" s="1" t="str">
        <f>IF(INDEX('CAMD Facility Data 2023'!$AE$2:$AG$10000,MATCH(Z2171,'CAMD Facility Data 2023'!$AE$2:$AE$10000,0),3)&gt;0,INDEX('CAMD Facility Data 2023'!$AE$2:$AG$10000,MATCH(Z2171,'CAMD Facility Data 2023'!$AE$2:$AE$10000,0),3),"")</f>
        <v>Y</v>
      </c>
      <c r="AD2171" s="20">
        <f t="shared" si="100"/>
        <v>0.15929285006229554</v>
      </c>
      <c r="AE2171" s="25">
        <f t="shared" si="101"/>
        <v>0.5915680906293429</v>
      </c>
    </row>
    <row r="2172" spans="1:31" x14ac:dyDescent="0.2">
      <c r="A2172" s="1" t="s">
        <v>383</v>
      </c>
      <c r="B2172" s="1" t="s">
        <v>5036</v>
      </c>
      <c r="C2172" s="1">
        <v>50109</v>
      </c>
      <c r="D2172" s="1" t="s">
        <v>4201</v>
      </c>
      <c r="F2172" s="1">
        <v>2023</v>
      </c>
      <c r="G2172" s="5">
        <v>4130</v>
      </c>
      <c r="H2172" s="5">
        <v>3972.99</v>
      </c>
      <c r="I2172" s="5">
        <v>416363.6</v>
      </c>
      <c r="K2172" s="5">
        <v>1.07</v>
      </c>
      <c r="L2172" s="5">
        <v>1E-3</v>
      </c>
      <c r="M2172" s="5">
        <v>211850.655</v>
      </c>
      <c r="N2172" s="6">
        <v>5.8999999999999997E-2</v>
      </c>
      <c r="O2172" s="5">
        <v>187.84200000000001</v>
      </c>
      <c r="P2172" s="6">
        <v>0.1086</v>
      </c>
      <c r="Q2172" s="5">
        <v>3564777.04</v>
      </c>
      <c r="R2172" s="1" t="s">
        <v>44</v>
      </c>
      <c r="S2172" s="1" t="s">
        <v>94</v>
      </c>
      <c r="T2172" s="1" t="s">
        <v>71</v>
      </c>
      <c r="V2172" s="1" t="s">
        <v>1606</v>
      </c>
      <c r="Y2172" s="1" t="s">
        <v>346</v>
      </c>
      <c r="Z2172" s="1" t="str">
        <f t="shared" si="99"/>
        <v>50109 HRSG1</v>
      </c>
      <c r="AA2172" s="3">
        <f>IF(INDEX('CAMD Facility Data 2023'!$AA$2:$AE$10000,MATCH(Z2172,'CAMD Facility Data 2023'!$AE$2:$AE$10000,0),1)&gt;0,INDEX('CAMD Facility Data 2023'!$AA$2:$AE$10000,MATCH(Z2172,'CAMD Facility Data 2023'!$AE$2:$AE$10000,0),1),"")</f>
        <v>32660</v>
      </c>
      <c r="AB2172" s="5">
        <f>IF(INDEX('CAMD Facility Data 2023'!$AC$2:$AE$10000,MATCH(Z2172,'CAMD Facility Data 2023'!$AE$2:$AE$10000,0),1)&gt;0,INDEX('CAMD Facility Data 2023'!$AC$2:$AE$10000,MATCH(Z2172,'CAMD Facility Data 2023'!$AE$2:$AE$10000,0),1),"")</f>
        <v>1281</v>
      </c>
      <c r="AC2172" s="1" t="str">
        <f>IF(INDEX('CAMD Facility Data 2023'!$AE$2:$AG$10000,MATCH(Z2172,'CAMD Facility Data 2023'!$AE$2:$AE$10000,0),3)&gt;0,INDEX('CAMD Facility Data 2023'!$AE$2:$AG$10000,MATCH(Z2172,'CAMD Facility Data 2023'!$AE$2:$AE$10000,0),3),"")</f>
        <v/>
      </c>
      <c r="AD2172" s="20">
        <f t="shared" si="100"/>
        <v>0.90229789539719618</v>
      </c>
      <c r="AE2172" s="25">
        <f t="shared" si="101"/>
        <v>0.31767214540580813</v>
      </c>
    </row>
    <row r="2173" spans="1:31" x14ac:dyDescent="0.2">
      <c r="A2173" s="1" t="s">
        <v>383</v>
      </c>
      <c r="B2173" s="1" t="s">
        <v>5036</v>
      </c>
      <c r="C2173" s="1">
        <v>50109</v>
      </c>
      <c r="D2173" s="1" t="s">
        <v>4206</v>
      </c>
      <c r="F2173" s="1">
        <v>2023</v>
      </c>
      <c r="G2173" s="5">
        <v>4152</v>
      </c>
      <c r="H2173" s="5">
        <v>3970.64</v>
      </c>
      <c r="I2173" s="5">
        <v>415655.05</v>
      </c>
      <c r="K2173" s="5">
        <v>1.089</v>
      </c>
      <c r="L2173" s="5">
        <v>1E-3</v>
      </c>
      <c r="M2173" s="5">
        <v>215755.62400000001</v>
      </c>
      <c r="N2173" s="6">
        <v>5.8999999999999997E-2</v>
      </c>
      <c r="O2173" s="5">
        <v>198.84299999999999</v>
      </c>
      <c r="P2173" s="6">
        <v>0.1148</v>
      </c>
      <c r="Q2173" s="5">
        <v>3630511.6889999998</v>
      </c>
      <c r="R2173" s="1" t="s">
        <v>44</v>
      </c>
      <c r="S2173" s="1" t="s">
        <v>94</v>
      </c>
      <c r="T2173" s="1" t="s">
        <v>71</v>
      </c>
      <c r="V2173" s="1" t="s">
        <v>1606</v>
      </c>
      <c r="Y2173" s="1" t="s">
        <v>346</v>
      </c>
      <c r="Z2173" s="1" t="str">
        <f t="shared" si="99"/>
        <v>50109 HRSG2</v>
      </c>
      <c r="AA2173" s="3">
        <f>IF(INDEX('CAMD Facility Data 2023'!$AA$2:$AE$10000,MATCH(Z2173,'CAMD Facility Data 2023'!$AE$2:$AE$10000,0),1)&gt;0,INDEX('CAMD Facility Data 2023'!$AA$2:$AE$10000,MATCH(Z2173,'CAMD Facility Data 2023'!$AE$2:$AE$10000,0),1),"")</f>
        <v>32660</v>
      </c>
      <c r="AB2173" s="5">
        <f>IF(INDEX('CAMD Facility Data 2023'!$AC$2:$AE$10000,MATCH(Z2173,'CAMD Facility Data 2023'!$AE$2:$AE$10000,0),1)&gt;0,INDEX('CAMD Facility Data 2023'!$AC$2:$AE$10000,MATCH(Z2173,'CAMD Facility Data 2023'!$AE$2:$AE$10000,0),1),"")</f>
        <v>1281</v>
      </c>
      <c r="AC2173" s="1" t="str">
        <f>IF(INDEX('CAMD Facility Data 2023'!$AE$2:$AG$10000,MATCH(Z2173,'CAMD Facility Data 2023'!$AE$2:$AE$10000,0),3)&gt;0,INDEX('CAMD Facility Data 2023'!$AE$2:$AG$10000,MATCH(Z2173,'CAMD Facility Data 2023'!$AE$2:$AE$10000,0),3),"")</f>
        <v/>
      </c>
      <c r="AD2173" s="20">
        <f t="shared" si="100"/>
        <v>0.95676932109931057</v>
      </c>
      <c r="AE2173" s="25">
        <f t="shared" si="101"/>
        <v>0.32353003405943559</v>
      </c>
    </row>
    <row r="2174" spans="1:31" x14ac:dyDescent="0.2">
      <c r="A2174" s="1" t="s">
        <v>383</v>
      </c>
      <c r="B2174" s="1" t="s">
        <v>5042</v>
      </c>
      <c r="C2174" s="1">
        <v>50137</v>
      </c>
      <c r="D2174" s="1">
        <v>1</v>
      </c>
      <c r="F2174" s="1">
        <v>2023</v>
      </c>
      <c r="G2174" s="5">
        <v>663</v>
      </c>
      <c r="H2174" s="5">
        <v>529.32000000000005</v>
      </c>
      <c r="I2174" s="5">
        <v>35235.800000000003</v>
      </c>
      <c r="K2174" s="5">
        <v>0.13900000000000001</v>
      </c>
      <c r="L2174" s="5">
        <v>1E-3</v>
      </c>
      <c r="M2174" s="5">
        <v>27439.920999999998</v>
      </c>
      <c r="N2174" s="6">
        <v>5.91E-2</v>
      </c>
      <c r="O2174" s="5">
        <v>64.369</v>
      </c>
      <c r="P2174" s="6">
        <v>0.32419999999999999</v>
      </c>
      <c r="Q2174" s="5">
        <v>461717.86099999998</v>
      </c>
      <c r="R2174" s="1" t="s">
        <v>44</v>
      </c>
      <c r="T2174" s="1" t="s">
        <v>93</v>
      </c>
      <c r="V2174" s="1" t="s">
        <v>1606</v>
      </c>
      <c r="Y2174" s="1" t="s">
        <v>346</v>
      </c>
      <c r="Z2174" s="1" t="str">
        <f t="shared" si="99"/>
        <v>50137 1</v>
      </c>
      <c r="AA2174" s="3">
        <f>IF(INDEX('CAMD Facility Data 2023'!$AA$2:$AE$10000,MATCH(Z2174,'CAMD Facility Data 2023'!$AE$2:$AE$10000,0),1)&gt;0,INDEX('CAMD Facility Data 2023'!$AA$2:$AE$10000,MATCH(Z2174,'CAMD Facility Data 2023'!$AE$2:$AE$10000,0),1),"")</f>
        <v>35185</v>
      </c>
      <c r="AB2174" s="5">
        <f>IF(INDEX('CAMD Facility Data 2023'!$AC$2:$AE$10000,MATCH(Z2174,'CAMD Facility Data 2023'!$AE$2:$AE$10000,0),1)&gt;0,INDEX('CAMD Facility Data 2023'!$AC$2:$AE$10000,MATCH(Z2174,'CAMD Facility Data 2023'!$AE$2:$AE$10000,0),1),"")</f>
        <v>1100</v>
      </c>
      <c r="AC2174" s="1" t="str">
        <f>IF(INDEX('CAMD Facility Data 2023'!$AE$2:$AG$10000,MATCH(Z2174,'CAMD Facility Data 2023'!$AE$2:$AE$10000,0),3)&gt;0,INDEX('CAMD Facility Data 2023'!$AE$2:$AG$10000,MATCH(Z2174,'CAMD Facility Data 2023'!$AE$2:$AE$10000,0),3),"")</f>
        <v/>
      </c>
      <c r="AD2174" s="20">
        <f t="shared" si="100"/>
        <v>3.6536136542947792</v>
      </c>
      <c r="AE2174" s="25">
        <f t="shared" si="101"/>
        <v>4.7915925799086753E-2</v>
      </c>
    </row>
    <row r="2175" spans="1:31" x14ac:dyDescent="0.2">
      <c r="A2175" s="1" t="s">
        <v>1505</v>
      </c>
      <c r="B2175" s="1" t="s">
        <v>5047</v>
      </c>
      <c r="C2175" s="1">
        <v>50243</v>
      </c>
      <c r="D2175" s="1" t="s">
        <v>5048</v>
      </c>
      <c r="F2175" s="1">
        <v>2023</v>
      </c>
      <c r="G2175" s="5">
        <v>174</v>
      </c>
      <c r="H2175" s="5">
        <v>137.25</v>
      </c>
      <c r="I2175" s="5">
        <v>13756.25</v>
      </c>
      <c r="K2175" s="5">
        <v>0.44600000000000001</v>
      </c>
      <c r="L2175" s="5">
        <v>5.3E-3</v>
      </c>
      <c r="M2175" s="5">
        <v>10048.495000000001</v>
      </c>
      <c r="N2175" s="6">
        <v>0.10970000000000001</v>
      </c>
      <c r="O2175" s="5">
        <v>6.03</v>
      </c>
      <c r="P2175" s="6">
        <v>9.5299999999999996E-2</v>
      </c>
      <c r="Q2175" s="5">
        <v>169445.25</v>
      </c>
      <c r="R2175" s="1" t="s">
        <v>284</v>
      </c>
      <c r="S2175" s="1" t="s">
        <v>94</v>
      </c>
      <c r="T2175" s="1" t="s">
        <v>71</v>
      </c>
      <c r="V2175" s="1" t="s">
        <v>183</v>
      </c>
      <c r="Y2175" s="1" t="s">
        <v>5049</v>
      </c>
      <c r="Z2175" s="1" t="str">
        <f t="shared" si="99"/>
        <v>50243 GEN4</v>
      </c>
      <c r="AA2175" s="3">
        <f>IF(INDEX('CAMD Facility Data 2023'!$AA$2:$AE$10000,MATCH(Z2175,'CAMD Facility Data 2023'!$AE$2:$AE$10000,0),1)&gt;0,INDEX('CAMD Facility Data 2023'!$AA$2:$AE$10000,MATCH(Z2175,'CAMD Facility Data 2023'!$AE$2:$AE$10000,0),1),"")</f>
        <v>36824</v>
      </c>
      <c r="AB2175" s="5">
        <f>IF(INDEX('CAMD Facility Data 2023'!$AC$2:$AE$10000,MATCH(Z2175,'CAMD Facility Data 2023'!$AE$2:$AE$10000,0),1)&gt;0,INDEX('CAMD Facility Data 2023'!$AC$2:$AE$10000,MATCH(Z2175,'CAMD Facility Data 2023'!$AE$2:$AE$10000,0),1),"")</f>
        <v>2082</v>
      </c>
      <c r="AC2175" s="1" t="str">
        <f>IF(INDEX('CAMD Facility Data 2023'!$AE$2:$AG$10000,MATCH(Z2175,'CAMD Facility Data 2023'!$AE$2:$AE$10000,0),3)&gt;0,INDEX('CAMD Facility Data 2023'!$AE$2:$AG$10000,MATCH(Z2175,'CAMD Facility Data 2023'!$AE$2:$AE$10000,0),3),"")</f>
        <v/>
      </c>
      <c r="AD2175" s="20">
        <f t="shared" si="100"/>
        <v>0.87669241253975461</v>
      </c>
      <c r="AE2175" s="25">
        <f t="shared" si="101"/>
        <v>9.2906172279025694E-3</v>
      </c>
    </row>
    <row r="2176" spans="1:31" x14ac:dyDescent="0.2">
      <c r="A2176" s="1" t="s">
        <v>2584</v>
      </c>
      <c r="B2176" s="1" t="s">
        <v>5054</v>
      </c>
      <c r="C2176" s="1">
        <v>50279</v>
      </c>
      <c r="D2176" s="1">
        <v>2</v>
      </c>
      <c r="F2176" s="1">
        <v>2023</v>
      </c>
      <c r="G2176" s="5">
        <v>2265</v>
      </c>
      <c r="H2176" s="5">
        <v>2081.25</v>
      </c>
      <c r="I2176" s="5">
        <v>87552.5</v>
      </c>
      <c r="K2176" s="5">
        <v>0.26300000000000001</v>
      </c>
      <c r="L2176" s="5">
        <v>1E-3</v>
      </c>
      <c r="M2176" s="5">
        <v>52053.925000000003</v>
      </c>
      <c r="N2176" s="6">
        <v>5.8999999999999997E-2</v>
      </c>
      <c r="O2176" s="5">
        <v>35.223999999999997</v>
      </c>
      <c r="P2176" s="6">
        <v>8.2799999999999999E-2</v>
      </c>
      <c r="Q2176" s="5">
        <v>875931.07499999995</v>
      </c>
      <c r="R2176" s="1" t="s">
        <v>44</v>
      </c>
      <c r="T2176" s="1" t="s">
        <v>93</v>
      </c>
      <c r="V2176" s="1" t="s">
        <v>95</v>
      </c>
      <c r="Y2176" s="1" t="s">
        <v>1515</v>
      </c>
      <c r="Z2176" s="1" t="str">
        <f t="shared" si="99"/>
        <v>50279 2</v>
      </c>
      <c r="AA2176" s="3">
        <f>IF(INDEX('CAMD Facility Data 2023'!$AA$2:$AE$10000,MATCH(Z2176,'CAMD Facility Data 2023'!$AE$2:$AE$10000,0),1)&gt;0,INDEX('CAMD Facility Data 2023'!$AA$2:$AE$10000,MATCH(Z2176,'CAMD Facility Data 2023'!$AE$2:$AE$10000,0),1),"")</f>
        <v>37035</v>
      </c>
      <c r="AB2176" s="5">
        <f>IF(INDEX('CAMD Facility Data 2023'!$AC$2:$AE$10000,MATCH(Z2176,'CAMD Facility Data 2023'!$AE$2:$AE$10000,0),1)&gt;0,INDEX('CAMD Facility Data 2023'!$AC$2:$AE$10000,MATCH(Z2176,'CAMD Facility Data 2023'!$AE$2:$AE$10000,0),1),"")</f>
        <v>540</v>
      </c>
      <c r="AC2176" s="1" t="str">
        <f>IF(INDEX('CAMD Facility Data 2023'!$AE$2:$AG$10000,MATCH(Z2176,'CAMD Facility Data 2023'!$AE$2:$AE$10000,0),3)&gt;0,INDEX('CAMD Facility Data 2023'!$AE$2:$AG$10000,MATCH(Z2176,'CAMD Facility Data 2023'!$AE$2:$AE$10000,0),3),"")</f>
        <v/>
      </c>
      <c r="AD2176" s="20">
        <f t="shared" si="100"/>
        <v>0.80463721766939833</v>
      </c>
      <c r="AE2176" s="25">
        <f t="shared" si="101"/>
        <v>0.18517061453576864</v>
      </c>
    </row>
    <row r="2177" spans="1:31" x14ac:dyDescent="0.2">
      <c r="A2177" s="1" t="s">
        <v>680</v>
      </c>
      <c r="B2177" s="1" t="s">
        <v>5059</v>
      </c>
      <c r="C2177" s="1">
        <v>50282</v>
      </c>
      <c r="D2177" s="1" t="s">
        <v>5060</v>
      </c>
      <c r="E2177" s="1" t="s">
        <v>5061</v>
      </c>
      <c r="F2177" s="1">
        <v>2023</v>
      </c>
      <c r="G2177" s="5">
        <v>0</v>
      </c>
      <c r="H2177" s="5">
        <v>0</v>
      </c>
      <c r="R2177" s="1" t="s">
        <v>55</v>
      </c>
      <c r="S2177" s="1" t="s">
        <v>94</v>
      </c>
      <c r="T2177" s="1" t="s">
        <v>606</v>
      </c>
      <c r="V2177" s="1" t="s">
        <v>669</v>
      </c>
      <c r="W2177" s="1" t="s">
        <v>58</v>
      </c>
      <c r="Y2177" s="1" t="s">
        <v>617</v>
      </c>
      <c r="Z2177" s="1" t="str">
        <f t="shared" si="99"/>
        <v>50282 PR003</v>
      </c>
      <c r="AA2177" s="3">
        <f>IF(INDEX('CAMD Facility Data 2023'!$AA$2:$AE$10000,MATCH(Z2177,'CAMD Facility Data 2023'!$AE$2:$AE$10000,0),1)&gt;0,INDEX('CAMD Facility Data 2023'!$AA$2:$AE$10000,MATCH(Z2177,'CAMD Facility Data 2023'!$AE$2:$AE$10000,0),1),"")</f>
        <v>21551</v>
      </c>
      <c r="AB2177" s="5">
        <f>IF(INDEX('CAMD Facility Data 2023'!$AC$2:$AE$10000,MATCH(Z2177,'CAMD Facility Data 2023'!$AE$2:$AE$10000,0),1)&gt;0,INDEX('CAMD Facility Data 2023'!$AC$2:$AE$10000,MATCH(Z2177,'CAMD Facility Data 2023'!$AE$2:$AE$10000,0),1),"")</f>
        <v>590</v>
      </c>
      <c r="AC2177" s="1" t="str">
        <f>IF(INDEX('CAMD Facility Data 2023'!$AE$2:$AG$10000,MATCH(Z2177,'CAMD Facility Data 2023'!$AE$2:$AE$10000,0),3)&gt;0,INDEX('CAMD Facility Data 2023'!$AE$2:$AG$10000,MATCH(Z2177,'CAMD Facility Data 2023'!$AE$2:$AE$10000,0),3),"")</f>
        <v>Y</v>
      </c>
      <c r="AD2177" s="20" t="str">
        <f t="shared" si="100"/>
        <v/>
      </c>
      <c r="AE2177" s="25">
        <f t="shared" si="101"/>
        <v>0</v>
      </c>
    </row>
    <row r="2178" spans="1:31" x14ac:dyDescent="0.2">
      <c r="A2178" s="1" t="s">
        <v>680</v>
      </c>
      <c r="B2178" s="1" t="s">
        <v>5059</v>
      </c>
      <c r="C2178" s="1">
        <v>50282</v>
      </c>
      <c r="D2178" s="1" t="s">
        <v>5065</v>
      </c>
      <c r="E2178" s="1" t="s">
        <v>5061</v>
      </c>
      <c r="F2178" s="1">
        <v>2023</v>
      </c>
      <c r="G2178" s="5">
        <v>0</v>
      </c>
      <c r="H2178" s="5">
        <v>0</v>
      </c>
      <c r="R2178" s="1" t="s">
        <v>55</v>
      </c>
      <c r="S2178" s="1" t="s">
        <v>44</v>
      </c>
      <c r="T2178" s="1" t="s">
        <v>43</v>
      </c>
      <c r="V2178" s="1" t="s">
        <v>45</v>
      </c>
      <c r="W2178" s="1" t="s">
        <v>658</v>
      </c>
      <c r="Y2178" s="1" t="s">
        <v>617</v>
      </c>
      <c r="Z2178" s="1" t="str">
        <f t="shared" si="99"/>
        <v>50282 PR004</v>
      </c>
      <c r="AA2178" s="3">
        <f>IF(INDEX('CAMD Facility Data 2023'!$AA$2:$AE$10000,MATCH(Z2178,'CAMD Facility Data 2023'!$AE$2:$AE$10000,0),1)&gt;0,INDEX('CAMD Facility Data 2023'!$AA$2:$AE$10000,MATCH(Z2178,'CAMD Facility Data 2023'!$AE$2:$AE$10000,0),1),"")</f>
        <v>23743</v>
      </c>
      <c r="AB2178" s="5">
        <f>IF(INDEX('CAMD Facility Data 2023'!$AC$2:$AE$10000,MATCH(Z2178,'CAMD Facility Data 2023'!$AE$2:$AE$10000,0),1)&gt;0,INDEX('CAMD Facility Data 2023'!$AC$2:$AE$10000,MATCH(Z2178,'CAMD Facility Data 2023'!$AE$2:$AE$10000,0),1),"")</f>
        <v>785</v>
      </c>
      <c r="AC2178" s="1" t="str">
        <f>IF(INDEX('CAMD Facility Data 2023'!$AE$2:$AG$10000,MATCH(Z2178,'CAMD Facility Data 2023'!$AE$2:$AE$10000,0),3)&gt;0,INDEX('CAMD Facility Data 2023'!$AE$2:$AG$10000,MATCH(Z2178,'CAMD Facility Data 2023'!$AE$2:$AE$10000,0),3),"")</f>
        <v>Y</v>
      </c>
      <c r="AD2178" s="20" t="str">
        <f t="shared" si="100"/>
        <v/>
      </c>
      <c r="AE2178" s="25">
        <f t="shared" si="101"/>
        <v>0</v>
      </c>
    </row>
    <row r="2179" spans="1:31" x14ac:dyDescent="0.2">
      <c r="A2179" s="1" t="s">
        <v>680</v>
      </c>
      <c r="B2179" s="1" t="s">
        <v>5059</v>
      </c>
      <c r="C2179" s="1">
        <v>50282</v>
      </c>
      <c r="D2179" s="1" t="s">
        <v>5066</v>
      </c>
      <c r="E2179" s="1" t="s">
        <v>5061</v>
      </c>
      <c r="F2179" s="1">
        <v>2023</v>
      </c>
      <c r="G2179" s="5">
        <v>0</v>
      </c>
      <c r="H2179" s="5">
        <v>0</v>
      </c>
      <c r="R2179" s="1" t="s">
        <v>44</v>
      </c>
      <c r="T2179" s="1" t="s">
        <v>656</v>
      </c>
      <c r="Y2179" s="1" t="s">
        <v>617</v>
      </c>
      <c r="Z2179" s="1" t="str">
        <f t="shared" ref="Z2179:Z2242" si="102">C2179&amp;" "&amp;D2179</f>
        <v>50282 PR005</v>
      </c>
      <c r="AA2179" s="3">
        <f>IF(INDEX('CAMD Facility Data 2023'!$AA$2:$AE$10000,MATCH(Z2179,'CAMD Facility Data 2023'!$AE$2:$AE$10000,0),1)&gt;0,INDEX('CAMD Facility Data 2023'!$AA$2:$AE$10000,MATCH(Z2179,'CAMD Facility Data 2023'!$AE$2:$AE$10000,0),1),"")</f>
        <v>25569</v>
      </c>
      <c r="AB2179" s="5">
        <f>IF(INDEX('CAMD Facility Data 2023'!$AC$2:$AE$10000,MATCH(Z2179,'CAMD Facility Data 2023'!$AE$2:$AE$10000,0),1)&gt;0,INDEX('CAMD Facility Data 2023'!$AC$2:$AE$10000,MATCH(Z2179,'CAMD Facility Data 2023'!$AE$2:$AE$10000,0),1),"")</f>
        <v>338</v>
      </c>
      <c r="AC2179" s="1" t="str">
        <f>IF(INDEX('CAMD Facility Data 2023'!$AE$2:$AG$10000,MATCH(Z2179,'CAMD Facility Data 2023'!$AE$2:$AE$10000,0),3)&gt;0,INDEX('CAMD Facility Data 2023'!$AE$2:$AG$10000,MATCH(Z2179,'CAMD Facility Data 2023'!$AE$2:$AE$10000,0),3),"")</f>
        <v/>
      </c>
      <c r="AD2179" s="20" t="str">
        <f t="shared" ref="AD2179:AD2242" si="103">IF(ISNUMBER(O2179*2000/I2179),O2179*2000/I2179,"")</f>
        <v/>
      </c>
      <c r="AE2179" s="25">
        <f t="shared" ref="AE2179:AE2242" si="104">Q2179/(AB2179*8760)</f>
        <v>0</v>
      </c>
    </row>
    <row r="2180" spans="1:31" x14ac:dyDescent="0.2">
      <c r="A2180" s="1" t="s">
        <v>2089</v>
      </c>
      <c r="B2180" s="1" t="s">
        <v>5068</v>
      </c>
      <c r="C2180" s="1">
        <v>50292</v>
      </c>
      <c r="D2180" s="1" t="s">
        <v>280</v>
      </c>
      <c r="F2180" s="1">
        <v>2023</v>
      </c>
      <c r="G2180" s="5">
        <v>2945</v>
      </c>
      <c r="H2180" s="5">
        <v>2858.51</v>
      </c>
      <c r="I2180" s="5">
        <v>77885.119999999995</v>
      </c>
      <c r="K2180" s="5">
        <v>0.217</v>
      </c>
      <c r="L2180" s="5">
        <v>1E-3</v>
      </c>
      <c r="M2180" s="5">
        <v>42924.851000000002</v>
      </c>
      <c r="N2180" s="6">
        <v>5.9400000000000001E-2</v>
      </c>
      <c r="O2180" s="5">
        <v>47.448</v>
      </c>
      <c r="P2180" s="6">
        <v>0.1326</v>
      </c>
      <c r="Q2180" s="5">
        <v>722268.48300000001</v>
      </c>
      <c r="R2180" s="1" t="s">
        <v>44</v>
      </c>
      <c r="T2180" s="1" t="s">
        <v>71</v>
      </c>
      <c r="V2180" s="1" t="s">
        <v>1606</v>
      </c>
      <c r="Y2180" s="1" t="s">
        <v>1515</v>
      </c>
      <c r="Z2180" s="1" t="str">
        <f t="shared" si="102"/>
        <v>50292 GT1</v>
      </c>
      <c r="AA2180" s="3">
        <f>IF(INDEX('CAMD Facility Data 2023'!$AA$2:$AE$10000,MATCH(Z2180,'CAMD Facility Data 2023'!$AE$2:$AE$10000,0),1)&gt;0,INDEX('CAMD Facility Data 2023'!$AA$2:$AE$10000,MATCH(Z2180,'CAMD Facility Data 2023'!$AE$2:$AE$10000,0),1),"")</f>
        <v>32733</v>
      </c>
      <c r="AB2180" s="5">
        <f>IF(INDEX('CAMD Facility Data 2023'!$AC$2:$AE$10000,MATCH(Z2180,'CAMD Facility Data 2023'!$AE$2:$AE$10000,0),1)&gt;0,INDEX('CAMD Facility Data 2023'!$AC$2:$AE$10000,MATCH(Z2180,'CAMD Facility Data 2023'!$AE$2:$AE$10000,0),1),"")</f>
        <v>416</v>
      </c>
      <c r="AC2180" s="1" t="str">
        <f>IF(INDEX('CAMD Facility Data 2023'!$AE$2:$AG$10000,MATCH(Z2180,'CAMD Facility Data 2023'!$AE$2:$AE$10000,0),3)&gt;0,INDEX('CAMD Facility Data 2023'!$AE$2:$AG$10000,MATCH(Z2180,'CAMD Facility Data 2023'!$AE$2:$AE$10000,0),3),"")</f>
        <v/>
      </c>
      <c r="AD2180" s="20">
        <f t="shared" si="103"/>
        <v>1.2184098836850994</v>
      </c>
      <c r="AE2180" s="25">
        <f t="shared" si="104"/>
        <v>0.19819889439541624</v>
      </c>
    </row>
    <row r="2181" spans="1:31" x14ac:dyDescent="0.2">
      <c r="A2181" s="1" t="s">
        <v>2089</v>
      </c>
      <c r="B2181" s="1" t="s">
        <v>5068</v>
      </c>
      <c r="C2181" s="1">
        <v>50292</v>
      </c>
      <c r="D2181" s="1" t="s">
        <v>1102</v>
      </c>
      <c r="F2181" s="1">
        <v>2023</v>
      </c>
      <c r="G2181" s="5">
        <v>7393</v>
      </c>
      <c r="H2181" s="5">
        <v>7315.19</v>
      </c>
      <c r="I2181" s="5">
        <v>193623.92</v>
      </c>
      <c r="K2181" s="5">
        <v>0.56000000000000005</v>
      </c>
      <c r="L2181" s="5">
        <v>1E-3</v>
      </c>
      <c r="M2181" s="5">
        <v>110843.89599999999</v>
      </c>
      <c r="N2181" s="6">
        <v>5.9299999999999999E-2</v>
      </c>
      <c r="O2181" s="5">
        <v>115.526</v>
      </c>
      <c r="P2181" s="6">
        <v>0.12520000000000001</v>
      </c>
      <c r="Q2181" s="5">
        <v>1865471.69</v>
      </c>
      <c r="R2181" s="1" t="s">
        <v>44</v>
      </c>
      <c r="T2181" s="1" t="s">
        <v>71</v>
      </c>
      <c r="V2181" s="1" t="s">
        <v>1606</v>
      </c>
      <c r="Y2181" s="1" t="s">
        <v>1515</v>
      </c>
      <c r="Z2181" s="1" t="str">
        <f t="shared" si="102"/>
        <v>50292 GT2</v>
      </c>
      <c r="AA2181" s="3">
        <f>IF(INDEX('CAMD Facility Data 2023'!$AA$2:$AE$10000,MATCH(Z2181,'CAMD Facility Data 2023'!$AE$2:$AE$10000,0),1)&gt;0,INDEX('CAMD Facility Data 2023'!$AA$2:$AE$10000,MATCH(Z2181,'CAMD Facility Data 2023'!$AE$2:$AE$10000,0),1),"")</f>
        <v>32733</v>
      </c>
      <c r="AB2181" s="5">
        <f>IF(INDEX('CAMD Facility Data 2023'!$AC$2:$AE$10000,MATCH(Z2181,'CAMD Facility Data 2023'!$AE$2:$AE$10000,0),1)&gt;0,INDEX('CAMD Facility Data 2023'!$AC$2:$AE$10000,MATCH(Z2181,'CAMD Facility Data 2023'!$AE$2:$AE$10000,0),1),"")</f>
        <v>416</v>
      </c>
      <c r="AC2181" s="1" t="str">
        <f>IF(INDEX('CAMD Facility Data 2023'!$AE$2:$AG$10000,MATCH(Z2181,'CAMD Facility Data 2023'!$AE$2:$AE$10000,0),3)&gt;0,INDEX('CAMD Facility Data 2023'!$AE$2:$AG$10000,MATCH(Z2181,'CAMD Facility Data 2023'!$AE$2:$AE$10000,0),3),"")</f>
        <v/>
      </c>
      <c r="AD2181" s="20">
        <f t="shared" si="103"/>
        <v>1.1933029762025269</v>
      </c>
      <c r="AE2181" s="25">
        <f t="shared" si="104"/>
        <v>0.51190718574376537</v>
      </c>
    </row>
    <row r="2182" spans="1:31" x14ac:dyDescent="0.2">
      <c r="A2182" s="1" t="s">
        <v>2089</v>
      </c>
      <c r="B2182" s="1" t="s">
        <v>5068</v>
      </c>
      <c r="C2182" s="1">
        <v>50292</v>
      </c>
      <c r="D2182" s="1" t="s">
        <v>246</v>
      </c>
      <c r="F2182" s="1">
        <v>2023</v>
      </c>
      <c r="G2182" s="5">
        <v>4042</v>
      </c>
      <c r="H2182" s="5">
        <v>3611.38</v>
      </c>
      <c r="I2182" s="5">
        <v>163044.73000000001</v>
      </c>
      <c r="K2182" s="5">
        <v>0.49399999999999999</v>
      </c>
      <c r="L2182" s="5">
        <v>1E-3</v>
      </c>
      <c r="M2182" s="5">
        <v>97863.626999999993</v>
      </c>
      <c r="N2182" s="6">
        <v>5.9200000000000003E-2</v>
      </c>
      <c r="O2182" s="5">
        <v>6.0529999999999999</v>
      </c>
      <c r="P2182" s="6">
        <v>8.6999999999999994E-3</v>
      </c>
      <c r="Q2182" s="5">
        <v>1646754.8230000001</v>
      </c>
      <c r="R2182" s="1" t="s">
        <v>44</v>
      </c>
      <c r="T2182" s="1" t="s">
        <v>93</v>
      </c>
      <c r="V2182" s="1" t="s">
        <v>176</v>
      </c>
      <c r="Y2182" s="1" t="s">
        <v>1515</v>
      </c>
      <c r="Z2182" s="1" t="str">
        <f t="shared" si="102"/>
        <v>50292 GT3</v>
      </c>
      <c r="AA2182" s="3">
        <f>IF(INDEX('CAMD Facility Data 2023'!$AA$2:$AE$10000,MATCH(Z2182,'CAMD Facility Data 2023'!$AE$2:$AE$10000,0),1)&gt;0,INDEX('CAMD Facility Data 2023'!$AA$2:$AE$10000,MATCH(Z2182,'CAMD Facility Data 2023'!$AE$2:$AE$10000,0),1),"")</f>
        <v>37438</v>
      </c>
      <c r="AB2182" s="5">
        <f>IF(INDEX('CAMD Facility Data 2023'!$AC$2:$AE$10000,MATCH(Z2182,'CAMD Facility Data 2023'!$AE$2:$AE$10000,0),1)&gt;0,INDEX('CAMD Facility Data 2023'!$AC$2:$AE$10000,MATCH(Z2182,'CAMD Facility Data 2023'!$AE$2:$AE$10000,0),1),"")</f>
        <v>545</v>
      </c>
      <c r="AC2182" s="1" t="str">
        <f>IF(INDEX('CAMD Facility Data 2023'!$AE$2:$AG$10000,MATCH(Z2182,'CAMD Facility Data 2023'!$AE$2:$AE$10000,0),3)&gt;0,INDEX('CAMD Facility Data 2023'!$AE$2:$AG$10000,MATCH(Z2182,'CAMD Facility Data 2023'!$AE$2:$AE$10000,0),3),"")</f>
        <v>Y</v>
      </c>
      <c r="AD2182" s="20">
        <f t="shared" si="103"/>
        <v>7.4249563294686058E-2</v>
      </c>
      <c r="AE2182" s="25">
        <f t="shared" si="104"/>
        <v>0.34492790896904196</v>
      </c>
    </row>
    <row r="2183" spans="1:31" x14ac:dyDescent="0.2">
      <c r="A2183" s="1" t="s">
        <v>2089</v>
      </c>
      <c r="B2183" s="1" t="s">
        <v>5068</v>
      </c>
      <c r="C2183" s="1">
        <v>50292</v>
      </c>
      <c r="D2183" s="1" t="s">
        <v>251</v>
      </c>
      <c r="F2183" s="1">
        <v>2023</v>
      </c>
      <c r="G2183" s="5">
        <v>3243</v>
      </c>
      <c r="H2183" s="5">
        <v>3128.52</v>
      </c>
      <c r="I2183" s="5">
        <v>185868.57</v>
      </c>
      <c r="K2183" s="5">
        <v>0.48199999999999998</v>
      </c>
      <c r="L2183" s="5">
        <v>1E-3</v>
      </c>
      <c r="M2183" s="5">
        <v>95394.538</v>
      </c>
      <c r="N2183" s="6">
        <v>5.9200000000000003E-2</v>
      </c>
      <c r="O2183" s="5">
        <v>5.2590000000000003</v>
      </c>
      <c r="P2183" s="6">
        <v>7.0000000000000001E-3</v>
      </c>
      <c r="Q2183" s="5">
        <v>1605174.9739999999</v>
      </c>
      <c r="R2183" s="1" t="s">
        <v>44</v>
      </c>
      <c r="T2183" s="1" t="s">
        <v>71</v>
      </c>
      <c r="V2183" s="1" t="s">
        <v>176</v>
      </c>
      <c r="Y2183" s="1" t="s">
        <v>1515</v>
      </c>
      <c r="Z2183" s="1" t="str">
        <f t="shared" si="102"/>
        <v>50292 GT4</v>
      </c>
      <c r="AA2183" s="3">
        <f>IF(INDEX('CAMD Facility Data 2023'!$AA$2:$AE$10000,MATCH(Z2183,'CAMD Facility Data 2023'!$AE$2:$AE$10000,0),1)&gt;0,INDEX('CAMD Facility Data 2023'!$AA$2:$AE$10000,MATCH(Z2183,'CAMD Facility Data 2023'!$AE$2:$AE$10000,0),1),"")</f>
        <v>38480</v>
      </c>
      <c r="AB2183" s="5">
        <f>IF(INDEX('CAMD Facility Data 2023'!$AC$2:$AE$10000,MATCH(Z2183,'CAMD Facility Data 2023'!$AE$2:$AE$10000,0),1)&gt;0,INDEX('CAMD Facility Data 2023'!$AC$2:$AE$10000,MATCH(Z2183,'CAMD Facility Data 2023'!$AE$2:$AE$10000,0),1),"")</f>
        <v>730</v>
      </c>
      <c r="AC2183" s="1" t="str">
        <f>IF(INDEX('CAMD Facility Data 2023'!$AE$2:$AG$10000,MATCH(Z2183,'CAMD Facility Data 2023'!$AE$2:$AE$10000,0),3)&gt;0,INDEX('CAMD Facility Data 2023'!$AE$2:$AG$10000,MATCH(Z2183,'CAMD Facility Data 2023'!$AE$2:$AE$10000,0),3),"")</f>
        <v>Y</v>
      </c>
      <c r="AD2183" s="20">
        <f t="shared" si="103"/>
        <v>5.658837317142968E-2</v>
      </c>
      <c r="AE2183" s="25">
        <f t="shared" si="104"/>
        <v>0.25101253737411644</v>
      </c>
    </row>
    <row r="2184" spans="1:31" x14ac:dyDescent="0.2">
      <c r="A2184" s="1" t="s">
        <v>2584</v>
      </c>
      <c r="B2184" s="1" t="s">
        <v>5076</v>
      </c>
      <c r="C2184" s="1">
        <v>50397</v>
      </c>
      <c r="D2184" s="1">
        <v>36</v>
      </c>
      <c r="F2184" s="1">
        <v>2023</v>
      </c>
      <c r="G2184" s="5">
        <v>8200</v>
      </c>
      <c r="H2184" s="5">
        <v>8190.25</v>
      </c>
      <c r="J2184" s="5">
        <v>3075706.75</v>
      </c>
      <c r="M2184" s="5">
        <v>484439.55</v>
      </c>
      <c r="N2184" s="6">
        <v>0.10589999999999999</v>
      </c>
      <c r="O2184" s="5">
        <v>584.60400000000004</v>
      </c>
      <c r="P2184" s="6">
        <v>0.25519999999999998</v>
      </c>
      <c r="Q2184" s="5">
        <v>4579193.375</v>
      </c>
      <c r="R2184" s="1" t="s">
        <v>55</v>
      </c>
      <c r="S2184" s="1" t="s">
        <v>5078</v>
      </c>
      <c r="T2184" s="1" t="s">
        <v>885</v>
      </c>
      <c r="U2184" s="1" t="s">
        <v>1069</v>
      </c>
      <c r="V2184" s="1" t="s">
        <v>669</v>
      </c>
      <c r="W2184" s="1" t="s">
        <v>58</v>
      </c>
      <c r="Y2184" s="1" t="s">
        <v>617</v>
      </c>
      <c r="Z2184" s="1" t="str">
        <f t="shared" si="102"/>
        <v>50397 36</v>
      </c>
      <c r="AA2184" s="3">
        <f>IF(INDEX('CAMD Facility Data 2023'!$AA$2:$AE$10000,MATCH(Z2184,'CAMD Facility Data 2023'!$AE$2:$AE$10000,0),1)&gt;0,INDEX('CAMD Facility Data 2023'!$AA$2:$AE$10000,MATCH(Z2184,'CAMD Facility Data 2023'!$AE$2:$AE$10000,0),1),"")</f>
        <v>32492</v>
      </c>
      <c r="AB2184" s="5">
        <f>IF(INDEX('CAMD Facility Data 2023'!$AC$2:$AE$10000,MATCH(Z2184,'CAMD Facility Data 2023'!$AE$2:$AE$10000,0),1)&gt;0,INDEX('CAMD Facility Data 2023'!$AC$2:$AE$10000,MATCH(Z2184,'CAMD Facility Data 2023'!$AE$2:$AE$10000,0),1),"")</f>
        <v>695</v>
      </c>
      <c r="AC2184" s="1" t="str">
        <f>IF(INDEX('CAMD Facility Data 2023'!$AE$2:$AG$10000,MATCH(Z2184,'CAMD Facility Data 2023'!$AE$2:$AE$10000,0),3)&gt;0,INDEX('CAMD Facility Data 2023'!$AE$2:$AG$10000,MATCH(Z2184,'CAMD Facility Data 2023'!$AE$2:$AE$10000,0),3),"")</f>
        <v>Y</v>
      </c>
      <c r="AD2184" s="20" t="str">
        <f t="shared" si="103"/>
        <v/>
      </c>
      <c r="AE2184" s="25">
        <f t="shared" si="104"/>
        <v>0.75214240251634312</v>
      </c>
    </row>
    <row r="2185" spans="1:31" x14ac:dyDescent="0.2">
      <c r="A2185" s="1" t="s">
        <v>2584</v>
      </c>
      <c r="B2185" s="1" t="s">
        <v>5076</v>
      </c>
      <c r="C2185" s="1">
        <v>50397</v>
      </c>
      <c r="D2185" s="1">
        <v>39</v>
      </c>
      <c r="F2185" s="1">
        <v>2023</v>
      </c>
      <c r="G2185" s="5">
        <v>3523</v>
      </c>
      <c r="H2185" s="5">
        <v>3520.86</v>
      </c>
      <c r="J2185" s="5">
        <v>298621.37</v>
      </c>
      <c r="O2185" s="5">
        <v>5.7110000000000003</v>
      </c>
      <c r="P2185" s="6">
        <v>2.8199999999999999E-2</v>
      </c>
      <c r="Q2185" s="5">
        <v>413152.78600000002</v>
      </c>
      <c r="R2185" s="1" t="s">
        <v>44</v>
      </c>
      <c r="T2185" s="1" t="s">
        <v>656</v>
      </c>
      <c r="V2185" s="1" t="s">
        <v>90</v>
      </c>
      <c r="Y2185" s="1" t="s">
        <v>617</v>
      </c>
      <c r="Z2185" s="1" t="str">
        <f t="shared" si="102"/>
        <v>50397 39</v>
      </c>
      <c r="AA2185" s="3">
        <f>IF(INDEX('CAMD Facility Data 2023'!$AA$2:$AE$10000,MATCH(Z2185,'CAMD Facility Data 2023'!$AE$2:$AE$10000,0),1)&gt;0,INDEX('CAMD Facility Data 2023'!$AA$2:$AE$10000,MATCH(Z2185,'CAMD Facility Data 2023'!$AE$2:$AE$10000,0),1),"")</f>
        <v>42710</v>
      </c>
      <c r="AB2185" s="5">
        <f>IF(INDEX('CAMD Facility Data 2023'!$AC$2:$AE$10000,MATCH(Z2185,'CAMD Facility Data 2023'!$AE$2:$AE$10000,0),1)&gt;0,INDEX('CAMD Facility Data 2023'!$AC$2:$AE$10000,MATCH(Z2185,'CAMD Facility Data 2023'!$AE$2:$AE$10000,0),1),"")</f>
        <v>394.7</v>
      </c>
      <c r="AC2185" s="1" t="str">
        <f>IF(INDEX('CAMD Facility Data 2023'!$AE$2:$AG$10000,MATCH(Z2185,'CAMD Facility Data 2023'!$AE$2:$AE$10000,0),3)&gt;0,INDEX('CAMD Facility Data 2023'!$AE$2:$AG$10000,MATCH(Z2185,'CAMD Facility Data 2023'!$AE$2:$AE$10000,0),3),"")</f>
        <v/>
      </c>
      <c r="AD2185" s="20" t="str">
        <f t="shared" si="103"/>
        <v/>
      </c>
      <c r="AE2185" s="25">
        <f t="shared" si="104"/>
        <v>0.11949217138500659</v>
      </c>
    </row>
    <row r="2186" spans="1:31" x14ac:dyDescent="0.2">
      <c r="A2186" s="1" t="s">
        <v>2089</v>
      </c>
      <c r="B2186" s="1" t="s">
        <v>5081</v>
      </c>
      <c r="C2186" s="1">
        <v>50449</v>
      </c>
      <c r="D2186" s="1">
        <v>1</v>
      </c>
      <c r="F2186" s="1">
        <v>2023</v>
      </c>
      <c r="G2186" s="5">
        <v>1074</v>
      </c>
      <c r="H2186" s="5">
        <v>1028.75</v>
      </c>
      <c r="I2186" s="5">
        <v>41692.5</v>
      </c>
      <c r="K2186" s="5">
        <v>0.11700000000000001</v>
      </c>
      <c r="L2186" s="5">
        <v>1E-3</v>
      </c>
      <c r="M2186" s="5">
        <v>23372.75</v>
      </c>
      <c r="N2186" s="6">
        <v>5.9499999999999997E-2</v>
      </c>
      <c r="O2186" s="5">
        <v>20.597000000000001</v>
      </c>
      <c r="P2186" s="6">
        <v>0.11119999999999999</v>
      </c>
      <c r="Q2186" s="5">
        <v>392016.95</v>
      </c>
      <c r="R2186" s="1" t="s">
        <v>44</v>
      </c>
      <c r="S2186" s="1" t="s">
        <v>94</v>
      </c>
      <c r="T2186" s="1" t="s">
        <v>71</v>
      </c>
      <c r="V2186" s="1" t="s">
        <v>1606</v>
      </c>
      <c r="Y2186" s="1" t="s">
        <v>1515</v>
      </c>
      <c r="Z2186" s="1" t="str">
        <f t="shared" si="102"/>
        <v>50449 1</v>
      </c>
      <c r="AA2186" s="3">
        <f>IF(INDEX('CAMD Facility Data 2023'!$AA$2:$AE$10000,MATCH(Z2186,'CAMD Facility Data 2023'!$AE$2:$AE$10000,0),1)&gt;0,INDEX('CAMD Facility Data 2023'!$AA$2:$AE$10000,MATCH(Z2186,'CAMD Facility Data 2023'!$AE$2:$AE$10000,0),1),"")</f>
        <v>33390</v>
      </c>
      <c r="AB2186" s="5">
        <f>IF(INDEX('CAMD Facility Data 2023'!$AC$2:$AE$10000,MATCH(Z2186,'CAMD Facility Data 2023'!$AE$2:$AE$10000,0),1)&gt;0,INDEX('CAMD Facility Data 2023'!$AC$2:$AE$10000,MATCH(Z2186,'CAMD Facility Data 2023'!$AE$2:$AE$10000,0),1),"")</f>
        <v>673</v>
      </c>
      <c r="AC2186" s="1" t="str">
        <f>IF(INDEX('CAMD Facility Data 2023'!$AE$2:$AG$10000,MATCH(Z2186,'CAMD Facility Data 2023'!$AE$2:$AE$10000,0),3)&gt;0,INDEX('CAMD Facility Data 2023'!$AE$2:$AG$10000,MATCH(Z2186,'CAMD Facility Data 2023'!$AE$2:$AE$10000,0),3),"")</f>
        <v/>
      </c>
      <c r="AD2186" s="20">
        <f t="shared" si="103"/>
        <v>0.98804341308388799</v>
      </c>
      <c r="AE2186" s="25">
        <f t="shared" si="104"/>
        <v>6.6494492390780729E-2</v>
      </c>
    </row>
    <row r="2187" spans="1:31" x14ac:dyDescent="0.2">
      <c r="A2187" s="1" t="s">
        <v>2089</v>
      </c>
      <c r="B2187" s="1" t="s">
        <v>5086</v>
      </c>
      <c r="C2187" s="1">
        <v>50450</v>
      </c>
      <c r="D2187" s="1">
        <v>1</v>
      </c>
      <c r="F2187" s="1">
        <v>2023</v>
      </c>
      <c r="G2187" s="5">
        <v>843</v>
      </c>
      <c r="H2187" s="5">
        <v>791.25</v>
      </c>
      <c r="I2187" s="5">
        <v>36060</v>
      </c>
      <c r="K2187" s="5">
        <v>9.5000000000000001E-2</v>
      </c>
      <c r="L2187" s="5">
        <v>1E-3</v>
      </c>
      <c r="M2187" s="5">
        <v>18733</v>
      </c>
      <c r="N2187" s="6">
        <v>5.9200000000000003E-2</v>
      </c>
      <c r="O2187" s="5">
        <v>17.690000000000001</v>
      </c>
      <c r="P2187" s="6">
        <v>0.1196</v>
      </c>
      <c r="Q2187" s="5">
        <v>315214.625</v>
      </c>
      <c r="R2187" s="1" t="s">
        <v>44</v>
      </c>
      <c r="S2187" s="1" t="s">
        <v>94</v>
      </c>
      <c r="T2187" s="1" t="s">
        <v>71</v>
      </c>
      <c r="V2187" s="1" t="s">
        <v>1606</v>
      </c>
      <c r="Y2187" s="1" t="s">
        <v>1515</v>
      </c>
      <c r="Z2187" s="1" t="str">
        <f t="shared" si="102"/>
        <v>50450 1</v>
      </c>
      <c r="AA2187" s="3">
        <f>IF(INDEX('CAMD Facility Data 2023'!$AA$2:$AE$10000,MATCH(Z2187,'CAMD Facility Data 2023'!$AE$2:$AE$10000,0),1)&gt;0,INDEX('CAMD Facility Data 2023'!$AA$2:$AE$10000,MATCH(Z2187,'CAMD Facility Data 2023'!$AE$2:$AE$10000,0),1),"")</f>
        <v>32994</v>
      </c>
      <c r="AB2187" s="5">
        <f>IF(INDEX('CAMD Facility Data 2023'!$AC$2:$AE$10000,MATCH(Z2187,'CAMD Facility Data 2023'!$AE$2:$AE$10000,0),1)&gt;0,INDEX('CAMD Facility Data 2023'!$AC$2:$AE$10000,MATCH(Z2187,'CAMD Facility Data 2023'!$AE$2:$AE$10000,0),1),"")</f>
        <v>570</v>
      </c>
      <c r="AC2187" s="1" t="str">
        <f>IF(INDEX('CAMD Facility Data 2023'!$AE$2:$AG$10000,MATCH(Z2187,'CAMD Facility Data 2023'!$AE$2:$AE$10000,0),3)&gt;0,INDEX('CAMD Facility Data 2023'!$AE$2:$AG$10000,MATCH(Z2187,'CAMD Facility Data 2023'!$AE$2:$AE$10000,0),3),"")</f>
        <v/>
      </c>
      <c r="AD2187" s="20">
        <f t="shared" si="103"/>
        <v>0.98114254021075986</v>
      </c>
      <c r="AE2187" s="25">
        <f t="shared" si="104"/>
        <v>6.3128780140991755E-2</v>
      </c>
    </row>
    <row r="2188" spans="1:31" x14ac:dyDescent="0.2">
      <c r="A2188" s="1" t="s">
        <v>2089</v>
      </c>
      <c r="B2188" s="1" t="s">
        <v>5089</v>
      </c>
      <c r="C2188" s="1">
        <v>50451</v>
      </c>
      <c r="D2188" s="1">
        <v>1</v>
      </c>
      <c r="F2188" s="1">
        <v>2023</v>
      </c>
      <c r="G2188" s="5">
        <v>807</v>
      </c>
      <c r="H2188" s="5">
        <v>786</v>
      </c>
      <c r="I2188" s="5">
        <v>32674.75</v>
      </c>
      <c r="K2188" s="5">
        <v>0.1</v>
      </c>
      <c r="L2188" s="5">
        <v>8.9999999999999998E-4</v>
      </c>
      <c r="M2188" s="5">
        <v>18630.55</v>
      </c>
      <c r="N2188" s="6">
        <v>5.9299999999999999E-2</v>
      </c>
      <c r="O2188" s="5">
        <v>22.634</v>
      </c>
      <c r="P2188" s="6">
        <v>0.14860000000000001</v>
      </c>
      <c r="Q2188" s="5">
        <v>313455.5</v>
      </c>
      <c r="R2188" s="1" t="s">
        <v>44</v>
      </c>
      <c r="S2188" s="1" t="s">
        <v>94</v>
      </c>
      <c r="T2188" s="1" t="s">
        <v>71</v>
      </c>
      <c r="V2188" s="1" t="s">
        <v>1606</v>
      </c>
      <c r="Y2188" s="1" t="s">
        <v>1515</v>
      </c>
      <c r="Z2188" s="1" t="str">
        <f t="shared" si="102"/>
        <v>50451 1</v>
      </c>
      <c r="AA2188" s="3">
        <f>IF(INDEX('CAMD Facility Data 2023'!$AA$2:$AE$10000,MATCH(Z2188,'CAMD Facility Data 2023'!$AE$2:$AE$10000,0),1)&gt;0,INDEX('CAMD Facility Data 2023'!$AA$2:$AE$10000,MATCH(Z2188,'CAMD Facility Data 2023'!$AE$2:$AE$10000,0),1),"")</f>
        <v>32143</v>
      </c>
      <c r="AB2188" s="5">
        <f>IF(INDEX('CAMD Facility Data 2023'!$AC$2:$AE$10000,MATCH(Z2188,'CAMD Facility Data 2023'!$AE$2:$AE$10000,0),1)&gt;0,INDEX('CAMD Facility Data 2023'!$AC$2:$AE$10000,MATCH(Z2188,'CAMD Facility Data 2023'!$AE$2:$AE$10000,0),1),"")</f>
        <v>627</v>
      </c>
      <c r="AC2188" s="1" t="str">
        <f>IF(INDEX('CAMD Facility Data 2023'!$AE$2:$AG$10000,MATCH(Z2188,'CAMD Facility Data 2023'!$AE$2:$AE$10000,0),3)&gt;0,INDEX('CAMD Facility Data 2023'!$AE$2:$AG$10000,MATCH(Z2188,'CAMD Facility Data 2023'!$AE$2:$AE$10000,0),3),"")</f>
        <v/>
      </c>
      <c r="AD2188" s="20">
        <f t="shared" si="103"/>
        <v>1.3854122831850282</v>
      </c>
      <c r="AE2188" s="25">
        <f t="shared" si="104"/>
        <v>5.7069523643063655E-2</v>
      </c>
    </row>
    <row r="2189" spans="1:31" x14ac:dyDescent="0.2">
      <c r="A2189" s="1" t="s">
        <v>2089</v>
      </c>
      <c r="B2189" s="1" t="s">
        <v>5094</v>
      </c>
      <c r="C2189" s="1">
        <v>50458</v>
      </c>
      <c r="D2189" s="1">
        <v>1</v>
      </c>
      <c r="F2189" s="1">
        <v>2023</v>
      </c>
      <c r="G2189" s="5">
        <v>4219</v>
      </c>
      <c r="H2189" s="5">
        <v>4152</v>
      </c>
      <c r="I2189" s="5">
        <v>523187.5</v>
      </c>
      <c r="K2189" s="5">
        <v>1.2609999999999999</v>
      </c>
      <c r="L2189" s="5">
        <v>1E-3</v>
      </c>
      <c r="M2189" s="5">
        <v>249743.65</v>
      </c>
      <c r="N2189" s="6">
        <v>5.8999999999999997E-2</v>
      </c>
      <c r="O2189" s="5">
        <v>50.076000000000001</v>
      </c>
      <c r="P2189" s="6">
        <v>2.5700000000000001E-2</v>
      </c>
      <c r="Q2189" s="5">
        <v>4202433.45</v>
      </c>
      <c r="R2189" s="1" t="s">
        <v>44</v>
      </c>
      <c r="S2189" s="1" t="s">
        <v>94</v>
      </c>
      <c r="T2189" s="1" t="s">
        <v>71</v>
      </c>
      <c r="V2189" s="1" t="s">
        <v>643</v>
      </c>
      <c r="Y2189" s="1" t="s">
        <v>1515</v>
      </c>
      <c r="Z2189" s="1" t="str">
        <f t="shared" si="102"/>
        <v>50458 1</v>
      </c>
      <c r="AA2189" s="3">
        <f>IF(INDEX('CAMD Facility Data 2023'!$AA$2:$AE$10000,MATCH(Z2189,'CAMD Facility Data 2023'!$AE$2:$AE$10000,0),1)&gt;0,INDEX('CAMD Facility Data 2023'!$AA$2:$AE$10000,MATCH(Z2189,'CAMD Facility Data 2023'!$AE$2:$AE$10000,0),1),"")</f>
        <v>34881</v>
      </c>
      <c r="AB2189" s="5">
        <f>IF(INDEX('CAMD Facility Data 2023'!$AC$2:$AE$10000,MATCH(Z2189,'CAMD Facility Data 2023'!$AE$2:$AE$10000,0),1)&gt;0,INDEX('CAMD Facility Data 2023'!$AC$2:$AE$10000,MATCH(Z2189,'CAMD Facility Data 2023'!$AE$2:$AE$10000,0),1),"")</f>
        <v>1279</v>
      </c>
      <c r="AC2189" s="1" t="str">
        <f>IF(INDEX('CAMD Facility Data 2023'!$AE$2:$AG$10000,MATCH(Z2189,'CAMD Facility Data 2023'!$AE$2:$AE$10000,0),3)&gt;0,INDEX('CAMD Facility Data 2023'!$AE$2:$AG$10000,MATCH(Z2189,'CAMD Facility Data 2023'!$AE$2:$AE$10000,0),3),"")</f>
        <v>Y</v>
      </c>
      <c r="AD2189" s="20">
        <f t="shared" si="103"/>
        <v>0.19142659180504121</v>
      </c>
      <c r="AE2189" s="25">
        <f t="shared" si="104"/>
        <v>0.37508197489477013</v>
      </c>
    </row>
    <row r="2190" spans="1:31" x14ac:dyDescent="0.2">
      <c r="A2190" s="1" t="s">
        <v>2584</v>
      </c>
      <c r="B2190" s="1" t="s">
        <v>5099</v>
      </c>
      <c r="C2190" s="1">
        <v>50463</v>
      </c>
      <c r="D2190" s="1">
        <v>328001</v>
      </c>
      <c r="F2190" s="1">
        <v>2023</v>
      </c>
      <c r="G2190" s="5">
        <v>3672</v>
      </c>
      <c r="H2190" s="5">
        <v>3672</v>
      </c>
      <c r="I2190" s="5">
        <v>166531</v>
      </c>
      <c r="O2190" s="5">
        <v>122.319</v>
      </c>
      <c r="P2190" s="6">
        <v>0.12759999999999999</v>
      </c>
      <c r="Q2190" s="5">
        <v>1914955.4</v>
      </c>
      <c r="R2190" s="1" t="s">
        <v>44</v>
      </c>
      <c r="T2190" s="1" t="s">
        <v>93</v>
      </c>
      <c r="V2190" s="1" t="s">
        <v>1606</v>
      </c>
      <c r="Y2190" s="1" t="s">
        <v>617</v>
      </c>
      <c r="Z2190" s="1" t="str">
        <f t="shared" si="102"/>
        <v>50463 328001</v>
      </c>
      <c r="AA2190" s="3">
        <f>IF(INDEX('CAMD Facility Data 2023'!$AA$2:$AE$10000,MATCH(Z2190,'CAMD Facility Data 2023'!$AE$2:$AE$10000,0),1)&gt;0,INDEX('CAMD Facility Data 2023'!$AA$2:$AE$10000,MATCH(Z2190,'CAMD Facility Data 2023'!$AE$2:$AE$10000,0),1),"")</f>
        <v>31199</v>
      </c>
      <c r="AB2190" s="5">
        <f>IF(INDEX('CAMD Facility Data 2023'!$AC$2:$AE$10000,MATCH(Z2190,'CAMD Facility Data 2023'!$AE$2:$AE$10000,0),1)&gt;0,INDEX('CAMD Facility Data 2023'!$AC$2:$AE$10000,MATCH(Z2190,'CAMD Facility Data 2023'!$AE$2:$AE$10000,0),1),"")</f>
        <v>668</v>
      </c>
      <c r="AC2190" s="1" t="str">
        <f>IF(INDEX('CAMD Facility Data 2023'!$AE$2:$AG$10000,MATCH(Z2190,'CAMD Facility Data 2023'!$AE$2:$AE$10000,0),3)&gt;0,INDEX('CAMD Facility Data 2023'!$AE$2:$AG$10000,MATCH(Z2190,'CAMD Facility Data 2023'!$AE$2:$AE$10000,0),3),"")</f>
        <v/>
      </c>
      <c r="AD2190" s="20">
        <f t="shared" si="103"/>
        <v>1.4690237853612842</v>
      </c>
      <c r="AE2190" s="25">
        <f t="shared" si="104"/>
        <v>0.32724882426926966</v>
      </c>
    </row>
    <row r="2191" spans="1:31" x14ac:dyDescent="0.2">
      <c r="A2191" s="1" t="s">
        <v>2584</v>
      </c>
      <c r="B2191" s="1" t="s">
        <v>5099</v>
      </c>
      <c r="C2191" s="1">
        <v>50463</v>
      </c>
      <c r="D2191" s="1">
        <v>328002</v>
      </c>
      <c r="F2191" s="1">
        <v>2023</v>
      </c>
      <c r="G2191" s="5">
        <v>3289</v>
      </c>
      <c r="H2191" s="5">
        <v>3285.5</v>
      </c>
      <c r="I2191" s="5">
        <v>186498.82</v>
      </c>
      <c r="O2191" s="5">
        <v>6.2779999999999996</v>
      </c>
      <c r="P2191" s="6">
        <v>7.1000000000000004E-3</v>
      </c>
      <c r="Q2191" s="5">
        <v>1796524.5330000001</v>
      </c>
      <c r="R2191" s="1" t="s">
        <v>44</v>
      </c>
      <c r="T2191" s="1" t="s">
        <v>93</v>
      </c>
      <c r="V2191" s="1" t="s">
        <v>176</v>
      </c>
      <c r="Y2191" s="1" t="s">
        <v>617</v>
      </c>
      <c r="Z2191" s="1" t="str">
        <f t="shared" si="102"/>
        <v>50463 328002</v>
      </c>
      <c r="AA2191" s="3">
        <f>IF(INDEX('CAMD Facility Data 2023'!$AA$2:$AE$10000,MATCH(Z2191,'CAMD Facility Data 2023'!$AE$2:$AE$10000,0),1)&gt;0,INDEX('CAMD Facility Data 2023'!$AA$2:$AE$10000,MATCH(Z2191,'CAMD Facility Data 2023'!$AE$2:$AE$10000,0),1),"")</f>
        <v>41537</v>
      </c>
      <c r="AB2191" s="5">
        <f>IF(INDEX('CAMD Facility Data 2023'!$AC$2:$AE$10000,MATCH(Z2191,'CAMD Facility Data 2023'!$AE$2:$AE$10000,0),1)&gt;0,INDEX('CAMD Facility Data 2023'!$AC$2:$AE$10000,MATCH(Z2191,'CAMD Facility Data 2023'!$AE$2:$AE$10000,0),1),"")</f>
        <v>650</v>
      </c>
      <c r="AC2191" s="1" t="str">
        <f>IF(INDEX('CAMD Facility Data 2023'!$AE$2:$AG$10000,MATCH(Z2191,'CAMD Facility Data 2023'!$AE$2:$AE$10000,0),3)&gt;0,INDEX('CAMD Facility Data 2023'!$AE$2:$AG$10000,MATCH(Z2191,'CAMD Facility Data 2023'!$AE$2:$AE$10000,0),3),"")</f>
        <v>Y</v>
      </c>
      <c r="AD2191" s="20">
        <f t="shared" si="103"/>
        <v>6.7324822752229743E-2</v>
      </c>
      <c r="AE2191" s="25">
        <f t="shared" si="104"/>
        <v>0.3155118603793467</v>
      </c>
    </row>
    <row r="2192" spans="1:31" x14ac:dyDescent="0.2">
      <c r="A2192" s="1" t="s">
        <v>2089</v>
      </c>
      <c r="B2192" s="1" t="s">
        <v>5105</v>
      </c>
      <c r="C2192" s="1">
        <v>50472</v>
      </c>
      <c r="D2192" s="1" t="s">
        <v>5106</v>
      </c>
      <c r="F2192" s="1">
        <v>2023</v>
      </c>
      <c r="G2192" s="5">
        <v>1120</v>
      </c>
      <c r="H2192" s="5">
        <v>1104</v>
      </c>
      <c r="J2192" s="5">
        <v>130621.75</v>
      </c>
      <c r="M2192" s="5">
        <v>12157.2</v>
      </c>
      <c r="N2192" s="6">
        <v>5.9400000000000001E-2</v>
      </c>
      <c r="O2192" s="5">
        <v>4.55</v>
      </c>
      <c r="P2192" s="6">
        <v>4.2700000000000002E-2</v>
      </c>
      <c r="Q2192" s="5">
        <v>204573.72500000001</v>
      </c>
      <c r="R2192" s="1" t="s">
        <v>284</v>
      </c>
      <c r="T2192" s="1" t="s">
        <v>89</v>
      </c>
      <c r="V2192" s="1" t="s">
        <v>669</v>
      </c>
      <c r="Y2192" s="1" t="s">
        <v>617</v>
      </c>
      <c r="Z2192" s="1" t="str">
        <f t="shared" si="102"/>
        <v>50472 R1B01</v>
      </c>
      <c r="AA2192" s="3">
        <f>IF(INDEX('CAMD Facility Data 2023'!$AA$2:$AE$10000,MATCH(Z2192,'CAMD Facility Data 2023'!$AE$2:$AE$10000,0),1)&gt;0,INDEX('CAMD Facility Data 2023'!$AA$2:$AE$10000,MATCH(Z2192,'CAMD Facility Data 2023'!$AE$2:$AE$10000,0),1),"")</f>
        <v>29221</v>
      </c>
      <c r="AB2192" s="5">
        <f>IF(INDEX('CAMD Facility Data 2023'!$AC$2:$AE$10000,MATCH(Z2192,'CAMD Facility Data 2023'!$AE$2:$AE$10000,0),1)&gt;0,INDEX('CAMD Facility Data 2023'!$AC$2:$AE$10000,MATCH(Z2192,'CAMD Facility Data 2023'!$AE$2:$AE$10000,0),1),"")</f>
        <v>440</v>
      </c>
      <c r="AC2192" s="1" t="str">
        <f>IF(INDEX('CAMD Facility Data 2023'!$AE$2:$AG$10000,MATCH(Z2192,'CAMD Facility Data 2023'!$AE$2:$AE$10000,0),3)&gt;0,INDEX('CAMD Facility Data 2023'!$AE$2:$AG$10000,MATCH(Z2192,'CAMD Facility Data 2023'!$AE$2:$AE$10000,0),3),"")</f>
        <v>Y</v>
      </c>
      <c r="AD2192" s="20" t="str">
        <f t="shared" si="103"/>
        <v/>
      </c>
      <c r="AE2192" s="25">
        <f t="shared" si="104"/>
        <v>5.3075374896222501E-2</v>
      </c>
    </row>
    <row r="2193" spans="1:31" x14ac:dyDescent="0.2">
      <c r="A2193" s="1" t="s">
        <v>2089</v>
      </c>
      <c r="B2193" s="1" t="s">
        <v>5105</v>
      </c>
      <c r="C2193" s="1">
        <v>50472</v>
      </c>
      <c r="D2193" s="1" t="s">
        <v>5111</v>
      </c>
      <c r="F2193" s="1">
        <v>2023</v>
      </c>
      <c r="G2193" s="5">
        <v>0</v>
      </c>
      <c r="H2193" s="5">
        <v>0</v>
      </c>
      <c r="R2193" s="1" t="s">
        <v>44</v>
      </c>
      <c r="T2193" s="1" t="s">
        <v>89</v>
      </c>
      <c r="V2193" s="1" t="s">
        <v>669</v>
      </c>
      <c r="Y2193" s="1" t="s">
        <v>617</v>
      </c>
      <c r="Z2193" s="1" t="str">
        <f t="shared" si="102"/>
        <v>50472 R1B02</v>
      </c>
      <c r="AA2193" s="3">
        <f>IF(INDEX('CAMD Facility Data 2023'!$AA$2:$AE$10000,MATCH(Z2193,'CAMD Facility Data 2023'!$AE$2:$AE$10000,0),1)&gt;0,INDEX('CAMD Facility Data 2023'!$AA$2:$AE$10000,MATCH(Z2193,'CAMD Facility Data 2023'!$AE$2:$AE$10000,0),1),"")</f>
        <v>29221</v>
      </c>
      <c r="AB2193" s="5">
        <f>IF(INDEX('CAMD Facility Data 2023'!$AC$2:$AE$10000,MATCH(Z2193,'CAMD Facility Data 2023'!$AE$2:$AE$10000,0),1)&gt;0,INDEX('CAMD Facility Data 2023'!$AC$2:$AE$10000,MATCH(Z2193,'CAMD Facility Data 2023'!$AE$2:$AE$10000,0),1),"")</f>
        <v>440</v>
      </c>
      <c r="AC2193" s="1" t="str">
        <f>IF(INDEX('CAMD Facility Data 2023'!$AE$2:$AG$10000,MATCH(Z2193,'CAMD Facility Data 2023'!$AE$2:$AE$10000,0),3)&gt;0,INDEX('CAMD Facility Data 2023'!$AE$2:$AG$10000,MATCH(Z2193,'CAMD Facility Data 2023'!$AE$2:$AE$10000,0),3),"")</f>
        <v>Y</v>
      </c>
      <c r="AD2193" s="20" t="str">
        <f t="shared" si="103"/>
        <v/>
      </c>
      <c r="AE2193" s="25">
        <f t="shared" si="104"/>
        <v>0</v>
      </c>
    </row>
    <row r="2194" spans="1:31" x14ac:dyDescent="0.2">
      <c r="A2194" s="1" t="s">
        <v>1153</v>
      </c>
      <c r="B2194" s="1" t="s">
        <v>5112</v>
      </c>
      <c r="C2194" s="1">
        <v>50555</v>
      </c>
      <c r="D2194" s="1">
        <v>1</v>
      </c>
      <c r="F2194" s="1">
        <v>2023</v>
      </c>
      <c r="G2194" s="5">
        <v>77</v>
      </c>
      <c r="H2194" s="5">
        <v>69.33</v>
      </c>
      <c r="I2194" s="5">
        <v>3610.72</v>
      </c>
      <c r="K2194" s="5">
        <v>1.0649999999999999</v>
      </c>
      <c r="L2194" s="5">
        <v>4.1099999999999998E-2</v>
      </c>
      <c r="M2194" s="5">
        <v>4207.3469999999998</v>
      </c>
      <c r="N2194" s="6">
        <v>8.1000000000000003E-2</v>
      </c>
      <c r="O2194" s="5">
        <v>5.3250000000000002</v>
      </c>
      <c r="P2194" s="6">
        <v>0.20480000000000001</v>
      </c>
      <c r="Q2194" s="5">
        <v>51858.47</v>
      </c>
      <c r="R2194" s="1" t="s">
        <v>94</v>
      </c>
      <c r="T2194" s="1" t="s">
        <v>71</v>
      </c>
      <c r="V2194" s="1" t="s">
        <v>95</v>
      </c>
      <c r="Y2194" s="1" t="s">
        <v>2319</v>
      </c>
      <c r="Z2194" s="1" t="str">
        <f t="shared" si="102"/>
        <v>50555 1</v>
      </c>
      <c r="AA2194" s="3">
        <f>IF(INDEX('CAMD Facility Data 2023'!$AA$2:$AE$10000,MATCH(Z2194,'CAMD Facility Data 2023'!$AE$2:$AE$10000,0),1)&gt;0,INDEX('CAMD Facility Data 2023'!$AA$2:$AE$10000,MATCH(Z2194,'CAMD Facility Data 2023'!$AE$2:$AE$10000,0),1),"")</f>
        <v>33234</v>
      </c>
      <c r="AB2194" s="5">
        <f>IF(INDEX('CAMD Facility Data 2023'!$AC$2:$AE$10000,MATCH(Z2194,'CAMD Facility Data 2023'!$AE$2:$AE$10000,0),1)&gt;0,INDEX('CAMD Facility Data 2023'!$AC$2:$AE$10000,MATCH(Z2194,'CAMD Facility Data 2023'!$AE$2:$AE$10000,0),1),"")</f>
        <v>1136</v>
      </c>
      <c r="AC2194" s="1" t="str">
        <f>IF(INDEX('CAMD Facility Data 2023'!$AE$2:$AG$10000,MATCH(Z2194,'CAMD Facility Data 2023'!$AE$2:$AE$10000,0),3)&gt;0,INDEX('CAMD Facility Data 2023'!$AE$2:$AG$10000,MATCH(Z2194,'CAMD Facility Data 2023'!$AE$2:$AE$10000,0),3),"")</f>
        <v/>
      </c>
      <c r="AD2194" s="20">
        <f t="shared" si="103"/>
        <v>2.9495502282093322</v>
      </c>
      <c r="AE2194" s="25">
        <f t="shared" si="104"/>
        <v>5.2111942488262909E-3</v>
      </c>
    </row>
    <row r="2195" spans="1:31" x14ac:dyDescent="0.2">
      <c r="A2195" s="1" t="s">
        <v>1153</v>
      </c>
      <c r="B2195" s="1" t="s">
        <v>5112</v>
      </c>
      <c r="C2195" s="1">
        <v>50555</v>
      </c>
      <c r="D2195" s="1">
        <v>2</v>
      </c>
      <c r="F2195" s="1">
        <v>2023</v>
      </c>
      <c r="G2195" s="5">
        <v>67</v>
      </c>
      <c r="H2195" s="5">
        <v>57.39</v>
      </c>
      <c r="I2195" s="5">
        <v>1430.5</v>
      </c>
      <c r="K2195" s="5">
        <v>2.4159999999999999</v>
      </c>
      <c r="L2195" s="5">
        <v>0.20949999999999999</v>
      </c>
      <c r="M2195" s="5">
        <v>1862.5</v>
      </c>
      <c r="N2195" s="6">
        <v>8.0299999999999996E-2</v>
      </c>
      <c r="O2195" s="5">
        <v>2.2770000000000001</v>
      </c>
      <c r="P2195" s="6">
        <v>0.1978</v>
      </c>
      <c r="Q2195" s="5">
        <v>23008.3</v>
      </c>
      <c r="R2195" s="1" t="s">
        <v>94</v>
      </c>
      <c r="T2195" s="1" t="s">
        <v>71</v>
      </c>
      <c r="V2195" s="1" t="s">
        <v>95</v>
      </c>
      <c r="Y2195" s="1" t="s">
        <v>2319</v>
      </c>
      <c r="Z2195" s="1" t="str">
        <f t="shared" si="102"/>
        <v>50555 2</v>
      </c>
      <c r="AA2195" s="3">
        <f>IF(INDEX('CAMD Facility Data 2023'!$AA$2:$AE$10000,MATCH(Z2195,'CAMD Facility Data 2023'!$AE$2:$AE$10000,0),1)&gt;0,INDEX('CAMD Facility Data 2023'!$AA$2:$AE$10000,MATCH(Z2195,'CAMD Facility Data 2023'!$AE$2:$AE$10000,0),1),"")</f>
        <v>33234</v>
      </c>
      <c r="AB2195" s="5">
        <f>IF(INDEX('CAMD Facility Data 2023'!$AC$2:$AE$10000,MATCH(Z2195,'CAMD Facility Data 2023'!$AE$2:$AE$10000,0),1)&gt;0,INDEX('CAMD Facility Data 2023'!$AC$2:$AE$10000,MATCH(Z2195,'CAMD Facility Data 2023'!$AE$2:$AE$10000,0),1),"")</f>
        <v>541</v>
      </c>
      <c r="AC2195" s="1" t="str">
        <f>IF(INDEX('CAMD Facility Data 2023'!$AE$2:$AG$10000,MATCH(Z2195,'CAMD Facility Data 2023'!$AE$2:$AE$10000,0),3)&gt;0,INDEX('CAMD Facility Data 2023'!$AE$2:$AG$10000,MATCH(Z2195,'CAMD Facility Data 2023'!$AE$2:$AE$10000,0),3),"")</f>
        <v/>
      </c>
      <c r="AD2195" s="20">
        <f t="shared" si="103"/>
        <v>3.1835022719328907</v>
      </c>
      <c r="AE2195" s="25">
        <f t="shared" si="104"/>
        <v>4.8549320976713174E-3</v>
      </c>
    </row>
    <row r="2196" spans="1:31" x14ac:dyDescent="0.2">
      <c r="A2196" s="1" t="s">
        <v>335</v>
      </c>
      <c r="B2196" s="1" t="s">
        <v>5116</v>
      </c>
      <c r="C2196" s="1">
        <v>50558</v>
      </c>
      <c r="D2196" s="1" t="s">
        <v>5117</v>
      </c>
      <c r="F2196" s="1">
        <v>2023</v>
      </c>
      <c r="G2196" s="5">
        <v>6045</v>
      </c>
      <c r="H2196" s="5">
        <v>5893.96</v>
      </c>
      <c r="I2196" s="5">
        <v>656566.42000000004</v>
      </c>
      <c r="K2196" s="5">
        <v>1.577</v>
      </c>
      <c r="L2196" s="5">
        <v>1E-3</v>
      </c>
      <c r="M2196" s="5">
        <v>312369.86499999999</v>
      </c>
      <c r="N2196" s="6">
        <v>5.8999999999999997E-2</v>
      </c>
      <c r="O2196" s="5">
        <v>279.96199999999999</v>
      </c>
      <c r="P2196" s="6">
        <v>0.10680000000000001</v>
      </c>
      <c r="Q2196" s="5">
        <v>5256208</v>
      </c>
      <c r="R2196" s="1" t="s">
        <v>44</v>
      </c>
      <c r="T2196" s="1" t="s">
        <v>71</v>
      </c>
      <c r="V2196" s="1" t="s">
        <v>1606</v>
      </c>
      <c r="Y2196" s="1" t="s">
        <v>346</v>
      </c>
      <c r="Z2196" s="1" t="str">
        <f t="shared" si="102"/>
        <v>50558 CC01</v>
      </c>
      <c r="AA2196" s="3">
        <f>IF(INDEX('CAMD Facility Data 2023'!$AA$2:$AE$10000,MATCH(Z2196,'CAMD Facility Data 2023'!$AE$2:$AE$10000,0),1)&gt;0,INDEX('CAMD Facility Data 2023'!$AA$2:$AE$10000,MATCH(Z2196,'CAMD Facility Data 2023'!$AE$2:$AE$10000,0),1),"")</f>
        <v>32752</v>
      </c>
      <c r="AB2196" s="5">
        <f>IF(INDEX('CAMD Facility Data 2023'!$AC$2:$AE$10000,MATCH(Z2196,'CAMD Facility Data 2023'!$AE$2:$AE$10000,0),1)&gt;0,INDEX('CAMD Facility Data 2023'!$AC$2:$AE$10000,MATCH(Z2196,'CAMD Facility Data 2023'!$AE$2:$AE$10000,0),1),"")</f>
        <v>1200</v>
      </c>
      <c r="AC2196" s="1" t="str">
        <f>IF(INDEX('CAMD Facility Data 2023'!$AE$2:$AG$10000,MATCH(Z2196,'CAMD Facility Data 2023'!$AE$2:$AE$10000,0),3)&gt;0,INDEX('CAMD Facility Data 2023'!$AE$2:$AG$10000,MATCH(Z2196,'CAMD Facility Data 2023'!$AE$2:$AE$10000,0),3),"")</f>
        <v/>
      </c>
      <c r="AD2196" s="20">
        <f t="shared" si="103"/>
        <v>0.85280633145996099</v>
      </c>
      <c r="AE2196" s="25">
        <f t="shared" si="104"/>
        <v>0.50001978691019788</v>
      </c>
    </row>
    <row r="2197" spans="1:31" x14ac:dyDescent="0.2">
      <c r="A2197" s="1" t="s">
        <v>1980</v>
      </c>
      <c r="B2197" s="1" t="s">
        <v>5119</v>
      </c>
      <c r="C2197" s="1">
        <v>50561</v>
      </c>
      <c r="D2197" s="1">
        <v>1</v>
      </c>
      <c r="F2197" s="1">
        <v>2023</v>
      </c>
      <c r="G2197" s="5">
        <v>1372</v>
      </c>
      <c r="H2197" s="5">
        <v>1270.07</v>
      </c>
      <c r="I2197" s="5">
        <v>136838.82999999999</v>
      </c>
      <c r="K2197" s="5">
        <v>0.34499999999999997</v>
      </c>
      <c r="L2197" s="5">
        <v>1E-3</v>
      </c>
      <c r="M2197" s="5">
        <v>68218.811000000002</v>
      </c>
      <c r="N2197" s="6">
        <v>5.91E-2</v>
      </c>
      <c r="O2197" s="5">
        <v>16.481000000000002</v>
      </c>
      <c r="P2197" s="6">
        <v>3.7499999999999999E-2</v>
      </c>
      <c r="Q2197" s="5">
        <v>1147524.308</v>
      </c>
      <c r="R2197" s="1" t="s">
        <v>44</v>
      </c>
      <c r="S2197" s="1" t="s">
        <v>94</v>
      </c>
      <c r="T2197" s="1" t="s">
        <v>71</v>
      </c>
      <c r="V2197" s="1" t="s">
        <v>183</v>
      </c>
      <c r="Y2197" s="1" t="s">
        <v>1515</v>
      </c>
      <c r="Z2197" s="1" t="str">
        <f t="shared" si="102"/>
        <v>50561 1</v>
      </c>
      <c r="AA2197" s="3">
        <f>IF(INDEX('CAMD Facility Data 2023'!$AA$2:$AE$10000,MATCH(Z2197,'CAMD Facility Data 2023'!$AE$2:$AE$10000,0),1)&gt;0,INDEX('CAMD Facility Data 2023'!$AA$2:$AE$10000,MATCH(Z2197,'CAMD Facility Data 2023'!$AE$2:$AE$10000,0),1),"")</f>
        <v>33359</v>
      </c>
      <c r="AB2197" s="5">
        <f>IF(INDEX('CAMD Facility Data 2023'!$AC$2:$AE$10000,MATCH(Z2197,'CAMD Facility Data 2023'!$AE$2:$AE$10000,0),1)&gt;0,INDEX('CAMD Facility Data 2023'!$AC$2:$AE$10000,MATCH(Z2197,'CAMD Facility Data 2023'!$AE$2:$AE$10000,0),1),"")</f>
        <v>1675</v>
      </c>
      <c r="AC2197" s="1" t="str">
        <f>IF(INDEX('CAMD Facility Data 2023'!$AE$2:$AG$10000,MATCH(Z2197,'CAMD Facility Data 2023'!$AE$2:$AE$10000,0),3)&gt;0,INDEX('CAMD Facility Data 2023'!$AE$2:$AG$10000,MATCH(Z2197,'CAMD Facility Data 2023'!$AE$2:$AE$10000,0),3),"")</f>
        <v/>
      </c>
      <c r="AD2197" s="20">
        <f t="shared" si="103"/>
        <v>0.24088191926224453</v>
      </c>
      <c r="AE2197" s="25">
        <f t="shared" si="104"/>
        <v>7.8206522728821642E-2</v>
      </c>
    </row>
    <row r="2198" spans="1:31" x14ac:dyDescent="0.2">
      <c r="A2198" s="1" t="s">
        <v>1980</v>
      </c>
      <c r="B2198" s="1" t="s">
        <v>5119</v>
      </c>
      <c r="C2198" s="1">
        <v>50561</v>
      </c>
      <c r="D2198" s="1">
        <v>2</v>
      </c>
      <c r="F2198" s="1">
        <v>2023</v>
      </c>
      <c r="G2198" s="5">
        <v>1125</v>
      </c>
      <c r="H2198" s="5">
        <v>1012.96</v>
      </c>
      <c r="I2198" s="5">
        <v>111128.64</v>
      </c>
      <c r="K2198" s="5">
        <v>0.26900000000000002</v>
      </c>
      <c r="L2198" s="5">
        <v>1E-3</v>
      </c>
      <c r="M2198" s="5">
        <v>53288.271999999997</v>
      </c>
      <c r="N2198" s="6">
        <v>5.91E-2</v>
      </c>
      <c r="O2198" s="5">
        <v>12.587</v>
      </c>
      <c r="P2198" s="6">
        <v>4.0399999999999998E-2</v>
      </c>
      <c r="Q2198" s="5">
        <v>896434.62100000004</v>
      </c>
      <c r="R2198" s="1" t="s">
        <v>44</v>
      </c>
      <c r="S2198" s="1" t="s">
        <v>94</v>
      </c>
      <c r="T2198" s="1" t="s">
        <v>71</v>
      </c>
      <c r="V2198" s="1" t="s">
        <v>183</v>
      </c>
      <c r="Y2198" s="1" t="s">
        <v>1515</v>
      </c>
      <c r="Z2198" s="1" t="str">
        <f t="shared" si="102"/>
        <v>50561 2</v>
      </c>
      <c r="AA2198" s="3">
        <f>IF(INDEX('CAMD Facility Data 2023'!$AA$2:$AE$10000,MATCH(Z2198,'CAMD Facility Data 2023'!$AE$2:$AE$10000,0),1)&gt;0,INDEX('CAMD Facility Data 2023'!$AA$2:$AE$10000,MATCH(Z2198,'CAMD Facility Data 2023'!$AE$2:$AE$10000,0),1),"")</f>
        <v>33359</v>
      </c>
      <c r="AB2198" s="5">
        <f>IF(INDEX('CAMD Facility Data 2023'!$AC$2:$AE$10000,MATCH(Z2198,'CAMD Facility Data 2023'!$AE$2:$AE$10000,0),1)&gt;0,INDEX('CAMD Facility Data 2023'!$AC$2:$AE$10000,MATCH(Z2198,'CAMD Facility Data 2023'!$AE$2:$AE$10000,0),1),"")</f>
        <v>1576</v>
      </c>
      <c r="AC2198" s="1" t="str">
        <f>IF(INDEX('CAMD Facility Data 2023'!$AE$2:$AG$10000,MATCH(Z2198,'CAMD Facility Data 2023'!$AE$2:$AE$10000,0),3)&gt;0,INDEX('CAMD Facility Data 2023'!$AE$2:$AG$10000,MATCH(Z2198,'CAMD Facility Data 2023'!$AE$2:$AE$10000,0),3),"")</f>
        <v/>
      </c>
      <c r="AD2198" s="20">
        <f t="shared" si="103"/>
        <v>0.22653026258577447</v>
      </c>
      <c r="AE2198" s="25">
        <f t="shared" si="104"/>
        <v>6.4931928484922241E-2</v>
      </c>
    </row>
    <row r="2199" spans="1:31" x14ac:dyDescent="0.2">
      <c r="A2199" s="1" t="s">
        <v>2584</v>
      </c>
      <c r="B2199" s="1" t="s">
        <v>5123</v>
      </c>
      <c r="C2199" s="1">
        <v>50611</v>
      </c>
      <c r="D2199" s="1">
        <v>31</v>
      </c>
      <c r="F2199" s="1">
        <v>2023</v>
      </c>
      <c r="G2199" s="5">
        <v>7255</v>
      </c>
      <c r="H2199" s="5">
        <v>7234.64</v>
      </c>
      <c r="I2199" s="5">
        <v>179801.85</v>
      </c>
      <c r="K2199" s="5">
        <v>301.66300000000001</v>
      </c>
      <c r="L2199" s="5">
        <v>0.21490000000000001</v>
      </c>
      <c r="M2199" s="5">
        <v>386253.76</v>
      </c>
      <c r="N2199" s="6">
        <v>0.1167</v>
      </c>
      <c r="O2199" s="5">
        <v>247.19499999999999</v>
      </c>
      <c r="P2199" s="6">
        <v>0.14879999999999999</v>
      </c>
      <c r="Q2199" s="5">
        <v>3269930.6460000002</v>
      </c>
      <c r="R2199" s="1" t="s">
        <v>55</v>
      </c>
      <c r="S2199" s="1" t="s">
        <v>94</v>
      </c>
      <c r="T2199" s="1" t="s">
        <v>885</v>
      </c>
      <c r="U2199" s="1" t="s">
        <v>1069</v>
      </c>
      <c r="W2199" s="1" t="s">
        <v>232</v>
      </c>
      <c r="Y2199" s="1" t="s">
        <v>682</v>
      </c>
      <c r="Z2199" s="1" t="str">
        <f t="shared" si="102"/>
        <v>50611 31</v>
      </c>
      <c r="AA2199" s="3">
        <f>IF(INDEX('CAMD Facility Data 2023'!$AA$2:$AE$10000,MATCH(Z2199,'CAMD Facility Data 2023'!$AE$2:$AE$10000,0),1)&gt;0,INDEX('CAMD Facility Data 2023'!$AA$2:$AE$10000,MATCH(Z2199,'CAMD Facility Data 2023'!$AE$2:$AE$10000,0),1),"")</f>
        <v>31789</v>
      </c>
      <c r="AB2199" s="5">
        <f>IF(INDEX('CAMD Facility Data 2023'!$AC$2:$AE$10000,MATCH(Z2199,'CAMD Facility Data 2023'!$AE$2:$AE$10000,0),1)&gt;0,INDEX('CAMD Facility Data 2023'!$AC$2:$AE$10000,MATCH(Z2199,'CAMD Facility Data 2023'!$AE$2:$AE$10000,0),1),"")</f>
        <v>615</v>
      </c>
      <c r="AC2199" s="1" t="str">
        <f>IF(INDEX('CAMD Facility Data 2023'!$AE$2:$AG$10000,MATCH(Z2199,'CAMD Facility Data 2023'!$AE$2:$AE$10000,0),3)&gt;0,INDEX('CAMD Facility Data 2023'!$AE$2:$AG$10000,MATCH(Z2199,'CAMD Facility Data 2023'!$AE$2:$AE$10000,0),3),"")</f>
        <v/>
      </c>
      <c r="AD2199" s="20">
        <f t="shared" si="103"/>
        <v>2.7496380042808233</v>
      </c>
      <c r="AE2199" s="25">
        <f t="shared" si="104"/>
        <v>0.60695894977168952</v>
      </c>
    </row>
    <row r="2200" spans="1:31" x14ac:dyDescent="0.2">
      <c r="A2200" s="1" t="s">
        <v>370</v>
      </c>
      <c r="B2200" s="1" t="s">
        <v>5126</v>
      </c>
      <c r="C2200" s="1">
        <v>50612</v>
      </c>
      <c r="D2200" s="1" t="s">
        <v>280</v>
      </c>
      <c r="F2200" s="1">
        <v>2023</v>
      </c>
      <c r="G2200" s="5">
        <v>1136</v>
      </c>
      <c r="H2200" s="5">
        <v>1026.77</v>
      </c>
      <c r="I2200" s="5">
        <v>38382.39</v>
      </c>
      <c r="K2200" s="5">
        <v>0.111</v>
      </c>
      <c r="L2200" s="5">
        <v>1E-3</v>
      </c>
      <c r="M2200" s="5">
        <v>21988.288</v>
      </c>
      <c r="N2200" s="6">
        <v>5.91E-2</v>
      </c>
      <c r="O2200" s="5">
        <v>27.606000000000002</v>
      </c>
      <c r="P2200" s="6">
        <v>0.13780000000000001</v>
      </c>
      <c r="Q2200" s="5">
        <v>370092.179</v>
      </c>
      <c r="R2200" s="1" t="s">
        <v>44</v>
      </c>
      <c r="T2200" s="1" t="s">
        <v>93</v>
      </c>
      <c r="V2200" s="1" t="s">
        <v>223</v>
      </c>
      <c r="Y2200" s="1" t="s">
        <v>247</v>
      </c>
      <c r="Z2200" s="1" t="str">
        <f t="shared" si="102"/>
        <v>50612 GT1</v>
      </c>
      <c r="AA2200" s="3">
        <f>IF(INDEX('CAMD Facility Data 2023'!$AA$2:$AE$10000,MATCH(Z2200,'CAMD Facility Data 2023'!$AE$2:$AE$10000,0),1)&gt;0,INDEX('CAMD Facility Data 2023'!$AA$2:$AE$10000,MATCH(Z2200,'CAMD Facility Data 2023'!$AE$2:$AE$10000,0),1),"")</f>
        <v>33298</v>
      </c>
      <c r="AB2200" s="5">
        <f>IF(INDEX('CAMD Facility Data 2023'!$AC$2:$AE$10000,MATCH(Z2200,'CAMD Facility Data 2023'!$AE$2:$AE$10000,0),1)&gt;0,INDEX('CAMD Facility Data 2023'!$AC$2:$AE$10000,MATCH(Z2200,'CAMD Facility Data 2023'!$AE$2:$AE$10000,0),1),"")</f>
        <v>432</v>
      </c>
      <c r="AC2200" s="1" t="str">
        <f>IF(INDEX('CAMD Facility Data 2023'!$AE$2:$AG$10000,MATCH(Z2200,'CAMD Facility Data 2023'!$AE$2:$AE$10000,0),3)&gt;0,INDEX('CAMD Facility Data 2023'!$AE$2:$AG$10000,MATCH(Z2200,'CAMD Facility Data 2023'!$AE$2:$AE$10000,0),3),"")</f>
        <v>Y</v>
      </c>
      <c r="AD2200" s="20">
        <f t="shared" si="103"/>
        <v>1.4384721743487052</v>
      </c>
      <c r="AE2200" s="25">
        <f t="shared" si="104"/>
        <v>9.7796216757568069E-2</v>
      </c>
    </row>
    <row r="2201" spans="1:31" x14ac:dyDescent="0.2">
      <c r="A2201" s="1" t="s">
        <v>383</v>
      </c>
      <c r="B2201" s="1" t="s">
        <v>5128</v>
      </c>
      <c r="C2201" s="1">
        <v>50625</v>
      </c>
      <c r="D2201" s="1" t="s">
        <v>5129</v>
      </c>
      <c r="F2201" s="1">
        <v>2023</v>
      </c>
      <c r="G2201" s="5">
        <v>8430</v>
      </c>
      <c r="H2201" s="5">
        <v>8426.2999999999993</v>
      </c>
      <c r="I2201" s="5">
        <v>2052472.19</v>
      </c>
      <c r="K2201" s="5">
        <v>2.8479999999999999</v>
      </c>
      <c r="L2201" s="5">
        <v>2.0000000000000001E-4</v>
      </c>
      <c r="M2201" s="5">
        <v>824667.97100000002</v>
      </c>
      <c r="N2201" s="6">
        <v>5.9499999999999997E-2</v>
      </c>
      <c r="O2201" s="5">
        <v>68.611000000000004</v>
      </c>
      <c r="P2201" s="6">
        <v>0.01</v>
      </c>
      <c r="Q2201" s="5">
        <v>13830016.282</v>
      </c>
      <c r="R2201" s="1" t="s">
        <v>284</v>
      </c>
      <c r="S2201" s="1" t="s">
        <v>1432</v>
      </c>
      <c r="T2201" s="1" t="s">
        <v>71</v>
      </c>
      <c r="V2201" s="1" t="s">
        <v>64</v>
      </c>
      <c r="Y2201" s="1" t="s">
        <v>346</v>
      </c>
      <c r="Z2201" s="1" t="str">
        <f t="shared" si="102"/>
        <v>50625 61STK1</v>
      </c>
      <c r="AA2201" s="3">
        <f>IF(INDEX('CAMD Facility Data 2023'!$AA$2:$AE$10000,MATCH(Z2201,'CAMD Facility Data 2023'!$AE$2:$AE$10000,0),1)&gt;0,INDEX('CAMD Facility Data 2023'!$AA$2:$AE$10000,MATCH(Z2201,'CAMD Facility Data 2023'!$AE$2:$AE$10000,0),1),"")</f>
        <v>38517</v>
      </c>
      <c r="AB2201" s="5">
        <f>IF(INDEX('CAMD Facility Data 2023'!$AC$2:$AE$10000,MATCH(Z2201,'CAMD Facility Data 2023'!$AE$2:$AE$10000,0),1)&gt;0,INDEX('CAMD Facility Data 2023'!$AC$2:$AE$10000,MATCH(Z2201,'CAMD Facility Data 2023'!$AE$2:$AE$10000,0),1),"")</f>
        <v>2531</v>
      </c>
      <c r="AC2201" s="1" t="str">
        <f>IF(INDEX('CAMD Facility Data 2023'!$AE$2:$AG$10000,MATCH(Z2201,'CAMD Facility Data 2023'!$AE$2:$AE$10000,0),3)&gt;0,INDEX('CAMD Facility Data 2023'!$AE$2:$AG$10000,MATCH(Z2201,'CAMD Facility Data 2023'!$AE$2:$AE$10000,0),3),"")</f>
        <v>Y</v>
      </c>
      <c r="AD2201" s="20">
        <f t="shared" si="103"/>
        <v>6.6856935099325276E-2</v>
      </c>
      <c r="AE2201" s="25">
        <f t="shared" si="104"/>
        <v>0.62377280994210604</v>
      </c>
    </row>
    <row r="2202" spans="1:31" x14ac:dyDescent="0.2">
      <c r="A2202" s="1" t="s">
        <v>383</v>
      </c>
      <c r="B2202" s="1" t="s">
        <v>5128</v>
      </c>
      <c r="C2202" s="1">
        <v>50625</v>
      </c>
      <c r="D2202" s="1" t="s">
        <v>5133</v>
      </c>
      <c r="F2202" s="1">
        <v>2023</v>
      </c>
      <c r="G2202" s="5">
        <v>7368</v>
      </c>
      <c r="H2202" s="5">
        <v>7364.53</v>
      </c>
      <c r="I2202" s="5">
        <v>1712314.44</v>
      </c>
      <c r="K2202" s="5">
        <v>2.4039999999999999</v>
      </c>
      <c r="L2202" s="5">
        <v>2.9999999999999997E-4</v>
      </c>
      <c r="M2202" s="5">
        <v>655602.28099999996</v>
      </c>
      <c r="N2202" s="6">
        <v>5.96E-2</v>
      </c>
      <c r="O2202" s="5">
        <v>55.887</v>
      </c>
      <c r="P2202" s="6">
        <v>1.04E-2</v>
      </c>
      <c r="Q2202" s="5">
        <v>10976645.052999999</v>
      </c>
      <c r="R2202" s="1" t="s">
        <v>284</v>
      </c>
      <c r="S2202" s="1" t="s">
        <v>1432</v>
      </c>
      <c r="T2202" s="1" t="s">
        <v>71</v>
      </c>
      <c r="V2202" s="1" t="s">
        <v>64</v>
      </c>
      <c r="Y2202" s="1" t="s">
        <v>346</v>
      </c>
      <c r="Z2202" s="1" t="str">
        <f t="shared" si="102"/>
        <v>50625 61STK2</v>
      </c>
      <c r="AA2202" s="3">
        <f>IF(INDEX('CAMD Facility Data 2023'!$AA$2:$AE$10000,MATCH(Z2202,'CAMD Facility Data 2023'!$AE$2:$AE$10000,0),1)&gt;0,INDEX('CAMD Facility Data 2023'!$AA$2:$AE$10000,MATCH(Z2202,'CAMD Facility Data 2023'!$AE$2:$AE$10000,0),1),"")</f>
        <v>38421</v>
      </c>
      <c r="AB2202" s="5">
        <f>IF(INDEX('CAMD Facility Data 2023'!$AC$2:$AE$10000,MATCH(Z2202,'CAMD Facility Data 2023'!$AE$2:$AE$10000,0),1)&gt;0,INDEX('CAMD Facility Data 2023'!$AC$2:$AE$10000,MATCH(Z2202,'CAMD Facility Data 2023'!$AE$2:$AE$10000,0),1),"")</f>
        <v>2531</v>
      </c>
      <c r="AC2202" s="1" t="str">
        <f>IF(INDEX('CAMD Facility Data 2023'!$AE$2:$AG$10000,MATCH(Z2202,'CAMD Facility Data 2023'!$AE$2:$AE$10000,0),3)&gt;0,INDEX('CAMD Facility Data 2023'!$AE$2:$AG$10000,MATCH(Z2202,'CAMD Facility Data 2023'!$AE$2:$AE$10000,0),3),"")</f>
        <v>Y</v>
      </c>
      <c r="AD2202" s="20">
        <f t="shared" si="103"/>
        <v>6.5276562171606753E-2</v>
      </c>
      <c r="AE2202" s="25">
        <f t="shared" si="104"/>
        <v>0.49507770553808572</v>
      </c>
    </row>
    <row r="2203" spans="1:31" x14ac:dyDescent="0.2">
      <c r="A2203" s="1" t="s">
        <v>383</v>
      </c>
      <c r="B2203" s="1" t="s">
        <v>5128</v>
      </c>
      <c r="C2203" s="1">
        <v>50625</v>
      </c>
      <c r="D2203" s="1" t="s">
        <v>5135</v>
      </c>
      <c r="F2203" s="1">
        <v>2023</v>
      </c>
      <c r="G2203" s="5">
        <v>8569</v>
      </c>
      <c r="H2203" s="5">
        <v>8567.27</v>
      </c>
      <c r="I2203" s="5">
        <v>2078996.89</v>
      </c>
      <c r="K2203" s="5">
        <v>2.7080000000000002</v>
      </c>
      <c r="L2203" s="5">
        <v>1E-4</v>
      </c>
      <c r="M2203" s="5">
        <v>817553.12199999997</v>
      </c>
      <c r="N2203" s="6">
        <v>5.9200000000000003E-2</v>
      </c>
      <c r="O2203" s="5">
        <v>52.292999999999999</v>
      </c>
      <c r="P2203" s="6">
        <v>7.6E-3</v>
      </c>
      <c r="Q2203" s="5">
        <v>13744583.913000001</v>
      </c>
      <c r="R2203" s="1" t="s">
        <v>284</v>
      </c>
      <c r="S2203" s="1" t="s">
        <v>1432</v>
      </c>
      <c r="T2203" s="1" t="s">
        <v>71</v>
      </c>
      <c r="V2203" s="1" t="s">
        <v>64</v>
      </c>
      <c r="Y2203" s="1" t="s">
        <v>346</v>
      </c>
      <c r="Z2203" s="1" t="str">
        <f t="shared" si="102"/>
        <v>50625 61STK3</v>
      </c>
      <c r="AA2203" s="3">
        <f>IF(INDEX('CAMD Facility Data 2023'!$AA$2:$AE$10000,MATCH(Z2203,'CAMD Facility Data 2023'!$AE$2:$AE$10000,0),1)&gt;0,INDEX('CAMD Facility Data 2023'!$AA$2:$AE$10000,MATCH(Z2203,'CAMD Facility Data 2023'!$AE$2:$AE$10000,0),1),"")</f>
        <v>38338</v>
      </c>
      <c r="AB2203" s="5">
        <f>IF(INDEX('CAMD Facility Data 2023'!$AC$2:$AE$10000,MATCH(Z2203,'CAMD Facility Data 2023'!$AE$2:$AE$10000,0),1)&gt;0,INDEX('CAMD Facility Data 2023'!$AC$2:$AE$10000,MATCH(Z2203,'CAMD Facility Data 2023'!$AE$2:$AE$10000,0),1),"")</f>
        <v>2531</v>
      </c>
      <c r="AC2203" s="1" t="str">
        <f>IF(INDEX('CAMD Facility Data 2023'!$AE$2:$AG$10000,MATCH(Z2203,'CAMD Facility Data 2023'!$AE$2:$AE$10000,0),3)&gt;0,INDEX('CAMD Facility Data 2023'!$AE$2:$AG$10000,MATCH(Z2203,'CAMD Facility Data 2023'!$AE$2:$AE$10000,0),3),"")</f>
        <v>Y</v>
      </c>
      <c r="AD2203" s="20">
        <f t="shared" si="103"/>
        <v>5.0305991559227395E-2</v>
      </c>
      <c r="AE2203" s="25">
        <f t="shared" si="104"/>
        <v>0.61991956871776277</v>
      </c>
    </row>
    <row r="2204" spans="1:31" x14ac:dyDescent="0.2">
      <c r="A2204" s="1" t="s">
        <v>516</v>
      </c>
      <c r="B2204" s="1" t="s">
        <v>5137</v>
      </c>
      <c r="C2204" s="1">
        <v>50707</v>
      </c>
      <c r="D2204" s="1" t="s">
        <v>5138</v>
      </c>
      <c r="F2204" s="1">
        <v>2023</v>
      </c>
      <c r="G2204" s="5">
        <v>6650</v>
      </c>
      <c r="H2204" s="5">
        <v>6533.7</v>
      </c>
      <c r="I2204" s="5">
        <v>168004.31</v>
      </c>
      <c r="K2204" s="5">
        <v>0.54</v>
      </c>
      <c r="L2204" s="5">
        <v>1E-3</v>
      </c>
      <c r="M2204" s="5">
        <v>107015.501</v>
      </c>
      <c r="N2204" s="6">
        <v>5.9299999999999999E-2</v>
      </c>
      <c r="O2204" s="5">
        <v>85.221000000000004</v>
      </c>
      <c r="P2204" s="6">
        <v>9.7299999999999998E-2</v>
      </c>
      <c r="Q2204" s="5">
        <v>1800837.2169999999</v>
      </c>
      <c r="R2204" s="1" t="s">
        <v>44</v>
      </c>
      <c r="T2204" s="1" t="s">
        <v>71</v>
      </c>
      <c r="V2204" s="1" t="s">
        <v>1606</v>
      </c>
      <c r="Y2204" s="1" t="s">
        <v>247</v>
      </c>
      <c r="Z2204" s="1" t="str">
        <f t="shared" si="102"/>
        <v>50707 S001</v>
      </c>
      <c r="AA2204" s="3">
        <f>IF(INDEX('CAMD Facility Data 2023'!$AA$2:$AE$10000,MATCH(Z2204,'CAMD Facility Data 2023'!$AE$2:$AE$10000,0),1)&gt;0,INDEX('CAMD Facility Data 2023'!$AA$2:$AE$10000,MATCH(Z2204,'CAMD Facility Data 2023'!$AE$2:$AE$10000,0),1),"")</f>
        <v>34516</v>
      </c>
      <c r="AB2204" s="5">
        <f>IF(INDEX('CAMD Facility Data 2023'!$AC$2:$AE$10000,MATCH(Z2204,'CAMD Facility Data 2023'!$AE$2:$AE$10000,0),1)&gt;0,INDEX('CAMD Facility Data 2023'!$AC$2:$AE$10000,MATCH(Z2204,'CAMD Facility Data 2023'!$AE$2:$AE$10000,0),1),"")</f>
        <v>640</v>
      </c>
      <c r="AC2204" s="1" t="str">
        <f>IF(INDEX('CAMD Facility Data 2023'!$AE$2:$AG$10000,MATCH(Z2204,'CAMD Facility Data 2023'!$AE$2:$AE$10000,0),3)&gt;0,INDEX('CAMD Facility Data 2023'!$AE$2:$AG$10000,MATCH(Z2204,'CAMD Facility Data 2023'!$AE$2:$AE$10000,0),3),"")</f>
        <v/>
      </c>
      <c r="AD2204" s="20">
        <f t="shared" si="103"/>
        <v>1.0145096872812369</v>
      </c>
      <c r="AE2204" s="25">
        <f t="shared" si="104"/>
        <v>0.32121097620576483</v>
      </c>
    </row>
    <row r="2205" spans="1:31" x14ac:dyDescent="0.2">
      <c r="A2205" s="1" t="s">
        <v>516</v>
      </c>
      <c r="B2205" s="1" t="s">
        <v>5137</v>
      </c>
      <c r="C2205" s="1">
        <v>50707</v>
      </c>
      <c r="D2205" s="1" t="s">
        <v>5140</v>
      </c>
      <c r="F2205" s="1">
        <v>2023</v>
      </c>
      <c r="G2205" s="5">
        <v>6967</v>
      </c>
      <c r="H2205" s="5">
        <v>6838.07</v>
      </c>
      <c r="I2205" s="5">
        <v>175662.52</v>
      </c>
      <c r="K2205" s="5">
        <v>0.46899999999999997</v>
      </c>
      <c r="L2205" s="5">
        <v>1E-3</v>
      </c>
      <c r="M2205" s="5">
        <v>92814.468999999997</v>
      </c>
      <c r="N2205" s="6">
        <v>5.9299999999999999E-2</v>
      </c>
      <c r="O2205" s="5">
        <v>74.364999999999995</v>
      </c>
      <c r="P2205" s="6">
        <v>9.8699999999999996E-2</v>
      </c>
      <c r="Q2205" s="5">
        <v>1561767.274</v>
      </c>
      <c r="R2205" s="1" t="s">
        <v>44</v>
      </c>
      <c r="T2205" s="1" t="s">
        <v>71</v>
      </c>
      <c r="V2205" s="1" t="s">
        <v>1606</v>
      </c>
      <c r="Y2205" s="1" t="s">
        <v>247</v>
      </c>
      <c r="Z2205" s="1" t="str">
        <f t="shared" si="102"/>
        <v>50707 S002</v>
      </c>
      <c r="AA2205" s="3">
        <f>IF(INDEX('CAMD Facility Data 2023'!$AA$2:$AE$10000,MATCH(Z2205,'CAMD Facility Data 2023'!$AE$2:$AE$10000,0),1)&gt;0,INDEX('CAMD Facility Data 2023'!$AA$2:$AE$10000,MATCH(Z2205,'CAMD Facility Data 2023'!$AE$2:$AE$10000,0),1),"")</f>
        <v>34516</v>
      </c>
      <c r="AB2205" s="5">
        <f>IF(INDEX('CAMD Facility Data 2023'!$AC$2:$AE$10000,MATCH(Z2205,'CAMD Facility Data 2023'!$AE$2:$AE$10000,0),1)&gt;0,INDEX('CAMD Facility Data 2023'!$AC$2:$AE$10000,MATCH(Z2205,'CAMD Facility Data 2023'!$AE$2:$AE$10000,0),1),"")</f>
        <v>675</v>
      </c>
      <c r="AC2205" s="1" t="str">
        <f>IF(INDEX('CAMD Facility Data 2023'!$AE$2:$AG$10000,MATCH(Z2205,'CAMD Facility Data 2023'!$AE$2:$AE$10000,0),3)&gt;0,INDEX('CAMD Facility Data 2023'!$AE$2:$AG$10000,MATCH(Z2205,'CAMD Facility Data 2023'!$AE$2:$AE$10000,0),3),"")</f>
        <v/>
      </c>
      <c r="AD2205" s="20">
        <f t="shared" si="103"/>
        <v>0.84668032771020252</v>
      </c>
      <c r="AE2205" s="25">
        <f t="shared" si="104"/>
        <v>0.26412434872315238</v>
      </c>
    </row>
    <row r="2206" spans="1:31" x14ac:dyDescent="0.2">
      <c r="A2206" s="1" t="s">
        <v>516</v>
      </c>
      <c r="B2206" s="1" t="s">
        <v>5137</v>
      </c>
      <c r="C2206" s="1">
        <v>50707</v>
      </c>
      <c r="D2206" s="1" t="s">
        <v>5142</v>
      </c>
      <c r="F2206" s="1">
        <v>2023</v>
      </c>
      <c r="G2206" s="5">
        <v>6543</v>
      </c>
      <c r="H2206" s="5">
        <v>6395.86</v>
      </c>
      <c r="I2206" s="5">
        <v>174958.44</v>
      </c>
      <c r="K2206" s="5">
        <v>0.57599999999999996</v>
      </c>
      <c r="L2206" s="5">
        <v>1E-3</v>
      </c>
      <c r="M2206" s="5">
        <v>114135.55899999999</v>
      </c>
      <c r="N2206" s="6">
        <v>5.9299999999999999E-2</v>
      </c>
      <c r="O2206" s="5">
        <v>87.171000000000006</v>
      </c>
      <c r="P2206" s="6">
        <v>9.4600000000000004E-2</v>
      </c>
      <c r="Q2206" s="5">
        <v>1920571.3370000001</v>
      </c>
      <c r="R2206" s="1" t="s">
        <v>44</v>
      </c>
      <c r="T2206" s="1" t="s">
        <v>71</v>
      </c>
      <c r="V2206" s="1" t="s">
        <v>1606</v>
      </c>
      <c r="Y2206" s="1" t="s">
        <v>247</v>
      </c>
      <c r="Z2206" s="1" t="str">
        <f t="shared" si="102"/>
        <v>50707 S003</v>
      </c>
      <c r="AA2206" s="3">
        <f>IF(INDEX('CAMD Facility Data 2023'!$AA$2:$AE$10000,MATCH(Z2206,'CAMD Facility Data 2023'!$AE$2:$AE$10000,0),1)&gt;0,INDEX('CAMD Facility Data 2023'!$AA$2:$AE$10000,MATCH(Z2206,'CAMD Facility Data 2023'!$AE$2:$AE$10000,0),1),"")</f>
        <v>34516</v>
      </c>
      <c r="AB2206" s="5">
        <f>IF(INDEX('CAMD Facility Data 2023'!$AC$2:$AE$10000,MATCH(Z2206,'CAMD Facility Data 2023'!$AE$2:$AE$10000,0),1)&gt;0,INDEX('CAMD Facility Data 2023'!$AC$2:$AE$10000,MATCH(Z2206,'CAMD Facility Data 2023'!$AE$2:$AE$10000,0),1),"")</f>
        <v>605</v>
      </c>
      <c r="AC2206" s="1" t="str">
        <f>IF(INDEX('CAMD Facility Data 2023'!$AE$2:$AG$10000,MATCH(Z2206,'CAMD Facility Data 2023'!$AE$2:$AE$10000,0),3)&gt;0,INDEX('CAMD Facility Data 2023'!$AE$2:$AG$10000,MATCH(Z2206,'CAMD Facility Data 2023'!$AE$2:$AE$10000,0),3),"")</f>
        <v/>
      </c>
      <c r="AD2206" s="20">
        <f t="shared" si="103"/>
        <v>0.99647664896874932</v>
      </c>
      <c r="AE2206" s="25">
        <f t="shared" si="104"/>
        <v>0.36238562530661533</v>
      </c>
    </row>
    <row r="2207" spans="1:31" x14ac:dyDescent="0.2">
      <c r="A2207" s="1" t="s">
        <v>516</v>
      </c>
      <c r="B2207" s="1" t="s">
        <v>5137</v>
      </c>
      <c r="C2207" s="1">
        <v>50707</v>
      </c>
      <c r="D2207" s="1" t="s">
        <v>5144</v>
      </c>
      <c r="F2207" s="1">
        <v>2023</v>
      </c>
      <c r="G2207" s="5">
        <v>6908</v>
      </c>
      <c r="H2207" s="5">
        <v>6777.04</v>
      </c>
      <c r="I2207" s="5">
        <v>168432.54</v>
      </c>
      <c r="K2207" s="5">
        <v>0.56200000000000006</v>
      </c>
      <c r="L2207" s="5">
        <v>1E-3</v>
      </c>
      <c r="M2207" s="5">
        <v>111283.425</v>
      </c>
      <c r="N2207" s="6">
        <v>5.9299999999999999E-2</v>
      </c>
      <c r="O2207" s="5">
        <v>82.691999999999993</v>
      </c>
      <c r="P2207" s="6">
        <v>9.1899999999999996E-2</v>
      </c>
      <c r="Q2207" s="5">
        <v>1872547.098</v>
      </c>
      <c r="R2207" s="1" t="s">
        <v>44</v>
      </c>
      <c r="T2207" s="1" t="s">
        <v>71</v>
      </c>
      <c r="V2207" s="1" t="s">
        <v>1606</v>
      </c>
      <c r="Y2207" s="1" t="s">
        <v>247</v>
      </c>
      <c r="Z2207" s="1" t="str">
        <f t="shared" si="102"/>
        <v>50707 S004</v>
      </c>
      <c r="AA2207" s="3">
        <f>IF(INDEX('CAMD Facility Data 2023'!$AA$2:$AE$10000,MATCH(Z2207,'CAMD Facility Data 2023'!$AE$2:$AE$10000,0),1)&gt;0,INDEX('CAMD Facility Data 2023'!$AA$2:$AE$10000,MATCH(Z2207,'CAMD Facility Data 2023'!$AE$2:$AE$10000,0),1),"")</f>
        <v>34516</v>
      </c>
      <c r="AB2207" s="5">
        <f>IF(INDEX('CAMD Facility Data 2023'!$AC$2:$AE$10000,MATCH(Z2207,'CAMD Facility Data 2023'!$AE$2:$AE$10000,0),1)&gt;0,INDEX('CAMD Facility Data 2023'!$AC$2:$AE$10000,MATCH(Z2207,'CAMD Facility Data 2023'!$AE$2:$AE$10000,0),1),"")</f>
        <v>610</v>
      </c>
      <c r="AC2207" s="1" t="str">
        <f>IF(INDEX('CAMD Facility Data 2023'!$AE$2:$AG$10000,MATCH(Z2207,'CAMD Facility Data 2023'!$AE$2:$AE$10000,0),3)&gt;0,INDEX('CAMD Facility Data 2023'!$AE$2:$AG$10000,MATCH(Z2207,'CAMD Facility Data 2023'!$AE$2:$AE$10000,0),3),"")</f>
        <v/>
      </c>
      <c r="AD2207" s="20">
        <f t="shared" si="103"/>
        <v>0.98190052824709517</v>
      </c>
      <c r="AE2207" s="25">
        <f t="shared" si="104"/>
        <v>0.35042800696159893</v>
      </c>
    </row>
    <row r="2208" spans="1:31" x14ac:dyDescent="0.2">
      <c r="A2208" s="1" t="s">
        <v>516</v>
      </c>
      <c r="B2208" s="1" t="s">
        <v>5137</v>
      </c>
      <c r="C2208" s="1">
        <v>50707</v>
      </c>
      <c r="D2208" s="1" t="s">
        <v>5146</v>
      </c>
      <c r="F2208" s="1">
        <v>2023</v>
      </c>
      <c r="G2208" s="5">
        <v>6118</v>
      </c>
      <c r="H2208" s="5">
        <v>5940.98</v>
      </c>
      <c r="I2208" s="5">
        <v>181024.38</v>
      </c>
      <c r="K2208" s="5">
        <v>0.53200000000000003</v>
      </c>
      <c r="L2208" s="5">
        <v>1E-3</v>
      </c>
      <c r="M2208" s="5">
        <v>105393.197</v>
      </c>
      <c r="N2208" s="6">
        <v>5.9299999999999999E-2</v>
      </c>
      <c r="O2208" s="5">
        <v>81.132999999999996</v>
      </c>
      <c r="P2208" s="6">
        <v>9.7100000000000006E-2</v>
      </c>
      <c r="Q2208" s="5">
        <v>1773418.834</v>
      </c>
      <c r="R2208" s="1" t="s">
        <v>44</v>
      </c>
      <c r="T2208" s="1" t="s">
        <v>71</v>
      </c>
      <c r="V2208" s="1" t="s">
        <v>1606</v>
      </c>
      <c r="Y2208" s="1" t="s">
        <v>247</v>
      </c>
      <c r="Z2208" s="1" t="str">
        <f t="shared" si="102"/>
        <v>50707 S005</v>
      </c>
      <c r="AA2208" s="3">
        <f>IF(INDEX('CAMD Facility Data 2023'!$AA$2:$AE$10000,MATCH(Z2208,'CAMD Facility Data 2023'!$AE$2:$AE$10000,0),1)&gt;0,INDEX('CAMD Facility Data 2023'!$AA$2:$AE$10000,MATCH(Z2208,'CAMD Facility Data 2023'!$AE$2:$AE$10000,0),1),"")</f>
        <v>34516</v>
      </c>
      <c r="AB2208" s="5">
        <f>IF(INDEX('CAMD Facility Data 2023'!$AC$2:$AE$10000,MATCH(Z2208,'CAMD Facility Data 2023'!$AE$2:$AE$10000,0),1)&gt;0,INDEX('CAMD Facility Data 2023'!$AC$2:$AE$10000,MATCH(Z2208,'CAMD Facility Data 2023'!$AE$2:$AE$10000,0),1),"")</f>
        <v>615</v>
      </c>
      <c r="AC2208" s="1" t="str">
        <f>IF(INDEX('CAMD Facility Data 2023'!$AE$2:$AG$10000,MATCH(Z2208,'CAMD Facility Data 2023'!$AE$2:$AE$10000,0),3)&gt;0,INDEX('CAMD Facility Data 2023'!$AE$2:$AG$10000,MATCH(Z2208,'CAMD Facility Data 2023'!$AE$2:$AE$10000,0),3),"")</f>
        <v/>
      </c>
      <c r="AD2208" s="20">
        <f t="shared" si="103"/>
        <v>0.89637649912127859</v>
      </c>
      <c r="AE2208" s="25">
        <f t="shared" si="104"/>
        <v>0.32917897947061664</v>
      </c>
    </row>
    <row r="2209" spans="1:31" x14ac:dyDescent="0.2">
      <c r="A2209" s="1" t="s">
        <v>2089</v>
      </c>
      <c r="B2209" s="1" t="s">
        <v>5148</v>
      </c>
      <c r="C2209" s="1">
        <v>50744</v>
      </c>
      <c r="D2209" s="1">
        <v>1</v>
      </c>
      <c r="F2209" s="1">
        <v>2023</v>
      </c>
      <c r="G2209" s="5">
        <v>56</v>
      </c>
      <c r="H2209" s="5">
        <v>50.81</v>
      </c>
      <c r="I2209" s="5">
        <v>1529.94</v>
      </c>
      <c r="K2209" s="5">
        <v>5.0000000000000001E-3</v>
      </c>
      <c r="L2209" s="5">
        <v>1E-3</v>
      </c>
      <c r="M2209" s="5">
        <v>1083.9069999999999</v>
      </c>
      <c r="N2209" s="6">
        <v>5.9299999999999999E-2</v>
      </c>
      <c r="O2209" s="5">
        <v>1.887</v>
      </c>
      <c r="P2209" s="6">
        <v>0.21260000000000001</v>
      </c>
      <c r="Q2209" s="5">
        <v>18237.405999999999</v>
      </c>
      <c r="R2209" s="1" t="s">
        <v>44</v>
      </c>
      <c r="T2209" s="1" t="s">
        <v>71</v>
      </c>
      <c r="V2209" s="1" t="s">
        <v>1606</v>
      </c>
      <c r="Y2209" s="1" t="s">
        <v>1515</v>
      </c>
      <c r="Z2209" s="1" t="str">
        <f t="shared" si="102"/>
        <v>50744 1</v>
      </c>
      <c r="AA2209" s="3">
        <f>IF(INDEX('CAMD Facility Data 2023'!$AA$2:$AE$10000,MATCH(Z2209,'CAMD Facility Data 2023'!$AE$2:$AE$10000,0),1)&gt;0,INDEX('CAMD Facility Data 2023'!$AA$2:$AE$10000,MATCH(Z2209,'CAMD Facility Data 2023'!$AE$2:$AE$10000,0),1),"")</f>
        <v>33512</v>
      </c>
      <c r="AB2209" s="5">
        <f>IF(INDEX('CAMD Facility Data 2023'!$AC$2:$AE$10000,MATCH(Z2209,'CAMD Facility Data 2023'!$AE$2:$AE$10000,0),1)&gt;0,INDEX('CAMD Facility Data 2023'!$AC$2:$AE$10000,MATCH(Z2209,'CAMD Facility Data 2023'!$AE$2:$AE$10000,0),1),"")</f>
        <v>551</v>
      </c>
      <c r="AC2209" s="1" t="str">
        <f>IF(INDEX('CAMD Facility Data 2023'!$AE$2:$AG$10000,MATCH(Z2209,'CAMD Facility Data 2023'!$AE$2:$AE$10000,0),3)&gt;0,INDEX('CAMD Facility Data 2023'!$AE$2:$AG$10000,MATCH(Z2209,'CAMD Facility Data 2023'!$AE$2:$AE$10000,0),3),"")</f>
        <v/>
      </c>
      <c r="AD2209" s="20">
        <f t="shared" si="103"/>
        <v>2.466763402486372</v>
      </c>
      <c r="AE2209" s="25">
        <f t="shared" si="104"/>
        <v>3.7783950310353114E-3</v>
      </c>
    </row>
    <row r="2210" spans="1:31" x14ac:dyDescent="0.2">
      <c r="A2210" s="1" t="s">
        <v>2584</v>
      </c>
      <c r="B2210" s="1" t="s">
        <v>5153</v>
      </c>
      <c r="C2210" s="1">
        <v>50776</v>
      </c>
      <c r="D2210" s="1">
        <v>1</v>
      </c>
      <c r="F2210" s="1">
        <v>2023</v>
      </c>
      <c r="G2210" s="5">
        <v>7026</v>
      </c>
      <c r="H2210" s="5">
        <v>7001.96</v>
      </c>
      <c r="J2210" s="5">
        <v>2316586.7999999998</v>
      </c>
      <c r="K2210" s="5">
        <v>172.56100000000001</v>
      </c>
      <c r="L2210" s="5">
        <v>9.9599999999999994E-2</v>
      </c>
      <c r="O2210" s="5">
        <v>144.65100000000001</v>
      </c>
      <c r="P2210" s="6">
        <v>8.3099999999999993E-2</v>
      </c>
      <c r="Q2210" s="5">
        <v>3479263.1880000001</v>
      </c>
      <c r="R2210" s="1" t="s">
        <v>55</v>
      </c>
      <c r="T2210" s="1" t="s">
        <v>885</v>
      </c>
      <c r="U2210" s="1" t="s">
        <v>1069</v>
      </c>
      <c r="V2210" s="1" t="s">
        <v>4785</v>
      </c>
      <c r="W2210" s="1" t="s">
        <v>232</v>
      </c>
      <c r="Y2210" s="1" t="s">
        <v>5154</v>
      </c>
      <c r="Z2210" s="1" t="str">
        <f t="shared" si="102"/>
        <v>50776 1</v>
      </c>
      <c r="AA2210" s="3">
        <f>IF(INDEX('CAMD Facility Data 2023'!$AA$2:$AE$10000,MATCH(Z2210,'CAMD Facility Data 2023'!$AE$2:$AE$10000,0),1)&gt;0,INDEX('CAMD Facility Data 2023'!$AA$2:$AE$10000,MATCH(Z2210,'CAMD Facility Data 2023'!$AE$2:$AE$10000,0),1),"")</f>
        <v>33896</v>
      </c>
      <c r="AB2210" s="5">
        <f>IF(INDEX('CAMD Facility Data 2023'!$AC$2:$AE$10000,MATCH(Z2210,'CAMD Facility Data 2023'!$AE$2:$AE$10000,0),1)&gt;0,INDEX('CAMD Facility Data 2023'!$AC$2:$AE$10000,MATCH(Z2210,'CAMD Facility Data 2023'!$AE$2:$AE$10000,0),1),"")</f>
        <v>700</v>
      </c>
      <c r="AC2210" s="1" t="str">
        <f>IF(INDEX('CAMD Facility Data 2023'!$AE$2:$AG$10000,MATCH(Z2210,'CAMD Facility Data 2023'!$AE$2:$AE$10000,0),3)&gt;0,INDEX('CAMD Facility Data 2023'!$AE$2:$AG$10000,MATCH(Z2210,'CAMD Facility Data 2023'!$AE$2:$AE$10000,0),3),"")</f>
        <v/>
      </c>
      <c r="AD2210" s="20" t="str">
        <f t="shared" si="103"/>
        <v/>
      </c>
      <c r="AE2210" s="25">
        <f t="shared" si="104"/>
        <v>0.5673945185909981</v>
      </c>
    </row>
    <row r="2211" spans="1:31" x14ac:dyDescent="0.2">
      <c r="A2211" s="1" t="s">
        <v>2584</v>
      </c>
      <c r="B2211" s="1" t="s">
        <v>5153</v>
      </c>
      <c r="C2211" s="1">
        <v>50776</v>
      </c>
      <c r="D2211" s="1">
        <v>2</v>
      </c>
      <c r="F2211" s="1">
        <v>2023</v>
      </c>
      <c r="G2211" s="5">
        <v>7366</v>
      </c>
      <c r="H2211" s="5">
        <v>7339.74</v>
      </c>
      <c r="J2211" s="5">
        <v>2291158.4500000002</v>
      </c>
      <c r="K2211" s="5">
        <v>257.89</v>
      </c>
      <c r="L2211" s="5">
        <v>0.13850000000000001</v>
      </c>
      <c r="O2211" s="5">
        <v>146.89400000000001</v>
      </c>
      <c r="P2211" s="6">
        <v>8.09E-2</v>
      </c>
      <c r="Q2211" s="5">
        <v>3511746.0839999998</v>
      </c>
      <c r="R2211" s="1" t="s">
        <v>55</v>
      </c>
      <c r="T2211" s="1" t="s">
        <v>885</v>
      </c>
      <c r="U2211" s="1" t="s">
        <v>1069</v>
      </c>
      <c r="V2211" s="1" t="s">
        <v>4785</v>
      </c>
      <c r="W2211" s="1" t="s">
        <v>232</v>
      </c>
      <c r="Y2211" s="1" t="s">
        <v>5154</v>
      </c>
      <c r="Z2211" s="1" t="str">
        <f t="shared" si="102"/>
        <v>50776 2</v>
      </c>
      <c r="AA2211" s="3">
        <f>IF(INDEX('CAMD Facility Data 2023'!$AA$2:$AE$10000,MATCH(Z2211,'CAMD Facility Data 2023'!$AE$2:$AE$10000,0),1)&gt;0,INDEX('CAMD Facility Data 2023'!$AA$2:$AE$10000,MATCH(Z2211,'CAMD Facility Data 2023'!$AE$2:$AE$10000,0),1),"")</f>
        <v>33896</v>
      </c>
      <c r="AB2211" s="5">
        <f>IF(INDEX('CAMD Facility Data 2023'!$AC$2:$AE$10000,MATCH(Z2211,'CAMD Facility Data 2023'!$AE$2:$AE$10000,0),1)&gt;0,INDEX('CAMD Facility Data 2023'!$AC$2:$AE$10000,MATCH(Z2211,'CAMD Facility Data 2023'!$AE$2:$AE$10000,0),1),"")</f>
        <v>700</v>
      </c>
      <c r="AC2211" s="1" t="str">
        <f>IF(INDEX('CAMD Facility Data 2023'!$AE$2:$AG$10000,MATCH(Z2211,'CAMD Facility Data 2023'!$AE$2:$AE$10000,0),3)&gt;0,INDEX('CAMD Facility Data 2023'!$AE$2:$AG$10000,MATCH(Z2211,'CAMD Facility Data 2023'!$AE$2:$AE$10000,0),3),"")</f>
        <v/>
      </c>
      <c r="AD2211" s="20" t="str">
        <f t="shared" si="103"/>
        <v/>
      </c>
      <c r="AE2211" s="25">
        <f t="shared" si="104"/>
        <v>0.57269179452054786</v>
      </c>
    </row>
    <row r="2212" spans="1:31" x14ac:dyDescent="0.2">
      <c r="A2212" s="1" t="s">
        <v>1980</v>
      </c>
      <c r="B2212" s="1" t="s">
        <v>5160</v>
      </c>
      <c r="C2212" s="1">
        <v>50799</v>
      </c>
      <c r="D2212" s="1">
        <v>1001</v>
      </c>
      <c r="F2212" s="1">
        <v>2023</v>
      </c>
      <c r="G2212" s="5">
        <v>101</v>
      </c>
      <c r="H2212" s="5">
        <v>89.04</v>
      </c>
      <c r="I2212" s="5">
        <v>3879.68</v>
      </c>
      <c r="K2212" s="5">
        <v>1.0999999999999999E-2</v>
      </c>
      <c r="L2212" s="5">
        <v>1E-3</v>
      </c>
      <c r="M2212" s="5">
        <v>2271.8240000000001</v>
      </c>
      <c r="N2212" s="6">
        <v>5.91E-2</v>
      </c>
      <c r="O2212" s="5">
        <v>1.0900000000000001</v>
      </c>
      <c r="P2212" s="6">
        <v>6.7000000000000004E-2</v>
      </c>
      <c r="Q2212" s="5">
        <v>38235.35</v>
      </c>
      <c r="R2212" s="1" t="s">
        <v>44</v>
      </c>
      <c r="S2212" s="1" t="s">
        <v>94</v>
      </c>
      <c r="T2212" s="1" t="s">
        <v>71</v>
      </c>
      <c r="V2212" s="1" t="s">
        <v>4050</v>
      </c>
      <c r="Y2212" s="1" t="s">
        <v>1515</v>
      </c>
      <c r="Z2212" s="1" t="str">
        <f t="shared" si="102"/>
        <v>50799 1001</v>
      </c>
      <c r="AA2212" s="3">
        <f>IF(INDEX('CAMD Facility Data 2023'!$AA$2:$AE$10000,MATCH(Z2212,'CAMD Facility Data 2023'!$AE$2:$AE$10000,0),1)&gt;0,INDEX('CAMD Facility Data 2023'!$AA$2:$AE$10000,MATCH(Z2212,'CAMD Facility Data 2023'!$AE$2:$AE$10000,0),1),"")</f>
        <v>33360</v>
      </c>
      <c r="AB2212" s="5">
        <f>IF(INDEX('CAMD Facility Data 2023'!$AC$2:$AE$10000,MATCH(Z2212,'CAMD Facility Data 2023'!$AE$2:$AE$10000,0),1)&gt;0,INDEX('CAMD Facility Data 2023'!$AC$2:$AE$10000,MATCH(Z2212,'CAMD Facility Data 2023'!$AE$2:$AE$10000,0),1),"")</f>
        <v>656</v>
      </c>
      <c r="AC2212" s="1" t="str">
        <f>IF(INDEX('CAMD Facility Data 2023'!$AE$2:$AG$10000,MATCH(Z2212,'CAMD Facility Data 2023'!$AE$2:$AE$10000,0),3)&gt;0,INDEX('CAMD Facility Data 2023'!$AE$2:$AG$10000,MATCH(Z2212,'CAMD Facility Data 2023'!$AE$2:$AE$10000,0),3),"")</f>
        <v>Y</v>
      </c>
      <c r="AD2212" s="20">
        <f t="shared" si="103"/>
        <v>0.56190201253711647</v>
      </c>
      <c r="AE2212" s="25">
        <f t="shared" si="104"/>
        <v>6.6536066794743286E-3</v>
      </c>
    </row>
    <row r="2213" spans="1:31" x14ac:dyDescent="0.2">
      <c r="A2213" s="1" t="s">
        <v>1980</v>
      </c>
      <c r="B2213" s="1" t="s">
        <v>5160</v>
      </c>
      <c r="C2213" s="1">
        <v>50799</v>
      </c>
      <c r="D2213" s="1">
        <v>3001</v>
      </c>
      <c r="F2213" s="1">
        <v>2023</v>
      </c>
      <c r="G2213" s="5">
        <v>123</v>
      </c>
      <c r="H2213" s="5">
        <v>109.35</v>
      </c>
      <c r="I2213" s="5">
        <v>4783.24</v>
      </c>
      <c r="K2213" s="5">
        <v>1.4E-2</v>
      </c>
      <c r="L2213" s="5">
        <v>1E-3</v>
      </c>
      <c r="M2213" s="5">
        <v>2832.172</v>
      </c>
      <c r="N2213" s="6">
        <v>5.9200000000000003E-2</v>
      </c>
      <c r="O2213" s="5">
        <v>1.444</v>
      </c>
      <c r="P2213" s="6">
        <v>7.0300000000000001E-2</v>
      </c>
      <c r="Q2213" s="5">
        <v>47658.862999999998</v>
      </c>
      <c r="R2213" s="1" t="s">
        <v>44</v>
      </c>
      <c r="S2213" s="1" t="s">
        <v>94</v>
      </c>
      <c r="T2213" s="1" t="s">
        <v>71</v>
      </c>
      <c r="V2213" s="1" t="s">
        <v>4050</v>
      </c>
      <c r="Y2213" s="1" t="s">
        <v>1515</v>
      </c>
      <c r="Z2213" s="1" t="str">
        <f t="shared" si="102"/>
        <v>50799 3001</v>
      </c>
      <c r="AA2213" s="3">
        <f>IF(INDEX('CAMD Facility Data 2023'!$AA$2:$AE$10000,MATCH(Z2213,'CAMD Facility Data 2023'!$AE$2:$AE$10000,0),1)&gt;0,INDEX('CAMD Facility Data 2023'!$AA$2:$AE$10000,MATCH(Z2213,'CAMD Facility Data 2023'!$AE$2:$AE$10000,0),1),"")</f>
        <v>33360</v>
      </c>
      <c r="AB2213" s="5">
        <f>IF(INDEX('CAMD Facility Data 2023'!$AC$2:$AE$10000,MATCH(Z2213,'CAMD Facility Data 2023'!$AE$2:$AE$10000,0),1)&gt;0,INDEX('CAMD Facility Data 2023'!$AC$2:$AE$10000,MATCH(Z2213,'CAMD Facility Data 2023'!$AE$2:$AE$10000,0),1),"")</f>
        <v>656</v>
      </c>
      <c r="AC2213" s="1" t="str">
        <f>IF(INDEX('CAMD Facility Data 2023'!$AE$2:$AG$10000,MATCH(Z2213,'CAMD Facility Data 2023'!$AE$2:$AE$10000,0),3)&gt;0,INDEX('CAMD Facility Data 2023'!$AE$2:$AG$10000,MATCH(Z2213,'CAMD Facility Data 2023'!$AE$2:$AE$10000,0),3),"")</f>
        <v>Y</v>
      </c>
      <c r="AD2213" s="20">
        <f t="shared" si="103"/>
        <v>0.60377484717471841</v>
      </c>
      <c r="AE2213" s="25">
        <f t="shared" si="104"/>
        <v>8.2934595653747622E-3</v>
      </c>
    </row>
    <row r="2214" spans="1:31" x14ac:dyDescent="0.2">
      <c r="A2214" s="1" t="s">
        <v>383</v>
      </c>
      <c r="B2214" s="1" t="s">
        <v>5164</v>
      </c>
      <c r="C2214" s="1">
        <v>50815</v>
      </c>
      <c r="D2214" s="1" t="s">
        <v>5165</v>
      </c>
      <c r="F2214" s="1">
        <v>2023</v>
      </c>
      <c r="G2214" s="5">
        <v>8319</v>
      </c>
      <c r="H2214" s="5">
        <v>8298.43</v>
      </c>
      <c r="I2214" s="5">
        <v>634249.61</v>
      </c>
      <c r="K2214" s="5">
        <v>2.1379999999999999</v>
      </c>
      <c r="L2214" s="5">
        <v>1E-3</v>
      </c>
      <c r="M2214" s="5">
        <v>423411.196</v>
      </c>
      <c r="N2214" s="6">
        <v>5.8999999999999997E-2</v>
      </c>
      <c r="O2214" s="5">
        <v>77.838999999999999</v>
      </c>
      <c r="P2214" s="6">
        <v>2.2100000000000002E-2</v>
      </c>
      <c r="Q2214" s="5">
        <v>7124565.2690000003</v>
      </c>
      <c r="R2214" s="1" t="s">
        <v>44</v>
      </c>
      <c r="T2214" s="1" t="s">
        <v>71</v>
      </c>
      <c r="V2214" s="1" t="s">
        <v>140</v>
      </c>
      <c r="Y2214" s="1" t="s">
        <v>346</v>
      </c>
      <c r="Z2214" s="1" t="str">
        <f t="shared" si="102"/>
        <v>50815 ENG101</v>
      </c>
      <c r="AA2214" s="3">
        <f>IF(INDEX('CAMD Facility Data 2023'!$AA$2:$AE$10000,MATCH(Z2214,'CAMD Facility Data 2023'!$AE$2:$AE$10000,0),1)&gt;0,INDEX('CAMD Facility Data 2023'!$AA$2:$AE$10000,MATCH(Z2214,'CAMD Facility Data 2023'!$AE$2:$AE$10000,0),1),"")</f>
        <v>31399</v>
      </c>
      <c r="AB2214" s="5">
        <f>IF(INDEX('CAMD Facility Data 2023'!$AC$2:$AE$10000,MATCH(Z2214,'CAMD Facility Data 2023'!$AE$2:$AE$10000,0),1)&gt;0,INDEX('CAMD Facility Data 2023'!$AC$2:$AE$10000,MATCH(Z2214,'CAMD Facility Data 2023'!$AE$2:$AE$10000,0),1),"")</f>
        <v>1182</v>
      </c>
      <c r="AC2214" s="1" t="str">
        <f>IF(INDEX('CAMD Facility Data 2023'!$AE$2:$AG$10000,MATCH(Z2214,'CAMD Facility Data 2023'!$AE$2:$AE$10000,0),3)&gt;0,INDEX('CAMD Facility Data 2023'!$AE$2:$AG$10000,MATCH(Z2214,'CAMD Facility Data 2023'!$AE$2:$AE$10000,0),3),"")</f>
        <v/>
      </c>
      <c r="AD2214" s="20">
        <f t="shared" si="103"/>
        <v>0.24545225971837809</v>
      </c>
      <c r="AE2214" s="25">
        <f t="shared" si="104"/>
        <v>0.68807659691800138</v>
      </c>
    </row>
    <row r="2215" spans="1:31" x14ac:dyDescent="0.2">
      <c r="A2215" s="1" t="s">
        <v>383</v>
      </c>
      <c r="B2215" s="1" t="s">
        <v>5164</v>
      </c>
      <c r="C2215" s="1">
        <v>50815</v>
      </c>
      <c r="D2215" s="1" t="s">
        <v>5168</v>
      </c>
      <c r="F2215" s="1">
        <v>2023</v>
      </c>
      <c r="G2215" s="5">
        <v>7941</v>
      </c>
      <c r="H2215" s="5">
        <v>7921.9</v>
      </c>
      <c r="I2215" s="5">
        <v>631484.38</v>
      </c>
      <c r="K2215" s="5">
        <v>2.1</v>
      </c>
      <c r="L2215" s="5">
        <v>1E-3</v>
      </c>
      <c r="M2215" s="5">
        <v>416046.56400000001</v>
      </c>
      <c r="N2215" s="6">
        <v>5.8999999999999997E-2</v>
      </c>
      <c r="O2215" s="5">
        <v>73.992000000000004</v>
      </c>
      <c r="P2215" s="6">
        <v>2.1499999999999998E-2</v>
      </c>
      <c r="Q2215" s="5">
        <v>7000505.5839999998</v>
      </c>
      <c r="R2215" s="1" t="s">
        <v>44</v>
      </c>
      <c r="T2215" s="1" t="s">
        <v>71</v>
      </c>
      <c r="V2215" s="1" t="s">
        <v>140</v>
      </c>
      <c r="Y2215" s="1" t="s">
        <v>346</v>
      </c>
      <c r="Z2215" s="1" t="str">
        <f t="shared" si="102"/>
        <v>50815 ENG201</v>
      </c>
      <c r="AA2215" s="3">
        <f>IF(INDEX('CAMD Facility Data 2023'!$AA$2:$AE$10000,MATCH(Z2215,'CAMD Facility Data 2023'!$AE$2:$AE$10000,0),1)&gt;0,INDEX('CAMD Facility Data 2023'!$AA$2:$AE$10000,MATCH(Z2215,'CAMD Facility Data 2023'!$AE$2:$AE$10000,0),1),"")</f>
        <v>31386</v>
      </c>
      <c r="AB2215" s="5">
        <f>IF(INDEX('CAMD Facility Data 2023'!$AC$2:$AE$10000,MATCH(Z2215,'CAMD Facility Data 2023'!$AE$2:$AE$10000,0),1)&gt;0,INDEX('CAMD Facility Data 2023'!$AC$2:$AE$10000,MATCH(Z2215,'CAMD Facility Data 2023'!$AE$2:$AE$10000,0),1),"")</f>
        <v>1182</v>
      </c>
      <c r="AC2215" s="1" t="str">
        <f>IF(INDEX('CAMD Facility Data 2023'!$AE$2:$AG$10000,MATCH(Z2215,'CAMD Facility Data 2023'!$AE$2:$AE$10000,0),3)&gt;0,INDEX('CAMD Facility Data 2023'!$AE$2:$AG$10000,MATCH(Z2215,'CAMD Facility Data 2023'!$AE$2:$AE$10000,0),3),"")</f>
        <v/>
      </c>
      <c r="AD2215" s="20">
        <f t="shared" si="103"/>
        <v>0.23434308858122507</v>
      </c>
      <c r="AE2215" s="25">
        <f t="shared" si="104"/>
        <v>0.67609515487255556</v>
      </c>
    </row>
    <row r="2216" spans="1:31" x14ac:dyDescent="0.2">
      <c r="A2216" s="1" t="s">
        <v>383</v>
      </c>
      <c r="B2216" s="1" t="s">
        <v>5164</v>
      </c>
      <c r="C2216" s="1">
        <v>50815</v>
      </c>
      <c r="D2216" s="1" t="s">
        <v>5170</v>
      </c>
      <c r="F2216" s="1">
        <v>2023</v>
      </c>
      <c r="G2216" s="5">
        <v>8155</v>
      </c>
      <c r="H2216" s="5">
        <v>8127.22</v>
      </c>
      <c r="I2216" s="5">
        <v>640070.42000000004</v>
      </c>
      <c r="K2216" s="5">
        <v>2.0379999999999998</v>
      </c>
      <c r="L2216" s="5">
        <v>1E-3</v>
      </c>
      <c r="M2216" s="5">
        <v>403759.152</v>
      </c>
      <c r="N2216" s="6">
        <v>5.8999999999999997E-2</v>
      </c>
      <c r="O2216" s="5">
        <v>61.374000000000002</v>
      </c>
      <c r="P2216" s="6">
        <v>1.8599999999999998E-2</v>
      </c>
      <c r="Q2216" s="5">
        <v>6794024.4809999997</v>
      </c>
      <c r="R2216" s="1" t="s">
        <v>44</v>
      </c>
      <c r="T2216" s="1" t="s">
        <v>71</v>
      </c>
      <c r="V2216" s="1" t="s">
        <v>140</v>
      </c>
      <c r="Y2216" s="1" t="s">
        <v>346</v>
      </c>
      <c r="Z2216" s="1" t="str">
        <f t="shared" si="102"/>
        <v>50815 ENG301</v>
      </c>
      <c r="AA2216" s="3">
        <f>IF(INDEX('CAMD Facility Data 2023'!$AA$2:$AE$10000,MATCH(Z2216,'CAMD Facility Data 2023'!$AE$2:$AE$10000,0),1)&gt;0,INDEX('CAMD Facility Data 2023'!$AA$2:$AE$10000,MATCH(Z2216,'CAMD Facility Data 2023'!$AE$2:$AE$10000,0),1),"")</f>
        <v>31365</v>
      </c>
      <c r="AB2216" s="5">
        <f>IF(INDEX('CAMD Facility Data 2023'!$AC$2:$AE$10000,MATCH(Z2216,'CAMD Facility Data 2023'!$AE$2:$AE$10000,0),1)&gt;0,INDEX('CAMD Facility Data 2023'!$AC$2:$AE$10000,MATCH(Z2216,'CAMD Facility Data 2023'!$AE$2:$AE$10000,0),1),"")</f>
        <v>1080</v>
      </c>
      <c r="AC2216" s="1" t="str">
        <f>IF(INDEX('CAMD Facility Data 2023'!$AE$2:$AG$10000,MATCH(Z2216,'CAMD Facility Data 2023'!$AE$2:$AE$10000,0),3)&gt;0,INDEX('CAMD Facility Data 2023'!$AE$2:$AG$10000,MATCH(Z2216,'CAMD Facility Data 2023'!$AE$2:$AE$10000,0),3),"")</f>
        <v/>
      </c>
      <c r="AD2216" s="20">
        <f t="shared" si="103"/>
        <v>0.19177264901571298</v>
      </c>
      <c r="AE2216" s="25">
        <f t="shared" si="104"/>
        <v>0.71812367675038047</v>
      </c>
    </row>
    <row r="2217" spans="1:31" x14ac:dyDescent="0.2">
      <c r="A2217" s="1" t="s">
        <v>383</v>
      </c>
      <c r="B2217" s="1" t="s">
        <v>5164</v>
      </c>
      <c r="C2217" s="1">
        <v>50815</v>
      </c>
      <c r="D2217" s="1" t="s">
        <v>5172</v>
      </c>
      <c r="F2217" s="1">
        <v>2023</v>
      </c>
      <c r="G2217" s="5">
        <v>7398</v>
      </c>
      <c r="H2217" s="5">
        <v>7371.3</v>
      </c>
      <c r="I2217" s="5">
        <v>587404.01</v>
      </c>
      <c r="K2217" s="5">
        <v>1.855</v>
      </c>
      <c r="L2217" s="5">
        <v>1E-3</v>
      </c>
      <c r="M2217" s="5">
        <v>367453.446</v>
      </c>
      <c r="N2217" s="6">
        <v>5.8999999999999997E-2</v>
      </c>
      <c r="O2217" s="5">
        <v>57.597999999999999</v>
      </c>
      <c r="P2217" s="6">
        <v>1.9099999999999999E-2</v>
      </c>
      <c r="Q2217" s="5">
        <v>6183041.0970000001</v>
      </c>
      <c r="R2217" s="1" t="s">
        <v>44</v>
      </c>
      <c r="T2217" s="1" t="s">
        <v>71</v>
      </c>
      <c r="V2217" s="1" t="s">
        <v>140</v>
      </c>
      <c r="Y2217" s="1" t="s">
        <v>346</v>
      </c>
      <c r="Z2217" s="1" t="str">
        <f t="shared" si="102"/>
        <v>50815 ENG401</v>
      </c>
      <c r="AA2217" s="3">
        <f>IF(INDEX('CAMD Facility Data 2023'!$AA$2:$AE$10000,MATCH(Z2217,'CAMD Facility Data 2023'!$AE$2:$AE$10000,0),1)&gt;0,INDEX('CAMD Facility Data 2023'!$AA$2:$AE$10000,MATCH(Z2217,'CAMD Facility Data 2023'!$AE$2:$AE$10000,0),1),"")</f>
        <v>31350</v>
      </c>
      <c r="AB2217" s="5">
        <f>IF(INDEX('CAMD Facility Data 2023'!$AC$2:$AE$10000,MATCH(Z2217,'CAMD Facility Data 2023'!$AE$2:$AE$10000,0),1)&gt;0,INDEX('CAMD Facility Data 2023'!$AC$2:$AE$10000,MATCH(Z2217,'CAMD Facility Data 2023'!$AE$2:$AE$10000,0),1),"")</f>
        <v>1080</v>
      </c>
      <c r="AC2217" s="1" t="str">
        <f>IF(INDEX('CAMD Facility Data 2023'!$AE$2:$AG$10000,MATCH(Z2217,'CAMD Facility Data 2023'!$AE$2:$AE$10000,0),3)&gt;0,INDEX('CAMD Facility Data 2023'!$AE$2:$AG$10000,MATCH(Z2217,'CAMD Facility Data 2023'!$AE$2:$AE$10000,0),3),"")</f>
        <v/>
      </c>
      <c r="AD2217" s="20">
        <f t="shared" si="103"/>
        <v>0.1961103397983272</v>
      </c>
      <c r="AE2217" s="25">
        <f t="shared" si="104"/>
        <v>0.65354315670979202</v>
      </c>
    </row>
    <row r="2218" spans="1:31" x14ac:dyDescent="0.2">
      <c r="A2218" s="1" t="s">
        <v>383</v>
      </c>
      <c r="B2218" s="1" t="s">
        <v>5164</v>
      </c>
      <c r="C2218" s="1">
        <v>50815</v>
      </c>
      <c r="D2218" s="1" t="s">
        <v>5174</v>
      </c>
      <c r="F2218" s="1">
        <v>2023</v>
      </c>
      <c r="G2218" s="5">
        <v>7813</v>
      </c>
      <c r="H2218" s="5">
        <v>7786.49</v>
      </c>
      <c r="I2218" s="5">
        <v>604772.51</v>
      </c>
      <c r="K2218" s="5">
        <v>1.9670000000000001</v>
      </c>
      <c r="L2218" s="5">
        <v>1E-3</v>
      </c>
      <c r="M2218" s="5">
        <v>389547.03200000001</v>
      </c>
      <c r="N2218" s="6">
        <v>5.8999999999999997E-2</v>
      </c>
      <c r="O2218" s="5">
        <v>75.370999999999995</v>
      </c>
      <c r="P2218" s="6">
        <v>2.3099999999999999E-2</v>
      </c>
      <c r="Q2218" s="5">
        <v>6554848.3559999997</v>
      </c>
      <c r="R2218" s="1" t="s">
        <v>44</v>
      </c>
      <c r="T2218" s="1" t="s">
        <v>71</v>
      </c>
      <c r="V2218" s="1" t="s">
        <v>140</v>
      </c>
      <c r="Y2218" s="1" t="s">
        <v>346</v>
      </c>
      <c r="Z2218" s="1" t="str">
        <f t="shared" si="102"/>
        <v>50815 ENG501</v>
      </c>
      <c r="AA2218" s="3">
        <f>IF(INDEX('CAMD Facility Data 2023'!$AA$2:$AE$10000,MATCH(Z2218,'CAMD Facility Data 2023'!$AE$2:$AE$10000,0),1)&gt;0,INDEX('CAMD Facility Data 2023'!$AA$2:$AE$10000,MATCH(Z2218,'CAMD Facility Data 2023'!$AE$2:$AE$10000,0),1),"")</f>
        <v>31334</v>
      </c>
      <c r="AB2218" s="5">
        <f>IF(INDEX('CAMD Facility Data 2023'!$AC$2:$AE$10000,MATCH(Z2218,'CAMD Facility Data 2023'!$AE$2:$AE$10000,0),1)&gt;0,INDEX('CAMD Facility Data 2023'!$AC$2:$AE$10000,MATCH(Z2218,'CAMD Facility Data 2023'!$AE$2:$AE$10000,0),1),"")</f>
        <v>1080</v>
      </c>
      <c r="AC2218" s="1" t="str">
        <f>IF(INDEX('CAMD Facility Data 2023'!$AE$2:$AG$10000,MATCH(Z2218,'CAMD Facility Data 2023'!$AE$2:$AE$10000,0),3)&gt;0,INDEX('CAMD Facility Data 2023'!$AE$2:$AG$10000,MATCH(Z2218,'CAMD Facility Data 2023'!$AE$2:$AE$10000,0),3),"")</f>
        <v/>
      </c>
      <c r="AD2218" s="20">
        <f t="shared" si="103"/>
        <v>0.24925405422280189</v>
      </c>
      <c r="AE2218" s="25">
        <f t="shared" si="104"/>
        <v>0.69284292617960419</v>
      </c>
    </row>
    <row r="2219" spans="1:31" x14ac:dyDescent="0.2">
      <c r="A2219" s="1" t="s">
        <v>383</v>
      </c>
      <c r="B2219" s="1" t="s">
        <v>5164</v>
      </c>
      <c r="C2219" s="1">
        <v>50815</v>
      </c>
      <c r="D2219" s="1" t="s">
        <v>5176</v>
      </c>
      <c r="F2219" s="1">
        <v>2023</v>
      </c>
      <c r="G2219" s="5">
        <v>8076</v>
      </c>
      <c r="H2219" s="5">
        <v>8057.57</v>
      </c>
      <c r="I2219" s="5">
        <v>624351.44999999995</v>
      </c>
      <c r="K2219" s="5">
        <v>1.931</v>
      </c>
      <c r="L2219" s="5">
        <v>1E-3</v>
      </c>
      <c r="M2219" s="5">
        <v>382384.31699999998</v>
      </c>
      <c r="N2219" s="6">
        <v>5.8999999999999997E-2</v>
      </c>
      <c r="O2219" s="5">
        <v>53.808999999999997</v>
      </c>
      <c r="P2219" s="6">
        <v>1.6899999999999998E-2</v>
      </c>
      <c r="Q2219" s="5">
        <v>6434394.8799999999</v>
      </c>
      <c r="R2219" s="1" t="s">
        <v>44</v>
      </c>
      <c r="T2219" s="1" t="s">
        <v>71</v>
      </c>
      <c r="V2219" s="1" t="s">
        <v>140</v>
      </c>
      <c r="Y2219" s="1" t="s">
        <v>346</v>
      </c>
      <c r="Z2219" s="1" t="str">
        <f t="shared" si="102"/>
        <v>50815 ENG601</v>
      </c>
      <c r="AA2219" s="3">
        <f>IF(INDEX('CAMD Facility Data 2023'!$AA$2:$AE$10000,MATCH(Z2219,'CAMD Facility Data 2023'!$AE$2:$AE$10000,0),1)&gt;0,INDEX('CAMD Facility Data 2023'!$AA$2:$AE$10000,MATCH(Z2219,'CAMD Facility Data 2023'!$AE$2:$AE$10000,0),1),"")</f>
        <v>34851</v>
      </c>
      <c r="AB2219" s="5">
        <f>IF(INDEX('CAMD Facility Data 2023'!$AC$2:$AE$10000,MATCH(Z2219,'CAMD Facility Data 2023'!$AE$2:$AE$10000,0),1)&gt;0,INDEX('CAMD Facility Data 2023'!$AC$2:$AE$10000,MATCH(Z2219,'CAMD Facility Data 2023'!$AE$2:$AE$10000,0),1),"")</f>
        <v>1080</v>
      </c>
      <c r="AC2219" s="1" t="str">
        <f>IF(INDEX('CAMD Facility Data 2023'!$AE$2:$AG$10000,MATCH(Z2219,'CAMD Facility Data 2023'!$AE$2:$AE$10000,0),3)&gt;0,INDEX('CAMD Facility Data 2023'!$AE$2:$AG$10000,MATCH(Z2219,'CAMD Facility Data 2023'!$AE$2:$AE$10000,0),3),"")</f>
        <v/>
      </c>
      <c r="AD2219" s="20">
        <f t="shared" si="103"/>
        <v>0.17236766247599811</v>
      </c>
      <c r="AE2219" s="25">
        <f t="shared" si="104"/>
        <v>0.680111077287333</v>
      </c>
    </row>
    <row r="2220" spans="1:31" x14ac:dyDescent="0.2">
      <c r="A2220" s="1" t="s">
        <v>1621</v>
      </c>
      <c r="B2220" s="1" t="s">
        <v>5178</v>
      </c>
      <c r="C2220" s="1">
        <v>50835</v>
      </c>
      <c r="D2220" s="1">
        <v>1</v>
      </c>
      <c r="F2220" s="1">
        <v>2023</v>
      </c>
      <c r="G2220" s="5">
        <v>6531</v>
      </c>
      <c r="H2220" s="5">
        <v>6518.75</v>
      </c>
      <c r="J2220" s="5">
        <v>1603233.76</v>
      </c>
      <c r="K2220" s="5">
        <v>70.588999999999999</v>
      </c>
      <c r="L2220" s="5">
        <v>6.2300000000000001E-2</v>
      </c>
      <c r="O2220" s="5">
        <v>463.51499999999999</v>
      </c>
      <c r="P2220" s="6">
        <v>0.40820000000000001</v>
      </c>
      <c r="Q2220" s="5">
        <v>2270106.3650000002</v>
      </c>
      <c r="R2220" s="1" t="s">
        <v>55</v>
      </c>
      <c r="S2220" s="1" t="s">
        <v>5183</v>
      </c>
      <c r="T2220" s="1" t="s">
        <v>1660</v>
      </c>
      <c r="U2220" s="1" t="s">
        <v>212</v>
      </c>
      <c r="W2220" s="1" t="s">
        <v>232</v>
      </c>
      <c r="Y2220" s="1" t="s">
        <v>5179</v>
      </c>
      <c r="Z2220" s="1" t="str">
        <f t="shared" si="102"/>
        <v>50835 1</v>
      </c>
      <c r="AA2220" s="3">
        <f>IF(INDEX('CAMD Facility Data 2023'!$AA$2:$AE$10000,MATCH(Z2220,'CAMD Facility Data 2023'!$AE$2:$AE$10000,0),1)&gt;0,INDEX('CAMD Facility Data 2023'!$AA$2:$AE$10000,MATCH(Z2220,'CAMD Facility Data 2023'!$AE$2:$AE$10000,0),1),"")</f>
        <v>32874</v>
      </c>
      <c r="AB2220" s="5">
        <f>IF(INDEX('CAMD Facility Data 2023'!$AC$2:$AE$10000,MATCH(Z2220,'CAMD Facility Data 2023'!$AE$2:$AE$10000,0),1)&gt;0,INDEX('CAMD Facility Data 2023'!$AC$2:$AE$10000,MATCH(Z2220,'CAMD Facility Data 2023'!$AE$2:$AE$10000,0),1),"")</f>
        <v>450</v>
      </c>
      <c r="AC2220" s="1" t="str">
        <f>IF(INDEX('CAMD Facility Data 2023'!$AE$2:$AG$10000,MATCH(Z2220,'CAMD Facility Data 2023'!$AE$2:$AE$10000,0),3)&gt;0,INDEX('CAMD Facility Data 2023'!$AE$2:$AG$10000,MATCH(Z2220,'CAMD Facility Data 2023'!$AE$2:$AE$10000,0),3),"")</f>
        <v/>
      </c>
      <c r="AD2220" s="20" t="str">
        <f t="shared" si="103"/>
        <v/>
      </c>
      <c r="AE2220" s="25">
        <f t="shared" si="104"/>
        <v>0.57587680492135973</v>
      </c>
    </row>
    <row r="2221" spans="1:31" x14ac:dyDescent="0.2">
      <c r="A2221" s="1" t="s">
        <v>1621</v>
      </c>
      <c r="B2221" s="1" t="s">
        <v>5178</v>
      </c>
      <c r="C2221" s="1">
        <v>50835</v>
      </c>
      <c r="D2221" s="1">
        <v>2</v>
      </c>
      <c r="F2221" s="1">
        <v>2023</v>
      </c>
      <c r="G2221" s="5">
        <v>6315</v>
      </c>
      <c r="H2221" s="5">
        <v>6303.74</v>
      </c>
      <c r="J2221" s="5">
        <v>1550059.45</v>
      </c>
      <c r="K2221" s="5">
        <v>72.043000000000006</v>
      </c>
      <c r="L2221" s="5">
        <v>6.7900000000000002E-2</v>
      </c>
      <c r="O2221" s="5">
        <v>378.03300000000002</v>
      </c>
      <c r="P2221" s="6">
        <v>0.3589</v>
      </c>
      <c r="Q2221" s="5">
        <v>2117534.534</v>
      </c>
      <c r="R2221" s="1" t="s">
        <v>55</v>
      </c>
      <c r="S2221" s="1" t="s">
        <v>5183</v>
      </c>
      <c r="T2221" s="1" t="s">
        <v>1660</v>
      </c>
      <c r="U2221" s="1" t="s">
        <v>212</v>
      </c>
      <c r="W2221" s="1" t="s">
        <v>232</v>
      </c>
      <c r="Y2221" s="1" t="s">
        <v>5179</v>
      </c>
      <c r="Z2221" s="1" t="str">
        <f t="shared" si="102"/>
        <v>50835 2</v>
      </c>
      <c r="AA2221" s="3">
        <f>IF(INDEX('CAMD Facility Data 2023'!$AA$2:$AE$10000,MATCH(Z2221,'CAMD Facility Data 2023'!$AE$2:$AE$10000,0),1)&gt;0,INDEX('CAMD Facility Data 2023'!$AA$2:$AE$10000,MATCH(Z2221,'CAMD Facility Data 2023'!$AE$2:$AE$10000,0),1),"")</f>
        <v>32874</v>
      </c>
      <c r="AB2221" s="5">
        <f>IF(INDEX('CAMD Facility Data 2023'!$AC$2:$AE$10000,MATCH(Z2221,'CAMD Facility Data 2023'!$AE$2:$AE$10000,0),1)&gt;0,INDEX('CAMD Facility Data 2023'!$AC$2:$AE$10000,MATCH(Z2221,'CAMD Facility Data 2023'!$AE$2:$AE$10000,0),1),"")</f>
        <v>450</v>
      </c>
      <c r="AC2221" s="1" t="str">
        <f>IF(INDEX('CAMD Facility Data 2023'!$AE$2:$AG$10000,MATCH(Z2221,'CAMD Facility Data 2023'!$AE$2:$AE$10000,0),3)&gt;0,INDEX('CAMD Facility Data 2023'!$AE$2:$AG$10000,MATCH(Z2221,'CAMD Facility Data 2023'!$AE$2:$AE$10000,0),3),"")</f>
        <v/>
      </c>
      <c r="AD2221" s="20" t="str">
        <f t="shared" si="103"/>
        <v/>
      </c>
      <c r="AE2221" s="25">
        <f t="shared" si="104"/>
        <v>0.53717263673262305</v>
      </c>
    </row>
    <row r="2222" spans="1:31" x14ac:dyDescent="0.2">
      <c r="A2222" s="1" t="s">
        <v>1980</v>
      </c>
      <c r="B2222" s="1" t="s">
        <v>5185</v>
      </c>
      <c r="C2222" s="1">
        <v>50852</v>
      </c>
      <c r="D2222" s="1">
        <v>2001</v>
      </c>
      <c r="F2222" s="1">
        <v>2023</v>
      </c>
      <c r="G2222" s="5">
        <v>0</v>
      </c>
      <c r="H2222" s="5">
        <v>0</v>
      </c>
      <c r="R2222" s="1" t="s">
        <v>44</v>
      </c>
      <c r="S2222" s="1" t="s">
        <v>94</v>
      </c>
      <c r="T2222" s="1" t="s">
        <v>71</v>
      </c>
      <c r="V2222" s="1" t="s">
        <v>95</v>
      </c>
      <c r="Y2222" s="1" t="s">
        <v>1528</v>
      </c>
      <c r="Z2222" s="1" t="str">
        <f t="shared" si="102"/>
        <v>50852 2001</v>
      </c>
      <c r="AA2222" s="3">
        <f>IF(INDEX('CAMD Facility Data 2023'!$AA$2:$AE$10000,MATCH(Z2222,'CAMD Facility Data 2023'!$AE$2:$AE$10000,0),1)&gt;0,INDEX('CAMD Facility Data 2023'!$AA$2:$AE$10000,MATCH(Z2222,'CAMD Facility Data 2023'!$AE$2:$AE$10000,0),1),"")</f>
        <v>32704</v>
      </c>
      <c r="AB2222" s="5">
        <f>IF(INDEX('CAMD Facility Data 2023'!$AC$2:$AE$10000,MATCH(Z2222,'CAMD Facility Data 2023'!$AE$2:$AE$10000,0),1)&gt;0,INDEX('CAMD Facility Data 2023'!$AC$2:$AE$10000,MATCH(Z2222,'CAMD Facility Data 2023'!$AE$2:$AE$10000,0),1),"")</f>
        <v>765</v>
      </c>
      <c r="AC2222" s="1" t="str">
        <f>IF(INDEX('CAMD Facility Data 2023'!$AE$2:$AG$10000,MATCH(Z2222,'CAMD Facility Data 2023'!$AE$2:$AE$10000,0),3)&gt;0,INDEX('CAMD Facility Data 2023'!$AE$2:$AG$10000,MATCH(Z2222,'CAMD Facility Data 2023'!$AE$2:$AE$10000,0),3),"")</f>
        <v/>
      </c>
      <c r="AD2222" s="20" t="str">
        <f t="shared" si="103"/>
        <v/>
      </c>
      <c r="AE2222" s="25">
        <f t="shared" si="104"/>
        <v>0</v>
      </c>
    </row>
    <row r="2223" spans="1:31" x14ac:dyDescent="0.2">
      <c r="A2223" s="1" t="s">
        <v>370</v>
      </c>
      <c r="B2223" s="1" t="s">
        <v>5188</v>
      </c>
      <c r="C2223" s="1">
        <v>50865</v>
      </c>
      <c r="D2223" s="1">
        <v>1</v>
      </c>
      <c r="F2223" s="1">
        <v>2023</v>
      </c>
      <c r="G2223" s="5">
        <v>6454</v>
      </c>
      <c r="H2223" s="5">
        <v>6415.27</v>
      </c>
      <c r="I2223" s="5">
        <v>207569.13</v>
      </c>
      <c r="K2223" s="5">
        <v>0.85599999999999998</v>
      </c>
      <c r="L2223" s="5">
        <v>1E-3</v>
      </c>
      <c r="M2223" s="5">
        <v>169605.17600000001</v>
      </c>
      <c r="N2223" s="6">
        <v>5.9200000000000003E-2</v>
      </c>
      <c r="O2223" s="5">
        <v>19.425000000000001</v>
      </c>
      <c r="P2223" s="6">
        <v>1.41E-2</v>
      </c>
      <c r="Q2223" s="5">
        <v>2853988.7710000002</v>
      </c>
      <c r="R2223" s="1" t="s">
        <v>44</v>
      </c>
      <c r="T2223" s="1" t="s">
        <v>93</v>
      </c>
      <c r="V2223" s="1" t="s">
        <v>64</v>
      </c>
      <c r="Y2223" s="1" t="s">
        <v>247</v>
      </c>
      <c r="Z2223" s="1" t="str">
        <f t="shared" si="102"/>
        <v>50865 1</v>
      </c>
      <c r="AA2223" s="3">
        <f>IF(INDEX('CAMD Facility Data 2023'!$AA$2:$AE$10000,MATCH(Z2223,'CAMD Facility Data 2023'!$AE$2:$AE$10000,0),1)&gt;0,INDEX('CAMD Facility Data 2023'!$AA$2:$AE$10000,MATCH(Z2223,'CAMD Facility Data 2023'!$AE$2:$AE$10000,0),1),"")</f>
        <v>33669</v>
      </c>
      <c r="AB2223" s="5">
        <f>IF(INDEX('CAMD Facility Data 2023'!$AC$2:$AE$10000,MATCH(Z2223,'CAMD Facility Data 2023'!$AE$2:$AE$10000,0),1)&gt;0,INDEX('CAMD Facility Data 2023'!$AC$2:$AE$10000,MATCH(Z2223,'CAMD Facility Data 2023'!$AE$2:$AE$10000,0),1),"")</f>
        <v>525</v>
      </c>
      <c r="AC2223" s="1" t="str">
        <f>IF(INDEX('CAMD Facility Data 2023'!$AE$2:$AG$10000,MATCH(Z2223,'CAMD Facility Data 2023'!$AE$2:$AE$10000,0),3)&gt;0,INDEX('CAMD Facility Data 2023'!$AE$2:$AG$10000,MATCH(Z2223,'CAMD Facility Data 2023'!$AE$2:$AE$10000,0),3),"")</f>
        <v>Y</v>
      </c>
      <c r="AD2223" s="20">
        <f t="shared" si="103"/>
        <v>0.18716655988296524</v>
      </c>
      <c r="AE2223" s="25">
        <f t="shared" si="104"/>
        <v>0.62056724744509684</v>
      </c>
    </row>
    <row r="2224" spans="1:31" x14ac:dyDescent="0.2">
      <c r="A2224" s="1" t="s">
        <v>2584</v>
      </c>
      <c r="B2224" s="1" t="s">
        <v>5191</v>
      </c>
      <c r="C2224" s="1">
        <v>50888</v>
      </c>
      <c r="D2224" s="1" t="s">
        <v>5192</v>
      </c>
      <c r="F2224" s="1">
        <v>2023</v>
      </c>
      <c r="G2224" s="5">
        <v>5943</v>
      </c>
      <c r="H2224" s="5">
        <v>5943</v>
      </c>
      <c r="I2224" s="5">
        <v>581210</v>
      </c>
      <c r="K2224" s="5">
        <v>346.67200000000003</v>
      </c>
      <c r="L2224" s="5">
        <v>0.1258</v>
      </c>
      <c r="M2224" s="5">
        <v>663737</v>
      </c>
      <c r="N2224" s="6">
        <v>0.11600000000000001</v>
      </c>
      <c r="O2224" s="5">
        <v>254.41900000000001</v>
      </c>
      <c r="P2224" s="6">
        <v>8.3799999999999999E-2</v>
      </c>
      <c r="Q2224" s="5">
        <v>5708095</v>
      </c>
      <c r="R2224" s="1" t="s">
        <v>2622</v>
      </c>
      <c r="S2224" s="1" t="s">
        <v>5194</v>
      </c>
      <c r="T2224" s="1" t="s">
        <v>885</v>
      </c>
      <c r="U2224" s="1" t="s">
        <v>1069</v>
      </c>
      <c r="V2224" s="1" t="s">
        <v>4785</v>
      </c>
      <c r="W2224" s="1" t="s">
        <v>232</v>
      </c>
      <c r="Y2224" s="1" t="s">
        <v>682</v>
      </c>
      <c r="Z2224" s="1" t="str">
        <f t="shared" si="102"/>
        <v>50888 NGC01</v>
      </c>
      <c r="AA2224" s="3">
        <f>IF(INDEX('CAMD Facility Data 2023'!$AA$2:$AE$10000,MATCH(Z2224,'CAMD Facility Data 2023'!$AE$2:$AE$10000,0),1)&gt;0,INDEX('CAMD Facility Data 2023'!$AA$2:$AE$10000,MATCH(Z2224,'CAMD Facility Data 2023'!$AE$2:$AE$10000,0),1),"")</f>
        <v>34939</v>
      </c>
      <c r="AB2224" s="5">
        <f>IF(INDEX('CAMD Facility Data 2023'!$AC$2:$AE$10000,MATCH(Z2224,'CAMD Facility Data 2023'!$AE$2:$AE$10000,0),1)&gt;0,INDEX('CAMD Facility Data 2023'!$AC$2:$AE$10000,MATCH(Z2224,'CAMD Facility Data 2023'!$AE$2:$AE$10000,0),1),"")</f>
        <v>1530</v>
      </c>
      <c r="AC2224" s="1" t="str">
        <f>IF(INDEX('CAMD Facility Data 2023'!$AE$2:$AG$10000,MATCH(Z2224,'CAMD Facility Data 2023'!$AE$2:$AE$10000,0),3)&gt;0,INDEX('CAMD Facility Data 2023'!$AE$2:$AG$10000,MATCH(Z2224,'CAMD Facility Data 2023'!$AE$2:$AE$10000,0),3),"")</f>
        <v/>
      </c>
      <c r="AD2224" s="20">
        <f t="shared" si="103"/>
        <v>0.87548046317165917</v>
      </c>
      <c r="AE2224" s="25">
        <f t="shared" si="104"/>
        <v>0.4258882472319217</v>
      </c>
    </row>
    <row r="2225" spans="1:31" x14ac:dyDescent="0.2">
      <c r="A2225" s="1" t="s">
        <v>304</v>
      </c>
      <c r="B2225" s="1" t="s">
        <v>5196</v>
      </c>
      <c r="C2225" s="1">
        <v>50949</v>
      </c>
      <c r="D2225" s="1" t="s">
        <v>1054</v>
      </c>
      <c r="F2225" s="1">
        <v>2023</v>
      </c>
      <c r="G2225" s="5">
        <v>157</v>
      </c>
      <c r="H2225" s="5">
        <v>128.96</v>
      </c>
      <c r="I2225" s="5">
        <v>8116.86</v>
      </c>
      <c r="K2225" s="5">
        <v>6.8000000000000005E-2</v>
      </c>
      <c r="L2225" s="5">
        <v>2E-3</v>
      </c>
      <c r="M2225" s="5">
        <v>4991.2839999999997</v>
      </c>
      <c r="N2225" s="6">
        <v>5.9299999999999999E-2</v>
      </c>
      <c r="O2225" s="5">
        <v>0.95099999999999996</v>
      </c>
      <c r="P2225" s="6">
        <v>3.3300000000000003E-2</v>
      </c>
      <c r="Q2225" s="5">
        <v>83831.69</v>
      </c>
      <c r="R2225" s="1" t="s">
        <v>44</v>
      </c>
      <c r="S2225" s="1" t="s">
        <v>94</v>
      </c>
      <c r="T2225" s="1" t="s">
        <v>93</v>
      </c>
      <c r="V2225" s="1" t="s">
        <v>183</v>
      </c>
      <c r="Y2225" s="1" t="s">
        <v>247</v>
      </c>
      <c r="Z2225" s="1" t="str">
        <f t="shared" si="102"/>
        <v>50949 CT2B</v>
      </c>
      <c r="AA2225" s="3">
        <f>IF(INDEX('CAMD Facility Data 2023'!$AA$2:$AE$10000,MATCH(Z2225,'CAMD Facility Data 2023'!$AE$2:$AE$10000,0),1)&gt;0,INDEX('CAMD Facility Data 2023'!$AA$2:$AE$10000,MATCH(Z2225,'CAMD Facility Data 2023'!$AE$2:$AE$10000,0),1),"")</f>
        <v>36663</v>
      </c>
      <c r="AB2225" s="5">
        <f>IF(INDEX('CAMD Facility Data 2023'!$AC$2:$AE$10000,MATCH(Z2225,'CAMD Facility Data 2023'!$AE$2:$AE$10000,0),1)&gt;0,INDEX('CAMD Facility Data 2023'!$AC$2:$AE$10000,MATCH(Z2225,'CAMD Facility Data 2023'!$AE$2:$AE$10000,0),1),"")</f>
        <v>1109</v>
      </c>
      <c r="AC2225" s="1" t="str">
        <f>IF(INDEX('CAMD Facility Data 2023'!$AE$2:$AG$10000,MATCH(Z2225,'CAMD Facility Data 2023'!$AE$2:$AE$10000,0),3)&gt;0,INDEX('CAMD Facility Data 2023'!$AE$2:$AG$10000,MATCH(Z2225,'CAMD Facility Data 2023'!$AE$2:$AE$10000,0),3),"")</f>
        <v/>
      </c>
      <c r="AD2225" s="20">
        <f t="shared" si="103"/>
        <v>0.23432706736348785</v>
      </c>
      <c r="AE2225" s="25">
        <f t="shared" si="104"/>
        <v>8.62924041981134E-3</v>
      </c>
    </row>
    <row r="2226" spans="1:31" x14ac:dyDescent="0.2">
      <c r="A2226" s="1" t="s">
        <v>2584</v>
      </c>
      <c r="B2226" s="1" t="s">
        <v>5199</v>
      </c>
      <c r="C2226" s="1">
        <v>50974</v>
      </c>
      <c r="D2226" s="1">
        <v>1</v>
      </c>
      <c r="F2226" s="1">
        <v>2023</v>
      </c>
      <c r="G2226" s="5">
        <v>5119</v>
      </c>
      <c r="H2226" s="5">
        <v>5089.7</v>
      </c>
      <c r="J2226" s="5">
        <v>1604993.85</v>
      </c>
      <c r="K2226" s="5">
        <v>647.16300000000001</v>
      </c>
      <c r="L2226" s="5">
        <v>0.62250000000000005</v>
      </c>
      <c r="M2226" s="5">
        <v>271593.18699999998</v>
      </c>
      <c r="N2226" s="6">
        <v>0.1057</v>
      </c>
      <c r="O2226" s="5">
        <v>140.91900000000001</v>
      </c>
      <c r="P2226" s="6">
        <v>0.11260000000000001</v>
      </c>
      <c r="Q2226" s="5">
        <v>2561518.4879999999</v>
      </c>
      <c r="R2226" s="1" t="s">
        <v>55</v>
      </c>
      <c r="T2226" s="1" t="s">
        <v>885</v>
      </c>
      <c r="U2226" s="1" t="s">
        <v>1069</v>
      </c>
      <c r="V2226" s="1" t="s">
        <v>669</v>
      </c>
      <c r="Y2226" s="1" t="s">
        <v>682</v>
      </c>
      <c r="Z2226" s="1" t="str">
        <f t="shared" si="102"/>
        <v>50974 1</v>
      </c>
      <c r="AA2226" s="3">
        <f>IF(INDEX('CAMD Facility Data 2023'!$AA$2:$AE$10000,MATCH(Z2226,'CAMD Facility Data 2023'!$AE$2:$AE$10000,0),1)&gt;0,INDEX('CAMD Facility Data 2023'!$AA$2:$AE$10000,MATCH(Z2226,'CAMD Facility Data 2023'!$AE$2:$AE$10000,0),1),"")</f>
        <v>34126</v>
      </c>
      <c r="AB2226" s="5">
        <f>IF(INDEX('CAMD Facility Data 2023'!$AC$2:$AE$10000,MATCH(Z2226,'CAMD Facility Data 2023'!$AE$2:$AE$10000,0),1)&gt;0,INDEX('CAMD Facility Data 2023'!$AC$2:$AE$10000,MATCH(Z2226,'CAMD Facility Data 2023'!$AE$2:$AE$10000,0),1),"")</f>
        <v>800</v>
      </c>
      <c r="AC2226" s="1" t="str">
        <f>IF(INDEX('CAMD Facility Data 2023'!$AE$2:$AG$10000,MATCH(Z2226,'CAMD Facility Data 2023'!$AE$2:$AE$10000,0),3)&gt;0,INDEX('CAMD Facility Data 2023'!$AE$2:$AG$10000,MATCH(Z2226,'CAMD Facility Data 2023'!$AE$2:$AE$10000,0),3),"")</f>
        <v>Y</v>
      </c>
      <c r="AD2226" s="20" t="str">
        <f t="shared" si="103"/>
        <v/>
      </c>
      <c r="AE2226" s="25">
        <f t="shared" si="104"/>
        <v>0.36551348287671231</v>
      </c>
    </row>
    <row r="2227" spans="1:31" x14ac:dyDescent="0.2">
      <c r="A2227" s="1" t="s">
        <v>2584</v>
      </c>
      <c r="B2227" s="1" t="s">
        <v>5199</v>
      </c>
      <c r="C2227" s="1">
        <v>50974</v>
      </c>
      <c r="D2227" s="1">
        <v>2</v>
      </c>
      <c r="F2227" s="1">
        <v>2023</v>
      </c>
      <c r="G2227" s="5">
        <v>4458</v>
      </c>
      <c r="H2227" s="5">
        <v>4432.7700000000004</v>
      </c>
      <c r="J2227" s="5">
        <v>1457777.62</v>
      </c>
      <c r="K2227" s="5">
        <v>521.24699999999996</v>
      </c>
      <c r="L2227" s="5">
        <v>0.88590000000000002</v>
      </c>
      <c r="M2227" s="5">
        <v>221762.946</v>
      </c>
      <c r="N2227" s="6">
        <v>0.1057</v>
      </c>
      <c r="O2227" s="5">
        <v>127.342</v>
      </c>
      <c r="P2227" s="6">
        <v>0.1237</v>
      </c>
      <c r="Q2227" s="5">
        <v>2091338.733</v>
      </c>
      <c r="R2227" s="1" t="s">
        <v>55</v>
      </c>
      <c r="T2227" s="1" t="s">
        <v>885</v>
      </c>
      <c r="U2227" s="1" t="s">
        <v>1069</v>
      </c>
      <c r="V2227" s="1" t="s">
        <v>669</v>
      </c>
      <c r="Y2227" s="1" t="s">
        <v>682</v>
      </c>
      <c r="Z2227" s="1" t="str">
        <f t="shared" si="102"/>
        <v>50974 2</v>
      </c>
      <c r="AA2227" s="3">
        <f>IF(INDEX('CAMD Facility Data 2023'!$AA$2:$AE$10000,MATCH(Z2227,'CAMD Facility Data 2023'!$AE$2:$AE$10000,0),1)&gt;0,INDEX('CAMD Facility Data 2023'!$AA$2:$AE$10000,MATCH(Z2227,'CAMD Facility Data 2023'!$AE$2:$AE$10000,0),1),"")</f>
        <v>34126</v>
      </c>
      <c r="AB2227" s="5">
        <f>IF(INDEX('CAMD Facility Data 2023'!$AC$2:$AE$10000,MATCH(Z2227,'CAMD Facility Data 2023'!$AE$2:$AE$10000,0),1)&gt;0,INDEX('CAMD Facility Data 2023'!$AC$2:$AE$10000,MATCH(Z2227,'CAMD Facility Data 2023'!$AE$2:$AE$10000,0),1),"")</f>
        <v>775</v>
      </c>
      <c r="AC2227" s="1" t="str">
        <f>IF(INDEX('CAMD Facility Data 2023'!$AE$2:$AG$10000,MATCH(Z2227,'CAMD Facility Data 2023'!$AE$2:$AE$10000,0),3)&gt;0,INDEX('CAMD Facility Data 2023'!$AE$2:$AG$10000,MATCH(Z2227,'CAMD Facility Data 2023'!$AE$2:$AE$10000,0),3),"")</f>
        <v>Y</v>
      </c>
      <c r="AD2227" s="20" t="str">
        <f t="shared" si="103"/>
        <v/>
      </c>
      <c r="AE2227" s="25">
        <f t="shared" si="104"/>
        <v>0.30804812682280158</v>
      </c>
    </row>
    <row r="2228" spans="1:31" x14ac:dyDescent="0.2">
      <c r="A2228" s="1" t="s">
        <v>2089</v>
      </c>
      <c r="B2228" s="1" t="s">
        <v>5204</v>
      </c>
      <c r="C2228" s="1">
        <v>50978</v>
      </c>
      <c r="D2228" s="1" t="s">
        <v>3087</v>
      </c>
      <c r="F2228" s="1">
        <v>2023</v>
      </c>
      <c r="G2228" s="5">
        <v>2422</v>
      </c>
      <c r="H2228" s="5">
        <v>2228.91</v>
      </c>
      <c r="I2228" s="5">
        <v>69174.02</v>
      </c>
      <c r="K2228" s="5">
        <v>0.246</v>
      </c>
      <c r="L2228" s="5">
        <v>1E-3</v>
      </c>
      <c r="M2228" s="5">
        <v>48629.853999999999</v>
      </c>
      <c r="N2228" s="6">
        <v>5.9299999999999999E-2</v>
      </c>
      <c r="O2228" s="5">
        <v>10.939</v>
      </c>
      <c r="P2228" s="6">
        <v>2.7300000000000001E-2</v>
      </c>
      <c r="Q2228" s="5">
        <v>818288.99800000002</v>
      </c>
      <c r="R2228" s="1" t="s">
        <v>44</v>
      </c>
      <c r="S2228" s="1" t="s">
        <v>94</v>
      </c>
      <c r="T2228" s="1" t="s">
        <v>71</v>
      </c>
      <c r="V2228" s="1" t="s">
        <v>5206</v>
      </c>
      <c r="Y2228" s="1" t="s">
        <v>1515</v>
      </c>
      <c r="Z2228" s="1" t="str">
        <f t="shared" si="102"/>
        <v>50978 A</v>
      </c>
      <c r="AA2228" s="3">
        <f>IF(INDEX('CAMD Facility Data 2023'!$AA$2:$AE$10000,MATCH(Z2228,'CAMD Facility Data 2023'!$AE$2:$AE$10000,0),1)&gt;0,INDEX('CAMD Facility Data 2023'!$AA$2:$AE$10000,MATCH(Z2228,'CAMD Facility Data 2023'!$AE$2:$AE$10000,0),1),"")</f>
        <v>34314</v>
      </c>
      <c r="AB2228" s="5">
        <f>IF(INDEX('CAMD Facility Data 2023'!$AC$2:$AE$10000,MATCH(Z2228,'CAMD Facility Data 2023'!$AE$2:$AE$10000,0),1)&gt;0,INDEX('CAMD Facility Data 2023'!$AC$2:$AE$10000,MATCH(Z2228,'CAMD Facility Data 2023'!$AE$2:$AE$10000,0),1),"")</f>
        <v>472</v>
      </c>
      <c r="AC2228" s="1" t="str">
        <f>IF(INDEX('CAMD Facility Data 2023'!$AE$2:$AG$10000,MATCH(Z2228,'CAMD Facility Data 2023'!$AE$2:$AE$10000,0),3)&gt;0,INDEX('CAMD Facility Data 2023'!$AE$2:$AG$10000,MATCH(Z2228,'CAMD Facility Data 2023'!$AE$2:$AE$10000,0),3),"")</f>
        <v/>
      </c>
      <c r="AD2228" s="20">
        <f t="shared" si="103"/>
        <v>0.31627480953109272</v>
      </c>
      <c r="AE2228" s="25">
        <f t="shared" si="104"/>
        <v>0.19790675015478679</v>
      </c>
    </row>
    <row r="2229" spans="1:31" x14ac:dyDescent="0.2">
      <c r="A2229" s="1" t="s">
        <v>2089</v>
      </c>
      <c r="B2229" s="1" t="s">
        <v>5204</v>
      </c>
      <c r="C2229" s="1">
        <v>50978</v>
      </c>
      <c r="D2229" s="1" t="s">
        <v>3091</v>
      </c>
      <c r="F2229" s="1">
        <v>2023</v>
      </c>
      <c r="G2229" s="5">
        <v>2399</v>
      </c>
      <c r="H2229" s="5">
        <v>2214.91</v>
      </c>
      <c r="I2229" s="5">
        <v>67404.56</v>
      </c>
      <c r="K2229" s="5">
        <v>0.28599999999999998</v>
      </c>
      <c r="L2229" s="5">
        <v>4.0000000000000001E-3</v>
      </c>
      <c r="M2229" s="5">
        <v>49332.923000000003</v>
      </c>
      <c r="N2229" s="6">
        <v>5.9299999999999999E-2</v>
      </c>
      <c r="O2229" s="5">
        <v>11.353999999999999</v>
      </c>
      <c r="P2229" s="6">
        <v>2.8799999999999999E-2</v>
      </c>
      <c r="Q2229" s="5">
        <v>830068.44499999995</v>
      </c>
      <c r="R2229" s="1" t="s">
        <v>44</v>
      </c>
      <c r="S2229" s="1" t="s">
        <v>94</v>
      </c>
      <c r="T2229" s="1" t="s">
        <v>71</v>
      </c>
      <c r="V2229" s="1" t="s">
        <v>5206</v>
      </c>
      <c r="Y2229" s="1" t="s">
        <v>1515</v>
      </c>
      <c r="Z2229" s="1" t="str">
        <f t="shared" si="102"/>
        <v>50978 B</v>
      </c>
      <c r="AA2229" s="3">
        <f>IF(INDEX('CAMD Facility Data 2023'!$AA$2:$AE$10000,MATCH(Z2229,'CAMD Facility Data 2023'!$AE$2:$AE$10000,0),1)&gt;0,INDEX('CAMD Facility Data 2023'!$AA$2:$AE$10000,MATCH(Z2229,'CAMD Facility Data 2023'!$AE$2:$AE$10000,0),1),"")</f>
        <v>34314</v>
      </c>
      <c r="AB2229" s="5">
        <f>IF(INDEX('CAMD Facility Data 2023'!$AC$2:$AE$10000,MATCH(Z2229,'CAMD Facility Data 2023'!$AE$2:$AE$10000,0),1)&gt;0,INDEX('CAMD Facility Data 2023'!$AC$2:$AE$10000,MATCH(Z2229,'CAMD Facility Data 2023'!$AE$2:$AE$10000,0),1),"")</f>
        <v>488</v>
      </c>
      <c r="AC2229" s="1" t="str">
        <f>IF(INDEX('CAMD Facility Data 2023'!$AE$2:$AG$10000,MATCH(Z2229,'CAMD Facility Data 2023'!$AE$2:$AE$10000,0),3)&gt;0,INDEX('CAMD Facility Data 2023'!$AE$2:$AG$10000,MATCH(Z2229,'CAMD Facility Data 2023'!$AE$2:$AE$10000,0),3),"")</f>
        <v/>
      </c>
      <c r="AD2229" s="20">
        <f t="shared" si="103"/>
        <v>0.33689115395160207</v>
      </c>
      <c r="AE2229" s="25">
        <f t="shared" si="104"/>
        <v>0.19417350779437081</v>
      </c>
    </row>
    <row r="2230" spans="1:31" x14ac:dyDescent="0.2">
      <c r="A2230" s="1" t="s">
        <v>2680</v>
      </c>
      <c r="B2230" s="1" t="s">
        <v>5213</v>
      </c>
      <c r="C2230" s="1">
        <v>51030</v>
      </c>
      <c r="D2230" s="1">
        <v>1</v>
      </c>
      <c r="F2230" s="1">
        <v>2023</v>
      </c>
      <c r="G2230" s="5">
        <v>6526</v>
      </c>
      <c r="H2230" s="5">
        <v>6326.5</v>
      </c>
      <c r="I2230" s="5">
        <v>489827.94</v>
      </c>
      <c r="K2230" s="5">
        <v>1.8260000000000001</v>
      </c>
      <c r="L2230" s="5">
        <v>1E-3</v>
      </c>
      <c r="M2230" s="5">
        <v>361488.57500000001</v>
      </c>
      <c r="N2230" s="6">
        <v>5.91E-2</v>
      </c>
      <c r="O2230" s="5">
        <v>78.736999999999995</v>
      </c>
      <c r="P2230" s="6">
        <v>2.6200000000000001E-2</v>
      </c>
      <c r="Q2230" s="5">
        <v>6072195.1619999995</v>
      </c>
      <c r="R2230" s="1" t="s">
        <v>44</v>
      </c>
      <c r="S2230" s="1" t="s">
        <v>94</v>
      </c>
      <c r="T2230" s="1" t="s">
        <v>71</v>
      </c>
      <c r="V2230" s="1" t="s">
        <v>176</v>
      </c>
      <c r="Y2230" s="1" t="s">
        <v>579</v>
      </c>
      <c r="Z2230" s="1" t="str">
        <f t="shared" si="102"/>
        <v>51030 1</v>
      </c>
      <c r="AA2230" s="3">
        <f>IF(INDEX('CAMD Facility Data 2023'!$AA$2:$AE$10000,MATCH(Z2230,'CAMD Facility Data 2023'!$AE$2:$AE$10000,0),1)&gt;0,INDEX('CAMD Facility Data 2023'!$AA$2:$AE$10000,MATCH(Z2230,'CAMD Facility Data 2023'!$AE$2:$AE$10000,0),1),"")</f>
        <v>33208</v>
      </c>
      <c r="AB2230" s="5">
        <f>IF(INDEX('CAMD Facility Data 2023'!$AC$2:$AE$10000,MATCH(Z2230,'CAMD Facility Data 2023'!$AE$2:$AE$10000,0),1)&gt;0,INDEX('CAMD Facility Data 2023'!$AC$2:$AE$10000,MATCH(Z2230,'CAMD Facility Data 2023'!$AE$2:$AE$10000,0),1),"")</f>
        <v>1650</v>
      </c>
      <c r="AC2230" s="1" t="str">
        <f>IF(INDEX('CAMD Facility Data 2023'!$AE$2:$AG$10000,MATCH(Z2230,'CAMD Facility Data 2023'!$AE$2:$AE$10000,0),3)&gt;0,INDEX('CAMD Facility Data 2023'!$AE$2:$AG$10000,MATCH(Z2230,'CAMD Facility Data 2023'!$AE$2:$AE$10000,0),3),"")</f>
        <v>Y</v>
      </c>
      <c r="AD2230" s="20">
        <f t="shared" si="103"/>
        <v>0.32148839855888989</v>
      </c>
      <c r="AE2230" s="25">
        <f t="shared" si="104"/>
        <v>0.42010482648401826</v>
      </c>
    </row>
    <row r="2231" spans="1:31" x14ac:dyDescent="0.2">
      <c r="A2231" s="1" t="s">
        <v>2680</v>
      </c>
      <c r="B2231" s="1" t="s">
        <v>5213</v>
      </c>
      <c r="C2231" s="1">
        <v>51030</v>
      </c>
      <c r="D2231" s="1">
        <v>2</v>
      </c>
      <c r="F2231" s="1">
        <v>2023</v>
      </c>
      <c r="G2231" s="5">
        <v>5402</v>
      </c>
      <c r="H2231" s="5">
        <v>5246.74</v>
      </c>
      <c r="I2231" s="5">
        <v>389191.27</v>
      </c>
      <c r="K2231" s="5">
        <v>1.4179999999999999</v>
      </c>
      <c r="L2231" s="5">
        <v>1E-3</v>
      </c>
      <c r="M2231" s="5">
        <v>280675.07299999997</v>
      </c>
      <c r="N2231" s="6">
        <v>5.91E-2</v>
      </c>
      <c r="O2231" s="5">
        <v>62.137</v>
      </c>
      <c r="P2231" s="6">
        <v>2.7400000000000001E-2</v>
      </c>
      <c r="Q2231" s="5">
        <v>4713191.1119999997</v>
      </c>
      <c r="R2231" s="1" t="s">
        <v>44</v>
      </c>
      <c r="S2231" s="1" t="s">
        <v>94</v>
      </c>
      <c r="T2231" s="1" t="s">
        <v>71</v>
      </c>
      <c r="V2231" s="1" t="s">
        <v>176</v>
      </c>
      <c r="Y2231" s="1" t="s">
        <v>579</v>
      </c>
      <c r="Z2231" s="1" t="str">
        <f t="shared" si="102"/>
        <v>51030 2</v>
      </c>
      <c r="AA2231" s="3">
        <f>IF(INDEX('CAMD Facility Data 2023'!$AA$2:$AE$10000,MATCH(Z2231,'CAMD Facility Data 2023'!$AE$2:$AE$10000,0),1)&gt;0,INDEX('CAMD Facility Data 2023'!$AA$2:$AE$10000,MATCH(Z2231,'CAMD Facility Data 2023'!$AE$2:$AE$10000,0),1),"")</f>
        <v>33208</v>
      </c>
      <c r="AB2231" s="5">
        <f>IF(INDEX('CAMD Facility Data 2023'!$AC$2:$AE$10000,MATCH(Z2231,'CAMD Facility Data 2023'!$AE$2:$AE$10000,0),1)&gt;0,INDEX('CAMD Facility Data 2023'!$AC$2:$AE$10000,MATCH(Z2231,'CAMD Facility Data 2023'!$AE$2:$AE$10000,0),1),"")</f>
        <v>1650</v>
      </c>
      <c r="AC2231" s="1" t="str">
        <f>IF(INDEX('CAMD Facility Data 2023'!$AE$2:$AG$10000,MATCH(Z2231,'CAMD Facility Data 2023'!$AE$2:$AE$10000,0),3)&gt;0,INDEX('CAMD Facility Data 2023'!$AE$2:$AG$10000,MATCH(Z2231,'CAMD Facility Data 2023'!$AE$2:$AE$10000,0),3),"")</f>
        <v>Y</v>
      </c>
      <c r="AD2231" s="20">
        <f t="shared" si="103"/>
        <v>0.31931343167075665</v>
      </c>
      <c r="AE2231" s="25">
        <f t="shared" si="104"/>
        <v>0.32608213034454131</v>
      </c>
    </row>
    <row r="2232" spans="1:31" x14ac:dyDescent="0.2">
      <c r="A2232" s="1" t="s">
        <v>3095</v>
      </c>
      <c r="B2232" s="1" t="s">
        <v>5217</v>
      </c>
      <c r="C2232" s="1">
        <v>52019</v>
      </c>
      <c r="D2232" s="1">
        <v>501</v>
      </c>
      <c r="F2232" s="1">
        <v>2023</v>
      </c>
      <c r="G2232" s="5">
        <v>7189</v>
      </c>
      <c r="H2232" s="5">
        <v>7155.82</v>
      </c>
      <c r="I2232" s="5">
        <v>1037138.02</v>
      </c>
      <c r="K2232" s="5">
        <v>2.5779999999999998</v>
      </c>
      <c r="L2232" s="5">
        <v>1E-3</v>
      </c>
      <c r="M2232" s="5">
        <v>506807.87099999998</v>
      </c>
      <c r="N2232" s="6">
        <v>5.8999999999999997E-2</v>
      </c>
      <c r="O2232" s="5">
        <v>134.24700000000001</v>
      </c>
      <c r="P2232" s="6">
        <v>3.1899999999999998E-2</v>
      </c>
      <c r="Q2232" s="5">
        <v>8527293.6559999995</v>
      </c>
      <c r="R2232" s="1" t="s">
        <v>44</v>
      </c>
      <c r="S2232" s="1" t="s">
        <v>94</v>
      </c>
      <c r="T2232" s="1" t="s">
        <v>71</v>
      </c>
      <c r="V2232" s="1" t="s">
        <v>2685</v>
      </c>
      <c r="Y2232" s="1" t="s">
        <v>1515</v>
      </c>
      <c r="Z2232" s="1" t="str">
        <f t="shared" si="102"/>
        <v>52019 501</v>
      </c>
      <c r="AA2232" s="3">
        <f>IF(INDEX('CAMD Facility Data 2023'!$AA$2:$AE$10000,MATCH(Z2232,'CAMD Facility Data 2023'!$AE$2:$AE$10000,0),1)&gt;0,INDEX('CAMD Facility Data 2023'!$AA$2:$AE$10000,MATCH(Z2232,'CAMD Facility Data 2023'!$AE$2:$AE$10000,0),1),"")</f>
        <v>33725</v>
      </c>
      <c r="AB2232" s="5">
        <f>IF(INDEX('CAMD Facility Data 2023'!$AC$2:$AE$10000,MATCH(Z2232,'CAMD Facility Data 2023'!$AE$2:$AE$10000,0),1)&gt;0,INDEX('CAMD Facility Data 2023'!$AC$2:$AE$10000,MATCH(Z2232,'CAMD Facility Data 2023'!$AE$2:$AE$10000,0),1),"")</f>
        <v>1699.9</v>
      </c>
      <c r="AC2232" s="1" t="str">
        <f>IF(INDEX('CAMD Facility Data 2023'!$AE$2:$AG$10000,MATCH(Z2232,'CAMD Facility Data 2023'!$AE$2:$AE$10000,0),3)&gt;0,INDEX('CAMD Facility Data 2023'!$AE$2:$AG$10000,MATCH(Z2232,'CAMD Facility Data 2023'!$AE$2:$AE$10000,0),3),"")</f>
        <v>Y</v>
      </c>
      <c r="AD2232" s="20">
        <f t="shared" si="103"/>
        <v>0.25887971978888596</v>
      </c>
      <c r="AE2232" s="25">
        <f t="shared" si="104"/>
        <v>0.57264271360576946</v>
      </c>
    </row>
    <row r="2233" spans="1:31" x14ac:dyDescent="0.2">
      <c r="A2233" s="1" t="s">
        <v>3095</v>
      </c>
      <c r="B2233" s="1" t="s">
        <v>5217</v>
      </c>
      <c r="C2233" s="1">
        <v>52019</v>
      </c>
      <c r="D2233" s="1">
        <v>502</v>
      </c>
      <c r="F2233" s="1">
        <v>2023</v>
      </c>
      <c r="G2233" s="5">
        <v>7862</v>
      </c>
      <c r="H2233" s="5">
        <v>7832.27</v>
      </c>
      <c r="I2233" s="5">
        <v>1145041.95</v>
      </c>
      <c r="K2233" s="5">
        <v>2.915</v>
      </c>
      <c r="L2233" s="5">
        <v>1E-3</v>
      </c>
      <c r="M2233" s="5">
        <v>574884.04399999999</v>
      </c>
      <c r="N2233" s="6">
        <v>5.8999999999999997E-2</v>
      </c>
      <c r="O2233" s="5">
        <v>145.68899999999999</v>
      </c>
      <c r="P2233" s="6">
        <v>3.04E-2</v>
      </c>
      <c r="Q2233" s="5">
        <v>9673005.0370000005</v>
      </c>
      <c r="R2233" s="1" t="s">
        <v>44</v>
      </c>
      <c r="S2233" s="1" t="s">
        <v>94</v>
      </c>
      <c r="T2233" s="1" t="s">
        <v>71</v>
      </c>
      <c r="V2233" s="1" t="s">
        <v>2685</v>
      </c>
      <c r="Y2233" s="1" t="s">
        <v>1515</v>
      </c>
      <c r="Z2233" s="1" t="str">
        <f t="shared" si="102"/>
        <v>52019 502</v>
      </c>
      <c r="AA2233" s="3">
        <f>IF(INDEX('CAMD Facility Data 2023'!$AA$2:$AE$10000,MATCH(Z2233,'CAMD Facility Data 2023'!$AE$2:$AE$10000,0),1)&gt;0,INDEX('CAMD Facility Data 2023'!$AA$2:$AE$10000,MATCH(Z2233,'CAMD Facility Data 2023'!$AE$2:$AE$10000,0),1),"")</f>
        <v>33725</v>
      </c>
      <c r="AB2233" s="5">
        <f>IF(INDEX('CAMD Facility Data 2023'!$AC$2:$AE$10000,MATCH(Z2233,'CAMD Facility Data 2023'!$AE$2:$AE$10000,0),1)&gt;0,INDEX('CAMD Facility Data 2023'!$AC$2:$AE$10000,MATCH(Z2233,'CAMD Facility Data 2023'!$AE$2:$AE$10000,0),1),"")</f>
        <v>1845.8</v>
      </c>
      <c r="AC2233" s="1" t="str">
        <f>IF(INDEX('CAMD Facility Data 2023'!$AE$2:$AG$10000,MATCH(Z2233,'CAMD Facility Data 2023'!$AE$2:$AE$10000,0),3)&gt;0,INDEX('CAMD Facility Data 2023'!$AE$2:$AG$10000,MATCH(Z2233,'CAMD Facility Data 2023'!$AE$2:$AE$10000,0),3),"")</f>
        <v>Y</v>
      </c>
      <c r="AD2233" s="20">
        <f t="shared" si="103"/>
        <v>0.25446927948796988</v>
      </c>
      <c r="AE2233" s="25">
        <f t="shared" si="104"/>
        <v>0.5982361682155366</v>
      </c>
    </row>
    <row r="2234" spans="1:31" x14ac:dyDescent="0.2">
      <c r="A2234" s="1" t="s">
        <v>3095</v>
      </c>
      <c r="B2234" s="1" t="s">
        <v>5217</v>
      </c>
      <c r="C2234" s="1">
        <v>52019</v>
      </c>
      <c r="D2234" s="1">
        <v>601</v>
      </c>
      <c r="F2234" s="1">
        <v>2023</v>
      </c>
      <c r="G2234" s="5">
        <v>7594</v>
      </c>
      <c r="H2234" s="5">
        <v>7565.08</v>
      </c>
      <c r="I2234" s="5">
        <v>1095084.6599999999</v>
      </c>
      <c r="K2234" s="5">
        <v>2.8420000000000001</v>
      </c>
      <c r="L2234" s="5">
        <v>1E-3</v>
      </c>
      <c r="M2234" s="5">
        <v>553613.772</v>
      </c>
      <c r="N2234" s="6">
        <v>5.8999999999999997E-2</v>
      </c>
      <c r="O2234" s="5">
        <v>147.49700000000001</v>
      </c>
      <c r="P2234" s="6">
        <v>3.2000000000000001E-2</v>
      </c>
      <c r="Q2234" s="5">
        <v>9313879.0840000007</v>
      </c>
      <c r="R2234" s="1" t="s">
        <v>44</v>
      </c>
      <c r="S2234" s="1" t="s">
        <v>94</v>
      </c>
      <c r="T2234" s="1" t="s">
        <v>71</v>
      </c>
      <c r="V2234" s="1" t="s">
        <v>2685</v>
      </c>
      <c r="Y2234" s="1" t="s">
        <v>1515</v>
      </c>
      <c r="Z2234" s="1" t="str">
        <f t="shared" si="102"/>
        <v>52019 601</v>
      </c>
      <c r="AA2234" s="3">
        <f>IF(INDEX('CAMD Facility Data 2023'!$AA$2:$AE$10000,MATCH(Z2234,'CAMD Facility Data 2023'!$AE$2:$AE$10000,0),1)&gt;0,INDEX('CAMD Facility Data 2023'!$AA$2:$AE$10000,MATCH(Z2234,'CAMD Facility Data 2023'!$AE$2:$AE$10000,0),1),"")</f>
        <v>33725</v>
      </c>
      <c r="AB2234" s="5">
        <f>IF(INDEX('CAMD Facility Data 2023'!$AC$2:$AE$10000,MATCH(Z2234,'CAMD Facility Data 2023'!$AE$2:$AE$10000,0),1)&gt;0,INDEX('CAMD Facility Data 2023'!$AC$2:$AE$10000,MATCH(Z2234,'CAMD Facility Data 2023'!$AE$2:$AE$10000,0),1),"")</f>
        <v>1616.9</v>
      </c>
      <c r="AC2234" s="1" t="str">
        <f>IF(INDEX('CAMD Facility Data 2023'!$AE$2:$AG$10000,MATCH(Z2234,'CAMD Facility Data 2023'!$AE$2:$AE$10000,0),3)&gt;0,INDEX('CAMD Facility Data 2023'!$AE$2:$AG$10000,MATCH(Z2234,'CAMD Facility Data 2023'!$AE$2:$AE$10000,0),3),"")</f>
        <v>Y</v>
      </c>
      <c r="AD2234" s="20">
        <f t="shared" si="103"/>
        <v>0.26938008610220149</v>
      </c>
      <c r="AE2234" s="25">
        <f t="shared" si="104"/>
        <v>0.65757202420438687</v>
      </c>
    </row>
    <row r="2235" spans="1:31" x14ac:dyDescent="0.2">
      <c r="A2235" s="1" t="s">
        <v>3095</v>
      </c>
      <c r="B2235" s="1" t="s">
        <v>5217</v>
      </c>
      <c r="C2235" s="1">
        <v>52019</v>
      </c>
      <c r="D2235" s="1">
        <v>602</v>
      </c>
      <c r="F2235" s="1">
        <v>2023</v>
      </c>
      <c r="G2235" s="5">
        <v>7523</v>
      </c>
      <c r="H2235" s="5">
        <v>7486.29</v>
      </c>
      <c r="I2235" s="5">
        <v>1088179.8600000001</v>
      </c>
      <c r="K2235" s="5">
        <v>2.8239999999999998</v>
      </c>
      <c r="L2235" s="5">
        <v>1E-3</v>
      </c>
      <c r="M2235" s="5">
        <v>557201.70200000005</v>
      </c>
      <c r="N2235" s="6">
        <v>5.8999999999999997E-2</v>
      </c>
      <c r="O2235" s="5">
        <v>144.68899999999999</v>
      </c>
      <c r="P2235" s="6">
        <v>3.1399999999999997E-2</v>
      </c>
      <c r="Q2235" s="5">
        <v>9375559.5329999998</v>
      </c>
      <c r="R2235" s="1" t="s">
        <v>44</v>
      </c>
      <c r="S2235" s="1" t="s">
        <v>94</v>
      </c>
      <c r="T2235" s="1" t="s">
        <v>71</v>
      </c>
      <c r="V2235" s="1" t="s">
        <v>2685</v>
      </c>
      <c r="Y2235" s="1" t="s">
        <v>1515</v>
      </c>
      <c r="Z2235" s="1" t="str">
        <f t="shared" si="102"/>
        <v>52019 602</v>
      </c>
      <c r="AA2235" s="3">
        <f>IF(INDEX('CAMD Facility Data 2023'!$AA$2:$AE$10000,MATCH(Z2235,'CAMD Facility Data 2023'!$AE$2:$AE$10000,0),1)&gt;0,INDEX('CAMD Facility Data 2023'!$AA$2:$AE$10000,MATCH(Z2235,'CAMD Facility Data 2023'!$AE$2:$AE$10000,0),1),"")</f>
        <v>33725</v>
      </c>
      <c r="AB2235" s="5">
        <f>IF(INDEX('CAMD Facility Data 2023'!$AC$2:$AE$10000,MATCH(Z2235,'CAMD Facility Data 2023'!$AE$2:$AE$10000,0),1)&gt;0,INDEX('CAMD Facility Data 2023'!$AC$2:$AE$10000,MATCH(Z2235,'CAMD Facility Data 2023'!$AE$2:$AE$10000,0),1),"")</f>
        <v>1620.5</v>
      </c>
      <c r="AC2235" s="1" t="str">
        <f>IF(INDEX('CAMD Facility Data 2023'!$AE$2:$AG$10000,MATCH(Z2235,'CAMD Facility Data 2023'!$AE$2:$AE$10000,0),3)&gt;0,INDEX('CAMD Facility Data 2023'!$AE$2:$AG$10000,MATCH(Z2235,'CAMD Facility Data 2023'!$AE$2:$AE$10000,0),3),"")</f>
        <v>Y</v>
      </c>
      <c r="AD2235" s="20">
        <f t="shared" si="103"/>
        <v>0.26592846517118962</v>
      </c>
      <c r="AE2235" s="25">
        <f t="shared" si="104"/>
        <v>0.66045624997358332</v>
      </c>
    </row>
    <row r="2236" spans="1:31" x14ac:dyDescent="0.2">
      <c r="A2236" s="1" t="s">
        <v>3095</v>
      </c>
      <c r="B2236" s="1" t="s">
        <v>5217</v>
      </c>
      <c r="C2236" s="1">
        <v>52019</v>
      </c>
      <c r="D2236" s="1" t="s">
        <v>311</v>
      </c>
      <c r="F2236" s="1">
        <v>2023</v>
      </c>
      <c r="G2236" s="5">
        <v>1961</v>
      </c>
      <c r="H2236" s="5">
        <v>1745.19</v>
      </c>
      <c r="I2236" s="5">
        <v>243151.09</v>
      </c>
      <c r="K2236" s="5">
        <v>0.96699999999999997</v>
      </c>
      <c r="L2236" s="5">
        <v>1.1000000000000001E-3</v>
      </c>
      <c r="M2236" s="5">
        <v>168764.022</v>
      </c>
      <c r="N2236" s="6">
        <v>5.9200000000000003E-2</v>
      </c>
      <c r="O2236" s="5">
        <v>51.500999999999998</v>
      </c>
      <c r="P2236" s="6">
        <v>4.5100000000000001E-2</v>
      </c>
      <c r="Q2236" s="5">
        <v>2835472.4709999999</v>
      </c>
      <c r="R2236" s="1" t="s">
        <v>44</v>
      </c>
      <c r="S2236" s="1" t="s">
        <v>94</v>
      </c>
      <c r="T2236" s="1" t="s">
        <v>93</v>
      </c>
      <c r="V2236" s="1" t="s">
        <v>183</v>
      </c>
      <c r="Y2236" s="1" t="s">
        <v>1515</v>
      </c>
      <c r="Z2236" s="1" t="str">
        <f t="shared" si="102"/>
        <v>52019 CT1</v>
      </c>
      <c r="AA2236" s="3">
        <f>IF(INDEX('CAMD Facility Data 2023'!$AA$2:$AE$10000,MATCH(Z2236,'CAMD Facility Data 2023'!$AE$2:$AE$10000,0),1)&gt;0,INDEX('CAMD Facility Data 2023'!$AA$2:$AE$10000,MATCH(Z2236,'CAMD Facility Data 2023'!$AE$2:$AE$10000,0),1),"")</f>
        <v>36960</v>
      </c>
      <c r="AB2236" s="5">
        <f>IF(INDEX('CAMD Facility Data 2023'!$AC$2:$AE$10000,MATCH(Z2236,'CAMD Facility Data 2023'!$AE$2:$AE$10000,0),1)&gt;0,INDEX('CAMD Facility Data 2023'!$AC$2:$AE$10000,MATCH(Z2236,'CAMD Facility Data 2023'!$AE$2:$AE$10000,0),1),"")</f>
        <v>2141.9</v>
      </c>
      <c r="AC2236" s="1" t="str">
        <f>IF(INDEX('CAMD Facility Data 2023'!$AE$2:$AG$10000,MATCH(Z2236,'CAMD Facility Data 2023'!$AE$2:$AE$10000,0),3)&gt;0,INDEX('CAMD Facility Data 2023'!$AE$2:$AG$10000,MATCH(Z2236,'CAMD Facility Data 2023'!$AE$2:$AE$10000,0),3),"")</f>
        <v/>
      </c>
      <c r="AD2236" s="20">
        <f t="shared" si="103"/>
        <v>0.42361315345121425</v>
      </c>
      <c r="AE2236" s="25">
        <f t="shared" si="104"/>
        <v>0.15112006724495236</v>
      </c>
    </row>
    <row r="2237" spans="1:31" x14ac:dyDescent="0.2">
      <c r="A2237" s="1" t="s">
        <v>3095</v>
      </c>
      <c r="B2237" s="1" t="s">
        <v>5217</v>
      </c>
      <c r="C2237" s="1">
        <v>52019</v>
      </c>
      <c r="D2237" s="1" t="s">
        <v>98</v>
      </c>
      <c r="F2237" s="1">
        <v>2023</v>
      </c>
      <c r="G2237" s="5">
        <v>2760</v>
      </c>
      <c r="H2237" s="5">
        <v>2489.2600000000002</v>
      </c>
      <c r="I2237" s="5">
        <v>353784.14</v>
      </c>
      <c r="K2237" s="5">
        <v>1.234</v>
      </c>
      <c r="L2237" s="5">
        <v>1E-3</v>
      </c>
      <c r="M2237" s="5">
        <v>244424.685</v>
      </c>
      <c r="N2237" s="6">
        <v>5.8999999999999997E-2</v>
      </c>
      <c r="O2237" s="5">
        <v>70.367000000000004</v>
      </c>
      <c r="P2237" s="6">
        <v>4.19E-2</v>
      </c>
      <c r="Q2237" s="5">
        <v>4112826.5860000001</v>
      </c>
      <c r="R2237" s="1" t="s">
        <v>44</v>
      </c>
      <c r="T2237" s="1" t="s">
        <v>93</v>
      </c>
      <c r="V2237" s="1" t="s">
        <v>140</v>
      </c>
      <c r="Y2237" s="1" t="s">
        <v>1515</v>
      </c>
      <c r="Z2237" s="1" t="str">
        <f t="shared" si="102"/>
        <v>52019 CT2</v>
      </c>
      <c r="AA2237" s="3">
        <f>IF(INDEX('CAMD Facility Data 2023'!$AA$2:$AE$10000,MATCH(Z2237,'CAMD Facility Data 2023'!$AE$2:$AE$10000,0),1)&gt;0,INDEX('CAMD Facility Data 2023'!$AA$2:$AE$10000,MATCH(Z2237,'CAMD Facility Data 2023'!$AE$2:$AE$10000,0),1),"")</f>
        <v>43176</v>
      </c>
      <c r="AB2237" s="5">
        <f>IF(INDEX('CAMD Facility Data 2023'!$AC$2:$AE$10000,MATCH(Z2237,'CAMD Facility Data 2023'!$AE$2:$AE$10000,0),1)&gt;0,INDEX('CAMD Facility Data 2023'!$AC$2:$AE$10000,MATCH(Z2237,'CAMD Facility Data 2023'!$AE$2:$AE$10000,0),1),"")</f>
        <v>2075</v>
      </c>
      <c r="AC2237" s="1" t="str">
        <f>IF(INDEX('CAMD Facility Data 2023'!$AE$2:$AG$10000,MATCH(Z2237,'CAMD Facility Data 2023'!$AE$2:$AE$10000,0),3)&gt;0,INDEX('CAMD Facility Data 2023'!$AE$2:$AG$10000,MATCH(Z2237,'CAMD Facility Data 2023'!$AE$2:$AE$10000,0),3),"")</f>
        <v/>
      </c>
      <c r="AD2237" s="20">
        <f t="shared" si="103"/>
        <v>0.39779623812418496</v>
      </c>
      <c r="AE2237" s="25">
        <f t="shared" si="104"/>
        <v>0.22626542256698026</v>
      </c>
    </row>
    <row r="2238" spans="1:31" x14ac:dyDescent="0.2">
      <c r="A2238" s="1" t="s">
        <v>3095</v>
      </c>
      <c r="B2238" s="1" t="s">
        <v>5217</v>
      </c>
      <c r="C2238" s="1">
        <v>52019</v>
      </c>
      <c r="D2238" s="1" t="s">
        <v>101</v>
      </c>
      <c r="F2238" s="1">
        <v>2023</v>
      </c>
      <c r="G2238" s="5">
        <v>2675</v>
      </c>
      <c r="H2238" s="5">
        <v>2420.09</v>
      </c>
      <c r="I2238" s="5">
        <v>342978.45</v>
      </c>
      <c r="K2238" s="5">
        <v>1.1950000000000001</v>
      </c>
      <c r="L2238" s="5">
        <v>1E-3</v>
      </c>
      <c r="M2238" s="5">
        <v>236671.38200000001</v>
      </c>
      <c r="N2238" s="6">
        <v>5.8999999999999997E-2</v>
      </c>
      <c r="O2238" s="5">
        <v>63.445</v>
      </c>
      <c r="P2238" s="6">
        <v>3.95E-2</v>
      </c>
      <c r="Q2238" s="5">
        <v>3982473.5630000001</v>
      </c>
      <c r="R2238" s="1" t="s">
        <v>44</v>
      </c>
      <c r="T2238" s="1" t="s">
        <v>93</v>
      </c>
      <c r="V2238" s="1" t="s">
        <v>140</v>
      </c>
      <c r="Y2238" s="1" t="s">
        <v>1515</v>
      </c>
      <c r="Z2238" s="1" t="str">
        <f t="shared" si="102"/>
        <v>52019 CT3</v>
      </c>
      <c r="AA2238" s="3">
        <f>IF(INDEX('CAMD Facility Data 2023'!$AA$2:$AE$10000,MATCH(Z2238,'CAMD Facility Data 2023'!$AE$2:$AE$10000,0),1)&gt;0,INDEX('CAMD Facility Data 2023'!$AA$2:$AE$10000,MATCH(Z2238,'CAMD Facility Data 2023'!$AE$2:$AE$10000,0),1),"")</f>
        <v>43201</v>
      </c>
      <c r="AB2238" s="5">
        <f>IF(INDEX('CAMD Facility Data 2023'!$AC$2:$AE$10000,MATCH(Z2238,'CAMD Facility Data 2023'!$AE$2:$AE$10000,0),1)&gt;0,INDEX('CAMD Facility Data 2023'!$AC$2:$AE$10000,MATCH(Z2238,'CAMD Facility Data 2023'!$AE$2:$AE$10000,0),1),"")</f>
        <v>2051.4</v>
      </c>
      <c r="AC2238" s="1" t="str">
        <f>IF(INDEX('CAMD Facility Data 2023'!$AE$2:$AG$10000,MATCH(Z2238,'CAMD Facility Data 2023'!$AE$2:$AE$10000,0),3)&gt;0,INDEX('CAMD Facility Data 2023'!$AE$2:$AG$10000,MATCH(Z2238,'CAMD Facility Data 2023'!$AE$2:$AE$10000,0),3),"")</f>
        <v/>
      </c>
      <c r="AD2238" s="20">
        <f t="shared" si="103"/>
        <v>0.36996493511472806</v>
      </c>
      <c r="AE2238" s="25">
        <f t="shared" si="104"/>
        <v>0.22161463866084549</v>
      </c>
    </row>
    <row r="2239" spans="1:31" x14ac:dyDescent="0.2">
      <c r="A2239" s="1" t="s">
        <v>1568</v>
      </c>
      <c r="B2239" s="1" t="s">
        <v>5228</v>
      </c>
      <c r="C2239" s="1">
        <v>52026</v>
      </c>
      <c r="D2239" s="1">
        <v>1</v>
      </c>
      <c r="F2239" s="1">
        <v>2023</v>
      </c>
      <c r="G2239" s="5">
        <v>560</v>
      </c>
      <c r="H2239" s="5">
        <v>506.87</v>
      </c>
      <c r="I2239" s="5">
        <v>25575.52</v>
      </c>
      <c r="K2239" s="5">
        <v>6.3E-2</v>
      </c>
      <c r="L2239" s="5">
        <v>1E-3</v>
      </c>
      <c r="M2239" s="5">
        <v>12561.099</v>
      </c>
      <c r="N2239" s="6">
        <v>5.9400000000000001E-2</v>
      </c>
      <c r="O2239" s="5">
        <v>3.2789999999999999</v>
      </c>
      <c r="P2239" s="6">
        <v>3.5000000000000003E-2</v>
      </c>
      <c r="Q2239" s="5">
        <v>210554.67300000001</v>
      </c>
      <c r="R2239" s="1" t="s">
        <v>44</v>
      </c>
      <c r="S2239" s="1" t="s">
        <v>94</v>
      </c>
      <c r="T2239" s="1" t="s">
        <v>71</v>
      </c>
      <c r="V2239" s="1" t="s">
        <v>176</v>
      </c>
      <c r="Y2239" s="1" t="s">
        <v>579</v>
      </c>
      <c r="Z2239" s="1" t="str">
        <f t="shared" si="102"/>
        <v>52026 1</v>
      </c>
      <c r="AA2239" s="3">
        <f>IF(INDEX('CAMD Facility Data 2023'!$AA$2:$AE$10000,MATCH(Z2239,'CAMD Facility Data 2023'!$AE$2:$AE$10000,0),1)&gt;0,INDEX('CAMD Facility Data 2023'!$AA$2:$AE$10000,MATCH(Z2239,'CAMD Facility Data 2023'!$AE$2:$AE$10000,0),1),"")</f>
        <v>33729</v>
      </c>
      <c r="AB2239" s="5">
        <f>IF(INDEX('CAMD Facility Data 2023'!$AC$2:$AE$10000,MATCH(Z2239,'CAMD Facility Data 2023'!$AE$2:$AE$10000,0),1)&gt;0,INDEX('CAMD Facility Data 2023'!$AC$2:$AE$10000,MATCH(Z2239,'CAMD Facility Data 2023'!$AE$2:$AE$10000,0),1),"")</f>
        <v>656</v>
      </c>
      <c r="AC2239" s="1" t="str">
        <f>IF(INDEX('CAMD Facility Data 2023'!$AE$2:$AG$10000,MATCH(Z2239,'CAMD Facility Data 2023'!$AE$2:$AE$10000,0),3)&gt;0,INDEX('CAMD Facility Data 2023'!$AE$2:$AG$10000,MATCH(Z2239,'CAMD Facility Data 2023'!$AE$2:$AE$10000,0),3),"")</f>
        <v>Y</v>
      </c>
      <c r="AD2239" s="20">
        <f t="shared" si="103"/>
        <v>0.25641707382684692</v>
      </c>
      <c r="AE2239" s="25">
        <f t="shared" si="104"/>
        <v>3.6640124352656199E-2</v>
      </c>
    </row>
    <row r="2240" spans="1:31" x14ac:dyDescent="0.2">
      <c r="A2240" s="1" t="s">
        <v>3095</v>
      </c>
      <c r="B2240" s="1" t="s">
        <v>5231</v>
      </c>
      <c r="C2240" s="1">
        <v>52087</v>
      </c>
      <c r="D2240" s="1" t="s">
        <v>1296</v>
      </c>
      <c r="E2240" s="1" t="s">
        <v>1798</v>
      </c>
      <c r="F2240" s="1">
        <v>2023</v>
      </c>
      <c r="G2240" s="5">
        <v>453</v>
      </c>
      <c r="H2240" s="5">
        <v>428.82</v>
      </c>
      <c r="I2240" s="5">
        <v>41427.480000000003</v>
      </c>
      <c r="K2240" s="5">
        <v>0.193</v>
      </c>
      <c r="L2240" s="5">
        <v>1.1999999999999999E-3</v>
      </c>
      <c r="M2240" s="5">
        <v>29730</v>
      </c>
      <c r="N2240" s="6">
        <v>5.96E-2</v>
      </c>
      <c r="O2240" s="5">
        <v>31.225000000000001</v>
      </c>
      <c r="P2240" s="6">
        <v>0.19620000000000001</v>
      </c>
      <c r="Q2240" s="5">
        <v>500057.5</v>
      </c>
      <c r="R2240" s="1" t="s">
        <v>44</v>
      </c>
      <c r="S2240" s="1" t="s">
        <v>94</v>
      </c>
      <c r="T2240" s="1" t="s">
        <v>93</v>
      </c>
      <c r="V2240" s="1" t="s">
        <v>95</v>
      </c>
      <c r="Y2240" s="1" t="s">
        <v>1515</v>
      </c>
      <c r="Z2240" s="1" t="str">
        <f t="shared" si="102"/>
        <v>52087 CT-1</v>
      </c>
      <c r="AA2240" s="3">
        <f>IF(INDEX('CAMD Facility Data 2023'!$AA$2:$AE$10000,MATCH(Z2240,'CAMD Facility Data 2023'!$AE$2:$AE$10000,0),1)&gt;0,INDEX('CAMD Facility Data 2023'!$AA$2:$AE$10000,MATCH(Z2240,'CAMD Facility Data 2023'!$AE$2:$AE$10000,0),1),"")</f>
        <v>33759</v>
      </c>
      <c r="AB2240" s="5">
        <f>IF(INDEX('CAMD Facility Data 2023'!$AC$2:$AE$10000,MATCH(Z2240,'CAMD Facility Data 2023'!$AE$2:$AE$10000,0),1)&gt;0,INDEX('CAMD Facility Data 2023'!$AC$2:$AE$10000,MATCH(Z2240,'CAMD Facility Data 2023'!$AE$2:$AE$10000,0),1),"")</f>
        <v>1553</v>
      </c>
      <c r="AC2240" s="1" t="str">
        <f>IF(INDEX('CAMD Facility Data 2023'!$AE$2:$AG$10000,MATCH(Z2240,'CAMD Facility Data 2023'!$AE$2:$AE$10000,0),3)&gt;0,INDEX('CAMD Facility Data 2023'!$AE$2:$AG$10000,MATCH(Z2240,'CAMD Facility Data 2023'!$AE$2:$AE$10000,0),3),"")</f>
        <v/>
      </c>
      <c r="AD2240" s="20">
        <f t="shared" si="103"/>
        <v>1.5074535067061765</v>
      </c>
      <c r="AE2240" s="25">
        <f t="shared" si="104"/>
        <v>3.6757366064209207E-2</v>
      </c>
    </row>
    <row r="2241" spans="1:31" x14ac:dyDescent="0.2">
      <c r="A2241" s="1" t="s">
        <v>3095</v>
      </c>
      <c r="B2241" s="1" t="s">
        <v>5231</v>
      </c>
      <c r="C2241" s="1">
        <v>52087</v>
      </c>
      <c r="D2241" s="1" t="s">
        <v>1300</v>
      </c>
      <c r="E2241" s="1" t="s">
        <v>1798</v>
      </c>
      <c r="F2241" s="1">
        <v>2023</v>
      </c>
      <c r="G2241" s="5">
        <v>647</v>
      </c>
      <c r="H2241" s="5">
        <v>603.95000000000005</v>
      </c>
      <c r="I2241" s="5">
        <v>56564.59</v>
      </c>
      <c r="K2241" s="5">
        <v>0.23499999999999999</v>
      </c>
      <c r="L2241" s="5">
        <v>1.1000000000000001E-3</v>
      </c>
      <c r="M2241" s="5">
        <v>39457.599999999999</v>
      </c>
      <c r="N2241" s="6">
        <v>5.9299999999999999E-2</v>
      </c>
      <c r="O2241" s="5">
        <v>43.662999999999997</v>
      </c>
      <c r="P2241" s="6">
        <v>0.21049999999999999</v>
      </c>
      <c r="Q2241" s="5">
        <v>665564.80000000005</v>
      </c>
      <c r="R2241" s="1" t="s">
        <v>44</v>
      </c>
      <c r="S2241" s="1" t="s">
        <v>94</v>
      </c>
      <c r="T2241" s="1" t="s">
        <v>93</v>
      </c>
      <c r="V2241" s="1" t="s">
        <v>95</v>
      </c>
      <c r="Y2241" s="1" t="s">
        <v>1515</v>
      </c>
      <c r="Z2241" s="1" t="str">
        <f t="shared" si="102"/>
        <v>52087 CT-2</v>
      </c>
      <c r="AA2241" s="3">
        <f>IF(INDEX('CAMD Facility Data 2023'!$AA$2:$AE$10000,MATCH(Z2241,'CAMD Facility Data 2023'!$AE$2:$AE$10000,0),1)&gt;0,INDEX('CAMD Facility Data 2023'!$AA$2:$AE$10000,MATCH(Z2241,'CAMD Facility Data 2023'!$AE$2:$AE$10000,0),1),"")</f>
        <v>33759</v>
      </c>
      <c r="AB2241" s="5">
        <f>IF(INDEX('CAMD Facility Data 2023'!$AC$2:$AE$10000,MATCH(Z2241,'CAMD Facility Data 2023'!$AE$2:$AE$10000,0),1)&gt;0,INDEX('CAMD Facility Data 2023'!$AC$2:$AE$10000,MATCH(Z2241,'CAMD Facility Data 2023'!$AE$2:$AE$10000,0),1),"")</f>
        <v>1553</v>
      </c>
      <c r="AC2241" s="1" t="str">
        <f>IF(INDEX('CAMD Facility Data 2023'!$AE$2:$AG$10000,MATCH(Z2241,'CAMD Facility Data 2023'!$AE$2:$AE$10000,0),3)&gt;0,INDEX('CAMD Facility Data 2023'!$AE$2:$AG$10000,MATCH(Z2241,'CAMD Facility Data 2023'!$AE$2:$AE$10000,0),3),"")</f>
        <v/>
      </c>
      <c r="AD2241" s="20">
        <f t="shared" si="103"/>
        <v>1.5438280380004523</v>
      </c>
      <c r="AE2241" s="25">
        <f t="shared" si="104"/>
        <v>4.8923191819045184E-2</v>
      </c>
    </row>
    <row r="2242" spans="1:31" x14ac:dyDescent="0.2">
      <c r="A2242" s="1" t="s">
        <v>3095</v>
      </c>
      <c r="B2242" s="1" t="s">
        <v>5231</v>
      </c>
      <c r="C2242" s="1">
        <v>52087</v>
      </c>
      <c r="D2242" s="1" t="s">
        <v>1302</v>
      </c>
      <c r="E2242" s="1" t="s">
        <v>1798</v>
      </c>
      <c r="F2242" s="1">
        <v>2023</v>
      </c>
      <c r="G2242" s="5">
        <v>138</v>
      </c>
      <c r="H2242" s="5">
        <v>126.9</v>
      </c>
      <c r="I2242" s="5">
        <v>12178.5</v>
      </c>
      <c r="K2242" s="5">
        <v>7.3999999999999996E-2</v>
      </c>
      <c r="L2242" s="5">
        <v>1.4E-3</v>
      </c>
      <c r="M2242" s="5">
        <v>8903.4</v>
      </c>
      <c r="N2242" s="6">
        <v>6.0499999999999998E-2</v>
      </c>
      <c r="O2242" s="5">
        <v>9.9169999999999998</v>
      </c>
      <c r="P2242" s="6">
        <v>0.22450000000000001</v>
      </c>
      <c r="Q2242" s="5">
        <v>148196.29999999999</v>
      </c>
      <c r="R2242" s="1" t="s">
        <v>44</v>
      </c>
      <c r="S2242" s="1" t="s">
        <v>94</v>
      </c>
      <c r="T2242" s="1" t="s">
        <v>93</v>
      </c>
      <c r="V2242" s="1" t="s">
        <v>95</v>
      </c>
      <c r="Y2242" s="1" t="s">
        <v>1515</v>
      </c>
      <c r="Z2242" s="1" t="str">
        <f t="shared" si="102"/>
        <v>52087 CT-3</v>
      </c>
      <c r="AA2242" s="3">
        <f>IF(INDEX('CAMD Facility Data 2023'!$AA$2:$AE$10000,MATCH(Z2242,'CAMD Facility Data 2023'!$AE$2:$AE$10000,0),1)&gt;0,INDEX('CAMD Facility Data 2023'!$AA$2:$AE$10000,MATCH(Z2242,'CAMD Facility Data 2023'!$AE$2:$AE$10000,0),1),"")</f>
        <v>33759</v>
      </c>
      <c r="AB2242" s="5">
        <f>IF(INDEX('CAMD Facility Data 2023'!$AC$2:$AE$10000,MATCH(Z2242,'CAMD Facility Data 2023'!$AE$2:$AE$10000,0),1)&gt;0,INDEX('CAMD Facility Data 2023'!$AC$2:$AE$10000,MATCH(Z2242,'CAMD Facility Data 2023'!$AE$2:$AE$10000,0),1),"")</f>
        <v>1553</v>
      </c>
      <c r="AC2242" s="1" t="str">
        <f>IF(INDEX('CAMD Facility Data 2023'!$AE$2:$AG$10000,MATCH(Z2242,'CAMD Facility Data 2023'!$AE$2:$AE$10000,0),3)&gt;0,INDEX('CAMD Facility Data 2023'!$AE$2:$AG$10000,MATCH(Z2242,'CAMD Facility Data 2023'!$AE$2:$AE$10000,0),3),"")</f>
        <v/>
      </c>
      <c r="AD2242" s="20">
        <f t="shared" si="103"/>
        <v>1.62860779242107</v>
      </c>
      <c r="AE2242" s="25">
        <f t="shared" si="104"/>
        <v>1.0893358560688253E-2</v>
      </c>
    </row>
    <row r="2243" spans="1:31" x14ac:dyDescent="0.2">
      <c r="A2243" s="1" t="s">
        <v>383</v>
      </c>
      <c r="B2243" s="1" t="s">
        <v>5237</v>
      </c>
      <c r="C2243" s="1">
        <v>52088</v>
      </c>
      <c r="D2243" s="1" t="s">
        <v>5238</v>
      </c>
      <c r="F2243" s="1">
        <v>2023</v>
      </c>
      <c r="G2243" s="5">
        <v>4621</v>
      </c>
      <c r="H2243" s="5">
        <v>4511.53</v>
      </c>
      <c r="I2243" s="5">
        <v>675788.98</v>
      </c>
      <c r="K2243" s="5">
        <v>1.4359999999999999</v>
      </c>
      <c r="L2243" s="5">
        <v>1E-3</v>
      </c>
      <c r="M2243" s="5">
        <v>284498.04499999998</v>
      </c>
      <c r="N2243" s="6">
        <v>5.8999999999999997E-2</v>
      </c>
      <c r="O2243" s="5">
        <v>309.88499999999999</v>
      </c>
      <c r="P2243" s="6">
        <v>0.1321</v>
      </c>
      <c r="Q2243" s="5">
        <v>4787210.1179999998</v>
      </c>
      <c r="R2243" s="1" t="s">
        <v>44</v>
      </c>
      <c r="T2243" s="1" t="s">
        <v>71</v>
      </c>
      <c r="V2243" s="1" t="s">
        <v>1606</v>
      </c>
      <c r="Y2243" s="1" t="s">
        <v>346</v>
      </c>
      <c r="Z2243" s="1" t="str">
        <f t="shared" ref="Z2243:Z2306" si="105">C2243&amp;" "&amp;D2243</f>
        <v>52088 GT-A</v>
      </c>
      <c r="AA2243" s="3">
        <f>IF(INDEX('CAMD Facility Data 2023'!$AA$2:$AE$10000,MATCH(Z2243,'CAMD Facility Data 2023'!$AE$2:$AE$10000,0),1)&gt;0,INDEX('CAMD Facility Data 2023'!$AA$2:$AE$10000,MATCH(Z2243,'CAMD Facility Data 2023'!$AE$2:$AE$10000,0),1),"")</f>
        <v>31928</v>
      </c>
      <c r="AB2243" s="5">
        <f>IF(INDEX('CAMD Facility Data 2023'!$AC$2:$AE$10000,MATCH(Z2243,'CAMD Facility Data 2023'!$AE$2:$AE$10000,0),1)&gt;0,INDEX('CAMD Facility Data 2023'!$AC$2:$AE$10000,MATCH(Z2243,'CAMD Facility Data 2023'!$AE$2:$AE$10000,0),1),"")</f>
        <v>1765</v>
      </c>
      <c r="AC2243" s="1" t="str">
        <f>IF(INDEX('CAMD Facility Data 2023'!$AE$2:$AG$10000,MATCH(Z2243,'CAMD Facility Data 2023'!$AE$2:$AE$10000,0),3)&gt;0,INDEX('CAMD Facility Data 2023'!$AE$2:$AG$10000,MATCH(Z2243,'CAMD Facility Data 2023'!$AE$2:$AE$10000,0),3),"")</f>
        <v/>
      </c>
      <c r="AD2243" s="20">
        <f t="shared" ref="AD2243:AD2306" si="106">IF(ISNUMBER(O2243*2000/I2243),O2243*2000/I2243,"")</f>
        <v>0.91710581015985204</v>
      </c>
      <c r="AE2243" s="25">
        <f t="shared" ref="AE2243:AE2306" si="107">Q2243/(AB2243*8760)</f>
        <v>0.30962332764174005</v>
      </c>
    </row>
    <row r="2244" spans="1:31" x14ac:dyDescent="0.2">
      <c r="A2244" s="1" t="s">
        <v>383</v>
      </c>
      <c r="B2244" s="1" t="s">
        <v>5237</v>
      </c>
      <c r="C2244" s="1">
        <v>52088</v>
      </c>
      <c r="D2244" s="1" t="s">
        <v>5244</v>
      </c>
      <c r="F2244" s="1">
        <v>2023</v>
      </c>
      <c r="G2244" s="5">
        <v>6556</v>
      </c>
      <c r="H2244" s="5">
        <v>6495.13</v>
      </c>
      <c r="I2244" s="5">
        <v>953280.94</v>
      </c>
      <c r="K2244" s="5">
        <v>2.109</v>
      </c>
      <c r="L2244" s="5">
        <v>1E-3</v>
      </c>
      <c r="M2244" s="5">
        <v>417758.07199999999</v>
      </c>
      <c r="N2244" s="6">
        <v>5.8999999999999997E-2</v>
      </c>
      <c r="O2244" s="5">
        <v>135.75700000000001</v>
      </c>
      <c r="P2244" s="6">
        <v>4.0500000000000001E-2</v>
      </c>
      <c r="Q2244" s="5">
        <v>7029537.5240000002</v>
      </c>
      <c r="R2244" s="1" t="s">
        <v>44</v>
      </c>
      <c r="T2244" s="1" t="s">
        <v>71</v>
      </c>
      <c r="V2244" s="1" t="s">
        <v>140</v>
      </c>
      <c r="Y2244" s="1" t="s">
        <v>346</v>
      </c>
      <c r="Z2244" s="1" t="str">
        <f t="shared" si="105"/>
        <v>52088 GT-B</v>
      </c>
      <c r="AA2244" s="3">
        <f>IF(INDEX('CAMD Facility Data 2023'!$AA$2:$AE$10000,MATCH(Z2244,'CAMD Facility Data 2023'!$AE$2:$AE$10000,0),1)&gt;0,INDEX('CAMD Facility Data 2023'!$AA$2:$AE$10000,MATCH(Z2244,'CAMD Facility Data 2023'!$AE$2:$AE$10000,0),1),"")</f>
        <v>31928</v>
      </c>
      <c r="AB2244" s="5">
        <f>IF(INDEX('CAMD Facility Data 2023'!$AC$2:$AE$10000,MATCH(Z2244,'CAMD Facility Data 2023'!$AE$2:$AE$10000,0),1)&gt;0,INDEX('CAMD Facility Data 2023'!$AC$2:$AE$10000,MATCH(Z2244,'CAMD Facility Data 2023'!$AE$2:$AE$10000,0),1),"")</f>
        <v>1765</v>
      </c>
      <c r="AC2244" s="1" t="str">
        <f>IF(INDEX('CAMD Facility Data 2023'!$AE$2:$AG$10000,MATCH(Z2244,'CAMD Facility Data 2023'!$AE$2:$AE$10000,0),3)&gt;0,INDEX('CAMD Facility Data 2023'!$AE$2:$AG$10000,MATCH(Z2244,'CAMD Facility Data 2023'!$AE$2:$AE$10000,0),3),"")</f>
        <v/>
      </c>
      <c r="AD2244" s="20">
        <f t="shared" si="106"/>
        <v>0.28482054828453823</v>
      </c>
      <c r="AE2244" s="25">
        <f t="shared" si="107"/>
        <v>0.45465077703183415</v>
      </c>
    </row>
    <row r="2245" spans="1:31" x14ac:dyDescent="0.2">
      <c r="A2245" s="1" t="s">
        <v>383</v>
      </c>
      <c r="B2245" s="1" t="s">
        <v>5237</v>
      </c>
      <c r="C2245" s="1">
        <v>52088</v>
      </c>
      <c r="D2245" s="1" t="s">
        <v>5246</v>
      </c>
      <c r="F2245" s="1">
        <v>2023</v>
      </c>
      <c r="G2245" s="5">
        <v>7031</v>
      </c>
      <c r="H2245" s="5">
        <v>6976.82</v>
      </c>
      <c r="I2245" s="5">
        <v>1010530.84</v>
      </c>
      <c r="K2245" s="5">
        <v>2.2410000000000001</v>
      </c>
      <c r="L2245" s="5">
        <v>1E-3</v>
      </c>
      <c r="M2245" s="5">
        <v>443832.17200000002</v>
      </c>
      <c r="N2245" s="6">
        <v>5.8999999999999997E-2</v>
      </c>
      <c r="O2245" s="5">
        <v>116.387</v>
      </c>
      <c r="P2245" s="6">
        <v>3.2500000000000001E-2</v>
      </c>
      <c r="Q2245" s="5">
        <v>7468354.9519999996</v>
      </c>
      <c r="R2245" s="1" t="s">
        <v>44</v>
      </c>
      <c r="T2245" s="1" t="s">
        <v>71</v>
      </c>
      <c r="V2245" s="1" t="s">
        <v>140</v>
      </c>
      <c r="Y2245" s="1" t="s">
        <v>346</v>
      </c>
      <c r="Z2245" s="1" t="str">
        <f t="shared" si="105"/>
        <v>52088 GT-C</v>
      </c>
      <c r="AA2245" s="3">
        <f>IF(INDEX('CAMD Facility Data 2023'!$AA$2:$AE$10000,MATCH(Z2245,'CAMD Facility Data 2023'!$AE$2:$AE$10000,0),1)&gt;0,INDEX('CAMD Facility Data 2023'!$AA$2:$AE$10000,MATCH(Z2245,'CAMD Facility Data 2023'!$AE$2:$AE$10000,0),1),"")</f>
        <v>31928</v>
      </c>
      <c r="AB2245" s="5">
        <f>IF(INDEX('CAMD Facility Data 2023'!$AC$2:$AE$10000,MATCH(Z2245,'CAMD Facility Data 2023'!$AE$2:$AE$10000,0),1)&gt;0,INDEX('CAMD Facility Data 2023'!$AC$2:$AE$10000,MATCH(Z2245,'CAMD Facility Data 2023'!$AE$2:$AE$10000,0),1),"")</f>
        <v>1765</v>
      </c>
      <c r="AC2245" s="1" t="str">
        <f>IF(INDEX('CAMD Facility Data 2023'!$AE$2:$AG$10000,MATCH(Z2245,'CAMD Facility Data 2023'!$AE$2:$AE$10000,0),3)&gt;0,INDEX('CAMD Facility Data 2023'!$AE$2:$AG$10000,MATCH(Z2245,'CAMD Facility Data 2023'!$AE$2:$AE$10000,0),3),"")</f>
        <v/>
      </c>
      <c r="AD2245" s="20">
        <f t="shared" si="106"/>
        <v>0.23034823954506922</v>
      </c>
      <c r="AE2245" s="25">
        <f t="shared" si="107"/>
        <v>0.4830322578809163</v>
      </c>
    </row>
    <row r="2246" spans="1:31" x14ac:dyDescent="0.2">
      <c r="A2246" s="1" t="s">
        <v>383</v>
      </c>
      <c r="B2246" s="1" t="s">
        <v>5248</v>
      </c>
      <c r="C2246" s="1">
        <v>52176</v>
      </c>
      <c r="D2246" s="1">
        <v>1</v>
      </c>
      <c r="F2246" s="1">
        <v>2023</v>
      </c>
      <c r="G2246" s="5">
        <v>1199</v>
      </c>
      <c r="H2246" s="5">
        <v>1081.32</v>
      </c>
      <c r="I2246" s="5">
        <v>54969.24</v>
      </c>
      <c r="K2246" s="5">
        <v>0.215</v>
      </c>
      <c r="L2246" s="5">
        <v>1E-3</v>
      </c>
      <c r="M2246" s="5">
        <v>42525.017999999996</v>
      </c>
      <c r="N2246" s="6">
        <v>5.91E-2</v>
      </c>
      <c r="O2246" s="5">
        <v>43.936999999999998</v>
      </c>
      <c r="P2246" s="6">
        <v>0.12529999999999999</v>
      </c>
      <c r="Q2246" s="5">
        <v>715566.22400000005</v>
      </c>
      <c r="R2246" s="1" t="s">
        <v>44</v>
      </c>
      <c r="S2246" s="1" t="s">
        <v>94</v>
      </c>
      <c r="T2246" s="1" t="s">
        <v>71</v>
      </c>
      <c r="V2246" s="1" t="s">
        <v>1606</v>
      </c>
      <c r="Y2246" s="1" t="s">
        <v>346</v>
      </c>
      <c r="Z2246" s="1" t="str">
        <f t="shared" si="105"/>
        <v>52176 1</v>
      </c>
      <c r="AA2246" s="3">
        <f>IF(INDEX('CAMD Facility Data 2023'!$AA$2:$AE$10000,MATCH(Z2246,'CAMD Facility Data 2023'!$AE$2:$AE$10000,0),1)&gt;0,INDEX('CAMD Facility Data 2023'!$AA$2:$AE$10000,MATCH(Z2246,'CAMD Facility Data 2023'!$AE$2:$AE$10000,0),1),"")</f>
        <v>31978</v>
      </c>
      <c r="AB2246" s="5">
        <f>IF(INDEX('CAMD Facility Data 2023'!$AC$2:$AE$10000,MATCH(Z2246,'CAMD Facility Data 2023'!$AE$2:$AE$10000,0),1)&gt;0,INDEX('CAMD Facility Data 2023'!$AC$2:$AE$10000,MATCH(Z2246,'CAMD Facility Data 2023'!$AE$2:$AE$10000,0),1),"")</f>
        <v>1150</v>
      </c>
      <c r="AC2246" s="1" t="str">
        <f>IF(INDEX('CAMD Facility Data 2023'!$AE$2:$AG$10000,MATCH(Z2246,'CAMD Facility Data 2023'!$AE$2:$AE$10000,0),3)&gt;0,INDEX('CAMD Facility Data 2023'!$AE$2:$AG$10000,MATCH(Z2246,'CAMD Facility Data 2023'!$AE$2:$AE$10000,0),3),"")</f>
        <v/>
      </c>
      <c r="AD2246" s="20">
        <f t="shared" si="106"/>
        <v>1.5986031460504093</v>
      </c>
      <c r="AE2246" s="25">
        <f t="shared" si="107"/>
        <v>7.1030993051419494E-2</v>
      </c>
    </row>
    <row r="2247" spans="1:31" x14ac:dyDescent="0.2">
      <c r="A2247" s="1" t="s">
        <v>383</v>
      </c>
      <c r="B2247" s="1" t="s">
        <v>5248</v>
      </c>
      <c r="C2247" s="1">
        <v>52176</v>
      </c>
      <c r="D2247" s="1">
        <v>2</v>
      </c>
      <c r="F2247" s="1">
        <v>2023</v>
      </c>
      <c r="G2247" s="5">
        <v>1082</v>
      </c>
      <c r="H2247" s="5">
        <v>933.99</v>
      </c>
      <c r="I2247" s="5">
        <v>49107.18</v>
      </c>
      <c r="K2247" s="5">
        <v>0.187</v>
      </c>
      <c r="L2247" s="5">
        <v>1E-3</v>
      </c>
      <c r="M2247" s="5">
        <v>37079.252999999997</v>
      </c>
      <c r="N2247" s="6">
        <v>5.91E-2</v>
      </c>
      <c r="O2247" s="5">
        <v>44.478999999999999</v>
      </c>
      <c r="P2247" s="6">
        <v>0.14430000000000001</v>
      </c>
      <c r="Q2247" s="5">
        <v>623937.15300000005</v>
      </c>
      <c r="R2247" s="1" t="s">
        <v>44</v>
      </c>
      <c r="S2247" s="1" t="s">
        <v>94</v>
      </c>
      <c r="T2247" s="1" t="s">
        <v>71</v>
      </c>
      <c r="V2247" s="1" t="s">
        <v>1606</v>
      </c>
      <c r="Y2247" s="1" t="s">
        <v>346</v>
      </c>
      <c r="Z2247" s="1" t="str">
        <f t="shared" si="105"/>
        <v>52176 2</v>
      </c>
      <c r="AA2247" s="3">
        <f>IF(INDEX('CAMD Facility Data 2023'!$AA$2:$AE$10000,MATCH(Z2247,'CAMD Facility Data 2023'!$AE$2:$AE$10000,0),1)&gt;0,INDEX('CAMD Facility Data 2023'!$AA$2:$AE$10000,MATCH(Z2247,'CAMD Facility Data 2023'!$AE$2:$AE$10000,0),1),"")</f>
        <v>31979</v>
      </c>
      <c r="AB2247" s="5">
        <f>IF(INDEX('CAMD Facility Data 2023'!$AC$2:$AE$10000,MATCH(Z2247,'CAMD Facility Data 2023'!$AE$2:$AE$10000,0),1)&gt;0,INDEX('CAMD Facility Data 2023'!$AC$2:$AE$10000,MATCH(Z2247,'CAMD Facility Data 2023'!$AE$2:$AE$10000,0),1),"")</f>
        <v>1150</v>
      </c>
      <c r="AC2247" s="1" t="str">
        <f>IF(INDEX('CAMD Facility Data 2023'!$AE$2:$AG$10000,MATCH(Z2247,'CAMD Facility Data 2023'!$AE$2:$AE$10000,0),3)&gt;0,INDEX('CAMD Facility Data 2023'!$AE$2:$AG$10000,MATCH(Z2247,'CAMD Facility Data 2023'!$AE$2:$AE$10000,0),3),"")</f>
        <v/>
      </c>
      <c r="AD2247" s="20">
        <f t="shared" si="106"/>
        <v>1.8115069934783468</v>
      </c>
      <c r="AE2247" s="25">
        <f t="shared" si="107"/>
        <v>6.1935393388921983E-2</v>
      </c>
    </row>
    <row r="2248" spans="1:31" x14ac:dyDescent="0.2">
      <c r="A2248" s="1" t="s">
        <v>660</v>
      </c>
      <c r="B2248" s="1" t="s">
        <v>5255</v>
      </c>
      <c r="C2248" s="1">
        <v>52193</v>
      </c>
      <c r="D2248" s="1" t="s">
        <v>5256</v>
      </c>
      <c r="F2248" s="1">
        <v>2023</v>
      </c>
      <c r="G2248" s="5">
        <v>8760</v>
      </c>
      <c r="H2248" s="5">
        <v>8759.5499999999993</v>
      </c>
      <c r="J2248" s="5">
        <v>2331690.34</v>
      </c>
      <c r="K2248" s="5">
        <v>8.4390000000000001</v>
      </c>
      <c r="L2248" s="5">
        <v>5.5999999999999999E-3</v>
      </c>
      <c r="M2248" s="5">
        <v>171604.89799999999</v>
      </c>
      <c r="N2248" s="6">
        <v>5.7299999999999997E-2</v>
      </c>
      <c r="O2248" s="5">
        <v>60.027999999999999</v>
      </c>
      <c r="P2248" s="6">
        <v>3.9800000000000002E-2</v>
      </c>
      <c r="Q2248" s="5">
        <v>2990961.4470000002</v>
      </c>
      <c r="R2248" s="1" t="s">
        <v>1432</v>
      </c>
      <c r="T2248" s="1" t="s">
        <v>89</v>
      </c>
      <c r="Y2248" s="1" t="s">
        <v>2217</v>
      </c>
      <c r="Z2248" s="1" t="str">
        <f t="shared" si="105"/>
        <v>52193 DCPP4</v>
      </c>
      <c r="AA2248" s="3">
        <f>IF(INDEX('CAMD Facility Data 2023'!$AA$2:$AE$10000,MATCH(Z2248,'CAMD Facility Data 2023'!$AE$2:$AE$10000,0),1)&gt;0,INDEX('CAMD Facility Data 2023'!$AA$2:$AE$10000,MATCH(Z2248,'CAMD Facility Data 2023'!$AE$2:$AE$10000,0),1),"")</f>
        <v>22282</v>
      </c>
      <c r="AB2248" s="5">
        <f>IF(INDEX('CAMD Facility Data 2023'!$AC$2:$AE$10000,MATCH(Z2248,'CAMD Facility Data 2023'!$AE$2:$AE$10000,0),1)&gt;0,INDEX('CAMD Facility Data 2023'!$AC$2:$AE$10000,MATCH(Z2248,'CAMD Facility Data 2023'!$AE$2:$AE$10000,0),1),"")</f>
        <v>808</v>
      </c>
      <c r="AC2248" s="1" t="str">
        <f>IF(INDEX('CAMD Facility Data 2023'!$AE$2:$AG$10000,MATCH(Z2248,'CAMD Facility Data 2023'!$AE$2:$AE$10000,0),3)&gt;0,INDEX('CAMD Facility Data 2023'!$AE$2:$AG$10000,MATCH(Z2248,'CAMD Facility Data 2023'!$AE$2:$AE$10000,0),3),"")</f>
        <v/>
      </c>
      <c r="AD2248" s="20" t="str">
        <f t="shared" si="106"/>
        <v/>
      </c>
      <c r="AE2248" s="25">
        <f t="shared" si="107"/>
        <v>0.42256677615963656</v>
      </c>
    </row>
    <row r="2249" spans="1:31" x14ac:dyDescent="0.2">
      <c r="A2249" s="1" t="s">
        <v>2089</v>
      </c>
      <c r="B2249" s="1" t="s">
        <v>5260</v>
      </c>
      <c r="C2249" s="1">
        <v>54034</v>
      </c>
      <c r="D2249" s="1" t="s">
        <v>5261</v>
      </c>
      <c r="F2249" s="1">
        <v>2023</v>
      </c>
      <c r="G2249" s="5">
        <v>380</v>
      </c>
      <c r="H2249" s="5">
        <v>365.09</v>
      </c>
      <c r="I2249" s="5">
        <v>24664.01</v>
      </c>
      <c r="K2249" s="5">
        <v>6.6000000000000003E-2</v>
      </c>
      <c r="L2249" s="5">
        <v>1E-3</v>
      </c>
      <c r="M2249" s="5">
        <v>13079</v>
      </c>
      <c r="N2249" s="6">
        <v>5.9299999999999999E-2</v>
      </c>
      <c r="O2249" s="5">
        <v>3.4260000000000002</v>
      </c>
      <c r="P2249" s="6">
        <v>4.4400000000000002E-2</v>
      </c>
      <c r="Q2249" s="5">
        <v>220036.20300000001</v>
      </c>
      <c r="R2249" s="1" t="s">
        <v>44</v>
      </c>
      <c r="S2249" s="1" t="s">
        <v>94</v>
      </c>
      <c r="T2249" s="1" t="s">
        <v>71</v>
      </c>
      <c r="V2249" s="1" t="s">
        <v>4050</v>
      </c>
      <c r="Y2249" s="1" t="s">
        <v>1515</v>
      </c>
      <c r="Z2249" s="1" t="str">
        <f t="shared" si="105"/>
        <v>54034 1GTDBS</v>
      </c>
      <c r="AA2249" s="3">
        <f>IF(INDEX('CAMD Facility Data 2023'!$AA$2:$AE$10000,MATCH(Z2249,'CAMD Facility Data 2023'!$AE$2:$AE$10000,0),1)&gt;0,INDEX('CAMD Facility Data 2023'!$AA$2:$AE$10000,MATCH(Z2249,'CAMD Facility Data 2023'!$AE$2:$AE$10000,0),1),"")</f>
        <v>34446</v>
      </c>
      <c r="AB2249" s="5">
        <f>IF(INDEX('CAMD Facility Data 2023'!$AC$2:$AE$10000,MATCH(Z2249,'CAMD Facility Data 2023'!$AE$2:$AE$10000,0),1)&gt;0,INDEX('CAMD Facility Data 2023'!$AC$2:$AE$10000,MATCH(Z2249,'CAMD Facility Data 2023'!$AE$2:$AE$10000,0),1),"")</f>
        <v>786.8</v>
      </c>
      <c r="AC2249" s="1" t="str">
        <f>IF(INDEX('CAMD Facility Data 2023'!$AE$2:$AG$10000,MATCH(Z2249,'CAMD Facility Data 2023'!$AE$2:$AE$10000,0),3)&gt;0,INDEX('CAMD Facility Data 2023'!$AE$2:$AG$10000,MATCH(Z2249,'CAMD Facility Data 2023'!$AE$2:$AE$10000,0),3),"")</f>
        <v>Y</v>
      </c>
      <c r="AD2249" s="20">
        <f t="shared" si="106"/>
        <v>0.27781370507066777</v>
      </c>
      <c r="AE2249" s="25">
        <f t="shared" si="107"/>
        <v>3.1924616184161959E-2</v>
      </c>
    </row>
    <row r="2250" spans="1:31" x14ac:dyDescent="0.2">
      <c r="A2250" s="1" t="s">
        <v>2089</v>
      </c>
      <c r="B2250" s="1" t="s">
        <v>5264</v>
      </c>
      <c r="C2250" s="1">
        <v>54041</v>
      </c>
      <c r="D2250" s="1">
        <v>11854</v>
      </c>
      <c r="F2250" s="1">
        <v>2023</v>
      </c>
      <c r="G2250" s="5">
        <v>608</v>
      </c>
      <c r="H2250" s="5">
        <v>595.41999999999996</v>
      </c>
      <c r="I2250" s="5">
        <v>23706.18</v>
      </c>
      <c r="K2250" s="5">
        <v>9.2999999999999999E-2</v>
      </c>
      <c r="L2250" s="5">
        <v>1E-3</v>
      </c>
      <c r="M2250" s="5">
        <v>18833.61</v>
      </c>
      <c r="N2250" s="6">
        <v>5.9200000000000003E-2</v>
      </c>
      <c r="O2250" s="5">
        <v>16.753</v>
      </c>
      <c r="P2250" s="6">
        <v>0.1081</v>
      </c>
      <c r="Q2250" s="5">
        <v>316903.45899999997</v>
      </c>
      <c r="R2250" s="1" t="s">
        <v>44</v>
      </c>
      <c r="S2250" s="1" t="s">
        <v>94</v>
      </c>
      <c r="T2250" s="1" t="s">
        <v>71</v>
      </c>
      <c r="V2250" s="1" t="s">
        <v>1606</v>
      </c>
      <c r="Y2250" s="1" t="s">
        <v>1515</v>
      </c>
      <c r="Z2250" s="1" t="str">
        <f t="shared" si="105"/>
        <v>54041 11854</v>
      </c>
      <c r="AA2250" s="3">
        <f>IF(INDEX('CAMD Facility Data 2023'!$AA$2:$AE$10000,MATCH(Z2250,'CAMD Facility Data 2023'!$AE$2:$AE$10000,0),1)&gt;0,INDEX('CAMD Facility Data 2023'!$AA$2:$AE$10000,MATCH(Z2250,'CAMD Facility Data 2023'!$AE$2:$AE$10000,0),1),"")</f>
        <v>33966</v>
      </c>
      <c r="AB2250" s="5">
        <f>IF(INDEX('CAMD Facility Data 2023'!$AC$2:$AE$10000,MATCH(Z2250,'CAMD Facility Data 2023'!$AE$2:$AE$10000,0),1)&gt;0,INDEX('CAMD Facility Data 2023'!$AC$2:$AE$10000,MATCH(Z2250,'CAMD Facility Data 2023'!$AE$2:$AE$10000,0),1),"")</f>
        <v>1531</v>
      </c>
      <c r="AC2250" s="1" t="str">
        <f>IF(INDEX('CAMD Facility Data 2023'!$AE$2:$AG$10000,MATCH(Z2250,'CAMD Facility Data 2023'!$AE$2:$AE$10000,0),3)&gt;0,INDEX('CAMD Facility Data 2023'!$AE$2:$AG$10000,MATCH(Z2250,'CAMD Facility Data 2023'!$AE$2:$AE$10000,0),3),"")</f>
        <v/>
      </c>
      <c r="AD2250" s="20">
        <f t="shared" si="106"/>
        <v>1.4133867202560682</v>
      </c>
      <c r="AE2250" s="25">
        <f t="shared" si="107"/>
        <v>2.3629127334925986E-2</v>
      </c>
    </row>
    <row r="2251" spans="1:31" x14ac:dyDescent="0.2">
      <c r="A2251" s="1" t="s">
        <v>2089</v>
      </c>
      <c r="B2251" s="1" t="s">
        <v>5264</v>
      </c>
      <c r="C2251" s="1">
        <v>54041</v>
      </c>
      <c r="D2251" s="1">
        <v>11855</v>
      </c>
      <c r="F2251" s="1">
        <v>2023</v>
      </c>
      <c r="G2251" s="5">
        <v>588</v>
      </c>
      <c r="H2251" s="5">
        <v>575.66</v>
      </c>
      <c r="I2251" s="5">
        <v>22656.44</v>
      </c>
      <c r="K2251" s="5">
        <v>8.7999999999999995E-2</v>
      </c>
      <c r="L2251" s="5">
        <v>1E-3</v>
      </c>
      <c r="M2251" s="5">
        <v>17615.633999999998</v>
      </c>
      <c r="N2251" s="6">
        <v>5.91E-2</v>
      </c>
      <c r="O2251" s="5">
        <v>17.25</v>
      </c>
      <c r="P2251" s="6">
        <v>0.11940000000000001</v>
      </c>
      <c r="Q2251" s="5">
        <v>296479.85700000002</v>
      </c>
      <c r="R2251" s="1" t="s">
        <v>44</v>
      </c>
      <c r="S2251" s="1" t="s">
        <v>94</v>
      </c>
      <c r="T2251" s="1" t="s">
        <v>71</v>
      </c>
      <c r="V2251" s="1" t="s">
        <v>1606</v>
      </c>
      <c r="Y2251" s="1" t="s">
        <v>1515</v>
      </c>
      <c r="Z2251" s="1" t="str">
        <f t="shared" si="105"/>
        <v>54041 11855</v>
      </c>
      <c r="AA2251" s="3">
        <f>IF(INDEX('CAMD Facility Data 2023'!$AA$2:$AE$10000,MATCH(Z2251,'CAMD Facility Data 2023'!$AE$2:$AE$10000,0),1)&gt;0,INDEX('CAMD Facility Data 2023'!$AA$2:$AE$10000,MATCH(Z2251,'CAMD Facility Data 2023'!$AE$2:$AE$10000,0),1),"")</f>
        <v>33966</v>
      </c>
      <c r="AB2251" s="5">
        <f>IF(INDEX('CAMD Facility Data 2023'!$AC$2:$AE$10000,MATCH(Z2251,'CAMD Facility Data 2023'!$AE$2:$AE$10000,0),1)&gt;0,INDEX('CAMD Facility Data 2023'!$AC$2:$AE$10000,MATCH(Z2251,'CAMD Facility Data 2023'!$AE$2:$AE$10000,0),1),"")</f>
        <v>1531</v>
      </c>
      <c r="AC2251" s="1" t="str">
        <f>IF(INDEX('CAMD Facility Data 2023'!$AE$2:$AG$10000,MATCH(Z2251,'CAMD Facility Data 2023'!$AE$2:$AE$10000,0),3)&gt;0,INDEX('CAMD Facility Data 2023'!$AE$2:$AG$10000,MATCH(Z2251,'CAMD Facility Data 2023'!$AE$2:$AE$10000,0),3),"")</f>
        <v/>
      </c>
      <c r="AD2251" s="20">
        <f t="shared" si="106"/>
        <v>1.522745850627901</v>
      </c>
      <c r="AE2251" s="25">
        <f t="shared" si="107"/>
        <v>2.2106291661820102E-2</v>
      </c>
    </row>
    <row r="2252" spans="1:31" x14ac:dyDescent="0.2">
      <c r="A2252" s="1" t="s">
        <v>2089</v>
      </c>
      <c r="B2252" s="1" t="s">
        <v>5264</v>
      </c>
      <c r="C2252" s="1">
        <v>54041</v>
      </c>
      <c r="D2252" s="1">
        <v>11856</v>
      </c>
      <c r="F2252" s="1">
        <v>2023</v>
      </c>
      <c r="G2252" s="5">
        <v>534</v>
      </c>
      <c r="H2252" s="5">
        <v>519.38</v>
      </c>
      <c r="I2252" s="5">
        <v>20434.5</v>
      </c>
      <c r="K2252" s="5">
        <v>8.2000000000000003E-2</v>
      </c>
      <c r="L2252" s="5">
        <v>1E-3</v>
      </c>
      <c r="M2252" s="5">
        <v>16401.284</v>
      </c>
      <c r="N2252" s="6">
        <v>5.9200000000000003E-2</v>
      </c>
      <c r="O2252" s="5">
        <v>16.094000000000001</v>
      </c>
      <c r="P2252" s="6">
        <v>0.1197</v>
      </c>
      <c r="Q2252" s="5">
        <v>275963.07199999999</v>
      </c>
      <c r="R2252" s="1" t="s">
        <v>44</v>
      </c>
      <c r="S2252" s="1" t="s">
        <v>94</v>
      </c>
      <c r="T2252" s="1" t="s">
        <v>71</v>
      </c>
      <c r="V2252" s="1" t="s">
        <v>1606</v>
      </c>
      <c r="Y2252" s="1" t="s">
        <v>1515</v>
      </c>
      <c r="Z2252" s="1" t="str">
        <f t="shared" si="105"/>
        <v>54041 11856</v>
      </c>
      <c r="AA2252" s="3">
        <f>IF(INDEX('CAMD Facility Data 2023'!$AA$2:$AE$10000,MATCH(Z2252,'CAMD Facility Data 2023'!$AE$2:$AE$10000,0),1)&gt;0,INDEX('CAMD Facility Data 2023'!$AA$2:$AE$10000,MATCH(Z2252,'CAMD Facility Data 2023'!$AE$2:$AE$10000,0),1),"")</f>
        <v>33966</v>
      </c>
      <c r="AB2252" s="5">
        <f>IF(INDEX('CAMD Facility Data 2023'!$AC$2:$AE$10000,MATCH(Z2252,'CAMD Facility Data 2023'!$AE$2:$AE$10000,0),1)&gt;0,INDEX('CAMD Facility Data 2023'!$AC$2:$AE$10000,MATCH(Z2252,'CAMD Facility Data 2023'!$AE$2:$AE$10000,0),1),"")</f>
        <v>1531</v>
      </c>
      <c r="AC2252" s="1" t="str">
        <f>IF(INDEX('CAMD Facility Data 2023'!$AE$2:$AG$10000,MATCH(Z2252,'CAMD Facility Data 2023'!$AE$2:$AE$10000,0),3)&gt;0,INDEX('CAMD Facility Data 2023'!$AE$2:$AG$10000,MATCH(Z2252,'CAMD Facility Data 2023'!$AE$2:$AE$10000,0),3),"")</f>
        <v/>
      </c>
      <c r="AD2252" s="20">
        <f t="shared" si="106"/>
        <v>1.5751792312021338</v>
      </c>
      <c r="AE2252" s="25">
        <f t="shared" si="107"/>
        <v>2.0576508027403226E-2</v>
      </c>
    </row>
    <row r="2253" spans="1:31" x14ac:dyDescent="0.2">
      <c r="A2253" s="1" t="s">
        <v>2089</v>
      </c>
      <c r="B2253" s="1" t="s">
        <v>5269</v>
      </c>
      <c r="C2253" s="1">
        <v>54076</v>
      </c>
      <c r="D2253" s="1">
        <v>1</v>
      </c>
      <c r="F2253" s="1">
        <v>2023</v>
      </c>
      <c r="G2253" s="5">
        <v>617</v>
      </c>
      <c r="H2253" s="5">
        <v>595.5</v>
      </c>
      <c r="I2253" s="5">
        <v>36915.75</v>
      </c>
      <c r="K2253" s="5">
        <v>9.7000000000000003E-2</v>
      </c>
      <c r="L2253" s="5">
        <v>1E-3</v>
      </c>
      <c r="M2253" s="5">
        <v>19361.025000000001</v>
      </c>
      <c r="N2253" s="6">
        <v>5.9200000000000003E-2</v>
      </c>
      <c r="O2253" s="5">
        <v>6.1219999999999999</v>
      </c>
      <c r="P2253" s="6">
        <v>4.3999999999999997E-2</v>
      </c>
      <c r="Q2253" s="5">
        <v>325074.45</v>
      </c>
      <c r="R2253" s="1" t="s">
        <v>44</v>
      </c>
      <c r="S2253" s="1" t="s">
        <v>94</v>
      </c>
      <c r="T2253" s="1" t="s">
        <v>71</v>
      </c>
      <c r="V2253" s="1" t="s">
        <v>4050</v>
      </c>
      <c r="Y2253" s="1" t="s">
        <v>1515</v>
      </c>
      <c r="Z2253" s="1" t="str">
        <f t="shared" si="105"/>
        <v>54076 1</v>
      </c>
      <c r="AA2253" s="3">
        <f>IF(INDEX('CAMD Facility Data 2023'!$AA$2:$AE$10000,MATCH(Z2253,'CAMD Facility Data 2023'!$AE$2:$AE$10000,0),1)&gt;0,INDEX('CAMD Facility Data 2023'!$AA$2:$AE$10000,MATCH(Z2253,'CAMD Facility Data 2023'!$AE$2:$AE$10000,0),1),"")</f>
        <v>34493</v>
      </c>
      <c r="AB2253" s="5">
        <f>IF(INDEX('CAMD Facility Data 2023'!$AC$2:$AE$10000,MATCH(Z2253,'CAMD Facility Data 2023'!$AE$2:$AE$10000,0),1)&gt;0,INDEX('CAMD Facility Data 2023'!$AC$2:$AE$10000,MATCH(Z2253,'CAMD Facility Data 2023'!$AE$2:$AE$10000,0),1),"")</f>
        <v>789</v>
      </c>
      <c r="AC2253" s="1" t="str">
        <f>IF(INDEX('CAMD Facility Data 2023'!$AE$2:$AG$10000,MATCH(Z2253,'CAMD Facility Data 2023'!$AE$2:$AE$10000,0),3)&gt;0,INDEX('CAMD Facility Data 2023'!$AE$2:$AG$10000,MATCH(Z2253,'CAMD Facility Data 2023'!$AE$2:$AE$10000,0),3),"")</f>
        <v>Y</v>
      </c>
      <c r="AD2253" s="20">
        <f t="shared" si="106"/>
        <v>0.33167414992245858</v>
      </c>
      <c r="AE2253" s="25">
        <f t="shared" si="107"/>
        <v>4.7032896678646456E-2</v>
      </c>
    </row>
    <row r="2254" spans="1:31" x14ac:dyDescent="0.2">
      <c r="A2254" s="1" t="s">
        <v>3095</v>
      </c>
      <c r="B2254" s="1" t="s">
        <v>5274</v>
      </c>
      <c r="C2254" s="1">
        <v>54081</v>
      </c>
      <c r="D2254" s="1" t="s">
        <v>5275</v>
      </c>
      <c r="F2254" s="1">
        <v>2023</v>
      </c>
      <c r="G2254" s="5">
        <v>7195</v>
      </c>
      <c r="H2254" s="5">
        <v>7188.55</v>
      </c>
      <c r="J2254" s="5">
        <v>1067445.05</v>
      </c>
      <c r="K2254" s="5">
        <v>0.40100000000000002</v>
      </c>
      <c r="L2254" s="5">
        <v>1E-3</v>
      </c>
      <c r="M2254" s="5">
        <v>79423.953999999998</v>
      </c>
      <c r="N2254" s="6">
        <v>5.9400000000000001E-2</v>
      </c>
      <c r="O2254" s="5">
        <v>20.006</v>
      </c>
      <c r="P2254" s="6">
        <v>2.9899999999999999E-2</v>
      </c>
      <c r="Q2254" s="5">
        <v>1336494.058</v>
      </c>
      <c r="R2254" s="1" t="s">
        <v>44</v>
      </c>
      <c r="T2254" s="1" t="s">
        <v>1660</v>
      </c>
      <c r="V2254" s="1" t="s">
        <v>454</v>
      </c>
      <c r="Y2254" s="1" t="s">
        <v>461</v>
      </c>
      <c r="Z2254" s="1" t="str">
        <f t="shared" si="105"/>
        <v>54081 BLR03A</v>
      </c>
      <c r="AA2254" s="3">
        <f>IF(INDEX('CAMD Facility Data 2023'!$AA$2:$AE$10000,MATCH(Z2254,'CAMD Facility Data 2023'!$AE$2:$AE$10000,0),1)&gt;0,INDEX('CAMD Facility Data 2023'!$AA$2:$AE$10000,MATCH(Z2254,'CAMD Facility Data 2023'!$AE$2:$AE$10000,0),1),"")</f>
        <v>33817</v>
      </c>
      <c r="AB2254" s="5">
        <f>IF(INDEX('CAMD Facility Data 2023'!$AC$2:$AE$10000,MATCH(Z2254,'CAMD Facility Data 2023'!$AE$2:$AE$10000,0),1)&gt;0,INDEX('CAMD Facility Data 2023'!$AC$2:$AE$10000,MATCH(Z2254,'CAMD Facility Data 2023'!$AE$2:$AE$10000,0),1),"")</f>
        <v>380</v>
      </c>
      <c r="AC2254" s="1" t="str">
        <f>IF(INDEX('CAMD Facility Data 2023'!$AE$2:$AG$10000,MATCH(Z2254,'CAMD Facility Data 2023'!$AE$2:$AE$10000,0),3)&gt;0,INDEX('CAMD Facility Data 2023'!$AE$2:$AG$10000,MATCH(Z2254,'CAMD Facility Data 2023'!$AE$2:$AE$10000,0),3),"")</f>
        <v/>
      </c>
      <c r="AD2254" s="20" t="str">
        <f t="shared" si="106"/>
        <v/>
      </c>
      <c r="AE2254" s="25">
        <f t="shared" si="107"/>
        <v>0.40149424957942803</v>
      </c>
    </row>
    <row r="2255" spans="1:31" x14ac:dyDescent="0.2">
      <c r="A2255" s="1" t="s">
        <v>3095</v>
      </c>
      <c r="B2255" s="1" t="s">
        <v>5274</v>
      </c>
      <c r="C2255" s="1">
        <v>54081</v>
      </c>
      <c r="D2255" s="1" t="s">
        <v>5280</v>
      </c>
      <c r="F2255" s="1">
        <v>2023</v>
      </c>
      <c r="G2255" s="5">
        <v>7739</v>
      </c>
      <c r="H2255" s="5">
        <v>7735.42</v>
      </c>
      <c r="J2255" s="5">
        <v>1158179.5900000001</v>
      </c>
      <c r="K2255" s="5">
        <v>0.438</v>
      </c>
      <c r="L2255" s="5">
        <v>1E-3</v>
      </c>
      <c r="M2255" s="5">
        <v>86790.038</v>
      </c>
      <c r="N2255" s="6">
        <v>5.9400000000000001E-2</v>
      </c>
      <c r="O2255" s="5">
        <v>21.751999999999999</v>
      </c>
      <c r="P2255" s="6">
        <v>2.9700000000000001E-2</v>
      </c>
      <c r="Q2255" s="5">
        <v>1460350.199</v>
      </c>
      <c r="R2255" s="1" t="s">
        <v>44</v>
      </c>
      <c r="T2255" s="1" t="s">
        <v>1660</v>
      </c>
      <c r="V2255" s="1" t="s">
        <v>454</v>
      </c>
      <c r="Y2255" s="1" t="s">
        <v>461</v>
      </c>
      <c r="Z2255" s="1" t="str">
        <f t="shared" si="105"/>
        <v>54081 BLR03B</v>
      </c>
      <c r="AA2255" s="3">
        <f>IF(INDEX('CAMD Facility Data 2023'!$AA$2:$AE$10000,MATCH(Z2255,'CAMD Facility Data 2023'!$AE$2:$AE$10000,0),1)&gt;0,INDEX('CAMD Facility Data 2023'!$AA$2:$AE$10000,MATCH(Z2255,'CAMD Facility Data 2023'!$AE$2:$AE$10000,0),1),"")</f>
        <v>33817</v>
      </c>
      <c r="AB2255" s="5">
        <f>IF(INDEX('CAMD Facility Data 2023'!$AC$2:$AE$10000,MATCH(Z2255,'CAMD Facility Data 2023'!$AE$2:$AE$10000,0),1)&gt;0,INDEX('CAMD Facility Data 2023'!$AC$2:$AE$10000,MATCH(Z2255,'CAMD Facility Data 2023'!$AE$2:$AE$10000,0),1),"")</f>
        <v>525</v>
      </c>
      <c r="AC2255" s="1" t="str">
        <f>IF(INDEX('CAMD Facility Data 2023'!$AE$2:$AG$10000,MATCH(Z2255,'CAMD Facility Data 2023'!$AE$2:$AE$10000,0),3)&gt;0,INDEX('CAMD Facility Data 2023'!$AE$2:$AG$10000,MATCH(Z2255,'CAMD Facility Data 2023'!$AE$2:$AE$10000,0),3),"")</f>
        <v/>
      </c>
      <c r="AD2255" s="20" t="str">
        <f t="shared" si="106"/>
        <v/>
      </c>
      <c r="AE2255" s="25">
        <f t="shared" si="107"/>
        <v>0.31753646423135462</v>
      </c>
    </row>
    <row r="2256" spans="1:31" x14ac:dyDescent="0.2">
      <c r="A2256" s="1" t="s">
        <v>3095</v>
      </c>
      <c r="B2256" s="1" t="s">
        <v>5274</v>
      </c>
      <c r="C2256" s="1">
        <v>54081</v>
      </c>
      <c r="D2256" s="1" t="s">
        <v>5281</v>
      </c>
      <c r="F2256" s="1">
        <v>2023</v>
      </c>
      <c r="G2256" s="5">
        <v>8217</v>
      </c>
      <c r="H2256" s="5">
        <v>8214.18</v>
      </c>
      <c r="J2256" s="5">
        <v>1258332.5900000001</v>
      </c>
      <c r="K2256" s="5">
        <v>0.47399999999999998</v>
      </c>
      <c r="L2256" s="5">
        <v>1E-3</v>
      </c>
      <c r="M2256" s="5">
        <v>93867.171000000002</v>
      </c>
      <c r="N2256" s="6">
        <v>5.9400000000000001E-2</v>
      </c>
      <c r="O2256" s="5">
        <v>22.099</v>
      </c>
      <c r="P2256" s="6">
        <v>2.7900000000000001E-2</v>
      </c>
      <c r="Q2256" s="5">
        <v>1579424.5160000001</v>
      </c>
      <c r="R2256" s="1" t="s">
        <v>44</v>
      </c>
      <c r="T2256" s="1" t="s">
        <v>1660</v>
      </c>
      <c r="V2256" s="1" t="s">
        <v>454</v>
      </c>
      <c r="Y2256" s="1" t="s">
        <v>461</v>
      </c>
      <c r="Z2256" s="1" t="str">
        <f t="shared" si="105"/>
        <v>54081 BLR04A</v>
      </c>
      <c r="AA2256" s="3">
        <f>IF(INDEX('CAMD Facility Data 2023'!$AA$2:$AE$10000,MATCH(Z2256,'CAMD Facility Data 2023'!$AE$2:$AE$10000,0),1)&gt;0,INDEX('CAMD Facility Data 2023'!$AA$2:$AE$10000,MATCH(Z2256,'CAMD Facility Data 2023'!$AE$2:$AE$10000,0),1),"")</f>
        <v>33817</v>
      </c>
      <c r="AB2256" s="5">
        <f>IF(INDEX('CAMD Facility Data 2023'!$AC$2:$AE$10000,MATCH(Z2256,'CAMD Facility Data 2023'!$AE$2:$AE$10000,0),1)&gt;0,INDEX('CAMD Facility Data 2023'!$AC$2:$AE$10000,MATCH(Z2256,'CAMD Facility Data 2023'!$AE$2:$AE$10000,0),1),"")</f>
        <v>380</v>
      </c>
      <c r="AC2256" s="1" t="str">
        <f>IF(INDEX('CAMD Facility Data 2023'!$AE$2:$AG$10000,MATCH(Z2256,'CAMD Facility Data 2023'!$AE$2:$AE$10000,0),3)&gt;0,INDEX('CAMD Facility Data 2023'!$AE$2:$AG$10000,MATCH(Z2256,'CAMD Facility Data 2023'!$AE$2:$AE$10000,0),3),"")</f>
        <v/>
      </c>
      <c r="AD2256" s="20" t="str">
        <f t="shared" si="106"/>
        <v/>
      </c>
      <c r="AE2256" s="25">
        <f t="shared" si="107"/>
        <v>0.4744726375871185</v>
      </c>
    </row>
    <row r="2257" spans="1:31" x14ac:dyDescent="0.2">
      <c r="A2257" s="1" t="s">
        <v>3095</v>
      </c>
      <c r="B2257" s="1" t="s">
        <v>5274</v>
      </c>
      <c r="C2257" s="1">
        <v>54081</v>
      </c>
      <c r="D2257" s="1" t="s">
        <v>5283</v>
      </c>
      <c r="F2257" s="1">
        <v>2023</v>
      </c>
      <c r="G2257" s="5">
        <v>8177</v>
      </c>
      <c r="H2257" s="5">
        <v>8173.52</v>
      </c>
      <c r="J2257" s="5">
        <v>1238314.1200000001</v>
      </c>
      <c r="K2257" s="5">
        <v>0.47399999999999998</v>
      </c>
      <c r="L2257" s="5">
        <v>1E-3</v>
      </c>
      <c r="M2257" s="5">
        <v>93799.023000000001</v>
      </c>
      <c r="N2257" s="6">
        <v>5.9400000000000001E-2</v>
      </c>
      <c r="O2257" s="5">
        <v>22.934000000000001</v>
      </c>
      <c r="P2257" s="6">
        <v>2.9000000000000001E-2</v>
      </c>
      <c r="Q2257" s="5">
        <v>1578360.601</v>
      </c>
      <c r="R2257" s="1" t="s">
        <v>44</v>
      </c>
      <c r="T2257" s="1" t="s">
        <v>1660</v>
      </c>
      <c r="V2257" s="1" t="s">
        <v>454</v>
      </c>
      <c r="Y2257" s="1" t="s">
        <v>461</v>
      </c>
      <c r="Z2257" s="1" t="str">
        <f t="shared" si="105"/>
        <v>54081 BLR04B</v>
      </c>
      <c r="AA2257" s="3">
        <f>IF(INDEX('CAMD Facility Data 2023'!$AA$2:$AE$10000,MATCH(Z2257,'CAMD Facility Data 2023'!$AE$2:$AE$10000,0),1)&gt;0,INDEX('CAMD Facility Data 2023'!$AA$2:$AE$10000,MATCH(Z2257,'CAMD Facility Data 2023'!$AE$2:$AE$10000,0),1),"")</f>
        <v>33817</v>
      </c>
      <c r="AB2257" s="5">
        <f>IF(INDEX('CAMD Facility Data 2023'!$AC$2:$AE$10000,MATCH(Z2257,'CAMD Facility Data 2023'!$AE$2:$AE$10000,0),1)&gt;0,INDEX('CAMD Facility Data 2023'!$AC$2:$AE$10000,MATCH(Z2257,'CAMD Facility Data 2023'!$AE$2:$AE$10000,0),1),"")</f>
        <v>380</v>
      </c>
      <c r="AC2257" s="1" t="str">
        <f>IF(INDEX('CAMD Facility Data 2023'!$AE$2:$AG$10000,MATCH(Z2257,'CAMD Facility Data 2023'!$AE$2:$AE$10000,0),3)&gt;0,INDEX('CAMD Facility Data 2023'!$AE$2:$AG$10000,MATCH(Z2257,'CAMD Facility Data 2023'!$AE$2:$AE$10000,0),3),"")</f>
        <v/>
      </c>
      <c r="AD2257" s="20" t="str">
        <f t="shared" si="106"/>
        <v/>
      </c>
      <c r="AE2257" s="25">
        <f t="shared" si="107"/>
        <v>0.47415302841864937</v>
      </c>
    </row>
    <row r="2258" spans="1:31" x14ac:dyDescent="0.2">
      <c r="A2258" s="1" t="s">
        <v>2089</v>
      </c>
      <c r="B2258" s="1" t="s">
        <v>5284</v>
      </c>
      <c r="C2258" s="1">
        <v>54114</v>
      </c>
      <c r="D2258" s="1" t="s">
        <v>280</v>
      </c>
      <c r="F2258" s="1">
        <v>2023</v>
      </c>
      <c r="G2258" s="5">
        <v>4040</v>
      </c>
      <c r="H2258" s="5">
        <v>3852.24</v>
      </c>
      <c r="I2258" s="5">
        <v>199636.84</v>
      </c>
      <c r="K2258" s="5">
        <v>0.52700000000000002</v>
      </c>
      <c r="L2258" s="5">
        <v>1.1999999999999999E-3</v>
      </c>
      <c r="M2258" s="5">
        <v>103767.54399999999</v>
      </c>
      <c r="N2258" s="6">
        <v>5.9200000000000003E-2</v>
      </c>
      <c r="O2258" s="5">
        <v>24.856999999999999</v>
      </c>
      <c r="P2258" s="6">
        <v>3.2399999999999998E-2</v>
      </c>
      <c r="Q2258" s="5">
        <v>1746084.8689999999</v>
      </c>
      <c r="R2258" s="1" t="s">
        <v>44</v>
      </c>
      <c r="S2258" s="1" t="s">
        <v>94</v>
      </c>
      <c r="T2258" s="1" t="s">
        <v>71</v>
      </c>
      <c r="V2258" s="1" t="s">
        <v>176</v>
      </c>
      <c r="Y2258" s="1" t="s">
        <v>1528</v>
      </c>
      <c r="Z2258" s="1" t="str">
        <f t="shared" si="105"/>
        <v>54114 GT1</v>
      </c>
      <c r="AA2258" s="3">
        <f>IF(INDEX('CAMD Facility Data 2023'!$AA$2:$AE$10000,MATCH(Z2258,'CAMD Facility Data 2023'!$AE$2:$AE$10000,0),1)&gt;0,INDEX('CAMD Facility Data 2023'!$AA$2:$AE$10000,MATCH(Z2258,'CAMD Facility Data 2023'!$AE$2:$AE$10000,0),1),"")</f>
        <v>34731</v>
      </c>
      <c r="AB2258" s="5">
        <f>IF(INDEX('CAMD Facility Data 2023'!$AC$2:$AE$10000,MATCH(Z2258,'CAMD Facility Data 2023'!$AE$2:$AE$10000,0),1)&gt;0,INDEX('CAMD Facility Data 2023'!$AC$2:$AE$10000,MATCH(Z2258,'CAMD Facility Data 2023'!$AE$2:$AE$10000,0),1),"")</f>
        <v>718</v>
      </c>
      <c r="AC2258" s="1" t="str">
        <f>IF(INDEX('CAMD Facility Data 2023'!$AE$2:$AG$10000,MATCH(Z2258,'CAMD Facility Data 2023'!$AE$2:$AE$10000,0),3)&gt;0,INDEX('CAMD Facility Data 2023'!$AE$2:$AG$10000,MATCH(Z2258,'CAMD Facility Data 2023'!$AE$2:$AE$10000,0),3),"")</f>
        <v>Y</v>
      </c>
      <c r="AD2258" s="20">
        <f t="shared" si="106"/>
        <v>0.24902217446439245</v>
      </c>
      <c r="AE2258" s="25">
        <f t="shared" si="107"/>
        <v>0.27761108180384375</v>
      </c>
    </row>
    <row r="2259" spans="1:31" x14ac:dyDescent="0.2">
      <c r="A2259" s="1" t="s">
        <v>2089</v>
      </c>
      <c r="B2259" s="1" t="s">
        <v>5284</v>
      </c>
      <c r="C2259" s="1">
        <v>54114</v>
      </c>
      <c r="D2259" s="1" t="s">
        <v>1102</v>
      </c>
      <c r="F2259" s="1">
        <v>2023</v>
      </c>
      <c r="G2259" s="5">
        <v>5932</v>
      </c>
      <c r="H2259" s="5">
        <v>5850.7</v>
      </c>
      <c r="I2259" s="5">
        <v>276547.20000000001</v>
      </c>
      <c r="K2259" s="5">
        <v>0.71699999999999997</v>
      </c>
      <c r="L2259" s="5">
        <v>1E-3</v>
      </c>
      <c r="M2259" s="5">
        <v>141927.435</v>
      </c>
      <c r="N2259" s="6">
        <v>5.9200000000000003E-2</v>
      </c>
      <c r="O2259" s="5">
        <v>32.414000000000001</v>
      </c>
      <c r="P2259" s="6">
        <v>2.8299999999999999E-2</v>
      </c>
      <c r="Q2259" s="5">
        <v>2388088.2820000001</v>
      </c>
      <c r="R2259" s="1" t="s">
        <v>44</v>
      </c>
      <c r="S2259" s="1" t="s">
        <v>94</v>
      </c>
      <c r="T2259" s="1" t="s">
        <v>71</v>
      </c>
      <c r="V2259" s="1" t="s">
        <v>176</v>
      </c>
      <c r="Y2259" s="1" t="s">
        <v>1528</v>
      </c>
      <c r="Z2259" s="1" t="str">
        <f t="shared" si="105"/>
        <v>54114 GT2</v>
      </c>
      <c r="AA2259" s="3">
        <f>IF(INDEX('CAMD Facility Data 2023'!$AA$2:$AE$10000,MATCH(Z2259,'CAMD Facility Data 2023'!$AE$2:$AE$10000,0),1)&gt;0,INDEX('CAMD Facility Data 2023'!$AA$2:$AE$10000,MATCH(Z2259,'CAMD Facility Data 2023'!$AE$2:$AE$10000,0),1),"")</f>
        <v>34731</v>
      </c>
      <c r="AB2259" s="5">
        <f>IF(INDEX('CAMD Facility Data 2023'!$AC$2:$AE$10000,MATCH(Z2259,'CAMD Facility Data 2023'!$AE$2:$AE$10000,0),1)&gt;0,INDEX('CAMD Facility Data 2023'!$AC$2:$AE$10000,MATCH(Z2259,'CAMD Facility Data 2023'!$AE$2:$AE$10000,0),1),"")</f>
        <v>718</v>
      </c>
      <c r="AC2259" s="1" t="str">
        <f>IF(INDEX('CAMD Facility Data 2023'!$AE$2:$AG$10000,MATCH(Z2259,'CAMD Facility Data 2023'!$AE$2:$AE$10000,0),3)&gt;0,INDEX('CAMD Facility Data 2023'!$AE$2:$AG$10000,MATCH(Z2259,'CAMD Facility Data 2023'!$AE$2:$AE$10000,0),3),"")</f>
        <v>Y</v>
      </c>
      <c r="AD2259" s="20">
        <f t="shared" si="106"/>
        <v>0.23441929623586857</v>
      </c>
      <c r="AE2259" s="25">
        <f t="shared" si="107"/>
        <v>0.37968358994416251</v>
      </c>
    </row>
    <row r="2260" spans="1:31" x14ac:dyDescent="0.2">
      <c r="A2260" s="1" t="s">
        <v>2089</v>
      </c>
      <c r="B2260" s="1" t="s">
        <v>5287</v>
      </c>
      <c r="C2260" s="1">
        <v>54131</v>
      </c>
      <c r="D2260" s="1" t="s">
        <v>5288</v>
      </c>
      <c r="F2260" s="1">
        <v>2023</v>
      </c>
      <c r="G2260" s="5">
        <v>1404</v>
      </c>
      <c r="H2260" s="5">
        <v>1390.36</v>
      </c>
      <c r="I2260" s="5">
        <v>50984.23</v>
      </c>
      <c r="K2260" s="5">
        <v>0.20200000000000001</v>
      </c>
      <c r="L2260" s="5">
        <v>8.9999999999999998E-4</v>
      </c>
      <c r="M2260" s="5">
        <v>37772.271000000001</v>
      </c>
      <c r="N2260" s="6">
        <v>5.9200000000000003E-2</v>
      </c>
      <c r="O2260" s="5">
        <v>23.553000000000001</v>
      </c>
      <c r="P2260" s="6">
        <v>7.5999999999999998E-2</v>
      </c>
      <c r="Q2260" s="5">
        <v>635611.84100000001</v>
      </c>
      <c r="R2260" s="1" t="s">
        <v>44</v>
      </c>
      <c r="S2260" s="1" t="s">
        <v>94</v>
      </c>
      <c r="T2260" s="1" t="s">
        <v>71</v>
      </c>
      <c r="V2260" s="1" t="s">
        <v>1606</v>
      </c>
      <c r="Y2260" s="1" t="s">
        <v>1528</v>
      </c>
      <c r="Z2260" s="1" t="str">
        <f t="shared" si="105"/>
        <v>54131 NTCT1</v>
      </c>
      <c r="AA2260" s="3">
        <f>IF(INDEX('CAMD Facility Data 2023'!$AA$2:$AE$10000,MATCH(Z2260,'CAMD Facility Data 2023'!$AE$2:$AE$10000,0),1)&gt;0,INDEX('CAMD Facility Data 2023'!$AA$2:$AE$10000,MATCH(Z2260,'CAMD Facility Data 2023'!$AE$2:$AE$10000,0),1),"")</f>
        <v>34220</v>
      </c>
      <c r="AB2260" s="5">
        <f>IF(INDEX('CAMD Facility Data 2023'!$AC$2:$AE$10000,MATCH(Z2260,'CAMD Facility Data 2023'!$AE$2:$AE$10000,0),1)&gt;0,INDEX('CAMD Facility Data 2023'!$AC$2:$AE$10000,MATCH(Z2260,'CAMD Facility Data 2023'!$AE$2:$AE$10000,0),1),"")</f>
        <v>650</v>
      </c>
      <c r="AC2260" s="1" t="str">
        <f>IF(INDEX('CAMD Facility Data 2023'!$AE$2:$AG$10000,MATCH(Z2260,'CAMD Facility Data 2023'!$AE$2:$AE$10000,0),3)&gt;0,INDEX('CAMD Facility Data 2023'!$AE$2:$AG$10000,MATCH(Z2260,'CAMD Facility Data 2023'!$AE$2:$AE$10000,0),3),"")</f>
        <v/>
      </c>
      <c r="AD2260" s="20">
        <f t="shared" si="106"/>
        <v>0.92393275332391989</v>
      </c>
      <c r="AE2260" s="25">
        <f t="shared" si="107"/>
        <v>0.11162835282753776</v>
      </c>
    </row>
    <row r="2261" spans="1:31" x14ac:dyDescent="0.2">
      <c r="A2261" s="1" t="s">
        <v>2089</v>
      </c>
      <c r="B2261" s="1" t="s">
        <v>5291</v>
      </c>
      <c r="C2261" s="1">
        <v>54149</v>
      </c>
      <c r="D2261" s="1">
        <v>1</v>
      </c>
      <c r="F2261" s="1">
        <v>2023</v>
      </c>
      <c r="G2261" s="5">
        <v>7958</v>
      </c>
      <c r="H2261" s="5">
        <v>7948.81</v>
      </c>
      <c r="I2261" s="5">
        <v>494998.45</v>
      </c>
      <c r="K2261" s="5">
        <v>0.94399999999999995</v>
      </c>
      <c r="L2261" s="5">
        <v>1E-3</v>
      </c>
      <c r="M2261" s="5">
        <v>186917.54399999999</v>
      </c>
      <c r="N2261" s="6">
        <v>5.9299999999999999E-2</v>
      </c>
      <c r="O2261" s="5">
        <v>133.958</v>
      </c>
      <c r="P2261" s="6">
        <v>8.5699999999999998E-2</v>
      </c>
      <c r="Q2261" s="5">
        <v>3144275.5920000002</v>
      </c>
      <c r="R2261" s="1" t="s">
        <v>44</v>
      </c>
      <c r="S2261" s="1" t="s">
        <v>94</v>
      </c>
      <c r="T2261" s="1" t="s">
        <v>93</v>
      </c>
      <c r="V2261" s="1" t="s">
        <v>95</v>
      </c>
      <c r="Y2261" s="1" t="s">
        <v>1528</v>
      </c>
      <c r="Z2261" s="1" t="str">
        <f t="shared" si="105"/>
        <v>54149 1</v>
      </c>
      <c r="AA2261" s="3">
        <f>IF(INDEX('CAMD Facility Data 2023'!$AA$2:$AE$10000,MATCH(Z2261,'CAMD Facility Data 2023'!$AE$2:$AE$10000,0),1)&gt;0,INDEX('CAMD Facility Data 2023'!$AA$2:$AE$10000,MATCH(Z2261,'CAMD Facility Data 2023'!$AE$2:$AE$10000,0),1),"")</f>
        <v>34790</v>
      </c>
      <c r="AB2261" s="5">
        <f>IF(INDEX('CAMD Facility Data 2023'!$AC$2:$AE$10000,MATCH(Z2261,'CAMD Facility Data 2023'!$AE$2:$AE$10000,0),1)&gt;0,INDEX('CAMD Facility Data 2023'!$AC$2:$AE$10000,MATCH(Z2261,'CAMD Facility Data 2023'!$AE$2:$AE$10000,0),1),"")</f>
        <v>670</v>
      </c>
      <c r="AC2261" s="1" t="str">
        <f>IF(INDEX('CAMD Facility Data 2023'!$AE$2:$AG$10000,MATCH(Z2261,'CAMD Facility Data 2023'!$AE$2:$AE$10000,0),3)&gt;0,INDEX('CAMD Facility Data 2023'!$AE$2:$AG$10000,MATCH(Z2261,'CAMD Facility Data 2023'!$AE$2:$AE$10000,0),3),"")</f>
        <v/>
      </c>
      <c r="AD2261" s="20">
        <f t="shared" si="106"/>
        <v>0.54124613925558751</v>
      </c>
      <c r="AE2261" s="25">
        <f t="shared" si="107"/>
        <v>0.53572473113882646</v>
      </c>
    </row>
    <row r="2262" spans="1:31" x14ac:dyDescent="0.2">
      <c r="A2262" s="1" t="s">
        <v>370</v>
      </c>
      <c r="B2262" s="1" t="s">
        <v>5294</v>
      </c>
      <c r="C2262" s="1">
        <v>54238</v>
      </c>
      <c r="D2262" s="1" t="s">
        <v>5295</v>
      </c>
      <c r="F2262" s="1">
        <v>2023</v>
      </c>
      <c r="G2262" s="5">
        <v>7613</v>
      </c>
      <c r="H2262" s="5">
        <v>7577.39</v>
      </c>
      <c r="I2262" s="5">
        <v>352341.42</v>
      </c>
      <c r="K2262" s="5">
        <v>0.46700000000000003</v>
      </c>
      <c r="L2262" s="5">
        <v>5.9999999999999995E-4</v>
      </c>
      <c r="M2262" s="5">
        <v>516181.75099999999</v>
      </c>
      <c r="N2262" s="6">
        <v>0.10290000000000001</v>
      </c>
      <c r="O2262" s="5">
        <v>103.58499999999999</v>
      </c>
      <c r="P2262" s="6">
        <v>4.1399999999999999E-2</v>
      </c>
      <c r="Q2262" s="5">
        <v>4953593.4220000003</v>
      </c>
      <c r="R2262" s="1" t="s">
        <v>657</v>
      </c>
      <c r="T2262" s="1" t="s">
        <v>1660</v>
      </c>
      <c r="U2262" s="1" t="s">
        <v>241</v>
      </c>
      <c r="V2262" s="1" t="s">
        <v>223</v>
      </c>
      <c r="W2262" s="1" t="s">
        <v>58</v>
      </c>
      <c r="Y2262" s="1" t="s">
        <v>247</v>
      </c>
      <c r="Z2262" s="1" t="str">
        <f t="shared" si="105"/>
        <v>54238 BIOMS1</v>
      </c>
      <c r="AA2262" s="3">
        <f>IF(INDEX('CAMD Facility Data 2023'!$AA$2:$AE$10000,MATCH(Z2262,'CAMD Facility Data 2023'!$AE$2:$AE$10000,0),1)&gt;0,INDEX('CAMD Facility Data 2023'!$AA$2:$AE$10000,MATCH(Z2262,'CAMD Facility Data 2023'!$AE$2:$AE$10000,0),1),"")</f>
        <v>41573</v>
      </c>
      <c r="AB2262" s="5">
        <f>IF(INDEX('CAMD Facility Data 2023'!$AC$2:$AE$10000,MATCH(Z2262,'CAMD Facility Data 2023'!$AE$2:$AE$10000,0),1)&gt;0,INDEX('CAMD Facility Data 2023'!$AC$2:$AE$10000,MATCH(Z2262,'CAMD Facility Data 2023'!$AE$2:$AE$10000,0),1),"")</f>
        <v>780</v>
      </c>
      <c r="AC2262" s="1" t="str">
        <f>IF(INDEX('CAMD Facility Data 2023'!$AE$2:$AG$10000,MATCH(Z2262,'CAMD Facility Data 2023'!$AE$2:$AE$10000,0),3)&gt;0,INDEX('CAMD Facility Data 2023'!$AE$2:$AG$10000,MATCH(Z2262,'CAMD Facility Data 2023'!$AE$2:$AE$10000,0),3),"")</f>
        <v>Y</v>
      </c>
      <c r="AD2262" s="20">
        <f t="shared" si="106"/>
        <v>0.58798082836812093</v>
      </c>
      <c r="AE2262" s="25">
        <f t="shared" si="107"/>
        <v>0.7249726937712212</v>
      </c>
    </row>
    <row r="2263" spans="1:31" x14ac:dyDescent="0.2">
      <c r="A2263" s="1" t="s">
        <v>1903</v>
      </c>
      <c r="B2263" s="1" t="s">
        <v>5298</v>
      </c>
      <c r="C2263" s="1">
        <v>54271</v>
      </c>
      <c r="D2263" s="1" t="s">
        <v>5299</v>
      </c>
      <c r="F2263" s="1">
        <v>2023</v>
      </c>
      <c r="G2263" s="5">
        <v>2391</v>
      </c>
      <c r="H2263" s="5">
        <v>2378.1799999999998</v>
      </c>
      <c r="I2263" s="5">
        <v>107779.41</v>
      </c>
      <c r="K2263" s="5">
        <v>0.29299999999999998</v>
      </c>
      <c r="L2263" s="5">
        <v>1E-3</v>
      </c>
      <c r="M2263" s="5">
        <v>57952.985999999997</v>
      </c>
      <c r="N2263" s="6">
        <v>5.9200000000000003E-2</v>
      </c>
      <c r="O2263" s="5">
        <v>106.721</v>
      </c>
      <c r="P2263" s="6">
        <v>0.21829999999999999</v>
      </c>
      <c r="Q2263" s="5">
        <v>975165.76</v>
      </c>
      <c r="R2263" s="1" t="s">
        <v>44</v>
      </c>
      <c r="T2263" s="1" t="s">
        <v>71</v>
      </c>
      <c r="V2263" s="1" t="s">
        <v>4050</v>
      </c>
      <c r="Y2263" s="1" t="s">
        <v>247</v>
      </c>
      <c r="Z2263" s="1" t="str">
        <f t="shared" si="105"/>
        <v>54271 A01</v>
      </c>
      <c r="AA2263" s="3">
        <f>IF(INDEX('CAMD Facility Data 2023'!$AA$2:$AE$10000,MATCH(Z2263,'CAMD Facility Data 2023'!$AE$2:$AE$10000,0),1)&gt;0,INDEX('CAMD Facility Data 2023'!$AA$2:$AE$10000,MATCH(Z2263,'CAMD Facility Data 2023'!$AE$2:$AE$10000,0),1),"")</f>
        <v>33587</v>
      </c>
      <c r="AB2263" s="5">
        <f>IF(INDEX('CAMD Facility Data 2023'!$AC$2:$AE$10000,MATCH(Z2263,'CAMD Facility Data 2023'!$AE$2:$AE$10000,0),1)&gt;0,INDEX('CAMD Facility Data 2023'!$AC$2:$AE$10000,MATCH(Z2263,'CAMD Facility Data 2023'!$AE$2:$AE$10000,0),1),"")</f>
        <v>475</v>
      </c>
      <c r="AC2263" s="1" t="str">
        <f>IF(INDEX('CAMD Facility Data 2023'!$AE$2:$AG$10000,MATCH(Z2263,'CAMD Facility Data 2023'!$AE$2:$AE$10000,0),3)&gt;0,INDEX('CAMD Facility Data 2023'!$AE$2:$AG$10000,MATCH(Z2263,'CAMD Facility Data 2023'!$AE$2:$AE$10000,0),3),"")</f>
        <v>Y</v>
      </c>
      <c r="AD2263" s="20">
        <f t="shared" si="106"/>
        <v>1.9803596995010457</v>
      </c>
      <c r="AE2263" s="25">
        <f t="shared" si="107"/>
        <v>0.23435850997356406</v>
      </c>
    </row>
    <row r="2264" spans="1:31" x14ac:dyDescent="0.2">
      <c r="A2264" s="1" t="s">
        <v>1903</v>
      </c>
      <c r="B2264" s="1" t="s">
        <v>5298</v>
      </c>
      <c r="C2264" s="1">
        <v>54271</v>
      </c>
      <c r="D2264" s="1" t="s">
        <v>5303</v>
      </c>
      <c r="F2264" s="1">
        <v>2023</v>
      </c>
      <c r="G2264" s="5">
        <v>2320</v>
      </c>
      <c r="H2264" s="5">
        <v>2305.9299999999998</v>
      </c>
      <c r="I2264" s="5">
        <v>106986.93</v>
      </c>
      <c r="K2264" s="5">
        <v>0.29499999999999998</v>
      </c>
      <c r="L2264" s="5">
        <v>1E-3</v>
      </c>
      <c r="M2264" s="5">
        <v>58412.031000000003</v>
      </c>
      <c r="N2264" s="6">
        <v>5.9200000000000003E-2</v>
      </c>
      <c r="O2264" s="5">
        <v>107.297</v>
      </c>
      <c r="P2264" s="6">
        <v>0.21809999999999999</v>
      </c>
      <c r="Q2264" s="5">
        <v>982867.951</v>
      </c>
      <c r="R2264" s="1" t="s">
        <v>44</v>
      </c>
      <c r="T2264" s="1" t="s">
        <v>71</v>
      </c>
      <c r="V2264" s="1" t="s">
        <v>4050</v>
      </c>
      <c r="Y2264" s="1" t="s">
        <v>247</v>
      </c>
      <c r="Z2264" s="1" t="str">
        <f t="shared" si="105"/>
        <v>54271 A02</v>
      </c>
      <c r="AA2264" s="3">
        <f>IF(INDEX('CAMD Facility Data 2023'!$AA$2:$AE$10000,MATCH(Z2264,'CAMD Facility Data 2023'!$AE$2:$AE$10000,0),1)&gt;0,INDEX('CAMD Facility Data 2023'!$AA$2:$AE$10000,MATCH(Z2264,'CAMD Facility Data 2023'!$AE$2:$AE$10000,0),1),"")</f>
        <v>33587</v>
      </c>
      <c r="AB2264" s="5">
        <f>IF(INDEX('CAMD Facility Data 2023'!$AC$2:$AE$10000,MATCH(Z2264,'CAMD Facility Data 2023'!$AE$2:$AE$10000,0),1)&gt;0,INDEX('CAMD Facility Data 2023'!$AC$2:$AE$10000,MATCH(Z2264,'CAMD Facility Data 2023'!$AE$2:$AE$10000,0),1),"")</f>
        <v>475</v>
      </c>
      <c r="AC2264" s="1" t="str">
        <f>IF(INDEX('CAMD Facility Data 2023'!$AE$2:$AG$10000,MATCH(Z2264,'CAMD Facility Data 2023'!$AE$2:$AE$10000,0),3)&gt;0,INDEX('CAMD Facility Data 2023'!$AE$2:$AG$10000,MATCH(Z2264,'CAMD Facility Data 2023'!$AE$2:$AE$10000,0),3),"")</f>
        <v>Y</v>
      </c>
      <c r="AD2264" s="20">
        <f t="shared" si="106"/>
        <v>2.0057964089632256</v>
      </c>
      <c r="AE2264" s="25">
        <f t="shared" si="107"/>
        <v>0.23620955323239606</v>
      </c>
    </row>
    <row r="2265" spans="1:31" x14ac:dyDescent="0.2">
      <c r="A2265" s="1" t="s">
        <v>2680</v>
      </c>
      <c r="B2265" s="1" t="s">
        <v>5305</v>
      </c>
      <c r="C2265" s="1">
        <v>54324</v>
      </c>
      <c r="D2265" s="1">
        <v>3</v>
      </c>
      <c r="F2265" s="1">
        <v>2023</v>
      </c>
      <c r="G2265" s="5">
        <v>4457</v>
      </c>
      <c r="H2265" s="5">
        <v>4303.72</v>
      </c>
      <c r="I2265" s="5">
        <v>308370.90999999997</v>
      </c>
      <c r="K2265" s="5">
        <v>1.175</v>
      </c>
      <c r="L2265" s="5">
        <v>1E-3</v>
      </c>
      <c r="M2265" s="5">
        <v>232618.23699999999</v>
      </c>
      <c r="N2265" s="6">
        <v>5.9200000000000003E-2</v>
      </c>
      <c r="O2265" s="5">
        <v>56.423999999999999</v>
      </c>
      <c r="P2265" s="6">
        <v>2.9899999999999999E-2</v>
      </c>
      <c r="Q2265" s="5">
        <v>3909611.855</v>
      </c>
      <c r="R2265" s="1" t="s">
        <v>44</v>
      </c>
      <c r="S2265" s="1" t="s">
        <v>94</v>
      </c>
      <c r="T2265" s="1" t="s">
        <v>71</v>
      </c>
      <c r="V2265" s="1" t="s">
        <v>176</v>
      </c>
      <c r="Y2265" s="1" t="s">
        <v>579</v>
      </c>
      <c r="Z2265" s="1" t="str">
        <f t="shared" si="105"/>
        <v>54324 3</v>
      </c>
      <c r="AA2265" s="3">
        <f>IF(INDEX('CAMD Facility Data 2023'!$AA$2:$AE$10000,MATCH(Z2265,'CAMD Facility Data 2023'!$AE$2:$AE$10000,0),1)&gt;0,INDEX('CAMD Facility Data 2023'!$AA$2:$AE$10000,MATCH(Z2265,'CAMD Facility Data 2023'!$AE$2:$AE$10000,0),1),"")</f>
        <v>33512</v>
      </c>
      <c r="AB2265" s="5">
        <f>IF(INDEX('CAMD Facility Data 2023'!$AC$2:$AE$10000,MATCH(Z2265,'CAMD Facility Data 2023'!$AE$2:$AE$10000,0),1)&gt;0,INDEX('CAMD Facility Data 2023'!$AC$2:$AE$10000,MATCH(Z2265,'CAMD Facility Data 2023'!$AE$2:$AE$10000,0),1),"")</f>
        <v>1650</v>
      </c>
      <c r="AC2265" s="1" t="str">
        <f>IF(INDEX('CAMD Facility Data 2023'!$AE$2:$AG$10000,MATCH(Z2265,'CAMD Facility Data 2023'!$AE$2:$AE$10000,0),3)&gt;0,INDEX('CAMD Facility Data 2023'!$AE$2:$AG$10000,MATCH(Z2265,'CAMD Facility Data 2023'!$AE$2:$AE$10000,0),3),"")</f>
        <v>Y</v>
      </c>
      <c r="AD2265" s="20">
        <f t="shared" si="106"/>
        <v>0.36594891522031053</v>
      </c>
      <c r="AE2265" s="25">
        <f t="shared" si="107"/>
        <v>0.27048649889303999</v>
      </c>
    </row>
    <row r="2266" spans="1:31" x14ac:dyDescent="0.2">
      <c r="A2266" s="1" t="s">
        <v>2680</v>
      </c>
      <c r="B2266" s="1" t="s">
        <v>5305</v>
      </c>
      <c r="C2266" s="1">
        <v>54324</v>
      </c>
      <c r="D2266" s="1">
        <v>4</v>
      </c>
      <c r="F2266" s="1">
        <v>2023</v>
      </c>
      <c r="G2266" s="5">
        <v>5592</v>
      </c>
      <c r="H2266" s="5">
        <v>5410.78</v>
      </c>
      <c r="I2266" s="5">
        <v>422662.47</v>
      </c>
      <c r="K2266" s="5">
        <v>1.548</v>
      </c>
      <c r="L2266" s="5">
        <v>1E-3</v>
      </c>
      <c r="M2266" s="5">
        <v>306439.08299999998</v>
      </c>
      <c r="N2266" s="6">
        <v>5.9200000000000003E-2</v>
      </c>
      <c r="O2266" s="5">
        <v>70.843999999999994</v>
      </c>
      <c r="P2266" s="6">
        <v>2.81E-2</v>
      </c>
      <c r="Q2266" s="5">
        <v>5147281.4289999995</v>
      </c>
      <c r="R2266" s="1" t="s">
        <v>44</v>
      </c>
      <c r="S2266" s="1" t="s">
        <v>94</v>
      </c>
      <c r="T2266" s="1" t="s">
        <v>71</v>
      </c>
      <c r="V2266" s="1" t="s">
        <v>176</v>
      </c>
      <c r="Y2266" s="1" t="s">
        <v>579</v>
      </c>
      <c r="Z2266" s="1" t="str">
        <f t="shared" si="105"/>
        <v>54324 4</v>
      </c>
      <c r="AA2266" s="3">
        <f>IF(INDEX('CAMD Facility Data 2023'!$AA$2:$AE$10000,MATCH(Z2266,'CAMD Facility Data 2023'!$AE$2:$AE$10000,0),1)&gt;0,INDEX('CAMD Facility Data 2023'!$AA$2:$AE$10000,MATCH(Z2266,'CAMD Facility Data 2023'!$AE$2:$AE$10000,0),1),"")</f>
        <v>33512</v>
      </c>
      <c r="AB2266" s="5">
        <f>IF(INDEX('CAMD Facility Data 2023'!$AC$2:$AE$10000,MATCH(Z2266,'CAMD Facility Data 2023'!$AE$2:$AE$10000,0),1)&gt;0,INDEX('CAMD Facility Data 2023'!$AC$2:$AE$10000,MATCH(Z2266,'CAMD Facility Data 2023'!$AE$2:$AE$10000,0),1),"")</f>
        <v>1650</v>
      </c>
      <c r="AC2266" s="1" t="str">
        <f>IF(INDEX('CAMD Facility Data 2023'!$AE$2:$AG$10000,MATCH(Z2266,'CAMD Facility Data 2023'!$AE$2:$AE$10000,0),3)&gt;0,INDEX('CAMD Facility Data 2023'!$AE$2:$AG$10000,MATCH(Z2266,'CAMD Facility Data 2023'!$AE$2:$AE$10000,0),3),"")</f>
        <v>Y</v>
      </c>
      <c r="AD2266" s="20">
        <f t="shared" si="106"/>
        <v>0.33522730324270333</v>
      </c>
      <c r="AE2266" s="25">
        <f t="shared" si="107"/>
        <v>0.35611466922651164</v>
      </c>
    </row>
    <row r="2267" spans="1:31" x14ac:dyDescent="0.2">
      <c r="A2267" s="1" t="s">
        <v>304</v>
      </c>
      <c r="B2267" s="1" t="s">
        <v>5308</v>
      </c>
      <c r="C2267" s="1">
        <v>54365</v>
      </c>
      <c r="D2267" s="1">
        <v>1</v>
      </c>
      <c r="F2267" s="1">
        <v>2023</v>
      </c>
      <c r="G2267" s="5">
        <v>4102</v>
      </c>
      <c r="H2267" s="5">
        <v>3550.59</v>
      </c>
      <c r="I2267" s="5">
        <v>180164.01</v>
      </c>
      <c r="K2267" s="5">
        <v>0.41399999999999998</v>
      </c>
      <c r="L2267" s="5">
        <v>1E-3</v>
      </c>
      <c r="M2267" s="5">
        <v>81938.835000000006</v>
      </c>
      <c r="N2267" s="6">
        <v>5.9200000000000003E-2</v>
      </c>
      <c r="O2267" s="5">
        <v>34.558</v>
      </c>
      <c r="P2267" s="6">
        <v>5.8400000000000001E-2</v>
      </c>
      <c r="Q2267" s="5">
        <v>1378827.0730000001</v>
      </c>
      <c r="R2267" s="1" t="s">
        <v>44</v>
      </c>
      <c r="T2267" s="1" t="s">
        <v>71</v>
      </c>
      <c r="V2267" s="1" t="s">
        <v>3508</v>
      </c>
      <c r="Y2267" s="1" t="s">
        <v>247</v>
      </c>
      <c r="Z2267" s="1" t="str">
        <f t="shared" si="105"/>
        <v>54365 1</v>
      </c>
      <c r="AA2267" s="3">
        <f>IF(INDEX('CAMD Facility Data 2023'!$AA$2:$AE$10000,MATCH(Z2267,'CAMD Facility Data 2023'!$AE$2:$AE$10000,0),1)&gt;0,INDEX('CAMD Facility Data 2023'!$AA$2:$AE$10000,MATCH(Z2267,'CAMD Facility Data 2023'!$AE$2:$AE$10000,0),1),"")</f>
        <v>34866</v>
      </c>
      <c r="AB2267" s="5">
        <f>IF(INDEX('CAMD Facility Data 2023'!$AC$2:$AE$10000,MATCH(Z2267,'CAMD Facility Data 2023'!$AE$2:$AE$10000,0),1)&gt;0,INDEX('CAMD Facility Data 2023'!$AC$2:$AE$10000,MATCH(Z2267,'CAMD Facility Data 2023'!$AE$2:$AE$10000,0),1),"")</f>
        <v>565.29999999999995</v>
      </c>
      <c r="AC2267" s="1" t="str">
        <f>IF(INDEX('CAMD Facility Data 2023'!$AE$2:$AG$10000,MATCH(Z2267,'CAMD Facility Data 2023'!$AE$2:$AE$10000,0),3)&gt;0,INDEX('CAMD Facility Data 2023'!$AE$2:$AG$10000,MATCH(Z2267,'CAMD Facility Data 2023'!$AE$2:$AE$10000,0),3),"")</f>
        <v/>
      </c>
      <c r="AD2267" s="20">
        <f t="shared" si="106"/>
        <v>0.38362822852355472</v>
      </c>
      <c r="AE2267" s="25">
        <f t="shared" si="107"/>
        <v>0.27843684910505356</v>
      </c>
    </row>
    <row r="2268" spans="1:31" x14ac:dyDescent="0.2">
      <c r="A2268" s="1" t="s">
        <v>304</v>
      </c>
      <c r="B2268" s="1" t="s">
        <v>5308</v>
      </c>
      <c r="C2268" s="1">
        <v>54365</v>
      </c>
      <c r="D2268" s="1">
        <v>2</v>
      </c>
      <c r="F2268" s="1">
        <v>2023</v>
      </c>
      <c r="G2268" s="5">
        <v>5447</v>
      </c>
      <c r="H2268" s="5">
        <v>4896.18</v>
      </c>
      <c r="I2268" s="5">
        <v>249912.53</v>
      </c>
      <c r="K2268" s="5">
        <v>0.57199999999999995</v>
      </c>
      <c r="L2268" s="5">
        <v>1E-3</v>
      </c>
      <c r="M2268" s="5">
        <v>113371.31299999999</v>
      </c>
      <c r="N2268" s="6">
        <v>5.9200000000000003E-2</v>
      </c>
      <c r="O2268" s="5">
        <v>48.131</v>
      </c>
      <c r="P2268" s="6">
        <v>5.21E-2</v>
      </c>
      <c r="Q2268" s="5">
        <v>1907680.496</v>
      </c>
      <c r="R2268" s="1" t="s">
        <v>44</v>
      </c>
      <c r="T2268" s="1" t="s">
        <v>71</v>
      </c>
      <c r="V2268" s="1" t="s">
        <v>3508</v>
      </c>
      <c r="Y2268" s="1" t="s">
        <v>247</v>
      </c>
      <c r="Z2268" s="1" t="str">
        <f t="shared" si="105"/>
        <v>54365 2</v>
      </c>
      <c r="AA2268" s="3">
        <f>IF(INDEX('CAMD Facility Data 2023'!$AA$2:$AE$10000,MATCH(Z2268,'CAMD Facility Data 2023'!$AE$2:$AE$10000,0),1)&gt;0,INDEX('CAMD Facility Data 2023'!$AA$2:$AE$10000,MATCH(Z2268,'CAMD Facility Data 2023'!$AE$2:$AE$10000,0),1),"")</f>
        <v>34866</v>
      </c>
      <c r="AB2268" s="5">
        <f>IF(INDEX('CAMD Facility Data 2023'!$AC$2:$AE$10000,MATCH(Z2268,'CAMD Facility Data 2023'!$AE$2:$AE$10000,0),1)&gt;0,INDEX('CAMD Facility Data 2023'!$AC$2:$AE$10000,MATCH(Z2268,'CAMD Facility Data 2023'!$AE$2:$AE$10000,0),1),"")</f>
        <v>595.4</v>
      </c>
      <c r="AC2268" s="1" t="str">
        <f>IF(INDEX('CAMD Facility Data 2023'!$AE$2:$AG$10000,MATCH(Z2268,'CAMD Facility Data 2023'!$AE$2:$AE$10000,0),3)&gt;0,INDEX('CAMD Facility Data 2023'!$AE$2:$AG$10000,MATCH(Z2268,'CAMD Facility Data 2023'!$AE$2:$AE$10000,0),3),"")</f>
        <v/>
      </c>
      <c r="AD2268" s="20">
        <f t="shared" si="106"/>
        <v>0.38518276774677923</v>
      </c>
      <c r="AE2268" s="25">
        <f t="shared" si="107"/>
        <v>0.36575704756251504</v>
      </c>
    </row>
    <row r="2269" spans="1:31" x14ac:dyDescent="0.2">
      <c r="A2269" s="1" t="s">
        <v>1621</v>
      </c>
      <c r="B2269" s="1" t="s">
        <v>5312</v>
      </c>
      <c r="C2269" s="1">
        <v>54415</v>
      </c>
      <c r="D2269" s="1" t="s">
        <v>5313</v>
      </c>
      <c r="F2269" s="1">
        <v>2023</v>
      </c>
      <c r="G2269" s="5">
        <v>8406</v>
      </c>
      <c r="H2269" s="5">
        <v>8400.41</v>
      </c>
      <c r="I2269" s="5">
        <v>130998.72</v>
      </c>
      <c r="K2269" s="5">
        <v>63.03</v>
      </c>
      <c r="L2269" s="5">
        <v>4.6199999999999998E-2</v>
      </c>
      <c r="O2269" s="5">
        <v>196.316</v>
      </c>
      <c r="P2269" s="6">
        <v>0.14499999999999999</v>
      </c>
      <c r="Q2269" s="5">
        <v>2716695.5639999998</v>
      </c>
      <c r="R2269" s="1" t="s">
        <v>657</v>
      </c>
      <c r="T2269" s="1" t="s">
        <v>1660</v>
      </c>
      <c r="V2269" s="1" t="s">
        <v>669</v>
      </c>
      <c r="W2269" s="1" t="s">
        <v>658</v>
      </c>
      <c r="Y2269" s="1" t="s">
        <v>1020</v>
      </c>
      <c r="Z2269" s="1" t="str">
        <f t="shared" si="105"/>
        <v>54415 EUBLR</v>
      </c>
      <c r="AA2269" s="3">
        <f>IF(INDEX('CAMD Facility Data 2023'!$AA$2:$AE$10000,MATCH(Z2269,'CAMD Facility Data 2023'!$AE$2:$AE$10000,0),1)&gt;0,INDEX('CAMD Facility Data 2023'!$AA$2:$AE$10000,MATCH(Z2269,'CAMD Facility Data 2023'!$AE$2:$AE$10000,0),1),"")</f>
        <v>34166</v>
      </c>
      <c r="AB2269" s="5">
        <f>IF(INDEX('CAMD Facility Data 2023'!$AC$2:$AE$10000,MATCH(Z2269,'CAMD Facility Data 2023'!$AE$2:$AE$10000,0),1)&gt;0,INDEX('CAMD Facility Data 2023'!$AC$2:$AE$10000,MATCH(Z2269,'CAMD Facility Data 2023'!$AE$2:$AE$10000,0),1),"")</f>
        <v>650</v>
      </c>
      <c r="AC2269" s="1" t="str">
        <f>IF(INDEX('CAMD Facility Data 2023'!$AE$2:$AG$10000,MATCH(Z2269,'CAMD Facility Data 2023'!$AE$2:$AE$10000,0),3)&gt;0,INDEX('CAMD Facility Data 2023'!$AE$2:$AG$10000,MATCH(Z2269,'CAMD Facility Data 2023'!$AE$2:$AE$10000,0),3),"")</f>
        <v>Y</v>
      </c>
      <c r="AD2269" s="20">
        <f t="shared" si="106"/>
        <v>2.9972201255096231</v>
      </c>
      <c r="AE2269" s="25">
        <f t="shared" si="107"/>
        <v>0.47711548366701789</v>
      </c>
    </row>
    <row r="2270" spans="1:31" x14ac:dyDescent="0.2">
      <c r="A2270" s="1" t="s">
        <v>304</v>
      </c>
      <c r="B2270" s="1" t="s">
        <v>5319</v>
      </c>
      <c r="C2270" s="1">
        <v>54426</v>
      </c>
      <c r="D2270" s="1">
        <v>1</v>
      </c>
      <c r="F2270" s="1">
        <v>2023</v>
      </c>
      <c r="G2270" s="5">
        <v>4323</v>
      </c>
      <c r="H2270" s="5">
        <v>3901.29</v>
      </c>
      <c r="I2270" s="5">
        <v>442418.45</v>
      </c>
      <c r="K2270" s="5">
        <v>1.0489999999999999</v>
      </c>
      <c r="L2270" s="5">
        <v>1E-3</v>
      </c>
      <c r="M2270" s="5">
        <v>207873.04399999999</v>
      </c>
      <c r="N2270" s="6">
        <v>5.8999999999999997E-2</v>
      </c>
      <c r="O2270" s="5">
        <v>84.995999999999995</v>
      </c>
      <c r="P2270" s="6">
        <v>5.4699999999999999E-2</v>
      </c>
      <c r="Q2270" s="5">
        <v>3497993.6439999999</v>
      </c>
      <c r="R2270" s="1" t="s">
        <v>44</v>
      </c>
      <c r="S2270" s="1" t="s">
        <v>94</v>
      </c>
      <c r="T2270" s="1" t="s">
        <v>71</v>
      </c>
      <c r="V2270" s="1" t="s">
        <v>140</v>
      </c>
      <c r="Y2270" s="1" t="s">
        <v>247</v>
      </c>
      <c r="Z2270" s="1" t="str">
        <f t="shared" si="105"/>
        <v>54426 1</v>
      </c>
      <c r="AA2270" s="3">
        <f>IF(INDEX('CAMD Facility Data 2023'!$AA$2:$AE$10000,MATCH(Z2270,'CAMD Facility Data 2023'!$AE$2:$AE$10000,0),1)&gt;0,INDEX('CAMD Facility Data 2023'!$AA$2:$AE$10000,MATCH(Z2270,'CAMD Facility Data 2023'!$AE$2:$AE$10000,0),1),"")</f>
        <v>34556</v>
      </c>
      <c r="AB2270" s="5">
        <f>IF(INDEX('CAMD Facility Data 2023'!$AC$2:$AE$10000,MATCH(Z2270,'CAMD Facility Data 2023'!$AE$2:$AE$10000,0),1)&gt;0,INDEX('CAMD Facility Data 2023'!$AC$2:$AE$10000,MATCH(Z2270,'CAMD Facility Data 2023'!$AE$2:$AE$10000,0),1),"")</f>
        <v>1077</v>
      </c>
      <c r="AC2270" s="1" t="str">
        <f>IF(INDEX('CAMD Facility Data 2023'!$AE$2:$AG$10000,MATCH(Z2270,'CAMD Facility Data 2023'!$AE$2:$AE$10000,0),3)&gt;0,INDEX('CAMD Facility Data 2023'!$AE$2:$AG$10000,MATCH(Z2270,'CAMD Facility Data 2023'!$AE$2:$AE$10000,0),3),"")</f>
        <v/>
      </c>
      <c r="AD2270" s="20">
        <f t="shared" si="106"/>
        <v>0.38423352371493547</v>
      </c>
      <c r="AE2270" s="25">
        <f t="shared" si="107"/>
        <v>0.37076540661316104</v>
      </c>
    </row>
    <row r="2271" spans="1:31" x14ac:dyDescent="0.2">
      <c r="A2271" s="1" t="s">
        <v>304</v>
      </c>
      <c r="B2271" s="1" t="s">
        <v>5322</v>
      </c>
      <c r="C2271" s="1">
        <v>54466</v>
      </c>
      <c r="D2271" s="1">
        <v>1</v>
      </c>
      <c r="F2271" s="1">
        <v>2023</v>
      </c>
      <c r="G2271" s="5">
        <v>8539</v>
      </c>
      <c r="H2271" s="5">
        <v>8530.76</v>
      </c>
      <c r="I2271" s="5">
        <v>1039304.12</v>
      </c>
      <c r="K2271" s="5">
        <v>2.427</v>
      </c>
      <c r="L2271" s="5">
        <v>1E-3</v>
      </c>
      <c r="M2271" s="5">
        <v>480738.79599999997</v>
      </c>
      <c r="N2271" s="6">
        <v>5.8999999999999997E-2</v>
      </c>
      <c r="O2271" s="5">
        <v>247.30699999999999</v>
      </c>
      <c r="P2271" s="6">
        <v>6.2199999999999998E-2</v>
      </c>
      <c r="Q2271" s="5">
        <v>8089331.6270000003</v>
      </c>
      <c r="R2271" s="1" t="s">
        <v>44</v>
      </c>
      <c r="T2271" s="1" t="s">
        <v>71</v>
      </c>
      <c r="V2271" s="1" t="s">
        <v>140</v>
      </c>
      <c r="Y2271" s="1" t="s">
        <v>247</v>
      </c>
      <c r="Z2271" s="1" t="str">
        <f t="shared" si="105"/>
        <v>54466 1</v>
      </c>
      <c r="AA2271" s="3">
        <f>IF(INDEX('CAMD Facility Data 2023'!$AA$2:$AE$10000,MATCH(Z2271,'CAMD Facility Data 2023'!$AE$2:$AE$10000,0),1)&gt;0,INDEX('CAMD Facility Data 2023'!$AA$2:$AE$10000,MATCH(Z2271,'CAMD Facility Data 2023'!$AE$2:$AE$10000,0),1),"")</f>
        <v>34237</v>
      </c>
      <c r="AB2271" s="5">
        <f>IF(INDEX('CAMD Facility Data 2023'!$AC$2:$AE$10000,MATCH(Z2271,'CAMD Facility Data 2023'!$AE$2:$AE$10000,0),1)&gt;0,INDEX('CAMD Facility Data 2023'!$AC$2:$AE$10000,MATCH(Z2271,'CAMD Facility Data 2023'!$AE$2:$AE$10000,0),1),"")</f>
        <v>1256</v>
      </c>
      <c r="AC2271" s="1" t="str">
        <f>IF(INDEX('CAMD Facility Data 2023'!$AE$2:$AG$10000,MATCH(Z2271,'CAMD Facility Data 2023'!$AE$2:$AE$10000,0),3)&gt;0,INDEX('CAMD Facility Data 2023'!$AE$2:$AG$10000,MATCH(Z2271,'CAMD Facility Data 2023'!$AE$2:$AE$10000,0),3),"")</f>
        <v/>
      </c>
      <c r="AD2271" s="20">
        <f t="shared" si="106"/>
        <v>0.47590882253021377</v>
      </c>
      <c r="AE2271" s="25">
        <f t="shared" si="107"/>
        <v>0.73522267790405149</v>
      </c>
    </row>
    <row r="2272" spans="1:31" x14ac:dyDescent="0.2">
      <c r="A2272" s="1" t="s">
        <v>690</v>
      </c>
      <c r="B2272" s="1" t="s">
        <v>5325</v>
      </c>
      <c r="C2272" s="1">
        <v>54476</v>
      </c>
      <c r="D2272" s="1" t="s">
        <v>1296</v>
      </c>
      <c r="F2272" s="1">
        <v>2023</v>
      </c>
      <c r="G2272" s="5">
        <v>7052</v>
      </c>
      <c r="H2272" s="5">
        <v>7029.97</v>
      </c>
      <c r="I2272" s="5">
        <v>583742.93999999994</v>
      </c>
      <c r="K2272" s="5">
        <v>7.6340000000000003</v>
      </c>
      <c r="L2272" s="5">
        <v>2E-3</v>
      </c>
      <c r="M2272" s="5">
        <v>429035.52000000002</v>
      </c>
      <c r="N2272" s="6">
        <v>5.8999999999999997E-2</v>
      </c>
      <c r="O2272" s="5">
        <v>66.912000000000006</v>
      </c>
      <c r="P2272" s="6">
        <v>1.8700000000000001E-2</v>
      </c>
      <c r="Q2272" s="5">
        <v>7219028.8030000003</v>
      </c>
      <c r="R2272" s="1" t="s">
        <v>284</v>
      </c>
      <c r="T2272" s="1" t="s">
        <v>71</v>
      </c>
      <c r="V2272" s="1" t="s">
        <v>4050</v>
      </c>
      <c r="Y2272" s="1" t="s">
        <v>247</v>
      </c>
      <c r="Z2272" s="1" t="str">
        <f t="shared" si="105"/>
        <v>54476 CT-1</v>
      </c>
      <c r="AA2272" s="3">
        <f>IF(INDEX('CAMD Facility Data 2023'!$AA$2:$AE$10000,MATCH(Z2272,'CAMD Facility Data 2023'!$AE$2:$AE$10000,0),1)&gt;0,INDEX('CAMD Facility Data 2023'!$AA$2:$AE$10000,MATCH(Z2272,'CAMD Facility Data 2023'!$AE$2:$AE$10000,0),1),"")</f>
        <v>34075</v>
      </c>
      <c r="AB2272" s="5">
        <f>IF(INDEX('CAMD Facility Data 2023'!$AC$2:$AE$10000,MATCH(Z2272,'CAMD Facility Data 2023'!$AE$2:$AE$10000,0),1)&gt;0,INDEX('CAMD Facility Data 2023'!$AC$2:$AE$10000,MATCH(Z2272,'CAMD Facility Data 2023'!$AE$2:$AE$10000,0),1),"")</f>
        <v>1200</v>
      </c>
      <c r="AC2272" s="1" t="str">
        <f>IF(INDEX('CAMD Facility Data 2023'!$AE$2:$AG$10000,MATCH(Z2272,'CAMD Facility Data 2023'!$AE$2:$AE$10000,0),3)&gt;0,INDEX('CAMD Facility Data 2023'!$AE$2:$AG$10000,MATCH(Z2272,'CAMD Facility Data 2023'!$AE$2:$AE$10000,0),3),"")</f>
        <v>Y</v>
      </c>
      <c r="AD2272" s="20">
        <f t="shared" si="106"/>
        <v>0.22925159488866798</v>
      </c>
      <c r="AE2272" s="25">
        <f t="shared" si="107"/>
        <v>0.68674170500380516</v>
      </c>
    </row>
    <row r="2273" spans="1:31" x14ac:dyDescent="0.2">
      <c r="A2273" s="1" t="s">
        <v>690</v>
      </c>
      <c r="B2273" s="1" t="s">
        <v>5327</v>
      </c>
      <c r="C2273" s="1">
        <v>54537</v>
      </c>
      <c r="D2273" s="1" t="s">
        <v>5328</v>
      </c>
      <c r="F2273" s="1">
        <v>2023</v>
      </c>
      <c r="G2273" s="5">
        <v>6506</v>
      </c>
      <c r="H2273" s="5">
        <v>6495.01</v>
      </c>
      <c r="I2273" s="5">
        <v>528548.17000000004</v>
      </c>
      <c r="K2273" s="5">
        <v>7.8680000000000003</v>
      </c>
      <c r="L2273" s="5">
        <v>2E-3</v>
      </c>
      <c r="M2273" s="5">
        <v>409900.63400000002</v>
      </c>
      <c r="N2273" s="6">
        <v>5.91E-2</v>
      </c>
      <c r="O2273" s="5">
        <v>86.593000000000004</v>
      </c>
      <c r="P2273" s="6">
        <v>2.53E-2</v>
      </c>
      <c r="Q2273" s="5">
        <v>6889654.8540000003</v>
      </c>
      <c r="R2273" s="1" t="s">
        <v>284</v>
      </c>
      <c r="S2273" s="1" t="s">
        <v>94</v>
      </c>
      <c r="T2273" s="1" t="s">
        <v>71</v>
      </c>
      <c r="V2273" s="1" t="s">
        <v>4050</v>
      </c>
      <c r="Y2273" s="1" t="s">
        <v>247</v>
      </c>
      <c r="Z2273" s="1" t="str">
        <f t="shared" si="105"/>
        <v>54537 CT-1A</v>
      </c>
      <c r="AA2273" s="3">
        <f>IF(INDEX('CAMD Facility Data 2023'!$AA$2:$AE$10000,MATCH(Z2273,'CAMD Facility Data 2023'!$AE$2:$AE$10000,0),1)&gt;0,INDEX('CAMD Facility Data 2023'!$AA$2:$AE$10000,MATCH(Z2273,'CAMD Facility Data 2023'!$AE$2:$AE$10000,0),1),"")</f>
        <v>34425</v>
      </c>
      <c r="AB2273" s="5">
        <f>IF(INDEX('CAMD Facility Data 2023'!$AC$2:$AE$10000,MATCH(Z2273,'CAMD Facility Data 2023'!$AE$2:$AE$10000,0),1)&gt;0,INDEX('CAMD Facility Data 2023'!$AC$2:$AE$10000,MATCH(Z2273,'CAMD Facility Data 2023'!$AE$2:$AE$10000,0),1),"")</f>
        <v>1780</v>
      </c>
      <c r="AC2273" s="1" t="str">
        <f>IF(INDEX('CAMD Facility Data 2023'!$AE$2:$AG$10000,MATCH(Z2273,'CAMD Facility Data 2023'!$AE$2:$AE$10000,0),3)&gt;0,INDEX('CAMD Facility Data 2023'!$AE$2:$AG$10000,MATCH(Z2273,'CAMD Facility Data 2023'!$AE$2:$AE$10000,0),3),"")</f>
        <v>Y</v>
      </c>
      <c r="AD2273" s="20">
        <f t="shared" si="106"/>
        <v>0.32766360727348653</v>
      </c>
      <c r="AE2273" s="25">
        <f t="shared" si="107"/>
        <v>0.441848471987071</v>
      </c>
    </row>
    <row r="2274" spans="1:31" x14ac:dyDescent="0.2">
      <c r="A2274" s="1" t="s">
        <v>690</v>
      </c>
      <c r="B2274" s="1" t="s">
        <v>5327</v>
      </c>
      <c r="C2274" s="1">
        <v>54537</v>
      </c>
      <c r="D2274" s="1" t="s">
        <v>5331</v>
      </c>
      <c r="F2274" s="1">
        <v>2023</v>
      </c>
      <c r="G2274" s="5">
        <v>6129</v>
      </c>
      <c r="H2274" s="5">
        <v>6101.25</v>
      </c>
      <c r="I2274" s="5">
        <v>476293.69</v>
      </c>
      <c r="K2274" s="5">
        <v>7.2480000000000002</v>
      </c>
      <c r="L2274" s="5">
        <v>2E-3</v>
      </c>
      <c r="M2274" s="5">
        <v>377718.03100000002</v>
      </c>
      <c r="N2274" s="6">
        <v>5.91E-2</v>
      </c>
      <c r="O2274" s="5">
        <v>77.037000000000006</v>
      </c>
      <c r="P2274" s="6">
        <v>2.46E-2</v>
      </c>
      <c r="Q2274" s="5">
        <v>6348717.29</v>
      </c>
      <c r="R2274" s="1" t="s">
        <v>284</v>
      </c>
      <c r="S2274" s="1" t="s">
        <v>94</v>
      </c>
      <c r="T2274" s="1" t="s">
        <v>71</v>
      </c>
      <c r="V2274" s="1" t="s">
        <v>4050</v>
      </c>
      <c r="Y2274" s="1" t="s">
        <v>247</v>
      </c>
      <c r="Z2274" s="1" t="str">
        <f t="shared" si="105"/>
        <v>54537 CT-1B</v>
      </c>
      <c r="AA2274" s="3">
        <f>IF(INDEX('CAMD Facility Data 2023'!$AA$2:$AE$10000,MATCH(Z2274,'CAMD Facility Data 2023'!$AE$2:$AE$10000,0),1)&gt;0,INDEX('CAMD Facility Data 2023'!$AA$2:$AE$10000,MATCH(Z2274,'CAMD Facility Data 2023'!$AE$2:$AE$10000,0),1),"")</f>
        <v>34425</v>
      </c>
      <c r="AB2274" s="5">
        <f>IF(INDEX('CAMD Facility Data 2023'!$AC$2:$AE$10000,MATCH(Z2274,'CAMD Facility Data 2023'!$AE$2:$AE$10000,0),1)&gt;0,INDEX('CAMD Facility Data 2023'!$AC$2:$AE$10000,MATCH(Z2274,'CAMD Facility Data 2023'!$AE$2:$AE$10000,0),1),"")</f>
        <v>1780</v>
      </c>
      <c r="AC2274" s="1" t="str">
        <f>IF(INDEX('CAMD Facility Data 2023'!$AE$2:$AG$10000,MATCH(Z2274,'CAMD Facility Data 2023'!$AE$2:$AE$10000,0),3)&gt;0,INDEX('CAMD Facility Data 2023'!$AE$2:$AG$10000,MATCH(Z2274,'CAMD Facility Data 2023'!$AE$2:$AE$10000,0),3),"")</f>
        <v>Y</v>
      </c>
      <c r="AD2274" s="20">
        <f t="shared" si="106"/>
        <v>0.32348528488798584</v>
      </c>
      <c r="AE2274" s="25">
        <f t="shared" si="107"/>
        <v>0.40715697565543074</v>
      </c>
    </row>
    <row r="2275" spans="1:31" x14ac:dyDescent="0.2">
      <c r="A2275" s="1" t="s">
        <v>2089</v>
      </c>
      <c r="B2275" s="1" t="s">
        <v>3800</v>
      </c>
      <c r="C2275" s="1">
        <v>54547</v>
      </c>
      <c r="D2275" s="1">
        <v>1</v>
      </c>
      <c r="F2275" s="1">
        <v>2023</v>
      </c>
      <c r="G2275" s="5">
        <v>4423</v>
      </c>
      <c r="H2275" s="5">
        <v>4275.5200000000004</v>
      </c>
      <c r="I2275" s="5">
        <v>949443.28</v>
      </c>
      <c r="K2275" s="5">
        <v>2.0419999999999998</v>
      </c>
      <c r="L2275" s="5">
        <v>1E-3</v>
      </c>
      <c r="M2275" s="5">
        <v>404513.71399999998</v>
      </c>
      <c r="N2275" s="6">
        <v>5.8999999999999997E-2</v>
      </c>
      <c r="O2275" s="5">
        <v>50.94</v>
      </c>
      <c r="P2275" s="6">
        <v>2.2700000000000001E-2</v>
      </c>
      <c r="Q2275" s="5">
        <v>6806718.0609999998</v>
      </c>
      <c r="R2275" s="1" t="s">
        <v>44</v>
      </c>
      <c r="T2275" s="1" t="s">
        <v>71</v>
      </c>
      <c r="V2275" s="1" t="s">
        <v>64</v>
      </c>
      <c r="Y2275" s="1" t="s">
        <v>1515</v>
      </c>
      <c r="Z2275" s="1" t="str">
        <f t="shared" si="105"/>
        <v>54547 1</v>
      </c>
      <c r="AA2275" s="3">
        <f>IF(INDEX('CAMD Facility Data 2023'!$AA$2:$AE$10000,MATCH(Z2275,'CAMD Facility Data 2023'!$AE$2:$AE$10000,0),1)&gt;0,INDEX('CAMD Facility Data 2023'!$AA$2:$AE$10000,MATCH(Z2275,'CAMD Facility Data 2023'!$AE$2:$AE$10000,0),1),"")</f>
        <v>34608</v>
      </c>
      <c r="AB2275" s="5">
        <f>IF(INDEX('CAMD Facility Data 2023'!$AC$2:$AE$10000,MATCH(Z2275,'CAMD Facility Data 2023'!$AE$2:$AE$10000,0),1)&gt;0,INDEX('CAMD Facility Data 2023'!$AC$2:$AE$10000,MATCH(Z2275,'CAMD Facility Data 2023'!$AE$2:$AE$10000,0),1),"")</f>
        <v>2162</v>
      </c>
      <c r="AC2275" s="1" t="str">
        <f>IF(INDEX('CAMD Facility Data 2023'!$AE$2:$AG$10000,MATCH(Z2275,'CAMD Facility Data 2023'!$AE$2:$AE$10000,0),3)&gt;0,INDEX('CAMD Facility Data 2023'!$AE$2:$AG$10000,MATCH(Z2275,'CAMD Facility Data 2023'!$AE$2:$AE$10000,0),3),"")</f>
        <v>Y</v>
      </c>
      <c r="AD2275" s="20">
        <f t="shared" si="106"/>
        <v>0.10730498824532203</v>
      </c>
      <c r="AE2275" s="25">
        <f t="shared" si="107"/>
        <v>0.35939991198112686</v>
      </c>
    </row>
    <row r="2276" spans="1:31" x14ac:dyDescent="0.2">
      <c r="A2276" s="1" t="s">
        <v>2089</v>
      </c>
      <c r="B2276" s="1" t="s">
        <v>3800</v>
      </c>
      <c r="C2276" s="1">
        <v>54547</v>
      </c>
      <c r="D2276" s="1">
        <v>2</v>
      </c>
      <c r="F2276" s="1">
        <v>2023</v>
      </c>
      <c r="G2276" s="5">
        <v>5185</v>
      </c>
      <c r="H2276" s="5">
        <v>5043.47</v>
      </c>
      <c r="I2276" s="5">
        <v>1081815.6200000001</v>
      </c>
      <c r="K2276" s="5">
        <v>2.3889999999999998</v>
      </c>
      <c r="L2276" s="5">
        <v>1E-3</v>
      </c>
      <c r="M2276" s="5">
        <v>473253.44500000001</v>
      </c>
      <c r="N2276" s="6">
        <v>5.8999999999999997E-2</v>
      </c>
      <c r="O2276" s="5">
        <v>54.765000000000001</v>
      </c>
      <c r="P2276" s="6">
        <v>1.9E-2</v>
      </c>
      <c r="Q2276" s="5">
        <v>7963385.1799999997</v>
      </c>
      <c r="R2276" s="1" t="s">
        <v>44</v>
      </c>
      <c r="T2276" s="1" t="s">
        <v>71</v>
      </c>
      <c r="V2276" s="1" t="s">
        <v>64</v>
      </c>
      <c r="Y2276" s="1" t="s">
        <v>1515</v>
      </c>
      <c r="Z2276" s="1" t="str">
        <f t="shared" si="105"/>
        <v>54547 2</v>
      </c>
      <c r="AA2276" s="3">
        <f>IF(INDEX('CAMD Facility Data 2023'!$AA$2:$AE$10000,MATCH(Z2276,'CAMD Facility Data 2023'!$AE$2:$AE$10000,0),1)&gt;0,INDEX('CAMD Facility Data 2023'!$AA$2:$AE$10000,MATCH(Z2276,'CAMD Facility Data 2023'!$AE$2:$AE$10000,0),1),"")</f>
        <v>34578</v>
      </c>
      <c r="AB2276" s="5">
        <f>IF(INDEX('CAMD Facility Data 2023'!$AC$2:$AE$10000,MATCH(Z2276,'CAMD Facility Data 2023'!$AE$2:$AE$10000,0),1)&gt;0,INDEX('CAMD Facility Data 2023'!$AC$2:$AE$10000,MATCH(Z2276,'CAMD Facility Data 2023'!$AE$2:$AE$10000,0),1),"")</f>
        <v>2162</v>
      </c>
      <c r="AC2276" s="1" t="str">
        <f>IF(INDEX('CAMD Facility Data 2023'!$AE$2:$AG$10000,MATCH(Z2276,'CAMD Facility Data 2023'!$AE$2:$AE$10000,0),3)&gt;0,INDEX('CAMD Facility Data 2023'!$AE$2:$AG$10000,MATCH(Z2276,'CAMD Facility Data 2023'!$AE$2:$AE$10000,0),3),"")</f>
        <v>Y</v>
      </c>
      <c r="AD2276" s="20">
        <f t="shared" si="106"/>
        <v>0.10124645824581456</v>
      </c>
      <c r="AE2276" s="25">
        <f t="shared" si="107"/>
        <v>0.42047281922285723</v>
      </c>
    </row>
    <row r="2277" spans="1:31" x14ac:dyDescent="0.2">
      <c r="A2277" s="1" t="s">
        <v>2089</v>
      </c>
      <c r="B2277" s="1" t="s">
        <v>3800</v>
      </c>
      <c r="C2277" s="1">
        <v>54547</v>
      </c>
      <c r="D2277" s="1">
        <v>3</v>
      </c>
      <c r="F2277" s="1">
        <v>2023</v>
      </c>
      <c r="G2277" s="5">
        <v>4392</v>
      </c>
      <c r="H2277" s="5">
        <v>4265.24</v>
      </c>
      <c r="I2277" s="5">
        <v>955284.43</v>
      </c>
      <c r="K2277" s="5">
        <v>2.0430000000000001</v>
      </c>
      <c r="L2277" s="5">
        <v>1E-3</v>
      </c>
      <c r="M2277" s="5">
        <v>404776.10200000001</v>
      </c>
      <c r="N2277" s="6">
        <v>5.8999999999999997E-2</v>
      </c>
      <c r="O2277" s="5">
        <v>48.408999999999999</v>
      </c>
      <c r="P2277" s="6">
        <v>2.07E-2</v>
      </c>
      <c r="Q2277" s="5">
        <v>6811130.9850000003</v>
      </c>
      <c r="R2277" s="1" t="s">
        <v>44</v>
      </c>
      <c r="T2277" s="1" t="s">
        <v>71</v>
      </c>
      <c r="V2277" s="1" t="s">
        <v>64</v>
      </c>
      <c r="Y2277" s="1" t="s">
        <v>1515</v>
      </c>
      <c r="Z2277" s="1" t="str">
        <f t="shared" si="105"/>
        <v>54547 3</v>
      </c>
      <c r="AA2277" s="3">
        <f>IF(INDEX('CAMD Facility Data 2023'!$AA$2:$AE$10000,MATCH(Z2277,'CAMD Facility Data 2023'!$AE$2:$AE$10000,0),1)&gt;0,INDEX('CAMD Facility Data 2023'!$AA$2:$AE$10000,MATCH(Z2277,'CAMD Facility Data 2023'!$AE$2:$AE$10000,0),1),"")</f>
        <v>34547</v>
      </c>
      <c r="AB2277" s="5">
        <f>IF(INDEX('CAMD Facility Data 2023'!$AC$2:$AE$10000,MATCH(Z2277,'CAMD Facility Data 2023'!$AE$2:$AE$10000,0),1)&gt;0,INDEX('CAMD Facility Data 2023'!$AC$2:$AE$10000,MATCH(Z2277,'CAMD Facility Data 2023'!$AE$2:$AE$10000,0),1),"")</f>
        <v>2162</v>
      </c>
      <c r="AC2277" s="1" t="str">
        <f>IF(INDEX('CAMD Facility Data 2023'!$AE$2:$AG$10000,MATCH(Z2277,'CAMD Facility Data 2023'!$AE$2:$AE$10000,0),3)&gt;0,INDEX('CAMD Facility Data 2023'!$AE$2:$AG$10000,MATCH(Z2277,'CAMD Facility Data 2023'!$AE$2:$AE$10000,0),3),"")</f>
        <v>Y</v>
      </c>
      <c r="AD2277" s="20">
        <f t="shared" si="106"/>
        <v>0.10134991941614707</v>
      </c>
      <c r="AE2277" s="25">
        <f t="shared" si="107"/>
        <v>0.35963291773852218</v>
      </c>
    </row>
    <row r="2278" spans="1:31" x14ac:dyDescent="0.2">
      <c r="A2278" s="1" t="s">
        <v>2089</v>
      </c>
      <c r="B2278" s="1" t="s">
        <v>3800</v>
      </c>
      <c r="C2278" s="1">
        <v>54547</v>
      </c>
      <c r="D2278" s="1">
        <v>4</v>
      </c>
      <c r="F2278" s="1">
        <v>2023</v>
      </c>
      <c r="G2278" s="5">
        <v>4850</v>
      </c>
      <c r="H2278" s="5">
        <v>4708.37</v>
      </c>
      <c r="I2278" s="5">
        <v>1032775.57</v>
      </c>
      <c r="K2278" s="5">
        <v>2.25</v>
      </c>
      <c r="L2278" s="5">
        <v>1E-3</v>
      </c>
      <c r="M2278" s="5">
        <v>445629.77399999998</v>
      </c>
      <c r="N2278" s="6">
        <v>5.8999999999999997E-2</v>
      </c>
      <c r="O2278" s="5">
        <v>56.645000000000003</v>
      </c>
      <c r="P2278" s="6">
        <v>2.1899999999999999E-2</v>
      </c>
      <c r="Q2278" s="5">
        <v>7498615.0279999999</v>
      </c>
      <c r="R2278" s="1" t="s">
        <v>44</v>
      </c>
      <c r="T2278" s="1" t="s">
        <v>71</v>
      </c>
      <c r="V2278" s="1" t="s">
        <v>64</v>
      </c>
      <c r="Y2278" s="1" t="s">
        <v>1515</v>
      </c>
      <c r="Z2278" s="1" t="str">
        <f t="shared" si="105"/>
        <v>54547 4</v>
      </c>
      <c r="AA2278" s="3">
        <f>IF(INDEX('CAMD Facility Data 2023'!$AA$2:$AE$10000,MATCH(Z2278,'CAMD Facility Data 2023'!$AE$2:$AE$10000,0),1)&gt;0,INDEX('CAMD Facility Data 2023'!$AA$2:$AE$10000,MATCH(Z2278,'CAMD Facility Data 2023'!$AE$2:$AE$10000,0),1),"")</f>
        <v>34547</v>
      </c>
      <c r="AB2278" s="5">
        <f>IF(INDEX('CAMD Facility Data 2023'!$AC$2:$AE$10000,MATCH(Z2278,'CAMD Facility Data 2023'!$AE$2:$AE$10000,0),1)&gt;0,INDEX('CAMD Facility Data 2023'!$AC$2:$AE$10000,MATCH(Z2278,'CAMD Facility Data 2023'!$AE$2:$AE$10000,0),1),"")</f>
        <v>2162</v>
      </c>
      <c r="AC2278" s="1" t="str">
        <f>IF(INDEX('CAMD Facility Data 2023'!$AE$2:$AG$10000,MATCH(Z2278,'CAMD Facility Data 2023'!$AE$2:$AE$10000,0),3)&gt;0,INDEX('CAMD Facility Data 2023'!$AE$2:$AG$10000,MATCH(Z2278,'CAMD Facility Data 2023'!$AE$2:$AE$10000,0),3),"")</f>
        <v>Y</v>
      </c>
      <c r="AD2278" s="20">
        <f t="shared" si="106"/>
        <v>0.10969469388204062</v>
      </c>
      <c r="AE2278" s="25">
        <f t="shared" si="107"/>
        <v>0.39593260024752996</v>
      </c>
    </row>
    <row r="2279" spans="1:31" x14ac:dyDescent="0.2">
      <c r="A2279" s="1" t="s">
        <v>2089</v>
      </c>
      <c r="B2279" s="1" t="s">
        <v>5338</v>
      </c>
      <c r="C2279" s="1">
        <v>54574</v>
      </c>
      <c r="D2279" s="1">
        <v>1</v>
      </c>
      <c r="F2279" s="1">
        <v>2023</v>
      </c>
      <c r="G2279" s="5">
        <v>2715</v>
      </c>
      <c r="H2279" s="5">
        <v>2605.6</v>
      </c>
      <c r="I2279" s="5">
        <v>198538.26</v>
      </c>
      <c r="K2279" s="5">
        <v>0.58199999999999996</v>
      </c>
      <c r="L2279" s="5">
        <v>1E-3</v>
      </c>
      <c r="M2279" s="5">
        <v>115183.56200000001</v>
      </c>
      <c r="N2279" s="6">
        <v>5.8999999999999997E-2</v>
      </c>
      <c r="O2279" s="5">
        <v>26.539000000000001</v>
      </c>
      <c r="P2279" s="6">
        <v>3.49E-2</v>
      </c>
      <c r="Q2279" s="5">
        <v>1938219.395</v>
      </c>
      <c r="R2279" s="1" t="s">
        <v>44</v>
      </c>
      <c r="T2279" s="1" t="s">
        <v>71</v>
      </c>
      <c r="V2279" s="1" t="s">
        <v>223</v>
      </c>
      <c r="Y2279" s="1" t="s">
        <v>1515</v>
      </c>
      <c r="Z2279" s="1" t="str">
        <f t="shared" si="105"/>
        <v>54574 1</v>
      </c>
      <c r="AA2279" s="3">
        <f>IF(INDEX('CAMD Facility Data 2023'!$AA$2:$AE$10000,MATCH(Z2279,'CAMD Facility Data 2023'!$AE$2:$AE$10000,0),1)&gt;0,INDEX('CAMD Facility Data 2023'!$AA$2:$AE$10000,MATCH(Z2279,'CAMD Facility Data 2023'!$AE$2:$AE$10000,0),1),"")</f>
        <v>34506</v>
      </c>
      <c r="AB2279" s="5">
        <f>IF(INDEX('CAMD Facility Data 2023'!$AC$2:$AE$10000,MATCH(Z2279,'CAMD Facility Data 2023'!$AE$2:$AE$10000,0),1)&gt;0,INDEX('CAMD Facility Data 2023'!$AC$2:$AE$10000,MATCH(Z2279,'CAMD Facility Data 2023'!$AE$2:$AE$10000,0),1),"")</f>
        <v>1676</v>
      </c>
      <c r="AC2279" s="1" t="str">
        <f>IF(INDEX('CAMD Facility Data 2023'!$AE$2:$AG$10000,MATCH(Z2279,'CAMD Facility Data 2023'!$AE$2:$AE$10000,0),3)&gt;0,INDEX('CAMD Facility Data 2023'!$AE$2:$AG$10000,MATCH(Z2279,'CAMD Facility Data 2023'!$AE$2:$AE$10000,0),3),"")</f>
        <v>Y</v>
      </c>
      <c r="AD2279" s="20">
        <f t="shared" si="106"/>
        <v>0.26734393662964506</v>
      </c>
      <c r="AE2279" s="25">
        <f t="shared" si="107"/>
        <v>0.13201546646996001</v>
      </c>
    </row>
    <row r="2280" spans="1:31" x14ac:dyDescent="0.2">
      <c r="A2280" s="1" t="s">
        <v>2089</v>
      </c>
      <c r="B2280" s="1" t="s">
        <v>5338</v>
      </c>
      <c r="C2280" s="1">
        <v>54574</v>
      </c>
      <c r="D2280" s="1">
        <v>2</v>
      </c>
      <c r="F2280" s="1">
        <v>2023</v>
      </c>
      <c r="G2280" s="5">
        <v>513</v>
      </c>
      <c r="H2280" s="5">
        <v>494.16</v>
      </c>
      <c r="I2280" s="5">
        <v>45651.73</v>
      </c>
      <c r="K2280" s="5">
        <v>0.13</v>
      </c>
      <c r="L2280" s="5">
        <v>1E-3</v>
      </c>
      <c r="M2280" s="5">
        <v>25683.19</v>
      </c>
      <c r="N2280" s="6">
        <v>5.8999999999999997E-2</v>
      </c>
      <c r="O2280" s="5">
        <v>5.8339999999999996</v>
      </c>
      <c r="P2280" s="6">
        <v>3.56E-2</v>
      </c>
      <c r="Q2280" s="5">
        <v>432158.86200000002</v>
      </c>
      <c r="R2280" s="1" t="s">
        <v>44</v>
      </c>
      <c r="T2280" s="1" t="s">
        <v>71</v>
      </c>
      <c r="V2280" s="1" t="s">
        <v>223</v>
      </c>
      <c r="Y2280" s="1" t="s">
        <v>1515</v>
      </c>
      <c r="Z2280" s="1" t="str">
        <f t="shared" si="105"/>
        <v>54574 2</v>
      </c>
      <c r="AA2280" s="3">
        <f>IF(INDEX('CAMD Facility Data 2023'!$AA$2:$AE$10000,MATCH(Z2280,'CAMD Facility Data 2023'!$AE$2:$AE$10000,0),1)&gt;0,INDEX('CAMD Facility Data 2023'!$AA$2:$AE$10000,MATCH(Z2280,'CAMD Facility Data 2023'!$AE$2:$AE$10000,0),1),"")</f>
        <v>34506</v>
      </c>
      <c r="AB2280" s="5">
        <f>IF(INDEX('CAMD Facility Data 2023'!$AC$2:$AE$10000,MATCH(Z2280,'CAMD Facility Data 2023'!$AE$2:$AE$10000,0),1)&gt;0,INDEX('CAMD Facility Data 2023'!$AC$2:$AE$10000,MATCH(Z2280,'CAMD Facility Data 2023'!$AE$2:$AE$10000,0),1),"")</f>
        <v>1676</v>
      </c>
      <c r="AC2280" s="1" t="str">
        <f>IF(INDEX('CAMD Facility Data 2023'!$AE$2:$AG$10000,MATCH(Z2280,'CAMD Facility Data 2023'!$AE$2:$AE$10000,0),3)&gt;0,INDEX('CAMD Facility Data 2023'!$AE$2:$AG$10000,MATCH(Z2280,'CAMD Facility Data 2023'!$AE$2:$AE$10000,0),3),"")</f>
        <v>Y</v>
      </c>
      <c r="AD2280" s="20">
        <f t="shared" si="106"/>
        <v>0.25558724718647025</v>
      </c>
      <c r="AE2280" s="25">
        <f t="shared" si="107"/>
        <v>2.9435085575571323E-2</v>
      </c>
    </row>
    <row r="2281" spans="1:31" x14ac:dyDescent="0.2">
      <c r="A2281" s="1" t="s">
        <v>1568</v>
      </c>
      <c r="B2281" s="1" t="s">
        <v>5344</v>
      </c>
      <c r="C2281" s="1">
        <v>54586</v>
      </c>
      <c r="D2281" s="1">
        <v>2</v>
      </c>
      <c r="F2281" s="1">
        <v>2023</v>
      </c>
      <c r="G2281" s="5">
        <v>0</v>
      </c>
      <c r="H2281" s="5">
        <v>0</v>
      </c>
      <c r="R2281" s="1" t="s">
        <v>44</v>
      </c>
      <c r="S2281" s="1" t="s">
        <v>94</v>
      </c>
      <c r="T2281" s="1" t="s">
        <v>71</v>
      </c>
      <c r="V2281" s="1" t="s">
        <v>176</v>
      </c>
      <c r="Y2281" s="1" t="s">
        <v>579</v>
      </c>
      <c r="Z2281" s="1" t="str">
        <f t="shared" si="105"/>
        <v>54586 2</v>
      </c>
      <c r="AA2281" s="3">
        <f>IF(INDEX('CAMD Facility Data 2023'!$AA$2:$AE$10000,MATCH(Z2281,'CAMD Facility Data 2023'!$AE$2:$AE$10000,0),1)&gt;0,INDEX('CAMD Facility Data 2023'!$AA$2:$AE$10000,MATCH(Z2281,'CAMD Facility Data 2023'!$AE$2:$AE$10000,0),1),"")</f>
        <v>39750</v>
      </c>
      <c r="AB2281" s="5">
        <f>IF(INDEX('CAMD Facility Data 2023'!$AC$2:$AE$10000,MATCH(Z2281,'CAMD Facility Data 2023'!$AE$2:$AE$10000,0),1)&gt;0,INDEX('CAMD Facility Data 2023'!$AC$2:$AE$10000,MATCH(Z2281,'CAMD Facility Data 2023'!$AE$2:$AE$10000,0),1),"")</f>
        <v>705</v>
      </c>
      <c r="AC2281" s="1" t="str">
        <f>IF(INDEX('CAMD Facility Data 2023'!$AE$2:$AG$10000,MATCH(Z2281,'CAMD Facility Data 2023'!$AE$2:$AE$10000,0),3)&gt;0,INDEX('CAMD Facility Data 2023'!$AE$2:$AG$10000,MATCH(Z2281,'CAMD Facility Data 2023'!$AE$2:$AE$10000,0),3),"")</f>
        <v>Y</v>
      </c>
      <c r="AD2281" s="20" t="str">
        <f t="shared" si="106"/>
        <v/>
      </c>
      <c r="AE2281" s="25">
        <f t="shared" si="107"/>
        <v>0</v>
      </c>
    </row>
    <row r="2282" spans="1:31" x14ac:dyDescent="0.2">
      <c r="A2282" s="1" t="s">
        <v>2089</v>
      </c>
      <c r="B2282" s="1" t="s">
        <v>5347</v>
      </c>
      <c r="C2282" s="1">
        <v>54592</v>
      </c>
      <c r="D2282" s="1">
        <v>1</v>
      </c>
      <c r="F2282" s="1">
        <v>2023</v>
      </c>
      <c r="G2282" s="5">
        <v>295</v>
      </c>
      <c r="H2282" s="5">
        <v>287.76</v>
      </c>
      <c r="I2282" s="5">
        <v>14391.11</v>
      </c>
      <c r="K2282" s="5">
        <v>5.7000000000000002E-2</v>
      </c>
      <c r="L2282" s="5">
        <v>1E-3</v>
      </c>
      <c r="M2282" s="5">
        <v>11273.405000000001</v>
      </c>
      <c r="N2282" s="6">
        <v>5.8999999999999997E-2</v>
      </c>
      <c r="O2282" s="5">
        <v>3.4159999999999999</v>
      </c>
      <c r="P2282" s="6">
        <v>5.0099999999999999E-2</v>
      </c>
      <c r="Q2282" s="5">
        <v>189702.14799999999</v>
      </c>
      <c r="R2282" s="1" t="s">
        <v>44</v>
      </c>
      <c r="S2282" s="1" t="s">
        <v>94</v>
      </c>
      <c r="T2282" s="1" t="s">
        <v>71</v>
      </c>
      <c r="V2282" s="1" t="s">
        <v>4050</v>
      </c>
      <c r="Y2282" s="1" t="s">
        <v>1515</v>
      </c>
      <c r="Z2282" s="1" t="str">
        <f t="shared" si="105"/>
        <v>54592 1</v>
      </c>
      <c r="AA2282" s="3">
        <f>IF(INDEX('CAMD Facility Data 2023'!$AA$2:$AE$10000,MATCH(Z2282,'CAMD Facility Data 2023'!$AE$2:$AE$10000,0),1)&gt;0,INDEX('CAMD Facility Data 2023'!$AA$2:$AE$10000,MATCH(Z2282,'CAMD Facility Data 2023'!$AE$2:$AE$10000,0),1),"")</f>
        <v>34060</v>
      </c>
      <c r="AB2282" s="5">
        <f>IF(INDEX('CAMD Facility Data 2023'!$AC$2:$AE$10000,MATCH(Z2282,'CAMD Facility Data 2023'!$AE$2:$AE$10000,0),1)&gt;0,INDEX('CAMD Facility Data 2023'!$AC$2:$AE$10000,MATCH(Z2282,'CAMD Facility Data 2023'!$AE$2:$AE$10000,0),1),"")</f>
        <v>900</v>
      </c>
      <c r="AC2282" s="1" t="str">
        <f>IF(INDEX('CAMD Facility Data 2023'!$AE$2:$AG$10000,MATCH(Z2282,'CAMD Facility Data 2023'!$AE$2:$AE$10000,0),3)&gt;0,INDEX('CAMD Facility Data 2023'!$AE$2:$AG$10000,MATCH(Z2282,'CAMD Facility Data 2023'!$AE$2:$AE$10000,0),3),"")</f>
        <v>Y</v>
      </c>
      <c r="AD2282" s="20">
        <f t="shared" si="106"/>
        <v>0.47473752893279253</v>
      </c>
      <c r="AE2282" s="25">
        <f t="shared" si="107"/>
        <v>2.406166260781329E-2</v>
      </c>
    </row>
    <row r="2283" spans="1:31" x14ac:dyDescent="0.2">
      <c r="A2283" s="1" t="s">
        <v>2089</v>
      </c>
      <c r="B2283" s="1" t="s">
        <v>5350</v>
      </c>
      <c r="C2283" s="1">
        <v>54593</v>
      </c>
      <c r="D2283" s="1">
        <v>1</v>
      </c>
      <c r="F2283" s="1">
        <v>2023</v>
      </c>
      <c r="G2283" s="5">
        <v>147</v>
      </c>
      <c r="H2283" s="5">
        <v>134.47</v>
      </c>
      <c r="I2283" s="5">
        <v>4648.4799999999996</v>
      </c>
      <c r="K2283" s="5">
        <v>1.7000000000000001E-2</v>
      </c>
      <c r="L2283" s="5">
        <v>1E-3</v>
      </c>
      <c r="M2283" s="5">
        <v>3454.1590000000001</v>
      </c>
      <c r="N2283" s="6">
        <v>5.9200000000000003E-2</v>
      </c>
      <c r="O2283" s="5">
        <v>3.5049999999999999</v>
      </c>
      <c r="P2283" s="6">
        <v>0.13789999999999999</v>
      </c>
      <c r="Q2283" s="5">
        <v>58134.733</v>
      </c>
      <c r="R2283" s="1" t="s">
        <v>44</v>
      </c>
      <c r="T2283" s="1" t="s">
        <v>71</v>
      </c>
      <c r="V2283" s="1" t="s">
        <v>1606</v>
      </c>
      <c r="Y2283" s="1" t="s">
        <v>1515</v>
      </c>
      <c r="Z2283" s="1" t="str">
        <f t="shared" si="105"/>
        <v>54593 1</v>
      </c>
      <c r="AA2283" s="3">
        <f>IF(INDEX('CAMD Facility Data 2023'!$AA$2:$AE$10000,MATCH(Z2283,'CAMD Facility Data 2023'!$AE$2:$AE$10000,0),1)&gt;0,INDEX('CAMD Facility Data 2023'!$AA$2:$AE$10000,MATCH(Z2283,'CAMD Facility Data 2023'!$AE$2:$AE$10000,0),1),"")</f>
        <v>33848</v>
      </c>
      <c r="AB2283" s="5">
        <f>IF(INDEX('CAMD Facility Data 2023'!$AC$2:$AE$10000,MATCH(Z2283,'CAMD Facility Data 2023'!$AE$2:$AE$10000,0),1)&gt;0,INDEX('CAMD Facility Data 2023'!$AC$2:$AE$10000,MATCH(Z2283,'CAMD Facility Data 2023'!$AE$2:$AE$10000,0),1),"")</f>
        <v>551</v>
      </c>
      <c r="AC2283" s="1" t="str">
        <f>IF(INDEX('CAMD Facility Data 2023'!$AE$2:$AG$10000,MATCH(Z2283,'CAMD Facility Data 2023'!$AE$2:$AE$10000,0),3)&gt;0,INDEX('CAMD Facility Data 2023'!$AE$2:$AG$10000,MATCH(Z2283,'CAMD Facility Data 2023'!$AE$2:$AE$10000,0),3),"")</f>
        <v/>
      </c>
      <c r="AD2283" s="20">
        <f t="shared" si="106"/>
        <v>1.5080198258355422</v>
      </c>
      <c r="AE2283" s="25">
        <f t="shared" si="107"/>
        <v>1.2044255981237931E-2</v>
      </c>
    </row>
    <row r="2284" spans="1:31" x14ac:dyDescent="0.2">
      <c r="A2284" s="1" t="s">
        <v>577</v>
      </c>
      <c r="B2284" s="1" t="s">
        <v>5355</v>
      </c>
      <c r="C2284" s="1">
        <v>54605</v>
      </c>
      <c r="D2284" s="1">
        <v>1</v>
      </c>
      <c r="F2284" s="1">
        <v>2023</v>
      </c>
      <c r="G2284" s="5">
        <v>7083</v>
      </c>
      <c r="H2284" s="5">
        <v>7072.94</v>
      </c>
      <c r="I2284" s="5">
        <v>128143</v>
      </c>
      <c r="M2284" s="5">
        <v>87693.539000000004</v>
      </c>
      <c r="N2284" s="6">
        <v>5.9400000000000001E-2</v>
      </c>
      <c r="O2284" s="5">
        <v>17.602</v>
      </c>
      <c r="P2284" s="6">
        <v>2.3900000000000001E-2</v>
      </c>
      <c r="Q2284" s="5">
        <v>1475589.9839999999</v>
      </c>
      <c r="R2284" s="1" t="s">
        <v>44</v>
      </c>
      <c r="S2284" s="1" t="s">
        <v>94</v>
      </c>
      <c r="T2284" s="1" t="s">
        <v>93</v>
      </c>
      <c r="V2284" s="1" t="s">
        <v>176</v>
      </c>
      <c r="Y2284" s="1" t="s">
        <v>617</v>
      </c>
      <c r="Z2284" s="1" t="str">
        <f t="shared" si="105"/>
        <v>54605 1</v>
      </c>
      <c r="AA2284" s="3">
        <f>IF(INDEX('CAMD Facility Data 2023'!$AA$2:$AE$10000,MATCH(Z2284,'CAMD Facility Data 2023'!$AE$2:$AE$10000,0),1)&gt;0,INDEX('CAMD Facility Data 2023'!$AA$2:$AE$10000,MATCH(Z2284,'CAMD Facility Data 2023'!$AE$2:$AE$10000,0),1),"")</f>
        <v>33687</v>
      </c>
      <c r="AB2284" s="5">
        <f>IF(INDEX('CAMD Facility Data 2023'!$AC$2:$AE$10000,MATCH(Z2284,'CAMD Facility Data 2023'!$AE$2:$AE$10000,0),1)&gt;0,INDEX('CAMD Facility Data 2023'!$AC$2:$AE$10000,MATCH(Z2284,'CAMD Facility Data 2023'!$AE$2:$AE$10000,0),1),"")</f>
        <v>365.7</v>
      </c>
      <c r="AC2284" s="1" t="str">
        <f>IF(INDEX('CAMD Facility Data 2023'!$AE$2:$AG$10000,MATCH(Z2284,'CAMD Facility Data 2023'!$AE$2:$AE$10000,0),3)&gt;0,INDEX('CAMD Facility Data 2023'!$AE$2:$AG$10000,MATCH(Z2284,'CAMD Facility Data 2023'!$AE$2:$AE$10000,0),3),"")</f>
        <v>Y</v>
      </c>
      <c r="AD2284" s="20">
        <f t="shared" si="106"/>
        <v>0.27472433141100178</v>
      </c>
      <c r="AE2284" s="25">
        <f t="shared" si="107"/>
        <v>0.4606134678848221</v>
      </c>
    </row>
    <row r="2285" spans="1:31" x14ac:dyDescent="0.2">
      <c r="A2285" s="1" t="s">
        <v>2584</v>
      </c>
      <c r="B2285" s="1" t="s">
        <v>5358</v>
      </c>
      <c r="C2285" s="1">
        <v>54634</v>
      </c>
      <c r="D2285" s="1">
        <v>1</v>
      </c>
      <c r="F2285" s="1">
        <v>2023</v>
      </c>
      <c r="G2285" s="5">
        <v>8236</v>
      </c>
      <c r="H2285" s="5">
        <v>8223.74</v>
      </c>
      <c r="J2285" s="5">
        <v>5649102.3799999999</v>
      </c>
      <c r="K2285" s="5">
        <v>987.58199999999999</v>
      </c>
      <c r="L2285" s="5">
        <v>0.19009999999999999</v>
      </c>
      <c r="M2285" s="5">
        <v>1243314.422</v>
      </c>
      <c r="N2285" s="6">
        <v>0.11899999999999999</v>
      </c>
      <c r="O2285" s="5">
        <v>309.68099999999998</v>
      </c>
      <c r="P2285" s="6">
        <v>6.0299999999999999E-2</v>
      </c>
      <c r="Q2285" s="5">
        <v>10408252.588</v>
      </c>
      <c r="R2285" s="1" t="s">
        <v>2622</v>
      </c>
      <c r="S2285" s="1" t="s">
        <v>173</v>
      </c>
      <c r="T2285" s="1" t="s">
        <v>885</v>
      </c>
      <c r="U2285" s="1" t="s">
        <v>1069</v>
      </c>
      <c r="W2285" s="1" t="s">
        <v>232</v>
      </c>
      <c r="Y2285" s="1" t="s">
        <v>682</v>
      </c>
      <c r="Z2285" s="1" t="str">
        <f t="shared" si="105"/>
        <v>54634 1</v>
      </c>
      <c r="AA2285" s="3">
        <f>IF(INDEX('CAMD Facility Data 2023'!$AA$2:$AE$10000,MATCH(Z2285,'CAMD Facility Data 2023'!$AE$2:$AE$10000,0),1)&gt;0,INDEX('CAMD Facility Data 2023'!$AA$2:$AE$10000,MATCH(Z2285,'CAMD Facility Data 2023'!$AE$2:$AE$10000,0),1),"")</f>
        <v>33055</v>
      </c>
      <c r="AB2285" s="5">
        <f>IF(INDEX('CAMD Facility Data 2023'!$AC$2:$AE$10000,MATCH(Z2285,'CAMD Facility Data 2023'!$AE$2:$AE$10000,0),1)&gt;0,INDEX('CAMD Facility Data 2023'!$AC$2:$AE$10000,MATCH(Z2285,'CAMD Facility Data 2023'!$AE$2:$AE$10000,0),1),"")</f>
        <v>1560</v>
      </c>
      <c r="AC2285" s="1" t="str">
        <f>IF(INDEX('CAMD Facility Data 2023'!$AE$2:$AG$10000,MATCH(Z2285,'CAMD Facility Data 2023'!$AE$2:$AE$10000,0),3)&gt;0,INDEX('CAMD Facility Data 2023'!$AE$2:$AG$10000,MATCH(Z2285,'CAMD Facility Data 2023'!$AE$2:$AE$10000,0),3),"")</f>
        <v/>
      </c>
      <c r="AD2285" s="20" t="str">
        <f t="shared" si="106"/>
        <v/>
      </c>
      <c r="AE2285" s="25">
        <f t="shared" si="107"/>
        <v>0.76163890264606016</v>
      </c>
    </row>
    <row r="2286" spans="1:31" x14ac:dyDescent="0.2">
      <c r="A2286" s="1" t="s">
        <v>2584</v>
      </c>
      <c r="B2286" s="1" t="s">
        <v>5361</v>
      </c>
      <c r="C2286" s="1">
        <v>54638</v>
      </c>
      <c r="D2286" s="1">
        <v>40</v>
      </c>
      <c r="E2286" s="1" t="s">
        <v>1421</v>
      </c>
      <c r="F2286" s="1">
        <v>2023</v>
      </c>
      <c r="G2286" s="5">
        <v>1679</v>
      </c>
      <c r="H2286" s="5">
        <v>1667.81</v>
      </c>
      <c r="J2286" s="5">
        <v>120790.41</v>
      </c>
      <c r="O2286" s="5">
        <v>5.8659999999999997</v>
      </c>
      <c r="P2286" s="6">
        <v>6.5299999999999997E-2</v>
      </c>
      <c r="Q2286" s="5">
        <v>192474.45699999999</v>
      </c>
      <c r="R2286" s="1" t="s">
        <v>284</v>
      </c>
      <c r="T2286" s="1" t="s">
        <v>89</v>
      </c>
      <c r="V2286" s="1" t="s">
        <v>90</v>
      </c>
      <c r="Y2286" s="1" t="s">
        <v>617</v>
      </c>
      <c r="Z2286" s="1" t="str">
        <f t="shared" si="105"/>
        <v>54638 40</v>
      </c>
      <c r="AA2286" s="3">
        <f>IF(INDEX('CAMD Facility Data 2023'!$AA$2:$AE$10000,MATCH(Z2286,'CAMD Facility Data 2023'!$AE$2:$AE$10000,0),1)&gt;0,INDEX('CAMD Facility Data 2023'!$AA$2:$AE$10000,MATCH(Z2286,'CAMD Facility Data 2023'!$AE$2:$AE$10000,0),1),"")</f>
        <v>30258</v>
      </c>
      <c r="AB2286" s="5">
        <f>IF(INDEX('CAMD Facility Data 2023'!$AC$2:$AE$10000,MATCH(Z2286,'CAMD Facility Data 2023'!$AE$2:$AE$10000,0),1)&gt;0,INDEX('CAMD Facility Data 2023'!$AC$2:$AE$10000,MATCH(Z2286,'CAMD Facility Data 2023'!$AE$2:$AE$10000,0),1),"")</f>
        <v>306</v>
      </c>
      <c r="AC2286" s="1" t="str">
        <f>IF(INDEX('CAMD Facility Data 2023'!$AE$2:$AG$10000,MATCH(Z2286,'CAMD Facility Data 2023'!$AE$2:$AE$10000,0),3)&gt;0,INDEX('CAMD Facility Data 2023'!$AE$2:$AG$10000,MATCH(Z2286,'CAMD Facility Data 2023'!$AE$2:$AE$10000,0),3),"")</f>
        <v/>
      </c>
      <c r="AD2286" s="20" t="str">
        <f t="shared" si="106"/>
        <v/>
      </c>
      <c r="AE2286" s="25">
        <f t="shared" si="107"/>
        <v>7.1803823454800492E-2</v>
      </c>
    </row>
    <row r="2287" spans="1:31" x14ac:dyDescent="0.2">
      <c r="A2287" s="1" t="s">
        <v>2584</v>
      </c>
      <c r="B2287" s="1" t="s">
        <v>5361</v>
      </c>
      <c r="C2287" s="1">
        <v>54638</v>
      </c>
      <c r="D2287" s="1">
        <v>41</v>
      </c>
      <c r="E2287" s="1" t="s">
        <v>1421</v>
      </c>
      <c r="F2287" s="1">
        <v>2023</v>
      </c>
      <c r="G2287" s="5">
        <v>3519</v>
      </c>
      <c r="H2287" s="5">
        <v>3514.65</v>
      </c>
      <c r="J2287" s="5">
        <v>328346.14</v>
      </c>
      <c r="O2287" s="5">
        <v>14.698</v>
      </c>
      <c r="P2287" s="6">
        <v>5.5599999999999997E-2</v>
      </c>
      <c r="Q2287" s="5">
        <v>574534.304</v>
      </c>
      <c r="R2287" s="1" t="s">
        <v>284</v>
      </c>
      <c r="T2287" s="1" t="s">
        <v>89</v>
      </c>
      <c r="V2287" s="1" t="s">
        <v>90</v>
      </c>
      <c r="Y2287" s="1" t="s">
        <v>617</v>
      </c>
      <c r="Z2287" s="1" t="str">
        <f t="shared" si="105"/>
        <v>54638 41</v>
      </c>
      <c r="AA2287" s="3">
        <f>IF(INDEX('CAMD Facility Data 2023'!$AA$2:$AE$10000,MATCH(Z2287,'CAMD Facility Data 2023'!$AE$2:$AE$10000,0),1)&gt;0,INDEX('CAMD Facility Data 2023'!$AA$2:$AE$10000,MATCH(Z2287,'CAMD Facility Data 2023'!$AE$2:$AE$10000,0),1),"")</f>
        <v>30258</v>
      </c>
      <c r="AB2287" s="5">
        <f>IF(INDEX('CAMD Facility Data 2023'!$AC$2:$AE$10000,MATCH(Z2287,'CAMD Facility Data 2023'!$AE$2:$AE$10000,0),1)&gt;0,INDEX('CAMD Facility Data 2023'!$AC$2:$AE$10000,MATCH(Z2287,'CAMD Facility Data 2023'!$AE$2:$AE$10000,0),1),"")</f>
        <v>306</v>
      </c>
      <c r="AC2287" s="1" t="str">
        <f>IF(INDEX('CAMD Facility Data 2023'!$AE$2:$AG$10000,MATCH(Z2287,'CAMD Facility Data 2023'!$AE$2:$AE$10000,0),3)&gt;0,INDEX('CAMD Facility Data 2023'!$AE$2:$AG$10000,MATCH(Z2287,'CAMD Facility Data 2023'!$AE$2:$AE$10000,0),3),"")</f>
        <v/>
      </c>
      <c r="AD2287" s="20" t="str">
        <f t="shared" si="106"/>
        <v/>
      </c>
      <c r="AE2287" s="25">
        <f t="shared" si="107"/>
        <v>0.21433368549855256</v>
      </c>
    </row>
    <row r="2288" spans="1:31" x14ac:dyDescent="0.2">
      <c r="A2288" s="1" t="s">
        <v>1980</v>
      </c>
      <c r="B2288" s="1" t="s">
        <v>5367</v>
      </c>
      <c r="C2288" s="1">
        <v>54640</v>
      </c>
      <c r="D2288" s="1">
        <v>1001</v>
      </c>
      <c r="F2288" s="1">
        <v>2023</v>
      </c>
      <c r="G2288" s="5">
        <v>1135</v>
      </c>
      <c r="H2288" s="5">
        <v>1105.1300000000001</v>
      </c>
      <c r="I2288" s="5">
        <v>83470.66</v>
      </c>
      <c r="K2288" s="5">
        <v>0.53400000000000003</v>
      </c>
      <c r="L2288" s="5">
        <v>1.4E-3</v>
      </c>
      <c r="M2288" s="5">
        <v>60796.101999999999</v>
      </c>
      <c r="N2288" s="6">
        <v>5.9299999999999999E-2</v>
      </c>
      <c r="O2288" s="5">
        <v>9.7189999999999994</v>
      </c>
      <c r="P2288" s="6">
        <v>2.29E-2</v>
      </c>
      <c r="Q2288" s="5">
        <v>1017873.928</v>
      </c>
      <c r="R2288" s="1" t="s">
        <v>44</v>
      </c>
      <c r="S2288" s="1" t="s">
        <v>94</v>
      </c>
      <c r="T2288" s="1" t="s">
        <v>71</v>
      </c>
      <c r="V2288" s="1" t="s">
        <v>176</v>
      </c>
      <c r="Y2288" s="1" t="s">
        <v>1515</v>
      </c>
      <c r="Z2288" s="1" t="str">
        <f t="shared" si="105"/>
        <v>54640 1001</v>
      </c>
      <c r="AA2288" s="3">
        <f>IF(INDEX('CAMD Facility Data 2023'!$AA$2:$AE$10000,MATCH(Z2288,'CAMD Facility Data 2023'!$AE$2:$AE$10000,0),1)&gt;0,INDEX('CAMD Facility Data 2023'!$AA$2:$AE$10000,MATCH(Z2288,'CAMD Facility Data 2023'!$AE$2:$AE$10000,0),1),"")</f>
        <v>34457</v>
      </c>
      <c r="AB2288" s="5">
        <f>IF(INDEX('CAMD Facility Data 2023'!$AC$2:$AE$10000,MATCH(Z2288,'CAMD Facility Data 2023'!$AE$2:$AE$10000,0),1)&gt;0,INDEX('CAMD Facility Data 2023'!$AC$2:$AE$10000,MATCH(Z2288,'CAMD Facility Data 2023'!$AE$2:$AE$10000,0),1),"")</f>
        <v>1190</v>
      </c>
      <c r="AC2288" s="1" t="str">
        <f>IF(INDEX('CAMD Facility Data 2023'!$AE$2:$AG$10000,MATCH(Z2288,'CAMD Facility Data 2023'!$AE$2:$AE$10000,0),3)&gt;0,INDEX('CAMD Facility Data 2023'!$AE$2:$AG$10000,MATCH(Z2288,'CAMD Facility Data 2023'!$AE$2:$AE$10000,0),3),"")</f>
        <v>Y</v>
      </c>
      <c r="AD2288" s="20">
        <f t="shared" si="106"/>
        <v>0.23287224516973987</v>
      </c>
      <c r="AE2288" s="25">
        <f t="shared" si="107"/>
        <v>9.7643406622923132E-2</v>
      </c>
    </row>
    <row r="2289" spans="1:31" x14ac:dyDescent="0.2">
      <c r="A2289" s="1" t="s">
        <v>1980</v>
      </c>
      <c r="B2289" s="1" t="s">
        <v>5367</v>
      </c>
      <c r="C2289" s="1">
        <v>54640</v>
      </c>
      <c r="D2289" s="1">
        <v>2001</v>
      </c>
      <c r="F2289" s="1">
        <v>2023</v>
      </c>
      <c r="G2289" s="5">
        <v>1096</v>
      </c>
      <c r="H2289" s="5">
        <v>1075.2</v>
      </c>
      <c r="I2289" s="5">
        <v>81597.759999999995</v>
      </c>
      <c r="K2289" s="5">
        <v>0.46600000000000003</v>
      </c>
      <c r="L2289" s="5">
        <v>1.2999999999999999E-3</v>
      </c>
      <c r="M2289" s="5">
        <v>59202.934999999998</v>
      </c>
      <c r="N2289" s="6">
        <v>5.9200000000000003E-2</v>
      </c>
      <c r="O2289" s="5">
        <v>7.6929999999999996</v>
      </c>
      <c r="P2289" s="6">
        <v>1.7899999999999999E-2</v>
      </c>
      <c r="Q2289" s="5">
        <v>992510.12600000005</v>
      </c>
      <c r="R2289" s="1" t="s">
        <v>44</v>
      </c>
      <c r="S2289" s="1" t="s">
        <v>94</v>
      </c>
      <c r="T2289" s="1" t="s">
        <v>71</v>
      </c>
      <c r="V2289" s="1" t="s">
        <v>176</v>
      </c>
      <c r="Y2289" s="1" t="s">
        <v>1515</v>
      </c>
      <c r="Z2289" s="1" t="str">
        <f t="shared" si="105"/>
        <v>54640 2001</v>
      </c>
      <c r="AA2289" s="3">
        <f>IF(INDEX('CAMD Facility Data 2023'!$AA$2:$AE$10000,MATCH(Z2289,'CAMD Facility Data 2023'!$AE$2:$AE$10000,0),1)&gt;0,INDEX('CAMD Facility Data 2023'!$AA$2:$AE$10000,MATCH(Z2289,'CAMD Facility Data 2023'!$AE$2:$AE$10000,0),1),"")</f>
        <v>34457</v>
      </c>
      <c r="AB2289" s="5">
        <f>IF(INDEX('CAMD Facility Data 2023'!$AC$2:$AE$10000,MATCH(Z2289,'CAMD Facility Data 2023'!$AE$2:$AE$10000,0),1)&gt;0,INDEX('CAMD Facility Data 2023'!$AC$2:$AE$10000,MATCH(Z2289,'CAMD Facility Data 2023'!$AE$2:$AE$10000,0),1),"")</f>
        <v>1190</v>
      </c>
      <c r="AC2289" s="1" t="str">
        <f>IF(INDEX('CAMD Facility Data 2023'!$AE$2:$AG$10000,MATCH(Z2289,'CAMD Facility Data 2023'!$AE$2:$AE$10000,0),3)&gt;0,INDEX('CAMD Facility Data 2023'!$AE$2:$AG$10000,MATCH(Z2289,'CAMD Facility Data 2023'!$AE$2:$AE$10000,0),3),"")</f>
        <v>Y</v>
      </c>
      <c r="AD2289" s="20">
        <f t="shared" si="106"/>
        <v>0.18855909770072121</v>
      </c>
      <c r="AE2289" s="25">
        <f t="shared" si="107"/>
        <v>9.521028797820498E-2</v>
      </c>
    </row>
    <row r="2290" spans="1:31" x14ac:dyDescent="0.2">
      <c r="A2290" s="1" t="s">
        <v>234</v>
      </c>
      <c r="B2290" s="1" t="s">
        <v>5372</v>
      </c>
      <c r="C2290" s="1">
        <v>54694</v>
      </c>
      <c r="D2290" s="1">
        <v>4101</v>
      </c>
      <c r="F2290" s="1">
        <v>2023</v>
      </c>
      <c r="G2290" s="5">
        <v>3809</v>
      </c>
      <c r="H2290" s="5">
        <v>3724.13</v>
      </c>
      <c r="I2290" s="5">
        <v>154372.51</v>
      </c>
      <c r="K2290" s="5">
        <v>0.42099999999999999</v>
      </c>
      <c r="L2290" s="5">
        <v>1E-3</v>
      </c>
      <c r="M2290" s="5">
        <v>83463.682000000001</v>
      </c>
      <c r="N2290" s="6">
        <v>5.9200000000000003E-2</v>
      </c>
      <c r="O2290" s="5">
        <v>52.612000000000002</v>
      </c>
      <c r="P2290" s="6">
        <v>7.6700000000000004E-2</v>
      </c>
      <c r="Q2290" s="5">
        <v>1404428.6229999999</v>
      </c>
      <c r="R2290" s="1" t="s">
        <v>44</v>
      </c>
      <c r="T2290" s="1" t="s">
        <v>71</v>
      </c>
      <c r="V2290" s="1" t="s">
        <v>1606</v>
      </c>
      <c r="Y2290" s="1" t="s">
        <v>247</v>
      </c>
      <c r="Z2290" s="1" t="str">
        <f t="shared" si="105"/>
        <v>54694 4101</v>
      </c>
      <c r="AA2290" s="3">
        <f>IF(INDEX('CAMD Facility Data 2023'!$AA$2:$AE$10000,MATCH(Z2290,'CAMD Facility Data 2023'!$AE$2:$AE$10000,0),1)&gt;0,INDEX('CAMD Facility Data 2023'!$AA$2:$AE$10000,MATCH(Z2290,'CAMD Facility Data 2023'!$AE$2:$AE$10000,0),1),"")</f>
        <v>34465</v>
      </c>
      <c r="AB2290" s="5">
        <f>IF(INDEX('CAMD Facility Data 2023'!$AC$2:$AE$10000,MATCH(Z2290,'CAMD Facility Data 2023'!$AE$2:$AE$10000,0),1)&gt;0,INDEX('CAMD Facility Data 2023'!$AC$2:$AE$10000,MATCH(Z2290,'CAMD Facility Data 2023'!$AE$2:$AE$10000,0),1),"")</f>
        <v>624</v>
      </c>
      <c r="AC2290" s="1" t="str">
        <f>IF(INDEX('CAMD Facility Data 2023'!$AE$2:$AG$10000,MATCH(Z2290,'CAMD Facility Data 2023'!$AE$2:$AE$10000,0),3)&gt;0,INDEX('CAMD Facility Data 2023'!$AE$2:$AG$10000,MATCH(Z2290,'CAMD Facility Data 2023'!$AE$2:$AE$10000,0),3),"")</f>
        <v/>
      </c>
      <c r="AD2290" s="20">
        <f t="shared" si="106"/>
        <v>0.68162394975633933</v>
      </c>
      <c r="AE2290" s="25">
        <f t="shared" si="107"/>
        <v>0.2569277278348554</v>
      </c>
    </row>
    <row r="2291" spans="1:31" x14ac:dyDescent="0.2">
      <c r="A2291" s="1" t="s">
        <v>370</v>
      </c>
      <c r="B2291" s="1" t="s">
        <v>5375</v>
      </c>
      <c r="C2291" s="1">
        <v>54749</v>
      </c>
      <c r="D2291" s="1">
        <v>1</v>
      </c>
      <c r="F2291" s="1">
        <v>2023</v>
      </c>
      <c r="G2291" s="5">
        <v>400</v>
      </c>
      <c r="H2291" s="5">
        <v>344.97</v>
      </c>
      <c r="I2291" s="5">
        <v>14051.72</v>
      </c>
      <c r="K2291" s="5">
        <v>3.6999999999999998E-2</v>
      </c>
      <c r="L2291" s="5">
        <v>1E-3</v>
      </c>
      <c r="M2291" s="5">
        <v>7411.0159999999996</v>
      </c>
      <c r="N2291" s="6">
        <v>5.9299999999999999E-2</v>
      </c>
      <c r="O2291" s="5">
        <v>0.94399999999999995</v>
      </c>
      <c r="P2291" s="6">
        <v>2.3599999999999999E-2</v>
      </c>
      <c r="Q2291" s="5">
        <v>124697.84299999999</v>
      </c>
      <c r="R2291" s="1" t="s">
        <v>44</v>
      </c>
      <c r="T2291" s="1" t="s">
        <v>71</v>
      </c>
      <c r="V2291" s="1" t="s">
        <v>176</v>
      </c>
      <c r="Y2291" s="1" t="s">
        <v>247</v>
      </c>
      <c r="Z2291" s="1" t="str">
        <f t="shared" si="105"/>
        <v>54749 1</v>
      </c>
      <c r="AA2291" s="3">
        <f>IF(INDEX('CAMD Facility Data 2023'!$AA$2:$AE$10000,MATCH(Z2291,'CAMD Facility Data 2023'!$AE$2:$AE$10000,0),1)&gt;0,INDEX('CAMD Facility Data 2023'!$AA$2:$AE$10000,MATCH(Z2291,'CAMD Facility Data 2023'!$AE$2:$AE$10000,0),1),"")</f>
        <v>34662</v>
      </c>
      <c r="AB2291" s="5">
        <f>IF(INDEX('CAMD Facility Data 2023'!$AC$2:$AE$10000,MATCH(Z2291,'CAMD Facility Data 2023'!$AE$2:$AE$10000,0),1)&gt;0,INDEX('CAMD Facility Data 2023'!$AC$2:$AE$10000,MATCH(Z2291,'CAMD Facility Data 2023'!$AE$2:$AE$10000,0),1),"")</f>
        <v>448.1</v>
      </c>
      <c r="AC2291" s="1" t="str">
        <f>IF(INDEX('CAMD Facility Data 2023'!$AE$2:$AG$10000,MATCH(Z2291,'CAMD Facility Data 2023'!$AE$2:$AE$10000,0),3)&gt;0,INDEX('CAMD Facility Data 2023'!$AE$2:$AG$10000,MATCH(Z2291,'CAMD Facility Data 2023'!$AE$2:$AE$10000,0),3),"")</f>
        <v>Y</v>
      </c>
      <c r="AD2291" s="20">
        <f t="shared" si="106"/>
        <v>0.13436077576268243</v>
      </c>
      <c r="AE2291" s="25">
        <f t="shared" si="107"/>
        <v>3.1767269771200368E-2</v>
      </c>
    </row>
    <row r="2292" spans="1:31" x14ac:dyDescent="0.2">
      <c r="A2292" s="1" t="s">
        <v>1621</v>
      </c>
      <c r="B2292" s="1" t="s">
        <v>5378</v>
      </c>
      <c r="C2292" s="1">
        <v>54751</v>
      </c>
      <c r="D2292" s="1">
        <v>1</v>
      </c>
      <c r="F2292" s="1">
        <v>2023</v>
      </c>
      <c r="G2292" s="5">
        <v>8050</v>
      </c>
      <c r="H2292" s="5">
        <v>8027.46</v>
      </c>
      <c r="I2292" s="5">
        <v>137029.01</v>
      </c>
      <c r="K2292" s="5">
        <v>78.162000000000006</v>
      </c>
      <c r="L2292" s="5">
        <v>7.6399999999999996E-2</v>
      </c>
      <c r="O2292" s="5">
        <v>178.63200000000001</v>
      </c>
      <c r="P2292" s="6">
        <v>0.16880000000000001</v>
      </c>
      <c r="Q2292" s="5">
        <v>2100408.017</v>
      </c>
      <c r="R2292" s="1" t="s">
        <v>657</v>
      </c>
      <c r="S2292" s="1" t="s">
        <v>5382</v>
      </c>
      <c r="T2292" s="1" t="s">
        <v>1660</v>
      </c>
      <c r="V2292" s="1" t="s">
        <v>669</v>
      </c>
      <c r="W2292" s="1" t="s">
        <v>658</v>
      </c>
      <c r="Y2292" s="1" t="s">
        <v>1020</v>
      </c>
      <c r="Z2292" s="1" t="str">
        <f t="shared" si="105"/>
        <v>54751 1</v>
      </c>
      <c r="AA2292" s="3">
        <f>IF(INDEX('CAMD Facility Data 2023'!$AA$2:$AE$10000,MATCH(Z2292,'CAMD Facility Data 2023'!$AE$2:$AE$10000,0),1)&gt;0,INDEX('CAMD Facility Data 2023'!$AA$2:$AE$10000,MATCH(Z2292,'CAMD Facility Data 2023'!$AE$2:$AE$10000,0),1),"")</f>
        <v>35043</v>
      </c>
      <c r="AB2292" s="5">
        <f>IF(INDEX('CAMD Facility Data 2023'!$AC$2:$AE$10000,MATCH(Z2292,'CAMD Facility Data 2023'!$AE$2:$AE$10000,0),1)&gt;0,INDEX('CAMD Facility Data 2023'!$AC$2:$AE$10000,MATCH(Z2292,'CAMD Facility Data 2023'!$AE$2:$AE$10000,0),1),"")</f>
        <v>743</v>
      </c>
      <c r="AC2292" s="1" t="str">
        <f>IF(INDEX('CAMD Facility Data 2023'!$AE$2:$AG$10000,MATCH(Z2292,'CAMD Facility Data 2023'!$AE$2:$AE$10000,0),3)&gt;0,INDEX('CAMD Facility Data 2023'!$AE$2:$AG$10000,MATCH(Z2292,'CAMD Facility Data 2023'!$AE$2:$AE$10000,0),3),"")</f>
        <v>Y</v>
      </c>
      <c r="AD2292" s="20">
        <f t="shared" si="106"/>
        <v>2.6072143409632749</v>
      </c>
      <c r="AE2292" s="25">
        <f t="shared" si="107"/>
        <v>0.32270875461691156</v>
      </c>
    </row>
    <row r="2293" spans="1:31" x14ac:dyDescent="0.2">
      <c r="A2293" s="1" t="s">
        <v>4093</v>
      </c>
      <c r="B2293" s="1" t="s">
        <v>5384</v>
      </c>
      <c r="C2293" s="1">
        <v>54761</v>
      </c>
      <c r="D2293" s="1">
        <v>1</v>
      </c>
      <c r="F2293" s="1">
        <v>2023</v>
      </c>
      <c r="G2293" s="5">
        <v>7053</v>
      </c>
      <c r="H2293" s="5">
        <v>7046.73</v>
      </c>
      <c r="I2293" s="5">
        <v>1351447.63</v>
      </c>
      <c r="K2293" s="5">
        <v>3.016</v>
      </c>
      <c r="L2293" s="5">
        <v>1E-3</v>
      </c>
      <c r="M2293" s="5">
        <v>597517.93299999996</v>
      </c>
      <c r="N2293" s="6">
        <v>5.8999999999999997E-2</v>
      </c>
      <c r="O2293" s="5">
        <v>70.653000000000006</v>
      </c>
      <c r="P2293" s="6">
        <v>1.43E-2</v>
      </c>
      <c r="Q2293" s="5">
        <v>10054447.333000001</v>
      </c>
      <c r="R2293" s="1" t="s">
        <v>44</v>
      </c>
      <c r="T2293" s="1" t="s">
        <v>71</v>
      </c>
      <c r="V2293" s="1" t="s">
        <v>223</v>
      </c>
      <c r="Y2293" s="1" t="s">
        <v>247</v>
      </c>
      <c r="Z2293" s="1" t="str">
        <f t="shared" si="105"/>
        <v>54761 1</v>
      </c>
      <c r="AA2293" s="3">
        <f>IF(INDEX('CAMD Facility Data 2023'!$AA$2:$AE$10000,MATCH(Z2293,'CAMD Facility Data 2023'!$AE$2:$AE$10000,0),1)&gt;0,INDEX('CAMD Facility Data 2023'!$AA$2:$AE$10000,MATCH(Z2293,'CAMD Facility Data 2023'!$AE$2:$AE$10000,0),1),"")</f>
        <v>35247</v>
      </c>
      <c r="AB2293" s="5">
        <f>IF(INDEX('CAMD Facility Data 2023'!$AC$2:$AE$10000,MATCH(Z2293,'CAMD Facility Data 2023'!$AE$2:$AE$10000,0),1)&gt;0,INDEX('CAMD Facility Data 2023'!$AC$2:$AE$10000,MATCH(Z2293,'CAMD Facility Data 2023'!$AE$2:$AE$10000,0),1),"")</f>
        <v>2067</v>
      </c>
      <c r="AC2293" s="1" t="str">
        <f>IF(INDEX('CAMD Facility Data 2023'!$AE$2:$AG$10000,MATCH(Z2293,'CAMD Facility Data 2023'!$AE$2:$AE$10000,0),3)&gt;0,INDEX('CAMD Facility Data 2023'!$AE$2:$AG$10000,MATCH(Z2293,'CAMD Facility Data 2023'!$AE$2:$AE$10000,0),3),"")</f>
        <v>Y</v>
      </c>
      <c r="AD2293" s="20">
        <f t="shared" si="106"/>
        <v>0.10455899056924611</v>
      </c>
      <c r="AE2293" s="25">
        <f t="shared" si="107"/>
        <v>0.55528203211810734</v>
      </c>
    </row>
    <row r="2294" spans="1:31" x14ac:dyDescent="0.2">
      <c r="A2294" s="1" t="s">
        <v>4093</v>
      </c>
      <c r="B2294" s="1" t="s">
        <v>5384</v>
      </c>
      <c r="C2294" s="1">
        <v>54761</v>
      </c>
      <c r="D2294" s="1">
        <v>2</v>
      </c>
      <c r="F2294" s="1">
        <v>2023</v>
      </c>
      <c r="G2294" s="5">
        <v>7762</v>
      </c>
      <c r="H2294" s="5">
        <v>7739.67</v>
      </c>
      <c r="I2294" s="5">
        <v>1679816.61</v>
      </c>
      <c r="K2294" s="5">
        <v>3.649</v>
      </c>
      <c r="L2294" s="5">
        <v>1E-3</v>
      </c>
      <c r="M2294" s="5">
        <v>722873.74600000004</v>
      </c>
      <c r="N2294" s="6">
        <v>5.8999999999999997E-2</v>
      </c>
      <c r="O2294" s="5">
        <v>86.944000000000003</v>
      </c>
      <c r="P2294" s="6">
        <v>1.4999999999999999E-2</v>
      </c>
      <c r="Q2294" s="5">
        <v>12163968.762</v>
      </c>
      <c r="R2294" s="1" t="s">
        <v>44</v>
      </c>
      <c r="T2294" s="1" t="s">
        <v>71</v>
      </c>
      <c r="V2294" s="1" t="s">
        <v>223</v>
      </c>
      <c r="Y2294" s="1" t="s">
        <v>247</v>
      </c>
      <c r="Z2294" s="1" t="str">
        <f t="shared" si="105"/>
        <v>54761 2</v>
      </c>
      <c r="AA2294" s="3">
        <f>IF(INDEX('CAMD Facility Data 2023'!$AA$2:$AE$10000,MATCH(Z2294,'CAMD Facility Data 2023'!$AE$2:$AE$10000,0),1)&gt;0,INDEX('CAMD Facility Data 2023'!$AA$2:$AE$10000,MATCH(Z2294,'CAMD Facility Data 2023'!$AE$2:$AE$10000,0),1),"")</f>
        <v>35247</v>
      </c>
      <c r="AB2294" s="5">
        <f>IF(INDEX('CAMD Facility Data 2023'!$AC$2:$AE$10000,MATCH(Z2294,'CAMD Facility Data 2023'!$AE$2:$AE$10000,0),1)&gt;0,INDEX('CAMD Facility Data 2023'!$AC$2:$AE$10000,MATCH(Z2294,'CAMD Facility Data 2023'!$AE$2:$AE$10000,0),1),"")</f>
        <v>2067</v>
      </c>
      <c r="AC2294" s="1" t="str">
        <f>IF(INDEX('CAMD Facility Data 2023'!$AE$2:$AG$10000,MATCH(Z2294,'CAMD Facility Data 2023'!$AE$2:$AE$10000,0),3)&gt;0,INDEX('CAMD Facility Data 2023'!$AE$2:$AG$10000,MATCH(Z2294,'CAMD Facility Data 2023'!$AE$2:$AE$10000,0),3),"")</f>
        <v>Y</v>
      </c>
      <c r="AD2294" s="20">
        <f t="shared" si="106"/>
        <v>0.10351606179200716</v>
      </c>
      <c r="AE2294" s="25">
        <f t="shared" si="107"/>
        <v>0.67178563565752758</v>
      </c>
    </row>
    <row r="2295" spans="1:31" x14ac:dyDescent="0.2">
      <c r="A2295" s="1" t="s">
        <v>370</v>
      </c>
      <c r="B2295" s="1" t="s">
        <v>5390</v>
      </c>
      <c r="C2295" s="1">
        <v>54768</v>
      </c>
      <c r="D2295" s="1" t="s">
        <v>280</v>
      </c>
      <c r="F2295" s="1">
        <v>2023</v>
      </c>
      <c r="G2295" s="5">
        <v>900</v>
      </c>
      <c r="H2295" s="5">
        <v>816.72</v>
      </c>
      <c r="I2295" s="5">
        <v>30039.51</v>
      </c>
      <c r="K2295" s="5">
        <v>8.4000000000000005E-2</v>
      </c>
      <c r="L2295" s="5">
        <v>1E-3</v>
      </c>
      <c r="M2295" s="5">
        <v>16684.743999999999</v>
      </c>
      <c r="N2295" s="6">
        <v>5.91E-2</v>
      </c>
      <c r="O2295" s="5">
        <v>4.01</v>
      </c>
      <c r="P2295" s="6">
        <v>4.6800000000000001E-2</v>
      </c>
      <c r="Q2295" s="5">
        <v>280700.01</v>
      </c>
      <c r="R2295" s="1" t="s">
        <v>44</v>
      </c>
      <c r="T2295" s="1" t="s">
        <v>93</v>
      </c>
      <c r="V2295" s="1" t="s">
        <v>223</v>
      </c>
      <c r="Y2295" s="1" t="s">
        <v>247</v>
      </c>
      <c r="Z2295" s="1" t="str">
        <f t="shared" si="105"/>
        <v>54768 GT1</v>
      </c>
      <c r="AA2295" s="3">
        <f>IF(INDEX('CAMD Facility Data 2023'!$AA$2:$AE$10000,MATCH(Z2295,'CAMD Facility Data 2023'!$AE$2:$AE$10000,0),1)&gt;0,INDEX('CAMD Facility Data 2023'!$AA$2:$AE$10000,MATCH(Z2295,'CAMD Facility Data 2023'!$AE$2:$AE$10000,0),1),"")</f>
        <v>33690</v>
      </c>
      <c r="AB2295" s="5">
        <f>IF(INDEX('CAMD Facility Data 2023'!$AC$2:$AE$10000,MATCH(Z2295,'CAMD Facility Data 2023'!$AE$2:$AE$10000,0),1)&gt;0,INDEX('CAMD Facility Data 2023'!$AC$2:$AE$10000,MATCH(Z2295,'CAMD Facility Data 2023'!$AE$2:$AE$10000,0),1),"")</f>
        <v>450</v>
      </c>
      <c r="AC2295" s="1" t="str">
        <f>IF(INDEX('CAMD Facility Data 2023'!$AE$2:$AG$10000,MATCH(Z2295,'CAMD Facility Data 2023'!$AE$2:$AE$10000,0),3)&gt;0,INDEX('CAMD Facility Data 2023'!$AE$2:$AG$10000,MATCH(Z2295,'CAMD Facility Data 2023'!$AE$2:$AE$10000,0),3),"")</f>
        <v>Y</v>
      </c>
      <c r="AD2295" s="20">
        <f t="shared" si="106"/>
        <v>0.26698171841018714</v>
      </c>
      <c r="AE2295" s="25">
        <f t="shared" si="107"/>
        <v>7.1207511415525115E-2</v>
      </c>
    </row>
    <row r="2296" spans="1:31" x14ac:dyDescent="0.2">
      <c r="A2296" s="1" t="s">
        <v>2584</v>
      </c>
      <c r="B2296" s="1" t="s">
        <v>5391</v>
      </c>
      <c r="C2296" s="1">
        <v>54785</v>
      </c>
      <c r="D2296" s="1">
        <v>2</v>
      </c>
      <c r="F2296" s="1">
        <v>2023</v>
      </c>
      <c r="G2296" s="5">
        <v>8258</v>
      </c>
      <c r="H2296" s="5">
        <v>8243.23</v>
      </c>
      <c r="I2296" s="5">
        <v>895049.45</v>
      </c>
      <c r="K2296" s="5">
        <v>3.2490000000000001</v>
      </c>
      <c r="L2296" s="5">
        <v>1E-3</v>
      </c>
      <c r="M2296" s="5">
        <v>643644.09600000002</v>
      </c>
      <c r="N2296" s="6">
        <v>5.8999999999999997E-2</v>
      </c>
      <c r="O2296" s="5">
        <v>161.35400000000001</v>
      </c>
      <c r="P2296" s="6">
        <v>0.03</v>
      </c>
      <c r="Q2296" s="5">
        <v>10830110.43</v>
      </c>
      <c r="R2296" s="1" t="s">
        <v>44</v>
      </c>
      <c r="S2296" s="1" t="s">
        <v>94</v>
      </c>
      <c r="T2296" s="1" t="s">
        <v>71</v>
      </c>
      <c r="V2296" s="1" t="s">
        <v>64</v>
      </c>
      <c r="Y2296" s="1" t="s">
        <v>1515</v>
      </c>
      <c r="Z2296" s="1" t="str">
        <f t="shared" si="105"/>
        <v>54785 2</v>
      </c>
      <c r="AA2296" s="3">
        <f>IF(INDEX('CAMD Facility Data 2023'!$AA$2:$AE$10000,MATCH(Z2296,'CAMD Facility Data 2023'!$AE$2:$AE$10000,0),1)&gt;0,INDEX('CAMD Facility Data 2023'!$AA$2:$AE$10000,MATCH(Z2296,'CAMD Facility Data 2023'!$AE$2:$AE$10000,0),1),"")</f>
        <v>35796</v>
      </c>
      <c r="AB2296" s="5">
        <f>IF(INDEX('CAMD Facility Data 2023'!$AC$2:$AE$10000,MATCH(Z2296,'CAMD Facility Data 2023'!$AE$2:$AE$10000,0),1)&gt;0,INDEX('CAMD Facility Data 2023'!$AC$2:$AE$10000,MATCH(Z2296,'CAMD Facility Data 2023'!$AE$2:$AE$10000,0),1),"")</f>
        <v>1881</v>
      </c>
      <c r="AC2296" s="1" t="str">
        <f>IF(INDEX('CAMD Facility Data 2023'!$AE$2:$AG$10000,MATCH(Z2296,'CAMD Facility Data 2023'!$AE$2:$AE$10000,0),3)&gt;0,INDEX('CAMD Facility Data 2023'!$AE$2:$AG$10000,MATCH(Z2296,'CAMD Facility Data 2023'!$AE$2:$AE$10000,0),3),"")</f>
        <v>Y</v>
      </c>
      <c r="AD2296" s="20">
        <f t="shared" si="106"/>
        <v>0.36054767700265056</v>
      </c>
      <c r="AE2296" s="25">
        <f t="shared" si="107"/>
        <v>0.65726420841435262</v>
      </c>
    </row>
    <row r="2297" spans="1:31" x14ac:dyDescent="0.2">
      <c r="A2297" s="1" t="s">
        <v>2584</v>
      </c>
      <c r="B2297" s="1" t="s">
        <v>5391</v>
      </c>
      <c r="C2297" s="1">
        <v>54785</v>
      </c>
      <c r="D2297" s="1">
        <v>25</v>
      </c>
      <c r="F2297" s="1">
        <v>2023</v>
      </c>
      <c r="G2297" s="5">
        <v>8483</v>
      </c>
      <c r="H2297" s="5">
        <v>8471.9599999999991</v>
      </c>
      <c r="J2297" s="5">
        <v>1539789.37</v>
      </c>
      <c r="K2297" s="5">
        <v>0.64800000000000002</v>
      </c>
      <c r="L2297" s="5">
        <v>1E-3</v>
      </c>
      <c r="M2297" s="5">
        <v>127852.42200000001</v>
      </c>
      <c r="N2297" s="6">
        <v>5.9299999999999999E-2</v>
      </c>
      <c r="O2297" s="5">
        <v>59.222999999999999</v>
      </c>
      <c r="P2297" s="6">
        <v>5.5199999999999999E-2</v>
      </c>
      <c r="Q2297" s="5">
        <v>2148867.219</v>
      </c>
      <c r="R2297" s="1" t="s">
        <v>44</v>
      </c>
      <c r="S2297" s="1" t="s">
        <v>94</v>
      </c>
      <c r="T2297" s="1" t="s">
        <v>89</v>
      </c>
      <c r="V2297" s="1" t="s">
        <v>1498</v>
      </c>
      <c r="Y2297" s="1" t="s">
        <v>1528</v>
      </c>
      <c r="Z2297" s="1" t="str">
        <f t="shared" si="105"/>
        <v>54785 25</v>
      </c>
      <c r="AA2297" s="3">
        <f>IF(INDEX('CAMD Facility Data 2023'!$AA$2:$AE$10000,MATCH(Z2297,'CAMD Facility Data 2023'!$AE$2:$AE$10000,0),1)&gt;0,INDEX('CAMD Facility Data 2023'!$AA$2:$AE$10000,MATCH(Z2297,'CAMD Facility Data 2023'!$AE$2:$AE$10000,0),1),"")</f>
        <v>35786</v>
      </c>
      <c r="AB2297" s="5">
        <f>IF(INDEX('CAMD Facility Data 2023'!$AC$2:$AE$10000,MATCH(Z2297,'CAMD Facility Data 2023'!$AE$2:$AE$10000,0),1)&gt;0,INDEX('CAMD Facility Data 2023'!$AC$2:$AE$10000,MATCH(Z2297,'CAMD Facility Data 2023'!$AE$2:$AE$10000,0),1),"")</f>
        <v>1103</v>
      </c>
      <c r="AC2297" s="1" t="str">
        <f>IF(INDEX('CAMD Facility Data 2023'!$AE$2:$AG$10000,MATCH(Z2297,'CAMD Facility Data 2023'!$AE$2:$AE$10000,0),3)&gt;0,INDEX('CAMD Facility Data 2023'!$AE$2:$AG$10000,MATCH(Z2297,'CAMD Facility Data 2023'!$AE$2:$AE$10000,0),3),"")</f>
        <v/>
      </c>
      <c r="AD2297" s="20" t="str">
        <f t="shared" si="106"/>
        <v/>
      </c>
      <c r="AE2297" s="25">
        <f t="shared" si="107"/>
        <v>0.22239753132800955</v>
      </c>
    </row>
    <row r="2298" spans="1:31" x14ac:dyDescent="0.2">
      <c r="A2298" s="1" t="s">
        <v>1568</v>
      </c>
      <c r="B2298" s="1" t="s">
        <v>5394</v>
      </c>
      <c r="C2298" s="1">
        <v>54805</v>
      </c>
      <c r="D2298" s="1">
        <v>1</v>
      </c>
      <c r="F2298" s="1">
        <v>2023</v>
      </c>
      <c r="G2298" s="5">
        <v>1536</v>
      </c>
      <c r="H2298" s="5">
        <v>1499.28</v>
      </c>
      <c r="I2298" s="5">
        <v>221815.02</v>
      </c>
      <c r="K2298" s="5">
        <v>0.54300000000000004</v>
      </c>
      <c r="L2298" s="5">
        <v>1E-3</v>
      </c>
      <c r="M2298" s="5">
        <v>107542.912</v>
      </c>
      <c r="N2298" s="6">
        <v>5.8999999999999997E-2</v>
      </c>
      <c r="O2298" s="5">
        <v>15.930999999999999</v>
      </c>
      <c r="P2298" s="6">
        <v>2.9399999999999999E-2</v>
      </c>
      <c r="Q2298" s="5">
        <v>1809641.12</v>
      </c>
      <c r="R2298" s="1" t="s">
        <v>44</v>
      </c>
      <c r="T2298" s="1" t="s">
        <v>71</v>
      </c>
      <c r="V2298" s="1" t="s">
        <v>4050</v>
      </c>
      <c r="Y2298" s="1" t="s">
        <v>579</v>
      </c>
      <c r="Z2298" s="1" t="str">
        <f t="shared" si="105"/>
        <v>54805 1</v>
      </c>
      <c r="AA2298" s="3">
        <f>IF(INDEX('CAMD Facility Data 2023'!$AA$2:$AE$10000,MATCH(Z2298,'CAMD Facility Data 2023'!$AE$2:$AE$10000,0),1)&gt;0,INDEX('CAMD Facility Data 2023'!$AA$2:$AE$10000,MATCH(Z2298,'CAMD Facility Data 2023'!$AE$2:$AE$10000,0),1),"")</f>
        <v>34090</v>
      </c>
      <c r="AB2298" s="5">
        <f>IF(INDEX('CAMD Facility Data 2023'!$AC$2:$AE$10000,MATCH(Z2298,'CAMD Facility Data 2023'!$AE$2:$AE$10000,0),1)&gt;0,INDEX('CAMD Facility Data 2023'!$AC$2:$AE$10000,MATCH(Z2298,'CAMD Facility Data 2023'!$AE$2:$AE$10000,0),1),"")</f>
        <v>1947.9</v>
      </c>
      <c r="AC2298" s="1" t="str">
        <f>IF(INDEX('CAMD Facility Data 2023'!$AE$2:$AG$10000,MATCH(Z2298,'CAMD Facility Data 2023'!$AE$2:$AE$10000,0),3)&gt;0,INDEX('CAMD Facility Data 2023'!$AE$2:$AG$10000,MATCH(Z2298,'CAMD Facility Data 2023'!$AE$2:$AE$10000,0),3),"")</f>
        <v>Y</v>
      </c>
      <c r="AD2298" s="20">
        <f t="shared" si="106"/>
        <v>0.14364221142463662</v>
      </c>
      <c r="AE2298" s="25">
        <f t="shared" si="107"/>
        <v>0.10605269086178981</v>
      </c>
    </row>
    <row r="2299" spans="1:31" x14ac:dyDescent="0.2">
      <c r="A2299" s="1" t="s">
        <v>383</v>
      </c>
      <c r="B2299" s="1" t="s">
        <v>5399</v>
      </c>
      <c r="C2299" s="1">
        <v>54817</v>
      </c>
      <c r="D2299" s="1" t="s">
        <v>5400</v>
      </c>
      <c r="F2299" s="1">
        <v>2023</v>
      </c>
      <c r="G2299" s="5">
        <v>5725</v>
      </c>
      <c r="H2299" s="5">
        <v>5698.44</v>
      </c>
      <c r="I2299" s="5">
        <v>1165178.1399999999</v>
      </c>
      <c r="K2299" s="5">
        <v>2.6829999999999998</v>
      </c>
      <c r="L2299" s="5">
        <v>1E-3</v>
      </c>
      <c r="M2299" s="5">
        <v>530032.853</v>
      </c>
      <c r="N2299" s="6">
        <v>5.8999999999999997E-2</v>
      </c>
      <c r="O2299" s="5">
        <v>133.34800000000001</v>
      </c>
      <c r="P2299" s="6">
        <v>3.0700000000000002E-2</v>
      </c>
      <c r="Q2299" s="5">
        <v>8918645.6860000007</v>
      </c>
      <c r="R2299" s="1" t="s">
        <v>44</v>
      </c>
      <c r="S2299" s="1" t="s">
        <v>94</v>
      </c>
      <c r="T2299" s="1" t="s">
        <v>71</v>
      </c>
      <c r="V2299" s="1" t="s">
        <v>223</v>
      </c>
      <c r="Y2299" s="1" t="s">
        <v>346</v>
      </c>
      <c r="Z2299" s="1" t="str">
        <f t="shared" si="105"/>
        <v>54817 EAST</v>
      </c>
      <c r="AA2299" s="3">
        <f>IF(INDEX('CAMD Facility Data 2023'!$AA$2:$AE$10000,MATCH(Z2299,'CAMD Facility Data 2023'!$AE$2:$AE$10000,0),1)&gt;0,INDEX('CAMD Facility Data 2023'!$AA$2:$AE$10000,MATCH(Z2299,'CAMD Facility Data 2023'!$AE$2:$AE$10000,0),1),"")</f>
        <v>35296</v>
      </c>
      <c r="AB2299" s="5">
        <f>IF(INDEX('CAMD Facility Data 2023'!$AC$2:$AE$10000,MATCH(Z2299,'CAMD Facility Data 2023'!$AE$2:$AE$10000,0),1)&gt;0,INDEX('CAMD Facility Data 2023'!$AC$2:$AE$10000,MATCH(Z2299,'CAMD Facility Data 2023'!$AE$2:$AE$10000,0),1),"")</f>
        <v>2500</v>
      </c>
      <c r="AC2299" s="1" t="str">
        <f>IF(INDEX('CAMD Facility Data 2023'!$AE$2:$AG$10000,MATCH(Z2299,'CAMD Facility Data 2023'!$AE$2:$AE$10000,0),3)&gt;0,INDEX('CAMD Facility Data 2023'!$AE$2:$AG$10000,MATCH(Z2299,'CAMD Facility Data 2023'!$AE$2:$AE$10000,0),3),"")</f>
        <v>Y</v>
      </c>
      <c r="AD2299" s="20">
        <f t="shared" si="106"/>
        <v>0.22888860582296885</v>
      </c>
      <c r="AE2299" s="25">
        <f t="shared" si="107"/>
        <v>0.40724409525114158</v>
      </c>
    </row>
    <row r="2300" spans="1:31" x14ac:dyDescent="0.2">
      <c r="A2300" s="1" t="s">
        <v>680</v>
      </c>
      <c r="B2300" s="1" t="s">
        <v>5403</v>
      </c>
      <c r="C2300" s="1">
        <v>54832</v>
      </c>
      <c r="D2300" s="1">
        <v>1</v>
      </c>
      <c r="F2300" s="1">
        <v>2023</v>
      </c>
      <c r="G2300" s="5">
        <v>3797</v>
      </c>
      <c r="H2300" s="5">
        <v>3466.07</v>
      </c>
      <c r="I2300" s="5">
        <v>311163.93</v>
      </c>
      <c r="K2300" s="5">
        <v>0.79300000000000004</v>
      </c>
      <c r="L2300" s="5">
        <v>1E-3</v>
      </c>
      <c r="M2300" s="5">
        <v>156968.07</v>
      </c>
      <c r="N2300" s="6">
        <v>5.9200000000000003E-2</v>
      </c>
      <c r="O2300" s="5">
        <v>36.795000000000002</v>
      </c>
      <c r="P2300" s="6">
        <v>3.95E-2</v>
      </c>
      <c r="Q2300" s="5">
        <v>2637981.8480000002</v>
      </c>
      <c r="R2300" s="1" t="s">
        <v>44</v>
      </c>
      <c r="S2300" s="1" t="s">
        <v>5406</v>
      </c>
      <c r="T2300" s="1" t="s">
        <v>71</v>
      </c>
      <c r="V2300" s="1" t="s">
        <v>4587</v>
      </c>
      <c r="Y2300" s="1" t="s">
        <v>1515</v>
      </c>
      <c r="Z2300" s="1" t="str">
        <f t="shared" si="105"/>
        <v>54832 1</v>
      </c>
      <c r="AA2300" s="3">
        <f>IF(INDEX('CAMD Facility Data 2023'!$AA$2:$AE$10000,MATCH(Z2300,'CAMD Facility Data 2023'!$AE$2:$AE$10000,0),1)&gt;0,INDEX('CAMD Facility Data 2023'!$AA$2:$AE$10000,MATCH(Z2300,'CAMD Facility Data 2023'!$AE$2:$AE$10000,0),1),"")</f>
        <v>35369</v>
      </c>
      <c r="AB2300" s="5">
        <f>IF(INDEX('CAMD Facility Data 2023'!$AC$2:$AE$10000,MATCH(Z2300,'CAMD Facility Data 2023'!$AE$2:$AE$10000,0),1)&gt;0,INDEX('CAMD Facility Data 2023'!$AC$2:$AE$10000,MATCH(Z2300,'CAMD Facility Data 2023'!$AE$2:$AE$10000,0),1),"")</f>
        <v>1200</v>
      </c>
      <c r="AC2300" s="1" t="str">
        <f>IF(INDEX('CAMD Facility Data 2023'!$AE$2:$AG$10000,MATCH(Z2300,'CAMD Facility Data 2023'!$AE$2:$AE$10000,0),3)&gt;0,INDEX('CAMD Facility Data 2023'!$AE$2:$AG$10000,MATCH(Z2300,'CAMD Facility Data 2023'!$AE$2:$AE$10000,0),3),"")</f>
        <v/>
      </c>
      <c r="AD2300" s="20">
        <f t="shared" si="106"/>
        <v>0.23649913407379833</v>
      </c>
      <c r="AE2300" s="25">
        <f t="shared" si="107"/>
        <v>0.25094956697108067</v>
      </c>
    </row>
    <row r="2301" spans="1:31" x14ac:dyDescent="0.2">
      <c r="A2301" s="1" t="s">
        <v>680</v>
      </c>
      <c r="B2301" s="1" t="s">
        <v>5403</v>
      </c>
      <c r="C2301" s="1">
        <v>54832</v>
      </c>
      <c r="D2301" s="1">
        <v>2</v>
      </c>
      <c r="F2301" s="1">
        <v>2023</v>
      </c>
      <c r="G2301" s="5">
        <v>4237</v>
      </c>
      <c r="H2301" s="5">
        <v>3852.17</v>
      </c>
      <c r="I2301" s="5">
        <v>351599.72</v>
      </c>
      <c r="K2301" s="5">
        <v>0.86799999999999999</v>
      </c>
      <c r="L2301" s="5">
        <v>1E-3</v>
      </c>
      <c r="M2301" s="5">
        <v>171871.745</v>
      </c>
      <c r="N2301" s="6">
        <v>5.91E-2</v>
      </c>
      <c r="O2301" s="5">
        <v>42.148000000000003</v>
      </c>
      <c r="P2301" s="6">
        <v>4.0300000000000002E-2</v>
      </c>
      <c r="Q2301" s="5">
        <v>2890357.0189999999</v>
      </c>
      <c r="R2301" s="1" t="s">
        <v>44</v>
      </c>
      <c r="S2301" s="1" t="s">
        <v>5406</v>
      </c>
      <c r="T2301" s="1" t="s">
        <v>71</v>
      </c>
      <c r="V2301" s="1" t="s">
        <v>4587</v>
      </c>
      <c r="Y2301" s="1" t="s">
        <v>1515</v>
      </c>
      <c r="Z2301" s="1" t="str">
        <f t="shared" si="105"/>
        <v>54832 2</v>
      </c>
      <c r="AA2301" s="3">
        <f>IF(INDEX('CAMD Facility Data 2023'!$AA$2:$AE$10000,MATCH(Z2301,'CAMD Facility Data 2023'!$AE$2:$AE$10000,0),1)&gt;0,INDEX('CAMD Facility Data 2023'!$AA$2:$AE$10000,MATCH(Z2301,'CAMD Facility Data 2023'!$AE$2:$AE$10000,0),1),"")</f>
        <v>35369</v>
      </c>
      <c r="AB2301" s="5">
        <f>IF(INDEX('CAMD Facility Data 2023'!$AC$2:$AE$10000,MATCH(Z2301,'CAMD Facility Data 2023'!$AE$2:$AE$10000,0),1)&gt;0,INDEX('CAMD Facility Data 2023'!$AC$2:$AE$10000,MATCH(Z2301,'CAMD Facility Data 2023'!$AE$2:$AE$10000,0),1),"")</f>
        <v>1200</v>
      </c>
      <c r="AC2301" s="1" t="str">
        <f>IF(INDEX('CAMD Facility Data 2023'!$AE$2:$AG$10000,MATCH(Z2301,'CAMD Facility Data 2023'!$AE$2:$AE$10000,0),3)&gt;0,INDEX('CAMD Facility Data 2023'!$AE$2:$AG$10000,MATCH(Z2301,'CAMD Facility Data 2023'!$AE$2:$AE$10000,0),3),"")</f>
        <v/>
      </c>
      <c r="AD2301" s="20">
        <f t="shared" si="106"/>
        <v>0.23974990651300862</v>
      </c>
      <c r="AE2301" s="25">
        <f t="shared" si="107"/>
        <v>0.27495785949391172</v>
      </c>
    </row>
    <row r="2302" spans="1:31" x14ac:dyDescent="0.2">
      <c r="A2302" s="1" t="s">
        <v>3095</v>
      </c>
      <c r="B2302" s="1" t="s">
        <v>5409</v>
      </c>
      <c r="C2302" s="1">
        <v>54844</v>
      </c>
      <c r="D2302" s="1">
        <v>1</v>
      </c>
      <c r="F2302" s="1">
        <v>2023</v>
      </c>
      <c r="G2302" s="5">
        <v>4319</v>
      </c>
      <c r="H2302" s="5">
        <v>4303.79</v>
      </c>
      <c r="I2302" s="5">
        <v>451277.63</v>
      </c>
      <c r="K2302" s="5">
        <v>1.202</v>
      </c>
      <c r="L2302" s="5">
        <v>1.1000000000000001E-3</v>
      </c>
      <c r="M2302" s="5">
        <v>223573.74299999999</v>
      </c>
      <c r="N2302" s="6">
        <v>5.91E-2</v>
      </c>
      <c r="O2302" s="5">
        <v>50.314999999999998</v>
      </c>
      <c r="P2302" s="6">
        <v>2.81E-2</v>
      </c>
      <c r="Q2302" s="5">
        <v>3759703.0890000002</v>
      </c>
      <c r="R2302" s="1" t="s">
        <v>44</v>
      </c>
      <c r="S2302" s="1" t="s">
        <v>94</v>
      </c>
      <c r="T2302" s="1" t="s">
        <v>71</v>
      </c>
      <c r="V2302" s="1" t="s">
        <v>643</v>
      </c>
      <c r="Y2302" s="1" t="s">
        <v>1515</v>
      </c>
      <c r="Z2302" s="1" t="str">
        <f t="shared" si="105"/>
        <v>54844 1</v>
      </c>
      <c r="AA2302" s="3">
        <f>IF(INDEX('CAMD Facility Data 2023'!$AA$2:$AE$10000,MATCH(Z2302,'CAMD Facility Data 2023'!$AE$2:$AE$10000,0),1)&gt;0,INDEX('CAMD Facility Data 2023'!$AA$2:$AE$10000,MATCH(Z2302,'CAMD Facility Data 2023'!$AE$2:$AE$10000,0),1),"")</f>
        <v>34486</v>
      </c>
      <c r="AB2302" s="5">
        <f>IF(INDEX('CAMD Facility Data 2023'!$AC$2:$AE$10000,MATCH(Z2302,'CAMD Facility Data 2023'!$AE$2:$AE$10000,0),1)&gt;0,INDEX('CAMD Facility Data 2023'!$AC$2:$AE$10000,MATCH(Z2302,'CAMD Facility Data 2023'!$AE$2:$AE$10000,0),1),"")</f>
        <v>1510</v>
      </c>
      <c r="AC2302" s="1" t="str">
        <f>IF(INDEX('CAMD Facility Data 2023'!$AE$2:$AG$10000,MATCH(Z2302,'CAMD Facility Data 2023'!$AE$2:$AE$10000,0),3)&gt;0,INDEX('CAMD Facility Data 2023'!$AE$2:$AG$10000,MATCH(Z2302,'CAMD Facility Data 2023'!$AE$2:$AE$10000,0),3),"")</f>
        <v>Y</v>
      </c>
      <c r="AD2302" s="20">
        <f t="shared" si="106"/>
        <v>0.22298911647803149</v>
      </c>
      <c r="AE2302" s="25">
        <f t="shared" si="107"/>
        <v>0.28423168896852036</v>
      </c>
    </row>
    <row r="2303" spans="1:31" x14ac:dyDescent="0.2">
      <c r="A2303" s="1" t="s">
        <v>3095</v>
      </c>
      <c r="B2303" s="1" t="s">
        <v>5409</v>
      </c>
      <c r="C2303" s="1">
        <v>54844</v>
      </c>
      <c r="D2303" s="1">
        <v>2</v>
      </c>
      <c r="F2303" s="1">
        <v>2023</v>
      </c>
      <c r="G2303" s="5">
        <v>4538</v>
      </c>
      <c r="H2303" s="5">
        <v>4519.37</v>
      </c>
      <c r="I2303" s="5">
        <v>481238.42</v>
      </c>
      <c r="K2303" s="5">
        <v>1.288</v>
      </c>
      <c r="L2303" s="5">
        <v>1.1000000000000001E-3</v>
      </c>
      <c r="M2303" s="5">
        <v>236437.158</v>
      </c>
      <c r="N2303" s="6">
        <v>5.91E-2</v>
      </c>
      <c r="O2303" s="5">
        <v>53.484999999999999</v>
      </c>
      <c r="P2303" s="6">
        <v>2.8500000000000001E-2</v>
      </c>
      <c r="Q2303" s="5">
        <v>3975478.5720000002</v>
      </c>
      <c r="R2303" s="1" t="s">
        <v>44</v>
      </c>
      <c r="S2303" s="1" t="s">
        <v>94</v>
      </c>
      <c r="T2303" s="1" t="s">
        <v>71</v>
      </c>
      <c r="V2303" s="1" t="s">
        <v>643</v>
      </c>
      <c r="Y2303" s="1" t="s">
        <v>1515</v>
      </c>
      <c r="Z2303" s="1" t="str">
        <f t="shared" si="105"/>
        <v>54844 2</v>
      </c>
      <c r="AA2303" s="3">
        <f>IF(INDEX('CAMD Facility Data 2023'!$AA$2:$AE$10000,MATCH(Z2303,'CAMD Facility Data 2023'!$AE$2:$AE$10000,0),1)&gt;0,INDEX('CAMD Facility Data 2023'!$AA$2:$AE$10000,MATCH(Z2303,'CAMD Facility Data 2023'!$AE$2:$AE$10000,0),1),"")</f>
        <v>34486</v>
      </c>
      <c r="AB2303" s="5">
        <f>IF(INDEX('CAMD Facility Data 2023'!$AC$2:$AE$10000,MATCH(Z2303,'CAMD Facility Data 2023'!$AE$2:$AE$10000,0),1)&gt;0,INDEX('CAMD Facility Data 2023'!$AC$2:$AE$10000,MATCH(Z2303,'CAMD Facility Data 2023'!$AE$2:$AE$10000,0),1),"")</f>
        <v>1510</v>
      </c>
      <c r="AC2303" s="1" t="str">
        <f>IF(INDEX('CAMD Facility Data 2023'!$AE$2:$AG$10000,MATCH(Z2303,'CAMD Facility Data 2023'!$AE$2:$AE$10000,0),3)&gt;0,INDEX('CAMD Facility Data 2023'!$AE$2:$AG$10000,MATCH(Z2303,'CAMD Facility Data 2023'!$AE$2:$AE$10000,0),3),"")</f>
        <v>Y</v>
      </c>
      <c r="AD2303" s="20">
        <f t="shared" si="106"/>
        <v>0.22228067326794068</v>
      </c>
      <c r="AE2303" s="25">
        <f t="shared" si="107"/>
        <v>0.30054420847319241</v>
      </c>
    </row>
    <row r="2304" spans="1:31" x14ac:dyDescent="0.2">
      <c r="A2304" s="1" t="s">
        <v>1903</v>
      </c>
      <c r="B2304" s="1" t="s">
        <v>5412</v>
      </c>
      <c r="C2304" s="1">
        <v>54854</v>
      </c>
      <c r="D2304" s="1">
        <v>3</v>
      </c>
      <c r="F2304" s="1">
        <v>2023</v>
      </c>
      <c r="G2304" s="5">
        <v>263</v>
      </c>
      <c r="H2304" s="5">
        <v>200.46</v>
      </c>
      <c r="I2304" s="5">
        <v>12610.45</v>
      </c>
      <c r="K2304" s="5">
        <v>0.05</v>
      </c>
      <c r="L2304" s="5">
        <v>1E-3</v>
      </c>
      <c r="M2304" s="5">
        <v>9901.5930000000008</v>
      </c>
      <c r="N2304" s="6">
        <v>5.91E-2</v>
      </c>
      <c r="O2304" s="5">
        <v>12.432</v>
      </c>
      <c r="P2304" s="6">
        <v>0.14369999999999999</v>
      </c>
      <c r="Q2304" s="5">
        <v>166620.61300000001</v>
      </c>
      <c r="R2304" s="1" t="s">
        <v>44</v>
      </c>
      <c r="S2304" s="1" t="s">
        <v>94</v>
      </c>
      <c r="T2304" s="1" t="s">
        <v>93</v>
      </c>
      <c r="V2304" s="1" t="s">
        <v>95</v>
      </c>
      <c r="Y2304" s="1" t="s">
        <v>247</v>
      </c>
      <c r="Z2304" s="1" t="str">
        <f t="shared" si="105"/>
        <v>54854 3</v>
      </c>
      <c r="AA2304" s="3">
        <f>IF(INDEX('CAMD Facility Data 2023'!$AA$2:$AE$10000,MATCH(Z2304,'CAMD Facility Data 2023'!$AE$2:$AE$10000,0),1)&gt;0,INDEX('CAMD Facility Data 2023'!$AA$2:$AE$10000,MATCH(Z2304,'CAMD Facility Data 2023'!$AE$2:$AE$10000,0),1),"")</f>
        <v>33397</v>
      </c>
      <c r="AB2304" s="5">
        <f>IF(INDEX('CAMD Facility Data 2023'!$AC$2:$AE$10000,MATCH(Z2304,'CAMD Facility Data 2023'!$AE$2:$AE$10000,0),1)&gt;0,INDEX('CAMD Facility Data 2023'!$AC$2:$AE$10000,MATCH(Z2304,'CAMD Facility Data 2023'!$AE$2:$AE$10000,0),1),"")</f>
        <v>1039</v>
      </c>
      <c r="AC2304" s="1" t="str">
        <f>IF(INDEX('CAMD Facility Data 2023'!$AE$2:$AG$10000,MATCH(Z2304,'CAMD Facility Data 2023'!$AE$2:$AE$10000,0),3)&gt;0,INDEX('CAMD Facility Data 2023'!$AE$2:$AG$10000,MATCH(Z2304,'CAMD Facility Data 2023'!$AE$2:$AE$10000,0),3),"")</f>
        <v/>
      </c>
      <c r="AD2304" s="20">
        <f t="shared" si="106"/>
        <v>1.9716980758022116</v>
      </c>
      <c r="AE2304" s="25">
        <f t="shared" si="107"/>
        <v>1.8306658250600991E-2</v>
      </c>
    </row>
    <row r="2305" spans="1:31" x14ac:dyDescent="0.2">
      <c r="A2305" s="1" t="s">
        <v>1903</v>
      </c>
      <c r="B2305" s="1" t="s">
        <v>5412</v>
      </c>
      <c r="C2305" s="1">
        <v>54854</v>
      </c>
      <c r="D2305" s="1">
        <v>4</v>
      </c>
      <c r="F2305" s="1">
        <v>2023</v>
      </c>
      <c r="G2305" s="5">
        <v>217</v>
      </c>
      <c r="H2305" s="5">
        <v>167.65</v>
      </c>
      <c r="I2305" s="5">
        <v>10422.25</v>
      </c>
      <c r="K2305" s="5">
        <v>4.1000000000000002E-2</v>
      </c>
      <c r="L2305" s="5">
        <v>1E-3</v>
      </c>
      <c r="M2305" s="5">
        <v>8147.1329999999998</v>
      </c>
      <c r="N2305" s="6">
        <v>5.91E-2</v>
      </c>
      <c r="O2305" s="5">
        <v>9.8780000000000001</v>
      </c>
      <c r="P2305" s="6">
        <v>0.13700000000000001</v>
      </c>
      <c r="Q2305" s="5">
        <v>137089.68700000001</v>
      </c>
      <c r="R2305" s="1" t="s">
        <v>44</v>
      </c>
      <c r="S2305" s="1" t="s">
        <v>94</v>
      </c>
      <c r="T2305" s="1" t="s">
        <v>93</v>
      </c>
      <c r="V2305" s="1" t="s">
        <v>95</v>
      </c>
      <c r="Y2305" s="1" t="s">
        <v>247</v>
      </c>
      <c r="Z2305" s="1" t="str">
        <f t="shared" si="105"/>
        <v>54854 4</v>
      </c>
      <c r="AA2305" s="3">
        <f>IF(INDEX('CAMD Facility Data 2023'!$AA$2:$AE$10000,MATCH(Z2305,'CAMD Facility Data 2023'!$AE$2:$AE$10000,0),1)&gt;0,INDEX('CAMD Facility Data 2023'!$AA$2:$AE$10000,MATCH(Z2305,'CAMD Facility Data 2023'!$AE$2:$AE$10000,0),1),"")</f>
        <v>33397</v>
      </c>
      <c r="AB2305" s="5">
        <f>IF(INDEX('CAMD Facility Data 2023'!$AC$2:$AE$10000,MATCH(Z2305,'CAMD Facility Data 2023'!$AE$2:$AE$10000,0),1)&gt;0,INDEX('CAMD Facility Data 2023'!$AC$2:$AE$10000,MATCH(Z2305,'CAMD Facility Data 2023'!$AE$2:$AE$10000,0),1),"")</f>
        <v>1039</v>
      </c>
      <c r="AC2305" s="1" t="str">
        <f>IF(INDEX('CAMD Facility Data 2023'!$AE$2:$AG$10000,MATCH(Z2305,'CAMD Facility Data 2023'!$AE$2:$AE$10000,0),3)&gt;0,INDEX('CAMD Facility Data 2023'!$AE$2:$AG$10000,MATCH(Z2305,'CAMD Facility Data 2023'!$AE$2:$AE$10000,0),3),"")</f>
        <v/>
      </c>
      <c r="AD2305" s="20">
        <f t="shared" si="106"/>
        <v>1.8955599798508</v>
      </c>
      <c r="AE2305" s="25">
        <f t="shared" si="107"/>
        <v>1.5062086283351133E-2</v>
      </c>
    </row>
    <row r="2306" spans="1:31" x14ac:dyDescent="0.2">
      <c r="A2306" s="1" t="s">
        <v>1903</v>
      </c>
      <c r="B2306" s="1" t="s">
        <v>5412</v>
      </c>
      <c r="C2306" s="1">
        <v>54854</v>
      </c>
      <c r="D2306" s="1">
        <v>5</v>
      </c>
      <c r="F2306" s="1">
        <v>2023</v>
      </c>
      <c r="G2306" s="5">
        <v>223</v>
      </c>
      <c r="H2306" s="5">
        <v>152.69999999999999</v>
      </c>
      <c r="I2306" s="5">
        <v>9427.1299999999992</v>
      </c>
      <c r="K2306" s="5">
        <v>3.5999999999999997E-2</v>
      </c>
      <c r="L2306" s="5">
        <v>1E-3</v>
      </c>
      <c r="M2306" s="5">
        <v>7227.1480000000001</v>
      </c>
      <c r="N2306" s="6">
        <v>5.91E-2</v>
      </c>
      <c r="O2306" s="5">
        <v>9.1150000000000002</v>
      </c>
      <c r="P2306" s="6">
        <v>0.1416</v>
      </c>
      <c r="Q2306" s="5">
        <v>121609.97199999999</v>
      </c>
      <c r="R2306" s="1" t="s">
        <v>44</v>
      </c>
      <c r="S2306" s="1" t="s">
        <v>94</v>
      </c>
      <c r="T2306" s="1" t="s">
        <v>93</v>
      </c>
      <c r="V2306" s="1" t="s">
        <v>95</v>
      </c>
      <c r="Y2306" s="1" t="s">
        <v>247</v>
      </c>
      <c r="Z2306" s="1" t="str">
        <f t="shared" si="105"/>
        <v>54854 5</v>
      </c>
      <c r="AA2306" s="3">
        <f>IF(INDEX('CAMD Facility Data 2023'!$AA$2:$AE$10000,MATCH(Z2306,'CAMD Facility Data 2023'!$AE$2:$AE$10000,0),1)&gt;0,INDEX('CAMD Facility Data 2023'!$AA$2:$AE$10000,MATCH(Z2306,'CAMD Facility Data 2023'!$AE$2:$AE$10000,0),1),"")</f>
        <v>33397</v>
      </c>
      <c r="AB2306" s="5">
        <f>IF(INDEX('CAMD Facility Data 2023'!$AC$2:$AE$10000,MATCH(Z2306,'CAMD Facility Data 2023'!$AE$2:$AE$10000,0),1)&gt;0,INDEX('CAMD Facility Data 2023'!$AC$2:$AE$10000,MATCH(Z2306,'CAMD Facility Data 2023'!$AE$2:$AE$10000,0),1),"")</f>
        <v>1039</v>
      </c>
      <c r="AC2306" s="1" t="str">
        <f>IF(INDEX('CAMD Facility Data 2023'!$AE$2:$AG$10000,MATCH(Z2306,'CAMD Facility Data 2023'!$AE$2:$AE$10000,0),3)&gt;0,INDEX('CAMD Facility Data 2023'!$AE$2:$AG$10000,MATCH(Z2306,'CAMD Facility Data 2023'!$AE$2:$AE$10000,0),3),"")</f>
        <v/>
      </c>
      <c r="AD2306" s="20">
        <f t="shared" si="106"/>
        <v>1.933780482501037</v>
      </c>
      <c r="AE2306" s="25">
        <f t="shared" si="107"/>
        <v>1.3361325211720084E-2</v>
      </c>
    </row>
    <row r="2307" spans="1:31" x14ac:dyDescent="0.2">
      <c r="A2307" s="1" t="s">
        <v>2089</v>
      </c>
      <c r="B2307" s="1" t="s">
        <v>5416</v>
      </c>
      <c r="C2307" s="1">
        <v>54914</v>
      </c>
      <c r="D2307" s="1">
        <v>1</v>
      </c>
      <c r="F2307" s="1">
        <v>2023</v>
      </c>
      <c r="G2307" s="5">
        <v>8060</v>
      </c>
      <c r="H2307" s="5">
        <v>8050.65</v>
      </c>
      <c r="I2307" s="5">
        <v>800061.6</v>
      </c>
      <c r="K2307" s="5">
        <v>2.5499999999999998</v>
      </c>
      <c r="L2307" s="5">
        <v>1E-3</v>
      </c>
      <c r="M2307" s="5">
        <v>505099.06800000003</v>
      </c>
      <c r="N2307" s="6">
        <v>5.8999999999999997E-2</v>
      </c>
      <c r="O2307" s="5">
        <v>27.933</v>
      </c>
      <c r="P2307" s="6">
        <v>6.7000000000000002E-3</v>
      </c>
      <c r="Q2307" s="5">
        <v>8499037.3110000007</v>
      </c>
      <c r="R2307" s="1" t="s">
        <v>44</v>
      </c>
      <c r="S2307" s="1" t="s">
        <v>94</v>
      </c>
      <c r="T2307" s="1" t="s">
        <v>71</v>
      </c>
      <c r="V2307" s="1" t="s">
        <v>643</v>
      </c>
      <c r="Y2307" s="1" t="s">
        <v>1515</v>
      </c>
      <c r="Z2307" s="1" t="str">
        <f t="shared" ref="Z2307:Z2370" si="108">C2307&amp;" "&amp;D2307</f>
        <v>54914 1</v>
      </c>
      <c r="AA2307" s="3">
        <f>IF(INDEX('CAMD Facility Data 2023'!$AA$2:$AE$10000,MATCH(Z2307,'CAMD Facility Data 2023'!$AE$2:$AE$10000,0),1)&gt;0,INDEX('CAMD Facility Data 2023'!$AA$2:$AE$10000,MATCH(Z2307,'CAMD Facility Data 2023'!$AE$2:$AE$10000,0),1),"")</f>
        <v>35125</v>
      </c>
      <c r="AB2307" s="5">
        <f>IF(INDEX('CAMD Facility Data 2023'!$AC$2:$AE$10000,MATCH(Z2307,'CAMD Facility Data 2023'!$AE$2:$AE$10000,0),1)&gt;0,INDEX('CAMD Facility Data 2023'!$AC$2:$AE$10000,MATCH(Z2307,'CAMD Facility Data 2023'!$AE$2:$AE$10000,0),1),"")</f>
        <v>1503</v>
      </c>
      <c r="AC2307" s="1" t="str">
        <f>IF(INDEX('CAMD Facility Data 2023'!$AE$2:$AG$10000,MATCH(Z2307,'CAMD Facility Data 2023'!$AE$2:$AE$10000,0),3)&gt;0,INDEX('CAMD Facility Data 2023'!$AE$2:$AG$10000,MATCH(Z2307,'CAMD Facility Data 2023'!$AE$2:$AE$10000,0),3),"")</f>
        <v>Y</v>
      </c>
      <c r="AD2307" s="20">
        <f t="shared" ref="AD2307:AD2370" si="109">IF(ISNUMBER(O2307*2000/I2307),O2307*2000/I2307,"")</f>
        <v>6.9827123311505021E-2</v>
      </c>
      <c r="AE2307" s="25">
        <f t="shared" ref="AE2307:AE2370" si="110">Q2307/(AB2307*8760)</f>
        <v>0.64551546154266815</v>
      </c>
    </row>
    <row r="2308" spans="1:31" x14ac:dyDescent="0.2">
      <c r="A2308" s="1" t="s">
        <v>2089</v>
      </c>
      <c r="B2308" s="1" t="s">
        <v>5416</v>
      </c>
      <c r="C2308" s="1">
        <v>54914</v>
      </c>
      <c r="D2308" s="1">
        <v>2</v>
      </c>
      <c r="F2308" s="1">
        <v>2023</v>
      </c>
      <c r="G2308" s="5">
        <v>8435</v>
      </c>
      <c r="H2308" s="5">
        <v>8428.69</v>
      </c>
      <c r="I2308" s="5">
        <v>879319.97</v>
      </c>
      <c r="K2308" s="5">
        <v>2.7629999999999999</v>
      </c>
      <c r="L2308" s="5">
        <v>1E-3</v>
      </c>
      <c r="M2308" s="5">
        <v>547092.45400000003</v>
      </c>
      <c r="N2308" s="6">
        <v>5.91E-2</v>
      </c>
      <c r="O2308" s="5">
        <v>28.628</v>
      </c>
      <c r="P2308" s="6">
        <v>6.3E-3</v>
      </c>
      <c r="Q2308" s="5">
        <v>9194384.6970000006</v>
      </c>
      <c r="R2308" s="1" t="s">
        <v>44</v>
      </c>
      <c r="S2308" s="1" t="s">
        <v>94</v>
      </c>
      <c r="T2308" s="1" t="s">
        <v>71</v>
      </c>
      <c r="V2308" s="1" t="s">
        <v>643</v>
      </c>
      <c r="Y2308" s="1" t="s">
        <v>1515</v>
      </c>
      <c r="Z2308" s="1" t="str">
        <f t="shared" si="108"/>
        <v>54914 2</v>
      </c>
      <c r="AA2308" s="3">
        <f>IF(INDEX('CAMD Facility Data 2023'!$AA$2:$AE$10000,MATCH(Z2308,'CAMD Facility Data 2023'!$AE$2:$AE$10000,0),1)&gt;0,INDEX('CAMD Facility Data 2023'!$AA$2:$AE$10000,MATCH(Z2308,'CAMD Facility Data 2023'!$AE$2:$AE$10000,0),1),"")</f>
        <v>35125</v>
      </c>
      <c r="AB2308" s="5">
        <f>IF(INDEX('CAMD Facility Data 2023'!$AC$2:$AE$10000,MATCH(Z2308,'CAMD Facility Data 2023'!$AE$2:$AE$10000,0),1)&gt;0,INDEX('CAMD Facility Data 2023'!$AC$2:$AE$10000,MATCH(Z2308,'CAMD Facility Data 2023'!$AE$2:$AE$10000,0),1),"")</f>
        <v>1503</v>
      </c>
      <c r="AC2308" s="1" t="str">
        <f>IF(INDEX('CAMD Facility Data 2023'!$AE$2:$AG$10000,MATCH(Z2308,'CAMD Facility Data 2023'!$AE$2:$AE$10000,0),3)&gt;0,INDEX('CAMD Facility Data 2023'!$AE$2:$AG$10000,MATCH(Z2308,'CAMD Facility Data 2023'!$AE$2:$AE$10000,0),3),"")</f>
        <v>Y</v>
      </c>
      <c r="AD2308" s="20">
        <f t="shared" si="109"/>
        <v>6.5113953911452735E-2</v>
      </c>
      <c r="AE2308" s="25">
        <f t="shared" si="110"/>
        <v>0.69832820637264292</v>
      </c>
    </row>
    <row r="2309" spans="1:31" x14ac:dyDescent="0.2">
      <c r="A2309" s="1" t="s">
        <v>1621</v>
      </c>
      <c r="B2309" s="1" t="s">
        <v>5420</v>
      </c>
      <c r="C2309" s="1">
        <v>54915</v>
      </c>
      <c r="D2309" s="1">
        <v>1</v>
      </c>
      <c r="F2309" s="1">
        <v>2023</v>
      </c>
      <c r="G2309" s="5">
        <v>8384</v>
      </c>
      <c r="H2309" s="5">
        <v>8378.76</v>
      </c>
      <c r="I2309" s="5">
        <v>1042639.9</v>
      </c>
      <c r="K2309" s="5">
        <v>2.9550000000000001</v>
      </c>
      <c r="L2309" s="5">
        <v>1E-3</v>
      </c>
      <c r="M2309" s="5">
        <v>585369.56000000006</v>
      </c>
      <c r="N2309" s="6">
        <v>5.8999999999999997E-2</v>
      </c>
      <c r="O2309" s="5">
        <v>135.279</v>
      </c>
      <c r="P2309" s="6">
        <v>2.76E-2</v>
      </c>
      <c r="Q2309" s="5">
        <v>9849952.0099999998</v>
      </c>
      <c r="R2309" s="1" t="s">
        <v>44</v>
      </c>
      <c r="T2309" s="1" t="s">
        <v>71</v>
      </c>
      <c r="V2309" s="1" t="s">
        <v>140</v>
      </c>
      <c r="Y2309" s="1" t="s">
        <v>461</v>
      </c>
      <c r="Z2309" s="1" t="str">
        <f t="shared" si="108"/>
        <v>54915 1</v>
      </c>
      <c r="AA2309" s="3">
        <f>IF(INDEX('CAMD Facility Data 2023'!$AA$2:$AE$10000,MATCH(Z2309,'CAMD Facility Data 2023'!$AE$2:$AE$10000,0),1)&gt;0,INDEX('CAMD Facility Data 2023'!$AA$2:$AE$10000,MATCH(Z2309,'CAMD Facility Data 2023'!$AE$2:$AE$10000,0),1),"")</f>
        <v>34994</v>
      </c>
      <c r="AB2309" s="5">
        <f>IF(INDEX('CAMD Facility Data 2023'!$AC$2:$AE$10000,MATCH(Z2309,'CAMD Facility Data 2023'!$AE$2:$AE$10000,0),1)&gt;0,INDEX('CAMD Facility Data 2023'!$AC$2:$AE$10000,MATCH(Z2309,'CAMD Facility Data 2023'!$AE$2:$AE$10000,0),1),"")</f>
        <v>1478</v>
      </c>
      <c r="AC2309" s="1" t="str">
        <f>IF(INDEX('CAMD Facility Data 2023'!$AE$2:$AG$10000,MATCH(Z2309,'CAMD Facility Data 2023'!$AE$2:$AE$10000,0),3)&gt;0,INDEX('CAMD Facility Data 2023'!$AE$2:$AG$10000,MATCH(Z2309,'CAMD Facility Data 2023'!$AE$2:$AE$10000,0),3),"")</f>
        <v/>
      </c>
      <c r="AD2309" s="20">
        <f t="shared" si="109"/>
        <v>0.25949323443309619</v>
      </c>
      <c r="AE2309" s="25">
        <f t="shared" si="110"/>
        <v>0.76077384670757098</v>
      </c>
    </row>
    <row r="2310" spans="1:31" x14ac:dyDescent="0.2">
      <c r="A2310" s="1" t="s">
        <v>1663</v>
      </c>
      <c r="B2310" s="1" t="s">
        <v>5425</v>
      </c>
      <c r="C2310" s="1">
        <v>55010</v>
      </c>
      <c r="D2310" s="1">
        <v>1</v>
      </c>
      <c r="F2310" s="1">
        <v>2023</v>
      </c>
      <c r="G2310" s="5">
        <v>5578</v>
      </c>
      <c r="H2310" s="5">
        <v>5388.62</v>
      </c>
      <c r="I2310" s="5">
        <v>1068102.77</v>
      </c>
      <c r="K2310" s="5">
        <v>2.5640000000000001</v>
      </c>
      <c r="L2310" s="5">
        <v>1E-3</v>
      </c>
      <c r="M2310" s="5">
        <v>505037.66499999998</v>
      </c>
      <c r="N2310" s="6">
        <v>5.8999999999999997E-2</v>
      </c>
      <c r="O2310" s="5">
        <v>42.277000000000001</v>
      </c>
      <c r="P2310" s="6">
        <v>1.18E-2</v>
      </c>
      <c r="Q2310" s="5">
        <v>8497147.6899999995</v>
      </c>
      <c r="R2310" s="1" t="s">
        <v>44</v>
      </c>
      <c r="S2310" s="1" t="s">
        <v>94</v>
      </c>
      <c r="T2310" s="1" t="s">
        <v>71</v>
      </c>
      <c r="V2310" s="1" t="s">
        <v>223</v>
      </c>
      <c r="Y2310" s="1" t="s">
        <v>1666</v>
      </c>
      <c r="Z2310" s="1" t="str">
        <f t="shared" si="108"/>
        <v>55010 1</v>
      </c>
      <c r="AA2310" s="3">
        <f>IF(INDEX('CAMD Facility Data 2023'!$AA$2:$AE$10000,MATCH(Z2310,'CAMD Facility Data 2023'!$AE$2:$AE$10000,0),1)&gt;0,INDEX('CAMD Facility Data 2023'!$AA$2:$AE$10000,MATCH(Z2310,'CAMD Facility Data 2023'!$AE$2:$AE$10000,0),1),"")</f>
        <v>35494</v>
      </c>
      <c r="AB2310" s="5">
        <f>IF(INDEX('CAMD Facility Data 2023'!$AC$2:$AE$10000,MATCH(Z2310,'CAMD Facility Data 2023'!$AE$2:$AE$10000,0),1)&gt;0,INDEX('CAMD Facility Data 2023'!$AC$2:$AE$10000,MATCH(Z2310,'CAMD Facility Data 2023'!$AE$2:$AE$10000,0),1),"")</f>
        <v>2258</v>
      </c>
      <c r="AC2310" s="1" t="str">
        <f>IF(INDEX('CAMD Facility Data 2023'!$AE$2:$AG$10000,MATCH(Z2310,'CAMD Facility Data 2023'!$AE$2:$AE$10000,0),3)&gt;0,INDEX('CAMD Facility Data 2023'!$AE$2:$AG$10000,MATCH(Z2310,'CAMD Facility Data 2023'!$AE$2:$AE$10000,0),3),"")</f>
        <v>Y</v>
      </c>
      <c r="AD2310" s="20">
        <f t="shared" si="109"/>
        <v>7.9162794419117555E-2</v>
      </c>
      <c r="AE2310" s="25">
        <f t="shared" si="110"/>
        <v>0.42958105781169742</v>
      </c>
    </row>
    <row r="2311" spans="1:31" x14ac:dyDescent="0.2">
      <c r="A2311" s="1" t="s">
        <v>3167</v>
      </c>
      <c r="B2311" s="1" t="s">
        <v>5429</v>
      </c>
      <c r="C2311" s="1">
        <v>55011</v>
      </c>
      <c r="D2311" s="1">
        <v>1</v>
      </c>
      <c r="F2311" s="1">
        <v>2023</v>
      </c>
      <c r="G2311" s="5">
        <v>3573</v>
      </c>
      <c r="H2311" s="5">
        <v>3428.17</v>
      </c>
      <c r="I2311" s="5">
        <v>669281.87</v>
      </c>
      <c r="K2311" s="5">
        <v>1.58</v>
      </c>
      <c r="L2311" s="5">
        <v>1E-3</v>
      </c>
      <c r="M2311" s="5">
        <v>312935.54100000003</v>
      </c>
      <c r="N2311" s="6">
        <v>5.91E-2</v>
      </c>
      <c r="O2311" s="5">
        <v>43.633000000000003</v>
      </c>
      <c r="P2311" s="6">
        <v>2.1299999999999999E-2</v>
      </c>
      <c r="Q2311" s="5">
        <v>5262442.8899999997</v>
      </c>
      <c r="R2311" s="1" t="s">
        <v>44</v>
      </c>
      <c r="S2311" s="1" t="s">
        <v>94</v>
      </c>
      <c r="T2311" s="1" t="s">
        <v>71</v>
      </c>
      <c r="V2311" s="1" t="s">
        <v>223</v>
      </c>
      <c r="Y2311" s="1" t="s">
        <v>461</v>
      </c>
      <c r="Z2311" s="1" t="str">
        <f t="shared" si="108"/>
        <v>55011 1</v>
      </c>
      <c r="AA2311" s="3">
        <f>IF(INDEX('CAMD Facility Data 2023'!$AA$2:$AE$10000,MATCH(Z2311,'CAMD Facility Data 2023'!$AE$2:$AE$10000,0),1)&gt;0,INDEX('CAMD Facility Data 2023'!$AA$2:$AE$10000,MATCH(Z2311,'CAMD Facility Data 2023'!$AE$2:$AE$10000,0),1),"")</f>
        <v>35507</v>
      </c>
      <c r="AB2311" s="5">
        <f>IF(INDEX('CAMD Facility Data 2023'!$AC$2:$AE$10000,MATCH(Z2311,'CAMD Facility Data 2023'!$AE$2:$AE$10000,0),1)&gt;0,INDEX('CAMD Facility Data 2023'!$AC$2:$AE$10000,MATCH(Z2311,'CAMD Facility Data 2023'!$AE$2:$AE$10000,0),1),"")</f>
        <v>2236</v>
      </c>
      <c r="AC2311" s="1" t="str">
        <f>IF(INDEX('CAMD Facility Data 2023'!$AE$2:$AG$10000,MATCH(Z2311,'CAMD Facility Data 2023'!$AE$2:$AE$10000,0),3)&gt;0,INDEX('CAMD Facility Data 2023'!$AE$2:$AG$10000,MATCH(Z2311,'CAMD Facility Data 2023'!$AE$2:$AE$10000,0),3),"")</f>
        <v>Y</v>
      </c>
      <c r="AD2311" s="20">
        <f t="shared" si="109"/>
        <v>0.13038751520342243</v>
      </c>
      <c r="AE2311" s="25">
        <f t="shared" si="110"/>
        <v>0.26866524585242724</v>
      </c>
    </row>
    <row r="2312" spans="1:31" x14ac:dyDescent="0.2">
      <c r="A2312" s="1" t="s">
        <v>383</v>
      </c>
      <c r="B2312" s="1" t="s">
        <v>5433</v>
      </c>
      <c r="C2312" s="1">
        <v>55015</v>
      </c>
      <c r="D2312" s="1">
        <v>1</v>
      </c>
      <c r="E2312" s="1" t="s">
        <v>1156</v>
      </c>
      <c r="F2312" s="1">
        <v>2023</v>
      </c>
      <c r="G2312" s="5">
        <v>8424</v>
      </c>
      <c r="H2312" s="5">
        <v>8409.6299999999992</v>
      </c>
      <c r="I2312" s="5">
        <v>850102.04</v>
      </c>
      <c r="K2312" s="5">
        <v>3.5680000000000001</v>
      </c>
      <c r="L2312" s="5">
        <v>8.9999999999999998E-4</v>
      </c>
      <c r="M2312" s="5">
        <v>759992.62699999998</v>
      </c>
      <c r="N2312" s="6">
        <v>5.8999999999999997E-2</v>
      </c>
      <c r="O2312" s="5">
        <v>73.728999999999999</v>
      </c>
      <c r="P2312" s="6">
        <v>1.1599999999999999E-2</v>
      </c>
      <c r="Q2312" s="5">
        <v>12788329.030999999</v>
      </c>
      <c r="R2312" s="1" t="s">
        <v>44</v>
      </c>
      <c r="S2312" s="1" t="s">
        <v>5436</v>
      </c>
      <c r="T2312" s="1" t="s">
        <v>93</v>
      </c>
      <c r="V2312" s="1" t="s">
        <v>140</v>
      </c>
      <c r="Y2312" s="1" t="s">
        <v>346</v>
      </c>
      <c r="Z2312" s="1" t="str">
        <f t="shared" si="108"/>
        <v>55015 1</v>
      </c>
      <c r="AA2312" s="3">
        <f>IF(INDEX('CAMD Facility Data 2023'!$AA$2:$AE$10000,MATCH(Z2312,'CAMD Facility Data 2023'!$AE$2:$AE$10000,0),1)&gt;0,INDEX('CAMD Facility Data 2023'!$AA$2:$AE$10000,MATCH(Z2312,'CAMD Facility Data 2023'!$AE$2:$AE$10000,0),1),"")</f>
        <v>35643</v>
      </c>
      <c r="AB2312" s="5">
        <f>IF(INDEX('CAMD Facility Data 2023'!$AC$2:$AE$10000,MATCH(Z2312,'CAMD Facility Data 2023'!$AE$2:$AE$10000,0),1)&gt;0,INDEX('CAMD Facility Data 2023'!$AC$2:$AE$10000,MATCH(Z2312,'CAMD Facility Data 2023'!$AE$2:$AE$10000,0),1),"")</f>
        <v>2342</v>
      </c>
      <c r="AC2312" s="1" t="str">
        <f>IF(INDEX('CAMD Facility Data 2023'!$AE$2:$AG$10000,MATCH(Z2312,'CAMD Facility Data 2023'!$AE$2:$AE$10000,0),3)&gt;0,INDEX('CAMD Facility Data 2023'!$AE$2:$AG$10000,MATCH(Z2312,'CAMD Facility Data 2023'!$AE$2:$AE$10000,0),3),"")</f>
        <v/>
      </c>
      <c r="AD2312" s="20">
        <f t="shared" si="109"/>
        <v>0.17345917673600689</v>
      </c>
      <c r="AE2312" s="25">
        <f t="shared" si="110"/>
        <v>0.62333685406260109</v>
      </c>
    </row>
    <row r="2313" spans="1:31" x14ac:dyDescent="0.2">
      <c r="A2313" s="1" t="s">
        <v>383</v>
      </c>
      <c r="B2313" s="1" t="s">
        <v>5433</v>
      </c>
      <c r="C2313" s="1">
        <v>55015</v>
      </c>
      <c r="D2313" s="1">
        <v>2</v>
      </c>
      <c r="E2313" s="1" t="s">
        <v>1156</v>
      </c>
      <c r="F2313" s="1">
        <v>2023</v>
      </c>
      <c r="G2313" s="5">
        <v>7755</v>
      </c>
      <c r="H2313" s="5">
        <v>7740.31</v>
      </c>
      <c r="I2313" s="5">
        <v>775046.16</v>
      </c>
      <c r="K2313" s="5">
        <v>3.5790000000000002</v>
      </c>
      <c r="L2313" s="5">
        <v>8.9999999999999998E-4</v>
      </c>
      <c r="M2313" s="5">
        <v>759506.30900000001</v>
      </c>
      <c r="N2313" s="6">
        <v>5.8999999999999997E-2</v>
      </c>
      <c r="O2313" s="5">
        <v>69.38</v>
      </c>
      <c r="P2313" s="6">
        <v>1.12E-2</v>
      </c>
      <c r="Q2313" s="5">
        <v>12780141.710999999</v>
      </c>
      <c r="R2313" s="1" t="s">
        <v>44</v>
      </c>
      <c r="S2313" s="1" t="s">
        <v>5436</v>
      </c>
      <c r="T2313" s="1" t="s">
        <v>93</v>
      </c>
      <c r="V2313" s="1" t="s">
        <v>140</v>
      </c>
      <c r="Y2313" s="1" t="s">
        <v>346</v>
      </c>
      <c r="Z2313" s="1" t="str">
        <f t="shared" si="108"/>
        <v>55015 2</v>
      </c>
      <c r="AA2313" s="3">
        <f>IF(INDEX('CAMD Facility Data 2023'!$AA$2:$AE$10000,MATCH(Z2313,'CAMD Facility Data 2023'!$AE$2:$AE$10000,0),1)&gt;0,INDEX('CAMD Facility Data 2023'!$AA$2:$AE$10000,MATCH(Z2313,'CAMD Facility Data 2023'!$AE$2:$AE$10000,0),1),"")</f>
        <v>35643</v>
      </c>
      <c r="AB2313" s="5">
        <f>IF(INDEX('CAMD Facility Data 2023'!$AC$2:$AE$10000,MATCH(Z2313,'CAMD Facility Data 2023'!$AE$2:$AE$10000,0),1)&gt;0,INDEX('CAMD Facility Data 2023'!$AC$2:$AE$10000,MATCH(Z2313,'CAMD Facility Data 2023'!$AE$2:$AE$10000,0),1),"")</f>
        <v>2342</v>
      </c>
      <c r="AC2313" s="1" t="str">
        <f>IF(INDEX('CAMD Facility Data 2023'!$AE$2:$AG$10000,MATCH(Z2313,'CAMD Facility Data 2023'!$AE$2:$AE$10000,0),3)&gt;0,INDEX('CAMD Facility Data 2023'!$AE$2:$AG$10000,MATCH(Z2313,'CAMD Facility Data 2023'!$AE$2:$AE$10000,0),3),"")</f>
        <v/>
      </c>
      <c r="AD2313" s="20">
        <f t="shared" si="109"/>
        <v>0.17903449776462346</v>
      </c>
      <c r="AE2313" s="25">
        <f t="shared" si="110"/>
        <v>0.62293778251231235</v>
      </c>
    </row>
    <row r="2314" spans="1:31" x14ac:dyDescent="0.2">
      <c r="A2314" s="1" t="s">
        <v>383</v>
      </c>
      <c r="B2314" s="1" t="s">
        <v>5433</v>
      </c>
      <c r="C2314" s="1">
        <v>55015</v>
      </c>
      <c r="D2314" s="1">
        <v>3</v>
      </c>
      <c r="E2314" s="1" t="s">
        <v>1156</v>
      </c>
      <c r="F2314" s="1">
        <v>2023</v>
      </c>
      <c r="G2314" s="5">
        <v>8309</v>
      </c>
      <c r="H2314" s="5">
        <v>8276.8799999999992</v>
      </c>
      <c r="I2314" s="5">
        <v>823574.29</v>
      </c>
      <c r="K2314" s="5">
        <v>3.4889999999999999</v>
      </c>
      <c r="L2314" s="5">
        <v>8.9999999999999998E-4</v>
      </c>
      <c r="M2314" s="5">
        <v>739271.69</v>
      </c>
      <c r="N2314" s="6">
        <v>5.8999999999999997E-2</v>
      </c>
      <c r="O2314" s="5">
        <v>65.917000000000002</v>
      </c>
      <c r="P2314" s="6">
        <v>1.0699999999999999E-2</v>
      </c>
      <c r="Q2314" s="5">
        <v>12439647.665999999</v>
      </c>
      <c r="R2314" s="1" t="s">
        <v>44</v>
      </c>
      <c r="S2314" s="1" t="s">
        <v>5436</v>
      </c>
      <c r="T2314" s="1" t="s">
        <v>93</v>
      </c>
      <c r="V2314" s="1" t="s">
        <v>140</v>
      </c>
      <c r="Y2314" s="1" t="s">
        <v>346</v>
      </c>
      <c r="Z2314" s="1" t="str">
        <f t="shared" si="108"/>
        <v>55015 3</v>
      </c>
      <c r="AA2314" s="3">
        <f>IF(INDEX('CAMD Facility Data 2023'!$AA$2:$AE$10000,MATCH(Z2314,'CAMD Facility Data 2023'!$AE$2:$AE$10000,0),1)&gt;0,INDEX('CAMD Facility Data 2023'!$AA$2:$AE$10000,MATCH(Z2314,'CAMD Facility Data 2023'!$AE$2:$AE$10000,0),1),"")</f>
        <v>35643</v>
      </c>
      <c r="AB2314" s="5">
        <f>IF(INDEX('CAMD Facility Data 2023'!$AC$2:$AE$10000,MATCH(Z2314,'CAMD Facility Data 2023'!$AE$2:$AE$10000,0),1)&gt;0,INDEX('CAMD Facility Data 2023'!$AC$2:$AE$10000,MATCH(Z2314,'CAMD Facility Data 2023'!$AE$2:$AE$10000,0),1),"")</f>
        <v>2342</v>
      </c>
      <c r="AC2314" s="1" t="str">
        <f>IF(INDEX('CAMD Facility Data 2023'!$AE$2:$AG$10000,MATCH(Z2314,'CAMD Facility Data 2023'!$AE$2:$AE$10000,0),3)&gt;0,INDEX('CAMD Facility Data 2023'!$AE$2:$AG$10000,MATCH(Z2314,'CAMD Facility Data 2023'!$AE$2:$AE$10000,0),3),"")</f>
        <v/>
      </c>
      <c r="AD2314" s="20">
        <f t="shared" si="109"/>
        <v>0.16007541954715462</v>
      </c>
      <c r="AE2314" s="25">
        <f t="shared" si="110"/>
        <v>0.60634120556133964</v>
      </c>
    </row>
    <row r="2315" spans="1:31" x14ac:dyDescent="0.2">
      <c r="A2315" s="1" t="s">
        <v>383</v>
      </c>
      <c r="B2315" s="1" t="s">
        <v>5433</v>
      </c>
      <c r="C2315" s="1">
        <v>55015</v>
      </c>
      <c r="D2315" s="1">
        <v>4</v>
      </c>
      <c r="E2315" s="1" t="s">
        <v>1156</v>
      </c>
      <c r="F2315" s="1">
        <v>2023</v>
      </c>
      <c r="G2315" s="5">
        <v>8370</v>
      </c>
      <c r="H2315" s="5">
        <v>8352.51</v>
      </c>
      <c r="I2315" s="5">
        <v>875457.42</v>
      </c>
      <c r="K2315" s="5">
        <v>3.4220000000000002</v>
      </c>
      <c r="L2315" s="5">
        <v>8.9999999999999998E-4</v>
      </c>
      <c r="M2315" s="5">
        <v>728405.18400000001</v>
      </c>
      <c r="N2315" s="6">
        <v>5.8999999999999997E-2</v>
      </c>
      <c r="O2315" s="5">
        <v>90.313000000000002</v>
      </c>
      <c r="P2315" s="6">
        <v>1.52E-2</v>
      </c>
      <c r="Q2315" s="5">
        <v>12256810.584000001</v>
      </c>
      <c r="R2315" s="1" t="s">
        <v>44</v>
      </c>
      <c r="S2315" s="1" t="s">
        <v>5436</v>
      </c>
      <c r="T2315" s="1" t="s">
        <v>93</v>
      </c>
      <c r="V2315" s="1" t="s">
        <v>140</v>
      </c>
      <c r="Y2315" s="1" t="s">
        <v>346</v>
      </c>
      <c r="Z2315" s="1" t="str">
        <f t="shared" si="108"/>
        <v>55015 4</v>
      </c>
      <c r="AA2315" s="3">
        <f>IF(INDEX('CAMD Facility Data 2023'!$AA$2:$AE$10000,MATCH(Z2315,'CAMD Facility Data 2023'!$AE$2:$AE$10000,0),1)&gt;0,INDEX('CAMD Facility Data 2023'!$AA$2:$AE$10000,MATCH(Z2315,'CAMD Facility Data 2023'!$AE$2:$AE$10000,0),1),"")</f>
        <v>36861</v>
      </c>
      <c r="AB2315" s="5">
        <f>IF(INDEX('CAMD Facility Data 2023'!$AC$2:$AE$10000,MATCH(Z2315,'CAMD Facility Data 2023'!$AE$2:$AE$10000,0),1)&gt;0,INDEX('CAMD Facility Data 2023'!$AC$2:$AE$10000,MATCH(Z2315,'CAMD Facility Data 2023'!$AE$2:$AE$10000,0),1),"")</f>
        <v>2342</v>
      </c>
      <c r="AC2315" s="1" t="str">
        <f>IF(INDEX('CAMD Facility Data 2023'!$AE$2:$AG$10000,MATCH(Z2315,'CAMD Facility Data 2023'!$AE$2:$AE$10000,0),3)&gt;0,INDEX('CAMD Facility Data 2023'!$AE$2:$AG$10000,MATCH(Z2315,'CAMD Facility Data 2023'!$AE$2:$AE$10000,0),3),"")</f>
        <v/>
      </c>
      <c r="AD2315" s="20">
        <f t="shared" si="109"/>
        <v>0.20632185629313643</v>
      </c>
      <c r="AE2315" s="25">
        <f t="shared" si="110"/>
        <v>0.59742924441116951</v>
      </c>
    </row>
    <row r="2316" spans="1:31" x14ac:dyDescent="0.2">
      <c r="A2316" s="1" t="s">
        <v>1568</v>
      </c>
      <c r="B2316" s="1" t="s">
        <v>5441</v>
      </c>
      <c r="C2316" s="1">
        <v>55026</v>
      </c>
      <c r="D2316" s="1">
        <v>1</v>
      </c>
      <c r="F2316" s="1">
        <v>2023</v>
      </c>
      <c r="G2316" s="5">
        <v>2421</v>
      </c>
      <c r="H2316" s="5">
        <v>2376.96</v>
      </c>
      <c r="I2316" s="5">
        <v>355696.13</v>
      </c>
      <c r="K2316" s="5">
        <v>0.84199999999999997</v>
      </c>
      <c r="L2316" s="5">
        <v>1E-3</v>
      </c>
      <c r="M2316" s="5">
        <v>166772.31700000001</v>
      </c>
      <c r="N2316" s="6">
        <v>5.8999999999999997E-2</v>
      </c>
      <c r="O2316" s="5">
        <v>17.231999999999999</v>
      </c>
      <c r="P2316" s="6">
        <v>1.84E-2</v>
      </c>
      <c r="Q2316" s="5">
        <v>2806273.8539999998</v>
      </c>
      <c r="R2316" s="1" t="s">
        <v>44</v>
      </c>
      <c r="T2316" s="1" t="s">
        <v>71</v>
      </c>
      <c r="V2316" s="1" t="s">
        <v>223</v>
      </c>
      <c r="Y2316" s="1" t="s">
        <v>579</v>
      </c>
      <c r="Z2316" s="1" t="str">
        <f t="shared" si="108"/>
        <v>55026 1</v>
      </c>
      <c r="AA2316" s="3">
        <f>IF(INDEX('CAMD Facility Data 2023'!$AA$2:$AE$10000,MATCH(Z2316,'CAMD Facility Data 2023'!$AE$2:$AE$10000,0),1)&gt;0,INDEX('CAMD Facility Data 2023'!$AA$2:$AE$10000,MATCH(Z2316,'CAMD Facility Data 2023'!$AE$2:$AE$10000,0),1),"")</f>
        <v>36283</v>
      </c>
      <c r="AB2316" s="5">
        <f>IF(INDEX('CAMD Facility Data 2023'!$AC$2:$AE$10000,MATCH(Z2316,'CAMD Facility Data 2023'!$AE$2:$AE$10000,0),1)&gt;0,INDEX('CAMD Facility Data 2023'!$AC$2:$AE$10000,MATCH(Z2316,'CAMD Facility Data 2023'!$AE$2:$AE$10000,0),1),"")</f>
        <v>1636</v>
      </c>
      <c r="AC2316" s="1" t="str">
        <f>IF(INDEX('CAMD Facility Data 2023'!$AE$2:$AG$10000,MATCH(Z2316,'CAMD Facility Data 2023'!$AE$2:$AE$10000,0),3)&gt;0,INDEX('CAMD Facility Data 2023'!$AE$2:$AG$10000,MATCH(Z2316,'CAMD Facility Data 2023'!$AE$2:$AE$10000,0),3),"")</f>
        <v>Y</v>
      </c>
      <c r="AD2316" s="20">
        <f t="shared" si="109"/>
        <v>9.6891692355494566E-2</v>
      </c>
      <c r="AE2316" s="25">
        <f t="shared" si="110"/>
        <v>0.19581350646414575</v>
      </c>
    </row>
    <row r="2317" spans="1:31" x14ac:dyDescent="0.2">
      <c r="A2317" s="1" t="s">
        <v>3167</v>
      </c>
      <c r="B2317" s="1" t="s">
        <v>5444</v>
      </c>
      <c r="C2317" s="1">
        <v>55029</v>
      </c>
      <c r="D2317" s="1" t="s">
        <v>5445</v>
      </c>
      <c r="F2317" s="1">
        <v>2023</v>
      </c>
      <c r="G2317" s="5">
        <v>1161</v>
      </c>
      <c r="H2317" s="5">
        <v>1043.2</v>
      </c>
      <c r="I2317" s="5">
        <v>148107.72</v>
      </c>
      <c r="K2317" s="5">
        <v>0.52</v>
      </c>
      <c r="L2317" s="5">
        <v>1E-3</v>
      </c>
      <c r="M2317" s="5">
        <v>97162.471000000005</v>
      </c>
      <c r="N2317" s="6">
        <v>5.91E-2</v>
      </c>
      <c r="O2317" s="5">
        <v>69.766999999999996</v>
      </c>
      <c r="P2317" s="6">
        <v>8.8200000000000001E-2</v>
      </c>
      <c r="Q2317" s="5">
        <v>1633580.9639999999</v>
      </c>
      <c r="R2317" s="1" t="s">
        <v>44</v>
      </c>
      <c r="S2317" s="1" t="s">
        <v>94</v>
      </c>
      <c r="T2317" s="1" t="s">
        <v>93</v>
      </c>
      <c r="V2317" s="1" t="s">
        <v>95</v>
      </c>
      <c r="Y2317" s="1" t="s">
        <v>461</v>
      </c>
      <c r="Z2317" s="1" t="str">
        <f t="shared" si="108"/>
        <v>55029 B01</v>
      </c>
      <c r="AA2317" s="3">
        <f>IF(INDEX('CAMD Facility Data 2023'!$AA$2:$AE$10000,MATCH(Z2317,'CAMD Facility Data 2023'!$AE$2:$AE$10000,0),1)&gt;0,INDEX('CAMD Facility Data 2023'!$AA$2:$AE$10000,MATCH(Z2317,'CAMD Facility Data 2023'!$AE$2:$AE$10000,0),1),"")</f>
        <v>36312</v>
      </c>
      <c r="AB2317" s="5">
        <f>IF(INDEX('CAMD Facility Data 2023'!$AC$2:$AE$10000,MATCH(Z2317,'CAMD Facility Data 2023'!$AE$2:$AE$10000,0),1)&gt;0,INDEX('CAMD Facility Data 2023'!$AC$2:$AE$10000,MATCH(Z2317,'CAMD Facility Data 2023'!$AE$2:$AE$10000,0),1),"")</f>
        <v>2193</v>
      </c>
      <c r="AC2317" s="1" t="str">
        <f>IF(INDEX('CAMD Facility Data 2023'!$AE$2:$AG$10000,MATCH(Z2317,'CAMD Facility Data 2023'!$AE$2:$AE$10000,0),3)&gt;0,INDEX('CAMD Facility Data 2023'!$AE$2:$AG$10000,MATCH(Z2317,'CAMD Facility Data 2023'!$AE$2:$AE$10000,0),3),"")</f>
        <v/>
      </c>
      <c r="AD2317" s="20">
        <f t="shared" si="109"/>
        <v>0.94211159283256807</v>
      </c>
      <c r="AE2317" s="25">
        <f t="shared" si="110"/>
        <v>8.5035041133369557E-2</v>
      </c>
    </row>
    <row r="2318" spans="1:31" x14ac:dyDescent="0.2">
      <c r="A2318" s="1" t="s">
        <v>1505</v>
      </c>
      <c r="B2318" s="1" t="s">
        <v>5447</v>
      </c>
      <c r="C2318" s="1">
        <v>55031</v>
      </c>
      <c r="D2318" s="1" t="s">
        <v>993</v>
      </c>
      <c r="F2318" s="1">
        <v>2023</v>
      </c>
      <c r="G2318" s="5">
        <v>260</v>
      </c>
      <c r="H2318" s="5">
        <v>255.41</v>
      </c>
      <c r="I2318" s="5">
        <v>10677.63</v>
      </c>
      <c r="K2318" s="5">
        <v>1.0049999999999999</v>
      </c>
      <c r="L2318" s="5">
        <v>1.3599999999999999E-2</v>
      </c>
      <c r="M2318" s="5">
        <v>8935.5120000000006</v>
      </c>
      <c r="N2318" s="6">
        <v>6.4699999999999994E-2</v>
      </c>
      <c r="O2318" s="5">
        <v>3.238</v>
      </c>
      <c r="P2318" s="6">
        <v>4.8599999999999997E-2</v>
      </c>
      <c r="Q2318" s="5">
        <v>136299.01800000001</v>
      </c>
      <c r="R2318" s="1" t="s">
        <v>44</v>
      </c>
      <c r="S2318" s="1" t="s">
        <v>94</v>
      </c>
      <c r="T2318" s="1" t="s">
        <v>93</v>
      </c>
      <c r="V2318" s="1" t="s">
        <v>223</v>
      </c>
      <c r="Y2318" s="1" t="s">
        <v>247</v>
      </c>
      <c r="Z2318" s="1" t="str">
        <f t="shared" si="108"/>
        <v>55031 CT01</v>
      </c>
      <c r="AA2318" s="3">
        <f>IF(INDEX('CAMD Facility Data 2023'!$AA$2:$AE$10000,MATCH(Z2318,'CAMD Facility Data 2023'!$AE$2:$AE$10000,0),1)&gt;0,INDEX('CAMD Facility Data 2023'!$AA$2:$AE$10000,MATCH(Z2318,'CAMD Facility Data 2023'!$AE$2:$AE$10000,0),1),"")</f>
        <v>36457</v>
      </c>
      <c r="AB2318" s="5">
        <f>IF(INDEX('CAMD Facility Data 2023'!$AC$2:$AE$10000,MATCH(Z2318,'CAMD Facility Data 2023'!$AE$2:$AE$10000,0),1)&gt;0,INDEX('CAMD Facility Data 2023'!$AC$2:$AE$10000,MATCH(Z2318,'CAMD Facility Data 2023'!$AE$2:$AE$10000,0),1),"")</f>
        <v>979</v>
      </c>
      <c r="AC2318" s="1" t="str">
        <f>IF(INDEX('CAMD Facility Data 2023'!$AE$2:$AG$10000,MATCH(Z2318,'CAMD Facility Data 2023'!$AE$2:$AE$10000,0),3)&gt;0,INDEX('CAMD Facility Data 2023'!$AE$2:$AG$10000,MATCH(Z2318,'CAMD Facility Data 2023'!$AE$2:$AE$10000,0),3),"")</f>
        <v>Y</v>
      </c>
      <c r="AD2318" s="20">
        <f t="shared" si="109"/>
        <v>0.6065016300433711</v>
      </c>
      <c r="AE2318" s="25">
        <f t="shared" si="110"/>
        <v>1.5893001665104177E-2</v>
      </c>
    </row>
    <row r="2319" spans="1:31" x14ac:dyDescent="0.2">
      <c r="A2319" s="1" t="s">
        <v>1505</v>
      </c>
      <c r="B2319" s="1" t="s">
        <v>5447</v>
      </c>
      <c r="C2319" s="1">
        <v>55031</v>
      </c>
      <c r="D2319" s="1" t="s">
        <v>998</v>
      </c>
      <c r="F2319" s="1">
        <v>2023</v>
      </c>
      <c r="G2319" s="5">
        <v>1033</v>
      </c>
      <c r="H2319" s="5">
        <v>1027.3599999999999</v>
      </c>
      <c r="I2319" s="5">
        <v>40913.93</v>
      </c>
      <c r="K2319" s="5">
        <v>0.216</v>
      </c>
      <c r="L2319" s="5">
        <v>1.2999999999999999E-3</v>
      </c>
      <c r="M2319" s="5">
        <v>29981.891</v>
      </c>
      <c r="N2319" s="6">
        <v>5.9299999999999999E-2</v>
      </c>
      <c r="O2319" s="5">
        <v>3.7210000000000001</v>
      </c>
      <c r="P2319" s="6">
        <v>1.6799999999999999E-2</v>
      </c>
      <c r="Q2319" s="5">
        <v>503529.76199999999</v>
      </c>
      <c r="R2319" s="1" t="s">
        <v>44</v>
      </c>
      <c r="S2319" s="1" t="s">
        <v>94</v>
      </c>
      <c r="T2319" s="1" t="s">
        <v>93</v>
      </c>
      <c r="V2319" s="1" t="s">
        <v>223</v>
      </c>
      <c r="Y2319" s="1" t="s">
        <v>247</v>
      </c>
      <c r="Z2319" s="1" t="str">
        <f t="shared" si="108"/>
        <v>55031 CT02</v>
      </c>
      <c r="AA2319" s="3">
        <f>IF(INDEX('CAMD Facility Data 2023'!$AA$2:$AE$10000,MATCH(Z2319,'CAMD Facility Data 2023'!$AE$2:$AE$10000,0),1)&gt;0,INDEX('CAMD Facility Data 2023'!$AA$2:$AE$10000,MATCH(Z2319,'CAMD Facility Data 2023'!$AE$2:$AE$10000,0),1),"")</f>
        <v>36483</v>
      </c>
      <c r="AB2319" s="5">
        <f>IF(INDEX('CAMD Facility Data 2023'!$AC$2:$AE$10000,MATCH(Z2319,'CAMD Facility Data 2023'!$AE$2:$AE$10000,0),1)&gt;0,INDEX('CAMD Facility Data 2023'!$AC$2:$AE$10000,MATCH(Z2319,'CAMD Facility Data 2023'!$AE$2:$AE$10000,0),1),"")</f>
        <v>979</v>
      </c>
      <c r="AC2319" s="1" t="str">
        <f>IF(INDEX('CAMD Facility Data 2023'!$AE$2:$AG$10000,MATCH(Z2319,'CAMD Facility Data 2023'!$AE$2:$AE$10000,0),3)&gt;0,INDEX('CAMD Facility Data 2023'!$AE$2:$AG$10000,MATCH(Z2319,'CAMD Facility Data 2023'!$AE$2:$AE$10000,0),3),"")</f>
        <v>Y</v>
      </c>
      <c r="AD2319" s="20">
        <f t="shared" si="109"/>
        <v>0.1818940395117262</v>
      </c>
      <c r="AE2319" s="25">
        <f t="shared" si="110"/>
        <v>5.8713551009556858E-2</v>
      </c>
    </row>
    <row r="2320" spans="1:31" x14ac:dyDescent="0.2">
      <c r="A2320" s="1" t="s">
        <v>1505</v>
      </c>
      <c r="B2320" s="1" t="s">
        <v>5447</v>
      </c>
      <c r="C2320" s="1">
        <v>55031</v>
      </c>
      <c r="D2320" s="1" t="s">
        <v>1043</v>
      </c>
      <c r="F2320" s="1">
        <v>2023</v>
      </c>
      <c r="G2320" s="5">
        <v>761</v>
      </c>
      <c r="H2320" s="5">
        <v>756.87</v>
      </c>
      <c r="I2320" s="5">
        <v>31994.77</v>
      </c>
      <c r="K2320" s="5">
        <v>0.11899999999999999</v>
      </c>
      <c r="L2320" s="5">
        <v>1E-3</v>
      </c>
      <c r="M2320" s="5">
        <v>23478.108</v>
      </c>
      <c r="N2320" s="6">
        <v>5.91E-2</v>
      </c>
      <c r="O2320" s="5">
        <v>3.3250000000000002</v>
      </c>
      <c r="P2320" s="6">
        <v>1.83E-2</v>
      </c>
      <c r="Q2320" s="5">
        <v>395051.245</v>
      </c>
      <c r="R2320" s="1" t="s">
        <v>44</v>
      </c>
      <c r="S2320" s="1" t="s">
        <v>94</v>
      </c>
      <c r="T2320" s="1" t="s">
        <v>93</v>
      </c>
      <c r="V2320" s="1" t="s">
        <v>223</v>
      </c>
      <c r="Y2320" s="1" t="s">
        <v>247</v>
      </c>
      <c r="Z2320" s="1" t="str">
        <f t="shared" si="108"/>
        <v>55031 CT03</v>
      </c>
      <c r="AA2320" s="3">
        <f>IF(INDEX('CAMD Facility Data 2023'!$AA$2:$AE$10000,MATCH(Z2320,'CAMD Facility Data 2023'!$AE$2:$AE$10000,0),1)&gt;0,INDEX('CAMD Facility Data 2023'!$AA$2:$AE$10000,MATCH(Z2320,'CAMD Facility Data 2023'!$AE$2:$AE$10000,0),1),"")</f>
        <v>36717</v>
      </c>
      <c r="AB2320" s="5">
        <f>IF(INDEX('CAMD Facility Data 2023'!$AC$2:$AE$10000,MATCH(Z2320,'CAMD Facility Data 2023'!$AE$2:$AE$10000,0),1)&gt;0,INDEX('CAMD Facility Data 2023'!$AC$2:$AE$10000,MATCH(Z2320,'CAMD Facility Data 2023'!$AE$2:$AE$10000,0),1),"")</f>
        <v>979</v>
      </c>
      <c r="AC2320" s="1" t="str">
        <f>IF(INDEX('CAMD Facility Data 2023'!$AE$2:$AG$10000,MATCH(Z2320,'CAMD Facility Data 2023'!$AE$2:$AE$10000,0),3)&gt;0,INDEX('CAMD Facility Data 2023'!$AE$2:$AG$10000,MATCH(Z2320,'CAMD Facility Data 2023'!$AE$2:$AE$10000,0),3),"")</f>
        <v>Y</v>
      </c>
      <c r="AD2320" s="20">
        <f t="shared" si="109"/>
        <v>0.2078464699074255</v>
      </c>
      <c r="AE2320" s="25">
        <f t="shared" si="110"/>
        <v>4.6064529199957092E-2</v>
      </c>
    </row>
    <row r="2321" spans="1:31" x14ac:dyDescent="0.2">
      <c r="A2321" s="1" t="s">
        <v>2054</v>
      </c>
      <c r="B2321" s="1" t="s">
        <v>5454</v>
      </c>
      <c r="C2321" s="1">
        <v>55039</v>
      </c>
      <c r="D2321" s="1" t="s">
        <v>1155</v>
      </c>
      <c r="F2321" s="1">
        <v>2023</v>
      </c>
      <c r="G2321" s="5">
        <v>5113</v>
      </c>
      <c r="H2321" s="5">
        <v>4777.28</v>
      </c>
      <c r="I2321" s="5">
        <v>561576.18999999994</v>
      </c>
      <c r="K2321" s="5">
        <v>1.9379999999999999</v>
      </c>
      <c r="L2321" s="5">
        <v>1E-3</v>
      </c>
      <c r="M2321" s="5">
        <v>380916.68699999998</v>
      </c>
      <c r="N2321" s="6">
        <v>5.8999999999999997E-2</v>
      </c>
      <c r="O2321" s="5">
        <v>118.358</v>
      </c>
      <c r="P2321" s="6">
        <v>4.6600000000000003E-2</v>
      </c>
      <c r="Q2321" s="5">
        <v>6408585.6689999998</v>
      </c>
      <c r="R2321" s="1" t="s">
        <v>44</v>
      </c>
      <c r="S2321" s="1" t="s">
        <v>94</v>
      </c>
      <c r="T2321" s="1" t="s">
        <v>93</v>
      </c>
      <c r="V2321" s="1" t="s">
        <v>183</v>
      </c>
      <c r="Y2321" s="1" t="s">
        <v>247</v>
      </c>
      <c r="Z2321" s="1" t="str">
        <f t="shared" si="108"/>
        <v>55039 GT-1</v>
      </c>
      <c r="AA2321" s="3">
        <f>IF(INDEX('CAMD Facility Data 2023'!$AA$2:$AE$10000,MATCH(Z2321,'CAMD Facility Data 2023'!$AE$2:$AE$10000,0),1)&gt;0,INDEX('CAMD Facility Data 2023'!$AA$2:$AE$10000,MATCH(Z2321,'CAMD Facility Data 2023'!$AE$2:$AE$10000,0),1),"")</f>
        <v>36661</v>
      </c>
      <c r="AB2321" s="5">
        <f>IF(INDEX('CAMD Facility Data 2023'!$AC$2:$AE$10000,MATCH(Z2321,'CAMD Facility Data 2023'!$AE$2:$AE$10000,0),1)&gt;0,INDEX('CAMD Facility Data 2023'!$AC$2:$AE$10000,MATCH(Z2321,'CAMD Facility Data 2023'!$AE$2:$AE$10000,0),1),"")</f>
        <v>2600</v>
      </c>
      <c r="AC2321" s="1" t="str">
        <f>IF(INDEX('CAMD Facility Data 2023'!$AE$2:$AG$10000,MATCH(Z2321,'CAMD Facility Data 2023'!$AE$2:$AE$10000,0),3)&gt;0,INDEX('CAMD Facility Data 2023'!$AE$2:$AG$10000,MATCH(Z2321,'CAMD Facility Data 2023'!$AE$2:$AE$10000,0),3),"")</f>
        <v/>
      </c>
      <c r="AD2321" s="20">
        <f t="shared" si="109"/>
        <v>0.42152072010033048</v>
      </c>
      <c r="AE2321" s="25">
        <f t="shared" si="110"/>
        <v>0.28137450250263435</v>
      </c>
    </row>
    <row r="2322" spans="1:31" x14ac:dyDescent="0.2">
      <c r="A2322" s="1" t="s">
        <v>921</v>
      </c>
      <c r="B2322" s="1" t="s">
        <v>5455</v>
      </c>
      <c r="C2322" s="1">
        <v>55040</v>
      </c>
      <c r="D2322" s="1">
        <v>1</v>
      </c>
      <c r="F2322" s="1">
        <v>2023</v>
      </c>
      <c r="G2322" s="5">
        <v>619</v>
      </c>
      <c r="H2322" s="5">
        <v>578.85</v>
      </c>
      <c r="I2322" s="5">
        <v>77834.899999999994</v>
      </c>
      <c r="K2322" s="5">
        <v>0.22500000000000001</v>
      </c>
      <c r="L2322" s="5">
        <v>1.1999999999999999E-3</v>
      </c>
      <c r="M2322" s="5">
        <v>36785.167000000001</v>
      </c>
      <c r="N2322" s="6">
        <v>5.91E-2</v>
      </c>
      <c r="O2322" s="5">
        <v>9.4320000000000004</v>
      </c>
      <c r="P2322" s="6">
        <v>3.5999999999999997E-2</v>
      </c>
      <c r="Q2322" s="5">
        <v>618417.321</v>
      </c>
      <c r="R2322" s="1" t="s">
        <v>44</v>
      </c>
      <c r="S2322" s="1" t="s">
        <v>94</v>
      </c>
      <c r="T2322" s="1" t="s">
        <v>71</v>
      </c>
      <c r="V2322" s="1" t="s">
        <v>643</v>
      </c>
      <c r="Y2322" s="1" t="s">
        <v>952</v>
      </c>
      <c r="Z2322" s="1" t="str">
        <f t="shared" si="108"/>
        <v>55040 1</v>
      </c>
      <c r="AA2322" s="3">
        <f>IF(INDEX('CAMD Facility Data 2023'!$AA$2:$AE$10000,MATCH(Z2322,'CAMD Facility Data 2023'!$AE$2:$AE$10000,0),1)&gt;0,INDEX('CAMD Facility Data 2023'!$AA$2:$AE$10000,MATCH(Z2322,'CAMD Facility Data 2023'!$AE$2:$AE$10000,0),1),"")</f>
        <v>35733</v>
      </c>
      <c r="AB2322" s="5">
        <f>IF(INDEX('CAMD Facility Data 2023'!$AC$2:$AE$10000,MATCH(Z2322,'CAMD Facility Data 2023'!$AE$2:$AE$10000,0),1)&gt;0,INDEX('CAMD Facility Data 2023'!$AC$2:$AE$10000,MATCH(Z2322,'CAMD Facility Data 2023'!$AE$2:$AE$10000,0),1),"")</f>
        <v>1375</v>
      </c>
      <c r="AC2322" s="1" t="str">
        <f>IF(INDEX('CAMD Facility Data 2023'!$AE$2:$AG$10000,MATCH(Z2322,'CAMD Facility Data 2023'!$AE$2:$AE$10000,0),3)&gt;0,INDEX('CAMD Facility Data 2023'!$AE$2:$AG$10000,MATCH(Z2322,'CAMD Facility Data 2023'!$AE$2:$AE$10000,0),3),"")</f>
        <v>Y</v>
      </c>
      <c r="AD2322" s="20">
        <f t="shared" si="109"/>
        <v>0.24235914737476377</v>
      </c>
      <c r="AE2322" s="25">
        <f t="shared" si="110"/>
        <v>5.1342243337484432E-2</v>
      </c>
    </row>
    <row r="2323" spans="1:31" x14ac:dyDescent="0.2">
      <c r="A2323" s="1" t="s">
        <v>921</v>
      </c>
      <c r="B2323" s="1" t="s">
        <v>5455</v>
      </c>
      <c r="C2323" s="1">
        <v>55040</v>
      </c>
      <c r="D2323" s="1">
        <v>2</v>
      </c>
      <c r="F2323" s="1">
        <v>2023</v>
      </c>
      <c r="G2323" s="5">
        <v>592</v>
      </c>
      <c r="H2323" s="5">
        <v>540.6</v>
      </c>
      <c r="I2323" s="5">
        <v>74013.97</v>
      </c>
      <c r="K2323" s="5">
        <v>0.2</v>
      </c>
      <c r="L2323" s="5">
        <v>1.1000000000000001E-3</v>
      </c>
      <c r="M2323" s="5">
        <v>35119.023000000001</v>
      </c>
      <c r="N2323" s="6">
        <v>5.91E-2</v>
      </c>
      <c r="O2323" s="5">
        <v>10.536</v>
      </c>
      <c r="P2323" s="6">
        <v>4.4299999999999999E-2</v>
      </c>
      <c r="Q2323" s="5">
        <v>590612.00899999996</v>
      </c>
      <c r="R2323" s="1" t="s">
        <v>44</v>
      </c>
      <c r="S2323" s="1" t="s">
        <v>94</v>
      </c>
      <c r="T2323" s="1" t="s">
        <v>71</v>
      </c>
      <c r="V2323" s="1" t="s">
        <v>643</v>
      </c>
      <c r="Y2323" s="1" t="s">
        <v>952</v>
      </c>
      <c r="Z2323" s="1" t="str">
        <f t="shared" si="108"/>
        <v>55040 2</v>
      </c>
      <c r="AA2323" s="3">
        <f>IF(INDEX('CAMD Facility Data 2023'!$AA$2:$AE$10000,MATCH(Z2323,'CAMD Facility Data 2023'!$AE$2:$AE$10000,0),1)&gt;0,INDEX('CAMD Facility Data 2023'!$AA$2:$AE$10000,MATCH(Z2323,'CAMD Facility Data 2023'!$AE$2:$AE$10000,0),1),"")</f>
        <v>35828</v>
      </c>
      <c r="AB2323" s="5">
        <f>IF(INDEX('CAMD Facility Data 2023'!$AC$2:$AE$10000,MATCH(Z2323,'CAMD Facility Data 2023'!$AE$2:$AE$10000,0),1)&gt;0,INDEX('CAMD Facility Data 2023'!$AC$2:$AE$10000,MATCH(Z2323,'CAMD Facility Data 2023'!$AE$2:$AE$10000,0),1),"")</f>
        <v>1920</v>
      </c>
      <c r="AC2323" s="1" t="str">
        <f>IF(INDEX('CAMD Facility Data 2023'!$AE$2:$AG$10000,MATCH(Z2323,'CAMD Facility Data 2023'!$AE$2:$AE$10000,0),3)&gt;0,INDEX('CAMD Facility Data 2023'!$AE$2:$AG$10000,MATCH(Z2323,'CAMD Facility Data 2023'!$AE$2:$AE$10000,0),3),"")</f>
        <v>Y</v>
      </c>
      <c r="AD2323" s="20">
        <f t="shared" si="109"/>
        <v>0.28470300944537902</v>
      </c>
      <c r="AE2323" s="25">
        <f t="shared" si="110"/>
        <v>3.5115344903443681E-2</v>
      </c>
    </row>
    <row r="2324" spans="1:31" x14ac:dyDescent="0.2">
      <c r="A2324" s="1" t="s">
        <v>1568</v>
      </c>
      <c r="B2324" s="1" t="s">
        <v>5459</v>
      </c>
      <c r="C2324" s="1">
        <v>55041</v>
      </c>
      <c r="D2324" s="1">
        <v>1</v>
      </c>
      <c r="F2324" s="1">
        <v>2023</v>
      </c>
      <c r="G2324" s="5">
        <v>404</v>
      </c>
      <c r="H2324" s="5">
        <v>386.12</v>
      </c>
      <c r="I2324" s="5">
        <v>71925.67</v>
      </c>
      <c r="K2324" s="5">
        <v>0.158</v>
      </c>
      <c r="L2324" s="5">
        <v>1E-3</v>
      </c>
      <c r="M2324" s="5">
        <v>30541.305</v>
      </c>
      <c r="N2324" s="6">
        <v>5.8000000000000003E-2</v>
      </c>
      <c r="O2324" s="5">
        <v>5.4669999999999996</v>
      </c>
      <c r="P2324" s="6">
        <v>5.3800000000000001E-2</v>
      </c>
      <c r="Q2324" s="5">
        <v>526756.68799999997</v>
      </c>
      <c r="R2324" s="1" t="s">
        <v>44</v>
      </c>
      <c r="T2324" s="1" t="s">
        <v>71</v>
      </c>
      <c r="V2324" s="1" t="s">
        <v>223</v>
      </c>
      <c r="Y2324" s="1" t="s">
        <v>579</v>
      </c>
      <c r="Z2324" s="1" t="str">
        <f t="shared" si="108"/>
        <v>55041 1</v>
      </c>
      <c r="AA2324" s="3">
        <f>IF(INDEX('CAMD Facility Data 2023'!$AA$2:$AE$10000,MATCH(Z2324,'CAMD Facility Data 2023'!$AE$2:$AE$10000,0),1)&gt;0,INDEX('CAMD Facility Data 2023'!$AA$2:$AE$10000,MATCH(Z2324,'CAMD Facility Data 2023'!$AE$2:$AE$10000,0),1),"")</f>
        <v>36431</v>
      </c>
      <c r="AB2324" s="5">
        <f>IF(INDEX('CAMD Facility Data 2023'!$AC$2:$AE$10000,MATCH(Z2324,'CAMD Facility Data 2023'!$AE$2:$AE$10000,0),1)&gt;0,INDEX('CAMD Facility Data 2023'!$AC$2:$AE$10000,MATCH(Z2324,'CAMD Facility Data 2023'!$AE$2:$AE$10000,0),1),"")</f>
        <v>2112</v>
      </c>
      <c r="AC2324" s="1" t="str">
        <f>IF(INDEX('CAMD Facility Data 2023'!$AE$2:$AG$10000,MATCH(Z2324,'CAMD Facility Data 2023'!$AE$2:$AE$10000,0),3)&gt;0,INDEX('CAMD Facility Data 2023'!$AE$2:$AG$10000,MATCH(Z2324,'CAMD Facility Data 2023'!$AE$2:$AE$10000,0),3),"")</f>
        <v>Y</v>
      </c>
      <c r="AD2324" s="20">
        <f t="shared" si="109"/>
        <v>0.15201804863270652</v>
      </c>
      <c r="AE2324" s="25">
        <f t="shared" si="110"/>
        <v>2.8471610799778606E-2</v>
      </c>
    </row>
    <row r="2325" spans="1:31" x14ac:dyDescent="0.2">
      <c r="A2325" s="1" t="s">
        <v>577</v>
      </c>
      <c r="B2325" s="1" t="s">
        <v>5462</v>
      </c>
      <c r="C2325" s="1">
        <v>55042</v>
      </c>
      <c r="D2325" s="1" t="s">
        <v>5463</v>
      </c>
      <c r="F2325" s="1">
        <v>2023</v>
      </c>
      <c r="G2325" s="5">
        <v>5890</v>
      </c>
      <c r="H2325" s="5">
        <v>5853.3</v>
      </c>
      <c r="I2325" s="5">
        <v>1338457.6599999999</v>
      </c>
      <c r="K2325" s="5">
        <v>2.8109999999999999</v>
      </c>
      <c r="L2325" s="5">
        <v>1E-3</v>
      </c>
      <c r="M2325" s="5">
        <v>556903.95700000005</v>
      </c>
      <c r="N2325" s="6">
        <v>5.8999999999999997E-2</v>
      </c>
      <c r="O2325" s="5">
        <v>90.284999999999997</v>
      </c>
      <c r="P2325" s="6">
        <v>1.9900000000000001E-2</v>
      </c>
      <c r="Q2325" s="5">
        <v>9371045.7420000006</v>
      </c>
      <c r="R2325" s="1" t="s">
        <v>44</v>
      </c>
      <c r="T2325" s="1" t="s">
        <v>71</v>
      </c>
      <c r="V2325" s="1" t="s">
        <v>223</v>
      </c>
      <c r="Y2325" s="1" t="s">
        <v>579</v>
      </c>
      <c r="Z2325" s="1" t="str">
        <f t="shared" si="108"/>
        <v>55042 BE1</v>
      </c>
      <c r="AA2325" s="3">
        <f>IF(INDEX('CAMD Facility Data 2023'!$AA$2:$AE$10000,MATCH(Z2325,'CAMD Facility Data 2023'!$AE$2:$AE$10000,0),1)&gt;0,INDEX('CAMD Facility Data 2023'!$AA$2:$AE$10000,MATCH(Z2325,'CAMD Facility Data 2023'!$AE$2:$AE$10000,0),1),"")</f>
        <v>36003</v>
      </c>
      <c r="AB2325" s="5">
        <f>IF(INDEX('CAMD Facility Data 2023'!$AC$2:$AE$10000,MATCH(Z2325,'CAMD Facility Data 2023'!$AE$2:$AE$10000,0),1)&gt;0,INDEX('CAMD Facility Data 2023'!$AC$2:$AE$10000,MATCH(Z2325,'CAMD Facility Data 2023'!$AE$2:$AE$10000,0),1),"")</f>
        <v>2100</v>
      </c>
      <c r="AC2325" s="1" t="str">
        <f>IF(INDEX('CAMD Facility Data 2023'!$AE$2:$AG$10000,MATCH(Z2325,'CAMD Facility Data 2023'!$AE$2:$AE$10000,0),3)&gt;0,INDEX('CAMD Facility Data 2023'!$AE$2:$AG$10000,MATCH(Z2325,'CAMD Facility Data 2023'!$AE$2:$AE$10000,0),3),"")</f>
        <v>Y</v>
      </c>
      <c r="AD2325" s="20">
        <f t="shared" si="109"/>
        <v>0.13490901161565322</v>
      </c>
      <c r="AE2325" s="25">
        <f t="shared" si="110"/>
        <v>0.50940670482713635</v>
      </c>
    </row>
    <row r="2326" spans="1:31" x14ac:dyDescent="0.2">
      <c r="A2326" s="1" t="s">
        <v>577</v>
      </c>
      <c r="B2326" s="1" t="s">
        <v>5462</v>
      </c>
      <c r="C2326" s="1">
        <v>55042</v>
      </c>
      <c r="D2326" s="1" t="s">
        <v>5466</v>
      </c>
      <c r="F2326" s="1">
        <v>2023</v>
      </c>
      <c r="G2326" s="5">
        <v>5857</v>
      </c>
      <c r="H2326" s="5">
        <v>5810.83</v>
      </c>
      <c r="I2326" s="5">
        <v>1346333.56</v>
      </c>
      <c r="K2326" s="5">
        <v>2.819</v>
      </c>
      <c r="L2326" s="5">
        <v>1E-3</v>
      </c>
      <c r="M2326" s="5">
        <v>558455.65700000001</v>
      </c>
      <c r="N2326" s="6">
        <v>5.8999999999999997E-2</v>
      </c>
      <c r="O2326" s="5">
        <v>90.244</v>
      </c>
      <c r="P2326" s="6">
        <v>1.9800000000000002E-2</v>
      </c>
      <c r="Q2326" s="5">
        <v>9397114.2359999996</v>
      </c>
      <c r="R2326" s="1" t="s">
        <v>44</v>
      </c>
      <c r="T2326" s="1" t="s">
        <v>71</v>
      </c>
      <c r="V2326" s="1" t="s">
        <v>223</v>
      </c>
      <c r="Y2326" s="1" t="s">
        <v>579</v>
      </c>
      <c r="Z2326" s="1" t="str">
        <f t="shared" si="108"/>
        <v>55042 BE2</v>
      </c>
      <c r="AA2326" s="3">
        <f>IF(INDEX('CAMD Facility Data 2023'!$AA$2:$AE$10000,MATCH(Z2326,'CAMD Facility Data 2023'!$AE$2:$AE$10000,0),1)&gt;0,INDEX('CAMD Facility Data 2023'!$AA$2:$AE$10000,MATCH(Z2326,'CAMD Facility Data 2023'!$AE$2:$AE$10000,0),1),"")</f>
        <v>36003</v>
      </c>
      <c r="AB2326" s="5">
        <f>IF(INDEX('CAMD Facility Data 2023'!$AC$2:$AE$10000,MATCH(Z2326,'CAMD Facility Data 2023'!$AE$2:$AE$10000,0),1)&gt;0,INDEX('CAMD Facility Data 2023'!$AC$2:$AE$10000,MATCH(Z2326,'CAMD Facility Data 2023'!$AE$2:$AE$10000,0),1),"")</f>
        <v>2100</v>
      </c>
      <c r="AC2326" s="1" t="str">
        <f>IF(INDEX('CAMD Facility Data 2023'!$AE$2:$AG$10000,MATCH(Z2326,'CAMD Facility Data 2023'!$AE$2:$AE$10000,0),3)&gt;0,INDEX('CAMD Facility Data 2023'!$AE$2:$AG$10000,MATCH(Z2326,'CAMD Facility Data 2023'!$AE$2:$AE$10000,0),3),"")</f>
        <v>Y</v>
      </c>
      <c r="AD2326" s="20">
        <f t="shared" si="109"/>
        <v>0.13405890290664668</v>
      </c>
      <c r="AE2326" s="25">
        <f t="shared" si="110"/>
        <v>0.51082377886497066</v>
      </c>
    </row>
    <row r="2327" spans="1:31" x14ac:dyDescent="0.2">
      <c r="A2327" s="1" t="s">
        <v>291</v>
      </c>
      <c r="B2327" s="1" t="s">
        <v>5468</v>
      </c>
      <c r="C2327" s="1">
        <v>55043</v>
      </c>
      <c r="D2327" s="1" t="s">
        <v>5469</v>
      </c>
      <c r="F2327" s="1">
        <v>2023</v>
      </c>
      <c r="G2327" s="5">
        <v>1290</v>
      </c>
      <c r="H2327" s="5">
        <v>1283.9100000000001</v>
      </c>
      <c r="I2327" s="5">
        <v>79838.63</v>
      </c>
      <c r="K2327" s="5">
        <v>0.28799999999999998</v>
      </c>
      <c r="L2327" s="5">
        <v>1E-3</v>
      </c>
      <c r="M2327" s="5">
        <v>56003.211000000003</v>
      </c>
      <c r="N2327" s="6">
        <v>5.8999999999999997E-2</v>
      </c>
      <c r="O2327" s="5">
        <v>13.38</v>
      </c>
      <c r="P2327" s="6">
        <v>2.93E-2</v>
      </c>
      <c r="Q2327" s="5">
        <v>942367.304</v>
      </c>
      <c r="R2327" s="1" t="s">
        <v>44</v>
      </c>
      <c r="T2327" s="1" t="s">
        <v>71</v>
      </c>
      <c r="V2327" s="1" t="s">
        <v>223</v>
      </c>
      <c r="Y2327" s="1" t="s">
        <v>2690</v>
      </c>
      <c r="Z2327" s="1" t="str">
        <f t="shared" si="108"/>
        <v>55043 CCCP1</v>
      </c>
      <c r="AA2327" s="3">
        <f>IF(INDEX('CAMD Facility Data 2023'!$AA$2:$AE$10000,MATCH(Z2327,'CAMD Facility Data 2023'!$AE$2:$AE$10000,0),1)&gt;0,INDEX('CAMD Facility Data 2023'!$AA$2:$AE$10000,MATCH(Z2327,'CAMD Facility Data 2023'!$AE$2:$AE$10000,0),1),"")</f>
        <v>35977</v>
      </c>
      <c r="AB2327" s="5">
        <f>IF(INDEX('CAMD Facility Data 2023'!$AC$2:$AE$10000,MATCH(Z2327,'CAMD Facility Data 2023'!$AE$2:$AE$10000,0),1)&gt;0,INDEX('CAMD Facility Data 2023'!$AC$2:$AE$10000,MATCH(Z2327,'CAMD Facility Data 2023'!$AE$2:$AE$10000,0),1),"")</f>
        <v>910</v>
      </c>
      <c r="AC2327" s="1" t="str">
        <f>IF(INDEX('CAMD Facility Data 2023'!$AE$2:$AG$10000,MATCH(Z2327,'CAMD Facility Data 2023'!$AE$2:$AE$10000,0),3)&gt;0,INDEX('CAMD Facility Data 2023'!$AE$2:$AG$10000,MATCH(Z2327,'CAMD Facility Data 2023'!$AE$2:$AE$10000,0),3),"")</f>
        <v>Y</v>
      </c>
      <c r="AD2327" s="20">
        <f t="shared" si="109"/>
        <v>0.33517609207472621</v>
      </c>
      <c r="AE2327" s="25">
        <f t="shared" si="110"/>
        <v>0.11821557830297556</v>
      </c>
    </row>
    <row r="2328" spans="1:31" x14ac:dyDescent="0.2">
      <c r="A2328" s="1" t="s">
        <v>383</v>
      </c>
      <c r="B2328" s="1" t="s">
        <v>5472</v>
      </c>
      <c r="C2328" s="1">
        <v>55047</v>
      </c>
      <c r="D2328" s="1" t="s">
        <v>5473</v>
      </c>
      <c r="F2328" s="1">
        <v>2023</v>
      </c>
      <c r="G2328" s="5">
        <v>6494</v>
      </c>
      <c r="H2328" s="5">
        <v>6485.09</v>
      </c>
      <c r="I2328" s="5">
        <v>1562302.38</v>
      </c>
      <c r="K2328" s="5">
        <v>3.1309999999999998</v>
      </c>
      <c r="L2328" s="5">
        <v>1E-3</v>
      </c>
      <c r="M2328" s="5">
        <v>620183.02899999998</v>
      </c>
      <c r="N2328" s="6">
        <v>5.8999999999999997E-2</v>
      </c>
      <c r="O2328" s="5">
        <v>76.489000000000004</v>
      </c>
      <c r="P2328" s="6">
        <v>1.47E-2</v>
      </c>
      <c r="Q2328" s="5">
        <v>10435709.396</v>
      </c>
      <c r="R2328" s="1" t="s">
        <v>44</v>
      </c>
      <c r="T2328" s="1" t="s">
        <v>71</v>
      </c>
      <c r="V2328" s="1" t="s">
        <v>64</v>
      </c>
      <c r="Y2328" s="1" t="s">
        <v>346</v>
      </c>
      <c r="Z2328" s="1" t="str">
        <f t="shared" si="108"/>
        <v>55047 CG-1</v>
      </c>
      <c r="AA2328" s="3">
        <f>IF(INDEX('CAMD Facility Data 2023'!$AA$2:$AE$10000,MATCH(Z2328,'CAMD Facility Data 2023'!$AE$2:$AE$10000,0),1)&gt;0,INDEX('CAMD Facility Data 2023'!$AA$2:$AE$10000,MATCH(Z2328,'CAMD Facility Data 2023'!$AE$2:$AE$10000,0),1),"")</f>
        <v>35977</v>
      </c>
      <c r="AB2328" s="5">
        <f>IF(INDEX('CAMD Facility Data 2023'!$AC$2:$AE$10000,MATCH(Z2328,'CAMD Facility Data 2023'!$AE$2:$AE$10000,0),1)&gt;0,INDEX('CAMD Facility Data 2023'!$AC$2:$AE$10000,MATCH(Z2328,'CAMD Facility Data 2023'!$AE$2:$AE$10000,0),1),"")</f>
        <v>1910</v>
      </c>
      <c r="AC2328" s="1" t="str">
        <f>IF(INDEX('CAMD Facility Data 2023'!$AE$2:$AG$10000,MATCH(Z2328,'CAMD Facility Data 2023'!$AE$2:$AE$10000,0),3)&gt;0,INDEX('CAMD Facility Data 2023'!$AE$2:$AG$10000,MATCH(Z2328,'CAMD Facility Data 2023'!$AE$2:$AE$10000,0),3),"")</f>
        <v>Y</v>
      </c>
      <c r="AD2328" s="20">
        <f t="shared" si="109"/>
        <v>9.7918304393801156E-2</v>
      </c>
      <c r="AE2328" s="25">
        <f t="shared" si="110"/>
        <v>0.62371257955007287</v>
      </c>
    </row>
    <row r="2329" spans="1:31" x14ac:dyDescent="0.2">
      <c r="A2329" s="1" t="s">
        <v>383</v>
      </c>
      <c r="B2329" s="1" t="s">
        <v>5472</v>
      </c>
      <c r="C2329" s="1">
        <v>55047</v>
      </c>
      <c r="D2329" s="1" t="s">
        <v>5477</v>
      </c>
      <c r="F2329" s="1">
        <v>2023</v>
      </c>
      <c r="G2329" s="5">
        <v>7362</v>
      </c>
      <c r="H2329" s="5">
        <v>7311.41</v>
      </c>
      <c r="I2329" s="5">
        <v>1723568.3</v>
      </c>
      <c r="K2329" s="5">
        <v>3.62</v>
      </c>
      <c r="L2329" s="5">
        <v>1E-3</v>
      </c>
      <c r="M2329" s="5">
        <v>716979.47</v>
      </c>
      <c r="N2329" s="6">
        <v>5.8999999999999997E-2</v>
      </c>
      <c r="O2329" s="5">
        <v>193.51900000000001</v>
      </c>
      <c r="P2329" s="6">
        <v>3.2399999999999998E-2</v>
      </c>
      <c r="Q2329" s="5">
        <v>12064558.539000001</v>
      </c>
      <c r="R2329" s="1" t="s">
        <v>44</v>
      </c>
      <c r="T2329" s="1" t="s">
        <v>71</v>
      </c>
      <c r="V2329" s="1" t="s">
        <v>64</v>
      </c>
      <c r="Y2329" s="1" t="s">
        <v>346</v>
      </c>
      <c r="Z2329" s="1" t="str">
        <f t="shared" si="108"/>
        <v>55047 CG-2</v>
      </c>
      <c r="AA2329" s="3">
        <f>IF(INDEX('CAMD Facility Data 2023'!$AA$2:$AE$10000,MATCH(Z2329,'CAMD Facility Data 2023'!$AE$2:$AE$10000,0),1)&gt;0,INDEX('CAMD Facility Data 2023'!$AA$2:$AE$10000,MATCH(Z2329,'CAMD Facility Data 2023'!$AE$2:$AE$10000,0),1),"")</f>
        <v>36708</v>
      </c>
      <c r="AB2329" s="5">
        <f>IF(INDEX('CAMD Facility Data 2023'!$AC$2:$AE$10000,MATCH(Z2329,'CAMD Facility Data 2023'!$AE$2:$AE$10000,0),1)&gt;0,INDEX('CAMD Facility Data 2023'!$AC$2:$AE$10000,MATCH(Z2329,'CAMD Facility Data 2023'!$AE$2:$AE$10000,0),1),"")</f>
        <v>1960</v>
      </c>
      <c r="AC2329" s="1" t="str">
        <f>IF(INDEX('CAMD Facility Data 2023'!$AE$2:$AG$10000,MATCH(Z2329,'CAMD Facility Data 2023'!$AE$2:$AE$10000,0),3)&gt;0,INDEX('CAMD Facility Data 2023'!$AE$2:$AG$10000,MATCH(Z2329,'CAMD Facility Data 2023'!$AE$2:$AE$10000,0),3),"")</f>
        <v>Y</v>
      </c>
      <c r="AD2329" s="20">
        <f t="shared" si="109"/>
        <v>0.2245562302346823</v>
      </c>
      <c r="AE2329" s="25">
        <f t="shared" si="110"/>
        <v>0.7026697499650546</v>
      </c>
    </row>
    <row r="2330" spans="1:31" x14ac:dyDescent="0.2">
      <c r="A2330" s="1" t="s">
        <v>383</v>
      </c>
      <c r="B2330" s="1" t="s">
        <v>5472</v>
      </c>
      <c r="C2330" s="1">
        <v>55047</v>
      </c>
      <c r="D2330" s="1" t="s">
        <v>5479</v>
      </c>
      <c r="F2330" s="1">
        <v>2023</v>
      </c>
      <c r="G2330" s="5">
        <v>7164</v>
      </c>
      <c r="H2330" s="5">
        <v>7109.48</v>
      </c>
      <c r="I2330" s="5">
        <v>1872488.68</v>
      </c>
      <c r="K2330" s="5">
        <v>3.56</v>
      </c>
      <c r="L2330" s="5">
        <v>1E-3</v>
      </c>
      <c r="M2330" s="5">
        <v>705201.29299999995</v>
      </c>
      <c r="N2330" s="6">
        <v>5.8999999999999997E-2</v>
      </c>
      <c r="O2330" s="5">
        <v>132.262</v>
      </c>
      <c r="P2330" s="6">
        <v>2.2800000000000001E-2</v>
      </c>
      <c r="Q2330" s="5">
        <v>11866393.403999999</v>
      </c>
      <c r="R2330" s="1" t="s">
        <v>44</v>
      </c>
      <c r="T2330" s="1" t="s">
        <v>71</v>
      </c>
      <c r="V2330" s="1" t="s">
        <v>64</v>
      </c>
      <c r="Y2330" s="1" t="s">
        <v>346</v>
      </c>
      <c r="Z2330" s="1" t="str">
        <f t="shared" si="108"/>
        <v>55047 CG-3</v>
      </c>
      <c r="AA2330" s="3">
        <f>IF(INDEX('CAMD Facility Data 2023'!$AA$2:$AE$10000,MATCH(Z2330,'CAMD Facility Data 2023'!$AE$2:$AE$10000,0),1)&gt;0,INDEX('CAMD Facility Data 2023'!$AA$2:$AE$10000,MATCH(Z2330,'CAMD Facility Data 2023'!$AE$2:$AE$10000,0),1),"")</f>
        <v>36708</v>
      </c>
      <c r="AB2330" s="5">
        <f>IF(INDEX('CAMD Facility Data 2023'!$AC$2:$AE$10000,MATCH(Z2330,'CAMD Facility Data 2023'!$AE$2:$AE$10000,0),1)&gt;0,INDEX('CAMD Facility Data 2023'!$AC$2:$AE$10000,MATCH(Z2330,'CAMD Facility Data 2023'!$AE$2:$AE$10000,0),1),"")</f>
        <v>1980</v>
      </c>
      <c r="AC2330" s="1" t="str">
        <f>IF(INDEX('CAMD Facility Data 2023'!$AE$2:$AG$10000,MATCH(Z2330,'CAMD Facility Data 2023'!$AE$2:$AE$10000,0),3)&gt;0,INDEX('CAMD Facility Data 2023'!$AE$2:$AG$10000,MATCH(Z2330,'CAMD Facility Data 2023'!$AE$2:$AE$10000,0),3),"")</f>
        <v>Y</v>
      </c>
      <c r="AD2330" s="20">
        <f t="shared" si="109"/>
        <v>0.14126867778981714</v>
      </c>
      <c r="AE2330" s="25">
        <f t="shared" si="110"/>
        <v>0.6841470298879202</v>
      </c>
    </row>
    <row r="2331" spans="1:31" x14ac:dyDescent="0.2">
      <c r="A2331" s="1" t="s">
        <v>2680</v>
      </c>
      <c r="B2331" s="1" t="s">
        <v>5481</v>
      </c>
      <c r="C2331" s="1">
        <v>55048</v>
      </c>
      <c r="D2331" s="1">
        <v>1</v>
      </c>
      <c r="F2331" s="1">
        <v>2023</v>
      </c>
      <c r="G2331" s="5">
        <v>6894</v>
      </c>
      <c r="H2331" s="5">
        <v>6828.58</v>
      </c>
      <c r="I2331" s="5">
        <v>1694673.89</v>
      </c>
      <c r="K2331" s="5">
        <v>3.5049999999999999</v>
      </c>
      <c r="L2331" s="5">
        <v>1E-3</v>
      </c>
      <c r="M2331" s="5">
        <v>694375.79399999999</v>
      </c>
      <c r="N2331" s="6">
        <v>5.8999999999999997E-2</v>
      </c>
      <c r="O2331" s="5">
        <v>58.170999999999999</v>
      </c>
      <c r="P2331" s="6">
        <v>1.24E-2</v>
      </c>
      <c r="Q2331" s="5">
        <v>11684181.423</v>
      </c>
      <c r="R2331" s="1" t="s">
        <v>44</v>
      </c>
      <c r="T2331" s="1" t="s">
        <v>71</v>
      </c>
      <c r="V2331" s="1" t="s">
        <v>223</v>
      </c>
      <c r="Y2331" s="1" t="s">
        <v>579</v>
      </c>
      <c r="Z2331" s="1" t="str">
        <f t="shared" si="108"/>
        <v>55048 1</v>
      </c>
      <c r="AA2331" s="3">
        <f>IF(INDEX('CAMD Facility Data 2023'!$AA$2:$AE$10000,MATCH(Z2331,'CAMD Facility Data 2023'!$AE$2:$AE$10000,0),1)&gt;0,INDEX('CAMD Facility Data 2023'!$AA$2:$AE$10000,MATCH(Z2331,'CAMD Facility Data 2023'!$AE$2:$AE$10000,0),1),"")</f>
        <v>36557</v>
      </c>
      <c r="AB2331" s="5">
        <f>IF(INDEX('CAMD Facility Data 2023'!$AC$2:$AE$10000,MATCH(Z2331,'CAMD Facility Data 2023'!$AE$2:$AE$10000,0),1)&gt;0,INDEX('CAMD Facility Data 2023'!$AC$2:$AE$10000,MATCH(Z2331,'CAMD Facility Data 2023'!$AE$2:$AE$10000,0),1),"")</f>
        <v>2130</v>
      </c>
      <c r="AC2331" s="1" t="str">
        <f>IF(INDEX('CAMD Facility Data 2023'!$AE$2:$AG$10000,MATCH(Z2331,'CAMD Facility Data 2023'!$AE$2:$AE$10000,0),3)&gt;0,INDEX('CAMD Facility Data 2023'!$AE$2:$AG$10000,MATCH(Z2331,'CAMD Facility Data 2023'!$AE$2:$AE$10000,0),3),"")</f>
        <v>Y</v>
      </c>
      <c r="AD2331" s="20">
        <f t="shared" si="109"/>
        <v>6.8651556318012313E-2</v>
      </c>
      <c r="AE2331" s="25">
        <f t="shared" si="110"/>
        <v>0.62620219001221944</v>
      </c>
    </row>
    <row r="2332" spans="1:31" x14ac:dyDescent="0.2">
      <c r="A2332" s="1" t="s">
        <v>921</v>
      </c>
      <c r="B2332" s="1" t="s">
        <v>5487</v>
      </c>
      <c r="C2332" s="1">
        <v>55061</v>
      </c>
      <c r="D2332" s="1" t="s">
        <v>311</v>
      </c>
      <c r="F2332" s="1">
        <v>2023</v>
      </c>
      <c r="G2332" s="5">
        <v>363</v>
      </c>
      <c r="H2332" s="5">
        <v>322.67</v>
      </c>
      <c r="I2332" s="5">
        <v>48404.57</v>
      </c>
      <c r="K2332" s="5">
        <v>0.15</v>
      </c>
      <c r="L2332" s="5">
        <v>1E-3</v>
      </c>
      <c r="M2332" s="5">
        <v>29736.294000000002</v>
      </c>
      <c r="N2332" s="6">
        <v>5.9200000000000003E-2</v>
      </c>
      <c r="O2332" s="5">
        <v>10.840999999999999</v>
      </c>
      <c r="P2332" s="6">
        <v>5.2699999999999997E-2</v>
      </c>
      <c r="Q2332" s="5">
        <v>500386.56900000002</v>
      </c>
      <c r="R2332" s="1" t="s">
        <v>44</v>
      </c>
      <c r="S2332" s="1" t="s">
        <v>94</v>
      </c>
      <c r="T2332" s="1" t="s">
        <v>93</v>
      </c>
      <c r="V2332" s="1" t="s">
        <v>183</v>
      </c>
      <c r="Y2332" s="1" t="s">
        <v>952</v>
      </c>
      <c r="Z2332" s="1" t="str">
        <f t="shared" si="108"/>
        <v>55061 CT1</v>
      </c>
      <c r="AA2332" s="3">
        <f>IF(INDEX('CAMD Facility Data 2023'!$AA$2:$AE$10000,MATCH(Z2332,'CAMD Facility Data 2023'!$AE$2:$AE$10000,0),1)&gt;0,INDEX('CAMD Facility Data 2023'!$AA$2:$AE$10000,MATCH(Z2332,'CAMD Facility Data 2023'!$AE$2:$AE$10000,0),1),"")</f>
        <v>37043</v>
      </c>
      <c r="AB2332" s="5">
        <f>IF(INDEX('CAMD Facility Data 2023'!$AC$2:$AE$10000,MATCH(Z2332,'CAMD Facility Data 2023'!$AE$2:$AE$10000,0),1)&gt;0,INDEX('CAMD Facility Data 2023'!$AC$2:$AE$10000,MATCH(Z2332,'CAMD Facility Data 2023'!$AE$2:$AE$10000,0),1),"")</f>
        <v>2586</v>
      </c>
      <c r="AC2332" s="1" t="str">
        <f>IF(INDEX('CAMD Facility Data 2023'!$AE$2:$AG$10000,MATCH(Z2332,'CAMD Facility Data 2023'!$AE$2:$AE$10000,0),3)&gt;0,INDEX('CAMD Facility Data 2023'!$AE$2:$AG$10000,MATCH(Z2332,'CAMD Facility Data 2023'!$AE$2:$AE$10000,0),3),"")</f>
        <v/>
      </c>
      <c r="AD2332" s="20">
        <f t="shared" si="109"/>
        <v>0.44793291211966141</v>
      </c>
      <c r="AE2332" s="25">
        <f t="shared" si="110"/>
        <v>2.2088845495767517E-2</v>
      </c>
    </row>
    <row r="2333" spans="1:31" x14ac:dyDescent="0.2">
      <c r="A2333" s="1" t="s">
        <v>921</v>
      </c>
      <c r="B2333" s="1" t="s">
        <v>5487</v>
      </c>
      <c r="C2333" s="1">
        <v>55061</v>
      </c>
      <c r="D2333" s="1" t="s">
        <v>98</v>
      </c>
      <c r="F2333" s="1">
        <v>2023</v>
      </c>
      <c r="G2333" s="5">
        <v>310</v>
      </c>
      <c r="H2333" s="5">
        <v>274.98</v>
      </c>
      <c r="I2333" s="5">
        <v>41428.46</v>
      </c>
      <c r="K2333" s="5">
        <v>0.129</v>
      </c>
      <c r="L2333" s="5">
        <v>1E-3</v>
      </c>
      <c r="M2333" s="5">
        <v>25503.188999999998</v>
      </c>
      <c r="N2333" s="6">
        <v>5.9200000000000003E-2</v>
      </c>
      <c r="O2333" s="5">
        <v>8.9920000000000009</v>
      </c>
      <c r="P2333" s="6">
        <v>4.99E-2</v>
      </c>
      <c r="Q2333" s="5">
        <v>428953.72</v>
      </c>
      <c r="R2333" s="1" t="s">
        <v>44</v>
      </c>
      <c r="S2333" s="1" t="s">
        <v>94</v>
      </c>
      <c r="T2333" s="1" t="s">
        <v>93</v>
      </c>
      <c r="V2333" s="1" t="s">
        <v>183</v>
      </c>
      <c r="Y2333" s="1" t="s">
        <v>952</v>
      </c>
      <c r="Z2333" s="1" t="str">
        <f t="shared" si="108"/>
        <v>55061 CT2</v>
      </c>
      <c r="AA2333" s="3">
        <f>IF(INDEX('CAMD Facility Data 2023'!$AA$2:$AE$10000,MATCH(Z2333,'CAMD Facility Data 2023'!$AE$2:$AE$10000,0),1)&gt;0,INDEX('CAMD Facility Data 2023'!$AA$2:$AE$10000,MATCH(Z2333,'CAMD Facility Data 2023'!$AE$2:$AE$10000,0),1),"")</f>
        <v>37133</v>
      </c>
      <c r="AB2333" s="5">
        <f>IF(INDEX('CAMD Facility Data 2023'!$AC$2:$AE$10000,MATCH(Z2333,'CAMD Facility Data 2023'!$AE$2:$AE$10000,0),1)&gt;0,INDEX('CAMD Facility Data 2023'!$AC$2:$AE$10000,MATCH(Z2333,'CAMD Facility Data 2023'!$AE$2:$AE$10000,0),1),"")</f>
        <v>2586</v>
      </c>
      <c r="AC2333" s="1" t="str">
        <f>IF(INDEX('CAMD Facility Data 2023'!$AE$2:$AG$10000,MATCH(Z2333,'CAMD Facility Data 2023'!$AE$2:$AE$10000,0),3)&gt;0,INDEX('CAMD Facility Data 2023'!$AE$2:$AG$10000,MATCH(Z2333,'CAMD Facility Data 2023'!$AE$2:$AE$10000,0),3),"")</f>
        <v/>
      </c>
      <c r="AD2333" s="20">
        <f t="shared" si="109"/>
        <v>0.434097719297314</v>
      </c>
      <c r="AE2333" s="25">
        <f t="shared" si="110"/>
        <v>1.8935545102360091E-2</v>
      </c>
    </row>
    <row r="2334" spans="1:31" x14ac:dyDescent="0.2">
      <c r="A2334" s="1" t="s">
        <v>921</v>
      </c>
      <c r="B2334" s="1" t="s">
        <v>5487</v>
      </c>
      <c r="C2334" s="1">
        <v>55061</v>
      </c>
      <c r="D2334" s="1" t="s">
        <v>101</v>
      </c>
      <c r="F2334" s="1">
        <v>2023</v>
      </c>
      <c r="G2334" s="5">
        <v>352</v>
      </c>
      <c r="H2334" s="5">
        <v>307.33999999999997</v>
      </c>
      <c r="I2334" s="5">
        <v>45869.09</v>
      </c>
      <c r="K2334" s="5">
        <v>0.14299999999999999</v>
      </c>
      <c r="L2334" s="5">
        <v>1E-3</v>
      </c>
      <c r="M2334" s="5">
        <v>28017.671999999999</v>
      </c>
      <c r="N2334" s="6">
        <v>5.9400000000000001E-2</v>
      </c>
      <c r="O2334" s="5">
        <v>8.9550000000000001</v>
      </c>
      <c r="P2334" s="6">
        <v>4.6199999999999998E-2</v>
      </c>
      <c r="Q2334" s="5">
        <v>470150.00599999999</v>
      </c>
      <c r="R2334" s="1" t="s">
        <v>44</v>
      </c>
      <c r="S2334" s="1" t="s">
        <v>94</v>
      </c>
      <c r="T2334" s="1" t="s">
        <v>93</v>
      </c>
      <c r="V2334" s="1" t="s">
        <v>183</v>
      </c>
      <c r="Y2334" s="1" t="s">
        <v>952</v>
      </c>
      <c r="Z2334" s="1" t="str">
        <f t="shared" si="108"/>
        <v>55061 CT3</v>
      </c>
      <c r="AA2334" s="3">
        <f>IF(INDEX('CAMD Facility Data 2023'!$AA$2:$AE$10000,MATCH(Z2334,'CAMD Facility Data 2023'!$AE$2:$AE$10000,0),1)&gt;0,INDEX('CAMD Facility Data 2023'!$AA$2:$AE$10000,MATCH(Z2334,'CAMD Facility Data 2023'!$AE$2:$AE$10000,0),1),"")</f>
        <v>37043</v>
      </c>
      <c r="AB2334" s="5">
        <f>IF(INDEX('CAMD Facility Data 2023'!$AC$2:$AE$10000,MATCH(Z2334,'CAMD Facility Data 2023'!$AE$2:$AE$10000,0),1)&gt;0,INDEX('CAMD Facility Data 2023'!$AC$2:$AE$10000,MATCH(Z2334,'CAMD Facility Data 2023'!$AE$2:$AE$10000,0),1),"")</f>
        <v>2586</v>
      </c>
      <c r="AC2334" s="1" t="str">
        <f>IF(INDEX('CAMD Facility Data 2023'!$AE$2:$AG$10000,MATCH(Z2334,'CAMD Facility Data 2023'!$AE$2:$AE$10000,0),3)&gt;0,INDEX('CAMD Facility Data 2023'!$AE$2:$AG$10000,MATCH(Z2334,'CAMD Facility Data 2023'!$AE$2:$AE$10000,0),3),"")</f>
        <v/>
      </c>
      <c r="AD2334" s="20">
        <f t="shared" si="109"/>
        <v>0.39045902153280132</v>
      </c>
      <c r="AE2334" s="25">
        <f t="shared" si="110"/>
        <v>2.0754095904536897E-2</v>
      </c>
    </row>
    <row r="2335" spans="1:31" x14ac:dyDescent="0.2">
      <c r="A2335" s="1" t="s">
        <v>921</v>
      </c>
      <c r="B2335" s="1" t="s">
        <v>5487</v>
      </c>
      <c r="C2335" s="1">
        <v>55061</v>
      </c>
      <c r="D2335" s="1" t="s">
        <v>103</v>
      </c>
      <c r="F2335" s="1">
        <v>2023</v>
      </c>
      <c r="G2335" s="5">
        <v>311</v>
      </c>
      <c r="H2335" s="5">
        <v>280.86</v>
      </c>
      <c r="I2335" s="5">
        <v>42162.87</v>
      </c>
      <c r="K2335" s="5">
        <v>0.129</v>
      </c>
      <c r="L2335" s="5">
        <v>1E-3</v>
      </c>
      <c r="M2335" s="5">
        <v>25458.314999999999</v>
      </c>
      <c r="N2335" s="6">
        <v>5.91E-2</v>
      </c>
      <c r="O2335" s="5">
        <v>8.9979999999999993</v>
      </c>
      <c r="P2335" s="6">
        <v>4.9000000000000002E-2</v>
      </c>
      <c r="Q2335" s="5">
        <v>428258.15700000001</v>
      </c>
      <c r="R2335" s="1" t="s">
        <v>44</v>
      </c>
      <c r="S2335" s="1" t="s">
        <v>94</v>
      </c>
      <c r="T2335" s="1" t="s">
        <v>93</v>
      </c>
      <c r="V2335" s="1" t="s">
        <v>183</v>
      </c>
      <c r="Y2335" s="1" t="s">
        <v>952</v>
      </c>
      <c r="Z2335" s="1" t="str">
        <f t="shared" si="108"/>
        <v>55061 CT4</v>
      </c>
      <c r="AA2335" s="3">
        <f>IF(INDEX('CAMD Facility Data 2023'!$AA$2:$AE$10000,MATCH(Z2335,'CAMD Facility Data 2023'!$AE$2:$AE$10000,0),1)&gt;0,INDEX('CAMD Facility Data 2023'!$AA$2:$AE$10000,MATCH(Z2335,'CAMD Facility Data 2023'!$AE$2:$AE$10000,0),1),"")</f>
        <v>37347</v>
      </c>
      <c r="AB2335" s="5">
        <f>IF(INDEX('CAMD Facility Data 2023'!$AC$2:$AE$10000,MATCH(Z2335,'CAMD Facility Data 2023'!$AE$2:$AE$10000,0),1)&gt;0,INDEX('CAMD Facility Data 2023'!$AC$2:$AE$10000,MATCH(Z2335,'CAMD Facility Data 2023'!$AE$2:$AE$10000,0),1),"")</f>
        <v>2586</v>
      </c>
      <c r="AC2335" s="1" t="str">
        <f>IF(INDEX('CAMD Facility Data 2023'!$AE$2:$AG$10000,MATCH(Z2335,'CAMD Facility Data 2023'!$AE$2:$AE$10000,0),3)&gt;0,INDEX('CAMD Facility Data 2023'!$AE$2:$AG$10000,MATCH(Z2335,'CAMD Facility Data 2023'!$AE$2:$AE$10000,0),3),"")</f>
        <v/>
      </c>
      <c r="AD2335" s="20">
        <f t="shared" si="109"/>
        <v>0.42682103945960032</v>
      </c>
      <c r="AE2335" s="25">
        <f t="shared" si="110"/>
        <v>1.8904840473995911E-2</v>
      </c>
    </row>
    <row r="2336" spans="1:31" x14ac:dyDescent="0.2">
      <c r="A2336" s="1" t="s">
        <v>921</v>
      </c>
      <c r="B2336" s="1" t="s">
        <v>5487</v>
      </c>
      <c r="C2336" s="1">
        <v>55061</v>
      </c>
      <c r="D2336" s="1" t="s">
        <v>105</v>
      </c>
      <c r="F2336" s="1">
        <v>2023</v>
      </c>
      <c r="G2336" s="5">
        <v>262</v>
      </c>
      <c r="H2336" s="5">
        <v>231.3</v>
      </c>
      <c r="I2336" s="5">
        <v>34380.83</v>
      </c>
      <c r="K2336" s="5">
        <v>0.108</v>
      </c>
      <c r="L2336" s="5">
        <v>1E-3</v>
      </c>
      <c r="M2336" s="5">
        <v>21040.171999999999</v>
      </c>
      <c r="N2336" s="6">
        <v>5.9400000000000001E-2</v>
      </c>
      <c r="O2336" s="5">
        <v>7.6609999999999996</v>
      </c>
      <c r="P2336" s="6">
        <v>5.4800000000000001E-2</v>
      </c>
      <c r="Q2336" s="5">
        <v>353026.78700000001</v>
      </c>
      <c r="R2336" s="1" t="s">
        <v>44</v>
      </c>
      <c r="S2336" s="1" t="s">
        <v>94</v>
      </c>
      <c r="T2336" s="1" t="s">
        <v>93</v>
      </c>
      <c r="V2336" s="1" t="s">
        <v>183</v>
      </c>
      <c r="Y2336" s="1" t="s">
        <v>952</v>
      </c>
      <c r="Z2336" s="1" t="str">
        <f t="shared" si="108"/>
        <v>55061 CT5</v>
      </c>
      <c r="AA2336" s="3">
        <f>IF(INDEX('CAMD Facility Data 2023'!$AA$2:$AE$10000,MATCH(Z2336,'CAMD Facility Data 2023'!$AE$2:$AE$10000,0),1)&gt;0,INDEX('CAMD Facility Data 2023'!$AA$2:$AE$10000,MATCH(Z2336,'CAMD Facility Data 2023'!$AE$2:$AE$10000,0),1),"")</f>
        <v>37347</v>
      </c>
      <c r="AB2336" s="5">
        <f>IF(INDEX('CAMD Facility Data 2023'!$AC$2:$AE$10000,MATCH(Z2336,'CAMD Facility Data 2023'!$AE$2:$AE$10000,0),1)&gt;0,INDEX('CAMD Facility Data 2023'!$AC$2:$AE$10000,MATCH(Z2336,'CAMD Facility Data 2023'!$AE$2:$AE$10000,0),1),"")</f>
        <v>2586</v>
      </c>
      <c r="AC2336" s="1" t="str">
        <f>IF(INDEX('CAMD Facility Data 2023'!$AE$2:$AG$10000,MATCH(Z2336,'CAMD Facility Data 2023'!$AE$2:$AE$10000,0),3)&gt;0,INDEX('CAMD Facility Data 2023'!$AE$2:$AG$10000,MATCH(Z2336,'CAMD Facility Data 2023'!$AE$2:$AE$10000,0),3),"")</f>
        <v/>
      </c>
      <c r="AD2336" s="20">
        <f t="shared" si="109"/>
        <v>0.44565532594762836</v>
      </c>
      <c r="AE2336" s="25">
        <f t="shared" si="110"/>
        <v>1.558385983359643E-2</v>
      </c>
    </row>
    <row r="2337" spans="1:31" x14ac:dyDescent="0.2">
      <c r="A2337" s="1" t="s">
        <v>921</v>
      </c>
      <c r="B2337" s="1" t="s">
        <v>5487</v>
      </c>
      <c r="C2337" s="1">
        <v>55061</v>
      </c>
      <c r="D2337" s="1" t="s">
        <v>107</v>
      </c>
      <c r="F2337" s="1">
        <v>2023</v>
      </c>
      <c r="G2337" s="5">
        <v>203</v>
      </c>
      <c r="H2337" s="5">
        <v>181.68</v>
      </c>
      <c r="I2337" s="5">
        <v>26874.66</v>
      </c>
      <c r="K2337" s="5">
        <v>8.3000000000000004E-2</v>
      </c>
      <c r="L2337" s="5">
        <v>1E-3</v>
      </c>
      <c r="M2337" s="5">
        <v>16372.275</v>
      </c>
      <c r="N2337" s="6">
        <v>5.9200000000000003E-2</v>
      </c>
      <c r="O2337" s="5">
        <v>5.99</v>
      </c>
      <c r="P2337" s="6">
        <v>5.2999999999999999E-2</v>
      </c>
      <c r="Q2337" s="5">
        <v>275274.283</v>
      </c>
      <c r="R2337" s="1" t="s">
        <v>44</v>
      </c>
      <c r="S2337" s="1" t="s">
        <v>94</v>
      </c>
      <c r="T2337" s="1" t="s">
        <v>93</v>
      </c>
      <c r="V2337" s="1" t="s">
        <v>183</v>
      </c>
      <c r="Y2337" s="1" t="s">
        <v>952</v>
      </c>
      <c r="Z2337" s="1" t="str">
        <f t="shared" si="108"/>
        <v>55061 CT6</v>
      </c>
      <c r="AA2337" s="3">
        <f>IF(INDEX('CAMD Facility Data 2023'!$AA$2:$AE$10000,MATCH(Z2337,'CAMD Facility Data 2023'!$AE$2:$AE$10000,0),1)&gt;0,INDEX('CAMD Facility Data 2023'!$AA$2:$AE$10000,MATCH(Z2337,'CAMD Facility Data 2023'!$AE$2:$AE$10000,0),1),"")</f>
        <v>37347</v>
      </c>
      <c r="AB2337" s="5">
        <f>IF(INDEX('CAMD Facility Data 2023'!$AC$2:$AE$10000,MATCH(Z2337,'CAMD Facility Data 2023'!$AE$2:$AE$10000,0),1)&gt;0,INDEX('CAMD Facility Data 2023'!$AC$2:$AE$10000,MATCH(Z2337,'CAMD Facility Data 2023'!$AE$2:$AE$10000,0),1),"")</f>
        <v>2586</v>
      </c>
      <c r="AC2337" s="1" t="str">
        <f>IF(INDEX('CAMD Facility Data 2023'!$AE$2:$AG$10000,MATCH(Z2337,'CAMD Facility Data 2023'!$AE$2:$AE$10000,0),3)&gt;0,INDEX('CAMD Facility Data 2023'!$AE$2:$AG$10000,MATCH(Z2337,'CAMD Facility Data 2023'!$AE$2:$AE$10000,0),3),"")</f>
        <v/>
      </c>
      <c r="AD2337" s="20">
        <f t="shared" si="109"/>
        <v>0.4457730814082857</v>
      </c>
      <c r="AE2337" s="25">
        <f t="shared" si="110"/>
        <v>1.215158735834331E-2</v>
      </c>
    </row>
    <row r="2338" spans="1:31" x14ac:dyDescent="0.2">
      <c r="A2338" s="1" t="s">
        <v>383</v>
      </c>
      <c r="B2338" s="1" t="s">
        <v>5495</v>
      </c>
      <c r="C2338" s="1">
        <v>55062</v>
      </c>
      <c r="D2338" s="1">
        <v>1</v>
      </c>
      <c r="F2338" s="1">
        <v>2023</v>
      </c>
      <c r="G2338" s="5">
        <v>6710</v>
      </c>
      <c r="H2338" s="5">
        <v>6678.15</v>
      </c>
      <c r="I2338" s="5">
        <v>1570069.73</v>
      </c>
      <c r="K2338" s="5">
        <v>3.4420000000000002</v>
      </c>
      <c r="L2338" s="5">
        <v>1E-3</v>
      </c>
      <c r="M2338" s="5">
        <v>681823.40099999995</v>
      </c>
      <c r="N2338" s="6">
        <v>5.8999999999999997E-2</v>
      </c>
      <c r="O2338" s="5">
        <v>224.006</v>
      </c>
      <c r="P2338" s="6">
        <v>4.0399999999999998E-2</v>
      </c>
      <c r="Q2338" s="5">
        <v>11473026.460999999</v>
      </c>
      <c r="R2338" s="1" t="s">
        <v>44</v>
      </c>
      <c r="S2338" s="1" t="s">
        <v>94</v>
      </c>
      <c r="T2338" s="1" t="s">
        <v>71</v>
      </c>
      <c r="V2338" s="1" t="s">
        <v>140</v>
      </c>
      <c r="Y2338" s="1" t="s">
        <v>346</v>
      </c>
      <c r="Z2338" s="1" t="str">
        <f t="shared" si="108"/>
        <v>55062 1</v>
      </c>
      <c r="AA2338" s="3">
        <f>IF(INDEX('CAMD Facility Data 2023'!$AA$2:$AE$10000,MATCH(Z2338,'CAMD Facility Data 2023'!$AE$2:$AE$10000,0),1)&gt;0,INDEX('CAMD Facility Data 2023'!$AA$2:$AE$10000,MATCH(Z2338,'CAMD Facility Data 2023'!$AE$2:$AE$10000,0),1),"")</f>
        <v>36657</v>
      </c>
      <c r="AB2338" s="5">
        <f>IF(INDEX('CAMD Facility Data 2023'!$AC$2:$AE$10000,MATCH(Z2338,'CAMD Facility Data 2023'!$AE$2:$AE$10000,0),1)&gt;0,INDEX('CAMD Facility Data 2023'!$AC$2:$AE$10000,MATCH(Z2338,'CAMD Facility Data 2023'!$AE$2:$AE$10000,0),1),"")</f>
        <v>2405</v>
      </c>
      <c r="AC2338" s="1" t="str">
        <f>IF(INDEX('CAMD Facility Data 2023'!$AE$2:$AG$10000,MATCH(Z2338,'CAMD Facility Data 2023'!$AE$2:$AE$10000,0),3)&gt;0,INDEX('CAMD Facility Data 2023'!$AE$2:$AG$10000,MATCH(Z2338,'CAMD Facility Data 2023'!$AE$2:$AE$10000,0),3),"")</f>
        <v/>
      </c>
      <c r="AD2338" s="20">
        <f t="shared" si="109"/>
        <v>0.28534528845416313</v>
      </c>
      <c r="AE2338" s="25">
        <f t="shared" si="110"/>
        <v>0.54457638960878685</v>
      </c>
    </row>
    <row r="2339" spans="1:31" x14ac:dyDescent="0.2">
      <c r="A2339" s="1" t="s">
        <v>383</v>
      </c>
      <c r="B2339" s="1" t="s">
        <v>5495</v>
      </c>
      <c r="C2339" s="1">
        <v>55062</v>
      </c>
      <c r="D2339" s="1">
        <v>2</v>
      </c>
      <c r="F2339" s="1">
        <v>2023</v>
      </c>
      <c r="G2339" s="5">
        <v>5926</v>
      </c>
      <c r="H2339" s="5">
        <v>5882.7</v>
      </c>
      <c r="I2339" s="5">
        <v>1367785.5</v>
      </c>
      <c r="K2339" s="5">
        <v>2.9380000000000002</v>
      </c>
      <c r="L2339" s="5">
        <v>1E-3</v>
      </c>
      <c r="M2339" s="5">
        <v>582006.576</v>
      </c>
      <c r="N2339" s="6">
        <v>5.8999999999999997E-2</v>
      </c>
      <c r="O2339" s="5">
        <v>209.65700000000001</v>
      </c>
      <c r="P2339" s="6">
        <v>4.48E-2</v>
      </c>
      <c r="Q2339" s="5">
        <v>9793379.2550000008</v>
      </c>
      <c r="R2339" s="1" t="s">
        <v>44</v>
      </c>
      <c r="S2339" s="1" t="s">
        <v>94</v>
      </c>
      <c r="T2339" s="1" t="s">
        <v>71</v>
      </c>
      <c r="V2339" s="1" t="s">
        <v>140</v>
      </c>
      <c r="Y2339" s="1" t="s">
        <v>346</v>
      </c>
      <c r="Z2339" s="1" t="str">
        <f t="shared" si="108"/>
        <v>55062 2</v>
      </c>
      <c r="AA2339" s="3">
        <f>IF(INDEX('CAMD Facility Data 2023'!$AA$2:$AE$10000,MATCH(Z2339,'CAMD Facility Data 2023'!$AE$2:$AE$10000,0),1)&gt;0,INDEX('CAMD Facility Data 2023'!$AA$2:$AE$10000,MATCH(Z2339,'CAMD Facility Data 2023'!$AE$2:$AE$10000,0),1),"")</f>
        <v>36667</v>
      </c>
      <c r="AB2339" s="5">
        <f>IF(INDEX('CAMD Facility Data 2023'!$AC$2:$AE$10000,MATCH(Z2339,'CAMD Facility Data 2023'!$AE$2:$AE$10000,0),1)&gt;0,INDEX('CAMD Facility Data 2023'!$AC$2:$AE$10000,MATCH(Z2339,'CAMD Facility Data 2023'!$AE$2:$AE$10000,0),1),"")</f>
        <v>2405</v>
      </c>
      <c r="AC2339" s="1" t="str">
        <f>IF(INDEX('CAMD Facility Data 2023'!$AE$2:$AG$10000,MATCH(Z2339,'CAMD Facility Data 2023'!$AE$2:$AE$10000,0),3)&gt;0,INDEX('CAMD Facility Data 2023'!$AE$2:$AG$10000,MATCH(Z2339,'CAMD Facility Data 2023'!$AE$2:$AE$10000,0),3),"")</f>
        <v/>
      </c>
      <c r="AD2339" s="20">
        <f t="shared" si="109"/>
        <v>0.30656415059232606</v>
      </c>
      <c r="AE2339" s="25">
        <f t="shared" si="110"/>
        <v>0.46485058976257609</v>
      </c>
    </row>
    <row r="2340" spans="1:31" x14ac:dyDescent="0.2">
      <c r="A2340" s="1" t="s">
        <v>383</v>
      </c>
      <c r="B2340" s="1" t="s">
        <v>5495</v>
      </c>
      <c r="C2340" s="1">
        <v>55062</v>
      </c>
      <c r="D2340" s="1">
        <v>3</v>
      </c>
      <c r="F2340" s="1">
        <v>2023</v>
      </c>
      <c r="G2340" s="5">
        <v>5793</v>
      </c>
      <c r="H2340" s="5">
        <v>5748.14</v>
      </c>
      <c r="I2340" s="5">
        <v>1331743.99</v>
      </c>
      <c r="K2340" s="5">
        <v>2.8620000000000001</v>
      </c>
      <c r="L2340" s="5">
        <v>1E-3</v>
      </c>
      <c r="M2340" s="5">
        <v>566945.62800000003</v>
      </c>
      <c r="N2340" s="6">
        <v>5.8999999999999997E-2</v>
      </c>
      <c r="O2340" s="5">
        <v>198.51</v>
      </c>
      <c r="P2340" s="6">
        <v>4.3099999999999999E-2</v>
      </c>
      <c r="Q2340" s="5">
        <v>9539966.7609999999</v>
      </c>
      <c r="R2340" s="1" t="s">
        <v>44</v>
      </c>
      <c r="S2340" s="1" t="s">
        <v>94</v>
      </c>
      <c r="T2340" s="1" t="s">
        <v>71</v>
      </c>
      <c r="V2340" s="1" t="s">
        <v>140</v>
      </c>
      <c r="Y2340" s="1" t="s">
        <v>346</v>
      </c>
      <c r="Z2340" s="1" t="str">
        <f t="shared" si="108"/>
        <v>55062 3</v>
      </c>
      <c r="AA2340" s="3">
        <f>IF(INDEX('CAMD Facility Data 2023'!$AA$2:$AE$10000,MATCH(Z2340,'CAMD Facility Data 2023'!$AE$2:$AE$10000,0),1)&gt;0,INDEX('CAMD Facility Data 2023'!$AA$2:$AE$10000,MATCH(Z2340,'CAMD Facility Data 2023'!$AE$2:$AE$10000,0),1),"")</f>
        <v>36667</v>
      </c>
      <c r="AB2340" s="5">
        <f>IF(INDEX('CAMD Facility Data 2023'!$AC$2:$AE$10000,MATCH(Z2340,'CAMD Facility Data 2023'!$AE$2:$AE$10000,0),1)&gt;0,INDEX('CAMD Facility Data 2023'!$AC$2:$AE$10000,MATCH(Z2340,'CAMD Facility Data 2023'!$AE$2:$AE$10000,0),1),"")</f>
        <v>2405</v>
      </c>
      <c r="AC2340" s="1" t="str">
        <f>IF(INDEX('CAMD Facility Data 2023'!$AE$2:$AG$10000,MATCH(Z2340,'CAMD Facility Data 2023'!$AE$2:$AE$10000,0),3)&gt;0,INDEX('CAMD Facility Data 2023'!$AE$2:$AG$10000,MATCH(Z2340,'CAMD Facility Data 2023'!$AE$2:$AE$10000,0),3),"")</f>
        <v/>
      </c>
      <c r="AD2340" s="20">
        <f t="shared" si="109"/>
        <v>0.29812036170705752</v>
      </c>
      <c r="AE2340" s="25">
        <f t="shared" si="110"/>
        <v>0.45282216277921755</v>
      </c>
    </row>
    <row r="2341" spans="1:31" x14ac:dyDescent="0.2">
      <c r="A2341" s="1" t="s">
        <v>1732</v>
      </c>
      <c r="B2341" s="1" t="s">
        <v>5502</v>
      </c>
      <c r="C2341" s="1">
        <v>55063</v>
      </c>
      <c r="D2341" s="1">
        <v>1</v>
      </c>
      <c r="F2341" s="1">
        <v>2023</v>
      </c>
      <c r="G2341" s="5">
        <v>7537</v>
      </c>
      <c r="H2341" s="5">
        <v>7519.41</v>
      </c>
      <c r="I2341" s="5">
        <v>1882208.71</v>
      </c>
      <c r="K2341" s="5">
        <v>4.5439999999999996</v>
      </c>
      <c r="L2341" s="5">
        <v>1E-3</v>
      </c>
      <c r="M2341" s="5">
        <v>900123.98600000003</v>
      </c>
      <c r="N2341" s="6">
        <v>5.8999999999999997E-2</v>
      </c>
      <c r="O2341" s="5">
        <v>206.76400000000001</v>
      </c>
      <c r="P2341" s="6">
        <v>2.75E-2</v>
      </c>
      <c r="Q2341" s="5">
        <v>15146259.33</v>
      </c>
      <c r="R2341" s="1" t="s">
        <v>44</v>
      </c>
      <c r="T2341" s="1" t="s">
        <v>71</v>
      </c>
      <c r="V2341" s="1" t="s">
        <v>223</v>
      </c>
      <c r="Y2341" s="1" t="s">
        <v>346</v>
      </c>
      <c r="Z2341" s="1" t="str">
        <f t="shared" si="108"/>
        <v>55063 1</v>
      </c>
      <c r="AA2341" s="3">
        <f>IF(INDEX('CAMD Facility Data 2023'!$AA$2:$AE$10000,MATCH(Z2341,'CAMD Facility Data 2023'!$AE$2:$AE$10000,0),1)&gt;0,INDEX('CAMD Facility Data 2023'!$AA$2:$AE$10000,MATCH(Z2341,'CAMD Facility Data 2023'!$AE$2:$AE$10000,0),1),"")</f>
        <v>36576</v>
      </c>
      <c r="AB2341" s="5">
        <f>IF(INDEX('CAMD Facility Data 2023'!$AC$2:$AE$10000,MATCH(Z2341,'CAMD Facility Data 2023'!$AE$2:$AE$10000,0),1)&gt;0,INDEX('CAMD Facility Data 2023'!$AC$2:$AE$10000,MATCH(Z2341,'CAMD Facility Data 2023'!$AE$2:$AE$10000,0),1),"")</f>
        <v>2300</v>
      </c>
      <c r="AC2341" s="1" t="str">
        <f>IF(INDEX('CAMD Facility Data 2023'!$AE$2:$AG$10000,MATCH(Z2341,'CAMD Facility Data 2023'!$AE$2:$AE$10000,0),3)&gt;0,INDEX('CAMD Facility Data 2023'!$AE$2:$AG$10000,MATCH(Z2341,'CAMD Facility Data 2023'!$AE$2:$AE$10000,0),3),"")</f>
        <v>Y</v>
      </c>
      <c r="AD2341" s="20">
        <f t="shared" si="109"/>
        <v>0.21970358430654591</v>
      </c>
      <c r="AE2341" s="25">
        <f t="shared" si="110"/>
        <v>0.7517500163787969</v>
      </c>
    </row>
    <row r="2342" spans="1:31" x14ac:dyDescent="0.2">
      <c r="A2342" s="1" t="s">
        <v>1732</v>
      </c>
      <c r="B2342" s="1" t="s">
        <v>5502</v>
      </c>
      <c r="C2342" s="1">
        <v>55063</v>
      </c>
      <c r="D2342" s="1">
        <v>2</v>
      </c>
      <c r="F2342" s="1">
        <v>2023</v>
      </c>
      <c r="G2342" s="5">
        <v>5018</v>
      </c>
      <c r="H2342" s="5">
        <v>4971.9399999999996</v>
      </c>
      <c r="I2342" s="5">
        <v>1219846.6000000001</v>
      </c>
      <c r="K2342" s="5">
        <v>2.8730000000000002</v>
      </c>
      <c r="L2342" s="5">
        <v>1E-3</v>
      </c>
      <c r="M2342" s="5">
        <v>569146.90099999995</v>
      </c>
      <c r="N2342" s="6">
        <v>5.8999999999999997E-2</v>
      </c>
      <c r="O2342" s="5">
        <v>121.252</v>
      </c>
      <c r="P2342" s="6">
        <v>2.5899999999999999E-2</v>
      </c>
      <c r="Q2342" s="5">
        <v>9576980.0590000004</v>
      </c>
      <c r="R2342" s="1" t="s">
        <v>44</v>
      </c>
      <c r="T2342" s="1" t="s">
        <v>71</v>
      </c>
      <c r="V2342" s="1" t="s">
        <v>223</v>
      </c>
      <c r="Y2342" s="1" t="s">
        <v>346</v>
      </c>
      <c r="Z2342" s="1" t="str">
        <f t="shared" si="108"/>
        <v>55063 2</v>
      </c>
      <c r="AA2342" s="3">
        <f>IF(INDEX('CAMD Facility Data 2023'!$AA$2:$AE$10000,MATCH(Z2342,'CAMD Facility Data 2023'!$AE$2:$AE$10000,0),1)&gt;0,INDEX('CAMD Facility Data 2023'!$AA$2:$AE$10000,MATCH(Z2342,'CAMD Facility Data 2023'!$AE$2:$AE$10000,0),1),"")</f>
        <v>36614</v>
      </c>
      <c r="AB2342" s="5">
        <f>IF(INDEX('CAMD Facility Data 2023'!$AC$2:$AE$10000,MATCH(Z2342,'CAMD Facility Data 2023'!$AE$2:$AE$10000,0),1)&gt;0,INDEX('CAMD Facility Data 2023'!$AC$2:$AE$10000,MATCH(Z2342,'CAMD Facility Data 2023'!$AE$2:$AE$10000,0),1),"")</f>
        <v>2300</v>
      </c>
      <c r="AC2342" s="1" t="str">
        <f>IF(INDEX('CAMD Facility Data 2023'!$AE$2:$AG$10000,MATCH(Z2342,'CAMD Facility Data 2023'!$AE$2:$AE$10000,0),3)&gt;0,INDEX('CAMD Facility Data 2023'!$AE$2:$AG$10000,MATCH(Z2342,'CAMD Facility Data 2023'!$AE$2:$AE$10000,0),3),"")</f>
        <v>Y</v>
      </c>
      <c r="AD2342" s="20">
        <f t="shared" si="109"/>
        <v>0.19879876699250543</v>
      </c>
      <c r="AE2342" s="25">
        <f t="shared" si="110"/>
        <v>0.47533154948381973</v>
      </c>
    </row>
    <row r="2343" spans="1:31" x14ac:dyDescent="0.2">
      <c r="A2343" s="1" t="s">
        <v>1732</v>
      </c>
      <c r="B2343" s="1" t="s">
        <v>5502</v>
      </c>
      <c r="C2343" s="1">
        <v>55063</v>
      </c>
      <c r="D2343" s="1">
        <v>3</v>
      </c>
      <c r="F2343" s="1">
        <v>2023</v>
      </c>
      <c r="G2343" s="5">
        <v>6458</v>
      </c>
      <c r="H2343" s="5">
        <v>6379.21</v>
      </c>
      <c r="I2343" s="5">
        <v>1548774.35</v>
      </c>
      <c r="K2343" s="5">
        <v>3.5939999999999999</v>
      </c>
      <c r="L2343" s="5">
        <v>1E-3</v>
      </c>
      <c r="M2343" s="5">
        <v>711946.63699999999</v>
      </c>
      <c r="N2343" s="6">
        <v>5.8999999999999997E-2</v>
      </c>
      <c r="O2343" s="5">
        <v>151.64099999999999</v>
      </c>
      <c r="P2343" s="6">
        <v>2.6200000000000001E-2</v>
      </c>
      <c r="Q2343" s="5">
        <v>11979796.691</v>
      </c>
      <c r="R2343" s="1" t="s">
        <v>44</v>
      </c>
      <c r="T2343" s="1" t="s">
        <v>71</v>
      </c>
      <c r="V2343" s="1" t="s">
        <v>223</v>
      </c>
      <c r="Y2343" s="1" t="s">
        <v>346</v>
      </c>
      <c r="Z2343" s="1" t="str">
        <f t="shared" si="108"/>
        <v>55063 3</v>
      </c>
      <c r="AA2343" s="3">
        <f>IF(INDEX('CAMD Facility Data 2023'!$AA$2:$AE$10000,MATCH(Z2343,'CAMD Facility Data 2023'!$AE$2:$AE$10000,0),1)&gt;0,INDEX('CAMD Facility Data 2023'!$AA$2:$AE$10000,MATCH(Z2343,'CAMD Facility Data 2023'!$AE$2:$AE$10000,0),1),"")</f>
        <v>36644</v>
      </c>
      <c r="AB2343" s="5">
        <f>IF(INDEX('CAMD Facility Data 2023'!$AC$2:$AE$10000,MATCH(Z2343,'CAMD Facility Data 2023'!$AE$2:$AE$10000,0),1)&gt;0,INDEX('CAMD Facility Data 2023'!$AC$2:$AE$10000,MATCH(Z2343,'CAMD Facility Data 2023'!$AE$2:$AE$10000,0),1),"")</f>
        <v>2500</v>
      </c>
      <c r="AC2343" s="1" t="str">
        <f>IF(INDEX('CAMD Facility Data 2023'!$AE$2:$AG$10000,MATCH(Z2343,'CAMD Facility Data 2023'!$AE$2:$AE$10000,0),3)&gt;0,INDEX('CAMD Facility Data 2023'!$AE$2:$AG$10000,MATCH(Z2343,'CAMD Facility Data 2023'!$AE$2:$AE$10000,0),3),"")</f>
        <v>Y</v>
      </c>
      <c r="AD2343" s="20">
        <f t="shared" si="109"/>
        <v>0.19582065005144228</v>
      </c>
      <c r="AE2343" s="25">
        <f t="shared" si="110"/>
        <v>0.54702267995433784</v>
      </c>
    </row>
    <row r="2344" spans="1:31" x14ac:dyDescent="0.2">
      <c r="A2344" s="1" t="s">
        <v>383</v>
      </c>
      <c r="B2344" s="1" t="s">
        <v>5508</v>
      </c>
      <c r="C2344" s="1">
        <v>55064</v>
      </c>
      <c r="D2344" s="1">
        <v>1</v>
      </c>
      <c r="F2344" s="1">
        <v>2023</v>
      </c>
      <c r="G2344" s="5">
        <v>8225</v>
      </c>
      <c r="H2344" s="5">
        <v>8215.01</v>
      </c>
      <c r="I2344" s="5">
        <v>897072.65</v>
      </c>
      <c r="K2344" s="5">
        <v>30.759</v>
      </c>
      <c r="L2344" s="5">
        <v>6.4999999999999997E-3</v>
      </c>
      <c r="M2344" s="5">
        <v>537089.21299999999</v>
      </c>
      <c r="N2344" s="6">
        <v>5.9799999999999999E-2</v>
      </c>
      <c r="O2344" s="5">
        <v>197.13900000000001</v>
      </c>
      <c r="P2344" s="6">
        <v>4.3700000000000003E-2</v>
      </c>
      <c r="Q2344" s="5">
        <v>9001138.6089999992</v>
      </c>
      <c r="R2344" s="1" t="s">
        <v>44</v>
      </c>
      <c r="S2344" s="1" t="s">
        <v>1432</v>
      </c>
      <c r="T2344" s="1" t="s">
        <v>93</v>
      </c>
      <c r="V2344" s="1" t="s">
        <v>858</v>
      </c>
      <c r="Y2344" s="1" t="s">
        <v>346</v>
      </c>
      <c r="Z2344" s="1" t="str">
        <f t="shared" si="108"/>
        <v>55064 1</v>
      </c>
      <c r="AA2344" s="3">
        <f>IF(INDEX('CAMD Facility Data 2023'!$AA$2:$AE$10000,MATCH(Z2344,'CAMD Facility Data 2023'!$AE$2:$AE$10000,0),1)&gt;0,INDEX('CAMD Facility Data 2023'!$AA$2:$AE$10000,MATCH(Z2344,'CAMD Facility Data 2023'!$AE$2:$AE$10000,0),1),"")</f>
        <v>36028</v>
      </c>
      <c r="AB2344" s="5">
        <f>IF(INDEX('CAMD Facility Data 2023'!$AC$2:$AE$10000,MATCH(Z2344,'CAMD Facility Data 2023'!$AE$2:$AE$10000,0),1)&gt;0,INDEX('CAMD Facility Data 2023'!$AC$2:$AE$10000,MATCH(Z2344,'CAMD Facility Data 2023'!$AE$2:$AE$10000,0),1),"")</f>
        <v>2002</v>
      </c>
      <c r="AC2344" s="1" t="str">
        <f>IF(INDEX('CAMD Facility Data 2023'!$AE$2:$AG$10000,MATCH(Z2344,'CAMD Facility Data 2023'!$AE$2:$AE$10000,0),3)&gt;0,INDEX('CAMD Facility Data 2023'!$AE$2:$AG$10000,MATCH(Z2344,'CAMD Facility Data 2023'!$AE$2:$AE$10000,0),3),"")</f>
        <v>Y</v>
      </c>
      <c r="AD2344" s="20">
        <f t="shared" si="109"/>
        <v>0.43951624207916717</v>
      </c>
      <c r="AE2344" s="25">
        <f t="shared" si="110"/>
        <v>0.51325036886629349</v>
      </c>
    </row>
    <row r="2345" spans="1:31" x14ac:dyDescent="0.2">
      <c r="A2345" s="1" t="s">
        <v>383</v>
      </c>
      <c r="B2345" s="1" t="s">
        <v>5508</v>
      </c>
      <c r="C2345" s="1">
        <v>55064</v>
      </c>
      <c r="D2345" s="1">
        <v>2</v>
      </c>
      <c r="F2345" s="1">
        <v>2023</v>
      </c>
      <c r="G2345" s="5">
        <v>7744</v>
      </c>
      <c r="H2345" s="5">
        <v>7730.09</v>
      </c>
      <c r="I2345" s="5">
        <v>843661.06</v>
      </c>
      <c r="K2345" s="5">
        <v>30.702999999999999</v>
      </c>
      <c r="L2345" s="5">
        <v>7.0000000000000001E-3</v>
      </c>
      <c r="M2345" s="5">
        <v>507726.77</v>
      </c>
      <c r="N2345" s="6">
        <v>5.9900000000000002E-2</v>
      </c>
      <c r="O2345" s="5">
        <v>210.47200000000001</v>
      </c>
      <c r="P2345" s="6">
        <v>4.9700000000000001E-2</v>
      </c>
      <c r="Q2345" s="5">
        <v>8506556.9100000001</v>
      </c>
      <c r="R2345" s="1" t="s">
        <v>44</v>
      </c>
      <c r="S2345" s="1" t="s">
        <v>1432</v>
      </c>
      <c r="T2345" s="1" t="s">
        <v>93</v>
      </c>
      <c r="V2345" s="1" t="s">
        <v>858</v>
      </c>
      <c r="Y2345" s="1" t="s">
        <v>346</v>
      </c>
      <c r="Z2345" s="1" t="str">
        <f t="shared" si="108"/>
        <v>55064 2</v>
      </c>
      <c r="AA2345" s="3">
        <f>IF(INDEX('CAMD Facility Data 2023'!$AA$2:$AE$10000,MATCH(Z2345,'CAMD Facility Data 2023'!$AE$2:$AE$10000,0),1)&gt;0,INDEX('CAMD Facility Data 2023'!$AA$2:$AE$10000,MATCH(Z2345,'CAMD Facility Data 2023'!$AE$2:$AE$10000,0),1),"")</f>
        <v>36031</v>
      </c>
      <c r="AB2345" s="5">
        <f>IF(INDEX('CAMD Facility Data 2023'!$AC$2:$AE$10000,MATCH(Z2345,'CAMD Facility Data 2023'!$AE$2:$AE$10000,0),1)&gt;0,INDEX('CAMD Facility Data 2023'!$AC$2:$AE$10000,MATCH(Z2345,'CAMD Facility Data 2023'!$AE$2:$AE$10000,0),1),"")</f>
        <v>2002</v>
      </c>
      <c r="AC2345" s="1" t="str">
        <f>IF(INDEX('CAMD Facility Data 2023'!$AE$2:$AG$10000,MATCH(Z2345,'CAMD Facility Data 2023'!$AE$2:$AE$10000,0),3)&gt;0,INDEX('CAMD Facility Data 2023'!$AE$2:$AG$10000,MATCH(Z2345,'CAMD Facility Data 2023'!$AE$2:$AE$10000,0),3),"")</f>
        <v>Y</v>
      </c>
      <c r="AD2345" s="20">
        <f t="shared" si="109"/>
        <v>0.4989491870111914</v>
      </c>
      <c r="AE2345" s="25">
        <f t="shared" si="110"/>
        <v>0.48504902118429516</v>
      </c>
    </row>
    <row r="2346" spans="1:31" x14ac:dyDescent="0.2">
      <c r="A2346" s="1" t="s">
        <v>383</v>
      </c>
      <c r="B2346" s="1" t="s">
        <v>5514</v>
      </c>
      <c r="C2346" s="1">
        <v>55065</v>
      </c>
      <c r="D2346" s="1">
        <v>1</v>
      </c>
      <c r="F2346" s="1">
        <v>2023</v>
      </c>
      <c r="G2346" s="5">
        <v>6442</v>
      </c>
      <c r="H2346" s="5">
        <v>6335.31</v>
      </c>
      <c r="I2346" s="5">
        <v>1119391.0900000001</v>
      </c>
      <c r="K2346" s="5">
        <v>2.5950000000000002</v>
      </c>
      <c r="L2346" s="5">
        <v>1E-3</v>
      </c>
      <c r="M2346" s="5">
        <v>514065.58100000001</v>
      </c>
      <c r="N2346" s="6">
        <v>5.8999999999999997E-2</v>
      </c>
      <c r="O2346" s="5">
        <v>184.91399999999999</v>
      </c>
      <c r="P2346" s="6">
        <v>4.7E-2</v>
      </c>
      <c r="Q2346" s="5">
        <v>8650064.6640000008</v>
      </c>
      <c r="R2346" s="1" t="s">
        <v>44</v>
      </c>
      <c r="T2346" s="1" t="s">
        <v>71</v>
      </c>
      <c r="V2346" s="1" t="s">
        <v>140</v>
      </c>
      <c r="Y2346" s="1" t="s">
        <v>346</v>
      </c>
      <c r="Z2346" s="1" t="str">
        <f t="shared" si="108"/>
        <v>55065 1</v>
      </c>
      <c r="AA2346" s="3">
        <f>IF(INDEX('CAMD Facility Data 2023'!$AA$2:$AE$10000,MATCH(Z2346,'CAMD Facility Data 2023'!$AE$2:$AE$10000,0),1)&gt;0,INDEX('CAMD Facility Data 2023'!$AA$2:$AE$10000,MATCH(Z2346,'CAMD Facility Data 2023'!$AE$2:$AE$10000,0),1),"")</f>
        <v>36257</v>
      </c>
      <c r="AB2346" s="5">
        <f>IF(INDEX('CAMD Facility Data 2023'!$AC$2:$AE$10000,MATCH(Z2346,'CAMD Facility Data 2023'!$AE$2:$AE$10000,0),1)&gt;0,INDEX('CAMD Facility Data 2023'!$AC$2:$AE$10000,MATCH(Z2346,'CAMD Facility Data 2023'!$AE$2:$AE$10000,0),1),"")</f>
        <v>1920</v>
      </c>
      <c r="AC2346" s="1" t="str">
        <f>IF(INDEX('CAMD Facility Data 2023'!$AE$2:$AG$10000,MATCH(Z2346,'CAMD Facility Data 2023'!$AE$2:$AE$10000,0),3)&gt;0,INDEX('CAMD Facility Data 2023'!$AE$2:$AG$10000,MATCH(Z2346,'CAMD Facility Data 2023'!$AE$2:$AE$10000,0),3),"")</f>
        <v/>
      </c>
      <c r="AD2346" s="20">
        <f t="shared" si="109"/>
        <v>0.33038319073988698</v>
      </c>
      <c r="AE2346" s="25">
        <f t="shared" si="110"/>
        <v>0.514297033390411</v>
      </c>
    </row>
    <row r="2347" spans="1:31" x14ac:dyDescent="0.2">
      <c r="A2347" s="1" t="s">
        <v>383</v>
      </c>
      <c r="B2347" s="1" t="s">
        <v>5514</v>
      </c>
      <c r="C2347" s="1">
        <v>55065</v>
      </c>
      <c r="D2347" s="1">
        <v>2</v>
      </c>
      <c r="F2347" s="1">
        <v>2023</v>
      </c>
      <c r="G2347" s="5">
        <v>5794</v>
      </c>
      <c r="H2347" s="5">
        <v>5688.74</v>
      </c>
      <c r="I2347" s="5">
        <v>1016394.74</v>
      </c>
      <c r="K2347" s="5">
        <v>2.3580000000000001</v>
      </c>
      <c r="L2347" s="5">
        <v>1E-3</v>
      </c>
      <c r="M2347" s="5">
        <v>467007.24300000002</v>
      </c>
      <c r="N2347" s="6">
        <v>5.8999999999999997E-2</v>
      </c>
      <c r="O2347" s="5">
        <v>148.78299999999999</v>
      </c>
      <c r="P2347" s="6">
        <v>4.2299999999999997E-2</v>
      </c>
      <c r="Q2347" s="5">
        <v>7858373.8490000004</v>
      </c>
      <c r="R2347" s="1" t="s">
        <v>44</v>
      </c>
      <c r="T2347" s="1" t="s">
        <v>71</v>
      </c>
      <c r="V2347" s="1" t="s">
        <v>140</v>
      </c>
      <c r="Y2347" s="1" t="s">
        <v>346</v>
      </c>
      <c r="Z2347" s="1" t="str">
        <f t="shared" si="108"/>
        <v>55065 2</v>
      </c>
      <c r="AA2347" s="3">
        <f>IF(INDEX('CAMD Facility Data 2023'!$AA$2:$AE$10000,MATCH(Z2347,'CAMD Facility Data 2023'!$AE$2:$AE$10000,0),1)&gt;0,INDEX('CAMD Facility Data 2023'!$AA$2:$AE$10000,MATCH(Z2347,'CAMD Facility Data 2023'!$AE$2:$AE$10000,0),1),"")</f>
        <v>36283</v>
      </c>
      <c r="AB2347" s="5">
        <f>IF(INDEX('CAMD Facility Data 2023'!$AC$2:$AE$10000,MATCH(Z2347,'CAMD Facility Data 2023'!$AE$2:$AE$10000,0),1)&gt;0,INDEX('CAMD Facility Data 2023'!$AC$2:$AE$10000,MATCH(Z2347,'CAMD Facility Data 2023'!$AE$2:$AE$10000,0),1),"")</f>
        <v>1920</v>
      </c>
      <c r="AC2347" s="1" t="str">
        <f>IF(INDEX('CAMD Facility Data 2023'!$AE$2:$AG$10000,MATCH(Z2347,'CAMD Facility Data 2023'!$AE$2:$AE$10000,0),3)&gt;0,INDEX('CAMD Facility Data 2023'!$AE$2:$AG$10000,MATCH(Z2347,'CAMD Facility Data 2023'!$AE$2:$AE$10000,0),3),"")</f>
        <v/>
      </c>
      <c r="AD2347" s="20">
        <f t="shared" si="109"/>
        <v>0.29276617468524091</v>
      </c>
      <c r="AE2347" s="25">
        <f t="shared" si="110"/>
        <v>0.46722637515458526</v>
      </c>
    </row>
    <row r="2348" spans="1:31" x14ac:dyDescent="0.2">
      <c r="A2348" s="1" t="s">
        <v>1505</v>
      </c>
      <c r="B2348" s="1" t="s">
        <v>5521</v>
      </c>
      <c r="C2348" s="1">
        <v>55068</v>
      </c>
      <c r="D2348" s="1">
        <v>1</v>
      </c>
      <c r="F2348" s="1">
        <v>2023</v>
      </c>
      <c r="G2348" s="5">
        <v>3141</v>
      </c>
      <c r="H2348" s="5">
        <v>2959.68</v>
      </c>
      <c r="I2348" s="5">
        <v>330437.92</v>
      </c>
      <c r="K2348" s="5">
        <v>1.167</v>
      </c>
      <c r="L2348" s="5">
        <v>1E-3</v>
      </c>
      <c r="M2348" s="5">
        <v>231109.19</v>
      </c>
      <c r="N2348" s="6">
        <v>5.8999999999999997E-2</v>
      </c>
      <c r="O2348" s="5">
        <v>31.271999999999998</v>
      </c>
      <c r="P2348" s="6">
        <v>2.4299999999999999E-2</v>
      </c>
      <c r="Q2348" s="5">
        <v>3888838.22</v>
      </c>
      <c r="R2348" s="1" t="s">
        <v>44</v>
      </c>
      <c r="T2348" s="1" t="s">
        <v>71</v>
      </c>
      <c r="V2348" s="1" t="s">
        <v>64</v>
      </c>
      <c r="Y2348" s="1" t="s">
        <v>5049</v>
      </c>
      <c r="Z2348" s="1" t="str">
        <f t="shared" si="108"/>
        <v>55068 1</v>
      </c>
      <c r="AA2348" s="3">
        <f>IF(INDEX('CAMD Facility Data 2023'!$AA$2:$AE$10000,MATCH(Z2348,'CAMD Facility Data 2023'!$AE$2:$AE$10000,0),1)&gt;0,INDEX('CAMD Facility Data 2023'!$AA$2:$AE$10000,MATCH(Z2348,'CAMD Facility Data 2023'!$AE$2:$AE$10000,0),1),"")</f>
        <v>36600</v>
      </c>
      <c r="AB2348" s="5">
        <f>IF(INDEX('CAMD Facility Data 2023'!$AC$2:$AE$10000,MATCH(Z2348,'CAMD Facility Data 2023'!$AE$2:$AE$10000,0),1)&gt;0,INDEX('CAMD Facility Data 2023'!$AC$2:$AE$10000,MATCH(Z2348,'CAMD Facility Data 2023'!$AE$2:$AE$10000,0),1),"")</f>
        <v>1937</v>
      </c>
      <c r="AC2348" s="1" t="str">
        <f>IF(INDEX('CAMD Facility Data 2023'!$AE$2:$AG$10000,MATCH(Z2348,'CAMD Facility Data 2023'!$AE$2:$AE$10000,0),3)&gt;0,INDEX('CAMD Facility Data 2023'!$AE$2:$AG$10000,MATCH(Z2348,'CAMD Facility Data 2023'!$AE$2:$AE$10000,0),3),"")</f>
        <v>Y</v>
      </c>
      <c r="AD2348" s="20">
        <f t="shared" si="109"/>
        <v>0.1892760976101048</v>
      </c>
      <c r="AE2348" s="25">
        <f t="shared" si="110"/>
        <v>0.2291849786540878</v>
      </c>
    </row>
    <row r="2349" spans="1:31" x14ac:dyDescent="0.2">
      <c r="A2349" s="1" t="s">
        <v>1505</v>
      </c>
      <c r="B2349" s="1" t="s">
        <v>5521</v>
      </c>
      <c r="C2349" s="1">
        <v>55068</v>
      </c>
      <c r="D2349" s="1">
        <v>2</v>
      </c>
      <c r="F2349" s="1">
        <v>2023</v>
      </c>
      <c r="G2349" s="5">
        <v>2446</v>
      </c>
      <c r="H2349" s="5">
        <v>2316.0100000000002</v>
      </c>
      <c r="I2349" s="5">
        <v>263369.07</v>
      </c>
      <c r="K2349" s="5">
        <v>0.92900000000000005</v>
      </c>
      <c r="L2349" s="5">
        <v>1E-3</v>
      </c>
      <c r="M2349" s="5">
        <v>183978.321</v>
      </c>
      <c r="N2349" s="6">
        <v>5.8999999999999997E-2</v>
      </c>
      <c r="O2349" s="5">
        <v>24.117000000000001</v>
      </c>
      <c r="P2349" s="6">
        <v>2.3800000000000002E-2</v>
      </c>
      <c r="Q2349" s="5">
        <v>3095805.6189999999</v>
      </c>
      <c r="R2349" s="1" t="s">
        <v>44</v>
      </c>
      <c r="T2349" s="1" t="s">
        <v>71</v>
      </c>
      <c r="V2349" s="1" t="s">
        <v>64</v>
      </c>
      <c r="Y2349" s="1" t="s">
        <v>5049</v>
      </c>
      <c r="Z2349" s="1" t="str">
        <f t="shared" si="108"/>
        <v>55068 2</v>
      </c>
      <c r="AA2349" s="3">
        <f>IF(INDEX('CAMD Facility Data 2023'!$AA$2:$AE$10000,MATCH(Z2349,'CAMD Facility Data 2023'!$AE$2:$AE$10000,0),1)&gt;0,INDEX('CAMD Facility Data 2023'!$AA$2:$AE$10000,MATCH(Z2349,'CAMD Facility Data 2023'!$AE$2:$AE$10000,0),1),"")</f>
        <v>36607</v>
      </c>
      <c r="AB2349" s="5">
        <f>IF(INDEX('CAMD Facility Data 2023'!$AC$2:$AE$10000,MATCH(Z2349,'CAMD Facility Data 2023'!$AE$2:$AE$10000,0),1)&gt;0,INDEX('CAMD Facility Data 2023'!$AC$2:$AE$10000,MATCH(Z2349,'CAMD Facility Data 2023'!$AE$2:$AE$10000,0),1),"")</f>
        <v>1937</v>
      </c>
      <c r="AC2349" s="1" t="str">
        <f>IF(INDEX('CAMD Facility Data 2023'!$AE$2:$AG$10000,MATCH(Z2349,'CAMD Facility Data 2023'!$AE$2:$AE$10000,0),3)&gt;0,INDEX('CAMD Facility Data 2023'!$AE$2:$AG$10000,MATCH(Z2349,'CAMD Facility Data 2023'!$AE$2:$AE$10000,0),3),"")</f>
        <v>Y</v>
      </c>
      <c r="AD2349" s="20">
        <f t="shared" si="109"/>
        <v>0.18314223458358264</v>
      </c>
      <c r="AE2349" s="25">
        <f t="shared" si="110"/>
        <v>0.1824483572134096</v>
      </c>
    </row>
    <row r="2350" spans="1:31" x14ac:dyDescent="0.2">
      <c r="A2350" s="1" t="s">
        <v>348</v>
      </c>
      <c r="B2350" s="1" t="s">
        <v>5527</v>
      </c>
      <c r="C2350" s="1">
        <v>55075</v>
      </c>
      <c r="D2350" s="1" t="s">
        <v>1296</v>
      </c>
      <c r="F2350" s="1">
        <v>2023</v>
      </c>
      <c r="G2350" s="5">
        <v>7348</v>
      </c>
      <c r="H2350" s="5">
        <v>7334.47</v>
      </c>
      <c r="I2350" s="5">
        <v>1772280.94</v>
      </c>
      <c r="K2350" s="5">
        <v>3.6539999999999999</v>
      </c>
      <c r="L2350" s="5">
        <v>1E-3</v>
      </c>
      <c r="M2350" s="5">
        <v>723729.576</v>
      </c>
      <c r="N2350" s="6">
        <v>5.8999999999999997E-2</v>
      </c>
      <c r="O2350" s="5">
        <v>279.12200000000001</v>
      </c>
      <c r="P2350" s="6">
        <v>4.65E-2</v>
      </c>
      <c r="Q2350" s="5">
        <v>12178114.437999999</v>
      </c>
      <c r="R2350" s="1" t="s">
        <v>44</v>
      </c>
      <c r="T2350" s="1" t="s">
        <v>71</v>
      </c>
      <c r="V2350" s="1" t="s">
        <v>140</v>
      </c>
      <c r="Y2350" s="1" t="s">
        <v>346</v>
      </c>
      <c r="Z2350" s="1" t="str">
        <f t="shared" si="108"/>
        <v>55075 CT-1</v>
      </c>
      <c r="AA2350" s="3">
        <f>IF(INDEX('CAMD Facility Data 2023'!$AA$2:$AE$10000,MATCH(Z2350,'CAMD Facility Data 2023'!$AE$2:$AE$10000,0),1)&gt;0,INDEX('CAMD Facility Data 2023'!$AA$2:$AE$10000,MATCH(Z2350,'CAMD Facility Data 2023'!$AE$2:$AE$10000,0),1),"")</f>
        <v>37134</v>
      </c>
      <c r="AB2350" s="5">
        <f>IF(INDEX('CAMD Facility Data 2023'!$AC$2:$AE$10000,MATCH(Z2350,'CAMD Facility Data 2023'!$AE$2:$AE$10000,0),1)&gt;0,INDEX('CAMD Facility Data 2023'!$AC$2:$AE$10000,MATCH(Z2350,'CAMD Facility Data 2023'!$AE$2:$AE$10000,0),1),"")</f>
        <v>2406</v>
      </c>
      <c r="AC2350" s="1" t="str">
        <f>IF(INDEX('CAMD Facility Data 2023'!$AE$2:$AG$10000,MATCH(Z2350,'CAMD Facility Data 2023'!$AE$2:$AE$10000,0),3)&gt;0,INDEX('CAMD Facility Data 2023'!$AE$2:$AG$10000,MATCH(Z2350,'CAMD Facility Data 2023'!$AE$2:$AE$10000,0),3),"")</f>
        <v/>
      </c>
      <c r="AD2350" s="20">
        <f t="shared" si="109"/>
        <v>0.31498617820716396</v>
      </c>
      <c r="AE2350" s="25">
        <f t="shared" si="110"/>
        <v>0.57780370411490301</v>
      </c>
    </row>
    <row r="2351" spans="1:31" x14ac:dyDescent="0.2">
      <c r="A2351" s="1" t="s">
        <v>1732</v>
      </c>
      <c r="B2351" s="1" t="s">
        <v>5530</v>
      </c>
      <c r="C2351" s="1">
        <v>55076</v>
      </c>
      <c r="D2351" s="1" t="s">
        <v>5531</v>
      </c>
      <c r="E2351" s="1" t="s">
        <v>1963</v>
      </c>
      <c r="F2351" s="1">
        <v>2023</v>
      </c>
      <c r="G2351" s="5">
        <v>6868</v>
      </c>
      <c r="H2351" s="5">
        <v>6849</v>
      </c>
      <c r="J2351" s="5">
        <v>9801937.5</v>
      </c>
      <c r="K2351" s="5">
        <v>1313.7449999999999</v>
      </c>
      <c r="L2351" s="5">
        <v>0.17760000000000001</v>
      </c>
      <c r="M2351" s="5">
        <v>1698187.9</v>
      </c>
      <c r="N2351" s="6">
        <v>0.1075</v>
      </c>
      <c r="O2351" s="5">
        <v>857.42499999999995</v>
      </c>
      <c r="P2351" s="6">
        <v>0.109</v>
      </c>
      <c r="Q2351" s="5">
        <v>15619704.199999999</v>
      </c>
      <c r="R2351" s="1" t="s">
        <v>55</v>
      </c>
      <c r="S2351" s="1" t="s">
        <v>284</v>
      </c>
      <c r="T2351" s="1" t="s">
        <v>885</v>
      </c>
      <c r="U2351" s="1" t="s">
        <v>1069</v>
      </c>
      <c r="V2351" s="1" t="s">
        <v>454</v>
      </c>
      <c r="W2351" s="1" t="s">
        <v>232</v>
      </c>
      <c r="X2351" s="1" t="s">
        <v>344</v>
      </c>
      <c r="Y2351" s="1" t="s">
        <v>337</v>
      </c>
      <c r="Z2351" s="1" t="str">
        <f t="shared" si="108"/>
        <v>55076 AA001</v>
      </c>
      <c r="AA2351" s="3">
        <f>IF(INDEX('CAMD Facility Data 2023'!$AA$2:$AE$10000,MATCH(Z2351,'CAMD Facility Data 2023'!$AE$2:$AE$10000,0),1)&gt;0,INDEX('CAMD Facility Data 2023'!$AA$2:$AE$10000,MATCH(Z2351,'CAMD Facility Data 2023'!$AE$2:$AE$10000,0),1),"")</f>
        <v>36944</v>
      </c>
      <c r="AB2351" s="5">
        <f>IF(INDEX('CAMD Facility Data 2023'!$AC$2:$AE$10000,MATCH(Z2351,'CAMD Facility Data 2023'!$AE$2:$AE$10000,0),1)&gt;0,INDEX('CAMD Facility Data 2023'!$AC$2:$AE$10000,MATCH(Z2351,'CAMD Facility Data 2023'!$AE$2:$AE$10000,0),1),"")</f>
        <v>3500</v>
      </c>
      <c r="AC2351" s="1" t="str">
        <f>IF(INDEX('CAMD Facility Data 2023'!$AE$2:$AG$10000,MATCH(Z2351,'CAMD Facility Data 2023'!$AE$2:$AE$10000,0),3)&gt;0,INDEX('CAMD Facility Data 2023'!$AE$2:$AG$10000,MATCH(Z2351,'CAMD Facility Data 2023'!$AE$2:$AE$10000,0),3),"")</f>
        <v/>
      </c>
      <c r="AD2351" s="20" t="str">
        <f t="shared" si="109"/>
        <v/>
      </c>
      <c r="AE2351" s="25">
        <f t="shared" si="110"/>
        <v>0.50944893020221782</v>
      </c>
    </row>
    <row r="2352" spans="1:31" x14ac:dyDescent="0.2">
      <c r="A2352" s="1" t="s">
        <v>1732</v>
      </c>
      <c r="B2352" s="1" t="s">
        <v>5530</v>
      </c>
      <c r="C2352" s="1">
        <v>55076</v>
      </c>
      <c r="D2352" s="1" t="s">
        <v>5535</v>
      </c>
      <c r="E2352" s="1" t="s">
        <v>1963</v>
      </c>
      <c r="F2352" s="1">
        <v>2023</v>
      </c>
      <c r="G2352" s="5">
        <v>6877</v>
      </c>
      <c r="H2352" s="5">
        <v>6859.5</v>
      </c>
      <c r="J2352" s="5">
        <v>10140745</v>
      </c>
      <c r="K2352" s="5">
        <v>1190.212</v>
      </c>
      <c r="L2352" s="5">
        <v>0.1525</v>
      </c>
      <c r="M2352" s="5">
        <v>1753680.5249999999</v>
      </c>
      <c r="N2352" s="6">
        <v>0.10780000000000001</v>
      </c>
      <c r="O2352" s="5">
        <v>864.68100000000004</v>
      </c>
      <c r="P2352" s="6">
        <v>0.1071</v>
      </c>
      <c r="Q2352" s="5">
        <v>16121531.050000001</v>
      </c>
      <c r="R2352" s="1" t="s">
        <v>55</v>
      </c>
      <c r="S2352" s="1" t="s">
        <v>284</v>
      </c>
      <c r="T2352" s="1" t="s">
        <v>885</v>
      </c>
      <c r="U2352" s="1" t="s">
        <v>1069</v>
      </c>
      <c r="V2352" s="1" t="s">
        <v>454</v>
      </c>
      <c r="W2352" s="1" t="s">
        <v>232</v>
      </c>
      <c r="X2352" s="1" t="s">
        <v>344</v>
      </c>
      <c r="Y2352" s="1" t="s">
        <v>337</v>
      </c>
      <c r="Z2352" s="1" t="str">
        <f t="shared" si="108"/>
        <v>55076 AA002</v>
      </c>
      <c r="AA2352" s="3">
        <f>IF(INDEX('CAMD Facility Data 2023'!$AA$2:$AE$10000,MATCH(Z2352,'CAMD Facility Data 2023'!$AE$2:$AE$10000,0),1)&gt;0,INDEX('CAMD Facility Data 2023'!$AA$2:$AE$10000,MATCH(Z2352,'CAMD Facility Data 2023'!$AE$2:$AE$10000,0),1),"")</f>
        <v>36936</v>
      </c>
      <c r="AB2352" s="5">
        <f>IF(INDEX('CAMD Facility Data 2023'!$AC$2:$AE$10000,MATCH(Z2352,'CAMD Facility Data 2023'!$AE$2:$AE$10000,0),1)&gt;0,INDEX('CAMD Facility Data 2023'!$AC$2:$AE$10000,MATCH(Z2352,'CAMD Facility Data 2023'!$AE$2:$AE$10000,0),1),"")</f>
        <v>3500</v>
      </c>
      <c r="AC2352" s="1" t="str">
        <f>IF(INDEX('CAMD Facility Data 2023'!$AE$2:$AG$10000,MATCH(Z2352,'CAMD Facility Data 2023'!$AE$2:$AE$10000,0),3)&gt;0,INDEX('CAMD Facility Data 2023'!$AE$2:$AG$10000,MATCH(Z2352,'CAMD Facility Data 2023'!$AE$2:$AE$10000,0),3),"")</f>
        <v/>
      </c>
      <c r="AD2352" s="20" t="str">
        <f t="shared" si="109"/>
        <v/>
      </c>
      <c r="AE2352" s="25">
        <f t="shared" si="110"/>
        <v>0.52581640737116764</v>
      </c>
    </row>
    <row r="2353" spans="1:31" x14ac:dyDescent="0.2">
      <c r="A2353" s="1" t="s">
        <v>1903</v>
      </c>
      <c r="B2353" s="1" t="s">
        <v>5536</v>
      </c>
      <c r="C2353" s="1">
        <v>55077</v>
      </c>
      <c r="D2353" s="1" t="s">
        <v>5537</v>
      </c>
      <c r="F2353" s="1">
        <v>2023</v>
      </c>
      <c r="G2353" s="5">
        <v>4489</v>
      </c>
      <c r="H2353" s="5">
        <v>4310.3900000000003</v>
      </c>
      <c r="I2353" s="5">
        <v>861747</v>
      </c>
      <c r="K2353" s="5">
        <v>1.931</v>
      </c>
      <c r="L2353" s="5">
        <v>1E-3</v>
      </c>
      <c r="M2353" s="5">
        <v>382535.64</v>
      </c>
      <c r="N2353" s="6">
        <v>5.8999999999999997E-2</v>
      </c>
      <c r="O2353" s="5">
        <v>38.505000000000003</v>
      </c>
      <c r="P2353" s="6">
        <v>1.32E-2</v>
      </c>
      <c r="Q2353" s="5">
        <v>6436896.4380000001</v>
      </c>
      <c r="R2353" s="1" t="s">
        <v>44</v>
      </c>
      <c r="T2353" s="1" t="s">
        <v>71</v>
      </c>
      <c r="V2353" s="1" t="s">
        <v>223</v>
      </c>
      <c r="Y2353" s="1" t="s">
        <v>247</v>
      </c>
      <c r="Z2353" s="1" t="str">
        <f t="shared" si="108"/>
        <v>55077 EDE1</v>
      </c>
      <c r="AA2353" s="3">
        <f>IF(INDEX('CAMD Facility Data 2023'!$AA$2:$AE$10000,MATCH(Z2353,'CAMD Facility Data 2023'!$AE$2:$AE$10000,0),1)&gt;0,INDEX('CAMD Facility Data 2023'!$AA$2:$AE$10000,MATCH(Z2353,'CAMD Facility Data 2023'!$AE$2:$AE$10000,0),1),"")</f>
        <v>36635</v>
      </c>
      <c r="AB2353" s="5">
        <f>IF(INDEX('CAMD Facility Data 2023'!$AC$2:$AE$10000,MATCH(Z2353,'CAMD Facility Data 2023'!$AE$2:$AE$10000,0),1)&gt;0,INDEX('CAMD Facility Data 2023'!$AC$2:$AE$10000,MATCH(Z2353,'CAMD Facility Data 2023'!$AE$2:$AE$10000,0),1),"")</f>
        <v>1925</v>
      </c>
      <c r="AC2353" s="1" t="str">
        <f>IF(INDEX('CAMD Facility Data 2023'!$AE$2:$AG$10000,MATCH(Z2353,'CAMD Facility Data 2023'!$AE$2:$AE$10000,0),3)&gt;0,INDEX('CAMD Facility Data 2023'!$AE$2:$AG$10000,MATCH(Z2353,'CAMD Facility Data 2023'!$AE$2:$AE$10000,0),3),"")</f>
        <v>Y</v>
      </c>
      <c r="AD2353" s="20">
        <f t="shared" si="109"/>
        <v>8.9364976031248156E-2</v>
      </c>
      <c r="AE2353" s="25">
        <f t="shared" si="110"/>
        <v>0.3817171581569116</v>
      </c>
    </row>
    <row r="2354" spans="1:31" x14ac:dyDescent="0.2">
      <c r="A2354" s="1" t="s">
        <v>1903</v>
      </c>
      <c r="B2354" s="1" t="s">
        <v>5536</v>
      </c>
      <c r="C2354" s="1">
        <v>55077</v>
      </c>
      <c r="D2354" s="1" t="s">
        <v>5540</v>
      </c>
      <c r="F2354" s="1">
        <v>2023</v>
      </c>
      <c r="G2354" s="5">
        <v>4293</v>
      </c>
      <c r="H2354" s="5">
        <v>4077.15</v>
      </c>
      <c r="I2354" s="5">
        <v>826638.07</v>
      </c>
      <c r="K2354" s="5">
        <v>1.8460000000000001</v>
      </c>
      <c r="L2354" s="5">
        <v>1E-3</v>
      </c>
      <c r="M2354" s="5">
        <v>365621.94799999997</v>
      </c>
      <c r="N2354" s="6">
        <v>5.8999999999999997E-2</v>
      </c>
      <c r="O2354" s="5">
        <v>37.356999999999999</v>
      </c>
      <c r="P2354" s="6">
        <v>1.3599999999999999E-2</v>
      </c>
      <c r="Q2354" s="5">
        <v>6152341.1320000002</v>
      </c>
      <c r="R2354" s="1" t="s">
        <v>44</v>
      </c>
      <c r="T2354" s="1" t="s">
        <v>71</v>
      </c>
      <c r="V2354" s="1" t="s">
        <v>223</v>
      </c>
      <c r="Y2354" s="1" t="s">
        <v>247</v>
      </c>
      <c r="Z2354" s="1" t="str">
        <f t="shared" si="108"/>
        <v>55077 EDE2</v>
      </c>
      <c r="AA2354" s="3">
        <f>IF(INDEX('CAMD Facility Data 2023'!$AA$2:$AE$10000,MATCH(Z2354,'CAMD Facility Data 2023'!$AE$2:$AE$10000,0),1)&gt;0,INDEX('CAMD Facility Data 2023'!$AA$2:$AE$10000,MATCH(Z2354,'CAMD Facility Data 2023'!$AE$2:$AE$10000,0),1),"")</f>
        <v>36635</v>
      </c>
      <c r="AB2354" s="5">
        <f>IF(INDEX('CAMD Facility Data 2023'!$AC$2:$AE$10000,MATCH(Z2354,'CAMD Facility Data 2023'!$AE$2:$AE$10000,0),1)&gt;0,INDEX('CAMD Facility Data 2023'!$AC$2:$AE$10000,MATCH(Z2354,'CAMD Facility Data 2023'!$AE$2:$AE$10000,0),1),"")</f>
        <v>1925</v>
      </c>
      <c r="AC2354" s="1" t="str">
        <f>IF(INDEX('CAMD Facility Data 2023'!$AE$2:$AG$10000,MATCH(Z2354,'CAMD Facility Data 2023'!$AE$2:$AE$10000,0),3)&gt;0,INDEX('CAMD Facility Data 2023'!$AE$2:$AG$10000,MATCH(Z2354,'CAMD Facility Data 2023'!$AE$2:$AE$10000,0),3),"")</f>
        <v>Y</v>
      </c>
      <c r="AD2354" s="20">
        <f t="shared" si="109"/>
        <v>9.0382965304271562E-2</v>
      </c>
      <c r="AE2354" s="25">
        <f t="shared" si="110"/>
        <v>0.36484262183478622</v>
      </c>
    </row>
    <row r="2355" spans="1:31" x14ac:dyDescent="0.2">
      <c r="A2355" s="1" t="s">
        <v>1568</v>
      </c>
      <c r="B2355" s="1" t="s">
        <v>5542</v>
      </c>
      <c r="C2355" s="1">
        <v>55079</v>
      </c>
      <c r="D2355" s="1">
        <v>1</v>
      </c>
      <c r="F2355" s="1">
        <v>2023</v>
      </c>
      <c r="G2355" s="5">
        <v>2113</v>
      </c>
      <c r="H2355" s="5">
        <v>2037.73</v>
      </c>
      <c r="I2355" s="5">
        <v>418656.19</v>
      </c>
      <c r="K2355" s="5">
        <v>1.353</v>
      </c>
      <c r="L2355" s="5">
        <v>1E-3</v>
      </c>
      <c r="M2355" s="5">
        <v>268093.68300000002</v>
      </c>
      <c r="N2355" s="6">
        <v>5.8999999999999997E-2</v>
      </c>
      <c r="O2355" s="5">
        <v>38.045999999999999</v>
      </c>
      <c r="P2355" s="6">
        <v>2.5100000000000001E-2</v>
      </c>
      <c r="Q2355" s="5">
        <v>4511196.3210000005</v>
      </c>
      <c r="R2355" s="1" t="s">
        <v>44</v>
      </c>
      <c r="S2355" s="1" t="s">
        <v>94</v>
      </c>
      <c r="T2355" s="1" t="s">
        <v>71</v>
      </c>
      <c r="V2355" s="1" t="s">
        <v>176</v>
      </c>
      <c r="Y2355" s="1" t="s">
        <v>579</v>
      </c>
      <c r="Z2355" s="1" t="str">
        <f t="shared" si="108"/>
        <v>55079 1</v>
      </c>
      <c r="AA2355" s="3">
        <f>IF(INDEX('CAMD Facility Data 2023'!$AA$2:$AE$10000,MATCH(Z2355,'CAMD Facility Data 2023'!$AE$2:$AE$10000,0),1)&gt;0,INDEX('CAMD Facility Data 2023'!$AA$2:$AE$10000,MATCH(Z2355,'CAMD Facility Data 2023'!$AE$2:$AE$10000,0),1),"")</f>
        <v>36724</v>
      </c>
      <c r="AB2355" s="5">
        <f>IF(INDEX('CAMD Facility Data 2023'!$AC$2:$AE$10000,MATCH(Z2355,'CAMD Facility Data 2023'!$AE$2:$AE$10000,0),1)&gt;0,INDEX('CAMD Facility Data 2023'!$AC$2:$AE$10000,MATCH(Z2355,'CAMD Facility Data 2023'!$AE$2:$AE$10000,0),1),"")</f>
        <v>2842</v>
      </c>
      <c r="AC2355" s="1" t="str">
        <f>IF(INDEX('CAMD Facility Data 2023'!$AE$2:$AG$10000,MATCH(Z2355,'CAMD Facility Data 2023'!$AE$2:$AE$10000,0),3)&gt;0,INDEX('CAMD Facility Data 2023'!$AE$2:$AG$10000,MATCH(Z2355,'CAMD Facility Data 2023'!$AE$2:$AE$10000,0),3),"")</f>
        <v>Y</v>
      </c>
      <c r="AD2355" s="20">
        <f t="shared" si="109"/>
        <v>0.18175295580844034</v>
      </c>
      <c r="AE2355" s="25">
        <f t="shared" si="110"/>
        <v>0.18120223398050767</v>
      </c>
    </row>
    <row r="2356" spans="1:31" x14ac:dyDescent="0.2">
      <c r="A2356" s="1" t="s">
        <v>2762</v>
      </c>
      <c r="B2356" s="1" t="s">
        <v>5545</v>
      </c>
      <c r="C2356" s="1">
        <v>55081</v>
      </c>
      <c r="D2356" s="1" t="s">
        <v>5546</v>
      </c>
      <c r="F2356" s="1">
        <v>2023</v>
      </c>
      <c r="G2356" s="5">
        <v>550</v>
      </c>
      <c r="H2356" s="5">
        <v>500.44</v>
      </c>
      <c r="I2356" s="5">
        <v>49770.57</v>
      </c>
      <c r="K2356" s="5">
        <v>0.17799999999999999</v>
      </c>
      <c r="L2356" s="5">
        <v>1E-3</v>
      </c>
      <c r="M2356" s="5">
        <v>35242.362000000001</v>
      </c>
      <c r="N2356" s="6">
        <v>5.8999999999999997E-2</v>
      </c>
      <c r="O2356" s="5">
        <v>16.073</v>
      </c>
      <c r="P2356" s="6">
        <v>6.4100000000000004E-2</v>
      </c>
      <c r="Q2356" s="5">
        <v>593007.37699999998</v>
      </c>
      <c r="R2356" s="1" t="s">
        <v>44</v>
      </c>
      <c r="T2356" s="1" t="s">
        <v>93</v>
      </c>
      <c r="V2356" s="1" t="s">
        <v>1606</v>
      </c>
      <c r="Y2356" s="1" t="s">
        <v>1207</v>
      </c>
      <c r="Z2356" s="1" t="str">
        <f t="shared" si="108"/>
        <v>55081 AA-001</v>
      </c>
      <c r="AA2356" s="3">
        <f>IF(INDEX('CAMD Facility Data 2023'!$AA$2:$AE$10000,MATCH(Z2356,'CAMD Facility Data 2023'!$AE$2:$AE$10000,0),1)&gt;0,INDEX('CAMD Facility Data 2023'!$AA$2:$AE$10000,MATCH(Z2356,'CAMD Facility Data 2023'!$AE$2:$AE$10000,0),1),"")</f>
        <v>36318</v>
      </c>
      <c r="AB2356" s="5">
        <f>IF(INDEX('CAMD Facility Data 2023'!$AC$2:$AE$10000,MATCH(Z2356,'CAMD Facility Data 2023'!$AE$2:$AE$10000,0),1)&gt;0,INDEX('CAMD Facility Data 2023'!$AC$2:$AE$10000,MATCH(Z2356,'CAMD Facility Data 2023'!$AE$2:$AE$10000,0),1),"")</f>
        <v>1510</v>
      </c>
      <c r="AC2356" s="1" t="str">
        <f>IF(INDEX('CAMD Facility Data 2023'!$AE$2:$AG$10000,MATCH(Z2356,'CAMD Facility Data 2023'!$AE$2:$AE$10000,0),3)&gt;0,INDEX('CAMD Facility Data 2023'!$AE$2:$AG$10000,MATCH(Z2356,'CAMD Facility Data 2023'!$AE$2:$AE$10000,0),3),"")</f>
        <v/>
      </c>
      <c r="AD2356" s="20">
        <f t="shared" si="109"/>
        <v>0.64588370195478972</v>
      </c>
      <c r="AE2356" s="25">
        <f t="shared" si="110"/>
        <v>4.4831063609422718E-2</v>
      </c>
    </row>
    <row r="2357" spans="1:31" x14ac:dyDescent="0.2">
      <c r="A2357" s="1" t="s">
        <v>2762</v>
      </c>
      <c r="B2357" s="1" t="s">
        <v>5545</v>
      </c>
      <c r="C2357" s="1">
        <v>55081</v>
      </c>
      <c r="D2357" s="1" t="s">
        <v>5548</v>
      </c>
      <c r="F2357" s="1">
        <v>2023</v>
      </c>
      <c r="G2357" s="5">
        <v>569</v>
      </c>
      <c r="H2357" s="5">
        <v>518.6</v>
      </c>
      <c r="I2357" s="5">
        <v>51608.94</v>
      </c>
      <c r="K2357" s="5">
        <v>0.16800000000000001</v>
      </c>
      <c r="L2357" s="5">
        <v>1E-3</v>
      </c>
      <c r="M2357" s="5">
        <v>33290.987000000001</v>
      </c>
      <c r="N2357" s="6">
        <v>5.8999999999999997E-2</v>
      </c>
      <c r="O2357" s="5">
        <v>15.95</v>
      </c>
      <c r="P2357" s="6">
        <v>6.9800000000000001E-2</v>
      </c>
      <c r="Q2357" s="5">
        <v>560178.15</v>
      </c>
      <c r="R2357" s="1" t="s">
        <v>44</v>
      </c>
      <c r="T2357" s="1" t="s">
        <v>93</v>
      </c>
      <c r="V2357" s="1" t="s">
        <v>1606</v>
      </c>
      <c r="Y2357" s="1" t="s">
        <v>1207</v>
      </c>
      <c r="Z2357" s="1" t="str">
        <f t="shared" si="108"/>
        <v>55081 AA-002</v>
      </c>
      <c r="AA2357" s="3">
        <f>IF(INDEX('CAMD Facility Data 2023'!$AA$2:$AE$10000,MATCH(Z2357,'CAMD Facility Data 2023'!$AE$2:$AE$10000,0),1)&gt;0,INDEX('CAMD Facility Data 2023'!$AA$2:$AE$10000,MATCH(Z2357,'CAMD Facility Data 2023'!$AE$2:$AE$10000,0),1),"")</f>
        <v>36318</v>
      </c>
      <c r="AB2357" s="5">
        <f>IF(INDEX('CAMD Facility Data 2023'!$AC$2:$AE$10000,MATCH(Z2357,'CAMD Facility Data 2023'!$AE$2:$AE$10000,0),1)&gt;0,INDEX('CAMD Facility Data 2023'!$AC$2:$AE$10000,MATCH(Z2357,'CAMD Facility Data 2023'!$AE$2:$AE$10000,0),1),"")</f>
        <v>1460</v>
      </c>
      <c r="AC2357" s="1" t="str">
        <f>IF(INDEX('CAMD Facility Data 2023'!$AE$2:$AG$10000,MATCH(Z2357,'CAMD Facility Data 2023'!$AE$2:$AE$10000,0),3)&gt;0,INDEX('CAMD Facility Data 2023'!$AE$2:$AG$10000,MATCH(Z2357,'CAMD Facility Data 2023'!$AE$2:$AE$10000,0),3),"")</f>
        <v/>
      </c>
      <c r="AD2357" s="20">
        <f t="shared" si="109"/>
        <v>0.61810996311879296</v>
      </c>
      <c r="AE2357" s="25">
        <f t="shared" si="110"/>
        <v>4.3799505066616624E-2</v>
      </c>
    </row>
    <row r="2358" spans="1:31" x14ac:dyDescent="0.2">
      <c r="A2358" s="1" t="s">
        <v>2762</v>
      </c>
      <c r="B2358" s="1" t="s">
        <v>5545</v>
      </c>
      <c r="C2358" s="1">
        <v>55081</v>
      </c>
      <c r="D2358" s="1" t="s">
        <v>5550</v>
      </c>
      <c r="F2358" s="1">
        <v>2023</v>
      </c>
      <c r="G2358" s="5">
        <v>330</v>
      </c>
      <c r="H2358" s="5">
        <v>295.79000000000002</v>
      </c>
      <c r="I2358" s="5">
        <v>31962.67</v>
      </c>
      <c r="K2358" s="5">
        <v>0.11899999999999999</v>
      </c>
      <c r="L2358" s="5">
        <v>1E-3</v>
      </c>
      <c r="M2358" s="5">
        <v>23558.657999999999</v>
      </c>
      <c r="N2358" s="6">
        <v>5.8999999999999997E-2</v>
      </c>
      <c r="O2358" s="5">
        <v>17.707999999999998</v>
      </c>
      <c r="P2358" s="6">
        <v>8.8800000000000004E-2</v>
      </c>
      <c r="Q2358" s="5">
        <v>396421.60499999998</v>
      </c>
      <c r="R2358" s="1" t="s">
        <v>44</v>
      </c>
      <c r="T2358" s="1" t="s">
        <v>93</v>
      </c>
      <c r="V2358" s="1" t="s">
        <v>95</v>
      </c>
      <c r="Y2358" s="1" t="s">
        <v>1207</v>
      </c>
      <c r="Z2358" s="1" t="str">
        <f t="shared" si="108"/>
        <v>55081 AA-003</v>
      </c>
      <c r="AA2358" s="3">
        <f>IF(INDEX('CAMD Facility Data 2023'!$AA$2:$AE$10000,MATCH(Z2358,'CAMD Facility Data 2023'!$AE$2:$AE$10000,0),1)&gt;0,INDEX('CAMD Facility Data 2023'!$AA$2:$AE$10000,MATCH(Z2358,'CAMD Facility Data 2023'!$AE$2:$AE$10000,0),1),"")</f>
        <v>36318</v>
      </c>
      <c r="AB2358" s="5">
        <f>IF(INDEX('CAMD Facility Data 2023'!$AC$2:$AE$10000,MATCH(Z2358,'CAMD Facility Data 2023'!$AE$2:$AE$10000,0),1)&gt;0,INDEX('CAMD Facility Data 2023'!$AC$2:$AE$10000,MATCH(Z2358,'CAMD Facility Data 2023'!$AE$2:$AE$10000,0),1),"")</f>
        <v>1690</v>
      </c>
      <c r="AC2358" s="1" t="str">
        <f>IF(INDEX('CAMD Facility Data 2023'!$AE$2:$AG$10000,MATCH(Z2358,'CAMD Facility Data 2023'!$AE$2:$AE$10000,0),3)&gt;0,INDEX('CAMD Facility Data 2023'!$AE$2:$AG$10000,MATCH(Z2358,'CAMD Facility Data 2023'!$AE$2:$AE$10000,0),3),"")</f>
        <v/>
      </c>
      <c r="AD2358" s="20">
        <f t="shared" si="109"/>
        <v>1.1080426009466668</v>
      </c>
      <c r="AE2358" s="25">
        <f t="shared" si="110"/>
        <v>2.6777282767285401E-2</v>
      </c>
    </row>
    <row r="2359" spans="1:31" x14ac:dyDescent="0.2">
      <c r="A2359" s="1" t="s">
        <v>2762</v>
      </c>
      <c r="B2359" s="1" t="s">
        <v>5545</v>
      </c>
      <c r="C2359" s="1">
        <v>55081</v>
      </c>
      <c r="D2359" s="1" t="s">
        <v>5552</v>
      </c>
      <c r="F2359" s="1">
        <v>2023</v>
      </c>
      <c r="G2359" s="5">
        <v>328</v>
      </c>
      <c r="H2359" s="5">
        <v>294.31</v>
      </c>
      <c r="I2359" s="5">
        <v>31817.97</v>
      </c>
      <c r="K2359" s="5">
        <v>0.11899999999999999</v>
      </c>
      <c r="L2359" s="5">
        <v>1E-3</v>
      </c>
      <c r="M2359" s="5">
        <v>23630.329000000002</v>
      </c>
      <c r="N2359" s="6">
        <v>5.8999999999999997E-2</v>
      </c>
      <c r="O2359" s="5">
        <v>17.244</v>
      </c>
      <c r="P2359" s="6">
        <v>9.2799999999999994E-2</v>
      </c>
      <c r="Q2359" s="5">
        <v>397636.25599999999</v>
      </c>
      <c r="R2359" s="1" t="s">
        <v>44</v>
      </c>
      <c r="T2359" s="1" t="s">
        <v>93</v>
      </c>
      <c r="V2359" s="1" t="s">
        <v>95</v>
      </c>
      <c r="Y2359" s="1" t="s">
        <v>1207</v>
      </c>
      <c r="Z2359" s="1" t="str">
        <f t="shared" si="108"/>
        <v>55081 AA-004</v>
      </c>
      <c r="AA2359" s="3">
        <f>IF(INDEX('CAMD Facility Data 2023'!$AA$2:$AE$10000,MATCH(Z2359,'CAMD Facility Data 2023'!$AE$2:$AE$10000,0),1)&gt;0,INDEX('CAMD Facility Data 2023'!$AA$2:$AE$10000,MATCH(Z2359,'CAMD Facility Data 2023'!$AE$2:$AE$10000,0),1),"")</f>
        <v>36318</v>
      </c>
      <c r="AB2359" s="5">
        <f>IF(INDEX('CAMD Facility Data 2023'!$AC$2:$AE$10000,MATCH(Z2359,'CAMD Facility Data 2023'!$AE$2:$AE$10000,0),1)&gt;0,INDEX('CAMD Facility Data 2023'!$AC$2:$AE$10000,MATCH(Z2359,'CAMD Facility Data 2023'!$AE$2:$AE$10000,0),1),"")</f>
        <v>1700</v>
      </c>
      <c r="AC2359" s="1" t="str">
        <f>IF(INDEX('CAMD Facility Data 2023'!$AE$2:$AG$10000,MATCH(Z2359,'CAMD Facility Data 2023'!$AE$2:$AE$10000,0),3)&gt;0,INDEX('CAMD Facility Data 2023'!$AE$2:$AG$10000,MATCH(Z2359,'CAMD Facility Data 2023'!$AE$2:$AE$10000,0),3),"")</f>
        <v/>
      </c>
      <c r="AD2359" s="20">
        <f t="shared" si="109"/>
        <v>1.0839157872108121</v>
      </c>
      <c r="AE2359" s="25">
        <f t="shared" si="110"/>
        <v>2.6701333333333334E-2</v>
      </c>
    </row>
    <row r="2360" spans="1:31" x14ac:dyDescent="0.2">
      <c r="A2360" s="1" t="s">
        <v>383</v>
      </c>
      <c r="B2360" s="1" t="s">
        <v>5554</v>
      </c>
      <c r="C2360" s="1">
        <v>55086</v>
      </c>
      <c r="D2360" s="1">
        <v>101</v>
      </c>
      <c r="F2360" s="1">
        <v>2023</v>
      </c>
      <c r="G2360" s="5">
        <v>1226</v>
      </c>
      <c r="H2360" s="5">
        <v>1147.69</v>
      </c>
      <c r="I2360" s="5">
        <v>117563.36</v>
      </c>
      <c r="K2360" s="5">
        <v>0.443</v>
      </c>
      <c r="L2360" s="5">
        <v>1E-3</v>
      </c>
      <c r="M2360" s="5">
        <v>86407.553</v>
      </c>
      <c r="N2360" s="6">
        <v>5.8999999999999997E-2</v>
      </c>
      <c r="O2360" s="5">
        <v>21.236999999999998</v>
      </c>
      <c r="P2360" s="6">
        <v>3.9300000000000002E-2</v>
      </c>
      <c r="Q2360" s="5">
        <v>1453983.0120000001</v>
      </c>
      <c r="R2360" s="1" t="s">
        <v>44</v>
      </c>
      <c r="T2360" s="1" t="s">
        <v>71</v>
      </c>
      <c r="V2360" s="1" t="s">
        <v>140</v>
      </c>
      <c r="Y2360" s="1" t="s">
        <v>346</v>
      </c>
      <c r="Z2360" s="1" t="str">
        <f t="shared" si="108"/>
        <v>55086 101</v>
      </c>
      <c r="AA2360" s="3">
        <f>IF(INDEX('CAMD Facility Data 2023'!$AA$2:$AE$10000,MATCH(Z2360,'CAMD Facility Data 2023'!$AE$2:$AE$10000,0),1)&gt;0,INDEX('CAMD Facility Data 2023'!$AA$2:$AE$10000,MATCH(Z2360,'CAMD Facility Data 2023'!$AE$2:$AE$10000,0),1),"")</f>
        <v>36540</v>
      </c>
      <c r="AB2360" s="5">
        <f>IF(INDEX('CAMD Facility Data 2023'!$AC$2:$AE$10000,MATCH(Z2360,'CAMD Facility Data 2023'!$AE$2:$AE$10000,0),1)&gt;0,INDEX('CAMD Facility Data 2023'!$AC$2:$AE$10000,MATCH(Z2360,'CAMD Facility Data 2023'!$AE$2:$AE$10000,0),1),"")</f>
        <v>2378.1</v>
      </c>
      <c r="AC2360" s="1" t="str">
        <f>IF(INDEX('CAMD Facility Data 2023'!$AE$2:$AG$10000,MATCH(Z2360,'CAMD Facility Data 2023'!$AE$2:$AE$10000,0),3)&gt;0,INDEX('CAMD Facility Data 2023'!$AE$2:$AG$10000,MATCH(Z2360,'CAMD Facility Data 2023'!$AE$2:$AE$10000,0),3),"")</f>
        <v/>
      </c>
      <c r="AD2360" s="20">
        <f t="shared" si="109"/>
        <v>0.36128603333555626</v>
      </c>
      <c r="AE2360" s="25">
        <f t="shared" si="110"/>
        <v>6.9795128838320911E-2</v>
      </c>
    </row>
    <row r="2361" spans="1:31" x14ac:dyDescent="0.2">
      <c r="A2361" s="1" t="s">
        <v>383</v>
      </c>
      <c r="B2361" s="1" t="s">
        <v>5554</v>
      </c>
      <c r="C2361" s="1">
        <v>55086</v>
      </c>
      <c r="D2361" s="1">
        <v>102</v>
      </c>
      <c r="F2361" s="1">
        <v>2023</v>
      </c>
      <c r="G2361" s="5">
        <v>2370</v>
      </c>
      <c r="H2361" s="5">
        <v>2329.39</v>
      </c>
      <c r="I2361" s="5">
        <v>255154.01</v>
      </c>
      <c r="K2361" s="5">
        <v>0.94</v>
      </c>
      <c r="L2361" s="5">
        <v>1E-3</v>
      </c>
      <c r="M2361" s="5">
        <v>184499.625</v>
      </c>
      <c r="N2361" s="6">
        <v>5.8999999999999997E-2</v>
      </c>
      <c r="O2361" s="5">
        <v>44.197000000000003</v>
      </c>
      <c r="P2361" s="6">
        <v>3.4099999999999998E-2</v>
      </c>
      <c r="Q2361" s="5">
        <v>3104529.2439999999</v>
      </c>
      <c r="R2361" s="1" t="s">
        <v>44</v>
      </c>
      <c r="T2361" s="1" t="s">
        <v>71</v>
      </c>
      <c r="V2361" s="1" t="s">
        <v>140</v>
      </c>
      <c r="Y2361" s="1" t="s">
        <v>346</v>
      </c>
      <c r="Z2361" s="1" t="str">
        <f t="shared" si="108"/>
        <v>55086 102</v>
      </c>
      <c r="AA2361" s="3">
        <f>IF(INDEX('CAMD Facility Data 2023'!$AA$2:$AE$10000,MATCH(Z2361,'CAMD Facility Data 2023'!$AE$2:$AE$10000,0),1)&gt;0,INDEX('CAMD Facility Data 2023'!$AA$2:$AE$10000,MATCH(Z2361,'CAMD Facility Data 2023'!$AE$2:$AE$10000,0),1),"")</f>
        <v>36540</v>
      </c>
      <c r="AB2361" s="5">
        <f>IF(INDEX('CAMD Facility Data 2023'!$AC$2:$AE$10000,MATCH(Z2361,'CAMD Facility Data 2023'!$AE$2:$AE$10000,0),1)&gt;0,INDEX('CAMD Facility Data 2023'!$AC$2:$AE$10000,MATCH(Z2361,'CAMD Facility Data 2023'!$AE$2:$AE$10000,0),1),"")</f>
        <v>2318.5</v>
      </c>
      <c r="AC2361" s="1" t="str">
        <f>IF(INDEX('CAMD Facility Data 2023'!$AE$2:$AG$10000,MATCH(Z2361,'CAMD Facility Data 2023'!$AE$2:$AE$10000,0),3)&gt;0,INDEX('CAMD Facility Data 2023'!$AE$2:$AG$10000,MATCH(Z2361,'CAMD Facility Data 2023'!$AE$2:$AE$10000,0),3),"")</f>
        <v/>
      </c>
      <c r="AD2361" s="20">
        <f t="shared" si="109"/>
        <v>0.34643390476206898</v>
      </c>
      <c r="AE2361" s="25">
        <f t="shared" si="110"/>
        <v>0.15285672440160197</v>
      </c>
    </row>
    <row r="2362" spans="1:31" x14ac:dyDescent="0.2">
      <c r="A2362" s="1" t="s">
        <v>1621</v>
      </c>
      <c r="B2362" s="1" t="s">
        <v>5560</v>
      </c>
      <c r="C2362" s="1">
        <v>55087</v>
      </c>
      <c r="D2362" s="1" t="s">
        <v>194</v>
      </c>
      <c r="F2362" s="1">
        <v>2023</v>
      </c>
      <c r="G2362" s="5">
        <v>3964</v>
      </c>
      <c r="H2362" s="5">
        <v>3844.14</v>
      </c>
      <c r="I2362" s="5">
        <v>583174.37</v>
      </c>
      <c r="K2362" s="5">
        <v>1.9530000000000001</v>
      </c>
      <c r="L2362" s="5">
        <v>1E-3</v>
      </c>
      <c r="M2362" s="5">
        <v>386790.93900000001</v>
      </c>
      <c r="N2362" s="6">
        <v>5.8999999999999997E-2</v>
      </c>
      <c r="O2362" s="5">
        <v>104.509</v>
      </c>
      <c r="P2362" s="6">
        <v>3.4700000000000002E-2</v>
      </c>
      <c r="Q2362" s="5">
        <v>6508465.6699999999</v>
      </c>
      <c r="R2362" s="1" t="s">
        <v>44</v>
      </c>
      <c r="T2362" s="1" t="s">
        <v>93</v>
      </c>
      <c r="V2362" s="1" t="s">
        <v>140</v>
      </c>
      <c r="Y2362" s="1" t="s">
        <v>461</v>
      </c>
      <c r="Z2362" s="1" t="str">
        <f t="shared" si="108"/>
        <v>55087 CC1</v>
      </c>
      <c r="AA2362" s="3">
        <f>IF(INDEX('CAMD Facility Data 2023'!$AA$2:$AE$10000,MATCH(Z2362,'CAMD Facility Data 2023'!$AE$2:$AE$10000,0),1)&gt;0,INDEX('CAMD Facility Data 2023'!$AA$2:$AE$10000,MATCH(Z2362,'CAMD Facility Data 2023'!$AE$2:$AE$10000,0),1),"")</f>
        <v>36951</v>
      </c>
      <c r="AB2362" s="5">
        <f>IF(INDEX('CAMD Facility Data 2023'!$AC$2:$AE$10000,MATCH(Z2362,'CAMD Facility Data 2023'!$AE$2:$AE$10000,0),1)&gt;0,INDEX('CAMD Facility Data 2023'!$AC$2:$AE$10000,MATCH(Z2362,'CAMD Facility Data 2023'!$AE$2:$AE$10000,0),1),"")</f>
        <v>2204.8000000000002</v>
      </c>
      <c r="AC2362" s="1" t="str">
        <f>IF(INDEX('CAMD Facility Data 2023'!$AE$2:$AG$10000,MATCH(Z2362,'CAMD Facility Data 2023'!$AE$2:$AE$10000,0),3)&gt;0,INDEX('CAMD Facility Data 2023'!$AE$2:$AG$10000,MATCH(Z2362,'CAMD Facility Data 2023'!$AE$2:$AE$10000,0),3),"")</f>
        <v/>
      </c>
      <c r="AD2362" s="20">
        <f t="shared" si="109"/>
        <v>0.35841424238174252</v>
      </c>
      <c r="AE2362" s="25">
        <f t="shared" si="110"/>
        <v>0.33698092031251037</v>
      </c>
    </row>
    <row r="2363" spans="1:31" x14ac:dyDescent="0.2">
      <c r="A2363" s="1" t="s">
        <v>1621</v>
      </c>
      <c r="B2363" s="1" t="s">
        <v>5560</v>
      </c>
      <c r="C2363" s="1">
        <v>55087</v>
      </c>
      <c r="D2363" s="1" t="s">
        <v>5562</v>
      </c>
      <c r="F2363" s="1">
        <v>2023</v>
      </c>
      <c r="G2363" s="5">
        <v>4822</v>
      </c>
      <c r="H2363" s="5">
        <v>4673.16</v>
      </c>
      <c r="I2363" s="5">
        <v>718600.5</v>
      </c>
      <c r="K2363" s="5">
        <v>2.3980000000000001</v>
      </c>
      <c r="L2363" s="5">
        <v>1E-3</v>
      </c>
      <c r="M2363" s="5">
        <v>475050.39799999999</v>
      </c>
      <c r="N2363" s="6">
        <v>5.8999999999999997E-2</v>
      </c>
      <c r="O2363" s="5">
        <v>125.116</v>
      </c>
      <c r="P2363" s="6">
        <v>3.39E-2</v>
      </c>
      <c r="Q2363" s="5">
        <v>7993662.1059999997</v>
      </c>
      <c r="R2363" s="1" t="s">
        <v>44</v>
      </c>
      <c r="T2363" s="1" t="s">
        <v>93</v>
      </c>
      <c r="V2363" s="1" t="s">
        <v>140</v>
      </c>
      <c r="Y2363" s="1" t="s">
        <v>461</v>
      </c>
      <c r="Z2363" s="1" t="str">
        <f t="shared" si="108"/>
        <v>55087 CC2</v>
      </c>
      <c r="AA2363" s="3">
        <f>IF(INDEX('CAMD Facility Data 2023'!$AA$2:$AE$10000,MATCH(Z2363,'CAMD Facility Data 2023'!$AE$2:$AE$10000,0),1)&gt;0,INDEX('CAMD Facility Data 2023'!$AA$2:$AE$10000,MATCH(Z2363,'CAMD Facility Data 2023'!$AE$2:$AE$10000,0),1),"")</f>
        <v>36951</v>
      </c>
      <c r="AB2363" s="5">
        <f>IF(INDEX('CAMD Facility Data 2023'!$AC$2:$AE$10000,MATCH(Z2363,'CAMD Facility Data 2023'!$AE$2:$AE$10000,0),1)&gt;0,INDEX('CAMD Facility Data 2023'!$AC$2:$AE$10000,MATCH(Z2363,'CAMD Facility Data 2023'!$AE$2:$AE$10000,0),1),"")</f>
        <v>2204.8000000000002</v>
      </c>
      <c r="AC2363" s="1" t="str">
        <f>IF(INDEX('CAMD Facility Data 2023'!$AE$2:$AG$10000,MATCH(Z2363,'CAMD Facility Data 2023'!$AE$2:$AE$10000,0),3)&gt;0,INDEX('CAMD Facility Data 2023'!$AE$2:$AG$10000,MATCH(Z2363,'CAMD Facility Data 2023'!$AE$2:$AE$10000,0),3),"")</f>
        <v/>
      </c>
      <c r="AD2363" s="20">
        <f t="shared" si="109"/>
        <v>0.34822129959553327</v>
      </c>
      <c r="AE2363" s="25">
        <f t="shared" si="110"/>
        <v>0.41387813191724487</v>
      </c>
    </row>
    <row r="2364" spans="1:31" x14ac:dyDescent="0.2">
      <c r="A2364" s="1" t="s">
        <v>1621</v>
      </c>
      <c r="B2364" s="1" t="s">
        <v>5560</v>
      </c>
      <c r="C2364" s="1">
        <v>55087</v>
      </c>
      <c r="D2364" s="1" t="s">
        <v>5564</v>
      </c>
      <c r="F2364" s="1">
        <v>2023</v>
      </c>
      <c r="G2364" s="5">
        <v>6752</v>
      </c>
      <c r="H2364" s="5">
        <v>6731.82</v>
      </c>
      <c r="I2364" s="5">
        <v>1751976.81</v>
      </c>
      <c r="K2364" s="5">
        <v>3.8170000000000002</v>
      </c>
      <c r="L2364" s="5">
        <v>1E-3</v>
      </c>
      <c r="M2364" s="5">
        <v>756046.66099999996</v>
      </c>
      <c r="N2364" s="6">
        <v>5.8999999999999997E-2</v>
      </c>
      <c r="O2364" s="5">
        <v>69.805999999999997</v>
      </c>
      <c r="P2364" s="6">
        <v>1.2200000000000001E-2</v>
      </c>
      <c r="Q2364" s="5">
        <v>12721979.101</v>
      </c>
      <c r="R2364" s="1" t="s">
        <v>44</v>
      </c>
      <c r="T2364" s="1" t="s">
        <v>71</v>
      </c>
      <c r="V2364" s="1" t="s">
        <v>64</v>
      </c>
      <c r="Y2364" s="1" t="s">
        <v>461</v>
      </c>
      <c r="Z2364" s="1" t="str">
        <f t="shared" si="108"/>
        <v>55087 CC3</v>
      </c>
      <c r="AA2364" s="3">
        <f>IF(INDEX('CAMD Facility Data 2023'!$AA$2:$AE$10000,MATCH(Z2364,'CAMD Facility Data 2023'!$AE$2:$AE$10000,0),1)&gt;0,INDEX('CAMD Facility Data 2023'!$AA$2:$AE$10000,MATCH(Z2364,'CAMD Facility Data 2023'!$AE$2:$AE$10000,0),1),"")</f>
        <v>37357</v>
      </c>
      <c r="AB2364" s="5">
        <f>IF(INDEX('CAMD Facility Data 2023'!$AC$2:$AE$10000,MATCH(Z2364,'CAMD Facility Data 2023'!$AE$2:$AE$10000,0),1)&gt;0,INDEX('CAMD Facility Data 2023'!$AC$2:$AE$10000,MATCH(Z2364,'CAMD Facility Data 2023'!$AE$2:$AE$10000,0),1),"")</f>
        <v>2323</v>
      </c>
      <c r="AC2364" s="1" t="str">
        <f>IF(INDEX('CAMD Facility Data 2023'!$AE$2:$AG$10000,MATCH(Z2364,'CAMD Facility Data 2023'!$AE$2:$AE$10000,0),3)&gt;0,INDEX('CAMD Facility Data 2023'!$AE$2:$AG$10000,MATCH(Z2364,'CAMD Facility Data 2023'!$AE$2:$AE$10000,0),3),"")</f>
        <v>Y</v>
      </c>
      <c r="AD2364" s="20">
        <f t="shared" si="109"/>
        <v>7.9688269389821431E-2</v>
      </c>
      <c r="AE2364" s="25">
        <f t="shared" si="110"/>
        <v>0.62517465316067045</v>
      </c>
    </row>
    <row r="2365" spans="1:31" x14ac:dyDescent="0.2">
      <c r="A2365" s="1" t="s">
        <v>1621</v>
      </c>
      <c r="B2365" s="1" t="s">
        <v>5560</v>
      </c>
      <c r="C2365" s="1">
        <v>55087</v>
      </c>
      <c r="D2365" s="1" t="s">
        <v>260</v>
      </c>
      <c r="F2365" s="1">
        <v>2023</v>
      </c>
      <c r="G2365" s="5">
        <v>6820</v>
      </c>
      <c r="H2365" s="5">
        <v>6801.22</v>
      </c>
      <c r="I2365" s="5">
        <v>1731301.28</v>
      </c>
      <c r="K2365" s="5">
        <v>3.9590000000000001</v>
      </c>
      <c r="L2365" s="5">
        <v>1E-3</v>
      </c>
      <c r="M2365" s="5">
        <v>784206.69200000004</v>
      </c>
      <c r="N2365" s="6">
        <v>5.8999999999999997E-2</v>
      </c>
      <c r="O2365" s="5">
        <v>69.263999999999996</v>
      </c>
      <c r="P2365" s="6">
        <v>1.17E-2</v>
      </c>
      <c r="Q2365" s="5">
        <v>13195719.039999999</v>
      </c>
      <c r="R2365" s="1" t="s">
        <v>44</v>
      </c>
      <c r="T2365" s="1" t="s">
        <v>71</v>
      </c>
      <c r="V2365" s="1" t="s">
        <v>64</v>
      </c>
      <c r="Y2365" s="1" t="s">
        <v>461</v>
      </c>
      <c r="Z2365" s="1" t="str">
        <f t="shared" si="108"/>
        <v>55087 CC4</v>
      </c>
      <c r="AA2365" s="3">
        <f>IF(INDEX('CAMD Facility Data 2023'!$AA$2:$AE$10000,MATCH(Z2365,'CAMD Facility Data 2023'!$AE$2:$AE$10000,0),1)&gt;0,INDEX('CAMD Facility Data 2023'!$AA$2:$AE$10000,MATCH(Z2365,'CAMD Facility Data 2023'!$AE$2:$AE$10000,0),1),"")</f>
        <v>37366</v>
      </c>
      <c r="AB2365" s="5">
        <f>IF(INDEX('CAMD Facility Data 2023'!$AC$2:$AE$10000,MATCH(Z2365,'CAMD Facility Data 2023'!$AE$2:$AE$10000,0),1)&gt;0,INDEX('CAMD Facility Data 2023'!$AC$2:$AE$10000,MATCH(Z2365,'CAMD Facility Data 2023'!$AE$2:$AE$10000,0),1),"")</f>
        <v>2345</v>
      </c>
      <c r="AC2365" s="1" t="str">
        <f>IF(INDEX('CAMD Facility Data 2023'!$AE$2:$AG$10000,MATCH(Z2365,'CAMD Facility Data 2023'!$AE$2:$AE$10000,0),3)&gt;0,INDEX('CAMD Facility Data 2023'!$AE$2:$AG$10000,MATCH(Z2365,'CAMD Facility Data 2023'!$AE$2:$AE$10000,0),3),"")</f>
        <v>Y</v>
      </c>
      <c r="AD2365" s="20">
        <f t="shared" si="109"/>
        <v>8.0013803259014513E-2</v>
      </c>
      <c r="AE2365" s="25">
        <f t="shared" si="110"/>
        <v>0.64237126695290669</v>
      </c>
    </row>
    <row r="2366" spans="1:31" x14ac:dyDescent="0.2">
      <c r="A2366" s="1" t="s">
        <v>1621</v>
      </c>
      <c r="B2366" s="1" t="s">
        <v>5567</v>
      </c>
      <c r="C2366" s="1">
        <v>55088</v>
      </c>
      <c r="D2366" s="1" t="s">
        <v>5568</v>
      </c>
      <c r="F2366" s="1">
        <v>2023</v>
      </c>
      <c r="G2366" s="5">
        <v>6841</v>
      </c>
      <c r="H2366" s="5">
        <v>6828.25</v>
      </c>
      <c r="J2366" s="5">
        <v>1425607.5</v>
      </c>
      <c r="K2366" s="5">
        <v>450.53300000000002</v>
      </c>
      <c r="L2366" s="5">
        <v>0.33860000000000001</v>
      </c>
      <c r="M2366" s="5">
        <v>534873.4</v>
      </c>
      <c r="N2366" s="6">
        <v>0.20100000000000001</v>
      </c>
      <c r="O2366" s="5">
        <v>39.212000000000003</v>
      </c>
      <c r="P2366" s="6">
        <v>3.0200000000000001E-2</v>
      </c>
      <c r="Q2366" s="5">
        <v>2628917.5499999998</v>
      </c>
      <c r="R2366" s="1" t="s">
        <v>288</v>
      </c>
      <c r="S2366" s="1" t="s">
        <v>44</v>
      </c>
      <c r="T2366" s="1" t="s">
        <v>656</v>
      </c>
      <c r="V2366" s="1" t="s">
        <v>90</v>
      </c>
      <c r="Y2366" s="1" t="s">
        <v>461</v>
      </c>
      <c r="Z2366" s="1" t="str">
        <f t="shared" si="108"/>
        <v>55088 BL1100</v>
      </c>
      <c r="AA2366" s="3">
        <f>IF(INDEX('CAMD Facility Data 2023'!$AA$2:$AE$10000,MATCH(Z2366,'CAMD Facility Data 2023'!$AE$2:$AE$10000,0),1)&gt;0,INDEX('CAMD Facility Data 2023'!$AA$2:$AE$10000,MATCH(Z2366,'CAMD Facility Data 2023'!$AE$2:$AE$10000,0),1),"")</f>
        <v>37043</v>
      </c>
      <c r="AB2366" s="5">
        <f>IF(INDEX('CAMD Facility Data 2023'!$AC$2:$AE$10000,MATCH(Z2366,'CAMD Facility Data 2023'!$AE$2:$AE$10000,0),1)&gt;0,INDEX('CAMD Facility Data 2023'!$AC$2:$AE$10000,MATCH(Z2366,'CAMD Facility Data 2023'!$AE$2:$AE$10000,0),1),"")</f>
        <v>835</v>
      </c>
      <c r="AC2366" s="1" t="str">
        <f>IF(INDEX('CAMD Facility Data 2023'!$AE$2:$AG$10000,MATCH(Z2366,'CAMD Facility Data 2023'!$AE$2:$AE$10000,0),3)&gt;0,INDEX('CAMD Facility Data 2023'!$AE$2:$AG$10000,MATCH(Z2366,'CAMD Facility Data 2023'!$AE$2:$AE$10000,0),3),"")</f>
        <v/>
      </c>
      <c r="AD2366" s="20" t="str">
        <f t="shared" si="109"/>
        <v/>
      </c>
      <c r="AE2366" s="25">
        <f t="shared" si="110"/>
        <v>0.35940687802477234</v>
      </c>
    </row>
    <row r="2367" spans="1:31" x14ac:dyDescent="0.2">
      <c r="A2367" s="1" t="s">
        <v>1621</v>
      </c>
      <c r="B2367" s="1" t="s">
        <v>5567</v>
      </c>
      <c r="C2367" s="1">
        <v>55088</v>
      </c>
      <c r="D2367" s="1" t="s">
        <v>5572</v>
      </c>
      <c r="F2367" s="1">
        <v>2023</v>
      </c>
      <c r="G2367" s="5">
        <v>6176</v>
      </c>
      <c r="H2367" s="5">
        <v>6162.75</v>
      </c>
      <c r="J2367" s="5">
        <v>1418494.75</v>
      </c>
      <c r="K2367" s="5">
        <v>365.07900000000001</v>
      </c>
      <c r="L2367" s="5">
        <v>0.33189999999999997</v>
      </c>
      <c r="M2367" s="5">
        <v>429529.52500000002</v>
      </c>
      <c r="N2367" s="6">
        <v>0.19520000000000001</v>
      </c>
      <c r="O2367" s="5">
        <v>31.181999999999999</v>
      </c>
      <c r="P2367" s="6">
        <v>2.9399999999999999E-2</v>
      </c>
      <c r="Q2367" s="5">
        <v>2179767.5</v>
      </c>
      <c r="R2367" s="1" t="s">
        <v>288</v>
      </c>
      <c r="S2367" s="1" t="s">
        <v>44</v>
      </c>
      <c r="T2367" s="1" t="s">
        <v>656</v>
      </c>
      <c r="V2367" s="1" t="s">
        <v>90</v>
      </c>
      <c r="Y2367" s="1" t="s">
        <v>461</v>
      </c>
      <c r="Z2367" s="1" t="str">
        <f t="shared" si="108"/>
        <v>55088 BL2100</v>
      </c>
      <c r="AA2367" s="3">
        <f>IF(INDEX('CAMD Facility Data 2023'!$AA$2:$AE$10000,MATCH(Z2367,'CAMD Facility Data 2023'!$AE$2:$AE$10000,0),1)&gt;0,INDEX('CAMD Facility Data 2023'!$AA$2:$AE$10000,MATCH(Z2367,'CAMD Facility Data 2023'!$AE$2:$AE$10000,0),1),"")</f>
        <v>37043</v>
      </c>
      <c r="AB2367" s="5">
        <f>IF(INDEX('CAMD Facility Data 2023'!$AC$2:$AE$10000,MATCH(Z2367,'CAMD Facility Data 2023'!$AE$2:$AE$10000,0),1)&gt;0,INDEX('CAMD Facility Data 2023'!$AC$2:$AE$10000,MATCH(Z2367,'CAMD Facility Data 2023'!$AE$2:$AE$10000,0),1),"")</f>
        <v>746.7</v>
      </c>
      <c r="AC2367" s="1" t="str">
        <f>IF(INDEX('CAMD Facility Data 2023'!$AE$2:$AG$10000,MATCH(Z2367,'CAMD Facility Data 2023'!$AE$2:$AE$10000,0),3)&gt;0,INDEX('CAMD Facility Data 2023'!$AE$2:$AG$10000,MATCH(Z2367,'CAMD Facility Data 2023'!$AE$2:$AE$10000,0),3),"")</f>
        <v/>
      </c>
      <c r="AD2367" s="20" t="str">
        <f t="shared" si="109"/>
        <v/>
      </c>
      <c r="AE2367" s="25">
        <f t="shared" si="110"/>
        <v>0.33324214060893809</v>
      </c>
    </row>
    <row r="2368" spans="1:31" x14ac:dyDescent="0.2">
      <c r="A2368" s="1" t="s">
        <v>1621</v>
      </c>
      <c r="B2368" s="1" t="s">
        <v>5567</v>
      </c>
      <c r="C2368" s="1">
        <v>55088</v>
      </c>
      <c r="D2368" s="1" t="s">
        <v>5573</v>
      </c>
      <c r="F2368" s="1">
        <v>2023</v>
      </c>
      <c r="G2368" s="5">
        <v>6924</v>
      </c>
      <c r="H2368" s="5">
        <v>6917</v>
      </c>
      <c r="J2368" s="5">
        <v>1296439.75</v>
      </c>
      <c r="K2368" s="5">
        <v>402.94900000000001</v>
      </c>
      <c r="L2368" s="5">
        <v>0.31490000000000001</v>
      </c>
      <c r="M2368" s="5">
        <v>489534.02500000002</v>
      </c>
      <c r="N2368" s="6">
        <v>0.1915</v>
      </c>
      <c r="O2368" s="5">
        <v>38.606999999999999</v>
      </c>
      <c r="P2368" s="6">
        <v>3.2000000000000001E-2</v>
      </c>
      <c r="Q2368" s="5">
        <v>2498200.9500000002</v>
      </c>
      <c r="R2368" s="1" t="s">
        <v>288</v>
      </c>
      <c r="S2368" s="1" t="s">
        <v>44</v>
      </c>
      <c r="T2368" s="1" t="s">
        <v>656</v>
      </c>
      <c r="V2368" s="1" t="s">
        <v>90</v>
      </c>
      <c r="Y2368" s="1" t="s">
        <v>461</v>
      </c>
      <c r="Z2368" s="1" t="str">
        <f t="shared" si="108"/>
        <v>55088 BL3100</v>
      </c>
      <c r="AA2368" s="3">
        <f>IF(INDEX('CAMD Facility Data 2023'!$AA$2:$AE$10000,MATCH(Z2368,'CAMD Facility Data 2023'!$AE$2:$AE$10000,0),1)&gt;0,INDEX('CAMD Facility Data 2023'!$AA$2:$AE$10000,MATCH(Z2368,'CAMD Facility Data 2023'!$AE$2:$AE$10000,0),1),"")</f>
        <v>37043</v>
      </c>
      <c r="AB2368" s="5">
        <f>IF(INDEX('CAMD Facility Data 2023'!$AC$2:$AE$10000,MATCH(Z2368,'CAMD Facility Data 2023'!$AE$2:$AE$10000,0),1)&gt;0,INDEX('CAMD Facility Data 2023'!$AC$2:$AE$10000,MATCH(Z2368,'CAMD Facility Data 2023'!$AE$2:$AE$10000,0),1),"")</f>
        <v>746.7</v>
      </c>
      <c r="AC2368" s="1" t="str">
        <f>IF(INDEX('CAMD Facility Data 2023'!$AE$2:$AG$10000,MATCH(Z2368,'CAMD Facility Data 2023'!$AE$2:$AE$10000,0),3)&gt;0,INDEX('CAMD Facility Data 2023'!$AE$2:$AG$10000,MATCH(Z2368,'CAMD Facility Data 2023'!$AE$2:$AE$10000,0),3),"")</f>
        <v/>
      </c>
      <c r="AD2368" s="20" t="str">
        <f t="shared" si="109"/>
        <v/>
      </c>
      <c r="AE2368" s="25">
        <f t="shared" si="110"/>
        <v>0.38192414202399233</v>
      </c>
    </row>
    <row r="2369" spans="1:31" x14ac:dyDescent="0.2">
      <c r="A2369" s="1" t="s">
        <v>1621</v>
      </c>
      <c r="B2369" s="1" t="s">
        <v>5567</v>
      </c>
      <c r="C2369" s="1">
        <v>55088</v>
      </c>
      <c r="D2369" s="1" t="s">
        <v>5574</v>
      </c>
      <c r="F2369" s="1">
        <v>2023</v>
      </c>
      <c r="G2369" s="5">
        <v>6859</v>
      </c>
      <c r="H2369" s="5">
        <v>6845.75</v>
      </c>
      <c r="I2369" s="5">
        <v>1209354.5</v>
      </c>
      <c r="K2369" s="5">
        <v>3.609</v>
      </c>
      <c r="L2369" s="5">
        <v>1E-3</v>
      </c>
      <c r="M2369" s="5">
        <v>714838.8</v>
      </c>
      <c r="N2369" s="6">
        <v>5.8999999999999997E-2</v>
      </c>
      <c r="O2369" s="5">
        <v>171.48</v>
      </c>
      <c r="P2369" s="6">
        <v>2.87E-2</v>
      </c>
      <c r="Q2369" s="5">
        <v>12028569.75</v>
      </c>
      <c r="R2369" s="1" t="s">
        <v>44</v>
      </c>
      <c r="T2369" s="1" t="s">
        <v>71</v>
      </c>
      <c r="V2369" s="1" t="s">
        <v>140</v>
      </c>
      <c r="Y2369" s="1" t="s">
        <v>461</v>
      </c>
      <c r="Z2369" s="1" t="str">
        <f t="shared" si="108"/>
        <v>55088 GT2100</v>
      </c>
      <c r="AA2369" s="3">
        <f>IF(INDEX('CAMD Facility Data 2023'!$AA$2:$AE$10000,MATCH(Z2369,'CAMD Facility Data 2023'!$AE$2:$AE$10000,0),1)&gt;0,INDEX('CAMD Facility Data 2023'!$AA$2:$AE$10000,MATCH(Z2369,'CAMD Facility Data 2023'!$AE$2:$AE$10000,0),1),"")</f>
        <v>37043</v>
      </c>
      <c r="AB2369" s="5">
        <f>IF(INDEX('CAMD Facility Data 2023'!$AC$2:$AE$10000,MATCH(Z2369,'CAMD Facility Data 2023'!$AE$2:$AE$10000,0),1)&gt;0,INDEX('CAMD Facility Data 2023'!$AC$2:$AE$10000,MATCH(Z2369,'CAMD Facility Data 2023'!$AE$2:$AE$10000,0),1),"")</f>
        <v>2164</v>
      </c>
      <c r="AC2369" s="1" t="str">
        <f>IF(INDEX('CAMD Facility Data 2023'!$AE$2:$AG$10000,MATCH(Z2369,'CAMD Facility Data 2023'!$AE$2:$AE$10000,0),3)&gt;0,INDEX('CAMD Facility Data 2023'!$AE$2:$AG$10000,MATCH(Z2369,'CAMD Facility Data 2023'!$AE$2:$AE$10000,0),3),"")</f>
        <v/>
      </c>
      <c r="AD2369" s="20">
        <f t="shared" si="109"/>
        <v>0.28358930321919668</v>
      </c>
      <c r="AE2369" s="25">
        <f t="shared" si="110"/>
        <v>0.63453068423518089</v>
      </c>
    </row>
    <row r="2370" spans="1:31" x14ac:dyDescent="0.2">
      <c r="A2370" s="1" t="s">
        <v>1621</v>
      </c>
      <c r="B2370" s="1" t="s">
        <v>5567</v>
      </c>
      <c r="C2370" s="1">
        <v>55088</v>
      </c>
      <c r="D2370" s="1" t="s">
        <v>5576</v>
      </c>
      <c r="F2370" s="1">
        <v>2023</v>
      </c>
      <c r="G2370" s="5">
        <v>7922</v>
      </c>
      <c r="H2370" s="5">
        <v>7909.5</v>
      </c>
      <c r="I2370" s="5">
        <v>1397098</v>
      </c>
      <c r="K2370" s="5">
        <v>4.3899999999999997</v>
      </c>
      <c r="L2370" s="5">
        <v>1E-3</v>
      </c>
      <c r="M2370" s="5">
        <v>869716</v>
      </c>
      <c r="N2370" s="6">
        <v>5.8999999999999997E-2</v>
      </c>
      <c r="O2370" s="5">
        <v>172.61500000000001</v>
      </c>
      <c r="P2370" s="6">
        <v>2.3800000000000002E-2</v>
      </c>
      <c r="Q2370" s="5">
        <v>14634586.175000001</v>
      </c>
      <c r="R2370" s="1" t="s">
        <v>44</v>
      </c>
      <c r="T2370" s="1" t="s">
        <v>71</v>
      </c>
      <c r="V2370" s="1" t="s">
        <v>140</v>
      </c>
      <c r="Y2370" s="1" t="s">
        <v>461</v>
      </c>
      <c r="Z2370" s="1" t="str">
        <f t="shared" si="108"/>
        <v>55088 GT3100</v>
      </c>
      <c r="AA2370" s="3">
        <f>IF(INDEX('CAMD Facility Data 2023'!$AA$2:$AE$10000,MATCH(Z2370,'CAMD Facility Data 2023'!$AE$2:$AE$10000,0),1)&gt;0,INDEX('CAMD Facility Data 2023'!$AA$2:$AE$10000,MATCH(Z2370,'CAMD Facility Data 2023'!$AE$2:$AE$10000,0),1),"")</f>
        <v>37043</v>
      </c>
      <c r="AB2370" s="5">
        <f>IF(INDEX('CAMD Facility Data 2023'!$AC$2:$AE$10000,MATCH(Z2370,'CAMD Facility Data 2023'!$AE$2:$AE$10000,0),1)&gt;0,INDEX('CAMD Facility Data 2023'!$AC$2:$AE$10000,MATCH(Z2370,'CAMD Facility Data 2023'!$AE$2:$AE$10000,0),1),"")</f>
        <v>3210</v>
      </c>
      <c r="AC2370" s="1" t="str">
        <f>IF(INDEX('CAMD Facility Data 2023'!$AE$2:$AG$10000,MATCH(Z2370,'CAMD Facility Data 2023'!$AE$2:$AE$10000,0),3)&gt;0,INDEX('CAMD Facility Data 2023'!$AE$2:$AG$10000,MATCH(Z2370,'CAMD Facility Data 2023'!$AE$2:$AE$10000,0),3),"")</f>
        <v/>
      </c>
      <c r="AD2370" s="20">
        <f t="shared" si="109"/>
        <v>0.24710507065359766</v>
      </c>
      <c r="AE2370" s="25">
        <f t="shared" si="110"/>
        <v>0.52044076640492754</v>
      </c>
    </row>
    <row r="2371" spans="1:31" x14ac:dyDescent="0.2">
      <c r="A2371" s="1" t="s">
        <v>1621</v>
      </c>
      <c r="B2371" s="1" t="s">
        <v>5567</v>
      </c>
      <c r="C2371" s="1">
        <v>55088</v>
      </c>
      <c r="D2371" s="1" t="s">
        <v>5578</v>
      </c>
      <c r="F2371" s="1">
        <v>2023</v>
      </c>
      <c r="G2371" s="5">
        <v>6350</v>
      </c>
      <c r="H2371" s="5">
        <v>6098.75</v>
      </c>
      <c r="I2371" s="5">
        <v>1021526.5</v>
      </c>
      <c r="K2371" s="5">
        <v>2.9790000000000001</v>
      </c>
      <c r="L2371" s="5">
        <v>1E-3</v>
      </c>
      <c r="M2371" s="5">
        <v>590193.19999999995</v>
      </c>
      <c r="N2371" s="6">
        <v>5.8999999999999997E-2</v>
      </c>
      <c r="O2371" s="5">
        <v>150.422</v>
      </c>
      <c r="P2371" s="6">
        <v>3.1300000000000001E-2</v>
      </c>
      <c r="Q2371" s="5">
        <v>9931137.4250000007</v>
      </c>
      <c r="R2371" s="1" t="s">
        <v>44</v>
      </c>
      <c r="T2371" s="1" t="s">
        <v>93</v>
      </c>
      <c r="V2371" s="1" t="s">
        <v>140</v>
      </c>
      <c r="Y2371" s="1" t="s">
        <v>461</v>
      </c>
      <c r="Z2371" s="1" t="str">
        <f t="shared" ref="Z2371:Z2434" si="111">C2371&amp;" "&amp;D2371</f>
        <v>55088 GTP1</v>
      </c>
      <c r="AA2371" s="3">
        <f>IF(INDEX('CAMD Facility Data 2023'!$AA$2:$AE$10000,MATCH(Z2371,'CAMD Facility Data 2023'!$AE$2:$AE$10000,0),1)&gt;0,INDEX('CAMD Facility Data 2023'!$AA$2:$AE$10000,MATCH(Z2371,'CAMD Facility Data 2023'!$AE$2:$AE$10000,0),1),"")</f>
        <v>36373</v>
      </c>
      <c r="AB2371" s="5">
        <f>IF(INDEX('CAMD Facility Data 2023'!$AC$2:$AE$10000,MATCH(Z2371,'CAMD Facility Data 2023'!$AE$2:$AE$10000,0),1)&gt;0,INDEX('CAMD Facility Data 2023'!$AC$2:$AE$10000,MATCH(Z2371,'CAMD Facility Data 2023'!$AE$2:$AE$10000,0),1),"")</f>
        <v>2410</v>
      </c>
      <c r="AC2371" s="1" t="str">
        <f>IF(INDEX('CAMD Facility Data 2023'!$AE$2:$AG$10000,MATCH(Z2371,'CAMD Facility Data 2023'!$AE$2:$AE$10000,0),3)&gt;0,INDEX('CAMD Facility Data 2023'!$AE$2:$AG$10000,MATCH(Z2371,'CAMD Facility Data 2023'!$AE$2:$AE$10000,0),3),"")</f>
        <v/>
      </c>
      <c r="AD2371" s="20">
        <f t="shared" ref="AD2371:AD2434" si="112">IF(ISNUMBER(O2371*2000/I2371),O2371*2000/I2371,"")</f>
        <v>0.29450435206526704</v>
      </c>
      <c r="AE2371" s="25">
        <f t="shared" ref="AE2371:AE2434" si="113">Q2371/(AB2371*8760)</f>
        <v>0.47041140534113951</v>
      </c>
    </row>
    <row r="2372" spans="1:31" x14ac:dyDescent="0.2">
      <c r="A2372" s="1" t="s">
        <v>1426</v>
      </c>
      <c r="B2372" s="1" t="s">
        <v>5580</v>
      </c>
      <c r="C2372" s="1">
        <v>55089</v>
      </c>
      <c r="D2372" s="1" t="s">
        <v>311</v>
      </c>
      <c r="F2372" s="1">
        <v>2023</v>
      </c>
      <c r="G2372" s="5">
        <v>8569</v>
      </c>
      <c r="H2372" s="5">
        <v>8565.1200000000008</v>
      </c>
      <c r="I2372" s="5">
        <v>1312886.05</v>
      </c>
      <c r="K2372" s="5">
        <v>4.7409999999999997</v>
      </c>
      <c r="L2372" s="5">
        <v>1E-3</v>
      </c>
      <c r="M2372" s="5">
        <v>939161.2</v>
      </c>
      <c r="N2372" s="6">
        <v>5.8999999999999997E-2</v>
      </c>
      <c r="O2372" s="5">
        <v>246.423</v>
      </c>
      <c r="P2372" s="6">
        <v>3.1300000000000001E-2</v>
      </c>
      <c r="Q2372" s="5">
        <v>15803243.226</v>
      </c>
      <c r="R2372" s="1" t="s">
        <v>44</v>
      </c>
      <c r="S2372" s="1" t="s">
        <v>288</v>
      </c>
      <c r="T2372" s="1" t="s">
        <v>71</v>
      </c>
      <c r="V2372" s="1" t="s">
        <v>140</v>
      </c>
      <c r="Y2372" s="1" t="s">
        <v>1428</v>
      </c>
      <c r="Z2372" s="1" t="str">
        <f t="shared" si="111"/>
        <v>55089 CT1</v>
      </c>
      <c r="AA2372" s="3">
        <f>IF(INDEX('CAMD Facility Data 2023'!$AA$2:$AE$10000,MATCH(Z2372,'CAMD Facility Data 2023'!$AE$2:$AE$10000,0),1)&gt;0,INDEX('CAMD Facility Data 2023'!$AA$2:$AE$10000,MATCH(Z2372,'CAMD Facility Data 2023'!$AE$2:$AE$10000,0),1),"")</f>
        <v>37452</v>
      </c>
      <c r="AB2372" s="5">
        <f>IF(INDEX('CAMD Facility Data 2023'!$AC$2:$AE$10000,MATCH(Z2372,'CAMD Facility Data 2023'!$AE$2:$AE$10000,0),1)&gt;0,INDEX('CAMD Facility Data 2023'!$AC$2:$AE$10000,MATCH(Z2372,'CAMD Facility Data 2023'!$AE$2:$AE$10000,0),1),"")</f>
        <v>2385</v>
      </c>
      <c r="AC2372" s="1" t="str">
        <f>IF(INDEX('CAMD Facility Data 2023'!$AE$2:$AG$10000,MATCH(Z2372,'CAMD Facility Data 2023'!$AE$2:$AE$10000,0),3)&gt;0,INDEX('CAMD Facility Data 2023'!$AE$2:$AG$10000,MATCH(Z2372,'CAMD Facility Data 2023'!$AE$2:$AE$10000,0),3),"")</f>
        <v/>
      </c>
      <c r="AD2372" s="20">
        <f t="shared" si="112"/>
        <v>0.37539129919157871</v>
      </c>
      <c r="AE2372" s="25">
        <f t="shared" si="113"/>
        <v>0.756403857155165</v>
      </c>
    </row>
    <row r="2373" spans="1:31" x14ac:dyDescent="0.2">
      <c r="A2373" s="1" t="s">
        <v>1426</v>
      </c>
      <c r="B2373" s="1" t="s">
        <v>5580</v>
      </c>
      <c r="C2373" s="1">
        <v>55089</v>
      </c>
      <c r="D2373" s="1" t="s">
        <v>98</v>
      </c>
      <c r="F2373" s="1">
        <v>2023</v>
      </c>
      <c r="G2373" s="5">
        <v>8304</v>
      </c>
      <c r="H2373" s="5">
        <v>8299.76</v>
      </c>
      <c r="I2373" s="5">
        <v>1248510.02</v>
      </c>
      <c r="K2373" s="5">
        <v>4.6689999999999996</v>
      </c>
      <c r="L2373" s="5">
        <v>1E-3</v>
      </c>
      <c r="M2373" s="5">
        <v>924900.99699999997</v>
      </c>
      <c r="N2373" s="6">
        <v>5.8999999999999997E-2</v>
      </c>
      <c r="O2373" s="5">
        <v>247.78899999999999</v>
      </c>
      <c r="P2373" s="6">
        <v>3.2000000000000001E-2</v>
      </c>
      <c r="Q2373" s="5">
        <v>15563290.375</v>
      </c>
      <c r="R2373" s="1" t="s">
        <v>44</v>
      </c>
      <c r="S2373" s="1" t="s">
        <v>288</v>
      </c>
      <c r="T2373" s="1" t="s">
        <v>71</v>
      </c>
      <c r="V2373" s="1" t="s">
        <v>140</v>
      </c>
      <c r="Y2373" s="1" t="s">
        <v>1428</v>
      </c>
      <c r="Z2373" s="1" t="str">
        <f t="shared" si="111"/>
        <v>55089 CT2</v>
      </c>
      <c r="AA2373" s="3">
        <f>IF(INDEX('CAMD Facility Data 2023'!$AA$2:$AE$10000,MATCH(Z2373,'CAMD Facility Data 2023'!$AE$2:$AE$10000,0),1)&gt;0,INDEX('CAMD Facility Data 2023'!$AA$2:$AE$10000,MATCH(Z2373,'CAMD Facility Data 2023'!$AE$2:$AE$10000,0),1),"")</f>
        <v>37477</v>
      </c>
      <c r="AB2373" s="5">
        <f>IF(INDEX('CAMD Facility Data 2023'!$AC$2:$AE$10000,MATCH(Z2373,'CAMD Facility Data 2023'!$AE$2:$AE$10000,0),1)&gt;0,INDEX('CAMD Facility Data 2023'!$AC$2:$AE$10000,MATCH(Z2373,'CAMD Facility Data 2023'!$AE$2:$AE$10000,0),1),"")</f>
        <v>2385</v>
      </c>
      <c r="AC2373" s="1" t="str">
        <f>IF(INDEX('CAMD Facility Data 2023'!$AE$2:$AG$10000,MATCH(Z2373,'CAMD Facility Data 2023'!$AE$2:$AE$10000,0),3)&gt;0,INDEX('CAMD Facility Data 2023'!$AE$2:$AG$10000,MATCH(Z2373,'CAMD Facility Data 2023'!$AE$2:$AE$10000,0),3),"")</f>
        <v/>
      </c>
      <c r="AD2373" s="20">
        <f t="shared" si="112"/>
        <v>0.39693554081368126</v>
      </c>
      <c r="AE2373" s="25">
        <f t="shared" si="113"/>
        <v>0.74491879301762343</v>
      </c>
    </row>
    <row r="2374" spans="1:31" x14ac:dyDescent="0.2">
      <c r="A2374" s="1" t="s">
        <v>1426</v>
      </c>
      <c r="B2374" s="1" t="s">
        <v>5580</v>
      </c>
      <c r="C2374" s="1">
        <v>55089</v>
      </c>
      <c r="D2374" s="1" t="s">
        <v>101</v>
      </c>
      <c r="F2374" s="1">
        <v>2023</v>
      </c>
      <c r="G2374" s="5">
        <v>8640</v>
      </c>
      <c r="H2374" s="5">
        <v>8639.02</v>
      </c>
      <c r="I2374" s="5">
        <v>1299958.6000000001</v>
      </c>
      <c r="K2374" s="5">
        <v>4.8090000000000002</v>
      </c>
      <c r="L2374" s="5">
        <v>1E-3</v>
      </c>
      <c r="M2374" s="5">
        <v>952580.66</v>
      </c>
      <c r="N2374" s="6">
        <v>5.8999999999999997E-2</v>
      </c>
      <c r="O2374" s="5">
        <v>244.30799999999999</v>
      </c>
      <c r="P2374" s="6">
        <v>3.04E-2</v>
      </c>
      <c r="Q2374" s="5">
        <v>16028632.310000001</v>
      </c>
      <c r="R2374" s="1" t="s">
        <v>44</v>
      </c>
      <c r="S2374" s="1" t="s">
        <v>288</v>
      </c>
      <c r="T2374" s="1" t="s">
        <v>71</v>
      </c>
      <c r="V2374" s="1" t="s">
        <v>140</v>
      </c>
      <c r="Y2374" s="1" t="s">
        <v>1428</v>
      </c>
      <c r="Z2374" s="1" t="str">
        <f t="shared" si="111"/>
        <v>55089 CT3</v>
      </c>
      <c r="AA2374" s="3">
        <f>IF(INDEX('CAMD Facility Data 2023'!$AA$2:$AE$10000,MATCH(Z2374,'CAMD Facility Data 2023'!$AE$2:$AE$10000,0),1)&gt;0,INDEX('CAMD Facility Data 2023'!$AA$2:$AE$10000,MATCH(Z2374,'CAMD Facility Data 2023'!$AE$2:$AE$10000,0),1),"")</f>
        <v>37505</v>
      </c>
      <c r="AB2374" s="5">
        <f>IF(INDEX('CAMD Facility Data 2023'!$AC$2:$AE$10000,MATCH(Z2374,'CAMD Facility Data 2023'!$AE$2:$AE$10000,0),1)&gt;0,INDEX('CAMD Facility Data 2023'!$AC$2:$AE$10000,MATCH(Z2374,'CAMD Facility Data 2023'!$AE$2:$AE$10000,0),1),"")</f>
        <v>2385</v>
      </c>
      <c r="AC2374" s="1" t="str">
        <f>IF(INDEX('CAMD Facility Data 2023'!$AE$2:$AG$10000,MATCH(Z2374,'CAMD Facility Data 2023'!$AE$2:$AE$10000,0),3)&gt;0,INDEX('CAMD Facility Data 2023'!$AE$2:$AG$10000,MATCH(Z2374,'CAMD Facility Data 2023'!$AE$2:$AE$10000,0),3),"")</f>
        <v/>
      </c>
      <c r="AD2374" s="20">
        <f t="shared" si="112"/>
        <v>0.37587043156605138</v>
      </c>
      <c r="AE2374" s="25">
        <f t="shared" si="113"/>
        <v>0.76719184352354419</v>
      </c>
    </row>
    <row r="2375" spans="1:31" x14ac:dyDescent="0.2">
      <c r="A2375" s="1" t="s">
        <v>383</v>
      </c>
      <c r="B2375" s="1" t="s">
        <v>5585</v>
      </c>
      <c r="C2375" s="1">
        <v>55091</v>
      </c>
      <c r="D2375" s="1" t="s">
        <v>5586</v>
      </c>
      <c r="F2375" s="1">
        <v>2023</v>
      </c>
      <c r="G2375" s="5">
        <v>3925</v>
      </c>
      <c r="H2375" s="5">
        <v>3711.91</v>
      </c>
      <c r="I2375" s="5">
        <v>776758.92</v>
      </c>
      <c r="K2375" s="5">
        <v>1.8069999999999999</v>
      </c>
      <c r="L2375" s="5">
        <v>1E-3</v>
      </c>
      <c r="M2375" s="5">
        <v>357969.08899999998</v>
      </c>
      <c r="N2375" s="6">
        <v>5.8999999999999997E-2</v>
      </c>
      <c r="O2375" s="5">
        <v>48.734000000000002</v>
      </c>
      <c r="P2375" s="6">
        <v>2.81E-2</v>
      </c>
      <c r="Q2375" s="5">
        <v>6023496.3799999999</v>
      </c>
      <c r="R2375" s="1" t="s">
        <v>44</v>
      </c>
      <c r="S2375" s="1" t="s">
        <v>94</v>
      </c>
      <c r="T2375" s="1" t="s">
        <v>71</v>
      </c>
      <c r="V2375" s="1" t="s">
        <v>643</v>
      </c>
      <c r="Y2375" s="1" t="s">
        <v>346</v>
      </c>
      <c r="Z2375" s="1" t="str">
        <f t="shared" si="111"/>
        <v>55091 STK1</v>
      </c>
      <c r="AA2375" s="3">
        <f>IF(INDEX('CAMD Facility Data 2023'!$AA$2:$AE$10000,MATCH(Z2375,'CAMD Facility Data 2023'!$AE$2:$AE$10000,0),1)&gt;0,INDEX('CAMD Facility Data 2023'!$AA$2:$AE$10000,MATCH(Z2375,'CAMD Facility Data 2023'!$AE$2:$AE$10000,0),1),"")</f>
        <v>36662</v>
      </c>
      <c r="AB2375" s="5">
        <f>IF(INDEX('CAMD Facility Data 2023'!$AC$2:$AE$10000,MATCH(Z2375,'CAMD Facility Data 2023'!$AE$2:$AE$10000,0),1)&gt;0,INDEX('CAMD Facility Data 2023'!$AC$2:$AE$10000,MATCH(Z2375,'CAMD Facility Data 2023'!$AE$2:$AE$10000,0),1),"")</f>
        <v>2140</v>
      </c>
      <c r="AC2375" s="1" t="str">
        <f>IF(INDEX('CAMD Facility Data 2023'!$AE$2:$AG$10000,MATCH(Z2375,'CAMD Facility Data 2023'!$AE$2:$AE$10000,0),3)&gt;0,INDEX('CAMD Facility Data 2023'!$AE$2:$AG$10000,MATCH(Z2375,'CAMD Facility Data 2023'!$AE$2:$AE$10000,0),3),"")</f>
        <v>Y</v>
      </c>
      <c r="AD2375" s="20">
        <f t="shared" si="112"/>
        <v>0.12548037427108014</v>
      </c>
      <c r="AE2375" s="25">
        <f t="shared" si="113"/>
        <v>0.32131483271454786</v>
      </c>
    </row>
    <row r="2376" spans="1:31" x14ac:dyDescent="0.2">
      <c r="A2376" s="1" t="s">
        <v>383</v>
      </c>
      <c r="B2376" s="1" t="s">
        <v>5585</v>
      </c>
      <c r="C2376" s="1">
        <v>55091</v>
      </c>
      <c r="D2376" s="1" t="s">
        <v>5591</v>
      </c>
      <c r="F2376" s="1">
        <v>2023</v>
      </c>
      <c r="G2376" s="5">
        <v>4605</v>
      </c>
      <c r="H2376" s="5">
        <v>4453.7299999999996</v>
      </c>
      <c r="I2376" s="5">
        <v>1026657.94</v>
      </c>
      <c r="K2376" s="5">
        <v>2.2530000000000001</v>
      </c>
      <c r="L2376" s="5">
        <v>1E-3</v>
      </c>
      <c r="M2376" s="5">
        <v>446358.522</v>
      </c>
      <c r="N2376" s="6">
        <v>5.8999999999999997E-2</v>
      </c>
      <c r="O2376" s="5">
        <v>55.375</v>
      </c>
      <c r="P2376" s="6">
        <v>2.46E-2</v>
      </c>
      <c r="Q2376" s="5">
        <v>7510888.5149999997</v>
      </c>
      <c r="R2376" s="1" t="s">
        <v>44</v>
      </c>
      <c r="S2376" s="1" t="s">
        <v>94</v>
      </c>
      <c r="T2376" s="1" t="s">
        <v>71</v>
      </c>
      <c r="V2376" s="1" t="s">
        <v>643</v>
      </c>
      <c r="Y2376" s="1" t="s">
        <v>346</v>
      </c>
      <c r="Z2376" s="1" t="str">
        <f t="shared" si="111"/>
        <v>55091 STK2</v>
      </c>
      <c r="AA2376" s="3">
        <f>IF(INDEX('CAMD Facility Data 2023'!$AA$2:$AE$10000,MATCH(Z2376,'CAMD Facility Data 2023'!$AE$2:$AE$10000,0),1)&gt;0,INDEX('CAMD Facility Data 2023'!$AA$2:$AE$10000,MATCH(Z2376,'CAMD Facility Data 2023'!$AE$2:$AE$10000,0),1),"")</f>
        <v>36671</v>
      </c>
      <c r="AB2376" s="5">
        <f>IF(INDEX('CAMD Facility Data 2023'!$AC$2:$AE$10000,MATCH(Z2376,'CAMD Facility Data 2023'!$AE$2:$AE$10000,0),1)&gt;0,INDEX('CAMD Facility Data 2023'!$AC$2:$AE$10000,MATCH(Z2376,'CAMD Facility Data 2023'!$AE$2:$AE$10000,0),1),"")</f>
        <v>2140</v>
      </c>
      <c r="AC2376" s="1" t="str">
        <f>IF(INDEX('CAMD Facility Data 2023'!$AE$2:$AG$10000,MATCH(Z2376,'CAMD Facility Data 2023'!$AE$2:$AE$10000,0),3)&gt;0,INDEX('CAMD Facility Data 2023'!$AE$2:$AG$10000,MATCH(Z2376,'CAMD Facility Data 2023'!$AE$2:$AE$10000,0),3),"")</f>
        <v>Y</v>
      </c>
      <c r="AD2376" s="20">
        <f t="shared" si="112"/>
        <v>0.10787429355487184</v>
      </c>
      <c r="AE2376" s="25">
        <f t="shared" si="113"/>
        <v>0.40065764706823709</v>
      </c>
    </row>
    <row r="2377" spans="1:31" x14ac:dyDescent="0.2">
      <c r="A2377" s="1" t="s">
        <v>383</v>
      </c>
      <c r="B2377" s="1" t="s">
        <v>5585</v>
      </c>
      <c r="C2377" s="1">
        <v>55091</v>
      </c>
      <c r="D2377" s="1" t="s">
        <v>5593</v>
      </c>
      <c r="F2377" s="1">
        <v>2023</v>
      </c>
      <c r="G2377" s="5">
        <v>4001</v>
      </c>
      <c r="H2377" s="5">
        <v>3847.26</v>
      </c>
      <c r="I2377" s="5">
        <v>884436.89</v>
      </c>
      <c r="K2377" s="5">
        <v>1.9550000000000001</v>
      </c>
      <c r="L2377" s="5">
        <v>1E-3</v>
      </c>
      <c r="M2377" s="5">
        <v>387301.89600000001</v>
      </c>
      <c r="N2377" s="6">
        <v>5.8999999999999997E-2</v>
      </c>
      <c r="O2377" s="5">
        <v>57.673999999999999</v>
      </c>
      <c r="P2377" s="6">
        <v>2.86E-2</v>
      </c>
      <c r="Q2377" s="5">
        <v>6517082.4749999996</v>
      </c>
      <c r="R2377" s="1" t="s">
        <v>44</v>
      </c>
      <c r="S2377" s="1" t="s">
        <v>94</v>
      </c>
      <c r="T2377" s="1" t="s">
        <v>71</v>
      </c>
      <c r="V2377" s="1" t="s">
        <v>643</v>
      </c>
      <c r="Y2377" s="1" t="s">
        <v>346</v>
      </c>
      <c r="Z2377" s="1" t="str">
        <f t="shared" si="111"/>
        <v>55091 STK3</v>
      </c>
      <c r="AA2377" s="3">
        <f>IF(INDEX('CAMD Facility Data 2023'!$AA$2:$AE$10000,MATCH(Z2377,'CAMD Facility Data 2023'!$AE$2:$AE$10000,0),1)&gt;0,INDEX('CAMD Facility Data 2023'!$AA$2:$AE$10000,MATCH(Z2377,'CAMD Facility Data 2023'!$AE$2:$AE$10000,0),1),"")</f>
        <v>36735</v>
      </c>
      <c r="AB2377" s="5">
        <f>IF(INDEX('CAMD Facility Data 2023'!$AC$2:$AE$10000,MATCH(Z2377,'CAMD Facility Data 2023'!$AE$2:$AE$10000,0),1)&gt;0,INDEX('CAMD Facility Data 2023'!$AC$2:$AE$10000,MATCH(Z2377,'CAMD Facility Data 2023'!$AE$2:$AE$10000,0),1),"")</f>
        <v>2140</v>
      </c>
      <c r="AC2377" s="1" t="str">
        <f>IF(INDEX('CAMD Facility Data 2023'!$AE$2:$AG$10000,MATCH(Z2377,'CAMD Facility Data 2023'!$AE$2:$AE$10000,0),3)&gt;0,INDEX('CAMD Facility Data 2023'!$AE$2:$AG$10000,MATCH(Z2377,'CAMD Facility Data 2023'!$AE$2:$AE$10000,0),3),"")</f>
        <v>Y</v>
      </c>
      <c r="AD2377" s="20">
        <f t="shared" si="112"/>
        <v>0.13041970693918026</v>
      </c>
      <c r="AE2377" s="25">
        <f t="shared" si="113"/>
        <v>0.34764447974011009</v>
      </c>
    </row>
    <row r="2378" spans="1:31" x14ac:dyDescent="0.2">
      <c r="A2378" s="1" t="s">
        <v>383</v>
      </c>
      <c r="B2378" s="1" t="s">
        <v>5585</v>
      </c>
      <c r="C2378" s="1">
        <v>55091</v>
      </c>
      <c r="D2378" s="1" t="s">
        <v>5595</v>
      </c>
      <c r="F2378" s="1">
        <v>2023</v>
      </c>
      <c r="G2378" s="5">
        <v>4067</v>
      </c>
      <c r="H2378" s="5">
        <v>3881.88</v>
      </c>
      <c r="I2378" s="5">
        <v>870335.43</v>
      </c>
      <c r="K2378" s="5">
        <v>1.97</v>
      </c>
      <c r="L2378" s="5">
        <v>1E-3</v>
      </c>
      <c r="M2378" s="5">
        <v>390215.14799999999</v>
      </c>
      <c r="N2378" s="6">
        <v>5.8999999999999997E-2</v>
      </c>
      <c r="O2378" s="5">
        <v>64.397000000000006</v>
      </c>
      <c r="P2378" s="6">
        <v>3.9399999999999998E-2</v>
      </c>
      <c r="Q2378" s="5">
        <v>6566118.2230000002</v>
      </c>
      <c r="R2378" s="1" t="s">
        <v>44</v>
      </c>
      <c r="T2378" s="1" t="s">
        <v>71</v>
      </c>
      <c r="V2378" s="1" t="s">
        <v>64</v>
      </c>
      <c r="Y2378" s="1" t="s">
        <v>346</v>
      </c>
      <c r="Z2378" s="1" t="str">
        <f t="shared" si="111"/>
        <v>55091 STK4</v>
      </c>
      <c r="AA2378" s="3">
        <f>IF(INDEX('CAMD Facility Data 2023'!$AA$2:$AE$10000,MATCH(Z2378,'CAMD Facility Data 2023'!$AE$2:$AE$10000,0),1)&gt;0,INDEX('CAMD Facility Data 2023'!$AA$2:$AE$10000,MATCH(Z2378,'CAMD Facility Data 2023'!$AE$2:$AE$10000,0),1),"")</f>
        <v>36781</v>
      </c>
      <c r="AB2378" s="5">
        <f>IF(INDEX('CAMD Facility Data 2023'!$AC$2:$AE$10000,MATCH(Z2378,'CAMD Facility Data 2023'!$AE$2:$AE$10000,0),1)&gt;0,INDEX('CAMD Facility Data 2023'!$AC$2:$AE$10000,MATCH(Z2378,'CAMD Facility Data 2023'!$AE$2:$AE$10000,0),1),"")</f>
        <v>2140</v>
      </c>
      <c r="AC2378" s="1" t="str">
        <f>IF(INDEX('CAMD Facility Data 2023'!$AE$2:$AG$10000,MATCH(Z2378,'CAMD Facility Data 2023'!$AE$2:$AE$10000,0),3)&gt;0,INDEX('CAMD Facility Data 2023'!$AE$2:$AG$10000,MATCH(Z2378,'CAMD Facility Data 2023'!$AE$2:$AE$10000,0),3),"")</f>
        <v>Y</v>
      </c>
      <c r="AD2378" s="20">
        <f t="shared" si="112"/>
        <v>0.14798202573460673</v>
      </c>
      <c r="AE2378" s="25">
        <f t="shared" si="113"/>
        <v>0.3502602218559297</v>
      </c>
    </row>
    <row r="2379" spans="1:31" x14ac:dyDescent="0.2">
      <c r="A2379" s="1" t="s">
        <v>383</v>
      </c>
      <c r="B2379" s="1" t="s">
        <v>5585</v>
      </c>
      <c r="C2379" s="1">
        <v>55091</v>
      </c>
      <c r="D2379" s="1" t="s">
        <v>5597</v>
      </c>
      <c r="F2379" s="1">
        <v>2023</v>
      </c>
      <c r="G2379" s="5">
        <v>4378</v>
      </c>
      <c r="H2379" s="5">
        <v>4229.6099999999997</v>
      </c>
      <c r="I2379" s="5">
        <v>974245.49</v>
      </c>
      <c r="K2379" s="5">
        <v>2.2069999999999999</v>
      </c>
      <c r="L2379" s="5">
        <v>1E-3</v>
      </c>
      <c r="M2379" s="5">
        <v>437186.84499999997</v>
      </c>
      <c r="N2379" s="6">
        <v>5.8999999999999997E-2</v>
      </c>
      <c r="O2379" s="5">
        <v>61.420999999999999</v>
      </c>
      <c r="P2379" s="6">
        <v>2.5399999999999999E-2</v>
      </c>
      <c r="Q2379" s="5">
        <v>7356537.335</v>
      </c>
      <c r="R2379" s="1" t="s">
        <v>44</v>
      </c>
      <c r="T2379" s="1" t="s">
        <v>71</v>
      </c>
      <c r="V2379" s="1" t="s">
        <v>64</v>
      </c>
      <c r="Y2379" s="1" t="s">
        <v>346</v>
      </c>
      <c r="Z2379" s="1" t="str">
        <f t="shared" si="111"/>
        <v>55091 STK5</v>
      </c>
      <c r="AA2379" s="3">
        <f>IF(INDEX('CAMD Facility Data 2023'!$AA$2:$AE$10000,MATCH(Z2379,'CAMD Facility Data 2023'!$AE$2:$AE$10000,0),1)&gt;0,INDEX('CAMD Facility Data 2023'!$AA$2:$AE$10000,MATCH(Z2379,'CAMD Facility Data 2023'!$AE$2:$AE$10000,0),1),"")</f>
        <v>37110</v>
      </c>
      <c r="AB2379" s="5">
        <f>IF(INDEX('CAMD Facility Data 2023'!$AC$2:$AE$10000,MATCH(Z2379,'CAMD Facility Data 2023'!$AE$2:$AE$10000,0),1)&gt;0,INDEX('CAMD Facility Data 2023'!$AC$2:$AE$10000,MATCH(Z2379,'CAMD Facility Data 2023'!$AE$2:$AE$10000,0),1),"")</f>
        <v>2520</v>
      </c>
      <c r="AC2379" s="1" t="str">
        <f>IF(INDEX('CAMD Facility Data 2023'!$AE$2:$AG$10000,MATCH(Z2379,'CAMD Facility Data 2023'!$AE$2:$AE$10000,0),3)&gt;0,INDEX('CAMD Facility Data 2023'!$AE$2:$AG$10000,MATCH(Z2379,'CAMD Facility Data 2023'!$AE$2:$AE$10000,0),3),"")</f>
        <v>Y</v>
      </c>
      <c r="AD2379" s="20">
        <f t="shared" si="112"/>
        <v>0.12608936993898734</v>
      </c>
      <c r="AE2379" s="25">
        <f t="shared" si="113"/>
        <v>0.33324895516235414</v>
      </c>
    </row>
    <row r="2380" spans="1:31" x14ac:dyDescent="0.2">
      <c r="A2380" s="1" t="s">
        <v>383</v>
      </c>
      <c r="B2380" s="1" t="s">
        <v>5585</v>
      </c>
      <c r="C2380" s="1">
        <v>55091</v>
      </c>
      <c r="D2380" s="1" t="s">
        <v>5599</v>
      </c>
      <c r="F2380" s="1">
        <v>2023</v>
      </c>
      <c r="G2380" s="5">
        <v>4031</v>
      </c>
      <c r="H2380" s="5">
        <v>3894.52</v>
      </c>
      <c r="I2380" s="5">
        <v>900971.74</v>
      </c>
      <c r="K2380" s="5">
        <v>2.0179999999999998</v>
      </c>
      <c r="L2380" s="5">
        <v>1E-3</v>
      </c>
      <c r="M2380" s="5">
        <v>399709.408</v>
      </c>
      <c r="N2380" s="6">
        <v>5.8999999999999997E-2</v>
      </c>
      <c r="O2380" s="5">
        <v>57.515999999999998</v>
      </c>
      <c r="P2380" s="6">
        <v>2.4400000000000002E-2</v>
      </c>
      <c r="Q2380" s="5">
        <v>6725830.5029999996</v>
      </c>
      <c r="R2380" s="1" t="s">
        <v>44</v>
      </c>
      <c r="T2380" s="1" t="s">
        <v>71</v>
      </c>
      <c r="V2380" s="1" t="s">
        <v>64</v>
      </c>
      <c r="Y2380" s="1" t="s">
        <v>346</v>
      </c>
      <c r="Z2380" s="1" t="str">
        <f t="shared" si="111"/>
        <v>55091 STK6</v>
      </c>
      <c r="AA2380" s="3">
        <f>IF(INDEX('CAMD Facility Data 2023'!$AA$2:$AE$10000,MATCH(Z2380,'CAMD Facility Data 2023'!$AE$2:$AE$10000,0),1)&gt;0,INDEX('CAMD Facility Data 2023'!$AA$2:$AE$10000,MATCH(Z2380,'CAMD Facility Data 2023'!$AE$2:$AE$10000,0),1),"")</f>
        <v>37152</v>
      </c>
      <c r="AB2380" s="5">
        <f>IF(INDEX('CAMD Facility Data 2023'!$AC$2:$AE$10000,MATCH(Z2380,'CAMD Facility Data 2023'!$AE$2:$AE$10000,0),1)&gt;0,INDEX('CAMD Facility Data 2023'!$AC$2:$AE$10000,MATCH(Z2380,'CAMD Facility Data 2023'!$AE$2:$AE$10000,0),1),"")</f>
        <v>2520</v>
      </c>
      <c r="AC2380" s="1" t="str">
        <f>IF(INDEX('CAMD Facility Data 2023'!$AE$2:$AG$10000,MATCH(Z2380,'CAMD Facility Data 2023'!$AE$2:$AE$10000,0),3)&gt;0,INDEX('CAMD Facility Data 2023'!$AE$2:$AG$10000,MATCH(Z2380,'CAMD Facility Data 2023'!$AE$2:$AE$10000,0),3),"")</f>
        <v>Y</v>
      </c>
      <c r="AD2380" s="20">
        <f t="shared" si="112"/>
        <v>0.12767548069820703</v>
      </c>
      <c r="AE2380" s="25">
        <f t="shared" si="113"/>
        <v>0.30467812309741243</v>
      </c>
    </row>
    <row r="2381" spans="1:31" x14ac:dyDescent="0.2">
      <c r="A2381" s="1" t="s">
        <v>383</v>
      </c>
      <c r="B2381" s="1" t="s">
        <v>5601</v>
      </c>
      <c r="C2381" s="1">
        <v>55097</v>
      </c>
      <c r="D2381" s="1">
        <v>1</v>
      </c>
      <c r="F2381" s="1">
        <v>2023</v>
      </c>
      <c r="G2381" s="5">
        <v>5641</v>
      </c>
      <c r="H2381" s="5">
        <v>5435.28</v>
      </c>
      <c r="I2381" s="5">
        <v>1310147.95</v>
      </c>
      <c r="K2381" s="5">
        <v>2.7469999999999999</v>
      </c>
      <c r="L2381" s="5">
        <v>1E-3</v>
      </c>
      <c r="M2381" s="5">
        <v>544133.52599999995</v>
      </c>
      <c r="N2381" s="6">
        <v>5.8999999999999997E-2</v>
      </c>
      <c r="O2381" s="5">
        <v>148.28399999999999</v>
      </c>
      <c r="P2381" s="6">
        <v>3.8399999999999997E-2</v>
      </c>
      <c r="Q2381" s="5">
        <v>9156021.9780000001</v>
      </c>
      <c r="R2381" s="1" t="s">
        <v>44</v>
      </c>
      <c r="T2381" s="1" t="s">
        <v>71</v>
      </c>
      <c r="V2381" s="1" t="s">
        <v>140</v>
      </c>
      <c r="Y2381" s="1" t="s">
        <v>346</v>
      </c>
      <c r="Z2381" s="1" t="str">
        <f t="shared" si="111"/>
        <v>55097 1</v>
      </c>
      <c r="AA2381" s="3">
        <f>IF(INDEX('CAMD Facility Data 2023'!$AA$2:$AE$10000,MATCH(Z2381,'CAMD Facility Data 2023'!$AE$2:$AE$10000,0),1)&gt;0,INDEX('CAMD Facility Data 2023'!$AA$2:$AE$10000,MATCH(Z2381,'CAMD Facility Data 2023'!$AE$2:$AE$10000,0),1),"")</f>
        <v>36647</v>
      </c>
      <c r="AB2381" s="5">
        <f>IF(INDEX('CAMD Facility Data 2023'!$AC$2:$AE$10000,MATCH(Z2381,'CAMD Facility Data 2023'!$AE$2:$AE$10000,0),1)&gt;0,INDEX('CAMD Facility Data 2023'!$AC$2:$AE$10000,MATCH(Z2381,'CAMD Facility Data 2023'!$AE$2:$AE$10000,0),1),"")</f>
        <v>2116</v>
      </c>
      <c r="AC2381" s="1" t="str">
        <f>IF(INDEX('CAMD Facility Data 2023'!$AE$2:$AG$10000,MATCH(Z2381,'CAMD Facility Data 2023'!$AE$2:$AE$10000,0),3)&gt;0,INDEX('CAMD Facility Data 2023'!$AE$2:$AG$10000,MATCH(Z2381,'CAMD Facility Data 2023'!$AE$2:$AE$10000,0),3),"")</f>
        <v/>
      </c>
      <c r="AD2381" s="20">
        <f t="shared" si="112"/>
        <v>0.22636222115219889</v>
      </c>
      <c r="AE2381" s="25">
        <f t="shared" si="113"/>
        <v>0.49395462587720435</v>
      </c>
    </row>
    <row r="2382" spans="1:31" x14ac:dyDescent="0.2">
      <c r="A2382" s="1" t="s">
        <v>383</v>
      </c>
      <c r="B2382" s="1" t="s">
        <v>5601</v>
      </c>
      <c r="C2382" s="1">
        <v>55097</v>
      </c>
      <c r="D2382" s="1">
        <v>2</v>
      </c>
      <c r="F2382" s="1">
        <v>2023</v>
      </c>
      <c r="G2382" s="5">
        <v>5570</v>
      </c>
      <c r="H2382" s="5">
        <v>5387.1</v>
      </c>
      <c r="I2382" s="5">
        <v>1300994.1599999999</v>
      </c>
      <c r="K2382" s="5">
        <v>2.7240000000000002</v>
      </c>
      <c r="L2382" s="5">
        <v>1E-3</v>
      </c>
      <c r="M2382" s="5">
        <v>539561.96900000004</v>
      </c>
      <c r="N2382" s="6">
        <v>5.8999999999999997E-2</v>
      </c>
      <c r="O2382" s="5">
        <v>143.20099999999999</v>
      </c>
      <c r="P2382" s="6">
        <v>3.5200000000000002E-2</v>
      </c>
      <c r="Q2382" s="5">
        <v>9079149.0390000008</v>
      </c>
      <c r="R2382" s="1" t="s">
        <v>44</v>
      </c>
      <c r="T2382" s="1" t="s">
        <v>71</v>
      </c>
      <c r="V2382" s="1" t="s">
        <v>140</v>
      </c>
      <c r="Y2382" s="1" t="s">
        <v>346</v>
      </c>
      <c r="Z2382" s="1" t="str">
        <f t="shared" si="111"/>
        <v>55097 2</v>
      </c>
      <c r="AA2382" s="3">
        <f>IF(INDEX('CAMD Facility Data 2023'!$AA$2:$AE$10000,MATCH(Z2382,'CAMD Facility Data 2023'!$AE$2:$AE$10000,0),1)&gt;0,INDEX('CAMD Facility Data 2023'!$AA$2:$AE$10000,MATCH(Z2382,'CAMD Facility Data 2023'!$AE$2:$AE$10000,0),1),"")</f>
        <v>36647</v>
      </c>
      <c r="AB2382" s="5">
        <f>IF(INDEX('CAMD Facility Data 2023'!$AC$2:$AE$10000,MATCH(Z2382,'CAMD Facility Data 2023'!$AE$2:$AE$10000,0),1)&gt;0,INDEX('CAMD Facility Data 2023'!$AC$2:$AE$10000,MATCH(Z2382,'CAMD Facility Data 2023'!$AE$2:$AE$10000,0),1),"")</f>
        <v>2116</v>
      </c>
      <c r="AC2382" s="1" t="str">
        <f>IF(INDEX('CAMD Facility Data 2023'!$AE$2:$AG$10000,MATCH(Z2382,'CAMD Facility Data 2023'!$AE$2:$AE$10000,0),3)&gt;0,INDEX('CAMD Facility Data 2023'!$AE$2:$AG$10000,MATCH(Z2382,'CAMD Facility Data 2023'!$AE$2:$AE$10000,0),3),"")</f>
        <v/>
      </c>
      <c r="AD2382" s="20">
        <f t="shared" si="112"/>
        <v>0.22014088057090128</v>
      </c>
      <c r="AE2382" s="25">
        <f t="shared" si="113"/>
        <v>0.48980743794831294</v>
      </c>
    </row>
    <row r="2383" spans="1:31" x14ac:dyDescent="0.2">
      <c r="A2383" s="1" t="s">
        <v>383</v>
      </c>
      <c r="B2383" s="1" t="s">
        <v>5601</v>
      </c>
      <c r="C2383" s="1">
        <v>55097</v>
      </c>
      <c r="D2383" s="1">
        <v>3</v>
      </c>
      <c r="F2383" s="1">
        <v>2023</v>
      </c>
      <c r="G2383" s="5">
        <v>6834</v>
      </c>
      <c r="H2383" s="5">
        <v>6608.91</v>
      </c>
      <c r="I2383" s="5">
        <v>1572540.67</v>
      </c>
      <c r="K2383" s="5">
        <v>3.3340000000000001</v>
      </c>
      <c r="L2383" s="5">
        <v>1E-3</v>
      </c>
      <c r="M2383" s="5">
        <v>660418.65700000001</v>
      </c>
      <c r="N2383" s="6">
        <v>5.8999999999999997E-2</v>
      </c>
      <c r="O2383" s="5">
        <v>162.393</v>
      </c>
      <c r="P2383" s="6">
        <v>3.4099999999999998E-2</v>
      </c>
      <c r="Q2383" s="5">
        <v>11112769.975</v>
      </c>
      <c r="R2383" s="1" t="s">
        <v>44</v>
      </c>
      <c r="T2383" s="1" t="s">
        <v>71</v>
      </c>
      <c r="V2383" s="1" t="s">
        <v>140</v>
      </c>
      <c r="Y2383" s="1" t="s">
        <v>346</v>
      </c>
      <c r="Z2383" s="1" t="str">
        <f t="shared" si="111"/>
        <v>55097 3</v>
      </c>
      <c r="AA2383" s="3">
        <f>IF(INDEX('CAMD Facility Data 2023'!$AA$2:$AE$10000,MATCH(Z2383,'CAMD Facility Data 2023'!$AE$2:$AE$10000,0),1)&gt;0,INDEX('CAMD Facility Data 2023'!$AA$2:$AE$10000,MATCH(Z2383,'CAMD Facility Data 2023'!$AE$2:$AE$10000,0),1),"")</f>
        <v>36861</v>
      </c>
      <c r="AB2383" s="5">
        <f>IF(INDEX('CAMD Facility Data 2023'!$AC$2:$AE$10000,MATCH(Z2383,'CAMD Facility Data 2023'!$AE$2:$AE$10000,0),1)&gt;0,INDEX('CAMD Facility Data 2023'!$AC$2:$AE$10000,MATCH(Z2383,'CAMD Facility Data 2023'!$AE$2:$AE$10000,0),1),"")</f>
        <v>2116</v>
      </c>
      <c r="AC2383" s="1" t="str">
        <f>IF(INDEX('CAMD Facility Data 2023'!$AE$2:$AG$10000,MATCH(Z2383,'CAMD Facility Data 2023'!$AE$2:$AE$10000,0),3)&gt;0,INDEX('CAMD Facility Data 2023'!$AE$2:$AG$10000,MATCH(Z2383,'CAMD Facility Data 2023'!$AE$2:$AE$10000,0),3),"")</f>
        <v/>
      </c>
      <c r="AD2383" s="20">
        <f t="shared" si="112"/>
        <v>0.20653583477748783</v>
      </c>
      <c r="AE2383" s="25">
        <f t="shared" si="113"/>
        <v>0.59951845339056198</v>
      </c>
    </row>
    <row r="2384" spans="1:31" x14ac:dyDescent="0.2">
      <c r="A2384" s="1" t="s">
        <v>383</v>
      </c>
      <c r="B2384" s="1" t="s">
        <v>5601</v>
      </c>
      <c r="C2384" s="1">
        <v>55097</v>
      </c>
      <c r="D2384" s="1">
        <v>4</v>
      </c>
      <c r="F2384" s="1">
        <v>2023</v>
      </c>
      <c r="G2384" s="5">
        <v>6702</v>
      </c>
      <c r="H2384" s="5">
        <v>6540.35</v>
      </c>
      <c r="I2384" s="5">
        <v>1574540.44</v>
      </c>
      <c r="K2384" s="5">
        <v>3.2970000000000002</v>
      </c>
      <c r="L2384" s="5">
        <v>1E-3</v>
      </c>
      <c r="M2384" s="5">
        <v>653188.47400000005</v>
      </c>
      <c r="N2384" s="6">
        <v>5.8999999999999997E-2</v>
      </c>
      <c r="O2384" s="5">
        <v>159.24700000000001</v>
      </c>
      <c r="P2384" s="6">
        <v>3.2500000000000001E-2</v>
      </c>
      <c r="Q2384" s="5">
        <v>10991071.007999999</v>
      </c>
      <c r="R2384" s="1" t="s">
        <v>44</v>
      </c>
      <c r="T2384" s="1" t="s">
        <v>71</v>
      </c>
      <c r="V2384" s="1" t="s">
        <v>140</v>
      </c>
      <c r="Y2384" s="1" t="s">
        <v>346</v>
      </c>
      <c r="Z2384" s="1" t="str">
        <f t="shared" si="111"/>
        <v>55097 4</v>
      </c>
      <c r="AA2384" s="3">
        <f>IF(INDEX('CAMD Facility Data 2023'!$AA$2:$AE$10000,MATCH(Z2384,'CAMD Facility Data 2023'!$AE$2:$AE$10000,0),1)&gt;0,INDEX('CAMD Facility Data 2023'!$AA$2:$AE$10000,MATCH(Z2384,'CAMD Facility Data 2023'!$AE$2:$AE$10000,0),1),"")</f>
        <v>36861</v>
      </c>
      <c r="AB2384" s="5">
        <f>IF(INDEX('CAMD Facility Data 2023'!$AC$2:$AE$10000,MATCH(Z2384,'CAMD Facility Data 2023'!$AE$2:$AE$10000,0),1)&gt;0,INDEX('CAMD Facility Data 2023'!$AC$2:$AE$10000,MATCH(Z2384,'CAMD Facility Data 2023'!$AE$2:$AE$10000,0),1),"")</f>
        <v>2116</v>
      </c>
      <c r="AC2384" s="1" t="str">
        <f>IF(INDEX('CAMD Facility Data 2023'!$AE$2:$AG$10000,MATCH(Z2384,'CAMD Facility Data 2023'!$AE$2:$AE$10000,0),3)&gt;0,INDEX('CAMD Facility Data 2023'!$AE$2:$AG$10000,MATCH(Z2384,'CAMD Facility Data 2023'!$AE$2:$AE$10000,0),3),"")</f>
        <v/>
      </c>
      <c r="AD2384" s="20">
        <f t="shared" si="112"/>
        <v>0.20227743404291351</v>
      </c>
      <c r="AE2384" s="25">
        <f t="shared" si="113"/>
        <v>0.5929529637206411</v>
      </c>
    </row>
    <row r="2385" spans="1:31" x14ac:dyDescent="0.2">
      <c r="A2385" s="1" t="s">
        <v>383</v>
      </c>
      <c r="B2385" s="1" t="s">
        <v>5607</v>
      </c>
      <c r="C2385" s="1">
        <v>55098</v>
      </c>
      <c r="D2385" s="1">
        <v>1</v>
      </c>
      <c r="F2385" s="1">
        <v>2023</v>
      </c>
      <c r="G2385" s="5">
        <v>3522</v>
      </c>
      <c r="H2385" s="5">
        <v>3507.03</v>
      </c>
      <c r="I2385" s="5">
        <v>716633.36</v>
      </c>
      <c r="K2385" s="5">
        <v>1.49</v>
      </c>
      <c r="L2385" s="5">
        <v>1E-3</v>
      </c>
      <c r="M2385" s="5">
        <v>295128.201</v>
      </c>
      <c r="N2385" s="6">
        <v>5.8999999999999997E-2</v>
      </c>
      <c r="O2385" s="5">
        <v>48.127000000000002</v>
      </c>
      <c r="P2385" s="6">
        <v>1.9800000000000002E-2</v>
      </c>
      <c r="Q2385" s="5">
        <v>4966085.0130000003</v>
      </c>
      <c r="R2385" s="1" t="s">
        <v>44</v>
      </c>
      <c r="T2385" s="1" t="s">
        <v>71</v>
      </c>
      <c r="V2385" s="1" t="s">
        <v>140</v>
      </c>
      <c r="Y2385" s="1" t="s">
        <v>346</v>
      </c>
      <c r="Z2385" s="1" t="str">
        <f t="shared" si="111"/>
        <v>55098 1</v>
      </c>
      <c r="AA2385" s="3">
        <f>IF(INDEX('CAMD Facility Data 2023'!$AA$2:$AE$10000,MATCH(Z2385,'CAMD Facility Data 2023'!$AE$2:$AE$10000,0),1)&gt;0,INDEX('CAMD Facility Data 2023'!$AA$2:$AE$10000,MATCH(Z2385,'CAMD Facility Data 2023'!$AE$2:$AE$10000,0),1),"")</f>
        <v>36344</v>
      </c>
      <c r="AB2385" s="5">
        <f>IF(INDEX('CAMD Facility Data 2023'!$AC$2:$AE$10000,MATCH(Z2385,'CAMD Facility Data 2023'!$AE$2:$AE$10000,0),1)&gt;0,INDEX('CAMD Facility Data 2023'!$AC$2:$AE$10000,MATCH(Z2385,'CAMD Facility Data 2023'!$AE$2:$AE$10000,0),1),"")</f>
        <v>1860</v>
      </c>
      <c r="AC2385" s="1" t="str">
        <f>IF(INDEX('CAMD Facility Data 2023'!$AE$2:$AG$10000,MATCH(Z2385,'CAMD Facility Data 2023'!$AE$2:$AE$10000,0),3)&gt;0,INDEX('CAMD Facility Data 2023'!$AE$2:$AG$10000,MATCH(Z2385,'CAMD Facility Data 2023'!$AE$2:$AE$10000,0),3),"")</f>
        <v/>
      </c>
      <c r="AD2385" s="20">
        <f t="shared" si="112"/>
        <v>0.13431414914873627</v>
      </c>
      <c r="AE2385" s="25">
        <f t="shared" si="113"/>
        <v>0.30478746335984686</v>
      </c>
    </row>
    <row r="2386" spans="1:31" x14ac:dyDescent="0.2">
      <c r="A2386" s="1" t="s">
        <v>383</v>
      </c>
      <c r="B2386" s="1" t="s">
        <v>5607</v>
      </c>
      <c r="C2386" s="1">
        <v>55098</v>
      </c>
      <c r="D2386" s="1">
        <v>2</v>
      </c>
      <c r="F2386" s="1">
        <v>2023</v>
      </c>
      <c r="G2386" s="5">
        <v>3482</v>
      </c>
      <c r="H2386" s="5">
        <v>3466.57</v>
      </c>
      <c r="I2386" s="5">
        <v>715721.35</v>
      </c>
      <c r="K2386" s="5">
        <v>1.4890000000000001</v>
      </c>
      <c r="L2386" s="5">
        <v>1E-3</v>
      </c>
      <c r="M2386" s="5">
        <v>295040.72399999999</v>
      </c>
      <c r="N2386" s="6">
        <v>5.8999999999999997E-2</v>
      </c>
      <c r="O2386" s="5">
        <v>48.261000000000003</v>
      </c>
      <c r="P2386" s="6">
        <v>1.9800000000000002E-2</v>
      </c>
      <c r="Q2386" s="5">
        <v>4964611.6220000004</v>
      </c>
      <c r="R2386" s="1" t="s">
        <v>44</v>
      </c>
      <c r="T2386" s="1" t="s">
        <v>71</v>
      </c>
      <c r="V2386" s="1" t="s">
        <v>140</v>
      </c>
      <c r="Y2386" s="1" t="s">
        <v>346</v>
      </c>
      <c r="Z2386" s="1" t="str">
        <f t="shared" si="111"/>
        <v>55098 2</v>
      </c>
      <c r="AA2386" s="3">
        <f>IF(INDEX('CAMD Facility Data 2023'!$AA$2:$AE$10000,MATCH(Z2386,'CAMD Facility Data 2023'!$AE$2:$AE$10000,0),1)&gt;0,INDEX('CAMD Facility Data 2023'!$AA$2:$AE$10000,MATCH(Z2386,'CAMD Facility Data 2023'!$AE$2:$AE$10000,0),1),"")</f>
        <v>36369</v>
      </c>
      <c r="AB2386" s="5">
        <f>IF(INDEX('CAMD Facility Data 2023'!$AC$2:$AE$10000,MATCH(Z2386,'CAMD Facility Data 2023'!$AE$2:$AE$10000,0),1)&gt;0,INDEX('CAMD Facility Data 2023'!$AC$2:$AE$10000,MATCH(Z2386,'CAMD Facility Data 2023'!$AE$2:$AE$10000,0),1),"")</f>
        <v>1860</v>
      </c>
      <c r="AC2386" s="1" t="str">
        <f>IF(INDEX('CAMD Facility Data 2023'!$AE$2:$AG$10000,MATCH(Z2386,'CAMD Facility Data 2023'!$AE$2:$AE$10000,0),3)&gt;0,INDEX('CAMD Facility Data 2023'!$AE$2:$AG$10000,MATCH(Z2386,'CAMD Facility Data 2023'!$AE$2:$AE$10000,0),3),"")</f>
        <v/>
      </c>
      <c r="AD2386" s="20">
        <f t="shared" si="112"/>
        <v>0.13485974674361748</v>
      </c>
      <c r="AE2386" s="25">
        <f t="shared" si="113"/>
        <v>0.30469703576864537</v>
      </c>
    </row>
    <row r="2387" spans="1:31" x14ac:dyDescent="0.2">
      <c r="A2387" s="1" t="s">
        <v>1505</v>
      </c>
      <c r="B2387" s="1" t="s">
        <v>5611</v>
      </c>
      <c r="C2387" s="1">
        <v>55100</v>
      </c>
      <c r="D2387" s="1">
        <v>1</v>
      </c>
      <c r="F2387" s="1">
        <v>2023</v>
      </c>
      <c r="G2387" s="5">
        <v>2178</v>
      </c>
      <c r="H2387" s="5">
        <v>2118.42</v>
      </c>
      <c r="I2387" s="5">
        <v>413879.53</v>
      </c>
      <c r="K2387" s="5">
        <v>0.88800000000000001</v>
      </c>
      <c r="L2387" s="5">
        <v>1E-3</v>
      </c>
      <c r="M2387" s="5">
        <v>175962.497</v>
      </c>
      <c r="N2387" s="6">
        <v>5.8999999999999997E-2</v>
      </c>
      <c r="O2387" s="5">
        <v>24.175000000000001</v>
      </c>
      <c r="P2387" s="6">
        <v>2.6200000000000001E-2</v>
      </c>
      <c r="Q2387" s="5">
        <v>2960892.0750000002</v>
      </c>
      <c r="R2387" s="1" t="s">
        <v>44</v>
      </c>
      <c r="T2387" s="1" t="s">
        <v>71</v>
      </c>
      <c r="V2387" s="1" t="s">
        <v>223</v>
      </c>
      <c r="Y2387" s="1" t="s">
        <v>5049</v>
      </c>
      <c r="Z2387" s="1" t="str">
        <f t="shared" si="111"/>
        <v>55100 1</v>
      </c>
      <c r="AA2387" s="3">
        <f>IF(INDEX('CAMD Facility Data 2023'!$AA$2:$AE$10000,MATCH(Z2387,'CAMD Facility Data 2023'!$AE$2:$AE$10000,0),1)&gt;0,INDEX('CAMD Facility Data 2023'!$AA$2:$AE$10000,MATCH(Z2387,'CAMD Facility Data 2023'!$AE$2:$AE$10000,0),1),"")</f>
        <v>36713</v>
      </c>
      <c r="AB2387" s="5">
        <f>IF(INDEX('CAMD Facility Data 2023'!$AC$2:$AE$10000,MATCH(Z2387,'CAMD Facility Data 2023'!$AE$2:$AE$10000,0),1)&gt;0,INDEX('CAMD Facility Data 2023'!$AC$2:$AE$10000,MATCH(Z2387,'CAMD Facility Data 2023'!$AE$2:$AE$10000,0),1),"")</f>
        <v>1975</v>
      </c>
      <c r="AC2387" s="1" t="str">
        <f>IF(INDEX('CAMD Facility Data 2023'!$AE$2:$AG$10000,MATCH(Z2387,'CAMD Facility Data 2023'!$AE$2:$AE$10000,0),3)&gt;0,INDEX('CAMD Facility Data 2023'!$AE$2:$AG$10000,MATCH(Z2387,'CAMD Facility Data 2023'!$AE$2:$AE$10000,0),3),"")</f>
        <v>Y</v>
      </c>
      <c r="AD2387" s="20">
        <f t="shared" si="112"/>
        <v>0.11682143352197195</v>
      </c>
      <c r="AE2387" s="25">
        <f t="shared" si="113"/>
        <v>0.1711399384428646</v>
      </c>
    </row>
    <row r="2388" spans="1:31" x14ac:dyDescent="0.2">
      <c r="A2388" s="1" t="s">
        <v>1621</v>
      </c>
      <c r="B2388" s="1" t="s">
        <v>5616</v>
      </c>
      <c r="C2388" s="1">
        <v>55101</v>
      </c>
      <c r="D2388" s="1">
        <v>1</v>
      </c>
      <c r="F2388" s="1">
        <v>2023</v>
      </c>
      <c r="G2388" s="5">
        <v>2840</v>
      </c>
      <c r="H2388" s="5">
        <v>2703.25</v>
      </c>
      <c r="I2388" s="5">
        <v>188487.02</v>
      </c>
      <c r="K2388" s="5">
        <v>0.69399999999999995</v>
      </c>
      <c r="L2388" s="5">
        <v>1E-3</v>
      </c>
      <c r="M2388" s="5">
        <v>137561.454</v>
      </c>
      <c r="N2388" s="6">
        <v>5.8999999999999997E-2</v>
      </c>
      <c r="O2388" s="5">
        <v>51.978000000000002</v>
      </c>
      <c r="P2388" s="6">
        <v>4.4900000000000002E-2</v>
      </c>
      <c r="Q2388" s="5">
        <v>2314728.3939999999</v>
      </c>
      <c r="R2388" s="1" t="s">
        <v>44</v>
      </c>
      <c r="T2388" s="1" t="s">
        <v>93</v>
      </c>
      <c r="V2388" s="1" t="s">
        <v>454</v>
      </c>
      <c r="Y2388" s="1" t="s">
        <v>461</v>
      </c>
      <c r="Z2388" s="1" t="str">
        <f t="shared" si="111"/>
        <v>55101 1</v>
      </c>
      <c r="AA2388" s="3">
        <f>IF(INDEX('CAMD Facility Data 2023'!$AA$2:$AE$10000,MATCH(Z2388,'CAMD Facility Data 2023'!$AE$2:$AE$10000,0),1)&gt;0,INDEX('CAMD Facility Data 2023'!$AA$2:$AE$10000,MATCH(Z2388,'CAMD Facility Data 2023'!$AE$2:$AE$10000,0),1),"")</f>
        <v>36321</v>
      </c>
      <c r="AB2388" s="5">
        <f>IF(INDEX('CAMD Facility Data 2023'!$AC$2:$AE$10000,MATCH(Z2388,'CAMD Facility Data 2023'!$AE$2:$AE$10000,0),1)&gt;0,INDEX('CAMD Facility Data 2023'!$AC$2:$AE$10000,MATCH(Z2388,'CAMD Facility Data 2023'!$AE$2:$AE$10000,0),1),"")</f>
        <v>1200</v>
      </c>
      <c r="AC2388" s="1" t="str">
        <f>IF(INDEX('CAMD Facility Data 2023'!$AE$2:$AG$10000,MATCH(Z2388,'CAMD Facility Data 2023'!$AE$2:$AE$10000,0),3)&gt;0,INDEX('CAMD Facility Data 2023'!$AE$2:$AG$10000,MATCH(Z2388,'CAMD Facility Data 2023'!$AE$2:$AE$10000,0),3),"")</f>
        <v/>
      </c>
      <c r="AD2388" s="20">
        <f t="shared" si="112"/>
        <v>0.55152869412440175</v>
      </c>
      <c r="AE2388" s="25">
        <f t="shared" si="113"/>
        <v>0.22019866761796042</v>
      </c>
    </row>
    <row r="2389" spans="1:31" x14ac:dyDescent="0.2">
      <c r="A2389" s="1" t="s">
        <v>1621</v>
      </c>
      <c r="B2389" s="1" t="s">
        <v>5621</v>
      </c>
      <c r="C2389" s="1">
        <v>55102</v>
      </c>
      <c r="D2389" s="1">
        <v>1</v>
      </c>
      <c r="F2389" s="1">
        <v>2023</v>
      </c>
      <c r="G2389" s="5">
        <v>110</v>
      </c>
      <c r="H2389" s="5">
        <v>83.54</v>
      </c>
      <c r="I2389" s="5">
        <v>2589.4299999999998</v>
      </c>
      <c r="K2389" s="5">
        <v>1.2999999999999999E-2</v>
      </c>
      <c r="L2389" s="5">
        <v>1E-3</v>
      </c>
      <c r="M2389" s="5">
        <v>2539.9569999999999</v>
      </c>
      <c r="N2389" s="6">
        <v>5.9200000000000003E-2</v>
      </c>
      <c r="O2389" s="5">
        <v>6.83</v>
      </c>
      <c r="P2389" s="6">
        <v>0.29649999999999999</v>
      </c>
      <c r="Q2389" s="5">
        <v>42736.91</v>
      </c>
      <c r="R2389" s="1" t="s">
        <v>44</v>
      </c>
      <c r="T2389" s="1" t="s">
        <v>93</v>
      </c>
      <c r="V2389" s="1" t="s">
        <v>95</v>
      </c>
      <c r="Y2389" s="1" t="s">
        <v>461</v>
      </c>
      <c r="Z2389" s="1" t="str">
        <f t="shared" si="111"/>
        <v>55102 1</v>
      </c>
      <c r="AA2389" s="3">
        <f>IF(INDEX('CAMD Facility Data 2023'!$AA$2:$AE$10000,MATCH(Z2389,'CAMD Facility Data 2023'!$AE$2:$AE$10000,0),1)&gt;0,INDEX('CAMD Facility Data 2023'!$AA$2:$AE$10000,MATCH(Z2389,'CAMD Facility Data 2023'!$AE$2:$AE$10000,0),1),"")</f>
        <v>36318</v>
      </c>
      <c r="AB2389" s="5">
        <f>IF(INDEX('CAMD Facility Data 2023'!$AC$2:$AE$10000,MATCH(Z2389,'CAMD Facility Data 2023'!$AE$2:$AE$10000,0),1)&gt;0,INDEX('CAMD Facility Data 2023'!$AC$2:$AE$10000,MATCH(Z2389,'CAMD Facility Data 2023'!$AE$2:$AE$10000,0),1),"")</f>
        <v>550</v>
      </c>
      <c r="AC2389" s="1" t="str">
        <f>IF(INDEX('CAMD Facility Data 2023'!$AE$2:$AG$10000,MATCH(Z2389,'CAMD Facility Data 2023'!$AE$2:$AE$10000,0),3)&gt;0,INDEX('CAMD Facility Data 2023'!$AE$2:$AG$10000,MATCH(Z2389,'CAMD Facility Data 2023'!$AE$2:$AE$10000,0),3),"")</f>
        <v/>
      </c>
      <c r="AD2389" s="20">
        <f t="shared" si="112"/>
        <v>5.2752922457838212</v>
      </c>
      <c r="AE2389" s="25">
        <f t="shared" si="113"/>
        <v>8.8702594437525956E-3</v>
      </c>
    </row>
    <row r="2390" spans="1:31" x14ac:dyDescent="0.2">
      <c r="A2390" s="1" t="s">
        <v>1621</v>
      </c>
      <c r="B2390" s="1" t="s">
        <v>5621</v>
      </c>
      <c r="C2390" s="1">
        <v>55102</v>
      </c>
      <c r="D2390" s="1">
        <v>2</v>
      </c>
      <c r="F2390" s="1">
        <v>2023</v>
      </c>
      <c r="G2390" s="5">
        <v>105</v>
      </c>
      <c r="H2390" s="5">
        <v>83.42</v>
      </c>
      <c r="I2390" s="5">
        <v>2578.3200000000002</v>
      </c>
      <c r="K2390" s="5">
        <v>1.2E-2</v>
      </c>
      <c r="L2390" s="5">
        <v>1E-3</v>
      </c>
      <c r="M2390" s="5">
        <v>2461.3829999999998</v>
      </c>
      <c r="N2390" s="6">
        <v>5.8900000000000001E-2</v>
      </c>
      <c r="O2390" s="5">
        <v>5.6379999999999999</v>
      </c>
      <c r="P2390" s="6">
        <v>0.26200000000000001</v>
      </c>
      <c r="Q2390" s="5">
        <v>41418.118000000002</v>
      </c>
      <c r="R2390" s="1" t="s">
        <v>44</v>
      </c>
      <c r="T2390" s="1" t="s">
        <v>93</v>
      </c>
      <c r="V2390" s="1" t="s">
        <v>95</v>
      </c>
      <c r="Y2390" s="1" t="s">
        <v>461</v>
      </c>
      <c r="Z2390" s="1" t="str">
        <f t="shared" si="111"/>
        <v>55102 2</v>
      </c>
      <c r="AA2390" s="3">
        <f>IF(INDEX('CAMD Facility Data 2023'!$AA$2:$AE$10000,MATCH(Z2390,'CAMD Facility Data 2023'!$AE$2:$AE$10000,0),1)&gt;0,INDEX('CAMD Facility Data 2023'!$AA$2:$AE$10000,MATCH(Z2390,'CAMD Facility Data 2023'!$AE$2:$AE$10000,0),1),"")</f>
        <v>36318</v>
      </c>
      <c r="AB2390" s="5">
        <f>IF(INDEX('CAMD Facility Data 2023'!$AC$2:$AE$10000,MATCH(Z2390,'CAMD Facility Data 2023'!$AE$2:$AE$10000,0),1)&gt;0,INDEX('CAMD Facility Data 2023'!$AC$2:$AE$10000,MATCH(Z2390,'CAMD Facility Data 2023'!$AE$2:$AE$10000,0),1),"")</f>
        <v>550</v>
      </c>
      <c r="AC2390" s="1" t="str">
        <f>IF(INDEX('CAMD Facility Data 2023'!$AE$2:$AG$10000,MATCH(Z2390,'CAMD Facility Data 2023'!$AE$2:$AE$10000,0),3)&gt;0,INDEX('CAMD Facility Data 2023'!$AE$2:$AG$10000,MATCH(Z2390,'CAMD Facility Data 2023'!$AE$2:$AE$10000,0),3),"")</f>
        <v/>
      </c>
      <c r="AD2390" s="20">
        <f t="shared" si="112"/>
        <v>4.3733904247727198</v>
      </c>
      <c r="AE2390" s="25">
        <f t="shared" si="113"/>
        <v>8.5965375674553757E-3</v>
      </c>
    </row>
    <row r="2391" spans="1:31" x14ac:dyDescent="0.2">
      <c r="A2391" s="1" t="s">
        <v>1621</v>
      </c>
      <c r="B2391" s="1" t="s">
        <v>5621</v>
      </c>
      <c r="C2391" s="1">
        <v>55102</v>
      </c>
      <c r="D2391" s="1">
        <v>3</v>
      </c>
      <c r="F2391" s="1">
        <v>2023</v>
      </c>
      <c r="G2391" s="5">
        <v>100</v>
      </c>
      <c r="H2391" s="5">
        <v>83.66</v>
      </c>
      <c r="I2391" s="5">
        <v>2587.9699999999998</v>
      </c>
      <c r="K2391" s="5">
        <v>1.2999999999999999E-2</v>
      </c>
      <c r="L2391" s="5">
        <v>1E-3</v>
      </c>
      <c r="M2391" s="5">
        <v>2532.7130000000002</v>
      </c>
      <c r="N2391" s="6">
        <v>5.9200000000000003E-2</v>
      </c>
      <c r="O2391" s="5">
        <v>5.9660000000000002</v>
      </c>
      <c r="P2391" s="6">
        <v>0.26929999999999998</v>
      </c>
      <c r="Q2391" s="5">
        <v>42614.241999999998</v>
      </c>
      <c r="R2391" s="1" t="s">
        <v>44</v>
      </c>
      <c r="T2391" s="1" t="s">
        <v>93</v>
      </c>
      <c r="V2391" s="1" t="s">
        <v>95</v>
      </c>
      <c r="Y2391" s="1" t="s">
        <v>461</v>
      </c>
      <c r="Z2391" s="1" t="str">
        <f t="shared" si="111"/>
        <v>55102 3</v>
      </c>
      <c r="AA2391" s="3">
        <f>IF(INDEX('CAMD Facility Data 2023'!$AA$2:$AE$10000,MATCH(Z2391,'CAMD Facility Data 2023'!$AE$2:$AE$10000,0),1)&gt;0,INDEX('CAMD Facility Data 2023'!$AA$2:$AE$10000,MATCH(Z2391,'CAMD Facility Data 2023'!$AE$2:$AE$10000,0),1),"")</f>
        <v>36318</v>
      </c>
      <c r="AB2391" s="5">
        <f>IF(INDEX('CAMD Facility Data 2023'!$AC$2:$AE$10000,MATCH(Z2391,'CAMD Facility Data 2023'!$AE$2:$AE$10000,0),1)&gt;0,INDEX('CAMD Facility Data 2023'!$AC$2:$AE$10000,MATCH(Z2391,'CAMD Facility Data 2023'!$AE$2:$AE$10000,0),1),"")</f>
        <v>550</v>
      </c>
      <c r="AC2391" s="1" t="str">
        <f>IF(INDEX('CAMD Facility Data 2023'!$AE$2:$AG$10000,MATCH(Z2391,'CAMD Facility Data 2023'!$AE$2:$AE$10000,0),3)&gt;0,INDEX('CAMD Facility Data 2023'!$AE$2:$AG$10000,MATCH(Z2391,'CAMD Facility Data 2023'!$AE$2:$AE$10000,0),3),"")</f>
        <v/>
      </c>
      <c r="AD2391" s="20">
        <f t="shared" si="112"/>
        <v>4.6105634918488239</v>
      </c>
      <c r="AE2391" s="25">
        <f t="shared" si="113"/>
        <v>8.8447990867579901E-3</v>
      </c>
    </row>
    <row r="2392" spans="1:31" x14ac:dyDescent="0.2">
      <c r="A2392" s="1" t="s">
        <v>1621</v>
      </c>
      <c r="B2392" s="1" t="s">
        <v>5621</v>
      </c>
      <c r="C2392" s="1">
        <v>55102</v>
      </c>
      <c r="D2392" s="1">
        <v>4</v>
      </c>
      <c r="F2392" s="1">
        <v>2023</v>
      </c>
      <c r="G2392" s="5">
        <v>72</v>
      </c>
      <c r="H2392" s="5">
        <v>59.61</v>
      </c>
      <c r="I2392" s="5">
        <v>1836.63</v>
      </c>
      <c r="K2392" s="5">
        <v>8.9999999999999993E-3</v>
      </c>
      <c r="L2392" s="5">
        <v>1E-3</v>
      </c>
      <c r="M2392" s="5">
        <v>1758.98</v>
      </c>
      <c r="N2392" s="6">
        <v>5.9200000000000003E-2</v>
      </c>
      <c r="O2392" s="5">
        <v>3.7730000000000001</v>
      </c>
      <c r="P2392" s="6">
        <v>0.25240000000000001</v>
      </c>
      <c r="Q2392" s="5">
        <v>29596.170999999998</v>
      </c>
      <c r="R2392" s="1" t="s">
        <v>44</v>
      </c>
      <c r="T2392" s="1" t="s">
        <v>93</v>
      </c>
      <c r="V2392" s="1" t="s">
        <v>95</v>
      </c>
      <c r="Y2392" s="1" t="s">
        <v>461</v>
      </c>
      <c r="Z2392" s="1" t="str">
        <f t="shared" si="111"/>
        <v>55102 4</v>
      </c>
      <c r="AA2392" s="3">
        <f>IF(INDEX('CAMD Facility Data 2023'!$AA$2:$AE$10000,MATCH(Z2392,'CAMD Facility Data 2023'!$AE$2:$AE$10000,0),1)&gt;0,INDEX('CAMD Facility Data 2023'!$AA$2:$AE$10000,MATCH(Z2392,'CAMD Facility Data 2023'!$AE$2:$AE$10000,0),1),"")</f>
        <v>36318</v>
      </c>
      <c r="AB2392" s="5">
        <f>IF(INDEX('CAMD Facility Data 2023'!$AC$2:$AE$10000,MATCH(Z2392,'CAMD Facility Data 2023'!$AE$2:$AE$10000,0),1)&gt;0,INDEX('CAMD Facility Data 2023'!$AC$2:$AE$10000,MATCH(Z2392,'CAMD Facility Data 2023'!$AE$2:$AE$10000,0),1),"")</f>
        <v>550</v>
      </c>
      <c r="AC2392" s="1" t="str">
        <f>IF(INDEX('CAMD Facility Data 2023'!$AE$2:$AG$10000,MATCH(Z2392,'CAMD Facility Data 2023'!$AE$2:$AE$10000,0),3)&gt;0,INDEX('CAMD Facility Data 2023'!$AE$2:$AG$10000,MATCH(Z2392,'CAMD Facility Data 2023'!$AE$2:$AE$10000,0),3),"")</f>
        <v/>
      </c>
      <c r="AD2392" s="20">
        <f t="shared" si="112"/>
        <v>4.1086119686599911</v>
      </c>
      <c r="AE2392" s="25">
        <f t="shared" si="113"/>
        <v>6.1428333333333326E-3</v>
      </c>
    </row>
    <row r="2393" spans="1:31" x14ac:dyDescent="0.2">
      <c r="A2393" s="1" t="s">
        <v>4093</v>
      </c>
      <c r="B2393" s="1" t="s">
        <v>5628</v>
      </c>
      <c r="C2393" s="1">
        <v>55103</v>
      </c>
      <c r="D2393" s="1" t="s">
        <v>311</v>
      </c>
      <c r="F2393" s="1">
        <v>2023</v>
      </c>
      <c r="G2393" s="5">
        <v>6155</v>
      </c>
      <c r="H2393" s="5">
        <v>6153.03</v>
      </c>
      <c r="I2393" s="5">
        <v>1509969.18</v>
      </c>
      <c r="K2393" s="5">
        <v>3.2109999999999999</v>
      </c>
      <c r="L2393" s="5">
        <v>1E-3</v>
      </c>
      <c r="M2393" s="5">
        <v>636056.99699999997</v>
      </c>
      <c r="N2393" s="6">
        <v>5.8999999999999997E-2</v>
      </c>
      <c r="O2393" s="5">
        <v>31.183</v>
      </c>
      <c r="P2393" s="6">
        <v>5.8999999999999999E-3</v>
      </c>
      <c r="Q2393" s="5">
        <v>10702887.43</v>
      </c>
      <c r="R2393" s="1" t="s">
        <v>44</v>
      </c>
      <c r="T2393" s="1" t="s">
        <v>71</v>
      </c>
      <c r="V2393" s="1" t="s">
        <v>223</v>
      </c>
      <c r="Y2393" s="1" t="s">
        <v>247</v>
      </c>
      <c r="Z2393" s="1" t="str">
        <f t="shared" si="111"/>
        <v>55103 CT1</v>
      </c>
      <c r="AA2393" s="3">
        <f>IF(INDEX('CAMD Facility Data 2023'!$AA$2:$AE$10000,MATCH(Z2393,'CAMD Facility Data 2023'!$AE$2:$AE$10000,0),1)&gt;0,INDEX('CAMD Facility Data 2023'!$AA$2:$AE$10000,MATCH(Z2393,'CAMD Facility Data 2023'!$AE$2:$AE$10000,0),1),"")</f>
        <v>37029</v>
      </c>
      <c r="AB2393" s="5">
        <f>IF(INDEX('CAMD Facility Data 2023'!$AC$2:$AE$10000,MATCH(Z2393,'CAMD Facility Data 2023'!$AE$2:$AE$10000,0),1)&gt;0,INDEX('CAMD Facility Data 2023'!$AC$2:$AE$10000,MATCH(Z2393,'CAMD Facility Data 2023'!$AE$2:$AE$10000,0),1),"")</f>
        <v>2100</v>
      </c>
      <c r="AC2393" s="1" t="str">
        <f>IF(INDEX('CAMD Facility Data 2023'!$AE$2:$AG$10000,MATCH(Z2393,'CAMD Facility Data 2023'!$AE$2:$AE$10000,0),3)&gt;0,INDEX('CAMD Facility Data 2023'!$AE$2:$AG$10000,MATCH(Z2393,'CAMD Facility Data 2023'!$AE$2:$AE$10000,0),3),"")</f>
        <v>Y</v>
      </c>
      <c r="AD2393" s="20">
        <f t="shared" si="112"/>
        <v>4.1302829770340083E-2</v>
      </c>
      <c r="AE2393" s="25">
        <f t="shared" si="113"/>
        <v>0.58180514405305495</v>
      </c>
    </row>
    <row r="2394" spans="1:31" x14ac:dyDescent="0.2">
      <c r="A2394" s="1" t="s">
        <v>4093</v>
      </c>
      <c r="B2394" s="1" t="s">
        <v>5628</v>
      </c>
      <c r="C2394" s="1">
        <v>55103</v>
      </c>
      <c r="D2394" s="1" t="s">
        <v>98</v>
      </c>
      <c r="F2394" s="1">
        <v>2023</v>
      </c>
      <c r="G2394" s="5">
        <v>6035</v>
      </c>
      <c r="H2394" s="5">
        <v>6024.35</v>
      </c>
      <c r="I2394" s="5">
        <v>1476899.09</v>
      </c>
      <c r="K2394" s="5">
        <v>3.121</v>
      </c>
      <c r="L2394" s="5">
        <v>1E-3</v>
      </c>
      <c r="M2394" s="5">
        <v>618188.71799999999</v>
      </c>
      <c r="N2394" s="6">
        <v>5.8999999999999997E-2</v>
      </c>
      <c r="O2394" s="5">
        <v>29.593</v>
      </c>
      <c r="P2394" s="6">
        <v>5.7999999999999996E-3</v>
      </c>
      <c r="Q2394" s="5">
        <v>10402269.267999999</v>
      </c>
      <c r="R2394" s="1" t="s">
        <v>44</v>
      </c>
      <c r="T2394" s="1" t="s">
        <v>71</v>
      </c>
      <c r="V2394" s="1" t="s">
        <v>223</v>
      </c>
      <c r="Y2394" s="1" t="s">
        <v>247</v>
      </c>
      <c r="Z2394" s="1" t="str">
        <f t="shared" si="111"/>
        <v>55103 CT2</v>
      </c>
      <c r="AA2394" s="3">
        <f>IF(INDEX('CAMD Facility Data 2023'!$AA$2:$AE$10000,MATCH(Z2394,'CAMD Facility Data 2023'!$AE$2:$AE$10000,0),1)&gt;0,INDEX('CAMD Facility Data 2023'!$AA$2:$AE$10000,MATCH(Z2394,'CAMD Facility Data 2023'!$AE$2:$AE$10000,0),1),"")</f>
        <v>37029</v>
      </c>
      <c r="AB2394" s="5">
        <f>IF(INDEX('CAMD Facility Data 2023'!$AC$2:$AE$10000,MATCH(Z2394,'CAMD Facility Data 2023'!$AE$2:$AE$10000,0),1)&gt;0,INDEX('CAMD Facility Data 2023'!$AC$2:$AE$10000,MATCH(Z2394,'CAMD Facility Data 2023'!$AE$2:$AE$10000,0),1),"")</f>
        <v>2100</v>
      </c>
      <c r="AC2394" s="1" t="str">
        <f>IF(INDEX('CAMD Facility Data 2023'!$AE$2:$AG$10000,MATCH(Z2394,'CAMD Facility Data 2023'!$AE$2:$AE$10000,0),3)&gt;0,INDEX('CAMD Facility Data 2023'!$AE$2:$AG$10000,MATCH(Z2394,'CAMD Facility Data 2023'!$AE$2:$AE$10000,0),3),"")</f>
        <v>Y</v>
      </c>
      <c r="AD2394" s="20">
        <f t="shared" si="112"/>
        <v>4.0074505022546933E-2</v>
      </c>
      <c r="AE2394" s="25">
        <f t="shared" si="113"/>
        <v>0.56546364796694926</v>
      </c>
    </row>
    <row r="2395" spans="1:31" x14ac:dyDescent="0.2">
      <c r="A2395" s="1" t="s">
        <v>2680</v>
      </c>
      <c r="B2395" s="1" t="s">
        <v>5634</v>
      </c>
      <c r="C2395" s="1">
        <v>55107</v>
      </c>
      <c r="D2395" s="1" t="s">
        <v>5635</v>
      </c>
      <c r="F2395" s="1">
        <v>2023</v>
      </c>
      <c r="G2395" s="5">
        <v>7043</v>
      </c>
      <c r="H2395" s="5">
        <v>6945.72</v>
      </c>
      <c r="I2395" s="5">
        <v>1866837.6</v>
      </c>
      <c r="K2395" s="5">
        <v>3.823</v>
      </c>
      <c r="L2395" s="5">
        <v>1E-3</v>
      </c>
      <c r="M2395" s="5">
        <v>757276.50199999998</v>
      </c>
      <c r="N2395" s="6">
        <v>5.8999999999999997E-2</v>
      </c>
      <c r="O2395" s="5">
        <v>36.609000000000002</v>
      </c>
      <c r="P2395" s="6">
        <v>7.1999999999999998E-3</v>
      </c>
      <c r="Q2395" s="5">
        <v>12742583.226</v>
      </c>
      <c r="R2395" s="1" t="s">
        <v>44</v>
      </c>
      <c r="T2395" s="1" t="s">
        <v>71</v>
      </c>
      <c r="V2395" s="1" t="s">
        <v>64</v>
      </c>
      <c r="Y2395" s="1" t="s">
        <v>579</v>
      </c>
      <c r="Z2395" s="1" t="str">
        <f t="shared" si="111"/>
        <v>55107 RISEP1</v>
      </c>
      <c r="AA2395" s="3">
        <f>IF(INDEX('CAMD Facility Data 2023'!$AA$2:$AE$10000,MATCH(Z2395,'CAMD Facility Data 2023'!$AE$2:$AE$10000,0),1)&gt;0,INDEX('CAMD Facility Data 2023'!$AA$2:$AE$10000,MATCH(Z2395,'CAMD Facility Data 2023'!$AE$2:$AE$10000,0),1),"")</f>
        <v>37466</v>
      </c>
      <c r="AB2395" s="5">
        <f>IF(INDEX('CAMD Facility Data 2023'!$AC$2:$AE$10000,MATCH(Z2395,'CAMD Facility Data 2023'!$AE$2:$AE$10000,0),1)&gt;0,INDEX('CAMD Facility Data 2023'!$AC$2:$AE$10000,MATCH(Z2395,'CAMD Facility Data 2023'!$AE$2:$AE$10000,0),1),"")</f>
        <v>2294.6</v>
      </c>
      <c r="AC2395" s="1" t="str">
        <f>IF(INDEX('CAMD Facility Data 2023'!$AE$2:$AG$10000,MATCH(Z2395,'CAMD Facility Data 2023'!$AE$2:$AE$10000,0),3)&gt;0,INDEX('CAMD Facility Data 2023'!$AE$2:$AG$10000,MATCH(Z2395,'CAMD Facility Data 2023'!$AE$2:$AE$10000,0),3),"")</f>
        <v>Y</v>
      </c>
      <c r="AD2395" s="20">
        <f t="shared" si="112"/>
        <v>3.9220337109130435E-2</v>
      </c>
      <c r="AE2395" s="25">
        <f t="shared" si="113"/>
        <v>0.6339374132119604</v>
      </c>
    </row>
    <row r="2396" spans="1:31" x14ac:dyDescent="0.2">
      <c r="A2396" s="1" t="s">
        <v>2680</v>
      </c>
      <c r="B2396" s="1" t="s">
        <v>5634</v>
      </c>
      <c r="C2396" s="1">
        <v>55107</v>
      </c>
      <c r="D2396" s="1" t="s">
        <v>5639</v>
      </c>
      <c r="F2396" s="1">
        <v>2023</v>
      </c>
      <c r="G2396" s="5">
        <v>6925</v>
      </c>
      <c r="H2396" s="5">
        <v>6834.23</v>
      </c>
      <c r="I2396" s="5">
        <v>1813986.55</v>
      </c>
      <c r="K2396" s="5">
        <v>3.7480000000000002</v>
      </c>
      <c r="L2396" s="5">
        <v>1E-3</v>
      </c>
      <c r="M2396" s="5">
        <v>742364.05299999996</v>
      </c>
      <c r="N2396" s="6">
        <v>5.8999999999999997E-2</v>
      </c>
      <c r="O2396" s="5">
        <v>35.588000000000001</v>
      </c>
      <c r="P2396" s="6">
        <v>7.1000000000000004E-3</v>
      </c>
      <c r="Q2396" s="5">
        <v>12491682.195</v>
      </c>
      <c r="R2396" s="1" t="s">
        <v>44</v>
      </c>
      <c r="T2396" s="1" t="s">
        <v>71</v>
      </c>
      <c r="V2396" s="1" t="s">
        <v>64</v>
      </c>
      <c r="Y2396" s="1" t="s">
        <v>579</v>
      </c>
      <c r="Z2396" s="1" t="str">
        <f t="shared" si="111"/>
        <v>55107 RISEP2</v>
      </c>
      <c r="AA2396" s="3">
        <f>IF(INDEX('CAMD Facility Data 2023'!$AA$2:$AE$10000,MATCH(Z2396,'CAMD Facility Data 2023'!$AE$2:$AE$10000,0),1)&gt;0,INDEX('CAMD Facility Data 2023'!$AA$2:$AE$10000,MATCH(Z2396,'CAMD Facility Data 2023'!$AE$2:$AE$10000,0),1),"")</f>
        <v>37471</v>
      </c>
      <c r="AB2396" s="5">
        <f>IF(INDEX('CAMD Facility Data 2023'!$AC$2:$AE$10000,MATCH(Z2396,'CAMD Facility Data 2023'!$AE$2:$AE$10000,0),1)&gt;0,INDEX('CAMD Facility Data 2023'!$AC$2:$AE$10000,MATCH(Z2396,'CAMD Facility Data 2023'!$AE$2:$AE$10000,0),1),"")</f>
        <v>2294.6</v>
      </c>
      <c r="AC2396" s="1" t="str">
        <f>IF(INDEX('CAMD Facility Data 2023'!$AE$2:$AG$10000,MATCH(Z2396,'CAMD Facility Data 2023'!$AE$2:$AE$10000,0),3)&gt;0,INDEX('CAMD Facility Data 2023'!$AE$2:$AG$10000,MATCH(Z2396,'CAMD Facility Data 2023'!$AE$2:$AE$10000,0),3),"")</f>
        <v>Y</v>
      </c>
      <c r="AD2396" s="20">
        <f t="shared" si="112"/>
        <v>3.9237336131296013E-2</v>
      </c>
      <c r="AE2396" s="25">
        <f t="shared" si="113"/>
        <v>0.62145520707342672</v>
      </c>
    </row>
    <row r="2397" spans="1:31" x14ac:dyDescent="0.2">
      <c r="A2397" s="1" t="s">
        <v>458</v>
      </c>
      <c r="B2397" s="1" t="s">
        <v>5641</v>
      </c>
      <c r="C2397" s="1">
        <v>55109</v>
      </c>
      <c r="D2397" s="1" t="s">
        <v>5642</v>
      </c>
      <c r="F2397" s="1">
        <v>2023</v>
      </c>
      <c r="G2397" s="5">
        <v>72</v>
      </c>
      <c r="H2397" s="5">
        <v>61.61</v>
      </c>
      <c r="I2397" s="5">
        <v>5532.73</v>
      </c>
      <c r="K2397" s="5">
        <v>0.02</v>
      </c>
      <c r="L2397" s="5">
        <v>1E-3</v>
      </c>
      <c r="M2397" s="5">
        <v>3913.5569999999998</v>
      </c>
      <c r="N2397" s="6">
        <v>5.8999999999999997E-2</v>
      </c>
      <c r="O2397" s="5">
        <v>3.2759999999999998</v>
      </c>
      <c r="P2397" s="6">
        <v>9.9199999999999997E-2</v>
      </c>
      <c r="Q2397" s="5">
        <v>65850.176000000007</v>
      </c>
      <c r="R2397" s="1" t="s">
        <v>44</v>
      </c>
      <c r="T2397" s="1" t="s">
        <v>93</v>
      </c>
      <c r="V2397" s="1" t="s">
        <v>140</v>
      </c>
      <c r="Y2397" s="1" t="s">
        <v>461</v>
      </c>
      <c r="Z2397" s="1" t="str">
        <f t="shared" si="111"/>
        <v>55109 T1</v>
      </c>
      <c r="AA2397" s="3">
        <f>IF(INDEX('CAMD Facility Data 2023'!$AA$2:$AE$10000,MATCH(Z2397,'CAMD Facility Data 2023'!$AE$2:$AE$10000,0),1)&gt;0,INDEX('CAMD Facility Data 2023'!$AA$2:$AE$10000,MATCH(Z2397,'CAMD Facility Data 2023'!$AE$2:$AE$10000,0),1),"")</f>
        <v>36329</v>
      </c>
      <c r="AB2397" s="5">
        <f>IF(INDEX('CAMD Facility Data 2023'!$AC$2:$AE$10000,MATCH(Z2397,'CAMD Facility Data 2023'!$AE$2:$AE$10000,0),1)&gt;0,INDEX('CAMD Facility Data 2023'!$AC$2:$AE$10000,MATCH(Z2397,'CAMD Facility Data 2023'!$AE$2:$AE$10000,0),1),"")</f>
        <v>1439</v>
      </c>
      <c r="AC2397" s="1" t="str">
        <f>IF(INDEX('CAMD Facility Data 2023'!$AE$2:$AG$10000,MATCH(Z2397,'CAMD Facility Data 2023'!$AE$2:$AE$10000,0),3)&gt;0,INDEX('CAMD Facility Data 2023'!$AE$2:$AG$10000,MATCH(Z2397,'CAMD Facility Data 2023'!$AE$2:$AE$10000,0),3),"")</f>
        <v/>
      </c>
      <c r="AD2397" s="20">
        <f t="shared" si="112"/>
        <v>1.1842255089259734</v>
      </c>
      <c r="AE2397" s="25">
        <f t="shared" si="113"/>
        <v>5.223866142456869E-3</v>
      </c>
    </row>
    <row r="2398" spans="1:31" x14ac:dyDescent="0.2">
      <c r="A2398" s="1" t="s">
        <v>458</v>
      </c>
      <c r="B2398" s="1" t="s">
        <v>5641</v>
      </c>
      <c r="C2398" s="1">
        <v>55109</v>
      </c>
      <c r="D2398" s="1" t="s">
        <v>5647</v>
      </c>
      <c r="F2398" s="1">
        <v>2023</v>
      </c>
      <c r="G2398" s="5">
        <v>84</v>
      </c>
      <c r="H2398" s="5">
        <v>69.98</v>
      </c>
      <c r="I2398" s="5">
        <v>6191.79</v>
      </c>
      <c r="K2398" s="5">
        <v>2.1999999999999999E-2</v>
      </c>
      <c r="L2398" s="5">
        <v>1E-3</v>
      </c>
      <c r="M2398" s="5">
        <v>4406.43</v>
      </c>
      <c r="N2398" s="6">
        <v>5.8999999999999997E-2</v>
      </c>
      <c r="O2398" s="5">
        <v>3.3420000000000001</v>
      </c>
      <c r="P2398" s="6">
        <v>9.9500000000000005E-2</v>
      </c>
      <c r="Q2398" s="5">
        <v>74149.328999999998</v>
      </c>
      <c r="R2398" s="1" t="s">
        <v>44</v>
      </c>
      <c r="T2398" s="1" t="s">
        <v>93</v>
      </c>
      <c r="V2398" s="1" t="s">
        <v>140</v>
      </c>
      <c r="Y2398" s="1" t="s">
        <v>461</v>
      </c>
      <c r="Z2398" s="1" t="str">
        <f t="shared" si="111"/>
        <v>55109 T2</v>
      </c>
      <c r="AA2398" s="3">
        <f>IF(INDEX('CAMD Facility Data 2023'!$AA$2:$AE$10000,MATCH(Z2398,'CAMD Facility Data 2023'!$AE$2:$AE$10000,0),1)&gt;0,INDEX('CAMD Facility Data 2023'!$AA$2:$AE$10000,MATCH(Z2398,'CAMD Facility Data 2023'!$AE$2:$AE$10000,0),1),"")</f>
        <v>36329</v>
      </c>
      <c r="AB2398" s="5">
        <f>IF(INDEX('CAMD Facility Data 2023'!$AC$2:$AE$10000,MATCH(Z2398,'CAMD Facility Data 2023'!$AE$2:$AE$10000,0),1)&gt;0,INDEX('CAMD Facility Data 2023'!$AC$2:$AE$10000,MATCH(Z2398,'CAMD Facility Data 2023'!$AE$2:$AE$10000,0),1),"")</f>
        <v>1439</v>
      </c>
      <c r="AC2398" s="1" t="str">
        <f>IF(INDEX('CAMD Facility Data 2023'!$AE$2:$AG$10000,MATCH(Z2398,'CAMD Facility Data 2023'!$AE$2:$AE$10000,0),3)&gt;0,INDEX('CAMD Facility Data 2023'!$AE$2:$AG$10000,MATCH(Z2398,'CAMD Facility Data 2023'!$AE$2:$AE$10000,0),3),"")</f>
        <v/>
      </c>
      <c r="AD2398" s="20">
        <f t="shared" si="112"/>
        <v>1.0794939750863644</v>
      </c>
      <c r="AE2398" s="25">
        <f t="shared" si="113"/>
        <v>5.882234380800975E-3</v>
      </c>
    </row>
    <row r="2399" spans="1:31" x14ac:dyDescent="0.2">
      <c r="A2399" s="1" t="s">
        <v>458</v>
      </c>
      <c r="B2399" s="1" t="s">
        <v>5641</v>
      </c>
      <c r="C2399" s="1">
        <v>55109</v>
      </c>
      <c r="D2399" s="1" t="s">
        <v>5649</v>
      </c>
      <c r="F2399" s="1">
        <v>2023</v>
      </c>
      <c r="G2399" s="5">
        <v>16</v>
      </c>
      <c r="H2399" s="5">
        <v>10.3</v>
      </c>
      <c r="I2399" s="5">
        <v>273.14</v>
      </c>
      <c r="K2399" s="5">
        <v>1E-3</v>
      </c>
      <c r="L2399" s="5">
        <v>8.9999999999999998E-4</v>
      </c>
      <c r="M2399" s="5">
        <v>170.92</v>
      </c>
      <c r="N2399" s="6">
        <v>5.5599999999999997E-2</v>
      </c>
      <c r="O2399" s="5">
        <v>0.222</v>
      </c>
      <c r="P2399" s="6">
        <v>0.1431</v>
      </c>
      <c r="Q2399" s="5">
        <v>2876.1410000000001</v>
      </c>
      <c r="R2399" s="1" t="s">
        <v>44</v>
      </c>
      <c r="T2399" s="1" t="s">
        <v>93</v>
      </c>
      <c r="V2399" s="1" t="s">
        <v>95</v>
      </c>
      <c r="Y2399" s="1" t="s">
        <v>461</v>
      </c>
      <c r="Z2399" s="1" t="str">
        <f t="shared" si="111"/>
        <v>55109 T3</v>
      </c>
      <c r="AA2399" s="3">
        <f>IF(INDEX('CAMD Facility Data 2023'!$AA$2:$AE$10000,MATCH(Z2399,'CAMD Facility Data 2023'!$AE$2:$AE$10000,0),1)&gt;0,INDEX('CAMD Facility Data 2023'!$AA$2:$AE$10000,MATCH(Z2399,'CAMD Facility Data 2023'!$AE$2:$AE$10000,0),1),"")</f>
        <v>36329</v>
      </c>
      <c r="AB2399" s="5">
        <f>IF(INDEX('CAMD Facility Data 2023'!$AC$2:$AE$10000,MATCH(Z2399,'CAMD Facility Data 2023'!$AE$2:$AE$10000,0),1)&gt;0,INDEX('CAMD Facility Data 2023'!$AC$2:$AE$10000,MATCH(Z2399,'CAMD Facility Data 2023'!$AE$2:$AE$10000,0),1),"")</f>
        <v>367</v>
      </c>
      <c r="AC2399" s="1" t="str">
        <f>IF(INDEX('CAMD Facility Data 2023'!$AE$2:$AG$10000,MATCH(Z2399,'CAMD Facility Data 2023'!$AE$2:$AE$10000,0),3)&gt;0,INDEX('CAMD Facility Data 2023'!$AE$2:$AG$10000,MATCH(Z2399,'CAMD Facility Data 2023'!$AE$2:$AE$10000,0),3),"")</f>
        <v/>
      </c>
      <c r="AD2399" s="20">
        <f t="shared" si="112"/>
        <v>1.6255400161089553</v>
      </c>
      <c r="AE2399" s="25">
        <f t="shared" si="113"/>
        <v>8.9462288330658312E-4</v>
      </c>
    </row>
    <row r="2400" spans="1:31" x14ac:dyDescent="0.2">
      <c r="A2400" s="1" t="s">
        <v>458</v>
      </c>
      <c r="B2400" s="1" t="s">
        <v>5641</v>
      </c>
      <c r="C2400" s="1">
        <v>55109</v>
      </c>
      <c r="D2400" s="1" t="s">
        <v>5651</v>
      </c>
      <c r="F2400" s="1">
        <v>2023</v>
      </c>
      <c r="G2400" s="5">
        <v>84</v>
      </c>
      <c r="H2400" s="5">
        <v>72.59</v>
      </c>
      <c r="I2400" s="5">
        <v>6611.41</v>
      </c>
      <c r="K2400" s="5">
        <v>2.3E-2</v>
      </c>
      <c r="L2400" s="5">
        <v>1E-3</v>
      </c>
      <c r="M2400" s="5">
        <v>4653.732</v>
      </c>
      <c r="N2400" s="6">
        <v>5.8999999999999997E-2</v>
      </c>
      <c r="O2400" s="5">
        <v>2.5830000000000002</v>
      </c>
      <c r="P2400" s="6">
        <v>7.0400000000000004E-2</v>
      </c>
      <c r="Q2400" s="5">
        <v>78308.448000000004</v>
      </c>
      <c r="R2400" s="1" t="s">
        <v>44</v>
      </c>
      <c r="T2400" s="1" t="s">
        <v>93</v>
      </c>
      <c r="V2400" s="1" t="s">
        <v>140</v>
      </c>
      <c r="Y2400" s="1" t="s">
        <v>461</v>
      </c>
      <c r="Z2400" s="1" t="str">
        <f t="shared" si="111"/>
        <v>55109 T4</v>
      </c>
      <c r="AA2400" s="3">
        <f>IF(INDEX('CAMD Facility Data 2023'!$AA$2:$AE$10000,MATCH(Z2400,'CAMD Facility Data 2023'!$AE$2:$AE$10000,0),1)&gt;0,INDEX('CAMD Facility Data 2023'!$AA$2:$AE$10000,MATCH(Z2400,'CAMD Facility Data 2023'!$AE$2:$AE$10000,0),1),"")</f>
        <v>36678</v>
      </c>
      <c r="AB2400" s="5">
        <f>IF(INDEX('CAMD Facility Data 2023'!$AC$2:$AE$10000,MATCH(Z2400,'CAMD Facility Data 2023'!$AE$2:$AE$10000,0),1)&gt;0,INDEX('CAMD Facility Data 2023'!$AC$2:$AE$10000,MATCH(Z2400,'CAMD Facility Data 2023'!$AE$2:$AE$10000,0),1),"")</f>
        <v>1439</v>
      </c>
      <c r="AC2400" s="1" t="str">
        <f>IF(INDEX('CAMD Facility Data 2023'!$AE$2:$AG$10000,MATCH(Z2400,'CAMD Facility Data 2023'!$AE$2:$AE$10000,0),3)&gt;0,INDEX('CAMD Facility Data 2023'!$AE$2:$AG$10000,MATCH(Z2400,'CAMD Facility Data 2023'!$AE$2:$AE$10000,0),3),"")</f>
        <v/>
      </c>
      <c r="AD2400" s="20">
        <f t="shared" si="112"/>
        <v>0.78137643861143091</v>
      </c>
      <c r="AE2400" s="25">
        <f t="shared" si="113"/>
        <v>6.2121755023941665E-3</v>
      </c>
    </row>
    <row r="2401" spans="1:31" x14ac:dyDescent="0.2">
      <c r="A2401" s="1" t="s">
        <v>2430</v>
      </c>
      <c r="B2401" s="1" t="s">
        <v>5653</v>
      </c>
      <c r="C2401" s="1">
        <v>55110</v>
      </c>
      <c r="D2401" s="1">
        <v>1</v>
      </c>
      <c r="F2401" s="1">
        <v>2023</v>
      </c>
      <c r="G2401" s="5">
        <v>2108</v>
      </c>
      <c r="H2401" s="5">
        <v>1938.68</v>
      </c>
      <c r="I2401" s="5">
        <v>118205.69</v>
      </c>
      <c r="K2401" s="5">
        <v>0.43</v>
      </c>
      <c r="L2401" s="5">
        <v>1E-3</v>
      </c>
      <c r="M2401" s="5">
        <v>85125.005999999994</v>
      </c>
      <c r="N2401" s="6">
        <v>5.8999999999999997E-2</v>
      </c>
      <c r="O2401" s="5">
        <v>21.25</v>
      </c>
      <c r="P2401" s="6">
        <v>3.6799999999999999E-2</v>
      </c>
      <c r="Q2401" s="5">
        <v>1432391.6839999999</v>
      </c>
      <c r="R2401" s="1" t="s">
        <v>44</v>
      </c>
      <c r="T2401" s="1" t="s">
        <v>93</v>
      </c>
      <c r="V2401" s="1" t="s">
        <v>140</v>
      </c>
      <c r="Y2401" s="1" t="s">
        <v>461</v>
      </c>
      <c r="Z2401" s="1" t="str">
        <f t="shared" si="111"/>
        <v>55110 1</v>
      </c>
      <c r="AA2401" s="3">
        <f>IF(INDEX('CAMD Facility Data 2023'!$AA$2:$AE$10000,MATCH(Z2401,'CAMD Facility Data 2023'!$AE$2:$AE$10000,0),1)&gt;0,INDEX('CAMD Facility Data 2023'!$AA$2:$AE$10000,MATCH(Z2401,'CAMD Facility Data 2023'!$AE$2:$AE$10000,0),1),"")</f>
        <v>36675</v>
      </c>
      <c r="AB2401" s="5">
        <f>IF(INDEX('CAMD Facility Data 2023'!$AC$2:$AE$10000,MATCH(Z2401,'CAMD Facility Data 2023'!$AE$2:$AE$10000,0),1)&gt;0,INDEX('CAMD Facility Data 2023'!$AC$2:$AE$10000,MATCH(Z2401,'CAMD Facility Data 2023'!$AE$2:$AE$10000,0),1),"")</f>
        <v>1169</v>
      </c>
      <c r="AC2401" s="1" t="str">
        <f>IF(INDEX('CAMD Facility Data 2023'!$AE$2:$AG$10000,MATCH(Z2401,'CAMD Facility Data 2023'!$AE$2:$AE$10000,0),3)&gt;0,INDEX('CAMD Facility Data 2023'!$AE$2:$AG$10000,MATCH(Z2401,'CAMD Facility Data 2023'!$AE$2:$AE$10000,0),3),"")</f>
        <v/>
      </c>
      <c r="AD2401" s="20">
        <f t="shared" si="112"/>
        <v>0.35954275974362992</v>
      </c>
      <c r="AE2401" s="25">
        <f t="shared" si="113"/>
        <v>0.13987599009417562</v>
      </c>
    </row>
    <row r="2402" spans="1:31" x14ac:dyDescent="0.2">
      <c r="A2402" s="1" t="s">
        <v>2430</v>
      </c>
      <c r="B2402" s="1" t="s">
        <v>5653</v>
      </c>
      <c r="C2402" s="1">
        <v>55110</v>
      </c>
      <c r="D2402" s="1">
        <v>2</v>
      </c>
      <c r="F2402" s="1">
        <v>2023</v>
      </c>
      <c r="G2402" s="5">
        <v>2319</v>
      </c>
      <c r="H2402" s="5">
        <v>2111.44</v>
      </c>
      <c r="I2402" s="5">
        <v>129514.93</v>
      </c>
      <c r="K2402" s="5">
        <v>0.47499999999999998</v>
      </c>
      <c r="L2402" s="5">
        <v>1E-3</v>
      </c>
      <c r="M2402" s="5">
        <v>94026.896999999997</v>
      </c>
      <c r="N2402" s="6">
        <v>5.8999999999999997E-2</v>
      </c>
      <c r="O2402" s="5">
        <v>26.594999999999999</v>
      </c>
      <c r="P2402" s="6">
        <v>4.2500000000000003E-2</v>
      </c>
      <c r="Q2402" s="5">
        <v>1582200.4010000001</v>
      </c>
      <c r="R2402" s="1" t="s">
        <v>44</v>
      </c>
      <c r="T2402" s="1" t="s">
        <v>93</v>
      </c>
      <c r="V2402" s="1" t="s">
        <v>140</v>
      </c>
      <c r="Y2402" s="1" t="s">
        <v>461</v>
      </c>
      <c r="Z2402" s="1" t="str">
        <f t="shared" si="111"/>
        <v>55110 2</v>
      </c>
      <c r="AA2402" s="3">
        <f>IF(INDEX('CAMD Facility Data 2023'!$AA$2:$AE$10000,MATCH(Z2402,'CAMD Facility Data 2023'!$AE$2:$AE$10000,0),1)&gt;0,INDEX('CAMD Facility Data 2023'!$AA$2:$AE$10000,MATCH(Z2402,'CAMD Facility Data 2023'!$AE$2:$AE$10000,0),1),"")</f>
        <v>36675</v>
      </c>
      <c r="AB2402" s="5">
        <f>IF(INDEX('CAMD Facility Data 2023'!$AC$2:$AE$10000,MATCH(Z2402,'CAMD Facility Data 2023'!$AE$2:$AE$10000,0),1)&gt;0,INDEX('CAMD Facility Data 2023'!$AC$2:$AE$10000,MATCH(Z2402,'CAMD Facility Data 2023'!$AE$2:$AE$10000,0),1),"")</f>
        <v>1169</v>
      </c>
      <c r="AC2402" s="1" t="str">
        <f>IF(INDEX('CAMD Facility Data 2023'!$AE$2:$AG$10000,MATCH(Z2402,'CAMD Facility Data 2023'!$AE$2:$AE$10000,0),3)&gt;0,INDEX('CAMD Facility Data 2023'!$AE$2:$AG$10000,MATCH(Z2402,'CAMD Facility Data 2023'!$AE$2:$AE$10000,0),3),"")</f>
        <v/>
      </c>
      <c r="AD2402" s="20">
        <f t="shared" si="112"/>
        <v>0.41068624289107059</v>
      </c>
      <c r="AE2402" s="25">
        <f t="shared" si="113"/>
        <v>0.15450511901832345</v>
      </c>
    </row>
    <row r="2403" spans="1:31" x14ac:dyDescent="0.2">
      <c r="A2403" s="1" t="s">
        <v>2430</v>
      </c>
      <c r="B2403" s="1" t="s">
        <v>5653</v>
      </c>
      <c r="C2403" s="1">
        <v>55110</v>
      </c>
      <c r="D2403" s="1">
        <v>3</v>
      </c>
      <c r="F2403" s="1">
        <v>2023</v>
      </c>
      <c r="G2403" s="5">
        <v>2255</v>
      </c>
      <c r="H2403" s="5">
        <v>2052.9</v>
      </c>
      <c r="I2403" s="5">
        <v>124666.29</v>
      </c>
      <c r="K2403" s="5">
        <v>0.46100000000000002</v>
      </c>
      <c r="L2403" s="5">
        <v>1E-3</v>
      </c>
      <c r="M2403" s="5">
        <v>91259.207999999999</v>
      </c>
      <c r="N2403" s="6">
        <v>5.8999999999999997E-2</v>
      </c>
      <c r="O2403" s="5">
        <v>24.364999999999998</v>
      </c>
      <c r="P2403" s="6">
        <v>3.9100000000000003E-2</v>
      </c>
      <c r="Q2403" s="5">
        <v>1535609.294</v>
      </c>
      <c r="R2403" s="1" t="s">
        <v>44</v>
      </c>
      <c r="T2403" s="1" t="s">
        <v>93</v>
      </c>
      <c r="V2403" s="1" t="s">
        <v>140</v>
      </c>
      <c r="Y2403" s="1" t="s">
        <v>461</v>
      </c>
      <c r="Z2403" s="1" t="str">
        <f t="shared" si="111"/>
        <v>55110 3</v>
      </c>
      <c r="AA2403" s="3">
        <f>IF(INDEX('CAMD Facility Data 2023'!$AA$2:$AE$10000,MATCH(Z2403,'CAMD Facility Data 2023'!$AE$2:$AE$10000,0),1)&gt;0,INDEX('CAMD Facility Data 2023'!$AA$2:$AE$10000,MATCH(Z2403,'CAMD Facility Data 2023'!$AE$2:$AE$10000,0),1),"")</f>
        <v>36675</v>
      </c>
      <c r="AB2403" s="5">
        <f>IF(INDEX('CAMD Facility Data 2023'!$AC$2:$AE$10000,MATCH(Z2403,'CAMD Facility Data 2023'!$AE$2:$AE$10000,0),1)&gt;0,INDEX('CAMD Facility Data 2023'!$AC$2:$AE$10000,MATCH(Z2403,'CAMD Facility Data 2023'!$AE$2:$AE$10000,0),1),"")</f>
        <v>1169</v>
      </c>
      <c r="AC2403" s="1" t="str">
        <f>IF(INDEX('CAMD Facility Data 2023'!$AE$2:$AG$10000,MATCH(Z2403,'CAMD Facility Data 2023'!$AE$2:$AE$10000,0),3)&gt;0,INDEX('CAMD Facility Data 2023'!$AE$2:$AG$10000,MATCH(Z2403,'CAMD Facility Data 2023'!$AE$2:$AE$10000,0),3),"")</f>
        <v/>
      </c>
      <c r="AD2403" s="20">
        <f t="shared" si="112"/>
        <v>0.39088353395292347</v>
      </c>
      <c r="AE2403" s="25">
        <f t="shared" si="113"/>
        <v>0.14995540172101979</v>
      </c>
    </row>
    <row r="2404" spans="1:31" x14ac:dyDescent="0.2">
      <c r="A2404" s="1" t="s">
        <v>2430</v>
      </c>
      <c r="B2404" s="1" t="s">
        <v>5653</v>
      </c>
      <c r="C2404" s="1">
        <v>55110</v>
      </c>
      <c r="D2404" s="1">
        <v>4</v>
      </c>
      <c r="F2404" s="1">
        <v>2023</v>
      </c>
      <c r="G2404" s="5">
        <v>2366</v>
      </c>
      <c r="H2404" s="5">
        <v>2140.5700000000002</v>
      </c>
      <c r="I2404" s="5">
        <v>131358.25</v>
      </c>
      <c r="K2404" s="5">
        <v>0.48199999999999998</v>
      </c>
      <c r="L2404" s="5">
        <v>1E-3</v>
      </c>
      <c r="M2404" s="5">
        <v>95570.182000000001</v>
      </c>
      <c r="N2404" s="6">
        <v>5.8999999999999997E-2</v>
      </c>
      <c r="O2404" s="5">
        <v>25.484000000000002</v>
      </c>
      <c r="P2404" s="6">
        <v>4.0399999999999998E-2</v>
      </c>
      <c r="Q2404" s="5">
        <v>1608151.4650000001</v>
      </c>
      <c r="R2404" s="1" t="s">
        <v>44</v>
      </c>
      <c r="T2404" s="1" t="s">
        <v>93</v>
      </c>
      <c r="V2404" s="1" t="s">
        <v>140</v>
      </c>
      <c r="Y2404" s="1" t="s">
        <v>461</v>
      </c>
      <c r="Z2404" s="1" t="str">
        <f t="shared" si="111"/>
        <v>55110 4</v>
      </c>
      <c r="AA2404" s="3">
        <f>IF(INDEX('CAMD Facility Data 2023'!$AA$2:$AE$10000,MATCH(Z2404,'CAMD Facility Data 2023'!$AE$2:$AE$10000,0),1)&gt;0,INDEX('CAMD Facility Data 2023'!$AA$2:$AE$10000,MATCH(Z2404,'CAMD Facility Data 2023'!$AE$2:$AE$10000,0),1),"")</f>
        <v>36675</v>
      </c>
      <c r="AB2404" s="5">
        <f>IF(INDEX('CAMD Facility Data 2023'!$AC$2:$AE$10000,MATCH(Z2404,'CAMD Facility Data 2023'!$AE$2:$AE$10000,0),1)&gt;0,INDEX('CAMD Facility Data 2023'!$AC$2:$AE$10000,MATCH(Z2404,'CAMD Facility Data 2023'!$AE$2:$AE$10000,0),1),"")</f>
        <v>1169</v>
      </c>
      <c r="AC2404" s="1" t="str">
        <f>IF(INDEX('CAMD Facility Data 2023'!$AE$2:$AG$10000,MATCH(Z2404,'CAMD Facility Data 2023'!$AE$2:$AE$10000,0),3)&gt;0,INDEX('CAMD Facility Data 2023'!$AE$2:$AG$10000,MATCH(Z2404,'CAMD Facility Data 2023'!$AE$2:$AE$10000,0),3),"")</f>
        <v/>
      </c>
      <c r="AD2404" s="20">
        <f t="shared" si="112"/>
        <v>0.38800760515612837</v>
      </c>
      <c r="AE2404" s="25">
        <f t="shared" si="113"/>
        <v>0.15703929372175415</v>
      </c>
    </row>
    <row r="2405" spans="1:31" x14ac:dyDescent="0.2">
      <c r="A2405" s="1" t="s">
        <v>2430</v>
      </c>
      <c r="B2405" s="1" t="s">
        <v>5653</v>
      </c>
      <c r="C2405" s="1">
        <v>55110</v>
      </c>
      <c r="D2405" s="1">
        <v>5</v>
      </c>
      <c r="F2405" s="1">
        <v>2023</v>
      </c>
      <c r="G2405" s="5">
        <v>2169</v>
      </c>
      <c r="H2405" s="5">
        <v>1969.31</v>
      </c>
      <c r="I2405" s="5">
        <v>119884.31</v>
      </c>
      <c r="K2405" s="5">
        <v>0.44700000000000001</v>
      </c>
      <c r="L2405" s="5">
        <v>1E-3</v>
      </c>
      <c r="M2405" s="5">
        <v>88502.657000000007</v>
      </c>
      <c r="N2405" s="6">
        <v>5.8999999999999997E-2</v>
      </c>
      <c r="O2405" s="5">
        <v>25.202999999999999</v>
      </c>
      <c r="P2405" s="6">
        <v>4.1099999999999998E-2</v>
      </c>
      <c r="Q2405" s="5">
        <v>1489254.253</v>
      </c>
      <c r="R2405" s="1" t="s">
        <v>44</v>
      </c>
      <c r="T2405" s="1" t="s">
        <v>93</v>
      </c>
      <c r="V2405" s="1" t="s">
        <v>140</v>
      </c>
      <c r="Y2405" s="1" t="s">
        <v>461</v>
      </c>
      <c r="Z2405" s="1" t="str">
        <f t="shared" si="111"/>
        <v>55110 5</v>
      </c>
      <c r="AA2405" s="3">
        <f>IF(INDEX('CAMD Facility Data 2023'!$AA$2:$AE$10000,MATCH(Z2405,'CAMD Facility Data 2023'!$AE$2:$AE$10000,0),1)&gt;0,INDEX('CAMD Facility Data 2023'!$AA$2:$AE$10000,MATCH(Z2405,'CAMD Facility Data 2023'!$AE$2:$AE$10000,0),1),"")</f>
        <v>36692</v>
      </c>
      <c r="AB2405" s="5">
        <f>IF(INDEX('CAMD Facility Data 2023'!$AC$2:$AE$10000,MATCH(Z2405,'CAMD Facility Data 2023'!$AE$2:$AE$10000,0),1)&gt;0,INDEX('CAMD Facility Data 2023'!$AC$2:$AE$10000,MATCH(Z2405,'CAMD Facility Data 2023'!$AE$2:$AE$10000,0),1),"")</f>
        <v>1169</v>
      </c>
      <c r="AC2405" s="1" t="str">
        <f>IF(INDEX('CAMD Facility Data 2023'!$AE$2:$AG$10000,MATCH(Z2405,'CAMD Facility Data 2023'!$AE$2:$AE$10000,0),3)&gt;0,INDEX('CAMD Facility Data 2023'!$AE$2:$AG$10000,MATCH(Z2405,'CAMD Facility Data 2023'!$AE$2:$AE$10000,0),3),"")</f>
        <v/>
      </c>
      <c r="AD2405" s="20">
        <f t="shared" si="112"/>
        <v>0.42045535399920142</v>
      </c>
      <c r="AE2405" s="25">
        <f t="shared" si="113"/>
        <v>0.14542873675349888</v>
      </c>
    </row>
    <row r="2406" spans="1:31" x14ac:dyDescent="0.2">
      <c r="A2406" s="1" t="s">
        <v>2430</v>
      </c>
      <c r="B2406" s="1" t="s">
        <v>5653</v>
      </c>
      <c r="C2406" s="1">
        <v>55110</v>
      </c>
      <c r="D2406" s="1">
        <v>6</v>
      </c>
      <c r="F2406" s="1">
        <v>2023</v>
      </c>
      <c r="G2406" s="5">
        <v>2157</v>
      </c>
      <c r="H2406" s="5">
        <v>1940.33</v>
      </c>
      <c r="I2406" s="5">
        <v>119093.07</v>
      </c>
      <c r="K2406" s="5">
        <v>0.44</v>
      </c>
      <c r="L2406" s="5">
        <v>1E-3</v>
      </c>
      <c r="M2406" s="5">
        <v>87079.247000000003</v>
      </c>
      <c r="N2406" s="6">
        <v>5.8999999999999997E-2</v>
      </c>
      <c r="O2406" s="5">
        <v>24.55</v>
      </c>
      <c r="P2406" s="6">
        <v>4.2599999999999999E-2</v>
      </c>
      <c r="Q2406" s="5">
        <v>1465277.8359999999</v>
      </c>
      <c r="R2406" s="1" t="s">
        <v>44</v>
      </c>
      <c r="T2406" s="1" t="s">
        <v>93</v>
      </c>
      <c r="V2406" s="1" t="s">
        <v>140</v>
      </c>
      <c r="Y2406" s="1" t="s">
        <v>461</v>
      </c>
      <c r="Z2406" s="1" t="str">
        <f t="shared" si="111"/>
        <v>55110 6</v>
      </c>
      <c r="AA2406" s="3">
        <f>IF(INDEX('CAMD Facility Data 2023'!$AA$2:$AE$10000,MATCH(Z2406,'CAMD Facility Data 2023'!$AE$2:$AE$10000,0),1)&gt;0,INDEX('CAMD Facility Data 2023'!$AA$2:$AE$10000,MATCH(Z2406,'CAMD Facility Data 2023'!$AE$2:$AE$10000,0),1),"")</f>
        <v>36706</v>
      </c>
      <c r="AB2406" s="5">
        <f>IF(INDEX('CAMD Facility Data 2023'!$AC$2:$AE$10000,MATCH(Z2406,'CAMD Facility Data 2023'!$AE$2:$AE$10000,0),1)&gt;0,INDEX('CAMD Facility Data 2023'!$AC$2:$AE$10000,MATCH(Z2406,'CAMD Facility Data 2023'!$AE$2:$AE$10000,0),1),"")</f>
        <v>1169</v>
      </c>
      <c r="AC2406" s="1" t="str">
        <f>IF(INDEX('CAMD Facility Data 2023'!$AE$2:$AG$10000,MATCH(Z2406,'CAMD Facility Data 2023'!$AE$2:$AE$10000,0),3)&gt;0,INDEX('CAMD Facility Data 2023'!$AE$2:$AG$10000,MATCH(Z2406,'CAMD Facility Data 2023'!$AE$2:$AE$10000,0),3),"")</f>
        <v/>
      </c>
      <c r="AD2406" s="20">
        <f t="shared" si="112"/>
        <v>0.41228259545244739</v>
      </c>
      <c r="AE2406" s="25">
        <f t="shared" si="113"/>
        <v>0.14308739038556936</v>
      </c>
    </row>
    <row r="2407" spans="1:31" x14ac:dyDescent="0.2">
      <c r="A2407" s="1" t="s">
        <v>2430</v>
      </c>
      <c r="B2407" s="1" t="s">
        <v>5653</v>
      </c>
      <c r="C2407" s="1">
        <v>55110</v>
      </c>
      <c r="D2407" s="1">
        <v>7</v>
      </c>
      <c r="F2407" s="1">
        <v>2023</v>
      </c>
      <c r="G2407" s="5">
        <v>1745</v>
      </c>
      <c r="H2407" s="5">
        <v>1578.05</v>
      </c>
      <c r="I2407" s="5">
        <v>95752.68</v>
      </c>
      <c r="K2407" s="5">
        <v>0.35</v>
      </c>
      <c r="L2407" s="5">
        <v>1E-3</v>
      </c>
      <c r="M2407" s="5">
        <v>69322.854000000007</v>
      </c>
      <c r="N2407" s="6">
        <v>5.8999999999999997E-2</v>
      </c>
      <c r="O2407" s="5">
        <v>19.536000000000001</v>
      </c>
      <c r="P2407" s="6">
        <v>4.1799999999999997E-2</v>
      </c>
      <c r="Q2407" s="5">
        <v>1166539.683</v>
      </c>
      <c r="R2407" s="1" t="s">
        <v>44</v>
      </c>
      <c r="T2407" s="1" t="s">
        <v>93</v>
      </c>
      <c r="V2407" s="1" t="s">
        <v>140</v>
      </c>
      <c r="Y2407" s="1" t="s">
        <v>461</v>
      </c>
      <c r="Z2407" s="1" t="str">
        <f t="shared" si="111"/>
        <v>55110 7</v>
      </c>
      <c r="AA2407" s="3">
        <f>IF(INDEX('CAMD Facility Data 2023'!$AA$2:$AE$10000,MATCH(Z2407,'CAMD Facility Data 2023'!$AE$2:$AE$10000,0),1)&gt;0,INDEX('CAMD Facility Data 2023'!$AA$2:$AE$10000,MATCH(Z2407,'CAMD Facility Data 2023'!$AE$2:$AE$10000,0),1),"")</f>
        <v>36692</v>
      </c>
      <c r="AB2407" s="5">
        <f>IF(INDEX('CAMD Facility Data 2023'!$AC$2:$AE$10000,MATCH(Z2407,'CAMD Facility Data 2023'!$AE$2:$AE$10000,0),1)&gt;0,INDEX('CAMD Facility Data 2023'!$AC$2:$AE$10000,MATCH(Z2407,'CAMD Facility Data 2023'!$AE$2:$AE$10000,0),1),"")</f>
        <v>1169</v>
      </c>
      <c r="AC2407" s="1" t="str">
        <f>IF(INDEX('CAMD Facility Data 2023'!$AE$2:$AG$10000,MATCH(Z2407,'CAMD Facility Data 2023'!$AE$2:$AE$10000,0),3)&gt;0,INDEX('CAMD Facility Data 2023'!$AE$2:$AG$10000,MATCH(Z2407,'CAMD Facility Data 2023'!$AE$2:$AE$10000,0),3),"")</f>
        <v/>
      </c>
      <c r="AD2407" s="20">
        <f t="shared" si="112"/>
        <v>0.40805124201223403</v>
      </c>
      <c r="AE2407" s="25">
        <f t="shared" si="113"/>
        <v>0.11391499613297866</v>
      </c>
    </row>
    <row r="2408" spans="1:31" x14ac:dyDescent="0.2">
      <c r="A2408" s="1" t="s">
        <v>2430</v>
      </c>
      <c r="B2408" s="1" t="s">
        <v>5653</v>
      </c>
      <c r="C2408" s="1">
        <v>55110</v>
      </c>
      <c r="D2408" s="1">
        <v>8</v>
      </c>
      <c r="F2408" s="1">
        <v>2023</v>
      </c>
      <c r="G2408" s="5">
        <v>2163</v>
      </c>
      <c r="H2408" s="5">
        <v>1946.92</v>
      </c>
      <c r="I2408" s="5">
        <v>120041.07</v>
      </c>
      <c r="K2408" s="5">
        <v>0.443</v>
      </c>
      <c r="L2408" s="5">
        <v>1E-3</v>
      </c>
      <c r="M2408" s="5">
        <v>87830.69</v>
      </c>
      <c r="N2408" s="6">
        <v>5.8999999999999997E-2</v>
      </c>
      <c r="O2408" s="5">
        <v>25.219000000000001</v>
      </c>
      <c r="P2408" s="6">
        <v>4.3400000000000001E-2</v>
      </c>
      <c r="Q2408" s="5">
        <v>1477935.2679999999</v>
      </c>
      <c r="R2408" s="1" t="s">
        <v>44</v>
      </c>
      <c r="T2408" s="1" t="s">
        <v>93</v>
      </c>
      <c r="V2408" s="1" t="s">
        <v>140</v>
      </c>
      <c r="Y2408" s="1" t="s">
        <v>461</v>
      </c>
      <c r="Z2408" s="1" t="str">
        <f t="shared" si="111"/>
        <v>55110 8</v>
      </c>
      <c r="AA2408" s="3">
        <f>IF(INDEX('CAMD Facility Data 2023'!$AA$2:$AE$10000,MATCH(Z2408,'CAMD Facility Data 2023'!$AE$2:$AE$10000,0),1)&gt;0,INDEX('CAMD Facility Data 2023'!$AA$2:$AE$10000,MATCH(Z2408,'CAMD Facility Data 2023'!$AE$2:$AE$10000,0),1),"")</f>
        <v>36706</v>
      </c>
      <c r="AB2408" s="5">
        <f>IF(INDEX('CAMD Facility Data 2023'!$AC$2:$AE$10000,MATCH(Z2408,'CAMD Facility Data 2023'!$AE$2:$AE$10000,0),1)&gt;0,INDEX('CAMD Facility Data 2023'!$AC$2:$AE$10000,MATCH(Z2408,'CAMD Facility Data 2023'!$AE$2:$AE$10000,0),1),"")</f>
        <v>1169</v>
      </c>
      <c r="AC2408" s="1" t="str">
        <f>IF(INDEX('CAMD Facility Data 2023'!$AE$2:$AG$10000,MATCH(Z2408,'CAMD Facility Data 2023'!$AE$2:$AE$10000,0),3)&gt;0,INDEX('CAMD Facility Data 2023'!$AE$2:$AG$10000,MATCH(Z2408,'CAMD Facility Data 2023'!$AE$2:$AE$10000,0),3),"")</f>
        <v/>
      </c>
      <c r="AD2408" s="20">
        <f t="shared" si="112"/>
        <v>0.4201728625044745</v>
      </c>
      <c r="AE2408" s="25">
        <f t="shared" si="113"/>
        <v>0.14432341461890308</v>
      </c>
    </row>
    <row r="2409" spans="1:31" x14ac:dyDescent="0.2">
      <c r="A2409" s="1" t="s">
        <v>1071</v>
      </c>
      <c r="B2409" s="1" t="s">
        <v>5662</v>
      </c>
      <c r="C2409" s="1">
        <v>55111</v>
      </c>
      <c r="D2409" s="1">
        <v>1</v>
      </c>
      <c r="F2409" s="1">
        <v>2023</v>
      </c>
      <c r="G2409" s="5">
        <v>1219</v>
      </c>
      <c r="H2409" s="5">
        <v>1095.1600000000001</v>
      </c>
      <c r="I2409" s="5">
        <v>65431.99</v>
      </c>
      <c r="K2409" s="5">
        <v>0.247</v>
      </c>
      <c r="L2409" s="5">
        <v>1E-3</v>
      </c>
      <c r="M2409" s="5">
        <v>49006.754000000001</v>
      </c>
      <c r="N2409" s="6">
        <v>5.8999999999999997E-2</v>
      </c>
      <c r="O2409" s="5">
        <v>11.936999999999999</v>
      </c>
      <c r="P2409" s="6">
        <v>3.5299999999999998E-2</v>
      </c>
      <c r="Q2409" s="5">
        <v>824622.87800000003</v>
      </c>
      <c r="R2409" s="1" t="s">
        <v>44</v>
      </c>
      <c r="T2409" s="1" t="s">
        <v>93</v>
      </c>
      <c r="V2409" s="1" t="s">
        <v>140</v>
      </c>
      <c r="Y2409" s="1" t="s">
        <v>461</v>
      </c>
      <c r="Z2409" s="1" t="str">
        <f t="shared" si="111"/>
        <v>55111 1</v>
      </c>
      <c r="AA2409" s="3">
        <f>IF(INDEX('CAMD Facility Data 2023'!$AA$2:$AE$10000,MATCH(Z2409,'CAMD Facility Data 2023'!$AE$2:$AE$10000,0),1)&gt;0,INDEX('CAMD Facility Data 2023'!$AA$2:$AE$10000,MATCH(Z2409,'CAMD Facility Data 2023'!$AE$2:$AE$10000,0),1),"")</f>
        <v>36601</v>
      </c>
      <c r="AB2409" s="5">
        <f>IF(INDEX('CAMD Facility Data 2023'!$AC$2:$AE$10000,MATCH(Z2409,'CAMD Facility Data 2023'!$AE$2:$AE$10000,0),1)&gt;0,INDEX('CAMD Facility Data 2023'!$AC$2:$AE$10000,MATCH(Z2409,'CAMD Facility Data 2023'!$AE$2:$AE$10000,0),1),"")</f>
        <v>1272</v>
      </c>
      <c r="AC2409" s="1" t="str">
        <f>IF(INDEX('CAMD Facility Data 2023'!$AE$2:$AG$10000,MATCH(Z2409,'CAMD Facility Data 2023'!$AE$2:$AE$10000,0),3)&gt;0,INDEX('CAMD Facility Data 2023'!$AE$2:$AG$10000,MATCH(Z2409,'CAMD Facility Data 2023'!$AE$2:$AE$10000,0),3),"")</f>
        <v/>
      </c>
      <c r="AD2409" s="20">
        <f t="shared" si="112"/>
        <v>0.36486739895882736</v>
      </c>
      <c r="AE2409" s="25">
        <f t="shared" si="113"/>
        <v>7.4005528093679107E-2</v>
      </c>
    </row>
    <row r="2410" spans="1:31" x14ac:dyDescent="0.2">
      <c r="A2410" s="1" t="s">
        <v>1071</v>
      </c>
      <c r="B2410" s="1" t="s">
        <v>5662</v>
      </c>
      <c r="C2410" s="1">
        <v>55111</v>
      </c>
      <c r="D2410" s="1">
        <v>2</v>
      </c>
      <c r="F2410" s="1">
        <v>2023</v>
      </c>
      <c r="G2410" s="5">
        <v>1253</v>
      </c>
      <c r="H2410" s="5">
        <v>1124.74</v>
      </c>
      <c r="I2410" s="5">
        <v>68043.009999999995</v>
      </c>
      <c r="K2410" s="5">
        <v>0.255</v>
      </c>
      <c r="L2410" s="5">
        <v>1E-3</v>
      </c>
      <c r="M2410" s="5">
        <v>50592.466999999997</v>
      </c>
      <c r="N2410" s="6">
        <v>5.8999999999999997E-2</v>
      </c>
      <c r="O2410" s="5">
        <v>15.641</v>
      </c>
      <c r="P2410" s="6">
        <v>4.2799999999999998E-2</v>
      </c>
      <c r="Q2410" s="5">
        <v>851321.62800000003</v>
      </c>
      <c r="R2410" s="1" t="s">
        <v>44</v>
      </c>
      <c r="T2410" s="1" t="s">
        <v>93</v>
      </c>
      <c r="V2410" s="1" t="s">
        <v>140</v>
      </c>
      <c r="Y2410" s="1" t="s">
        <v>461</v>
      </c>
      <c r="Z2410" s="1" t="str">
        <f t="shared" si="111"/>
        <v>55111 2</v>
      </c>
      <c r="AA2410" s="3">
        <f>IF(INDEX('CAMD Facility Data 2023'!$AA$2:$AE$10000,MATCH(Z2410,'CAMD Facility Data 2023'!$AE$2:$AE$10000,0),1)&gt;0,INDEX('CAMD Facility Data 2023'!$AA$2:$AE$10000,MATCH(Z2410,'CAMD Facility Data 2023'!$AE$2:$AE$10000,0),1),"")</f>
        <v>36608</v>
      </c>
      <c r="AB2410" s="5">
        <f>IF(INDEX('CAMD Facility Data 2023'!$AC$2:$AE$10000,MATCH(Z2410,'CAMD Facility Data 2023'!$AE$2:$AE$10000,0),1)&gt;0,INDEX('CAMD Facility Data 2023'!$AC$2:$AE$10000,MATCH(Z2410,'CAMD Facility Data 2023'!$AE$2:$AE$10000,0),1),"")</f>
        <v>1272</v>
      </c>
      <c r="AC2410" s="1" t="str">
        <f>IF(INDEX('CAMD Facility Data 2023'!$AE$2:$AG$10000,MATCH(Z2410,'CAMD Facility Data 2023'!$AE$2:$AE$10000,0),3)&gt;0,INDEX('CAMD Facility Data 2023'!$AE$2:$AG$10000,MATCH(Z2410,'CAMD Facility Data 2023'!$AE$2:$AE$10000,0),3),"")</f>
        <v/>
      </c>
      <c r="AD2410" s="20">
        <f t="shared" si="112"/>
        <v>0.45973862708307589</v>
      </c>
      <c r="AE2410" s="25">
        <f t="shared" si="113"/>
        <v>7.6401599250452312E-2</v>
      </c>
    </row>
    <row r="2411" spans="1:31" x14ac:dyDescent="0.2">
      <c r="A2411" s="1" t="s">
        <v>1071</v>
      </c>
      <c r="B2411" s="1" t="s">
        <v>5662</v>
      </c>
      <c r="C2411" s="1">
        <v>55111</v>
      </c>
      <c r="D2411" s="1">
        <v>3</v>
      </c>
      <c r="F2411" s="1">
        <v>2023</v>
      </c>
      <c r="G2411" s="5">
        <v>1268</v>
      </c>
      <c r="H2411" s="5">
        <v>1144.3699999999999</v>
      </c>
      <c r="I2411" s="5">
        <v>68675.95</v>
      </c>
      <c r="K2411" s="5">
        <v>0.25900000000000001</v>
      </c>
      <c r="L2411" s="5">
        <v>1E-3</v>
      </c>
      <c r="M2411" s="5">
        <v>51322.175999999999</v>
      </c>
      <c r="N2411" s="6">
        <v>5.8999999999999997E-2</v>
      </c>
      <c r="O2411" s="5">
        <v>12.448</v>
      </c>
      <c r="P2411" s="6">
        <v>3.5299999999999998E-2</v>
      </c>
      <c r="Q2411" s="5">
        <v>863600.11699999997</v>
      </c>
      <c r="R2411" s="1" t="s">
        <v>44</v>
      </c>
      <c r="T2411" s="1" t="s">
        <v>93</v>
      </c>
      <c r="V2411" s="1" t="s">
        <v>140</v>
      </c>
      <c r="Y2411" s="1" t="s">
        <v>461</v>
      </c>
      <c r="Z2411" s="1" t="str">
        <f t="shared" si="111"/>
        <v>55111 3</v>
      </c>
      <c r="AA2411" s="3">
        <f>IF(INDEX('CAMD Facility Data 2023'!$AA$2:$AE$10000,MATCH(Z2411,'CAMD Facility Data 2023'!$AE$2:$AE$10000,0),1)&gt;0,INDEX('CAMD Facility Data 2023'!$AA$2:$AE$10000,MATCH(Z2411,'CAMD Facility Data 2023'!$AE$2:$AE$10000,0),1),"")</f>
        <v>36627</v>
      </c>
      <c r="AB2411" s="5">
        <f>IF(INDEX('CAMD Facility Data 2023'!$AC$2:$AE$10000,MATCH(Z2411,'CAMD Facility Data 2023'!$AE$2:$AE$10000,0),1)&gt;0,INDEX('CAMD Facility Data 2023'!$AC$2:$AE$10000,MATCH(Z2411,'CAMD Facility Data 2023'!$AE$2:$AE$10000,0),1),"")</f>
        <v>1272</v>
      </c>
      <c r="AC2411" s="1" t="str">
        <f>IF(INDEX('CAMD Facility Data 2023'!$AE$2:$AG$10000,MATCH(Z2411,'CAMD Facility Data 2023'!$AE$2:$AE$10000,0),3)&gt;0,INDEX('CAMD Facility Data 2023'!$AE$2:$AG$10000,MATCH(Z2411,'CAMD Facility Data 2023'!$AE$2:$AE$10000,0),3),"")</f>
        <v/>
      </c>
      <c r="AD2411" s="20">
        <f t="shared" si="112"/>
        <v>0.36251409700193449</v>
      </c>
      <c r="AE2411" s="25">
        <f t="shared" si="113"/>
        <v>7.7503528492145535E-2</v>
      </c>
    </row>
    <row r="2412" spans="1:31" x14ac:dyDescent="0.2">
      <c r="A2412" s="1" t="s">
        <v>1071</v>
      </c>
      <c r="B2412" s="1" t="s">
        <v>5662</v>
      </c>
      <c r="C2412" s="1">
        <v>55111</v>
      </c>
      <c r="D2412" s="1">
        <v>4</v>
      </c>
      <c r="F2412" s="1">
        <v>2023</v>
      </c>
      <c r="G2412" s="5">
        <v>1566</v>
      </c>
      <c r="H2412" s="5">
        <v>1413.59</v>
      </c>
      <c r="I2412" s="5">
        <v>85514.55</v>
      </c>
      <c r="K2412" s="5">
        <v>0.32800000000000001</v>
      </c>
      <c r="L2412" s="5">
        <v>1E-3</v>
      </c>
      <c r="M2412" s="5">
        <v>65058.201000000001</v>
      </c>
      <c r="N2412" s="6">
        <v>5.8999999999999997E-2</v>
      </c>
      <c r="O2412" s="5">
        <v>19.515000000000001</v>
      </c>
      <c r="P2412" s="6">
        <v>4.1700000000000001E-2</v>
      </c>
      <c r="Q2412" s="5">
        <v>1094713.263</v>
      </c>
      <c r="R2412" s="1" t="s">
        <v>44</v>
      </c>
      <c r="T2412" s="1" t="s">
        <v>93</v>
      </c>
      <c r="V2412" s="1" t="s">
        <v>140</v>
      </c>
      <c r="Y2412" s="1" t="s">
        <v>461</v>
      </c>
      <c r="Z2412" s="1" t="str">
        <f t="shared" si="111"/>
        <v>55111 4</v>
      </c>
      <c r="AA2412" s="3">
        <f>IF(INDEX('CAMD Facility Data 2023'!$AA$2:$AE$10000,MATCH(Z2412,'CAMD Facility Data 2023'!$AE$2:$AE$10000,0),1)&gt;0,INDEX('CAMD Facility Data 2023'!$AA$2:$AE$10000,MATCH(Z2412,'CAMD Facility Data 2023'!$AE$2:$AE$10000,0),1),"")</f>
        <v>36630</v>
      </c>
      <c r="AB2412" s="5">
        <f>IF(INDEX('CAMD Facility Data 2023'!$AC$2:$AE$10000,MATCH(Z2412,'CAMD Facility Data 2023'!$AE$2:$AE$10000,0),1)&gt;0,INDEX('CAMD Facility Data 2023'!$AC$2:$AE$10000,MATCH(Z2412,'CAMD Facility Data 2023'!$AE$2:$AE$10000,0),1),"")</f>
        <v>1272</v>
      </c>
      <c r="AC2412" s="1" t="str">
        <f>IF(INDEX('CAMD Facility Data 2023'!$AE$2:$AG$10000,MATCH(Z2412,'CAMD Facility Data 2023'!$AE$2:$AE$10000,0),3)&gt;0,INDEX('CAMD Facility Data 2023'!$AE$2:$AG$10000,MATCH(Z2412,'CAMD Facility Data 2023'!$AE$2:$AE$10000,0),3),"")</f>
        <v/>
      </c>
      <c r="AD2412" s="20">
        <f t="shared" si="112"/>
        <v>0.45641355769281367</v>
      </c>
      <c r="AE2412" s="25">
        <f t="shared" si="113"/>
        <v>9.824470712716464E-2</v>
      </c>
    </row>
    <row r="2413" spans="1:31" x14ac:dyDescent="0.2">
      <c r="A2413" s="1" t="s">
        <v>1071</v>
      </c>
      <c r="B2413" s="1" t="s">
        <v>5662</v>
      </c>
      <c r="C2413" s="1">
        <v>55111</v>
      </c>
      <c r="D2413" s="1">
        <v>5</v>
      </c>
      <c r="F2413" s="1">
        <v>2023</v>
      </c>
      <c r="G2413" s="5">
        <v>1075</v>
      </c>
      <c r="H2413" s="5">
        <v>965.15</v>
      </c>
      <c r="I2413" s="5">
        <v>57316.98</v>
      </c>
      <c r="K2413" s="5">
        <v>0.22</v>
      </c>
      <c r="L2413" s="5">
        <v>1E-3</v>
      </c>
      <c r="M2413" s="5">
        <v>43676.014999999999</v>
      </c>
      <c r="N2413" s="6">
        <v>5.8999999999999997E-2</v>
      </c>
      <c r="O2413" s="5">
        <v>10.005000000000001</v>
      </c>
      <c r="P2413" s="6">
        <v>3.5700000000000003E-2</v>
      </c>
      <c r="Q2413" s="5">
        <v>734930.53</v>
      </c>
      <c r="R2413" s="1" t="s">
        <v>44</v>
      </c>
      <c r="T2413" s="1" t="s">
        <v>93</v>
      </c>
      <c r="V2413" s="1" t="s">
        <v>140</v>
      </c>
      <c r="Y2413" s="1" t="s">
        <v>461</v>
      </c>
      <c r="Z2413" s="1" t="str">
        <f t="shared" si="111"/>
        <v>55111 5</v>
      </c>
      <c r="AA2413" s="3">
        <f>IF(INDEX('CAMD Facility Data 2023'!$AA$2:$AE$10000,MATCH(Z2413,'CAMD Facility Data 2023'!$AE$2:$AE$10000,0),1)&gt;0,INDEX('CAMD Facility Data 2023'!$AA$2:$AE$10000,MATCH(Z2413,'CAMD Facility Data 2023'!$AE$2:$AE$10000,0),1),"")</f>
        <v>36636</v>
      </c>
      <c r="AB2413" s="5">
        <f>IF(INDEX('CAMD Facility Data 2023'!$AC$2:$AE$10000,MATCH(Z2413,'CAMD Facility Data 2023'!$AE$2:$AE$10000,0),1)&gt;0,INDEX('CAMD Facility Data 2023'!$AC$2:$AE$10000,MATCH(Z2413,'CAMD Facility Data 2023'!$AE$2:$AE$10000,0),1),"")</f>
        <v>1272</v>
      </c>
      <c r="AC2413" s="1" t="str">
        <f>IF(INDEX('CAMD Facility Data 2023'!$AE$2:$AG$10000,MATCH(Z2413,'CAMD Facility Data 2023'!$AE$2:$AE$10000,0),3)&gt;0,INDEX('CAMD Facility Data 2023'!$AE$2:$AG$10000,MATCH(Z2413,'CAMD Facility Data 2023'!$AE$2:$AE$10000,0),3),"")</f>
        <v/>
      </c>
      <c r="AD2413" s="20">
        <f t="shared" si="112"/>
        <v>0.34911120578927918</v>
      </c>
      <c r="AE2413" s="25">
        <f t="shared" si="113"/>
        <v>6.5956115741937341E-2</v>
      </c>
    </row>
    <row r="2414" spans="1:31" x14ac:dyDescent="0.2">
      <c r="A2414" s="1" t="s">
        <v>1071</v>
      </c>
      <c r="B2414" s="1" t="s">
        <v>5662</v>
      </c>
      <c r="C2414" s="1">
        <v>55111</v>
      </c>
      <c r="D2414" s="1">
        <v>6</v>
      </c>
      <c r="F2414" s="1">
        <v>2023</v>
      </c>
      <c r="G2414" s="5">
        <v>1568</v>
      </c>
      <c r="H2414" s="5">
        <v>1412.41</v>
      </c>
      <c r="I2414" s="5">
        <v>86242.79</v>
      </c>
      <c r="K2414" s="5">
        <v>0.32600000000000001</v>
      </c>
      <c r="L2414" s="5">
        <v>1E-3</v>
      </c>
      <c r="M2414" s="5">
        <v>64620.616999999998</v>
      </c>
      <c r="N2414" s="6">
        <v>5.8999999999999997E-2</v>
      </c>
      <c r="O2414" s="5">
        <v>18.143000000000001</v>
      </c>
      <c r="P2414" s="6">
        <v>0.04</v>
      </c>
      <c r="Q2414" s="5">
        <v>1087379.588</v>
      </c>
      <c r="R2414" s="1" t="s">
        <v>44</v>
      </c>
      <c r="T2414" s="1" t="s">
        <v>93</v>
      </c>
      <c r="V2414" s="1" t="s">
        <v>140</v>
      </c>
      <c r="Y2414" s="1" t="s">
        <v>461</v>
      </c>
      <c r="Z2414" s="1" t="str">
        <f t="shared" si="111"/>
        <v>55111 6</v>
      </c>
      <c r="AA2414" s="3">
        <f>IF(INDEX('CAMD Facility Data 2023'!$AA$2:$AE$10000,MATCH(Z2414,'CAMD Facility Data 2023'!$AE$2:$AE$10000,0),1)&gt;0,INDEX('CAMD Facility Data 2023'!$AA$2:$AE$10000,MATCH(Z2414,'CAMD Facility Data 2023'!$AE$2:$AE$10000,0),1),"")</f>
        <v>36645</v>
      </c>
      <c r="AB2414" s="5">
        <f>IF(INDEX('CAMD Facility Data 2023'!$AC$2:$AE$10000,MATCH(Z2414,'CAMD Facility Data 2023'!$AE$2:$AE$10000,0),1)&gt;0,INDEX('CAMD Facility Data 2023'!$AC$2:$AE$10000,MATCH(Z2414,'CAMD Facility Data 2023'!$AE$2:$AE$10000,0),1),"")</f>
        <v>1272</v>
      </c>
      <c r="AC2414" s="1" t="str">
        <f>IF(INDEX('CAMD Facility Data 2023'!$AE$2:$AG$10000,MATCH(Z2414,'CAMD Facility Data 2023'!$AE$2:$AE$10000,0),3)&gt;0,INDEX('CAMD Facility Data 2023'!$AE$2:$AG$10000,MATCH(Z2414,'CAMD Facility Data 2023'!$AE$2:$AE$10000,0),3),"")</f>
        <v/>
      </c>
      <c r="AD2414" s="20">
        <f t="shared" si="112"/>
        <v>0.42074241800387024</v>
      </c>
      <c r="AE2414" s="25">
        <f t="shared" si="113"/>
        <v>9.7586548706240492E-2</v>
      </c>
    </row>
    <row r="2415" spans="1:31" x14ac:dyDescent="0.2">
      <c r="A2415" s="1" t="s">
        <v>1071</v>
      </c>
      <c r="B2415" s="1" t="s">
        <v>5662</v>
      </c>
      <c r="C2415" s="1">
        <v>55111</v>
      </c>
      <c r="D2415" s="1">
        <v>7</v>
      </c>
      <c r="F2415" s="1">
        <v>2023</v>
      </c>
      <c r="G2415" s="5">
        <v>1356</v>
      </c>
      <c r="H2415" s="5">
        <v>1211.25</v>
      </c>
      <c r="I2415" s="5">
        <v>72076.460000000006</v>
      </c>
      <c r="K2415" s="5">
        <v>0.27800000000000002</v>
      </c>
      <c r="L2415" s="5">
        <v>1E-3</v>
      </c>
      <c r="M2415" s="5">
        <v>55143.451000000001</v>
      </c>
      <c r="N2415" s="6">
        <v>5.8999999999999997E-2</v>
      </c>
      <c r="O2415" s="5">
        <v>14.413</v>
      </c>
      <c r="P2415" s="6">
        <v>3.9E-2</v>
      </c>
      <c r="Q2415" s="5">
        <v>927875.66299999994</v>
      </c>
      <c r="R2415" s="1" t="s">
        <v>44</v>
      </c>
      <c r="T2415" s="1" t="s">
        <v>93</v>
      </c>
      <c r="V2415" s="1" t="s">
        <v>140</v>
      </c>
      <c r="Y2415" s="1" t="s">
        <v>461</v>
      </c>
      <c r="Z2415" s="1" t="str">
        <f t="shared" si="111"/>
        <v>55111 7</v>
      </c>
      <c r="AA2415" s="3">
        <f>IF(INDEX('CAMD Facility Data 2023'!$AA$2:$AE$10000,MATCH(Z2415,'CAMD Facility Data 2023'!$AE$2:$AE$10000,0),1)&gt;0,INDEX('CAMD Facility Data 2023'!$AA$2:$AE$10000,MATCH(Z2415,'CAMD Facility Data 2023'!$AE$2:$AE$10000,0),1),"")</f>
        <v>36654</v>
      </c>
      <c r="AB2415" s="5">
        <f>IF(INDEX('CAMD Facility Data 2023'!$AC$2:$AE$10000,MATCH(Z2415,'CAMD Facility Data 2023'!$AE$2:$AE$10000,0),1)&gt;0,INDEX('CAMD Facility Data 2023'!$AC$2:$AE$10000,MATCH(Z2415,'CAMD Facility Data 2023'!$AE$2:$AE$10000,0),1),"")</f>
        <v>1272</v>
      </c>
      <c r="AC2415" s="1" t="str">
        <f>IF(INDEX('CAMD Facility Data 2023'!$AE$2:$AG$10000,MATCH(Z2415,'CAMD Facility Data 2023'!$AE$2:$AE$10000,0),3)&gt;0,INDEX('CAMD Facility Data 2023'!$AE$2:$AG$10000,MATCH(Z2415,'CAMD Facility Data 2023'!$AE$2:$AE$10000,0),3),"")</f>
        <v/>
      </c>
      <c r="AD2415" s="20">
        <f t="shared" si="112"/>
        <v>0.39993640087207388</v>
      </c>
      <c r="AE2415" s="25">
        <f t="shared" si="113"/>
        <v>8.3271917718474475E-2</v>
      </c>
    </row>
    <row r="2416" spans="1:31" x14ac:dyDescent="0.2">
      <c r="A2416" s="1" t="s">
        <v>1071</v>
      </c>
      <c r="B2416" s="1" t="s">
        <v>5662</v>
      </c>
      <c r="C2416" s="1">
        <v>55111</v>
      </c>
      <c r="D2416" s="1">
        <v>8</v>
      </c>
      <c r="F2416" s="1">
        <v>2023</v>
      </c>
      <c r="G2416" s="5">
        <v>1372</v>
      </c>
      <c r="H2416" s="5">
        <v>1219.3</v>
      </c>
      <c r="I2416" s="5">
        <v>73206.87</v>
      </c>
      <c r="K2416" s="5">
        <v>0.28100000000000003</v>
      </c>
      <c r="L2416" s="5">
        <v>1E-3</v>
      </c>
      <c r="M2416" s="5">
        <v>55722.938999999998</v>
      </c>
      <c r="N2416" s="6">
        <v>5.8999999999999997E-2</v>
      </c>
      <c r="O2416" s="5">
        <v>14.178000000000001</v>
      </c>
      <c r="P2416" s="6">
        <v>3.8300000000000001E-2</v>
      </c>
      <c r="Q2416" s="5">
        <v>937641.36800000002</v>
      </c>
      <c r="R2416" s="1" t="s">
        <v>44</v>
      </c>
      <c r="T2416" s="1" t="s">
        <v>93</v>
      </c>
      <c r="V2416" s="1" t="s">
        <v>140</v>
      </c>
      <c r="Y2416" s="1" t="s">
        <v>461</v>
      </c>
      <c r="Z2416" s="1" t="str">
        <f t="shared" si="111"/>
        <v>55111 8</v>
      </c>
      <c r="AA2416" s="3">
        <f>IF(INDEX('CAMD Facility Data 2023'!$AA$2:$AE$10000,MATCH(Z2416,'CAMD Facility Data 2023'!$AE$2:$AE$10000,0),1)&gt;0,INDEX('CAMD Facility Data 2023'!$AA$2:$AE$10000,MATCH(Z2416,'CAMD Facility Data 2023'!$AE$2:$AE$10000,0),1),"")</f>
        <v>36661</v>
      </c>
      <c r="AB2416" s="5">
        <f>IF(INDEX('CAMD Facility Data 2023'!$AC$2:$AE$10000,MATCH(Z2416,'CAMD Facility Data 2023'!$AE$2:$AE$10000,0),1)&gt;0,INDEX('CAMD Facility Data 2023'!$AC$2:$AE$10000,MATCH(Z2416,'CAMD Facility Data 2023'!$AE$2:$AE$10000,0),1),"")</f>
        <v>1272</v>
      </c>
      <c r="AC2416" s="1" t="str">
        <f>IF(INDEX('CAMD Facility Data 2023'!$AE$2:$AG$10000,MATCH(Z2416,'CAMD Facility Data 2023'!$AE$2:$AE$10000,0),3)&gt;0,INDEX('CAMD Facility Data 2023'!$AE$2:$AG$10000,MATCH(Z2416,'CAMD Facility Data 2023'!$AE$2:$AE$10000,0),3),"")</f>
        <v/>
      </c>
      <c r="AD2416" s="20">
        <f t="shared" si="112"/>
        <v>0.38734069630350271</v>
      </c>
      <c r="AE2416" s="25">
        <f t="shared" si="113"/>
        <v>8.4148337928261679E-2</v>
      </c>
    </row>
    <row r="2417" spans="1:31" x14ac:dyDescent="0.2">
      <c r="A2417" s="1" t="s">
        <v>370</v>
      </c>
      <c r="B2417" s="1" t="s">
        <v>5664</v>
      </c>
      <c r="C2417" s="1">
        <v>55112</v>
      </c>
      <c r="D2417" s="1" t="s">
        <v>993</v>
      </c>
      <c r="F2417" s="1">
        <v>2023</v>
      </c>
      <c r="G2417" s="5">
        <v>5962</v>
      </c>
      <c r="H2417" s="5">
        <v>5945.98</v>
      </c>
      <c r="I2417" s="5">
        <v>1393798.41</v>
      </c>
      <c r="K2417" s="5">
        <v>2.8130000000000002</v>
      </c>
      <c r="L2417" s="5">
        <v>1E-3</v>
      </c>
      <c r="M2417" s="5">
        <v>557198.25800000003</v>
      </c>
      <c r="N2417" s="6">
        <v>5.8999999999999997E-2</v>
      </c>
      <c r="O2417" s="5">
        <v>35.155000000000001</v>
      </c>
      <c r="P2417" s="6">
        <v>8.0000000000000002E-3</v>
      </c>
      <c r="Q2417" s="5">
        <v>9375908.9120000005</v>
      </c>
      <c r="R2417" s="1" t="s">
        <v>44</v>
      </c>
      <c r="T2417" s="1" t="s">
        <v>71</v>
      </c>
      <c r="V2417" s="1" t="s">
        <v>64</v>
      </c>
      <c r="Y2417" s="1" t="s">
        <v>247</v>
      </c>
      <c r="Z2417" s="1" t="str">
        <f t="shared" si="111"/>
        <v>55112 CT01</v>
      </c>
      <c r="AA2417" s="3">
        <f>IF(INDEX('CAMD Facility Data 2023'!$AA$2:$AE$10000,MATCH(Z2417,'CAMD Facility Data 2023'!$AE$2:$AE$10000,0),1)&gt;0,INDEX('CAMD Facility Data 2023'!$AA$2:$AE$10000,MATCH(Z2417,'CAMD Facility Data 2023'!$AE$2:$AE$10000,0),1),"")</f>
        <v>36983</v>
      </c>
      <c r="AB2417" s="5">
        <f>IF(INDEX('CAMD Facility Data 2023'!$AC$2:$AE$10000,MATCH(Z2417,'CAMD Facility Data 2023'!$AE$2:$AE$10000,0),1)&gt;0,INDEX('CAMD Facility Data 2023'!$AC$2:$AE$10000,MATCH(Z2417,'CAMD Facility Data 2023'!$AE$2:$AE$10000,0),1),"")</f>
        <v>2070</v>
      </c>
      <c r="AC2417" s="1" t="str">
        <f>IF(INDEX('CAMD Facility Data 2023'!$AE$2:$AG$10000,MATCH(Z2417,'CAMD Facility Data 2023'!$AE$2:$AE$10000,0),3)&gt;0,INDEX('CAMD Facility Data 2023'!$AE$2:$AG$10000,MATCH(Z2417,'CAMD Facility Data 2023'!$AE$2:$AE$10000,0),3),"")</f>
        <v>Y</v>
      </c>
      <c r="AD2417" s="20">
        <f t="shared" si="112"/>
        <v>5.0444884637226704E-2</v>
      </c>
      <c r="AE2417" s="25">
        <f t="shared" si="113"/>
        <v>0.51705760218825136</v>
      </c>
    </row>
    <row r="2418" spans="1:31" x14ac:dyDescent="0.2">
      <c r="A2418" s="1" t="s">
        <v>370</v>
      </c>
      <c r="B2418" s="1" t="s">
        <v>5664</v>
      </c>
      <c r="C2418" s="1">
        <v>55112</v>
      </c>
      <c r="D2418" s="1" t="s">
        <v>998</v>
      </c>
      <c r="F2418" s="1">
        <v>2023</v>
      </c>
      <c r="G2418" s="5">
        <v>4056</v>
      </c>
      <c r="H2418" s="5">
        <v>3916.88</v>
      </c>
      <c r="I2418" s="5">
        <v>928735.53</v>
      </c>
      <c r="K2418" s="5">
        <v>1.8640000000000001</v>
      </c>
      <c r="L2418" s="5">
        <v>1E-3</v>
      </c>
      <c r="M2418" s="5">
        <v>369277.45199999999</v>
      </c>
      <c r="N2418" s="6">
        <v>5.8999999999999997E-2</v>
      </c>
      <c r="O2418" s="5">
        <v>28.597000000000001</v>
      </c>
      <c r="P2418" s="6">
        <v>1.23E-2</v>
      </c>
      <c r="Q2418" s="5">
        <v>6213834.0530000003</v>
      </c>
      <c r="R2418" s="1" t="s">
        <v>44</v>
      </c>
      <c r="T2418" s="1" t="s">
        <v>71</v>
      </c>
      <c r="V2418" s="1" t="s">
        <v>64</v>
      </c>
      <c r="Y2418" s="1" t="s">
        <v>247</v>
      </c>
      <c r="Z2418" s="1" t="str">
        <f t="shared" si="111"/>
        <v>55112 CT02</v>
      </c>
      <c r="AA2418" s="3">
        <f>IF(INDEX('CAMD Facility Data 2023'!$AA$2:$AE$10000,MATCH(Z2418,'CAMD Facility Data 2023'!$AE$2:$AE$10000,0),1)&gt;0,INDEX('CAMD Facility Data 2023'!$AA$2:$AE$10000,MATCH(Z2418,'CAMD Facility Data 2023'!$AE$2:$AE$10000,0),1),"")</f>
        <v>36992</v>
      </c>
      <c r="AB2418" s="5">
        <f>IF(INDEX('CAMD Facility Data 2023'!$AC$2:$AE$10000,MATCH(Z2418,'CAMD Facility Data 2023'!$AE$2:$AE$10000,0),1)&gt;0,INDEX('CAMD Facility Data 2023'!$AC$2:$AE$10000,MATCH(Z2418,'CAMD Facility Data 2023'!$AE$2:$AE$10000,0),1),"")</f>
        <v>2070</v>
      </c>
      <c r="AC2418" s="1" t="str">
        <f>IF(INDEX('CAMD Facility Data 2023'!$AE$2:$AG$10000,MATCH(Z2418,'CAMD Facility Data 2023'!$AE$2:$AE$10000,0),3)&gt;0,INDEX('CAMD Facility Data 2023'!$AE$2:$AG$10000,MATCH(Z2418,'CAMD Facility Data 2023'!$AE$2:$AE$10000,0),3),"")</f>
        <v>Y</v>
      </c>
      <c r="AD2418" s="20">
        <f t="shared" si="112"/>
        <v>6.1582655290467886E-2</v>
      </c>
      <c r="AE2418" s="25">
        <f t="shared" si="113"/>
        <v>0.34267719172567446</v>
      </c>
    </row>
    <row r="2419" spans="1:31" x14ac:dyDescent="0.2">
      <c r="A2419" s="1" t="s">
        <v>1153</v>
      </c>
      <c r="B2419" s="1" t="s">
        <v>5667</v>
      </c>
      <c r="C2419" s="1">
        <v>55116</v>
      </c>
      <c r="D2419" s="1" t="s">
        <v>311</v>
      </c>
      <c r="F2419" s="1">
        <v>2023</v>
      </c>
      <c r="G2419" s="5">
        <v>1139</v>
      </c>
      <c r="H2419" s="5">
        <v>1013.71</v>
      </c>
      <c r="I2419" s="5">
        <v>151513.29999999999</v>
      </c>
      <c r="K2419" s="5">
        <v>0.48699999999999999</v>
      </c>
      <c r="L2419" s="5">
        <v>1E-3</v>
      </c>
      <c r="M2419" s="5">
        <v>96408.36</v>
      </c>
      <c r="N2419" s="6">
        <v>5.91E-2</v>
      </c>
      <c r="O2419" s="5">
        <v>38.430999999999997</v>
      </c>
      <c r="P2419" s="6">
        <v>5.3199999999999997E-2</v>
      </c>
      <c r="Q2419" s="5">
        <v>1620858.7490000001</v>
      </c>
      <c r="R2419" s="1" t="s">
        <v>44</v>
      </c>
      <c r="S2419" s="1" t="s">
        <v>94</v>
      </c>
      <c r="T2419" s="1" t="s">
        <v>93</v>
      </c>
      <c r="V2419" s="1" t="s">
        <v>183</v>
      </c>
      <c r="Y2419" s="1" t="s">
        <v>2319</v>
      </c>
      <c r="Z2419" s="1" t="str">
        <f t="shared" si="111"/>
        <v>55116 CT1</v>
      </c>
      <c r="AA2419" s="3">
        <f>IF(INDEX('CAMD Facility Data 2023'!$AA$2:$AE$10000,MATCH(Z2419,'CAMD Facility Data 2023'!$AE$2:$AE$10000,0),1)&gt;0,INDEX('CAMD Facility Data 2023'!$AA$2:$AE$10000,MATCH(Z2419,'CAMD Facility Data 2023'!$AE$2:$AE$10000,0),1),"")</f>
        <v>36676</v>
      </c>
      <c r="AB2419" s="5">
        <f>IF(INDEX('CAMD Facility Data 2023'!$AC$2:$AE$10000,MATCH(Z2419,'CAMD Facility Data 2023'!$AE$2:$AE$10000,0),1)&gt;0,INDEX('CAMD Facility Data 2023'!$AC$2:$AE$10000,MATCH(Z2419,'CAMD Facility Data 2023'!$AE$2:$AE$10000,0),1),"")</f>
        <v>1920</v>
      </c>
      <c r="AC2419" s="1" t="str">
        <f>IF(INDEX('CAMD Facility Data 2023'!$AE$2:$AG$10000,MATCH(Z2419,'CAMD Facility Data 2023'!$AE$2:$AE$10000,0),3)&gt;0,INDEX('CAMD Facility Data 2023'!$AE$2:$AG$10000,MATCH(Z2419,'CAMD Facility Data 2023'!$AE$2:$AE$10000,0),3),"")</f>
        <v/>
      </c>
      <c r="AD2419" s="20">
        <f t="shared" si="112"/>
        <v>0.50729539914977761</v>
      </c>
      <c r="AE2419" s="25">
        <f t="shared" si="113"/>
        <v>9.6369550810977936E-2</v>
      </c>
    </row>
    <row r="2420" spans="1:31" x14ac:dyDescent="0.2">
      <c r="A2420" s="1" t="s">
        <v>1153</v>
      </c>
      <c r="B2420" s="1" t="s">
        <v>5667</v>
      </c>
      <c r="C2420" s="1">
        <v>55116</v>
      </c>
      <c r="D2420" s="1" t="s">
        <v>98</v>
      </c>
      <c r="F2420" s="1">
        <v>2023</v>
      </c>
      <c r="G2420" s="5">
        <v>1514</v>
      </c>
      <c r="H2420" s="5">
        <v>1360</v>
      </c>
      <c r="I2420" s="5">
        <v>206249.29</v>
      </c>
      <c r="K2420" s="5">
        <v>0.65500000000000003</v>
      </c>
      <c r="L2420" s="5">
        <v>1E-3</v>
      </c>
      <c r="M2420" s="5">
        <v>129713.731</v>
      </c>
      <c r="N2420" s="6">
        <v>5.91E-2</v>
      </c>
      <c r="O2420" s="5">
        <v>52.222999999999999</v>
      </c>
      <c r="P2420" s="6">
        <v>5.3699999999999998E-2</v>
      </c>
      <c r="Q2420" s="5">
        <v>2181882.8769999999</v>
      </c>
      <c r="R2420" s="1" t="s">
        <v>44</v>
      </c>
      <c r="S2420" s="1" t="s">
        <v>94</v>
      </c>
      <c r="T2420" s="1" t="s">
        <v>93</v>
      </c>
      <c r="V2420" s="1" t="s">
        <v>183</v>
      </c>
      <c r="Y2420" s="1" t="s">
        <v>2319</v>
      </c>
      <c r="Z2420" s="1" t="str">
        <f t="shared" si="111"/>
        <v>55116 CT2</v>
      </c>
      <c r="AA2420" s="3">
        <f>IF(INDEX('CAMD Facility Data 2023'!$AA$2:$AE$10000,MATCH(Z2420,'CAMD Facility Data 2023'!$AE$2:$AE$10000,0),1)&gt;0,INDEX('CAMD Facility Data 2023'!$AA$2:$AE$10000,MATCH(Z2420,'CAMD Facility Data 2023'!$AE$2:$AE$10000,0),1),"")</f>
        <v>36689</v>
      </c>
      <c r="AB2420" s="5">
        <f>IF(INDEX('CAMD Facility Data 2023'!$AC$2:$AE$10000,MATCH(Z2420,'CAMD Facility Data 2023'!$AE$2:$AE$10000,0),1)&gt;0,INDEX('CAMD Facility Data 2023'!$AC$2:$AE$10000,MATCH(Z2420,'CAMD Facility Data 2023'!$AE$2:$AE$10000,0),1),"")</f>
        <v>1920</v>
      </c>
      <c r="AC2420" s="1" t="str">
        <f>IF(INDEX('CAMD Facility Data 2023'!$AE$2:$AG$10000,MATCH(Z2420,'CAMD Facility Data 2023'!$AE$2:$AE$10000,0),3)&gt;0,INDEX('CAMD Facility Data 2023'!$AE$2:$AG$10000,MATCH(Z2420,'CAMD Facility Data 2023'!$AE$2:$AE$10000,0),3),"")</f>
        <v/>
      </c>
      <c r="AD2420" s="20">
        <f t="shared" si="112"/>
        <v>0.50640659175117642</v>
      </c>
      <c r="AE2420" s="25">
        <f t="shared" si="113"/>
        <v>0.12972572280488964</v>
      </c>
    </row>
    <row r="2421" spans="1:31" x14ac:dyDescent="0.2">
      <c r="A2421" s="1" t="s">
        <v>1153</v>
      </c>
      <c r="B2421" s="1" t="s">
        <v>5667</v>
      </c>
      <c r="C2421" s="1">
        <v>55116</v>
      </c>
      <c r="D2421" s="1" t="s">
        <v>101</v>
      </c>
      <c r="F2421" s="1">
        <v>2023</v>
      </c>
      <c r="G2421" s="5">
        <v>1134</v>
      </c>
      <c r="H2421" s="5">
        <v>999.28</v>
      </c>
      <c r="I2421" s="5">
        <v>147318.5</v>
      </c>
      <c r="K2421" s="5">
        <v>0.47299999999999998</v>
      </c>
      <c r="L2421" s="5">
        <v>1E-3</v>
      </c>
      <c r="M2421" s="5">
        <v>93781.157999999996</v>
      </c>
      <c r="N2421" s="6">
        <v>5.8999999999999997E-2</v>
      </c>
      <c r="O2421" s="5">
        <v>37.515999999999998</v>
      </c>
      <c r="P2421" s="6">
        <v>5.4699999999999999E-2</v>
      </c>
      <c r="Q2421" s="5">
        <v>1577973.8030000001</v>
      </c>
      <c r="R2421" s="1" t="s">
        <v>44</v>
      </c>
      <c r="S2421" s="1" t="s">
        <v>94</v>
      </c>
      <c r="T2421" s="1" t="s">
        <v>93</v>
      </c>
      <c r="V2421" s="1" t="s">
        <v>183</v>
      </c>
      <c r="Y2421" s="1" t="s">
        <v>2319</v>
      </c>
      <c r="Z2421" s="1" t="str">
        <f t="shared" si="111"/>
        <v>55116 CT3</v>
      </c>
      <c r="AA2421" s="3">
        <f>IF(INDEX('CAMD Facility Data 2023'!$AA$2:$AE$10000,MATCH(Z2421,'CAMD Facility Data 2023'!$AE$2:$AE$10000,0),1)&gt;0,INDEX('CAMD Facility Data 2023'!$AA$2:$AE$10000,MATCH(Z2421,'CAMD Facility Data 2023'!$AE$2:$AE$10000,0),1),"")</f>
        <v>36704</v>
      </c>
      <c r="AB2421" s="5">
        <f>IF(INDEX('CAMD Facility Data 2023'!$AC$2:$AE$10000,MATCH(Z2421,'CAMD Facility Data 2023'!$AE$2:$AE$10000,0),1)&gt;0,INDEX('CAMD Facility Data 2023'!$AC$2:$AE$10000,MATCH(Z2421,'CAMD Facility Data 2023'!$AE$2:$AE$10000,0),1),"")</f>
        <v>1920</v>
      </c>
      <c r="AC2421" s="1" t="str">
        <f>IF(INDEX('CAMD Facility Data 2023'!$AE$2:$AG$10000,MATCH(Z2421,'CAMD Facility Data 2023'!$AE$2:$AE$10000,0),3)&gt;0,INDEX('CAMD Facility Data 2023'!$AE$2:$AG$10000,MATCH(Z2421,'CAMD Facility Data 2023'!$AE$2:$AE$10000,0),3),"")</f>
        <v/>
      </c>
      <c r="AD2421" s="20">
        <f t="shared" si="112"/>
        <v>0.5093182458414931</v>
      </c>
      <c r="AE2421" s="25">
        <f t="shared" si="113"/>
        <v>9.3819789466799849E-2</v>
      </c>
    </row>
    <row r="2422" spans="1:31" x14ac:dyDescent="0.2">
      <c r="A2422" s="1" t="s">
        <v>1153</v>
      </c>
      <c r="B2422" s="1" t="s">
        <v>5667</v>
      </c>
      <c r="C2422" s="1">
        <v>55116</v>
      </c>
      <c r="D2422" s="1" t="s">
        <v>103</v>
      </c>
      <c r="F2422" s="1">
        <v>2023</v>
      </c>
      <c r="G2422" s="5">
        <v>997</v>
      </c>
      <c r="H2422" s="5">
        <v>887.85</v>
      </c>
      <c r="I2422" s="5">
        <v>132017.48000000001</v>
      </c>
      <c r="K2422" s="5">
        <v>0.42699999999999999</v>
      </c>
      <c r="L2422" s="5">
        <v>1E-3</v>
      </c>
      <c r="M2422" s="5">
        <v>84645.123999999996</v>
      </c>
      <c r="N2422" s="6">
        <v>5.9200000000000003E-2</v>
      </c>
      <c r="O2422" s="5">
        <v>34.46</v>
      </c>
      <c r="P2422" s="6">
        <v>5.4899999999999997E-2</v>
      </c>
      <c r="Q2422" s="5">
        <v>1420816.308</v>
      </c>
      <c r="R2422" s="1" t="s">
        <v>44</v>
      </c>
      <c r="S2422" s="1" t="s">
        <v>94</v>
      </c>
      <c r="T2422" s="1" t="s">
        <v>93</v>
      </c>
      <c r="V2422" s="1" t="s">
        <v>183</v>
      </c>
      <c r="Y2422" s="1" t="s">
        <v>2319</v>
      </c>
      <c r="Z2422" s="1" t="str">
        <f t="shared" si="111"/>
        <v>55116 CT4</v>
      </c>
      <c r="AA2422" s="3">
        <f>IF(INDEX('CAMD Facility Data 2023'!$AA$2:$AE$10000,MATCH(Z2422,'CAMD Facility Data 2023'!$AE$2:$AE$10000,0),1)&gt;0,INDEX('CAMD Facility Data 2023'!$AA$2:$AE$10000,MATCH(Z2422,'CAMD Facility Data 2023'!$AE$2:$AE$10000,0),1),"")</f>
        <v>36712</v>
      </c>
      <c r="AB2422" s="5">
        <f>IF(INDEX('CAMD Facility Data 2023'!$AC$2:$AE$10000,MATCH(Z2422,'CAMD Facility Data 2023'!$AE$2:$AE$10000,0),1)&gt;0,INDEX('CAMD Facility Data 2023'!$AC$2:$AE$10000,MATCH(Z2422,'CAMD Facility Data 2023'!$AE$2:$AE$10000,0),1),"")</f>
        <v>1920</v>
      </c>
      <c r="AC2422" s="1" t="str">
        <f>IF(INDEX('CAMD Facility Data 2023'!$AE$2:$AG$10000,MATCH(Z2422,'CAMD Facility Data 2023'!$AE$2:$AE$10000,0),3)&gt;0,INDEX('CAMD Facility Data 2023'!$AE$2:$AG$10000,MATCH(Z2422,'CAMD Facility Data 2023'!$AE$2:$AE$10000,0),3),"")</f>
        <v/>
      </c>
      <c r="AD2422" s="20">
        <f t="shared" si="112"/>
        <v>0.52205207977004253</v>
      </c>
      <c r="AE2422" s="25">
        <f t="shared" si="113"/>
        <v>8.447585545091324E-2</v>
      </c>
    </row>
    <row r="2423" spans="1:31" x14ac:dyDescent="0.2">
      <c r="A2423" s="1" t="s">
        <v>1153</v>
      </c>
      <c r="B2423" s="1" t="s">
        <v>5667</v>
      </c>
      <c r="C2423" s="1">
        <v>55116</v>
      </c>
      <c r="D2423" s="1" t="s">
        <v>105</v>
      </c>
      <c r="F2423" s="1">
        <v>2023</v>
      </c>
      <c r="G2423" s="5">
        <v>1164</v>
      </c>
      <c r="H2423" s="5">
        <v>1030.56</v>
      </c>
      <c r="I2423" s="5">
        <v>154524.79</v>
      </c>
      <c r="K2423" s="5">
        <v>0.49299999999999999</v>
      </c>
      <c r="L2423" s="5">
        <v>1E-3</v>
      </c>
      <c r="M2423" s="5">
        <v>97751.892000000007</v>
      </c>
      <c r="N2423" s="6">
        <v>5.91E-2</v>
      </c>
      <c r="O2423" s="5">
        <v>39.238999999999997</v>
      </c>
      <c r="P2423" s="6">
        <v>5.3400000000000003E-2</v>
      </c>
      <c r="Q2423" s="5">
        <v>1644865.625</v>
      </c>
      <c r="R2423" s="1" t="s">
        <v>44</v>
      </c>
      <c r="S2423" s="1" t="s">
        <v>94</v>
      </c>
      <c r="T2423" s="1" t="s">
        <v>93</v>
      </c>
      <c r="V2423" s="1" t="s">
        <v>183</v>
      </c>
      <c r="Y2423" s="1" t="s">
        <v>2319</v>
      </c>
      <c r="Z2423" s="1" t="str">
        <f t="shared" si="111"/>
        <v>55116 CT5</v>
      </c>
      <c r="AA2423" s="3">
        <f>IF(INDEX('CAMD Facility Data 2023'!$AA$2:$AE$10000,MATCH(Z2423,'CAMD Facility Data 2023'!$AE$2:$AE$10000,0),1)&gt;0,INDEX('CAMD Facility Data 2023'!$AA$2:$AE$10000,MATCH(Z2423,'CAMD Facility Data 2023'!$AE$2:$AE$10000,0),1),"")</f>
        <v>36725</v>
      </c>
      <c r="AB2423" s="5">
        <f>IF(INDEX('CAMD Facility Data 2023'!$AC$2:$AE$10000,MATCH(Z2423,'CAMD Facility Data 2023'!$AE$2:$AE$10000,0),1)&gt;0,INDEX('CAMD Facility Data 2023'!$AC$2:$AE$10000,MATCH(Z2423,'CAMD Facility Data 2023'!$AE$2:$AE$10000,0),1),"")</f>
        <v>1920</v>
      </c>
      <c r="AC2423" s="1" t="str">
        <f>IF(INDEX('CAMD Facility Data 2023'!$AE$2:$AG$10000,MATCH(Z2423,'CAMD Facility Data 2023'!$AE$2:$AE$10000,0),3)&gt;0,INDEX('CAMD Facility Data 2023'!$AE$2:$AG$10000,MATCH(Z2423,'CAMD Facility Data 2023'!$AE$2:$AE$10000,0),3),"")</f>
        <v/>
      </c>
      <c r="AD2423" s="20">
        <f t="shared" si="112"/>
        <v>0.50786673128628745</v>
      </c>
      <c r="AE2423" s="25">
        <f t="shared" si="113"/>
        <v>9.779690026874048E-2</v>
      </c>
    </row>
    <row r="2424" spans="1:31" x14ac:dyDescent="0.2">
      <c r="A2424" s="1" t="s">
        <v>1426</v>
      </c>
      <c r="B2424" s="1" t="s">
        <v>5673</v>
      </c>
      <c r="C2424" s="1">
        <v>55117</v>
      </c>
      <c r="D2424" s="1" t="s">
        <v>5674</v>
      </c>
      <c r="F2424" s="1">
        <v>2023</v>
      </c>
      <c r="G2424" s="5">
        <v>6528</v>
      </c>
      <c r="H2424" s="5">
        <v>6519.07</v>
      </c>
      <c r="I2424" s="5">
        <v>1150276.71</v>
      </c>
      <c r="K2424" s="5">
        <v>3.2989999999999999</v>
      </c>
      <c r="L2424" s="5">
        <v>1E-3</v>
      </c>
      <c r="M2424" s="5">
        <v>653569.19499999995</v>
      </c>
      <c r="N2424" s="6">
        <v>5.8999999999999997E-2</v>
      </c>
      <c r="O2424" s="5">
        <v>305.11799999999999</v>
      </c>
      <c r="P2424" s="6">
        <v>5.4699999999999999E-2</v>
      </c>
      <c r="Q2424" s="5">
        <v>10997540.569</v>
      </c>
      <c r="R2424" s="1" t="s">
        <v>44</v>
      </c>
      <c r="T2424" s="1" t="s">
        <v>71</v>
      </c>
      <c r="V2424" s="1" t="s">
        <v>64</v>
      </c>
      <c r="Y2424" s="1" t="s">
        <v>1428</v>
      </c>
      <c r="Z2424" s="1" t="str">
        <f t="shared" si="111"/>
        <v>55117 RS-5</v>
      </c>
      <c r="AA2424" s="3">
        <f>IF(INDEX('CAMD Facility Data 2023'!$AA$2:$AE$10000,MATCH(Z2424,'CAMD Facility Data 2023'!$AE$2:$AE$10000,0),1)&gt;0,INDEX('CAMD Facility Data 2023'!$AA$2:$AE$10000,MATCH(Z2424,'CAMD Facility Data 2023'!$AE$2:$AE$10000,0),1),"")</f>
        <v>37407</v>
      </c>
      <c r="AB2424" s="5">
        <f>IF(INDEX('CAMD Facility Data 2023'!$AC$2:$AE$10000,MATCH(Z2424,'CAMD Facility Data 2023'!$AE$2:$AE$10000,0),1)&gt;0,INDEX('CAMD Facility Data 2023'!$AC$2:$AE$10000,MATCH(Z2424,'CAMD Facility Data 2023'!$AE$2:$AE$10000,0),1),"")</f>
        <v>2155</v>
      </c>
      <c r="AC2424" s="1" t="str">
        <f>IF(INDEX('CAMD Facility Data 2023'!$AE$2:$AG$10000,MATCH(Z2424,'CAMD Facility Data 2023'!$AE$2:$AE$10000,0),3)&gt;0,INDEX('CAMD Facility Data 2023'!$AE$2:$AG$10000,MATCH(Z2424,'CAMD Facility Data 2023'!$AE$2:$AE$10000,0),3),"")</f>
        <v>Y</v>
      </c>
      <c r="AD2424" s="20">
        <f t="shared" si="112"/>
        <v>0.530512349502408</v>
      </c>
      <c r="AE2424" s="25">
        <f t="shared" si="113"/>
        <v>0.58256473577429579</v>
      </c>
    </row>
    <row r="2425" spans="1:31" x14ac:dyDescent="0.2">
      <c r="A2425" s="1" t="s">
        <v>1426</v>
      </c>
      <c r="B2425" s="1" t="s">
        <v>5673</v>
      </c>
      <c r="C2425" s="1">
        <v>55117</v>
      </c>
      <c r="D2425" s="1" t="s">
        <v>5678</v>
      </c>
      <c r="F2425" s="1">
        <v>2023</v>
      </c>
      <c r="G2425" s="5">
        <v>6292</v>
      </c>
      <c r="H2425" s="5">
        <v>6287.99</v>
      </c>
      <c r="I2425" s="5">
        <v>1017752.03</v>
      </c>
      <c r="K2425" s="5">
        <v>3.1840000000000002</v>
      </c>
      <c r="L2425" s="5">
        <v>1E-3</v>
      </c>
      <c r="M2425" s="5">
        <v>630667.85400000005</v>
      </c>
      <c r="N2425" s="6">
        <v>5.8999999999999997E-2</v>
      </c>
      <c r="O2425" s="5">
        <v>355.89600000000002</v>
      </c>
      <c r="P2425" s="6">
        <v>6.7100000000000007E-2</v>
      </c>
      <c r="Q2425" s="5">
        <v>10612253.122</v>
      </c>
      <c r="R2425" s="1" t="s">
        <v>44</v>
      </c>
      <c r="T2425" s="1" t="s">
        <v>71</v>
      </c>
      <c r="V2425" s="1" t="s">
        <v>64</v>
      </c>
      <c r="Y2425" s="1" t="s">
        <v>1428</v>
      </c>
      <c r="Z2425" s="1" t="str">
        <f t="shared" si="111"/>
        <v>55117 RS-6</v>
      </c>
      <c r="AA2425" s="3">
        <f>IF(INDEX('CAMD Facility Data 2023'!$AA$2:$AE$10000,MATCH(Z2425,'CAMD Facility Data 2023'!$AE$2:$AE$10000,0),1)&gt;0,INDEX('CAMD Facility Data 2023'!$AA$2:$AE$10000,MATCH(Z2425,'CAMD Facility Data 2023'!$AE$2:$AE$10000,0),1),"")</f>
        <v>37413</v>
      </c>
      <c r="AB2425" s="5">
        <f>IF(INDEX('CAMD Facility Data 2023'!$AC$2:$AE$10000,MATCH(Z2425,'CAMD Facility Data 2023'!$AE$2:$AE$10000,0),1)&gt;0,INDEX('CAMD Facility Data 2023'!$AC$2:$AE$10000,MATCH(Z2425,'CAMD Facility Data 2023'!$AE$2:$AE$10000,0),1),"")</f>
        <v>2155</v>
      </c>
      <c r="AC2425" s="1" t="str">
        <f>IF(INDEX('CAMD Facility Data 2023'!$AE$2:$AG$10000,MATCH(Z2425,'CAMD Facility Data 2023'!$AE$2:$AE$10000,0),3)&gt;0,INDEX('CAMD Facility Data 2023'!$AE$2:$AG$10000,MATCH(Z2425,'CAMD Facility Data 2023'!$AE$2:$AE$10000,0),3),"")</f>
        <v>Y</v>
      </c>
      <c r="AD2425" s="20">
        <f t="shared" si="112"/>
        <v>0.69937664481985851</v>
      </c>
      <c r="AE2425" s="25">
        <f t="shared" si="113"/>
        <v>0.56215518344298587</v>
      </c>
    </row>
    <row r="2426" spans="1:31" x14ac:dyDescent="0.2">
      <c r="A2426" s="1" t="s">
        <v>383</v>
      </c>
      <c r="B2426" s="1" t="s">
        <v>5680</v>
      </c>
      <c r="C2426" s="1">
        <v>55120</v>
      </c>
      <c r="D2426" s="1" t="s">
        <v>5681</v>
      </c>
      <c r="F2426" s="1">
        <v>2023</v>
      </c>
      <c r="G2426" s="5">
        <v>6421</v>
      </c>
      <c r="H2426" s="5">
        <v>6416.32</v>
      </c>
      <c r="I2426" s="5">
        <v>1404564.7</v>
      </c>
      <c r="K2426" s="5">
        <v>3.2730000000000001</v>
      </c>
      <c r="L2426" s="5">
        <v>1E-3</v>
      </c>
      <c r="M2426" s="5">
        <v>708758.01800000004</v>
      </c>
      <c r="N2426" s="6">
        <v>6.5299999999999997E-2</v>
      </c>
      <c r="O2426" s="5">
        <v>81.777000000000001</v>
      </c>
      <c r="P2426" s="6">
        <v>1.5599999999999999E-2</v>
      </c>
      <c r="Q2426" s="5">
        <v>10910934.562000001</v>
      </c>
      <c r="R2426" s="1" t="s">
        <v>44</v>
      </c>
      <c r="S2426" s="1" t="s">
        <v>1432</v>
      </c>
      <c r="T2426" s="1" t="s">
        <v>71</v>
      </c>
      <c r="V2426" s="1" t="s">
        <v>64</v>
      </c>
      <c r="Y2426" s="1" t="s">
        <v>346</v>
      </c>
      <c r="Z2426" s="1" t="str">
        <f t="shared" si="111"/>
        <v>55120 CTG-1</v>
      </c>
      <c r="AA2426" s="3">
        <f>IF(INDEX('CAMD Facility Data 2023'!$AA$2:$AE$10000,MATCH(Z2426,'CAMD Facility Data 2023'!$AE$2:$AE$10000,0),1)&gt;0,INDEX('CAMD Facility Data 2023'!$AA$2:$AE$10000,MATCH(Z2426,'CAMD Facility Data 2023'!$AE$2:$AE$10000,0),1),"")</f>
        <v>37090</v>
      </c>
      <c r="AB2426" s="5">
        <f>IF(INDEX('CAMD Facility Data 2023'!$AC$2:$AE$10000,MATCH(Z2426,'CAMD Facility Data 2023'!$AE$2:$AE$10000,0),1)&gt;0,INDEX('CAMD Facility Data 2023'!$AC$2:$AE$10000,MATCH(Z2426,'CAMD Facility Data 2023'!$AE$2:$AE$10000,0),1),"")</f>
        <v>2250</v>
      </c>
      <c r="AC2426" s="1" t="str">
        <f>IF(INDEX('CAMD Facility Data 2023'!$AE$2:$AG$10000,MATCH(Z2426,'CAMD Facility Data 2023'!$AE$2:$AE$10000,0),3)&gt;0,INDEX('CAMD Facility Data 2023'!$AE$2:$AG$10000,MATCH(Z2426,'CAMD Facility Data 2023'!$AE$2:$AE$10000,0),3),"")</f>
        <v>Y</v>
      </c>
      <c r="AD2426" s="20">
        <f t="shared" si="112"/>
        <v>0.11644461803717551</v>
      </c>
      <c r="AE2426" s="25">
        <f t="shared" si="113"/>
        <v>0.55357354449518015</v>
      </c>
    </row>
    <row r="2427" spans="1:31" x14ac:dyDescent="0.2">
      <c r="A2427" s="1" t="s">
        <v>383</v>
      </c>
      <c r="B2427" s="1" t="s">
        <v>5680</v>
      </c>
      <c r="C2427" s="1">
        <v>55120</v>
      </c>
      <c r="D2427" s="1" t="s">
        <v>5684</v>
      </c>
      <c r="F2427" s="1">
        <v>2023</v>
      </c>
      <c r="G2427" s="5">
        <v>6133</v>
      </c>
      <c r="H2427" s="5">
        <v>6125.02</v>
      </c>
      <c r="I2427" s="5">
        <v>1274980.1299999999</v>
      </c>
      <c r="K2427" s="5">
        <v>2.988</v>
      </c>
      <c r="L2427" s="5">
        <v>1E-3</v>
      </c>
      <c r="M2427" s="5">
        <v>646225.03399999999</v>
      </c>
      <c r="N2427" s="6">
        <v>6.5199999999999994E-2</v>
      </c>
      <c r="O2427" s="5">
        <v>89.564999999999998</v>
      </c>
      <c r="P2427" s="6">
        <v>1.8499999999999999E-2</v>
      </c>
      <c r="Q2427" s="5">
        <v>9960933.3939999994</v>
      </c>
      <c r="R2427" s="1" t="s">
        <v>44</v>
      </c>
      <c r="S2427" s="1" t="s">
        <v>1432</v>
      </c>
      <c r="T2427" s="1" t="s">
        <v>71</v>
      </c>
      <c r="V2427" s="1" t="s">
        <v>64</v>
      </c>
      <c r="Y2427" s="1" t="s">
        <v>346</v>
      </c>
      <c r="Z2427" s="1" t="str">
        <f t="shared" si="111"/>
        <v>55120 CTG-2</v>
      </c>
      <c r="AA2427" s="3">
        <f>IF(INDEX('CAMD Facility Data 2023'!$AA$2:$AE$10000,MATCH(Z2427,'CAMD Facility Data 2023'!$AE$2:$AE$10000,0),1)&gt;0,INDEX('CAMD Facility Data 2023'!$AA$2:$AE$10000,MATCH(Z2427,'CAMD Facility Data 2023'!$AE$2:$AE$10000,0),1),"")</f>
        <v>37114</v>
      </c>
      <c r="AB2427" s="5">
        <f>IF(INDEX('CAMD Facility Data 2023'!$AC$2:$AE$10000,MATCH(Z2427,'CAMD Facility Data 2023'!$AE$2:$AE$10000,0),1)&gt;0,INDEX('CAMD Facility Data 2023'!$AC$2:$AE$10000,MATCH(Z2427,'CAMD Facility Data 2023'!$AE$2:$AE$10000,0),1),"")</f>
        <v>2170</v>
      </c>
      <c r="AC2427" s="1" t="str">
        <f>IF(INDEX('CAMD Facility Data 2023'!$AE$2:$AG$10000,MATCH(Z2427,'CAMD Facility Data 2023'!$AE$2:$AE$10000,0),3)&gt;0,INDEX('CAMD Facility Data 2023'!$AE$2:$AG$10000,MATCH(Z2427,'CAMD Facility Data 2023'!$AE$2:$AE$10000,0),3),"")</f>
        <v>Y</v>
      </c>
      <c r="AD2427" s="20">
        <f t="shared" si="112"/>
        <v>0.14049630718558728</v>
      </c>
      <c r="AE2427" s="25">
        <f t="shared" si="113"/>
        <v>0.52400592313195715</v>
      </c>
    </row>
    <row r="2428" spans="1:31" x14ac:dyDescent="0.2">
      <c r="A2428" s="1" t="s">
        <v>383</v>
      </c>
      <c r="B2428" s="1" t="s">
        <v>5686</v>
      </c>
      <c r="C2428" s="1">
        <v>55123</v>
      </c>
      <c r="D2428" s="1" t="s">
        <v>5681</v>
      </c>
      <c r="F2428" s="1">
        <v>2023</v>
      </c>
      <c r="G2428" s="5">
        <v>5084</v>
      </c>
      <c r="H2428" s="5">
        <v>5043.6000000000004</v>
      </c>
      <c r="I2428" s="5">
        <v>1516571.11</v>
      </c>
      <c r="K2428" s="5">
        <v>3.0150000000000001</v>
      </c>
      <c r="L2428" s="5">
        <v>1E-3</v>
      </c>
      <c r="M2428" s="5">
        <v>597241.32799999998</v>
      </c>
      <c r="N2428" s="6">
        <v>5.8999999999999997E-2</v>
      </c>
      <c r="O2428" s="5">
        <v>79.858999999999995</v>
      </c>
      <c r="P2428" s="6">
        <v>1.7600000000000001E-2</v>
      </c>
      <c r="Q2428" s="5">
        <v>10049661.416999999</v>
      </c>
      <c r="R2428" s="1" t="s">
        <v>44</v>
      </c>
      <c r="T2428" s="1" t="s">
        <v>71</v>
      </c>
      <c r="V2428" s="1" t="s">
        <v>223</v>
      </c>
      <c r="Y2428" s="1" t="s">
        <v>346</v>
      </c>
      <c r="Z2428" s="1" t="str">
        <f t="shared" si="111"/>
        <v>55123 CTG-1</v>
      </c>
      <c r="AA2428" s="3">
        <f>IF(INDEX('CAMD Facility Data 2023'!$AA$2:$AE$10000,MATCH(Z2428,'CAMD Facility Data 2023'!$AE$2:$AE$10000,0),1)&gt;0,INDEX('CAMD Facility Data 2023'!$AA$2:$AE$10000,MATCH(Z2428,'CAMD Facility Data 2023'!$AE$2:$AE$10000,0),1),"")</f>
        <v>37101</v>
      </c>
      <c r="AB2428" s="5">
        <f>IF(INDEX('CAMD Facility Data 2023'!$AC$2:$AE$10000,MATCH(Z2428,'CAMD Facility Data 2023'!$AE$2:$AE$10000,0),1)&gt;0,INDEX('CAMD Facility Data 2023'!$AC$2:$AE$10000,MATCH(Z2428,'CAMD Facility Data 2023'!$AE$2:$AE$10000,0),1),"")</f>
        <v>2700</v>
      </c>
      <c r="AC2428" s="1" t="str">
        <f>IF(INDEX('CAMD Facility Data 2023'!$AE$2:$AG$10000,MATCH(Z2428,'CAMD Facility Data 2023'!$AE$2:$AE$10000,0),3)&gt;0,INDEX('CAMD Facility Data 2023'!$AE$2:$AG$10000,MATCH(Z2428,'CAMD Facility Data 2023'!$AE$2:$AE$10000,0),3),"")</f>
        <v>Y</v>
      </c>
      <c r="AD2428" s="20">
        <f t="shared" si="112"/>
        <v>0.10531520674952062</v>
      </c>
      <c r="AE2428" s="25">
        <f t="shared" si="113"/>
        <v>0.42489689738711311</v>
      </c>
    </row>
    <row r="2429" spans="1:31" x14ac:dyDescent="0.2">
      <c r="A2429" s="1" t="s">
        <v>383</v>
      </c>
      <c r="B2429" s="1" t="s">
        <v>5686</v>
      </c>
      <c r="C2429" s="1">
        <v>55123</v>
      </c>
      <c r="D2429" s="1" t="s">
        <v>5684</v>
      </c>
      <c r="F2429" s="1">
        <v>2023</v>
      </c>
      <c r="G2429" s="5">
        <v>5557</v>
      </c>
      <c r="H2429" s="5">
        <v>5511.58</v>
      </c>
      <c r="I2429" s="5">
        <v>1647587.54</v>
      </c>
      <c r="K2429" s="5">
        <v>3.3010000000000002</v>
      </c>
      <c r="L2429" s="5">
        <v>1E-3</v>
      </c>
      <c r="M2429" s="5">
        <v>653911.15500000003</v>
      </c>
      <c r="N2429" s="6">
        <v>5.8999999999999997E-2</v>
      </c>
      <c r="O2429" s="5">
        <v>99.962999999999994</v>
      </c>
      <c r="P2429" s="6">
        <v>2.0400000000000001E-2</v>
      </c>
      <c r="Q2429" s="5">
        <v>11003215.015000001</v>
      </c>
      <c r="R2429" s="1" t="s">
        <v>44</v>
      </c>
      <c r="T2429" s="1" t="s">
        <v>71</v>
      </c>
      <c r="V2429" s="1" t="s">
        <v>223</v>
      </c>
      <c r="Y2429" s="1" t="s">
        <v>346</v>
      </c>
      <c r="Z2429" s="1" t="str">
        <f t="shared" si="111"/>
        <v>55123 CTG-2</v>
      </c>
      <c r="AA2429" s="3">
        <f>IF(INDEX('CAMD Facility Data 2023'!$AA$2:$AE$10000,MATCH(Z2429,'CAMD Facility Data 2023'!$AE$2:$AE$10000,0),1)&gt;0,INDEX('CAMD Facility Data 2023'!$AA$2:$AE$10000,MATCH(Z2429,'CAMD Facility Data 2023'!$AE$2:$AE$10000,0),1),"")</f>
        <v>37097</v>
      </c>
      <c r="AB2429" s="5">
        <f>IF(INDEX('CAMD Facility Data 2023'!$AC$2:$AE$10000,MATCH(Z2429,'CAMD Facility Data 2023'!$AE$2:$AE$10000,0),1)&gt;0,INDEX('CAMD Facility Data 2023'!$AC$2:$AE$10000,MATCH(Z2429,'CAMD Facility Data 2023'!$AE$2:$AE$10000,0),1),"")</f>
        <v>2700</v>
      </c>
      <c r="AC2429" s="1" t="str">
        <f>IF(INDEX('CAMD Facility Data 2023'!$AE$2:$AG$10000,MATCH(Z2429,'CAMD Facility Data 2023'!$AE$2:$AE$10000,0),3)&gt;0,INDEX('CAMD Facility Data 2023'!$AE$2:$AG$10000,MATCH(Z2429,'CAMD Facility Data 2023'!$AE$2:$AE$10000,0),3),"")</f>
        <v>Y</v>
      </c>
      <c r="AD2429" s="20">
        <f t="shared" si="112"/>
        <v>0.12134469043144135</v>
      </c>
      <c r="AE2429" s="25">
        <f t="shared" si="113"/>
        <v>0.46521287903771352</v>
      </c>
    </row>
    <row r="2430" spans="1:31" x14ac:dyDescent="0.2">
      <c r="A2430" s="1" t="s">
        <v>234</v>
      </c>
      <c r="B2430" s="1" t="s">
        <v>5690</v>
      </c>
      <c r="C2430" s="1">
        <v>55124</v>
      </c>
      <c r="D2430" s="1" t="s">
        <v>5691</v>
      </c>
      <c r="F2430" s="1">
        <v>2023</v>
      </c>
      <c r="G2430" s="5">
        <v>7518</v>
      </c>
      <c r="H2430" s="5">
        <v>7501.39</v>
      </c>
      <c r="I2430" s="5">
        <v>1849298.81</v>
      </c>
      <c r="K2430" s="5">
        <v>3.9129999999999998</v>
      </c>
      <c r="L2430" s="5">
        <v>1E-3</v>
      </c>
      <c r="M2430" s="5">
        <v>775136.43200000003</v>
      </c>
      <c r="N2430" s="6">
        <v>5.8999999999999997E-2</v>
      </c>
      <c r="O2430" s="5">
        <v>57.509</v>
      </c>
      <c r="P2430" s="6">
        <v>9.1999999999999998E-3</v>
      </c>
      <c r="Q2430" s="5">
        <v>13043253.311000001</v>
      </c>
      <c r="R2430" s="1" t="s">
        <v>44</v>
      </c>
      <c r="T2430" s="1" t="s">
        <v>71</v>
      </c>
      <c r="V2430" s="1" t="s">
        <v>64</v>
      </c>
      <c r="Y2430" s="1" t="s">
        <v>247</v>
      </c>
      <c r="Z2430" s="1" t="str">
        <f t="shared" si="111"/>
        <v>55124 P1</v>
      </c>
      <c r="AA2430" s="3">
        <f>IF(INDEX('CAMD Facility Data 2023'!$AA$2:$AE$10000,MATCH(Z2430,'CAMD Facility Data 2023'!$AE$2:$AE$10000,0),1)&gt;0,INDEX('CAMD Facility Data 2023'!$AA$2:$AE$10000,MATCH(Z2430,'CAMD Facility Data 2023'!$AE$2:$AE$10000,0),1),"")</f>
        <v>36997</v>
      </c>
      <c r="AB2430" s="5">
        <f>IF(INDEX('CAMD Facility Data 2023'!$AC$2:$AE$10000,MATCH(Z2430,'CAMD Facility Data 2023'!$AE$2:$AE$10000,0),1)&gt;0,INDEX('CAMD Facility Data 2023'!$AC$2:$AE$10000,MATCH(Z2430,'CAMD Facility Data 2023'!$AE$2:$AE$10000,0),1),"")</f>
        <v>2506</v>
      </c>
      <c r="AC2430" s="1" t="str">
        <f>IF(INDEX('CAMD Facility Data 2023'!$AE$2:$AG$10000,MATCH(Z2430,'CAMD Facility Data 2023'!$AE$2:$AE$10000,0),3)&gt;0,INDEX('CAMD Facility Data 2023'!$AE$2:$AG$10000,MATCH(Z2430,'CAMD Facility Data 2023'!$AE$2:$AE$10000,0),3),"")</f>
        <v>Y</v>
      </c>
      <c r="AD2430" s="20">
        <f t="shared" si="112"/>
        <v>6.2195465318014238E-2</v>
      </c>
      <c r="AE2430" s="25">
        <f t="shared" si="113"/>
        <v>0.5941563676855911</v>
      </c>
    </row>
    <row r="2431" spans="1:31" x14ac:dyDescent="0.2">
      <c r="A2431" s="1" t="s">
        <v>234</v>
      </c>
      <c r="B2431" s="1" t="s">
        <v>5690</v>
      </c>
      <c r="C2431" s="1">
        <v>55124</v>
      </c>
      <c r="D2431" s="1" t="s">
        <v>5696</v>
      </c>
      <c r="F2431" s="1">
        <v>2023</v>
      </c>
      <c r="G2431" s="5">
        <v>7848</v>
      </c>
      <c r="H2431" s="5">
        <v>7823.24</v>
      </c>
      <c r="I2431" s="5">
        <v>1925122.25</v>
      </c>
      <c r="K2431" s="5">
        <v>4.0650000000000004</v>
      </c>
      <c r="L2431" s="5">
        <v>1E-3</v>
      </c>
      <c r="M2431" s="5">
        <v>805140.93099999998</v>
      </c>
      <c r="N2431" s="6">
        <v>5.8999999999999997E-2</v>
      </c>
      <c r="O2431" s="5">
        <v>61.018000000000001</v>
      </c>
      <c r="P2431" s="6">
        <v>9.4999999999999998E-3</v>
      </c>
      <c r="Q2431" s="5">
        <v>13548127.239</v>
      </c>
      <c r="R2431" s="1" t="s">
        <v>44</v>
      </c>
      <c r="T2431" s="1" t="s">
        <v>71</v>
      </c>
      <c r="V2431" s="1" t="s">
        <v>64</v>
      </c>
      <c r="Y2431" s="1" t="s">
        <v>247</v>
      </c>
      <c r="Z2431" s="1" t="str">
        <f t="shared" si="111"/>
        <v>55124 P2</v>
      </c>
      <c r="AA2431" s="3">
        <f>IF(INDEX('CAMD Facility Data 2023'!$AA$2:$AE$10000,MATCH(Z2431,'CAMD Facility Data 2023'!$AE$2:$AE$10000,0),1)&gt;0,INDEX('CAMD Facility Data 2023'!$AA$2:$AE$10000,MATCH(Z2431,'CAMD Facility Data 2023'!$AE$2:$AE$10000,0),1),"")</f>
        <v>36958</v>
      </c>
      <c r="AB2431" s="5">
        <f>IF(INDEX('CAMD Facility Data 2023'!$AC$2:$AE$10000,MATCH(Z2431,'CAMD Facility Data 2023'!$AE$2:$AE$10000,0),1)&gt;0,INDEX('CAMD Facility Data 2023'!$AC$2:$AE$10000,MATCH(Z2431,'CAMD Facility Data 2023'!$AE$2:$AE$10000,0),1),"")</f>
        <v>2506</v>
      </c>
      <c r="AC2431" s="1" t="str">
        <f>IF(INDEX('CAMD Facility Data 2023'!$AE$2:$AG$10000,MATCH(Z2431,'CAMD Facility Data 2023'!$AE$2:$AE$10000,0),3)&gt;0,INDEX('CAMD Facility Data 2023'!$AE$2:$AG$10000,MATCH(Z2431,'CAMD Facility Data 2023'!$AE$2:$AE$10000,0),3),"")</f>
        <v>Y</v>
      </c>
      <c r="AD2431" s="20">
        <f t="shared" si="112"/>
        <v>6.3391298916211689E-2</v>
      </c>
      <c r="AE2431" s="25">
        <f t="shared" si="113"/>
        <v>0.61715477552504128</v>
      </c>
    </row>
    <row r="2432" spans="1:31" x14ac:dyDescent="0.2">
      <c r="A2432" s="1" t="s">
        <v>577</v>
      </c>
      <c r="B2432" s="1" t="s">
        <v>5698</v>
      </c>
      <c r="C2432" s="1">
        <v>55126</v>
      </c>
      <c r="D2432" s="1" t="s">
        <v>993</v>
      </c>
      <c r="F2432" s="1">
        <v>2023</v>
      </c>
      <c r="G2432" s="5">
        <v>7778</v>
      </c>
      <c r="H2432" s="5">
        <v>7716.97</v>
      </c>
      <c r="I2432" s="5">
        <v>1803093.72</v>
      </c>
      <c r="K2432" s="5">
        <v>3.9620000000000002</v>
      </c>
      <c r="L2432" s="5">
        <v>1E-3</v>
      </c>
      <c r="M2432" s="5">
        <v>784881.82799999998</v>
      </c>
      <c r="N2432" s="6">
        <v>5.8999999999999997E-2</v>
      </c>
      <c r="O2432" s="5">
        <v>47.993000000000002</v>
      </c>
      <c r="P2432" s="6">
        <v>1.0999999999999999E-2</v>
      </c>
      <c r="Q2432" s="5">
        <v>13207193.543</v>
      </c>
      <c r="R2432" s="1" t="s">
        <v>44</v>
      </c>
      <c r="S2432" s="1" t="s">
        <v>94</v>
      </c>
      <c r="T2432" s="1" t="s">
        <v>71</v>
      </c>
      <c r="V2432" s="1" t="s">
        <v>176</v>
      </c>
      <c r="Y2432" s="1" t="s">
        <v>579</v>
      </c>
      <c r="Z2432" s="1" t="str">
        <f t="shared" si="111"/>
        <v>55126 CT01</v>
      </c>
      <c r="AA2432" s="3">
        <f>IF(INDEX('CAMD Facility Data 2023'!$AA$2:$AE$10000,MATCH(Z2432,'CAMD Facility Data 2023'!$AE$2:$AE$10000,0),1)&gt;0,INDEX('CAMD Facility Data 2023'!$AA$2:$AE$10000,MATCH(Z2432,'CAMD Facility Data 2023'!$AE$2:$AE$10000,0),1),"")</f>
        <v>37405</v>
      </c>
      <c r="AB2432" s="5">
        <f>IF(INDEX('CAMD Facility Data 2023'!$AC$2:$AE$10000,MATCH(Z2432,'CAMD Facility Data 2023'!$AE$2:$AE$10000,0),1)&gt;0,INDEX('CAMD Facility Data 2023'!$AC$2:$AE$10000,MATCH(Z2432,'CAMD Facility Data 2023'!$AE$2:$AE$10000,0),1),"")</f>
        <v>2180</v>
      </c>
      <c r="AC2432" s="1" t="str">
        <f>IF(INDEX('CAMD Facility Data 2023'!$AE$2:$AG$10000,MATCH(Z2432,'CAMD Facility Data 2023'!$AE$2:$AE$10000,0),3)&gt;0,INDEX('CAMD Facility Data 2023'!$AE$2:$AG$10000,MATCH(Z2432,'CAMD Facility Data 2023'!$AE$2:$AE$10000,0),3),"")</f>
        <v>Y</v>
      </c>
      <c r="AD2432" s="20">
        <f t="shared" si="112"/>
        <v>5.323406040147486E-2</v>
      </c>
      <c r="AE2432" s="25">
        <f t="shared" si="113"/>
        <v>0.69159197053956678</v>
      </c>
    </row>
    <row r="2433" spans="1:31" x14ac:dyDescent="0.2">
      <c r="A2433" s="1" t="s">
        <v>577</v>
      </c>
      <c r="B2433" s="1" t="s">
        <v>5698</v>
      </c>
      <c r="C2433" s="1">
        <v>55126</v>
      </c>
      <c r="D2433" s="1" t="s">
        <v>998</v>
      </c>
      <c r="F2433" s="1">
        <v>2023</v>
      </c>
      <c r="G2433" s="5">
        <v>7958</v>
      </c>
      <c r="H2433" s="5">
        <v>7899.51</v>
      </c>
      <c r="I2433" s="5">
        <v>1848695.03</v>
      </c>
      <c r="K2433" s="5">
        <v>3.9649999999999999</v>
      </c>
      <c r="L2433" s="5">
        <v>1E-3</v>
      </c>
      <c r="M2433" s="5">
        <v>785385.45700000005</v>
      </c>
      <c r="N2433" s="6">
        <v>5.8999999999999997E-2</v>
      </c>
      <c r="O2433" s="5">
        <v>45.875</v>
      </c>
      <c r="P2433" s="6">
        <v>9.9000000000000008E-3</v>
      </c>
      <c r="Q2433" s="5">
        <v>13215649.186000001</v>
      </c>
      <c r="R2433" s="1" t="s">
        <v>44</v>
      </c>
      <c r="S2433" s="1" t="s">
        <v>94</v>
      </c>
      <c r="T2433" s="1" t="s">
        <v>71</v>
      </c>
      <c r="V2433" s="1" t="s">
        <v>176</v>
      </c>
      <c r="Y2433" s="1" t="s">
        <v>579</v>
      </c>
      <c r="Z2433" s="1" t="str">
        <f t="shared" si="111"/>
        <v>55126 CT02</v>
      </c>
      <c r="AA2433" s="3">
        <f>IF(INDEX('CAMD Facility Data 2023'!$AA$2:$AE$10000,MATCH(Z2433,'CAMD Facility Data 2023'!$AE$2:$AE$10000,0),1)&gt;0,INDEX('CAMD Facility Data 2023'!$AA$2:$AE$10000,MATCH(Z2433,'CAMD Facility Data 2023'!$AE$2:$AE$10000,0),1),"")</f>
        <v>37323</v>
      </c>
      <c r="AB2433" s="5">
        <f>IF(INDEX('CAMD Facility Data 2023'!$AC$2:$AE$10000,MATCH(Z2433,'CAMD Facility Data 2023'!$AE$2:$AE$10000,0),1)&gt;0,INDEX('CAMD Facility Data 2023'!$AC$2:$AE$10000,MATCH(Z2433,'CAMD Facility Data 2023'!$AE$2:$AE$10000,0),1),"")</f>
        <v>2180</v>
      </c>
      <c r="AC2433" s="1" t="str">
        <f>IF(INDEX('CAMD Facility Data 2023'!$AE$2:$AG$10000,MATCH(Z2433,'CAMD Facility Data 2023'!$AE$2:$AE$10000,0),3)&gt;0,INDEX('CAMD Facility Data 2023'!$AE$2:$AG$10000,MATCH(Z2433,'CAMD Facility Data 2023'!$AE$2:$AE$10000,0),3),"")</f>
        <v>Y</v>
      </c>
      <c r="AD2433" s="20">
        <f t="shared" si="112"/>
        <v>4.9629602779859262E-2</v>
      </c>
      <c r="AE2433" s="25">
        <f t="shared" si="113"/>
        <v>0.69203474854425873</v>
      </c>
    </row>
    <row r="2434" spans="1:31" x14ac:dyDescent="0.2">
      <c r="A2434" s="1" t="s">
        <v>516</v>
      </c>
      <c r="B2434" s="1" t="s">
        <v>5702</v>
      </c>
      <c r="C2434" s="1">
        <v>55127</v>
      </c>
      <c r="D2434" s="1" t="s">
        <v>311</v>
      </c>
      <c r="F2434" s="1">
        <v>2023</v>
      </c>
      <c r="G2434" s="5">
        <v>1527</v>
      </c>
      <c r="H2434" s="5">
        <v>1469.15</v>
      </c>
      <c r="I2434" s="5">
        <v>157611.26</v>
      </c>
      <c r="K2434" s="5">
        <v>0.50700000000000001</v>
      </c>
      <c r="L2434" s="5">
        <v>1E-3</v>
      </c>
      <c r="M2434" s="5">
        <v>100384.724</v>
      </c>
      <c r="N2434" s="6">
        <v>5.91E-2</v>
      </c>
      <c r="O2434" s="5">
        <v>46.158000000000001</v>
      </c>
      <c r="P2434" s="6">
        <v>5.7099999999999998E-2</v>
      </c>
      <c r="Q2434" s="5">
        <v>1689132.4</v>
      </c>
      <c r="R2434" s="1" t="s">
        <v>44</v>
      </c>
      <c r="T2434" s="1" t="s">
        <v>93</v>
      </c>
      <c r="V2434" s="1" t="s">
        <v>140</v>
      </c>
      <c r="Y2434" s="1" t="s">
        <v>247</v>
      </c>
      <c r="Z2434" s="1" t="str">
        <f t="shared" si="111"/>
        <v>55127 CT1</v>
      </c>
      <c r="AA2434" s="3">
        <f>IF(INDEX('CAMD Facility Data 2023'!$AA$2:$AE$10000,MATCH(Z2434,'CAMD Facility Data 2023'!$AE$2:$AE$10000,0),1)&gt;0,INDEX('CAMD Facility Data 2023'!$AA$2:$AE$10000,MATCH(Z2434,'CAMD Facility Data 2023'!$AE$2:$AE$10000,0),1),"")</f>
        <v>36721</v>
      </c>
      <c r="AB2434" s="5">
        <f>IF(INDEX('CAMD Facility Data 2023'!$AC$2:$AE$10000,MATCH(Z2434,'CAMD Facility Data 2023'!$AE$2:$AE$10000,0),1)&gt;0,INDEX('CAMD Facility Data 2023'!$AC$2:$AE$10000,MATCH(Z2434,'CAMD Facility Data 2023'!$AE$2:$AE$10000,0),1),"")</f>
        <v>1520</v>
      </c>
      <c r="AC2434" s="1" t="str">
        <f>IF(INDEX('CAMD Facility Data 2023'!$AE$2:$AG$10000,MATCH(Z2434,'CAMD Facility Data 2023'!$AE$2:$AE$10000,0),3)&gt;0,INDEX('CAMD Facility Data 2023'!$AE$2:$AG$10000,MATCH(Z2434,'CAMD Facility Data 2023'!$AE$2:$AE$10000,0),3),"")</f>
        <v/>
      </c>
      <c r="AD2434" s="20">
        <f t="shared" si="112"/>
        <v>0.5857195735888413</v>
      </c>
      <c r="AE2434" s="25">
        <f t="shared" si="113"/>
        <v>0.12685745614035088</v>
      </c>
    </row>
    <row r="2435" spans="1:31" x14ac:dyDescent="0.2">
      <c r="A2435" s="1" t="s">
        <v>516</v>
      </c>
      <c r="B2435" s="1" t="s">
        <v>5702</v>
      </c>
      <c r="C2435" s="1">
        <v>55127</v>
      </c>
      <c r="D2435" s="1" t="s">
        <v>98</v>
      </c>
      <c r="F2435" s="1">
        <v>2023</v>
      </c>
      <c r="G2435" s="5">
        <v>1909</v>
      </c>
      <c r="H2435" s="5">
        <v>1845.94</v>
      </c>
      <c r="I2435" s="5">
        <v>202384.63</v>
      </c>
      <c r="K2435" s="5">
        <v>0.63900000000000001</v>
      </c>
      <c r="L2435" s="5">
        <v>1E-3</v>
      </c>
      <c r="M2435" s="5">
        <v>126534.401</v>
      </c>
      <c r="N2435" s="6">
        <v>5.91E-2</v>
      </c>
      <c r="O2435" s="5">
        <v>48.396999999999998</v>
      </c>
      <c r="P2435" s="6">
        <v>4.8000000000000001E-2</v>
      </c>
      <c r="Q2435" s="5">
        <v>2129223.3990000002</v>
      </c>
      <c r="R2435" s="1" t="s">
        <v>44</v>
      </c>
      <c r="T2435" s="1" t="s">
        <v>93</v>
      </c>
      <c r="V2435" s="1" t="s">
        <v>140</v>
      </c>
      <c r="Y2435" s="1" t="s">
        <v>247</v>
      </c>
      <c r="Z2435" s="1" t="str">
        <f t="shared" ref="Z2435:Z2498" si="114">C2435&amp;" "&amp;D2435</f>
        <v>55127 CT2</v>
      </c>
      <c r="AA2435" s="3">
        <f>IF(INDEX('CAMD Facility Data 2023'!$AA$2:$AE$10000,MATCH(Z2435,'CAMD Facility Data 2023'!$AE$2:$AE$10000,0),1)&gt;0,INDEX('CAMD Facility Data 2023'!$AA$2:$AE$10000,MATCH(Z2435,'CAMD Facility Data 2023'!$AE$2:$AE$10000,0),1),"")</f>
        <v>36728</v>
      </c>
      <c r="AB2435" s="5">
        <f>IF(INDEX('CAMD Facility Data 2023'!$AC$2:$AE$10000,MATCH(Z2435,'CAMD Facility Data 2023'!$AE$2:$AE$10000,0),1)&gt;0,INDEX('CAMD Facility Data 2023'!$AC$2:$AE$10000,MATCH(Z2435,'CAMD Facility Data 2023'!$AE$2:$AE$10000,0),1),"")</f>
        <v>1553</v>
      </c>
      <c r="AC2435" s="1" t="str">
        <f>IF(INDEX('CAMD Facility Data 2023'!$AE$2:$AG$10000,MATCH(Z2435,'CAMD Facility Data 2023'!$AE$2:$AE$10000,0),3)&gt;0,INDEX('CAMD Facility Data 2023'!$AE$2:$AG$10000,MATCH(Z2435,'CAMD Facility Data 2023'!$AE$2:$AE$10000,0),3),"")</f>
        <v/>
      </c>
      <c r="AD2435" s="20">
        <f t="shared" ref="AD2435:AD2498" si="115">IF(ISNUMBER(O2435*2000/I2435),O2435*2000/I2435,"")</f>
        <v>0.47826754432883561</v>
      </c>
      <c r="AE2435" s="25">
        <f t="shared" ref="AE2435:AE2498" si="116">Q2435/(AB2435*8760)</f>
        <v>0.15651128902080819</v>
      </c>
    </row>
    <row r="2436" spans="1:31" x14ac:dyDescent="0.2">
      <c r="A2436" s="1" t="s">
        <v>921</v>
      </c>
      <c r="B2436" s="1" t="s">
        <v>5705</v>
      </c>
      <c r="C2436" s="1">
        <v>55128</v>
      </c>
      <c r="D2436" s="1" t="s">
        <v>5642</v>
      </c>
      <c r="F2436" s="1">
        <v>2023</v>
      </c>
      <c r="G2436" s="5">
        <v>630</v>
      </c>
      <c r="H2436" s="5">
        <v>577.67999999999995</v>
      </c>
      <c r="I2436" s="5">
        <v>83970.240000000005</v>
      </c>
      <c r="K2436" s="5">
        <v>0.25900000000000001</v>
      </c>
      <c r="L2436" s="5">
        <v>1E-3</v>
      </c>
      <c r="M2436" s="5">
        <v>51267.567999999999</v>
      </c>
      <c r="N2436" s="6">
        <v>5.8999999999999997E-2</v>
      </c>
      <c r="O2436" s="5">
        <v>19.995000000000001</v>
      </c>
      <c r="P2436" s="6">
        <v>5.0500000000000003E-2</v>
      </c>
      <c r="Q2436" s="5">
        <v>862647.01899999997</v>
      </c>
      <c r="R2436" s="1" t="s">
        <v>44</v>
      </c>
      <c r="T2436" s="1" t="s">
        <v>93</v>
      </c>
      <c r="V2436" s="1" t="s">
        <v>140</v>
      </c>
      <c r="Y2436" s="1" t="s">
        <v>952</v>
      </c>
      <c r="Z2436" s="1" t="str">
        <f t="shared" si="114"/>
        <v>55128 T1</v>
      </c>
      <c r="AA2436" s="3">
        <f>IF(INDEX('CAMD Facility Data 2023'!$AA$2:$AE$10000,MATCH(Z2436,'CAMD Facility Data 2023'!$AE$2:$AE$10000,0),1)&gt;0,INDEX('CAMD Facility Data 2023'!$AA$2:$AE$10000,MATCH(Z2436,'CAMD Facility Data 2023'!$AE$2:$AE$10000,0),1),"")</f>
        <v>37004</v>
      </c>
      <c r="AB2436" s="5">
        <f>IF(INDEX('CAMD Facility Data 2023'!$AC$2:$AE$10000,MATCH(Z2436,'CAMD Facility Data 2023'!$AE$2:$AE$10000,0),1)&gt;0,INDEX('CAMD Facility Data 2023'!$AC$2:$AE$10000,MATCH(Z2436,'CAMD Facility Data 2023'!$AE$2:$AE$10000,0),1),"")</f>
        <v>1809</v>
      </c>
      <c r="AC2436" s="1" t="str">
        <f>IF(INDEX('CAMD Facility Data 2023'!$AE$2:$AG$10000,MATCH(Z2436,'CAMD Facility Data 2023'!$AE$2:$AE$10000,0),3)&gt;0,INDEX('CAMD Facility Data 2023'!$AE$2:$AG$10000,MATCH(Z2436,'CAMD Facility Data 2023'!$AE$2:$AE$10000,0),3),"")</f>
        <v/>
      </c>
      <c r="AD2436" s="20">
        <f t="shared" si="115"/>
        <v>0.47624015365443756</v>
      </c>
      <c r="AE2436" s="25">
        <f t="shared" si="116"/>
        <v>5.4436532393840033E-2</v>
      </c>
    </row>
    <row r="2437" spans="1:31" x14ac:dyDescent="0.2">
      <c r="A2437" s="1" t="s">
        <v>921</v>
      </c>
      <c r="B2437" s="1" t="s">
        <v>5705</v>
      </c>
      <c r="C2437" s="1">
        <v>55128</v>
      </c>
      <c r="D2437" s="1" t="s">
        <v>5647</v>
      </c>
      <c r="F2437" s="1">
        <v>2023</v>
      </c>
      <c r="G2437" s="5">
        <v>658</v>
      </c>
      <c r="H2437" s="5">
        <v>592.69000000000005</v>
      </c>
      <c r="I2437" s="5">
        <v>85410.11</v>
      </c>
      <c r="K2437" s="5">
        <v>0.26100000000000001</v>
      </c>
      <c r="L2437" s="5">
        <v>1E-3</v>
      </c>
      <c r="M2437" s="5">
        <v>51774.042000000001</v>
      </c>
      <c r="N2437" s="6">
        <v>5.8999999999999997E-2</v>
      </c>
      <c r="O2437" s="5">
        <v>27.373000000000001</v>
      </c>
      <c r="P2437" s="6">
        <v>6.7199999999999996E-2</v>
      </c>
      <c r="Q2437" s="5">
        <v>871195.38</v>
      </c>
      <c r="R2437" s="1" t="s">
        <v>44</v>
      </c>
      <c r="T2437" s="1" t="s">
        <v>93</v>
      </c>
      <c r="V2437" s="1" t="s">
        <v>140</v>
      </c>
      <c r="Y2437" s="1" t="s">
        <v>952</v>
      </c>
      <c r="Z2437" s="1" t="str">
        <f t="shared" si="114"/>
        <v>55128 T2</v>
      </c>
      <c r="AA2437" s="3">
        <f>IF(INDEX('CAMD Facility Data 2023'!$AA$2:$AE$10000,MATCH(Z2437,'CAMD Facility Data 2023'!$AE$2:$AE$10000,0),1)&gt;0,INDEX('CAMD Facility Data 2023'!$AA$2:$AE$10000,MATCH(Z2437,'CAMD Facility Data 2023'!$AE$2:$AE$10000,0),1),"")</f>
        <v>37016</v>
      </c>
      <c r="AB2437" s="5">
        <f>IF(INDEX('CAMD Facility Data 2023'!$AC$2:$AE$10000,MATCH(Z2437,'CAMD Facility Data 2023'!$AE$2:$AE$10000,0),1)&gt;0,INDEX('CAMD Facility Data 2023'!$AC$2:$AE$10000,MATCH(Z2437,'CAMD Facility Data 2023'!$AE$2:$AE$10000,0),1),"")</f>
        <v>1809</v>
      </c>
      <c r="AC2437" s="1" t="str">
        <f>IF(INDEX('CAMD Facility Data 2023'!$AE$2:$AG$10000,MATCH(Z2437,'CAMD Facility Data 2023'!$AE$2:$AE$10000,0),3)&gt;0,INDEX('CAMD Facility Data 2023'!$AE$2:$AG$10000,MATCH(Z2437,'CAMD Facility Data 2023'!$AE$2:$AE$10000,0),3),"")</f>
        <v/>
      </c>
      <c r="AD2437" s="20">
        <f t="shared" si="115"/>
        <v>0.64097798258309235</v>
      </c>
      <c r="AE2437" s="25">
        <f t="shared" si="116"/>
        <v>5.4975968710481084E-2</v>
      </c>
    </row>
    <row r="2438" spans="1:31" x14ac:dyDescent="0.2">
      <c r="A2438" s="1" t="s">
        <v>921</v>
      </c>
      <c r="B2438" s="1" t="s">
        <v>5705</v>
      </c>
      <c r="C2438" s="1">
        <v>55128</v>
      </c>
      <c r="D2438" s="1" t="s">
        <v>5649</v>
      </c>
      <c r="F2438" s="1">
        <v>2023</v>
      </c>
      <c r="G2438" s="5">
        <v>625</v>
      </c>
      <c r="H2438" s="5">
        <v>566.67999999999995</v>
      </c>
      <c r="I2438" s="5">
        <v>82773.679999999993</v>
      </c>
      <c r="K2438" s="5">
        <v>0.253</v>
      </c>
      <c r="L2438" s="5">
        <v>1E-3</v>
      </c>
      <c r="M2438" s="5">
        <v>50210.747000000003</v>
      </c>
      <c r="N2438" s="6">
        <v>5.8999999999999997E-2</v>
      </c>
      <c r="O2438" s="5">
        <v>21.164999999999999</v>
      </c>
      <c r="P2438" s="6">
        <v>5.2999999999999999E-2</v>
      </c>
      <c r="Q2438" s="5">
        <v>844919.10699999996</v>
      </c>
      <c r="R2438" s="1" t="s">
        <v>44</v>
      </c>
      <c r="T2438" s="1" t="s">
        <v>93</v>
      </c>
      <c r="V2438" s="1" t="s">
        <v>140</v>
      </c>
      <c r="Y2438" s="1" t="s">
        <v>952</v>
      </c>
      <c r="Z2438" s="1" t="str">
        <f t="shared" si="114"/>
        <v>55128 T3</v>
      </c>
      <c r="AA2438" s="3">
        <f>IF(INDEX('CAMD Facility Data 2023'!$AA$2:$AE$10000,MATCH(Z2438,'CAMD Facility Data 2023'!$AE$2:$AE$10000,0),1)&gt;0,INDEX('CAMD Facility Data 2023'!$AA$2:$AE$10000,MATCH(Z2438,'CAMD Facility Data 2023'!$AE$2:$AE$10000,0),1),"")</f>
        <v>37036</v>
      </c>
      <c r="AB2438" s="5">
        <f>IF(INDEX('CAMD Facility Data 2023'!$AC$2:$AE$10000,MATCH(Z2438,'CAMD Facility Data 2023'!$AE$2:$AE$10000,0),1)&gt;0,INDEX('CAMD Facility Data 2023'!$AC$2:$AE$10000,MATCH(Z2438,'CAMD Facility Data 2023'!$AE$2:$AE$10000,0),1),"")</f>
        <v>1809</v>
      </c>
      <c r="AC2438" s="1" t="str">
        <f>IF(INDEX('CAMD Facility Data 2023'!$AE$2:$AG$10000,MATCH(Z2438,'CAMD Facility Data 2023'!$AE$2:$AE$10000,0),3)&gt;0,INDEX('CAMD Facility Data 2023'!$AE$2:$AG$10000,MATCH(Z2438,'CAMD Facility Data 2023'!$AE$2:$AE$10000,0),3),"")</f>
        <v/>
      </c>
      <c r="AD2438" s="20">
        <f t="shared" si="115"/>
        <v>0.51139444325780858</v>
      </c>
      <c r="AE2438" s="25">
        <f t="shared" si="116"/>
        <v>5.3317829106623145E-2</v>
      </c>
    </row>
    <row r="2439" spans="1:31" x14ac:dyDescent="0.2">
      <c r="A2439" s="1" t="s">
        <v>234</v>
      </c>
      <c r="B2439" s="1" t="s">
        <v>5710</v>
      </c>
      <c r="C2439" s="1">
        <v>55129</v>
      </c>
      <c r="D2439" s="1" t="s">
        <v>5711</v>
      </c>
      <c r="F2439" s="1">
        <v>2023</v>
      </c>
      <c r="G2439" s="5">
        <v>6306</v>
      </c>
      <c r="H2439" s="5">
        <v>6194.21</v>
      </c>
      <c r="I2439" s="5">
        <v>1574077.52</v>
      </c>
      <c r="K2439" s="5">
        <v>3.536</v>
      </c>
      <c r="L2439" s="5">
        <v>1E-3</v>
      </c>
      <c r="M2439" s="5">
        <v>700455.37800000003</v>
      </c>
      <c r="N2439" s="6">
        <v>5.8999999999999997E-2</v>
      </c>
      <c r="O2439" s="5">
        <v>62.716999999999999</v>
      </c>
      <c r="P2439" s="6">
        <v>1.5900000000000001E-2</v>
      </c>
      <c r="Q2439" s="5">
        <v>11786569.896</v>
      </c>
      <c r="R2439" s="1" t="s">
        <v>44</v>
      </c>
      <c r="T2439" s="1" t="s">
        <v>71</v>
      </c>
      <c r="V2439" s="1" t="s">
        <v>223</v>
      </c>
      <c r="Y2439" s="1" t="s">
        <v>247</v>
      </c>
      <c r="Z2439" s="1" t="str">
        <f t="shared" si="114"/>
        <v>55129 DBG1</v>
      </c>
      <c r="AA2439" s="3">
        <f>IF(INDEX('CAMD Facility Data 2023'!$AA$2:$AE$10000,MATCH(Z2439,'CAMD Facility Data 2023'!$AE$2:$AE$10000,0),1)&gt;0,INDEX('CAMD Facility Data 2023'!$AA$2:$AE$10000,MATCH(Z2439,'CAMD Facility Data 2023'!$AE$2:$AE$10000,0),1),"")</f>
        <v>37149</v>
      </c>
      <c r="AB2439" s="5">
        <f>IF(INDEX('CAMD Facility Data 2023'!$AC$2:$AE$10000,MATCH(Z2439,'CAMD Facility Data 2023'!$AE$2:$AE$10000,0),1)&gt;0,INDEX('CAMD Facility Data 2023'!$AC$2:$AE$10000,MATCH(Z2439,'CAMD Facility Data 2023'!$AE$2:$AE$10000,0),1),"")</f>
        <v>2500</v>
      </c>
      <c r="AC2439" s="1" t="str">
        <f>IF(INDEX('CAMD Facility Data 2023'!$AE$2:$AG$10000,MATCH(Z2439,'CAMD Facility Data 2023'!$AE$2:$AE$10000,0),3)&gt;0,INDEX('CAMD Facility Data 2023'!$AE$2:$AG$10000,MATCH(Z2439,'CAMD Facility Data 2023'!$AE$2:$AE$10000,0),3),"")</f>
        <v>Y</v>
      </c>
      <c r="AD2439" s="20">
        <f t="shared" si="115"/>
        <v>7.9687307903361704E-2</v>
      </c>
      <c r="AE2439" s="25">
        <f t="shared" si="116"/>
        <v>0.53819953863013692</v>
      </c>
    </row>
    <row r="2440" spans="1:31" x14ac:dyDescent="0.2">
      <c r="A2440" s="1" t="s">
        <v>234</v>
      </c>
      <c r="B2440" s="1" t="s">
        <v>5710</v>
      </c>
      <c r="C2440" s="1">
        <v>55129</v>
      </c>
      <c r="D2440" s="1" t="s">
        <v>5713</v>
      </c>
      <c r="F2440" s="1">
        <v>2023</v>
      </c>
      <c r="G2440" s="5">
        <v>5870</v>
      </c>
      <c r="H2440" s="5">
        <v>5748.12</v>
      </c>
      <c r="I2440" s="5">
        <v>1465379.24</v>
      </c>
      <c r="K2440" s="5">
        <v>3.3050000000000002</v>
      </c>
      <c r="L2440" s="5">
        <v>1E-3</v>
      </c>
      <c r="M2440" s="5">
        <v>654744.82200000004</v>
      </c>
      <c r="N2440" s="6">
        <v>5.8999999999999997E-2</v>
      </c>
      <c r="O2440" s="5">
        <v>58.284999999999997</v>
      </c>
      <c r="P2440" s="6">
        <v>1.7000000000000001E-2</v>
      </c>
      <c r="Q2440" s="5">
        <v>11017253.539999999</v>
      </c>
      <c r="R2440" s="1" t="s">
        <v>44</v>
      </c>
      <c r="T2440" s="1" t="s">
        <v>71</v>
      </c>
      <c r="V2440" s="1" t="s">
        <v>223</v>
      </c>
      <c r="Y2440" s="1" t="s">
        <v>247</v>
      </c>
      <c r="Z2440" s="1" t="str">
        <f t="shared" si="114"/>
        <v>55129 DBG2</v>
      </c>
      <c r="AA2440" s="3">
        <f>IF(INDEX('CAMD Facility Data 2023'!$AA$2:$AE$10000,MATCH(Z2440,'CAMD Facility Data 2023'!$AE$2:$AE$10000,0),1)&gt;0,INDEX('CAMD Facility Data 2023'!$AA$2:$AE$10000,MATCH(Z2440,'CAMD Facility Data 2023'!$AE$2:$AE$10000,0),1),"")</f>
        <v>37149</v>
      </c>
      <c r="AB2440" s="5">
        <f>IF(INDEX('CAMD Facility Data 2023'!$AC$2:$AE$10000,MATCH(Z2440,'CAMD Facility Data 2023'!$AE$2:$AE$10000,0),1)&gt;0,INDEX('CAMD Facility Data 2023'!$AC$2:$AE$10000,MATCH(Z2440,'CAMD Facility Data 2023'!$AE$2:$AE$10000,0),1),"")</f>
        <v>2500</v>
      </c>
      <c r="AC2440" s="1" t="str">
        <f>IF(INDEX('CAMD Facility Data 2023'!$AE$2:$AG$10000,MATCH(Z2440,'CAMD Facility Data 2023'!$AE$2:$AE$10000,0),3)&gt;0,INDEX('CAMD Facility Data 2023'!$AE$2:$AG$10000,MATCH(Z2440,'CAMD Facility Data 2023'!$AE$2:$AE$10000,0),3),"")</f>
        <v>Y</v>
      </c>
      <c r="AD2440" s="20">
        <f t="shared" si="115"/>
        <v>7.9549373171138957E-2</v>
      </c>
      <c r="AE2440" s="25">
        <f t="shared" si="116"/>
        <v>0.50307093789954338</v>
      </c>
    </row>
    <row r="2441" spans="1:31" x14ac:dyDescent="0.2">
      <c r="A2441" s="1" t="s">
        <v>234</v>
      </c>
      <c r="B2441" s="1" t="s">
        <v>5710</v>
      </c>
      <c r="C2441" s="1">
        <v>55129</v>
      </c>
      <c r="D2441" s="1" t="s">
        <v>5715</v>
      </c>
      <c r="F2441" s="1">
        <v>2023</v>
      </c>
      <c r="G2441" s="5">
        <v>366</v>
      </c>
      <c r="H2441" s="5">
        <v>252.6</v>
      </c>
      <c r="I2441" s="5">
        <v>9456.61</v>
      </c>
      <c r="K2441" s="5">
        <v>2.7E-2</v>
      </c>
      <c r="L2441" s="5">
        <v>1E-3</v>
      </c>
      <c r="M2441" s="5">
        <v>5277.8760000000002</v>
      </c>
      <c r="N2441" s="6">
        <v>5.9200000000000003E-2</v>
      </c>
      <c r="O2441" s="5">
        <v>0.755</v>
      </c>
      <c r="P2441" s="6">
        <v>3.4700000000000002E-2</v>
      </c>
      <c r="Q2441" s="5">
        <v>88820.335000000006</v>
      </c>
      <c r="R2441" s="1" t="s">
        <v>44</v>
      </c>
      <c r="T2441" s="1" t="s">
        <v>93</v>
      </c>
      <c r="V2441" s="1" t="s">
        <v>176</v>
      </c>
      <c r="Y2441" s="1" t="s">
        <v>247</v>
      </c>
      <c r="Z2441" s="1" t="str">
        <f t="shared" si="114"/>
        <v>55129 DBG4</v>
      </c>
      <c r="AA2441" s="3">
        <f>IF(INDEX('CAMD Facility Data 2023'!$AA$2:$AE$10000,MATCH(Z2441,'CAMD Facility Data 2023'!$AE$2:$AE$10000,0),1)&gt;0,INDEX('CAMD Facility Data 2023'!$AA$2:$AE$10000,MATCH(Z2441,'CAMD Facility Data 2023'!$AE$2:$AE$10000,0),1),"")</f>
        <v>44791</v>
      </c>
      <c r="AB2441" s="5">
        <f>IF(INDEX('CAMD Facility Data 2023'!$AC$2:$AE$10000,MATCH(Z2441,'CAMD Facility Data 2023'!$AE$2:$AE$10000,0),1)&gt;0,INDEX('CAMD Facility Data 2023'!$AC$2:$AE$10000,MATCH(Z2441,'CAMD Facility Data 2023'!$AE$2:$AE$10000,0),1),"")</f>
        <v>435.2</v>
      </c>
      <c r="AC2441" s="1" t="str">
        <f>IF(INDEX('CAMD Facility Data 2023'!$AE$2:$AG$10000,MATCH(Z2441,'CAMD Facility Data 2023'!$AE$2:$AE$10000,0),3)&gt;0,INDEX('CAMD Facility Data 2023'!$AE$2:$AG$10000,MATCH(Z2441,'CAMD Facility Data 2023'!$AE$2:$AE$10000,0),3),"")</f>
        <v>Y</v>
      </c>
      <c r="AD2441" s="20">
        <f t="shared" si="115"/>
        <v>0.15967667060394791</v>
      </c>
      <c r="AE2441" s="25">
        <f t="shared" si="116"/>
        <v>2.3298041471511551E-2</v>
      </c>
    </row>
    <row r="2442" spans="1:31" x14ac:dyDescent="0.2">
      <c r="A2442" s="1" t="s">
        <v>234</v>
      </c>
      <c r="B2442" s="1" t="s">
        <v>5710</v>
      </c>
      <c r="C2442" s="1">
        <v>55129</v>
      </c>
      <c r="D2442" s="1" t="s">
        <v>5717</v>
      </c>
      <c r="F2442" s="1">
        <v>2023</v>
      </c>
      <c r="G2442" s="5">
        <v>381</v>
      </c>
      <c r="H2442" s="5">
        <v>265.97000000000003</v>
      </c>
      <c r="I2442" s="5">
        <v>9989.2800000000007</v>
      </c>
      <c r="K2442" s="5">
        <v>2.8000000000000001E-2</v>
      </c>
      <c r="L2442" s="5">
        <v>1E-3</v>
      </c>
      <c r="M2442" s="5">
        <v>5620.4170000000004</v>
      </c>
      <c r="N2442" s="6">
        <v>5.9299999999999999E-2</v>
      </c>
      <c r="O2442" s="5">
        <v>0.81499999999999995</v>
      </c>
      <c r="P2442" s="6">
        <v>3.3300000000000003E-2</v>
      </c>
      <c r="Q2442" s="5">
        <v>94575.798999999999</v>
      </c>
      <c r="R2442" s="1" t="s">
        <v>44</v>
      </c>
      <c r="T2442" s="1" t="s">
        <v>93</v>
      </c>
      <c r="V2442" s="1" t="s">
        <v>176</v>
      </c>
      <c r="Y2442" s="1" t="s">
        <v>247</v>
      </c>
      <c r="Z2442" s="1" t="str">
        <f t="shared" si="114"/>
        <v>55129 DBG5</v>
      </c>
      <c r="AA2442" s="3">
        <f>IF(INDEX('CAMD Facility Data 2023'!$AA$2:$AE$10000,MATCH(Z2442,'CAMD Facility Data 2023'!$AE$2:$AE$10000,0),1)&gt;0,INDEX('CAMD Facility Data 2023'!$AA$2:$AE$10000,MATCH(Z2442,'CAMD Facility Data 2023'!$AE$2:$AE$10000,0),1),"")</f>
        <v>44771</v>
      </c>
      <c r="AB2442" s="5">
        <f>IF(INDEX('CAMD Facility Data 2023'!$AC$2:$AE$10000,MATCH(Z2442,'CAMD Facility Data 2023'!$AE$2:$AE$10000,0),1)&gt;0,INDEX('CAMD Facility Data 2023'!$AC$2:$AE$10000,MATCH(Z2442,'CAMD Facility Data 2023'!$AE$2:$AE$10000,0),1),"")</f>
        <v>435.2</v>
      </c>
      <c r="AC2442" s="1" t="str">
        <f>IF(INDEX('CAMD Facility Data 2023'!$AE$2:$AG$10000,MATCH(Z2442,'CAMD Facility Data 2023'!$AE$2:$AE$10000,0),3)&gt;0,INDEX('CAMD Facility Data 2023'!$AE$2:$AG$10000,MATCH(Z2442,'CAMD Facility Data 2023'!$AE$2:$AE$10000,0),3),"")</f>
        <v>Y</v>
      </c>
      <c r="AD2442" s="20">
        <f t="shared" si="115"/>
        <v>0.1631749235180113</v>
      </c>
      <c r="AE2442" s="25">
        <f t="shared" si="116"/>
        <v>2.4807729978763765E-2</v>
      </c>
    </row>
    <row r="2443" spans="1:31" x14ac:dyDescent="0.2">
      <c r="A2443" s="1" t="s">
        <v>458</v>
      </c>
      <c r="B2443" s="1" t="s">
        <v>5719</v>
      </c>
      <c r="C2443" s="1">
        <v>55131</v>
      </c>
      <c r="D2443" s="1" t="s">
        <v>5720</v>
      </c>
      <c r="F2443" s="1">
        <v>2023</v>
      </c>
      <c r="G2443" s="5">
        <v>6364</v>
      </c>
      <c r="H2443" s="5">
        <v>6232.09</v>
      </c>
      <c r="I2443" s="5">
        <v>1438974.17</v>
      </c>
      <c r="K2443" s="5">
        <v>3.2309999999999999</v>
      </c>
      <c r="L2443" s="5">
        <v>1E-3</v>
      </c>
      <c r="M2443" s="5">
        <v>640116.65599999996</v>
      </c>
      <c r="N2443" s="6">
        <v>5.8999999999999997E-2</v>
      </c>
      <c r="O2443" s="5">
        <v>70.216999999999999</v>
      </c>
      <c r="P2443" s="6">
        <v>1.95E-2</v>
      </c>
      <c r="Q2443" s="5">
        <v>10771163.196</v>
      </c>
      <c r="R2443" s="1" t="s">
        <v>44</v>
      </c>
      <c r="T2443" s="1" t="s">
        <v>71</v>
      </c>
      <c r="V2443" s="1" t="s">
        <v>2685</v>
      </c>
      <c r="Y2443" s="1" t="s">
        <v>461</v>
      </c>
      <c r="Z2443" s="1" t="str">
        <f t="shared" si="114"/>
        <v>55131 GTG-1</v>
      </c>
      <c r="AA2443" s="3">
        <f>IF(INDEX('CAMD Facility Data 2023'!$AA$2:$AE$10000,MATCH(Z2443,'CAMD Facility Data 2023'!$AE$2:$AE$10000,0),1)&gt;0,INDEX('CAMD Facility Data 2023'!$AA$2:$AE$10000,MATCH(Z2443,'CAMD Facility Data 2023'!$AE$2:$AE$10000,0),1),"")</f>
        <v>37216</v>
      </c>
      <c r="AB2443" s="5">
        <f>IF(INDEX('CAMD Facility Data 2023'!$AC$2:$AE$10000,MATCH(Z2443,'CAMD Facility Data 2023'!$AE$2:$AE$10000,0),1)&gt;0,INDEX('CAMD Facility Data 2023'!$AC$2:$AE$10000,MATCH(Z2443,'CAMD Facility Data 2023'!$AE$2:$AE$10000,0),1),"")</f>
        <v>2500</v>
      </c>
      <c r="AC2443" s="1" t="str">
        <f>IF(INDEX('CAMD Facility Data 2023'!$AE$2:$AG$10000,MATCH(Z2443,'CAMD Facility Data 2023'!$AE$2:$AE$10000,0),3)&gt;0,INDEX('CAMD Facility Data 2023'!$AE$2:$AG$10000,MATCH(Z2443,'CAMD Facility Data 2023'!$AE$2:$AE$10000,0),3),"")</f>
        <v>Y</v>
      </c>
      <c r="AD2443" s="20">
        <f t="shared" si="115"/>
        <v>9.7593134698171824E-2</v>
      </c>
      <c r="AE2443" s="25">
        <f t="shared" si="116"/>
        <v>0.49183393589041097</v>
      </c>
    </row>
    <row r="2444" spans="1:31" x14ac:dyDescent="0.2">
      <c r="A2444" s="1" t="s">
        <v>458</v>
      </c>
      <c r="B2444" s="1" t="s">
        <v>5719</v>
      </c>
      <c r="C2444" s="1">
        <v>55131</v>
      </c>
      <c r="D2444" s="1" t="s">
        <v>5725</v>
      </c>
      <c r="F2444" s="1">
        <v>2023</v>
      </c>
      <c r="G2444" s="5">
        <v>6791</v>
      </c>
      <c r="H2444" s="5">
        <v>6595.75</v>
      </c>
      <c r="I2444" s="5">
        <v>1581741.01</v>
      </c>
      <c r="K2444" s="5">
        <v>3.4319999999999999</v>
      </c>
      <c r="L2444" s="5">
        <v>1E-3</v>
      </c>
      <c r="M2444" s="5">
        <v>679814.62899999996</v>
      </c>
      <c r="N2444" s="6">
        <v>5.8999999999999997E-2</v>
      </c>
      <c r="O2444" s="5">
        <v>66.899000000000001</v>
      </c>
      <c r="P2444" s="6">
        <v>1.7299999999999999E-2</v>
      </c>
      <c r="Q2444" s="5">
        <v>11439184.35</v>
      </c>
      <c r="R2444" s="1" t="s">
        <v>44</v>
      </c>
      <c r="T2444" s="1" t="s">
        <v>71</v>
      </c>
      <c r="V2444" s="1" t="s">
        <v>2685</v>
      </c>
      <c r="Y2444" s="1" t="s">
        <v>461</v>
      </c>
      <c r="Z2444" s="1" t="str">
        <f t="shared" si="114"/>
        <v>55131 GTG-2</v>
      </c>
      <c r="AA2444" s="3">
        <f>IF(INDEX('CAMD Facility Data 2023'!$AA$2:$AE$10000,MATCH(Z2444,'CAMD Facility Data 2023'!$AE$2:$AE$10000,0),1)&gt;0,INDEX('CAMD Facility Data 2023'!$AA$2:$AE$10000,MATCH(Z2444,'CAMD Facility Data 2023'!$AE$2:$AE$10000,0),1),"")</f>
        <v>37284</v>
      </c>
      <c r="AB2444" s="5">
        <f>IF(INDEX('CAMD Facility Data 2023'!$AC$2:$AE$10000,MATCH(Z2444,'CAMD Facility Data 2023'!$AE$2:$AE$10000,0),1)&gt;0,INDEX('CAMD Facility Data 2023'!$AC$2:$AE$10000,MATCH(Z2444,'CAMD Facility Data 2023'!$AE$2:$AE$10000,0),1),"")</f>
        <v>2500</v>
      </c>
      <c r="AC2444" s="1" t="str">
        <f>IF(INDEX('CAMD Facility Data 2023'!$AE$2:$AG$10000,MATCH(Z2444,'CAMD Facility Data 2023'!$AE$2:$AE$10000,0),3)&gt;0,INDEX('CAMD Facility Data 2023'!$AE$2:$AG$10000,MATCH(Z2444,'CAMD Facility Data 2023'!$AE$2:$AE$10000,0),3),"")</f>
        <v>Y</v>
      </c>
      <c r="AD2444" s="20">
        <f t="shared" si="115"/>
        <v>8.4589069357188892E-2</v>
      </c>
      <c r="AE2444" s="25">
        <f t="shared" si="116"/>
        <v>0.52233718493150683</v>
      </c>
    </row>
    <row r="2445" spans="1:31" x14ac:dyDescent="0.2">
      <c r="A2445" s="1" t="s">
        <v>458</v>
      </c>
      <c r="B2445" s="1" t="s">
        <v>5719</v>
      </c>
      <c r="C2445" s="1">
        <v>55131</v>
      </c>
      <c r="D2445" s="1" t="s">
        <v>5727</v>
      </c>
      <c r="F2445" s="1">
        <v>2023</v>
      </c>
      <c r="G2445" s="5">
        <v>6267</v>
      </c>
      <c r="H2445" s="5">
        <v>6152.52</v>
      </c>
      <c r="I2445" s="5">
        <v>1493373.46</v>
      </c>
      <c r="K2445" s="5">
        <v>3.2759999999999998</v>
      </c>
      <c r="L2445" s="5">
        <v>1E-3</v>
      </c>
      <c r="M2445" s="5">
        <v>649020.61399999994</v>
      </c>
      <c r="N2445" s="6">
        <v>5.8999999999999997E-2</v>
      </c>
      <c r="O2445" s="5">
        <v>75.349000000000004</v>
      </c>
      <c r="P2445" s="6">
        <v>1.8100000000000002E-2</v>
      </c>
      <c r="Q2445" s="5">
        <v>10921085.054</v>
      </c>
      <c r="R2445" s="1" t="s">
        <v>44</v>
      </c>
      <c r="T2445" s="1" t="s">
        <v>71</v>
      </c>
      <c r="V2445" s="1" t="s">
        <v>2685</v>
      </c>
      <c r="Y2445" s="1" t="s">
        <v>461</v>
      </c>
      <c r="Z2445" s="1" t="str">
        <f t="shared" si="114"/>
        <v>55131 GTG-3</v>
      </c>
      <c r="AA2445" s="3">
        <f>IF(INDEX('CAMD Facility Data 2023'!$AA$2:$AE$10000,MATCH(Z2445,'CAMD Facility Data 2023'!$AE$2:$AE$10000,0),1)&gt;0,INDEX('CAMD Facility Data 2023'!$AA$2:$AE$10000,MATCH(Z2445,'CAMD Facility Data 2023'!$AE$2:$AE$10000,0),1),"")</f>
        <v>37300</v>
      </c>
      <c r="AB2445" s="5">
        <f>IF(INDEX('CAMD Facility Data 2023'!$AC$2:$AE$10000,MATCH(Z2445,'CAMD Facility Data 2023'!$AE$2:$AE$10000,0),1)&gt;0,INDEX('CAMD Facility Data 2023'!$AC$2:$AE$10000,MATCH(Z2445,'CAMD Facility Data 2023'!$AE$2:$AE$10000,0),1),"")</f>
        <v>2500</v>
      </c>
      <c r="AC2445" s="1" t="str">
        <f>IF(INDEX('CAMD Facility Data 2023'!$AE$2:$AG$10000,MATCH(Z2445,'CAMD Facility Data 2023'!$AE$2:$AE$10000,0),3)&gt;0,INDEX('CAMD Facility Data 2023'!$AE$2:$AG$10000,MATCH(Z2445,'CAMD Facility Data 2023'!$AE$2:$AE$10000,0),3),"")</f>
        <v>Y</v>
      </c>
      <c r="AD2445" s="20">
        <f t="shared" si="115"/>
        <v>0.10091112774965212</v>
      </c>
      <c r="AE2445" s="25">
        <f t="shared" si="116"/>
        <v>0.49867968283105019</v>
      </c>
    </row>
    <row r="2446" spans="1:31" x14ac:dyDescent="0.2">
      <c r="A2446" s="1" t="s">
        <v>458</v>
      </c>
      <c r="B2446" s="1" t="s">
        <v>5719</v>
      </c>
      <c r="C2446" s="1">
        <v>55131</v>
      </c>
      <c r="D2446" s="1" t="s">
        <v>5729</v>
      </c>
      <c r="F2446" s="1">
        <v>2023</v>
      </c>
      <c r="G2446" s="5">
        <v>6555</v>
      </c>
      <c r="H2446" s="5">
        <v>6372.91</v>
      </c>
      <c r="I2446" s="5">
        <v>1516953.03</v>
      </c>
      <c r="K2446" s="5">
        <v>3.3759999999999999</v>
      </c>
      <c r="L2446" s="5">
        <v>1E-3</v>
      </c>
      <c r="M2446" s="5">
        <v>668656.17000000004</v>
      </c>
      <c r="N2446" s="6">
        <v>5.8999999999999997E-2</v>
      </c>
      <c r="O2446" s="5">
        <v>75.876999999999995</v>
      </c>
      <c r="P2446" s="6">
        <v>2.1100000000000001E-2</v>
      </c>
      <c r="Q2446" s="5">
        <v>11251412.569</v>
      </c>
      <c r="R2446" s="1" t="s">
        <v>44</v>
      </c>
      <c r="T2446" s="1" t="s">
        <v>71</v>
      </c>
      <c r="V2446" s="1" t="s">
        <v>2685</v>
      </c>
      <c r="Y2446" s="1" t="s">
        <v>461</v>
      </c>
      <c r="Z2446" s="1" t="str">
        <f t="shared" si="114"/>
        <v>55131 GTG-4</v>
      </c>
      <c r="AA2446" s="3">
        <f>IF(INDEX('CAMD Facility Data 2023'!$AA$2:$AE$10000,MATCH(Z2446,'CAMD Facility Data 2023'!$AE$2:$AE$10000,0),1)&gt;0,INDEX('CAMD Facility Data 2023'!$AA$2:$AE$10000,MATCH(Z2446,'CAMD Facility Data 2023'!$AE$2:$AE$10000,0),1),"")</f>
        <v>37328</v>
      </c>
      <c r="AB2446" s="5">
        <f>IF(INDEX('CAMD Facility Data 2023'!$AC$2:$AE$10000,MATCH(Z2446,'CAMD Facility Data 2023'!$AE$2:$AE$10000,0),1)&gt;0,INDEX('CAMD Facility Data 2023'!$AC$2:$AE$10000,MATCH(Z2446,'CAMD Facility Data 2023'!$AE$2:$AE$10000,0),1),"")</f>
        <v>2500</v>
      </c>
      <c r="AC2446" s="1" t="str">
        <f>IF(INDEX('CAMD Facility Data 2023'!$AE$2:$AG$10000,MATCH(Z2446,'CAMD Facility Data 2023'!$AE$2:$AE$10000,0),3)&gt;0,INDEX('CAMD Facility Data 2023'!$AE$2:$AG$10000,MATCH(Z2446,'CAMD Facility Data 2023'!$AE$2:$AE$10000,0),3),"")</f>
        <v>Y</v>
      </c>
      <c r="AD2446" s="20">
        <f t="shared" si="115"/>
        <v>0.10003869401282649</v>
      </c>
      <c r="AE2446" s="25">
        <f t="shared" si="116"/>
        <v>0.51376313100456616</v>
      </c>
    </row>
    <row r="2447" spans="1:31" x14ac:dyDescent="0.2">
      <c r="A2447" s="1" t="s">
        <v>383</v>
      </c>
      <c r="B2447" s="1" t="s">
        <v>5731</v>
      </c>
      <c r="C2447" s="1">
        <v>55132</v>
      </c>
      <c r="D2447" s="1" t="s">
        <v>5732</v>
      </c>
      <c r="F2447" s="1">
        <v>2023</v>
      </c>
      <c r="G2447" s="5">
        <v>4535</v>
      </c>
      <c r="H2447" s="5">
        <v>4423.37</v>
      </c>
      <c r="I2447" s="5">
        <v>977220.61</v>
      </c>
      <c r="K2447" s="5">
        <v>2.157</v>
      </c>
      <c r="L2447" s="5">
        <v>1E-3</v>
      </c>
      <c r="M2447" s="5">
        <v>427336.96600000001</v>
      </c>
      <c r="N2447" s="6">
        <v>5.8999999999999997E-2</v>
      </c>
      <c r="O2447" s="5">
        <v>131.29300000000001</v>
      </c>
      <c r="P2447" s="6">
        <v>4.1200000000000001E-2</v>
      </c>
      <c r="Q2447" s="5">
        <v>7190765.449</v>
      </c>
      <c r="R2447" s="1" t="s">
        <v>44</v>
      </c>
      <c r="S2447" s="1" t="s">
        <v>94</v>
      </c>
      <c r="T2447" s="1" t="s">
        <v>71</v>
      </c>
      <c r="V2447" s="1" t="s">
        <v>140</v>
      </c>
      <c r="Y2447" s="1" t="s">
        <v>346</v>
      </c>
      <c r="Z2447" s="1" t="str">
        <f t="shared" si="114"/>
        <v>55132 OGTDB1</v>
      </c>
      <c r="AA2447" s="3">
        <f>IF(INDEX('CAMD Facility Data 2023'!$AA$2:$AE$10000,MATCH(Z2447,'CAMD Facility Data 2023'!$AE$2:$AE$10000,0),1)&gt;0,INDEX('CAMD Facility Data 2023'!$AA$2:$AE$10000,MATCH(Z2447,'CAMD Facility Data 2023'!$AE$2:$AE$10000,0),1),"")</f>
        <v>36991</v>
      </c>
      <c r="AB2447" s="5">
        <f>IF(INDEX('CAMD Facility Data 2023'!$AC$2:$AE$10000,MATCH(Z2447,'CAMD Facility Data 2023'!$AE$2:$AE$10000,0),1)&gt;0,INDEX('CAMD Facility Data 2023'!$AC$2:$AE$10000,MATCH(Z2447,'CAMD Facility Data 2023'!$AE$2:$AE$10000,0),1),"")</f>
        <v>2405</v>
      </c>
      <c r="AC2447" s="1" t="str">
        <f>IF(INDEX('CAMD Facility Data 2023'!$AE$2:$AG$10000,MATCH(Z2447,'CAMD Facility Data 2023'!$AE$2:$AE$10000,0),3)&gt;0,INDEX('CAMD Facility Data 2023'!$AE$2:$AG$10000,MATCH(Z2447,'CAMD Facility Data 2023'!$AE$2:$AE$10000,0),3),"")</f>
        <v/>
      </c>
      <c r="AD2447" s="20">
        <f t="shared" si="115"/>
        <v>0.26870698111862379</v>
      </c>
      <c r="AE2447" s="25">
        <f t="shared" si="116"/>
        <v>0.34131544105222189</v>
      </c>
    </row>
    <row r="2448" spans="1:31" x14ac:dyDescent="0.2">
      <c r="A2448" s="1" t="s">
        <v>383</v>
      </c>
      <c r="B2448" s="1" t="s">
        <v>5731</v>
      </c>
      <c r="C2448" s="1">
        <v>55132</v>
      </c>
      <c r="D2448" s="1" t="s">
        <v>5735</v>
      </c>
      <c r="F2448" s="1">
        <v>2023</v>
      </c>
      <c r="G2448" s="5">
        <v>5008</v>
      </c>
      <c r="H2448" s="5">
        <v>4930.28</v>
      </c>
      <c r="I2448" s="5">
        <v>1131378.6499999999</v>
      </c>
      <c r="K2448" s="5">
        <v>2.4079999999999999</v>
      </c>
      <c r="L2448" s="5">
        <v>1E-3</v>
      </c>
      <c r="M2448" s="5">
        <v>476985.60100000002</v>
      </c>
      <c r="N2448" s="6">
        <v>5.8999999999999997E-2</v>
      </c>
      <c r="O2448" s="5">
        <v>147.827</v>
      </c>
      <c r="P2448" s="6">
        <v>4.0300000000000002E-2</v>
      </c>
      <c r="Q2448" s="5">
        <v>8026151.6189999999</v>
      </c>
      <c r="R2448" s="1" t="s">
        <v>44</v>
      </c>
      <c r="S2448" s="1" t="s">
        <v>94</v>
      </c>
      <c r="T2448" s="1" t="s">
        <v>71</v>
      </c>
      <c r="V2448" s="1" t="s">
        <v>140</v>
      </c>
      <c r="Y2448" s="1" t="s">
        <v>346</v>
      </c>
      <c r="Z2448" s="1" t="str">
        <f t="shared" si="114"/>
        <v>55132 OGTDB2</v>
      </c>
      <c r="AA2448" s="3">
        <f>IF(INDEX('CAMD Facility Data 2023'!$AA$2:$AE$10000,MATCH(Z2448,'CAMD Facility Data 2023'!$AE$2:$AE$10000,0),1)&gt;0,INDEX('CAMD Facility Data 2023'!$AA$2:$AE$10000,MATCH(Z2448,'CAMD Facility Data 2023'!$AE$2:$AE$10000,0),1),"")</f>
        <v>37003</v>
      </c>
      <c r="AB2448" s="5">
        <f>IF(INDEX('CAMD Facility Data 2023'!$AC$2:$AE$10000,MATCH(Z2448,'CAMD Facility Data 2023'!$AE$2:$AE$10000,0),1)&gt;0,INDEX('CAMD Facility Data 2023'!$AC$2:$AE$10000,MATCH(Z2448,'CAMD Facility Data 2023'!$AE$2:$AE$10000,0),1),"")</f>
        <v>2405</v>
      </c>
      <c r="AC2448" s="1" t="str">
        <f>IF(INDEX('CAMD Facility Data 2023'!$AE$2:$AG$10000,MATCH(Z2448,'CAMD Facility Data 2023'!$AE$2:$AE$10000,0),3)&gt;0,INDEX('CAMD Facility Data 2023'!$AE$2:$AG$10000,MATCH(Z2448,'CAMD Facility Data 2023'!$AE$2:$AE$10000,0),3),"")</f>
        <v/>
      </c>
      <c r="AD2448" s="20">
        <f t="shared" si="115"/>
        <v>0.26132188370356824</v>
      </c>
      <c r="AE2448" s="25">
        <f t="shared" si="116"/>
        <v>0.38096771466408452</v>
      </c>
    </row>
    <row r="2449" spans="1:31" x14ac:dyDescent="0.2">
      <c r="A2449" s="1" t="s">
        <v>383</v>
      </c>
      <c r="B2449" s="1" t="s">
        <v>5731</v>
      </c>
      <c r="C2449" s="1">
        <v>55132</v>
      </c>
      <c r="D2449" s="1" t="s">
        <v>5737</v>
      </c>
      <c r="F2449" s="1">
        <v>2023</v>
      </c>
      <c r="G2449" s="5">
        <v>5053</v>
      </c>
      <c r="H2449" s="5">
        <v>4967.04</v>
      </c>
      <c r="I2449" s="5">
        <v>1130666.8700000001</v>
      </c>
      <c r="K2449" s="5">
        <v>2.4550000000000001</v>
      </c>
      <c r="L2449" s="5">
        <v>1E-3</v>
      </c>
      <c r="M2449" s="5">
        <v>486394.07699999999</v>
      </c>
      <c r="N2449" s="6">
        <v>5.8999999999999997E-2</v>
      </c>
      <c r="O2449" s="5">
        <v>139.86799999999999</v>
      </c>
      <c r="P2449" s="6">
        <v>3.6499999999999998E-2</v>
      </c>
      <c r="Q2449" s="5">
        <v>8184452.71</v>
      </c>
      <c r="R2449" s="1" t="s">
        <v>44</v>
      </c>
      <c r="S2449" s="1" t="s">
        <v>94</v>
      </c>
      <c r="T2449" s="1" t="s">
        <v>71</v>
      </c>
      <c r="V2449" s="1" t="s">
        <v>140</v>
      </c>
      <c r="Y2449" s="1" t="s">
        <v>346</v>
      </c>
      <c r="Z2449" s="1" t="str">
        <f t="shared" si="114"/>
        <v>55132 OGTDB3</v>
      </c>
      <c r="AA2449" s="3">
        <f>IF(INDEX('CAMD Facility Data 2023'!$AA$2:$AE$10000,MATCH(Z2449,'CAMD Facility Data 2023'!$AE$2:$AE$10000,0),1)&gt;0,INDEX('CAMD Facility Data 2023'!$AA$2:$AE$10000,MATCH(Z2449,'CAMD Facility Data 2023'!$AE$2:$AE$10000,0),1),"")</f>
        <v>37011</v>
      </c>
      <c r="AB2449" s="5">
        <f>IF(INDEX('CAMD Facility Data 2023'!$AC$2:$AE$10000,MATCH(Z2449,'CAMD Facility Data 2023'!$AE$2:$AE$10000,0),1)&gt;0,INDEX('CAMD Facility Data 2023'!$AC$2:$AE$10000,MATCH(Z2449,'CAMD Facility Data 2023'!$AE$2:$AE$10000,0),1),"")</f>
        <v>2405</v>
      </c>
      <c r="AC2449" s="1" t="str">
        <f>IF(INDEX('CAMD Facility Data 2023'!$AE$2:$AG$10000,MATCH(Z2449,'CAMD Facility Data 2023'!$AE$2:$AE$10000,0),3)&gt;0,INDEX('CAMD Facility Data 2023'!$AE$2:$AG$10000,MATCH(Z2449,'CAMD Facility Data 2023'!$AE$2:$AE$10000,0),3),"")</f>
        <v/>
      </c>
      <c r="AD2449" s="20">
        <f t="shared" si="115"/>
        <v>0.24740797437533477</v>
      </c>
      <c r="AE2449" s="25">
        <f t="shared" si="116"/>
        <v>0.38848160273023286</v>
      </c>
    </row>
    <row r="2450" spans="1:31" x14ac:dyDescent="0.2">
      <c r="A2450" s="1" t="s">
        <v>3167</v>
      </c>
      <c r="B2450" s="1" t="s">
        <v>5739</v>
      </c>
      <c r="C2450" s="1">
        <v>55135</v>
      </c>
      <c r="D2450" s="1" t="s">
        <v>993</v>
      </c>
      <c r="F2450" s="1">
        <v>2023</v>
      </c>
      <c r="G2450" s="5">
        <v>2327</v>
      </c>
      <c r="H2450" s="5">
        <v>2129.4</v>
      </c>
      <c r="I2450" s="5">
        <v>294700.99</v>
      </c>
      <c r="K2450" s="5">
        <v>0.995</v>
      </c>
      <c r="L2450" s="5">
        <v>8.9999999999999998E-4</v>
      </c>
      <c r="M2450" s="5">
        <v>196354.1</v>
      </c>
      <c r="N2450" s="6">
        <v>5.8999999999999997E-2</v>
      </c>
      <c r="O2450" s="5">
        <v>73.167000000000002</v>
      </c>
      <c r="P2450" s="6">
        <v>0.1208</v>
      </c>
      <c r="Q2450" s="5">
        <v>3327841.9</v>
      </c>
      <c r="R2450" s="1" t="s">
        <v>44</v>
      </c>
      <c r="T2450" s="1" t="s">
        <v>93</v>
      </c>
      <c r="V2450" s="1" t="s">
        <v>140</v>
      </c>
      <c r="Y2450" s="1" t="s">
        <v>461</v>
      </c>
      <c r="Z2450" s="1" t="str">
        <f t="shared" si="114"/>
        <v>55135 CT01</v>
      </c>
      <c r="AA2450" s="3">
        <f>IF(INDEX('CAMD Facility Data 2023'!$AA$2:$AE$10000,MATCH(Z2450,'CAMD Facility Data 2023'!$AE$2:$AE$10000,0),1)&gt;0,INDEX('CAMD Facility Data 2023'!$AA$2:$AE$10000,MATCH(Z2450,'CAMD Facility Data 2023'!$AE$2:$AE$10000,0),1),"")</f>
        <v>36617</v>
      </c>
      <c r="AB2450" s="5">
        <f>IF(INDEX('CAMD Facility Data 2023'!$AC$2:$AE$10000,MATCH(Z2450,'CAMD Facility Data 2023'!$AE$2:$AE$10000,0),1)&gt;0,INDEX('CAMD Facility Data 2023'!$AC$2:$AE$10000,MATCH(Z2450,'CAMD Facility Data 2023'!$AE$2:$AE$10000,0),1),"")</f>
        <v>1897</v>
      </c>
      <c r="AC2450" s="1" t="str">
        <f>IF(INDEX('CAMD Facility Data 2023'!$AE$2:$AG$10000,MATCH(Z2450,'CAMD Facility Data 2023'!$AE$2:$AE$10000,0),3)&gt;0,INDEX('CAMD Facility Data 2023'!$AE$2:$AG$10000,MATCH(Z2450,'CAMD Facility Data 2023'!$AE$2:$AE$10000,0),3),"")</f>
        <v/>
      </c>
      <c r="AD2450" s="20">
        <f t="shared" si="115"/>
        <v>0.49655075810909222</v>
      </c>
      <c r="AE2450" s="25">
        <f t="shared" si="116"/>
        <v>0.20025863355502438</v>
      </c>
    </row>
    <row r="2451" spans="1:31" x14ac:dyDescent="0.2">
      <c r="A2451" s="1" t="s">
        <v>3167</v>
      </c>
      <c r="B2451" s="1" t="s">
        <v>5739</v>
      </c>
      <c r="C2451" s="1">
        <v>55135</v>
      </c>
      <c r="D2451" s="1" t="s">
        <v>998</v>
      </c>
      <c r="F2451" s="1">
        <v>2023</v>
      </c>
      <c r="G2451" s="5">
        <v>2471</v>
      </c>
      <c r="H2451" s="5">
        <v>2261.94</v>
      </c>
      <c r="I2451" s="5">
        <v>318016.61</v>
      </c>
      <c r="K2451" s="5">
        <v>1.0669999999999999</v>
      </c>
      <c r="L2451" s="5">
        <v>8.9999999999999998E-4</v>
      </c>
      <c r="M2451" s="5">
        <v>208860.6</v>
      </c>
      <c r="N2451" s="6">
        <v>5.8999999999999997E-2</v>
      </c>
      <c r="O2451" s="5">
        <v>78.802000000000007</v>
      </c>
      <c r="P2451" s="6">
        <v>0.11940000000000001</v>
      </c>
      <c r="Q2451" s="5">
        <v>3540096.4</v>
      </c>
      <c r="R2451" s="1" t="s">
        <v>44</v>
      </c>
      <c r="T2451" s="1" t="s">
        <v>93</v>
      </c>
      <c r="V2451" s="1" t="s">
        <v>140</v>
      </c>
      <c r="Y2451" s="1" t="s">
        <v>461</v>
      </c>
      <c r="Z2451" s="1" t="str">
        <f t="shared" si="114"/>
        <v>55135 CT02</v>
      </c>
      <c r="AA2451" s="3">
        <f>IF(INDEX('CAMD Facility Data 2023'!$AA$2:$AE$10000,MATCH(Z2451,'CAMD Facility Data 2023'!$AE$2:$AE$10000,0),1)&gt;0,INDEX('CAMD Facility Data 2023'!$AA$2:$AE$10000,MATCH(Z2451,'CAMD Facility Data 2023'!$AE$2:$AE$10000,0),1),"")</f>
        <v>36617</v>
      </c>
      <c r="AB2451" s="5">
        <f>IF(INDEX('CAMD Facility Data 2023'!$AC$2:$AE$10000,MATCH(Z2451,'CAMD Facility Data 2023'!$AE$2:$AE$10000,0),1)&gt;0,INDEX('CAMD Facility Data 2023'!$AC$2:$AE$10000,MATCH(Z2451,'CAMD Facility Data 2023'!$AE$2:$AE$10000,0),1),"")</f>
        <v>1897</v>
      </c>
      <c r="AC2451" s="1" t="str">
        <f>IF(INDEX('CAMD Facility Data 2023'!$AE$2:$AG$10000,MATCH(Z2451,'CAMD Facility Data 2023'!$AE$2:$AE$10000,0),3)&gt;0,INDEX('CAMD Facility Data 2023'!$AE$2:$AG$10000,MATCH(Z2451,'CAMD Facility Data 2023'!$AE$2:$AE$10000,0),3),"")</f>
        <v/>
      </c>
      <c r="AD2451" s="20">
        <f t="shared" si="115"/>
        <v>0.49558417719124798</v>
      </c>
      <c r="AE2451" s="25">
        <f t="shared" si="116"/>
        <v>0.21303141465856928</v>
      </c>
    </row>
    <row r="2452" spans="1:31" x14ac:dyDescent="0.2">
      <c r="A2452" s="1" t="s">
        <v>383</v>
      </c>
      <c r="B2452" s="1" t="s">
        <v>5744</v>
      </c>
      <c r="C2452" s="1">
        <v>55137</v>
      </c>
      <c r="D2452" s="1" t="s">
        <v>5681</v>
      </c>
      <c r="F2452" s="1">
        <v>2023</v>
      </c>
      <c r="G2452" s="5">
        <v>6378</v>
      </c>
      <c r="H2452" s="5">
        <v>6362.8</v>
      </c>
      <c r="I2452" s="5">
        <v>1548195</v>
      </c>
      <c r="K2452" s="5">
        <v>3.05</v>
      </c>
      <c r="L2452" s="5">
        <v>1E-3</v>
      </c>
      <c r="M2452" s="5">
        <v>604099.66500000004</v>
      </c>
      <c r="N2452" s="6">
        <v>5.8999999999999997E-2</v>
      </c>
      <c r="O2452" s="5">
        <v>85.915000000000006</v>
      </c>
      <c r="P2452" s="6">
        <v>1.7299999999999999E-2</v>
      </c>
      <c r="Q2452" s="5">
        <v>10165163.616</v>
      </c>
      <c r="R2452" s="1" t="s">
        <v>44</v>
      </c>
      <c r="T2452" s="1" t="s">
        <v>71</v>
      </c>
      <c r="V2452" s="1" t="s">
        <v>140</v>
      </c>
      <c r="Y2452" s="1" t="s">
        <v>346</v>
      </c>
      <c r="Z2452" s="1" t="str">
        <f t="shared" si="114"/>
        <v>55137 CTG-1</v>
      </c>
      <c r="AA2452" s="3">
        <f>IF(INDEX('CAMD Facility Data 2023'!$AA$2:$AE$10000,MATCH(Z2452,'CAMD Facility Data 2023'!$AE$2:$AE$10000,0),1)&gt;0,INDEX('CAMD Facility Data 2023'!$AA$2:$AE$10000,MATCH(Z2452,'CAMD Facility Data 2023'!$AE$2:$AE$10000,0),1),"")</f>
        <v>37347</v>
      </c>
      <c r="AB2452" s="5">
        <f>IF(INDEX('CAMD Facility Data 2023'!$AC$2:$AE$10000,MATCH(Z2452,'CAMD Facility Data 2023'!$AE$2:$AE$10000,0),1)&gt;0,INDEX('CAMD Facility Data 2023'!$AC$2:$AE$10000,MATCH(Z2452,'CAMD Facility Data 2023'!$AE$2:$AE$10000,0),1),"")</f>
        <v>2090</v>
      </c>
      <c r="AC2452" s="1" t="str">
        <f>IF(INDEX('CAMD Facility Data 2023'!$AE$2:$AG$10000,MATCH(Z2452,'CAMD Facility Data 2023'!$AE$2:$AE$10000,0),3)&gt;0,INDEX('CAMD Facility Data 2023'!$AE$2:$AG$10000,MATCH(Z2452,'CAMD Facility Data 2023'!$AE$2:$AE$10000,0),3),"")</f>
        <v/>
      </c>
      <c r="AD2452" s="20">
        <f t="shared" si="115"/>
        <v>0.11098731102994132</v>
      </c>
      <c r="AE2452" s="25">
        <f t="shared" si="116"/>
        <v>0.55521856721504881</v>
      </c>
    </row>
    <row r="2453" spans="1:31" x14ac:dyDescent="0.2">
      <c r="A2453" s="1" t="s">
        <v>383</v>
      </c>
      <c r="B2453" s="1" t="s">
        <v>5744</v>
      </c>
      <c r="C2453" s="1">
        <v>55137</v>
      </c>
      <c r="D2453" s="1" t="s">
        <v>5684</v>
      </c>
      <c r="F2453" s="1">
        <v>2023</v>
      </c>
      <c r="G2453" s="5">
        <v>6539</v>
      </c>
      <c r="H2453" s="5">
        <v>6530.37</v>
      </c>
      <c r="I2453" s="5">
        <v>1571393.13</v>
      </c>
      <c r="K2453" s="5">
        <v>3.1070000000000002</v>
      </c>
      <c r="L2453" s="5">
        <v>1E-3</v>
      </c>
      <c r="M2453" s="5">
        <v>615422.01500000001</v>
      </c>
      <c r="N2453" s="6">
        <v>5.8999999999999997E-2</v>
      </c>
      <c r="O2453" s="5">
        <v>104.355</v>
      </c>
      <c r="P2453" s="6">
        <v>2.0199999999999999E-2</v>
      </c>
      <c r="Q2453" s="5">
        <v>10355668.085999999</v>
      </c>
      <c r="R2453" s="1" t="s">
        <v>44</v>
      </c>
      <c r="T2453" s="1" t="s">
        <v>71</v>
      </c>
      <c r="V2453" s="1" t="s">
        <v>140</v>
      </c>
      <c r="Y2453" s="1" t="s">
        <v>346</v>
      </c>
      <c r="Z2453" s="1" t="str">
        <f t="shared" si="114"/>
        <v>55137 CTG-2</v>
      </c>
      <c r="AA2453" s="3">
        <f>IF(INDEX('CAMD Facility Data 2023'!$AA$2:$AE$10000,MATCH(Z2453,'CAMD Facility Data 2023'!$AE$2:$AE$10000,0),1)&gt;0,INDEX('CAMD Facility Data 2023'!$AA$2:$AE$10000,MATCH(Z2453,'CAMD Facility Data 2023'!$AE$2:$AE$10000,0),1),"")</f>
        <v>37347</v>
      </c>
      <c r="AB2453" s="5">
        <f>IF(INDEX('CAMD Facility Data 2023'!$AC$2:$AE$10000,MATCH(Z2453,'CAMD Facility Data 2023'!$AE$2:$AE$10000,0),1)&gt;0,INDEX('CAMD Facility Data 2023'!$AC$2:$AE$10000,MATCH(Z2453,'CAMD Facility Data 2023'!$AE$2:$AE$10000,0),1),"")</f>
        <v>2105</v>
      </c>
      <c r="AC2453" s="1" t="str">
        <f>IF(INDEX('CAMD Facility Data 2023'!$AE$2:$AG$10000,MATCH(Z2453,'CAMD Facility Data 2023'!$AE$2:$AE$10000,0),3)&gt;0,INDEX('CAMD Facility Data 2023'!$AE$2:$AG$10000,MATCH(Z2453,'CAMD Facility Data 2023'!$AE$2:$AE$10000,0),3),"")</f>
        <v/>
      </c>
      <c r="AD2453" s="20">
        <f t="shared" si="115"/>
        <v>0.13281845008448015</v>
      </c>
      <c r="AE2453" s="25">
        <f t="shared" si="116"/>
        <v>0.56159329743272701</v>
      </c>
    </row>
    <row r="2454" spans="1:31" x14ac:dyDescent="0.2">
      <c r="A2454" s="1" t="s">
        <v>383</v>
      </c>
      <c r="B2454" s="1" t="s">
        <v>5744</v>
      </c>
      <c r="C2454" s="1">
        <v>55137</v>
      </c>
      <c r="D2454" s="1" t="s">
        <v>5750</v>
      </c>
      <c r="F2454" s="1">
        <v>2023</v>
      </c>
      <c r="G2454" s="5">
        <v>6549</v>
      </c>
      <c r="H2454" s="5">
        <v>6539.8</v>
      </c>
      <c r="I2454" s="5">
        <v>1584070.89</v>
      </c>
      <c r="K2454" s="5">
        <v>3.1640000000000001</v>
      </c>
      <c r="L2454" s="5">
        <v>1E-3</v>
      </c>
      <c r="M2454" s="5">
        <v>626833.59100000001</v>
      </c>
      <c r="N2454" s="6">
        <v>5.8999999999999997E-2</v>
      </c>
      <c r="O2454" s="5">
        <v>88.103999999999999</v>
      </c>
      <c r="P2454" s="6">
        <v>1.6899999999999998E-2</v>
      </c>
      <c r="Q2454" s="5">
        <v>10547678.311000001</v>
      </c>
      <c r="R2454" s="1" t="s">
        <v>44</v>
      </c>
      <c r="T2454" s="1" t="s">
        <v>71</v>
      </c>
      <c r="V2454" s="1" t="s">
        <v>140</v>
      </c>
      <c r="Y2454" s="1" t="s">
        <v>346</v>
      </c>
      <c r="Z2454" s="1" t="str">
        <f t="shared" si="114"/>
        <v>55137 CTG-3</v>
      </c>
      <c r="AA2454" s="3">
        <f>IF(INDEX('CAMD Facility Data 2023'!$AA$2:$AE$10000,MATCH(Z2454,'CAMD Facility Data 2023'!$AE$2:$AE$10000,0),1)&gt;0,INDEX('CAMD Facility Data 2023'!$AA$2:$AE$10000,MATCH(Z2454,'CAMD Facility Data 2023'!$AE$2:$AE$10000,0),1),"")</f>
        <v>37347</v>
      </c>
      <c r="AB2454" s="5">
        <f>IF(INDEX('CAMD Facility Data 2023'!$AC$2:$AE$10000,MATCH(Z2454,'CAMD Facility Data 2023'!$AE$2:$AE$10000,0),1)&gt;0,INDEX('CAMD Facility Data 2023'!$AC$2:$AE$10000,MATCH(Z2454,'CAMD Facility Data 2023'!$AE$2:$AE$10000,0),1),"")</f>
        <v>2105</v>
      </c>
      <c r="AC2454" s="1" t="str">
        <f>IF(INDEX('CAMD Facility Data 2023'!$AE$2:$AG$10000,MATCH(Z2454,'CAMD Facility Data 2023'!$AE$2:$AE$10000,0),3)&gt;0,INDEX('CAMD Facility Data 2023'!$AE$2:$AG$10000,MATCH(Z2454,'CAMD Facility Data 2023'!$AE$2:$AE$10000,0),3),"")</f>
        <v/>
      </c>
      <c r="AD2454" s="20">
        <f t="shared" si="115"/>
        <v>0.11123744594536424</v>
      </c>
      <c r="AE2454" s="25">
        <f t="shared" si="116"/>
        <v>0.57200611237649002</v>
      </c>
    </row>
    <row r="2455" spans="1:31" x14ac:dyDescent="0.2">
      <c r="A2455" s="1" t="s">
        <v>32</v>
      </c>
      <c r="B2455" s="1" t="s">
        <v>5752</v>
      </c>
      <c r="C2455" s="1">
        <v>55138</v>
      </c>
      <c r="D2455" s="1" t="s">
        <v>372</v>
      </c>
      <c r="F2455" s="1">
        <v>2023</v>
      </c>
      <c r="G2455" s="5">
        <v>6</v>
      </c>
      <c r="H2455" s="5">
        <v>3.55</v>
      </c>
      <c r="I2455" s="5">
        <v>70.58</v>
      </c>
      <c r="K2455" s="5">
        <v>0</v>
      </c>
      <c r="L2455" s="5">
        <v>1E-3</v>
      </c>
      <c r="O2455" s="5">
        <v>0.14099999999999999</v>
      </c>
      <c r="P2455" s="6">
        <v>0.43880000000000002</v>
      </c>
      <c r="Q2455" s="5">
        <v>960.45299999999997</v>
      </c>
      <c r="R2455" s="1" t="s">
        <v>44</v>
      </c>
      <c r="T2455" s="1" t="s">
        <v>93</v>
      </c>
      <c r="V2455" s="1" t="s">
        <v>95</v>
      </c>
      <c r="Y2455" s="1" t="s">
        <v>133</v>
      </c>
      <c r="Z2455" s="1" t="str">
        <f t="shared" si="114"/>
        <v>55138 1A</v>
      </c>
      <c r="AA2455" s="3">
        <f>IF(INDEX('CAMD Facility Data 2023'!$AA$2:$AE$10000,MATCH(Z2455,'CAMD Facility Data 2023'!$AE$2:$AE$10000,0),1)&gt;0,INDEX('CAMD Facility Data 2023'!$AA$2:$AE$10000,MATCH(Z2455,'CAMD Facility Data 2023'!$AE$2:$AE$10000,0),1),"")</f>
        <v>36333</v>
      </c>
      <c r="AB2455" s="5">
        <f>IF(INDEX('CAMD Facility Data 2023'!$AC$2:$AE$10000,MATCH(Z2455,'CAMD Facility Data 2023'!$AE$2:$AE$10000,0),1)&gt;0,INDEX('CAMD Facility Data 2023'!$AC$2:$AE$10000,MATCH(Z2455,'CAMD Facility Data 2023'!$AE$2:$AE$10000,0),1),"")</f>
        <v>415</v>
      </c>
      <c r="AC2455" s="1" t="str">
        <f>IF(INDEX('CAMD Facility Data 2023'!$AE$2:$AG$10000,MATCH(Z2455,'CAMD Facility Data 2023'!$AE$2:$AE$10000,0),3)&gt;0,INDEX('CAMD Facility Data 2023'!$AE$2:$AG$10000,MATCH(Z2455,'CAMD Facility Data 2023'!$AE$2:$AE$10000,0),3),"")</f>
        <v/>
      </c>
      <c r="AD2455" s="20">
        <f t="shared" si="115"/>
        <v>3.995466137716067</v>
      </c>
      <c r="AE2455" s="25">
        <f t="shared" si="116"/>
        <v>2.6419458656543981E-4</v>
      </c>
    </row>
    <row r="2456" spans="1:31" x14ac:dyDescent="0.2">
      <c r="A2456" s="1" t="s">
        <v>32</v>
      </c>
      <c r="B2456" s="1" t="s">
        <v>5752</v>
      </c>
      <c r="C2456" s="1">
        <v>55138</v>
      </c>
      <c r="D2456" s="1" t="s">
        <v>1199</v>
      </c>
      <c r="F2456" s="1">
        <v>2023</v>
      </c>
      <c r="G2456" s="5">
        <v>6</v>
      </c>
      <c r="H2456" s="5">
        <v>3.48</v>
      </c>
      <c r="I2456" s="5">
        <v>75.2</v>
      </c>
      <c r="K2456" s="5">
        <v>0</v>
      </c>
      <c r="L2456" s="5">
        <v>1E-3</v>
      </c>
      <c r="O2456" s="5">
        <v>0.38</v>
      </c>
      <c r="P2456" s="6">
        <v>0.92230000000000001</v>
      </c>
      <c r="Q2456" s="5">
        <v>1034.4549999999999</v>
      </c>
      <c r="R2456" s="1" t="s">
        <v>44</v>
      </c>
      <c r="T2456" s="1" t="s">
        <v>93</v>
      </c>
      <c r="V2456" s="1" t="s">
        <v>95</v>
      </c>
      <c r="Y2456" s="1" t="s">
        <v>133</v>
      </c>
      <c r="Z2456" s="1" t="str">
        <f t="shared" si="114"/>
        <v>55138 1B</v>
      </c>
      <c r="AA2456" s="3">
        <f>IF(INDEX('CAMD Facility Data 2023'!$AA$2:$AE$10000,MATCH(Z2456,'CAMD Facility Data 2023'!$AE$2:$AE$10000,0),1)&gt;0,INDEX('CAMD Facility Data 2023'!$AA$2:$AE$10000,MATCH(Z2456,'CAMD Facility Data 2023'!$AE$2:$AE$10000,0),1),"")</f>
        <v>36333</v>
      </c>
      <c r="AB2456" s="5">
        <f>IF(INDEX('CAMD Facility Data 2023'!$AC$2:$AE$10000,MATCH(Z2456,'CAMD Facility Data 2023'!$AE$2:$AE$10000,0),1)&gt;0,INDEX('CAMD Facility Data 2023'!$AC$2:$AE$10000,MATCH(Z2456,'CAMD Facility Data 2023'!$AE$2:$AE$10000,0),1),"")</f>
        <v>415</v>
      </c>
      <c r="AC2456" s="1" t="str">
        <f>IF(INDEX('CAMD Facility Data 2023'!$AE$2:$AG$10000,MATCH(Z2456,'CAMD Facility Data 2023'!$AE$2:$AE$10000,0),3)&gt;0,INDEX('CAMD Facility Data 2023'!$AE$2:$AG$10000,MATCH(Z2456,'CAMD Facility Data 2023'!$AE$2:$AE$10000,0),3),"")</f>
        <v/>
      </c>
      <c r="AD2456" s="20">
        <f t="shared" si="115"/>
        <v>10.106382978723405</v>
      </c>
      <c r="AE2456" s="25">
        <f t="shared" si="116"/>
        <v>2.8455053089068602E-4</v>
      </c>
    </row>
    <row r="2457" spans="1:31" x14ac:dyDescent="0.2">
      <c r="A2457" s="1" t="s">
        <v>32</v>
      </c>
      <c r="B2457" s="1" t="s">
        <v>5752</v>
      </c>
      <c r="C2457" s="1">
        <v>55138</v>
      </c>
      <c r="D2457" s="1" t="s">
        <v>377</v>
      </c>
      <c r="F2457" s="1">
        <v>2023</v>
      </c>
      <c r="G2457" s="5">
        <v>7</v>
      </c>
      <c r="H2457" s="5">
        <v>1.83</v>
      </c>
      <c r="I2457" s="5">
        <v>21.88</v>
      </c>
      <c r="K2457" s="5">
        <v>0</v>
      </c>
      <c r="L2457" s="5">
        <v>1E-3</v>
      </c>
      <c r="O2457" s="5">
        <v>0.28199999999999997</v>
      </c>
      <c r="P2457" s="6">
        <v>1.2508999999999999</v>
      </c>
      <c r="Q2457" s="5">
        <v>347.572</v>
      </c>
      <c r="R2457" s="1" t="s">
        <v>44</v>
      </c>
      <c r="T2457" s="1" t="s">
        <v>93</v>
      </c>
      <c r="V2457" s="1" t="s">
        <v>95</v>
      </c>
      <c r="Y2457" s="1" t="s">
        <v>133</v>
      </c>
      <c r="Z2457" s="1" t="str">
        <f t="shared" si="114"/>
        <v>55138 2A</v>
      </c>
      <c r="AA2457" s="3">
        <f>IF(INDEX('CAMD Facility Data 2023'!$AA$2:$AE$10000,MATCH(Z2457,'CAMD Facility Data 2023'!$AE$2:$AE$10000,0),1)&gt;0,INDEX('CAMD Facility Data 2023'!$AA$2:$AE$10000,MATCH(Z2457,'CAMD Facility Data 2023'!$AE$2:$AE$10000,0),1),"")</f>
        <v>36330</v>
      </c>
      <c r="AB2457" s="5">
        <f>IF(INDEX('CAMD Facility Data 2023'!$AC$2:$AE$10000,MATCH(Z2457,'CAMD Facility Data 2023'!$AE$2:$AE$10000,0),1)&gt;0,INDEX('CAMD Facility Data 2023'!$AC$2:$AE$10000,MATCH(Z2457,'CAMD Facility Data 2023'!$AE$2:$AE$10000,0),1),"")</f>
        <v>415</v>
      </c>
      <c r="AC2457" s="1" t="str">
        <f>IF(INDEX('CAMD Facility Data 2023'!$AE$2:$AG$10000,MATCH(Z2457,'CAMD Facility Data 2023'!$AE$2:$AE$10000,0),3)&gt;0,INDEX('CAMD Facility Data 2023'!$AE$2:$AG$10000,MATCH(Z2457,'CAMD Facility Data 2023'!$AE$2:$AE$10000,0),3),"")</f>
        <v/>
      </c>
      <c r="AD2457" s="20">
        <f t="shared" si="115"/>
        <v>25.776965265082268</v>
      </c>
      <c r="AE2457" s="25">
        <f t="shared" si="116"/>
        <v>9.5607636023546243E-5</v>
      </c>
    </row>
    <row r="2458" spans="1:31" x14ac:dyDescent="0.2">
      <c r="A2458" s="1" t="s">
        <v>32</v>
      </c>
      <c r="B2458" s="1" t="s">
        <v>5752</v>
      </c>
      <c r="C2458" s="1">
        <v>55138</v>
      </c>
      <c r="D2458" s="1" t="s">
        <v>1201</v>
      </c>
      <c r="F2458" s="1">
        <v>2023</v>
      </c>
      <c r="G2458" s="5">
        <v>6</v>
      </c>
      <c r="H2458" s="5">
        <v>2.33</v>
      </c>
      <c r="I2458" s="5">
        <v>32.79</v>
      </c>
      <c r="K2458" s="5">
        <v>0</v>
      </c>
      <c r="L2458" s="5">
        <v>1E-3</v>
      </c>
      <c r="O2458" s="5">
        <v>7.4999999999999997E-2</v>
      </c>
      <c r="P2458" s="6">
        <v>0.67049999999999998</v>
      </c>
      <c r="Q2458" s="5">
        <v>509.428</v>
      </c>
      <c r="R2458" s="1" t="s">
        <v>44</v>
      </c>
      <c r="T2458" s="1" t="s">
        <v>93</v>
      </c>
      <c r="V2458" s="1" t="s">
        <v>95</v>
      </c>
      <c r="Y2458" s="1" t="s">
        <v>133</v>
      </c>
      <c r="Z2458" s="1" t="str">
        <f t="shared" si="114"/>
        <v>55138 2B</v>
      </c>
      <c r="AA2458" s="3">
        <f>IF(INDEX('CAMD Facility Data 2023'!$AA$2:$AE$10000,MATCH(Z2458,'CAMD Facility Data 2023'!$AE$2:$AE$10000,0),1)&gt;0,INDEX('CAMD Facility Data 2023'!$AA$2:$AE$10000,MATCH(Z2458,'CAMD Facility Data 2023'!$AE$2:$AE$10000,0),1),"")</f>
        <v>36330</v>
      </c>
      <c r="AB2458" s="5">
        <f>IF(INDEX('CAMD Facility Data 2023'!$AC$2:$AE$10000,MATCH(Z2458,'CAMD Facility Data 2023'!$AE$2:$AE$10000,0),1)&gt;0,INDEX('CAMD Facility Data 2023'!$AC$2:$AE$10000,MATCH(Z2458,'CAMD Facility Data 2023'!$AE$2:$AE$10000,0),1),"")</f>
        <v>415</v>
      </c>
      <c r="AC2458" s="1" t="str">
        <f>IF(INDEX('CAMD Facility Data 2023'!$AE$2:$AG$10000,MATCH(Z2458,'CAMD Facility Data 2023'!$AE$2:$AE$10000,0),3)&gt;0,INDEX('CAMD Facility Data 2023'!$AE$2:$AG$10000,MATCH(Z2458,'CAMD Facility Data 2023'!$AE$2:$AE$10000,0),3),"")</f>
        <v/>
      </c>
      <c r="AD2458" s="20">
        <f t="shared" si="115"/>
        <v>4.574565416285453</v>
      </c>
      <c r="AE2458" s="25">
        <f t="shared" si="116"/>
        <v>1.4012983440611762E-4</v>
      </c>
    </row>
    <row r="2459" spans="1:31" x14ac:dyDescent="0.2">
      <c r="A2459" s="1" t="s">
        <v>383</v>
      </c>
      <c r="B2459" s="1" t="s">
        <v>5756</v>
      </c>
      <c r="C2459" s="1">
        <v>55139</v>
      </c>
      <c r="D2459" s="1" t="s">
        <v>1129</v>
      </c>
      <c r="F2459" s="1">
        <v>2023</v>
      </c>
      <c r="G2459" s="5">
        <v>5220</v>
      </c>
      <c r="H2459" s="5">
        <v>5180.46</v>
      </c>
      <c r="I2459" s="5">
        <v>1620382.69</v>
      </c>
      <c r="K2459" s="5">
        <v>3.548</v>
      </c>
      <c r="L2459" s="5">
        <v>1E-3</v>
      </c>
      <c r="M2459" s="5">
        <v>702882.23400000005</v>
      </c>
      <c r="N2459" s="6">
        <v>5.8999999999999997E-2</v>
      </c>
      <c r="O2459" s="5">
        <v>143.971</v>
      </c>
      <c r="P2459" s="6">
        <v>2.76E-2</v>
      </c>
      <c r="Q2459" s="5">
        <v>11827332.57</v>
      </c>
      <c r="R2459" s="1" t="s">
        <v>44</v>
      </c>
      <c r="T2459" s="1" t="s">
        <v>71</v>
      </c>
      <c r="V2459" s="1" t="s">
        <v>223</v>
      </c>
      <c r="Y2459" s="1" t="s">
        <v>346</v>
      </c>
      <c r="Z2459" s="1" t="str">
        <f t="shared" si="114"/>
        <v>55139 CTG1</v>
      </c>
      <c r="AA2459" s="3">
        <f>IF(INDEX('CAMD Facility Data 2023'!$AA$2:$AE$10000,MATCH(Z2459,'CAMD Facility Data 2023'!$AE$2:$AE$10000,0),1)&gt;0,INDEX('CAMD Facility Data 2023'!$AA$2:$AE$10000,MATCH(Z2459,'CAMD Facility Data 2023'!$AE$2:$AE$10000,0),1),"")</f>
        <v>37738</v>
      </c>
      <c r="AB2459" s="5">
        <f>IF(INDEX('CAMD Facility Data 2023'!$AC$2:$AE$10000,MATCH(Z2459,'CAMD Facility Data 2023'!$AE$2:$AE$10000,0),1)&gt;0,INDEX('CAMD Facility Data 2023'!$AC$2:$AE$10000,MATCH(Z2459,'CAMD Facility Data 2023'!$AE$2:$AE$10000,0),1),"")</f>
        <v>3055.6</v>
      </c>
      <c r="AC2459" s="1" t="str">
        <f>IF(INDEX('CAMD Facility Data 2023'!$AE$2:$AG$10000,MATCH(Z2459,'CAMD Facility Data 2023'!$AE$2:$AE$10000,0),3)&gt;0,INDEX('CAMD Facility Data 2023'!$AE$2:$AG$10000,MATCH(Z2459,'CAMD Facility Data 2023'!$AE$2:$AE$10000,0),3),"")</f>
        <v>Y</v>
      </c>
      <c r="AD2459" s="20">
        <f t="shared" si="115"/>
        <v>0.17769999752342455</v>
      </c>
      <c r="AE2459" s="25">
        <f t="shared" si="116"/>
        <v>0.44186153942368561</v>
      </c>
    </row>
    <row r="2460" spans="1:31" x14ac:dyDescent="0.2">
      <c r="A2460" s="1" t="s">
        <v>383</v>
      </c>
      <c r="B2460" s="1" t="s">
        <v>5756</v>
      </c>
      <c r="C2460" s="1">
        <v>55139</v>
      </c>
      <c r="D2460" s="1" t="s">
        <v>1135</v>
      </c>
      <c r="F2460" s="1">
        <v>2023</v>
      </c>
      <c r="G2460" s="5">
        <v>5128</v>
      </c>
      <c r="H2460" s="5">
        <v>5077.55</v>
      </c>
      <c r="I2460" s="5">
        <v>1600783.66</v>
      </c>
      <c r="K2460" s="5">
        <v>3.4689999999999999</v>
      </c>
      <c r="L2460" s="5">
        <v>1E-3</v>
      </c>
      <c r="M2460" s="5">
        <v>687159.36899999995</v>
      </c>
      <c r="N2460" s="6">
        <v>5.8999999999999997E-2</v>
      </c>
      <c r="O2460" s="5">
        <v>145.51900000000001</v>
      </c>
      <c r="P2460" s="6">
        <v>2.7799999999999998E-2</v>
      </c>
      <c r="Q2460" s="5">
        <v>11562770.291999999</v>
      </c>
      <c r="R2460" s="1" t="s">
        <v>44</v>
      </c>
      <c r="T2460" s="1" t="s">
        <v>71</v>
      </c>
      <c r="V2460" s="1" t="s">
        <v>223</v>
      </c>
      <c r="Y2460" s="1" t="s">
        <v>346</v>
      </c>
      <c r="Z2460" s="1" t="str">
        <f t="shared" si="114"/>
        <v>55139 CTG2</v>
      </c>
      <c r="AA2460" s="3">
        <f>IF(INDEX('CAMD Facility Data 2023'!$AA$2:$AE$10000,MATCH(Z2460,'CAMD Facility Data 2023'!$AE$2:$AE$10000,0),1)&gt;0,INDEX('CAMD Facility Data 2023'!$AA$2:$AE$10000,MATCH(Z2460,'CAMD Facility Data 2023'!$AE$2:$AE$10000,0),1),"")</f>
        <v>37740</v>
      </c>
      <c r="AB2460" s="5">
        <f>IF(INDEX('CAMD Facility Data 2023'!$AC$2:$AE$10000,MATCH(Z2460,'CAMD Facility Data 2023'!$AE$2:$AE$10000,0),1)&gt;0,INDEX('CAMD Facility Data 2023'!$AC$2:$AE$10000,MATCH(Z2460,'CAMD Facility Data 2023'!$AE$2:$AE$10000,0),1),"")</f>
        <v>3511.5</v>
      </c>
      <c r="AC2460" s="1" t="str">
        <f>IF(INDEX('CAMD Facility Data 2023'!$AE$2:$AG$10000,MATCH(Z2460,'CAMD Facility Data 2023'!$AE$2:$AE$10000,0),3)&gt;0,INDEX('CAMD Facility Data 2023'!$AE$2:$AG$10000,MATCH(Z2460,'CAMD Facility Data 2023'!$AE$2:$AE$10000,0),3),"")</f>
        <v>Y</v>
      </c>
      <c r="AD2460" s="20">
        <f t="shared" si="115"/>
        <v>0.18180970188064013</v>
      </c>
      <c r="AE2460" s="25">
        <f t="shared" si="116"/>
        <v>0.37589376237372701</v>
      </c>
    </row>
    <row r="2461" spans="1:31" x14ac:dyDescent="0.2">
      <c r="A2461" s="1" t="s">
        <v>921</v>
      </c>
      <c r="B2461" s="1" t="s">
        <v>5762</v>
      </c>
      <c r="C2461" s="1">
        <v>55141</v>
      </c>
      <c r="D2461" s="1" t="s">
        <v>311</v>
      </c>
      <c r="F2461" s="1">
        <v>2023</v>
      </c>
      <c r="G2461" s="5">
        <v>1978</v>
      </c>
      <c r="H2461" s="5">
        <v>1755.4</v>
      </c>
      <c r="I2461" s="5">
        <v>261088.07</v>
      </c>
      <c r="K2461" s="5">
        <v>0.88500000000000001</v>
      </c>
      <c r="L2461" s="5">
        <v>1E-3</v>
      </c>
      <c r="M2461" s="5">
        <v>175248.63800000001</v>
      </c>
      <c r="N2461" s="6">
        <v>5.8799999999999998E-2</v>
      </c>
      <c r="O2461" s="5">
        <v>63.475000000000001</v>
      </c>
      <c r="P2461" s="6">
        <v>4.9799999999999997E-2</v>
      </c>
      <c r="Q2461" s="5">
        <v>2948903.51</v>
      </c>
      <c r="R2461" s="1" t="s">
        <v>44</v>
      </c>
      <c r="T2461" s="1" t="s">
        <v>93</v>
      </c>
      <c r="V2461" s="1" t="s">
        <v>140</v>
      </c>
      <c r="Y2461" s="1" t="s">
        <v>952</v>
      </c>
      <c r="Z2461" s="1" t="str">
        <f t="shared" si="114"/>
        <v>55141 CT1</v>
      </c>
      <c r="AA2461" s="3">
        <f>IF(INDEX('CAMD Facility Data 2023'!$AA$2:$AE$10000,MATCH(Z2461,'CAMD Facility Data 2023'!$AE$2:$AE$10000,0),1)&gt;0,INDEX('CAMD Facility Data 2023'!$AA$2:$AE$10000,MATCH(Z2461,'CAMD Facility Data 2023'!$AE$2:$AE$10000,0),1),"")</f>
        <v>36934</v>
      </c>
      <c r="AB2461" s="5">
        <f>IF(INDEX('CAMD Facility Data 2023'!$AC$2:$AE$10000,MATCH(Z2461,'CAMD Facility Data 2023'!$AE$2:$AE$10000,0),1)&gt;0,INDEX('CAMD Facility Data 2023'!$AC$2:$AE$10000,MATCH(Z2461,'CAMD Facility Data 2023'!$AE$2:$AE$10000,0),1),"")</f>
        <v>2076</v>
      </c>
      <c r="AC2461" s="1" t="str">
        <f>IF(INDEX('CAMD Facility Data 2023'!$AE$2:$AG$10000,MATCH(Z2461,'CAMD Facility Data 2023'!$AE$2:$AE$10000,0),3)&gt;0,INDEX('CAMD Facility Data 2023'!$AE$2:$AG$10000,MATCH(Z2461,'CAMD Facility Data 2023'!$AE$2:$AE$10000,0),3),"")</f>
        <v/>
      </c>
      <c r="AD2461" s="20">
        <f t="shared" si="115"/>
        <v>0.48623439592624818</v>
      </c>
      <c r="AE2461" s="25">
        <f t="shared" si="116"/>
        <v>0.16215453794617327</v>
      </c>
    </row>
    <row r="2462" spans="1:31" x14ac:dyDescent="0.2">
      <c r="A2462" s="1" t="s">
        <v>921</v>
      </c>
      <c r="B2462" s="1" t="s">
        <v>5762</v>
      </c>
      <c r="C2462" s="1">
        <v>55141</v>
      </c>
      <c r="D2462" s="1" t="s">
        <v>98</v>
      </c>
      <c r="F2462" s="1">
        <v>2023</v>
      </c>
      <c r="G2462" s="5">
        <v>462</v>
      </c>
      <c r="H2462" s="5">
        <v>393.27</v>
      </c>
      <c r="I2462" s="5">
        <v>58233.89</v>
      </c>
      <c r="K2462" s="5">
        <v>0.19700000000000001</v>
      </c>
      <c r="L2462" s="5">
        <v>1E-3</v>
      </c>
      <c r="M2462" s="5">
        <v>38941.828000000001</v>
      </c>
      <c r="N2462" s="6">
        <v>5.8999999999999997E-2</v>
      </c>
      <c r="O2462" s="5">
        <v>16.302</v>
      </c>
      <c r="P2462" s="6">
        <v>5.7200000000000001E-2</v>
      </c>
      <c r="Q2462" s="5">
        <v>655248.41299999994</v>
      </c>
      <c r="R2462" s="1" t="s">
        <v>44</v>
      </c>
      <c r="T2462" s="1" t="s">
        <v>93</v>
      </c>
      <c r="V2462" s="1" t="s">
        <v>140</v>
      </c>
      <c r="Y2462" s="1" t="s">
        <v>952</v>
      </c>
      <c r="Z2462" s="1" t="str">
        <f t="shared" si="114"/>
        <v>55141 CT2</v>
      </c>
      <c r="AA2462" s="3">
        <f>IF(INDEX('CAMD Facility Data 2023'!$AA$2:$AE$10000,MATCH(Z2462,'CAMD Facility Data 2023'!$AE$2:$AE$10000,0),1)&gt;0,INDEX('CAMD Facility Data 2023'!$AA$2:$AE$10000,MATCH(Z2462,'CAMD Facility Data 2023'!$AE$2:$AE$10000,0),1),"")</f>
        <v>36934</v>
      </c>
      <c r="AB2462" s="5">
        <f>IF(INDEX('CAMD Facility Data 2023'!$AC$2:$AE$10000,MATCH(Z2462,'CAMD Facility Data 2023'!$AE$2:$AE$10000,0),1)&gt;0,INDEX('CAMD Facility Data 2023'!$AC$2:$AE$10000,MATCH(Z2462,'CAMD Facility Data 2023'!$AE$2:$AE$10000,0),1),"")</f>
        <v>2076</v>
      </c>
      <c r="AC2462" s="1" t="str">
        <f>IF(INDEX('CAMD Facility Data 2023'!$AE$2:$AG$10000,MATCH(Z2462,'CAMD Facility Data 2023'!$AE$2:$AE$10000,0),3)&gt;0,INDEX('CAMD Facility Data 2023'!$AE$2:$AG$10000,MATCH(Z2462,'CAMD Facility Data 2023'!$AE$2:$AE$10000,0),3),"")</f>
        <v/>
      </c>
      <c r="AD2462" s="20">
        <f t="shared" si="115"/>
        <v>0.55988016599955803</v>
      </c>
      <c r="AE2462" s="25">
        <f t="shared" si="116"/>
        <v>3.6030851226454101E-2</v>
      </c>
    </row>
    <row r="2463" spans="1:31" x14ac:dyDescent="0.2">
      <c r="A2463" s="1" t="s">
        <v>921</v>
      </c>
      <c r="B2463" s="1" t="s">
        <v>5762</v>
      </c>
      <c r="C2463" s="1">
        <v>55141</v>
      </c>
      <c r="D2463" s="1" t="s">
        <v>101</v>
      </c>
      <c r="F2463" s="1">
        <v>2023</v>
      </c>
      <c r="G2463" s="5">
        <v>1893</v>
      </c>
      <c r="H2463" s="5">
        <v>1684.54</v>
      </c>
      <c r="I2463" s="5">
        <v>251144.14</v>
      </c>
      <c r="K2463" s="5">
        <v>0.85099999999999998</v>
      </c>
      <c r="L2463" s="5">
        <v>1E-3</v>
      </c>
      <c r="M2463" s="5">
        <v>168632.55</v>
      </c>
      <c r="N2463" s="6">
        <v>5.8999999999999997E-2</v>
      </c>
      <c r="O2463" s="5">
        <v>67.477999999999994</v>
      </c>
      <c r="P2463" s="6">
        <v>5.3600000000000002E-2</v>
      </c>
      <c r="Q2463" s="5">
        <v>2837554.861</v>
      </c>
      <c r="R2463" s="1" t="s">
        <v>44</v>
      </c>
      <c r="T2463" s="1" t="s">
        <v>93</v>
      </c>
      <c r="V2463" s="1" t="s">
        <v>140</v>
      </c>
      <c r="Y2463" s="1" t="s">
        <v>952</v>
      </c>
      <c r="Z2463" s="1" t="str">
        <f t="shared" si="114"/>
        <v>55141 CT3</v>
      </c>
      <c r="AA2463" s="3">
        <f>IF(INDEX('CAMD Facility Data 2023'!$AA$2:$AE$10000,MATCH(Z2463,'CAMD Facility Data 2023'!$AE$2:$AE$10000,0),1)&gt;0,INDEX('CAMD Facility Data 2023'!$AA$2:$AE$10000,MATCH(Z2463,'CAMD Facility Data 2023'!$AE$2:$AE$10000,0),1),"")</f>
        <v>36934</v>
      </c>
      <c r="AB2463" s="5">
        <f>IF(INDEX('CAMD Facility Data 2023'!$AC$2:$AE$10000,MATCH(Z2463,'CAMD Facility Data 2023'!$AE$2:$AE$10000,0),1)&gt;0,INDEX('CAMD Facility Data 2023'!$AC$2:$AE$10000,MATCH(Z2463,'CAMD Facility Data 2023'!$AE$2:$AE$10000,0),1),"")</f>
        <v>2171</v>
      </c>
      <c r="AC2463" s="1" t="str">
        <f>IF(INDEX('CAMD Facility Data 2023'!$AE$2:$AG$10000,MATCH(Z2463,'CAMD Facility Data 2023'!$AE$2:$AE$10000,0),3)&gt;0,INDEX('CAMD Facility Data 2023'!$AE$2:$AG$10000,MATCH(Z2463,'CAMD Facility Data 2023'!$AE$2:$AE$10000,0),3),"")</f>
        <v/>
      </c>
      <c r="AD2463" s="20">
        <f t="shared" si="115"/>
        <v>0.53736471812561504</v>
      </c>
      <c r="AE2463" s="25">
        <f t="shared" si="116"/>
        <v>0.14920395568189226</v>
      </c>
    </row>
    <row r="2464" spans="1:31" x14ac:dyDescent="0.2">
      <c r="A2464" s="1" t="s">
        <v>383</v>
      </c>
      <c r="B2464" s="1" t="s">
        <v>5766</v>
      </c>
      <c r="C2464" s="1">
        <v>55144</v>
      </c>
      <c r="D2464" s="1" t="s">
        <v>5586</v>
      </c>
      <c r="F2464" s="1">
        <v>2023</v>
      </c>
      <c r="G2464" s="5">
        <v>5340</v>
      </c>
      <c r="H2464" s="5">
        <v>5222.53</v>
      </c>
      <c r="I2464" s="5">
        <v>1144955.99</v>
      </c>
      <c r="K2464" s="5">
        <v>2.5419999999999998</v>
      </c>
      <c r="L2464" s="5">
        <v>1E-3</v>
      </c>
      <c r="M2464" s="5">
        <v>503625.614</v>
      </c>
      <c r="N2464" s="6">
        <v>5.8999999999999997E-2</v>
      </c>
      <c r="O2464" s="5">
        <v>55.33</v>
      </c>
      <c r="P2464" s="6">
        <v>1.9E-2</v>
      </c>
      <c r="Q2464" s="5">
        <v>8474690.8550000004</v>
      </c>
      <c r="R2464" s="1" t="s">
        <v>44</v>
      </c>
      <c r="T2464" s="1" t="s">
        <v>71</v>
      </c>
      <c r="V2464" s="1" t="s">
        <v>223</v>
      </c>
      <c r="Y2464" s="1" t="s">
        <v>346</v>
      </c>
      <c r="Z2464" s="1" t="str">
        <f t="shared" si="114"/>
        <v>55144 STK1</v>
      </c>
      <c r="AA2464" s="3">
        <f>IF(INDEX('CAMD Facility Data 2023'!$AA$2:$AE$10000,MATCH(Z2464,'CAMD Facility Data 2023'!$AE$2:$AE$10000,0),1)&gt;0,INDEX('CAMD Facility Data 2023'!$AA$2:$AE$10000,MATCH(Z2464,'CAMD Facility Data 2023'!$AE$2:$AE$10000,0),1),"")</f>
        <v>37057</v>
      </c>
      <c r="AB2464" s="5">
        <f>IF(INDEX('CAMD Facility Data 2023'!$AC$2:$AE$10000,MATCH(Z2464,'CAMD Facility Data 2023'!$AE$2:$AE$10000,0),1)&gt;0,INDEX('CAMD Facility Data 2023'!$AC$2:$AE$10000,MATCH(Z2464,'CAMD Facility Data 2023'!$AE$2:$AE$10000,0),1),"")</f>
        <v>2140</v>
      </c>
      <c r="AC2464" s="1" t="str">
        <f>IF(INDEX('CAMD Facility Data 2023'!$AE$2:$AG$10000,MATCH(Z2464,'CAMD Facility Data 2023'!$AE$2:$AE$10000,0),3)&gt;0,INDEX('CAMD Facility Data 2023'!$AE$2:$AG$10000,MATCH(Z2464,'CAMD Facility Data 2023'!$AE$2:$AE$10000,0),3),"")</f>
        <v>Y</v>
      </c>
      <c r="AD2464" s="20">
        <f t="shared" si="115"/>
        <v>9.6650003114966895E-2</v>
      </c>
      <c r="AE2464" s="25">
        <f t="shared" si="116"/>
        <v>0.45207030976614176</v>
      </c>
    </row>
    <row r="2465" spans="1:31" x14ac:dyDescent="0.2">
      <c r="A2465" s="1" t="s">
        <v>383</v>
      </c>
      <c r="B2465" s="1" t="s">
        <v>5766</v>
      </c>
      <c r="C2465" s="1">
        <v>55144</v>
      </c>
      <c r="D2465" s="1" t="s">
        <v>5591</v>
      </c>
      <c r="F2465" s="1">
        <v>2023</v>
      </c>
      <c r="G2465" s="5">
        <v>5493</v>
      </c>
      <c r="H2465" s="5">
        <v>5378.1</v>
      </c>
      <c r="I2465" s="5">
        <v>1167304.57</v>
      </c>
      <c r="K2465" s="5">
        <v>2.57</v>
      </c>
      <c r="L2465" s="5">
        <v>1E-3</v>
      </c>
      <c r="M2465" s="5">
        <v>508995.19</v>
      </c>
      <c r="N2465" s="6">
        <v>5.8999999999999997E-2</v>
      </c>
      <c r="O2465" s="5">
        <v>54.37</v>
      </c>
      <c r="P2465" s="6">
        <v>1.8100000000000002E-2</v>
      </c>
      <c r="Q2465" s="5">
        <v>8564822.1140000001</v>
      </c>
      <c r="R2465" s="1" t="s">
        <v>44</v>
      </c>
      <c r="T2465" s="1" t="s">
        <v>71</v>
      </c>
      <c r="V2465" s="1" t="s">
        <v>223</v>
      </c>
      <c r="Y2465" s="1" t="s">
        <v>346</v>
      </c>
      <c r="Z2465" s="1" t="str">
        <f t="shared" si="114"/>
        <v>55144 STK2</v>
      </c>
      <c r="AA2465" s="3">
        <f>IF(INDEX('CAMD Facility Data 2023'!$AA$2:$AE$10000,MATCH(Z2465,'CAMD Facility Data 2023'!$AE$2:$AE$10000,0),1)&gt;0,INDEX('CAMD Facility Data 2023'!$AA$2:$AE$10000,MATCH(Z2465,'CAMD Facility Data 2023'!$AE$2:$AE$10000,0),1),"")</f>
        <v>37057</v>
      </c>
      <c r="AB2465" s="5">
        <f>IF(INDEX('CAMD Facility Data 2023'!$AC$2:$AE$10000,MATCH(Z2465,'CAMD Facility Data 2023'!$AE$2:$AE$10000,0),1)&gt;0,INDEX('CAMD Facility Data 2023'!$AC$2:$AE$10000,MATCH(Z2465,'CAMD Facility Data 2023'!$AE$2:$AE$10000,0),1),"")</f>
        <v>2140</v>
      </c>
      <c r="AC2465" s="1" t="str">
        <f>IF(INDEX('CAMD Facility Data 2023'!$AE$2:$AG$10000,MATCH(Z2465,'CAMD Facility Data 2023'!$AE$2:$AE$10000,0),3)&gt;0,INDEX('CAMD Facility Data 2023'!$AE$2:$AG$10000,MATCH(Z2465,'CAMD Facility Data 2023'!$AE$2:$AE$10000,0),3),"")</f>
        <v>Y</v>
      </c>
      <c r="AD2465" s="20">
        <f t="shared" si="115"/>
        <v>9.3154779647611582E-2</v>
      </c>
      <c r="AE2465" s="25">
        <f t="shared" si="116"/>
        <v>0.45687823336747324</v>
      </c>
    </row>
    <row r="2466" spans="1:31" x14ac:dyDescent="0.2">
      <c r="A2466" s="1" t="s">
        <v>383</v>
      </c>
      <c r="B2466" s="1" t="s">
        <v>5766</v>
      </c>
      <c r="C2466" s="1">
        <v>55144</v>
      </c>
      <c r="D2466" s="1" t="s">
        <v>5593</v>
      </c>
      <c r="F2466" s="1">
        <v>2023</v>
      </c>
      <c r="G2466" s="5">
        <v>5885</v>
      </c>
      <c r="H2466" s="5">
        <v>5776.86</v>
      </c>
      <c r="I2466" s="5">
        <v>1325160.6200000001</v>
      </c>
      <c r="K2466" s="5">
        <v>2.9540000000000002</v>
      </c>
      <c r="L2466" s="5">
        <v>1E-3</v>
      </c>
      <c r="M2466" s="5">
        <v>585149.54299999995</v>
      </c>
      <c r="N2466" s="6">
        <v>5.8999999999999997E-2</v>
      </c>
      <c r="O2466" s="5">
        <v>60.274000000000001</v>
      </c>
      <c r="P2466" s="6">
        <v>1.7299999999999999E-2</v>
      </c>
      <c r="Q2466" s="5">
        <v>9846313.5380000006</v>
      </c>
      <c r="R2466" s="1" t="s">
        <v>44</v>
      </c>
      <c r="T2466" s="1" t="s">
        <v>71</v>
      </c>
      <c r="V2466" s="1" t="s">
        <v>223</v>
      </c>
      <c r="Y2466" s="1" t="s">
        <v>346</v>
      </c>
      <c r="Z2466" s="1" t="str">
        <f t="shared" si="114"/>
        <v>55144 STK3</v>
      </c>
      <c r="AA2466" s="3">
        <f>IF(INDEX('CAMD Facility Data 2023'!$AA$2:$AE$10000,MATCH(Z2466,'CAMD Facility Data 2023'!$AE$2:$AE$10000,0),1)&gt;0,INDEX('CAMD Facility Data 2023'!$AA$2:$AE$10000,MATCH(Z2466,'CAMD Facility Data 2023'!$AE$2:$AE$10000,0),1),"")</f>
        <v>37073</v>
      </c>
      <c r="AB2466" s="5">
        <f>IF(INDEX('CAMD Facility Data 2023'!$AC$2:$AE$10000,MATCH(Z2466,'CAMD Facility Data 2023'!$AE$2:$AE$10000,0),1)&gt;0,INDEX('CAMD Facility Data 2023'!$AC$2:$AE$10000,MATCH(Z2466,'CAMD Facility Data 2023'!$AE$2:$AE$10000,0),1),"")</f>
        <v>2140</v>
      </c>
      <c r="AC2466" s="1" t="str">
        <f>IF(INDEX('CAMD Facility Data 2023'!$AE$2:$AG$10000,MATCH(Z2466,'CAMD Facility Data 2023'!$AE$2:$AE$10000,0),3)&gt;0,INDEX('CAMD Facility Data 2023'!$AE$2:$AG$10000,MATCH(Z2466,'CAMD Facility Data 2023'!$AE$2:$AE$10000,0),3),"")</f>
        <v>Y</v>
      </c>
      <c r="AD2466" s="20">
        <f t="shared" si="115"/>
        <v>9.0968595188106322E-2</v>
      </c>
      <c r="AE2466" s="25">
        <f t="shared" si="116"/>
        <v>0.52523756763965357</v>
      </c>
    </row>
    <row r="2467" spans="1:31" x14ac:dyDescent="0.2">
      <c r="A2467" s="1" t="s">
        <v>383</v>
      </c>
      <c r="B2467" s="1" t="s">
        <v>5766</v>
      </c>
      <c r="C2467" s="1">
        <v>55144</v>
      </c>
      <c r="D2467" s="1" t="s">
        <v>5595</v>
      </c>
      <c r="F2467" s="1">
        <v>2023</v>
      </c>
      <c r="G2467" s="5">
        <v>5517</v>
      </c>
      <c r="H2467" s="5">
        <v>5396.72</v>
      </c>
      <c r="I2467" s="5">
        <v>1165539.7</v>
      </c>
      <c r="K2467" s="5">
        <v>2.5510000000000002</v>
      </c>
      <c r="L2467" s="5">
        <v>1E-3</v>
      </c>
      <c r="M2467" s="5">
        <v>505293.08</v>
      </c>
      <c r="N2467" s="6">
        <v>5.8999999999999997E-2</v>
      </c>
      <c r="O2467" s="5">
        <v>57.238</v>
      </c>
      <c r="P2467" s="6">
        <v>1.8700000000000001E-2</v>
      </c>
      <c r="Q2467" s="5">
        <v>8502256.5150000006</v>
      </c>
      <c r="R2467" s="1" t="s">
        <v>44</v>
      </c>
      <c r="T2467" s="1" t="s">
        <v>71</v>
      </c>
      <c r="V2467" s="1" t="s">
        <v>223</v>
      </c>
      <c r="Y2467" s="1" t="s">
        <v>346</v>
      </c>
      <c r="Z2467" s="1" t="str">
        <f t="shared" si="114"/>
        <v>55144 STK4</v>
      </c>
      <c r="AA2467" s="3">
        <f>IF(INDEX('CAMD Facility Data 2023'!$AA$2:$AE$10000,MATCH(Z2467,'CAMD Facility Data 2023'!$AE$2:$AE$10000,0),1)&gt;0,INDEX('CAMD Facility Data 2023'!$AA$2:$AE$10000,MATCH(Z2467,'CAMD Facility Data 2023'!$AE$2:$AE$10000,0),1),"")</f>
        <v>37073</v>
      </c>
      <c r="AB2467" s="5">
        <f>IF(INDEX('CAMD Facility Data 2023'!$AC$2:$AE$10000,MATCH(Z2467,'CAMD Facility Data 2023'!$AE$2:$AE$10000,0),1)&gt;0,INDEX('CAMD Facility Data 2023'!$AC$2:$AE$10000,MATCH(Z2467,'CAMD Facility Data 2023'!$AE$2:$AE$10000,0),1),"")</f>
        <v>2140</v>
      </c>
      <c r="AC2467" s="1" t="str">
        <f>IF(INDEX('CAMD Facility Data 2023'!$AE$2:$AG$10000,MATCH(Z2467,'CAMD Facility Data 2023'!$AE$2:$AE$10000,0),3)&gt;0,INDEX('CAMD Facility Data 2023'!$AE$2:$AG$10000,MATCH(Z2467,'CAMD Facility Data 2023'!$AE$2:$AE$10000,0),3),"")</f>
        <v>Y</v>
      </c>
      <c r="AD2467" s="20">
        <f t="shared" si="115"/>
        <v>9.8217160685303131E-2</v>
      </c>
      <c r="AE2467" s="25">
        <f t="shared" si="116"/>
        <v>0.45354076062604021</v>
      </c>
    </row>
    <row r="2468" spans="1:31" x14ac:dyDescent="0.2">
      <c r="A2468" s="1" t="s">
        <v>335</v>
      </c>
      <c r="B2468" s="1" t="s">
        <v>5774</v>
      </c>
      <c r="C2468" s="1">
        <v>55146</v>
      </c>
      <c r="D2468" s="1" t="s">
        <v>5775</v>
      </c>
      <c r="F2468" s="1">
        <v>2023</v>
      </c>
      <c r="G2468" s="5">
        <v>5526</v>
      </c>
      <c r="H2468" s="5">
        <v>5356.56</v>
      </c>
      <c r="I2468" s="5">
        <v>1226972.47</v>
      </c>
      <c r="K2468" s="5">
        <v>2.6360000000000001</v>
      </c>
      <c r="L2468" s="5">
        <v>1E-3</v>
      </c>
      <c r="M2468" s="5">
        <v>522174.24400000001</v>
      </c>
      <c r="N2468" s="6">
        <v>5.8999999999999997E-2</v>
      </c>
      <c r="O2468" s="5">
        <v>147.017</v>
      </c>
      <c r="P2468" s="6">
        <v>5.8299999999999998E-2</v>
      </c>
      <c r="Q2468" s="5">
        <v>8786590.9590000007</v>
      </c>
      <c r="R2468" s="1" t="s">
        <v>44</v>
      </c>
      <c r="T2468" s="1" t="s">
        <v>71</v>
      </c>
      <c r="V2468" s="1" t="s">
        <v>223</v>
      </c>
      <c r="Y2468" s="1" t="s">
        <v>346</v>
      </c>
      <c r="Z2468" s="1" t="str">
        <f t="shared" si="114"/>
        <v>55146 CTGEN1</v>
      </c>
      <c r="AA2468" s="3">
        <f>IF(INDEX('CAMD Facility Data 2023'!$AA$2:$AE$10000,MATCH(Z2468,'CAMD Facility Data 2023'!$AE$2:$AE$10000,0),1)&gt;0,INDEX('CAMD Facility Data 2023'!$AA$2:$AE$10000,MATCH(Z2468,'CAMD Facility Data 2023'!$AE$2:$AE$10000,0),1),"")</f>
        <v>37192</v>
      </c>
      <c r="AB2468" s="5">
        <f>IF(INDEX('CAMD Facility Data 2023'!$AC$2:$AE$10000,MATCH(Z2468,'CAMD Facility Data 2023'!$AE$2:$AE$10000,0),1)&gt;0,INDEX('CAMD Facility Data 2023'!$AC$2:$AE$10000,MATCH(Z2468,'CAMD Facility Data 2023'!$AE$2:$AE$10000,0),1),"")</f>
        <v>2335</v>
      </c>
      <c r="AC2468" s="1" t="str">
        <f>IF(INDEX('CAMD Facility Data 2023'!$AE$2:$AG$10000,MATCH(Z2468,'CAMD Facility Data 2023'!$AE$2:$AE$10000,0),3)&gt;0,INDEX('CAMD Facility Data 2023'!$AE$2:$AG$10000,MATCH(Z2468,'CAMD Facility Data 2023'!$AE$2:$AE$10000,0),3),"")</f>
        <v>Y</v>
      </c>
      <c r="AD2468" s="20">
        <f t="shared" si="115"/>
        <v>0.23964188862362984</v>
      </c>
      <c r="AE2468" s="25">
        <f t="shared" si="116"/>
        <v>0.42956552359860378</v>
      </c>
    </row>
    <row r="2469" spans="1:31" x14ac:dyDescent="0.2">
      <c r="A2469" s="1" t="s">
        <v>335</v>
      </c>
      <c r="B2469" s="1" t="s">
        <v>5774</v>
      </c>
      <c r="C2469" s="1">
        <v>55146</v>
      </c>
      <c r="D2469" s="1" t="s">
        <v>5778</v>
      </c>
      <c r="F2469" s="1">
        <v>2023</v>
      </c>
      <c r="G2469" s="5">
        <v>5386</v>
      </c>
      <c r="H2469" s="5">
        <v>5211.95</v>
      </c>
      <c r="I2469" s="5">
        <v>1197625.32</v>
      </c>
      <c r="K2469" s="5">
        <v>2.524</v>
      </c>
      <c r="L2469" s="5">
        <v>1E-3</v>
      </c>
      <c r="M2469" s="5">
        <v>499999.31599999999</v>
      </c>
      <c r="N2469" s="6">
        <v>5.8999999999999997E-2</v>
      </c>
      <c r="O2469" s="5">
        <v>137.036</v>
      </c>
      <c r="P2469" s="6">
        <v>5.8400000000000001E-2</v>
      </c>
      <c r="Q2469" s="5">
        <v>8413390.4989999998</v>
      </c>
      <c r="R2469" s="1" t="s">
        <v>44</v>
      </c>
      <c r="T2469" s="1" t="s">
        <v>71</v>
      </c>
      <c r="V2469" s="1" t="s">
        <v>223</v>
      </c>
      <c r="Y2469" s="1" t="s">
        <v>346</v>
      </c>
      <c r="Z2469" s="1" t="str">
        <f t="shared" si="114"/>
        <v>55146 CTGEN2</v>
      </c>
      <c r="AA2469" s="3">
        <f>IF(INDEX('CAMD Facility Data 2023'!$AA$2:$AE$10000,MATCH(Z2469,'CAMD Facility Data 2023'!$AE$2:$AE$10000,0),1)&gt;0,INDEX('CAMD Facility Data 2023'!$AA$2:$AE$10000,MATCH(Z2469,'CAMD Facility Data 2023'!$AE$2:$AE$10000,0),1),"")</f>
        <v>37202</v>
      </c>
      <c r="AB2469" s="5">
        <f>IF(INDEX('CAMD Facility Data 2023'!$AC$2:$AE$10000,MATCH(Z2469,'CAMD Facility Data 2023'!$AE$2:$AE$10000,0),1)&gt;0,INDEX('CAMD Facility Data 2023'!$AC$2:$AE$10000,MATCH(Z2469,'CAMD Facility Data 2023'!$AE$2:$AE$10000,0),1),"")</f>
        <v>2335</v>
      </c>
      <c r="AC2469" s="1" t="str">
        <f>IF(INDEX('CAMD Facility Data 2023'!$AE$2:$AG$10000,MATCH(Z2469,'CAMD Facility Data 2023'!$AE$2:$AE$10000,0),3)&gt;0,INDEX('CAMD Facility Data 2023'!$AE$2:$AG$10000,MATCH(Z2469,'CAMD Facility Data 2023'!$AE$2:$AE$10000,0),3),"")</f>
        <v>Y</v>
      </c>
      <c r="AD2469" s="20">
        <f t="shared" si="115"/>
        <v>0.22884619707272053</v>
      </c>
      <c r="AE2469" s="25">
        <f t="shared" si="116"/>
        <v>0.41132021643053396</v>
      </c>
    </row>
    <row r="2470" spans="1:31" x14ac:dyDescent="0.2">
      <c r="A2470" s="1" t="s">
        <v>335</v>
      </c>
      <c r="B2470" s="1" t="s">
        <v>5774</v>
      </c>
      <c r="C2470" s="1">
        <v>55146</v>
      </c>
      <c r="D2470" s="1" t="s">
        <v>5780</v>
      </c>
      <c r="F2470" s="1">
        <v>2023</v>
      </c>
      <c r="G2470" s="5">
        <v>6639</v>
      </c>
      <c r="H2470" s="5">
        <v>6461.78</v>
      </c>
      <c r="I2470" s="5">
        <v>1513433.14</v>
      </c>
      <c r="K2470" s="5">
        <v>3.2309999999999999</v>
      </c>
      <c r="L2470" s="5">
        <v>1E-3</v>
      </c>
      <c r="M2470" s="5">
        <v>639931.88199999998</v>
      </c>
      <c r="N2470" s="6">
        <v>5.8999999999999997E-2</v>
      </c>
      <c r="O2470" s="5">
        <v>165.17599999999999</v>
      </c>
      <c r="P2470" s="6">
        <v>4.8899999999999999E-2</v>
      </c>
      <c r="Q2470" s="5">
        <v>10768118.711999999</v>
      </c>
      <c r="R2470" s="1" t="s">
        <v>44</v>
      </c>
      <c r="T2470" s="1" t="s">
        <v>71</v>
      </c>
      <c r="V2470" s="1" t="s">
        <v>223</v>
      </c>
      <c r="Y2470" s="1" t="s">
        <v>346</v>
      </c>
      <c r="Z2470" s="1" t="str">
        <f t="shared" si="114"/>
        <v>55146 CTGEN3</v>
      </c>
      <c r="AA2470" s="3">
        <f>IF(INDEX('CAMD Facility Data 2023'!$AA$2:$AE$10000,MATCH(Z2470,'CAMD Facility Data 2023'!$AE$2:$AE$10000,0),1)&gt;0,INDEX('CAMD Facility Data 2023'!$AA$2:$AE$10000,MATCH(Z2470,'CAMD Facility Data 2023'!$AE$2:$AE$10000,0),1),"")</f>
        <v>37229</v>
      </c>
      <c r="AB2470" s="5">
        <f>IF(INDEX('CAMD Facility Data 2023'!$AC$2:$AE$10000,MATCH(Z2470,'CAMD Facility Data 2023'!$AE$2:$AE$10000,0),1)&gt;0,INDEX('CAMD Facility Data 2023'!$AC$2:$AE$10000,MATCH(Z2470,'CAMD Facility Data 2023'!$AE$2:$AE$10000,0),1),"")</f>
        <v>2335</v>
      </c>
      <c r="AC2470" s="1" t="str">
        <f>IF(INDEX('CAMD Facility Data 2023'!$AE$2:$AG$10000,MATCH(Z2470,'CAMD Facility Data 2023'!$AE$2:$AE$10000,0),3)&gt;0,INDEX('CAMD Facility Data 2023'!$AE$2:$AG$10000,MATCH(Z2470,'CAMD Facility Data 2023'!$AE$2:$AE$10000,0),3),"")</f>
        <v>Y</v>
      </c>
      <c r="AD2470" s="20">
        <f t="shared" si="115"/>
        <v>0.21827987723329489</v>
      </c>
      <c r="AE2470" s="25">
        <f t="shared" si="116"/>
        <v>0.52643995541345223</v>
      </c>
    </row>
    <row r="2471" spans="1:31" x14ac:dyDescent="0.2">
      <c r="A2471" s="1" t="s">
        <v>1071</v>
      </c>
      <c r="B2471" s="1" t="s">
        <v>5782</v>
      </c>
      <c r="C2471" s="1">
        <v>55148</v>
      </c>
      <c r="D2471" s="1">
        <v>1</v>
      </c>
      <c r="F2471" s="1">
        <v>2023</v>
      </c>
      <c r="G2471" s="5">
        <v>681</v>
      </c>
      <c r="H2471" s="5">
        <v>586.52</v>
      </c>
      <c r="I2471" s="5">
        <v>17240.59</v>
      </c>
      <c r="K2471" s="5">
        <v>5.6000000000000001E-2</v>
      </c>
      <c r="L2471" s="5">
        <v>1E-3</v>
      </c>
      <c r="M2471" s="5">
        <v>11109.304</v>
      </c>
      <c r="N2471" s="6">
        <v>5.9299999999999999E-2</v>
      </c>
      <c r="O2471" s="5">
        <v>7.9640000000000004</v>
      </c>
      <c r="P2471" s="6">
        <v>8.4599999999999995E-2</v>
      </c>
      <c r="Q2471" s="5">
        <v>186920.58</v>
      </c>
      <c r="R2471" s="1" t="s">
        <v>44</v>
      </c>
      <c r="T2471" s="1" t="s">
        <v>93</v>
      </c>
      <c r="V2471" s="1" t="s">
        <v>95</v>
      </c>
      <c r="Y2471" s="1" t="s">
        <v>461</v>
      </c>
      <c r="Z2471" s="1" t="str">
        <f t="shared" si="114"/>
        <v>55148 1</v>
      </c>
      <c r="AA2471" s="3">
        <f>IF(INDEX('CAMD Facility Data 2023'!$AA$2:$AE$10000,MATCH(Z2471,'CAMD Facility Data 2023'!$AE$2:$AE$10000,0),1)&gt;0,INDEX('CAMD Facility Data 2023'!$AA$2:$AE$10000,MATCH(Z2471,'CAMD Facility Data 2023'!$AE$2:$AE$10000,0),1),"")</f>
        <v>36678</v>
      </c>
      <c r="AB2471" s="5">
        <f>IF(INDEX('CAMD Facility Data 2023'!$AC$2:$AE$10000,MATCH(Z2471,'CAMD Facility Data 2023'!$AE$2:$AE$10000,0),1)&gt;0,INDEX('CAMD Facility Data 2023'!$AC$2:$AE$10000,MATCH(Z2471,'CAMD Facility Data 2023'!$AE$2:$AE$10000,0),1),"")</f>
        <v>508</v>
      </c>
      <c r="AC2471" s="1" t="str">
        <f>IF(INDEX('CAMD Facility Data 2023'!$AE$2:$AG$10000,MATCH(Z2471,'CAMD Facility Data 2023'!$AE$2:$AE$10000,0),3)&gt;0,INDEX('CAMD Facility Data 2023'!$AE$2:$AG$10000,MATCH(Z2471,'CAMD Facility Data 2023'!$AE$2:$AE$10000,0),3),"")</f>
        <v/>
      </c>
      <c r="AD2471" s="20">
        <f t="shared" si="115"/>
        <v>0.92386629459896674</v>
      </c>
      <c r="AE2471" s="25">
        <f t="shared" si="116"/>
        <v>4.2003869593355621E-2</v>
      </c>
    </row>
    <row r="2472" spans="1:31" x14ac:dyDescent="0.2">
      <c r="A2472" s="1" t="s">
        <v>1071</v>
      </c>
      <c r="B2472" s="1" t="s">
        <v>5782</v>
      </c>
      <c r="C2472" s="1">
        <v>55148</v>
      </c>
      <c r="D2472" s="1">
        <v>2</v>
      </c>
      <c r="F2472" s="1">
        <v>2023</v>
      </c>
      <c r="G2472" s="5">
        <v>606</v>
      </c>
      <c r="H2472" s="5">
        <v>523.66999999999996</v>
      </c>
      <c r="I2472" s="5">
        <v>15561.81</v>
      </c>
      <c r="K2472" s="5">
        <v>5.0999999999999997E-2</v>
      </c>
      <c r="L2472" s="5">
        <v>1E-3</v>
      </c>
      <c r="M2472" s="5">
        <v>10060.821</v>
      </c>
      <c r="N2472" s="6">
        <v>5.9299999999999999E-2</v>
      </c>
      <c r="O2472" s="5">
        <v>7.4180000000000001</v>
      </c>
      <c r="P2472" s="6">
        <v>8.6499999999999994E-2</v>
      </c>
      <c r="Q2472" s="5">
        <v>169310.18599999999</v>
      </c>
      <c r="R2472" s="1" t="s">
        <v>44</v>
      </c>
      <c r="T2472" s="1" t="s">
        <v>93</v>
      </c>
      <c r="V2472" s="1" t="s">
        <v>95</v>
      </c>
      <c r="Y2472" s="1" t="s">
        <v>461</v>
      </c>
      <c r="Z2472" s="1" t="str">
        <f t="shared" si="114"/>
        <v>55148 2</v>
      </c>
      <c r="AA2472" s="3">
        <f>IF(INDEX('CAMD Facility Data 2023'!$AA$2:$AE$10000,MATCH(Z2472,'CAMD Facility Data 2023'!$AE$2:$AE$10000,0),1)&gt;0,INDEX('CAMD Facility Data 2023'!$AA$2:$AE$10000,MATCH(Z2472,'CAMD Facility Data 2023'!$AE$2:$AE$10000,0),1),"")</f>
        <v>36678</v>
      </c>
      <c r="AB2472" s="5">
        <f>IF(INDEX('CAMD Facility Data 2023'!$AC$2:$AE$10000,MATCH(Z2472,'CAMD Facility Data 2023'!$AE$2:$AE$10000,0),1)&gt;0,INDEX('CAMD Facility Data 2023'!$AC$2:$AE$10000,MATCH(Z2472,'CAMD Facility Data 2023'!$AE$2:$AE$10000,0),1),"")</f>
        <v>508</v>
      </c>
      <c r="AC2472" s="1" t="str">
        <f>IF(INDEX('CAMD Facility Data 2023'!$AE$2:$AG$10000,MATCH(Z2472,'CAMD Facility Data 2023'!$AE$2:$AE$10000,0),3)&gt;0,INDEX('CAMD Facility Data 2023'!$AE$2:$AG$10000,MATCH(Z2472,'CAMD Facility Data 2023'!$AE$2:$AE$10000,0),3),"")</f>
        <v/>
      </c>
      <c r="AD2472" s="20">
        <f t="shared" si="115"/>
        <v>0.95335953851126576</v>
      </c>
      <c r="AE2472" s="25">
        <f t="shared" si="116"/>
        <v>3.8046548826088517E-2</v>
      </c>
    </row>
    <row r="2473" spans="1:31" x14ac:dyDescent="0.2">
      <c r="A2473" s="1" t="s">
        <v>1071</v>
      </c>
      <c r="B2473" s="1" t="s">
        <v>5782</v>
      </c>
      <c r="C2473" s="1">
        <v>55148</v>
      </c>
      <c r="D2473" s="1">
        <v>3</v>
      </c>
      <c r="F2473" s="1">
        <v>2023</v>
      </c>
      <c r="G2473" s="5">
        <v>549</v>
      </c>
      <c r="H2473" s="5">
        <v>469.42</v>
      </c>
      <c r="I2473" s="5">
        <v>13625.11</v>
      </c>
      <c r="K2473" s="5">
        <v>4.5999999999999999E-2</v>
      </c>
      <c r="L2473" s="5">
        <v>1E-3</v>
      </c>
      <c r="M2473" s="5">
        <v>9020.1460000000006</v>
      </c>
      <c r="N2473" s="6">
        <v>5.9200000000000003E-2</v>
      </c>
      <c r="O2473" s="5">
        <v>6.3840000000000003</v>
      </c>
      <c r="P2473" s="6">
        <v>8.3599999999999994E-2</v>
      </c>
      <c r="Q2473" s="5">
        <v>151799.61199999999</v>
      </c>
      <c r="R2473" s="1" t="s">
        <v>44</v>
      </c>
      <c r="T2473" s="1" t="s">
        <v>93</v>
      </c>
      <c r="V2473" s="1" t="s">
        <v>95</v>
      </c>
      <c r="Y2473" s="1" t="s">
        <v>461</v>
      </c>
      <c r="Z2473" s="1" t="str">
        <f t="shared" si="114"/>
        <v>55148 3</v>
      </c>
      <c r="AA2473" s="3">
        <f>IF(INDEX('CAMD Facility Data 2023'!$AA$2:$AE$10000,MATCH(Z2473,'CAMD Facility Data 2023'!$AE$2:$AE$10000,0),1)&gt;0,INDEX('CAMD Facility Data 2023'!$AA$2:$AE$10000,MATCH(Z2473,'CAMD Facility Data 2023'!$AE$2:$AE$10000,0),1),"")</f>
        <v>36678</v>
      </c>
      <c r="AB2473" s="5">
        <f>IF(INDEX('CAMD Facility Data 2023'!$AC$2:$AE$10000,MATCH(Z2473,'CAMD Facility Data 2023'!$AE$2:$AE$10000,0),1)&gt;0,INDEX('CAMD Facility Data 2023'!$AC$2:$AE$10000,MATCH(Z2473,'CAMD Facility Data 2023'!$AE$2:$AE$10000,0),1),"")</f>
        <v>508</v>
      </c>
      <c r="AC2473" s="1" t="str">
        <f>IF(INDEX('CAMD Facility Data 2023'!$AE$2:$AG$10000,MATCH(Z2473,'CAMD Facility Data 2023'!$AE$2:$AE$10000,0),3)&gt;0,INDEX('CAMD Facility Data 2023'!$AE$2:$AG$10000,MATCH(Z2473,'CAMD Facility Data 2023'!$AE$2:$AE$10000,0),3),"")</f>
        <v/>
      </c>
      <c r="AD2473" s="20">
        <f t="shared" si="115"/>
        <v>0.9370933519068837</v>
      </c>
      <c r="AE2473" s="25">
        <f t="shared" si="116"/>
        <v>3.4111659116240603E-2</v>
      </c>
    </row>
    <row r="2474" spans="1:31" x14ac:dyDescent="0.2">
      <c r="A2474" s="1" t="s">
        <v>1071</v>
      </c>
      <c r="B2474" s="1" t="s">
        <v>5782</v>
      </c>
      <c r="C2474" s="1">
        <v>55148</v>
      </c>
      <c r="D2474" s="1">
        <v>4</v>
      </c>
      <c r="F2474" s="1">
        <v>2023</v>
      </c>
      <c r="G2474" s="5">
        <v>575</v>
      </c>
      <c r="H2474" s="5">
        <v>495.26</v>
      </c>
      <c r="I2474" s="5">
        <v>13947.22</v>
      </c>
      <c r="K2474" s="5">
        <v>4.5999999999999999E-2</v>
      </c>
      <c r="L2474" s="5">
        <v>1E-3</v>
      </c>
      <c r="M2474" s="5">
        <v>9135.7420000000002</v>
      </c>
      <c r="N2474" s="6">
        <v>5.9299999999999999E-2</v>
      </c>
      <c r="O2474" s="5">
        <v>5.7629999999999999</v>
      </c>
      <c r="P2474" s="6">
        <v>7.4499999999999997E-2</v>
      </c>
      <c r="Q2474" s="5">
        <v>153729.25</v>
      </c>
      <c r="R2474" s="1" t="s">
        <v>44</v>
      </c>
      <c r="T2474" s="1" t="s">
        <v>93</v>
      </c>
      <c r="V2474" s="1" t="s">
        <v>95</v>
      </c>
      <c r="Y2474" s="1" t="s">
        <v>461</v>
      </c>
      <c r="Z2474" s="1" t="str">
        <f t="shared" si="114"/>
        <v>55148 4</v>
      </c>
      <c r="AA2474" s="3">
        <f>IF(INDEX('CAMD Facility Data 2023'!$AA$2:$AE$10000,MATCH(Z2474,'CAMD Facility Data 2023'!$AE$2:$AE$10000,0),1)&gt;0,INDEX('CAMD Facility Data 2023'!$AA$2:$AE$10000,MATCH(Z2474,'CAMD Facility Data 2023'!$AE$2:$AE$10000,0),1),"")</f>
        <v>36678</v>
      </c>
      <c r="AB2474" s="5">
        <f>IF(INDEX('CAMD Facility Data 2023'!$AC$2:$AE$10000,MATCH(Z2474,'CAMD Facility Data 2023'!$AE$2:$AE$10000,0),1)&gt;0,INDEX('CAMD Facility Data 2023'!$AC$2:$AE$10000,MATCH(Z2474,'CAMD Facility Data 2023'!$AE$2:$AE$10000,0),1),"")</f>
        <v>508</v>
      </c>
      <c r="AC2474" s="1" t="str">
        <f>IF(INDEX('CAMD Facility Data 2023'!$AE$2:$AG$10000,MATCH(Z2474,'CAMD Facility Data 2023'!$AE$2:$AE$10000,0),3)&gt;0,INDEX('CAMD Facility Data 2023'!$AE$2:$AG$10000,MATCH(Z2474,'CAMD Facility Data 2023'!$AE$2:$AE$10000,0),3),"")</f>
        <v/>
      </c>
      <c r="AD2474" s="20">
        <f t="shared" si="115"/>
        <v>0.8264012469868548</v>
      </c>
      <c r="AE2474" s="25">
        <f t="shared" si="116"/>
        <v>3.4545277837701796E-2</v>
      </c>
    </row>
    <row r="2475" spans="1:31" x14ac:dyDescent="0.2">
      <c r="A2475" s="1" t="s">
        <v>577</v>
      </c>
      <c r="B2475" s="1" t="s">
        <v>5784</v>
      </c>
      <c r="C2475" s="1">
        <v>55149</v>
      </c>
      <c r="D2475" s="1" t="s">
        <v>5785</v>
      </c>
      <c r="F2475" s="1">
        <v>2023</v>
      </c>
      <c r="G2475" s="5">
        <v>8260</v>
      </c>
      <c r="H2475" s="5">
        <v>8247.83</v>
      </c>
      <c r="I2475" s="5">
        <v>1212156.8700000001</v>
      </c>
      <c r="K2475" s="5">
        <v>3.968</v>
      </c>
      <c r="L2475" s="5">
        <v>1E-3</v>
      </c>
      <c r="M2475" s="5">
        <v>786065.46699999995</v>
      </c>
      <c r="N2475" s="6">
        <v>5.8999999999999997E-2</v>
      </c>
      <c r="O2475" s="5">
        <v>46.161000000000001</v>
      </c>
      <c r="P2475" s="6">
        <v>7.4999999999999997E-3</v>
      </c>
      <c r="Q2475" s="5">
        <v>13227032.852</v>
      </c>
      <c r="R2475" s="1" t="s">
        <v>44</v>
      </c>
      <c r="S2475" s="1" t="s">
        <v>94</v>
      </c>
      <c r="T2475" s="1" t="s">
        <v>71</v>
      </c>
      <c r="V2475" s="1" t="s">
        <v>643</v>
      </c>
      <c r="Y2475" s="1" t="s">
        <v>579</v>
      </c>
      <c r="Z2475" s="1" t="str">
        <f t="shared" si="114"/>
        <v>55149 LRG1</v>
      </c>
      <c r="AA2475" s="3">
        <f>IF(INDEX('CAMD Facility Data 2023'!$AA$2:$AE$10000,MATCH(Z2475,'CAMD Facility Data 2023'!$AE$2:$AE$10000,0),1)&gt;0,INDEX('CAMD Facility Data 2023'!$AA$2:$AE$10000,MATCH(Z2475,'CAMD Facility Data 2023'!$AE$2:$AE$10000,0),1),"")</f>
        <v>37104</v>
      </c>
      <c r="AB2475" s="5">
        <f>IF(INDEX('CAMD Facility Data 2023'!$AC$2:$AE$10000,MATCH(Z2475,'CAMD Facility Data 2023'!$AE$2:$AE$10000,0),1)&gt;0,INDEX('CAMD Facility Data 2023'!$AC$2:$AE$10000,MATCH(Z2475,'CAMD Facility Data 2023'!$AE$2:$AE$10000,0),1),"")</f>
        <v>2276</v>
      </c>
      <c r="AC2475" s="1" t="str">
        <f>IF(INDEX('CAMD Facility Data 2023'!$AE$2:$AG$10000,MATCH(Z2475,'CAMD Facility Data 2023'!$AE$2:$AE$10000,0),3)&gt;0,INDEX('CAMD Facility Data 2023'!$AE$2:$AG$10000,MATCH(Z2475,'CAMD Facility Data 2023'!$AE$2:$AE$10000,0),3),"")</f>
        <v>Y</v>
      </c>
      <c r="AD2475" s="20">
        <f t="shared" si="115"/>
        <v>7.6163409443861824E-2</v>
      </c>
      <c r="AE2475" s="25">
        <f t="shared" si="116"/>
        <v>0.66341619379509031</v>
      </c>
    </row>
    <row r="2476" spans="1:31" x14ac:dyDescent="0.2">
      <c r="A2476" s="1" t="s">
        <v>577</v>
      </c>
      <c r="B2476" s="1" t="s">
        <v>5784</v>
      </c>
      <c r="C2476" s="1">
        <v>55149</v>
      </c>
      <c r="D2476" s="1" t="s">
        <v>5790</v>
      </c>
      <c r="F2476" s="1">
        <v>2023</v>
      </c>
      <c r="G2476" s="5">
        <v>8061</v>
      </c>
      <c r="H2476" s="5">
        <v>8048.83</v>
      </c>
      <c r="I2476" s="5">
        <v>1238207.74</v>
      </c>
      <c r="K2476" s="5">
        <v>4.0419999999999998</v>
      </c>
      <c r="L2476" s="5">
        <v>1E-3</v>
      </c>
      <c r="M2476" s="5">
        <v>800657.20799999998</v>
      </c>
      <c r="N2476" s="6">
        <v>5.8999999999999997E-2</v>
      </c>
      <c r="O2476" s="5">
        <v>47.027000000000001</v>
      </c>
      <c r="P2476" s="6">
        <v>7.6E-3</v>
      </c>
      <c r="Q2476" s="5">
        <v>13472615.796</v>
      </c>
      <c r="R2476" s="1" t="s">
        <v>44</v>
      </c>
      <c r="S2476" s="1" t="s">
        <v>94</v>
      </c>
      <c r="T2476" s="1" t="s">
        <v>71</v>
      </c>
      <c r="V2476" s="1" t="s">
        <v>643</v>
      </c>
      <c r="Y2476" s="1" t="s">
        <v>579</v>
      </c>
      <c r="Z2476" s="1" t="str">
        <f t="shared" si="114"/>
        <v>55149 LRG2</v>
      </c>
      <c r="AA2476" s="3">
        <f>IF(INDEX('CAMD Facility Data 2023'!$AA$2:$AE$10000,MATCH(Z2476,'CAMD Facility Data 2023'!$AE$2:$AE$10000,0),1)&gt;0,INDEX('CAMD Facility Data 2023'!$AA$2:$AE$10000,MATCH(Z2476,'CAMD Facility Data 2023'!$AE$2:$AE$10000,0),1),"")</f>
        <v>37203</v>
      </c>
      <c r="AB2476" s="5">
        <f>IF(INDEX('CAMD Facility Data 2023'!$AC$2:$AE$10000,MATCH(Z2476,'CAMD Facility Data 2023'!$AE$2:$AE$10000,0),1)&gt;0,INDEX('CAMD Facility Data 2023'!$AC$2:$AE$10000,MATCH(Z2476,'CAMD Facility Data 2023'!$AE$2:$AE$10000,0),1),"")</f>
        <v>2276</v>
      </c>
      <c r="AC2476" s="1" t="str">
        <f>IF(INDEX('CAMD Facility Data 2023'!$AE$2:$AG$10000,MATCH(Z2476,'CAMD Facility Data 2023'!$AE$2:$AE$10000,0),3)&gt;0,INDEX('CAMD Facility Data 2023'!$AE$2:$AG$10000,MATCH(Z2476,'CAMD Facility Data 2023'!$AE$2:$AE$10000,0),3),"")</f>
        <v>Y</v>
      </c>
      <c r="AD2476" s="20">
        <f t="shared" si="115"/>
        <v>7.5959790075290592E-2</v>
      </c>
      <c r="AE2476" s="25">
        <f t="shared" si="116"/>
        <v>0.67573367299034592</v>
      </c>
    </row>
    <row r="2477" spans="1:31" x14ac:dyDescent="0.2">
      <c r="A2477" s="1" t="s">
        <v>577</v>
      </c>
      <c r="B2477" s="1" t="s">
        <v>5784</v>
      </c>
      <c r="C2477" s="1">
        <v>55149</v>
      </c>
      <c r="D2477" s="1" t="s">
        <v>5792</v>
      </c>
      <c r="F2477" s="1">
        <v>2023</v>
      </c>
      <c r="G2477" s="5">
        <v>8560</v>
      </c>
      <c r="H2477" s="5">
        <v>8554.94</v>
      </c>
      <c r="I2477" s="5">
        <v>1267473.28</v>
      </c>
      <c r="K2477" s="5">
        <v>3.992</v>
      </c>
      <c r="L2477" s="5">
        <v>1E-3</v>
      </c>
      <c r="M2477" s="5">
        <v>790775.75199999998</v>
      </c>
      <c r="N2477" s="6">
        <v>5.8999999999999997E-2</v>
      </c>
      <c r="O2477" s="5">
        <v>41.152000000000001</v>
      </c>
      <c r="P2477" s="6">
        <v>6.4000000000000003E-3</v>
      </c>
      <c r="Q2477" s="5">
        <v>13306338.011</v>
      </c>
      <c r="R2477" s="1" t="s">
        <v>44</v>
      </c>
      <c r="S2477" s="1" t="s">
        <v>94</v>
      </c>
      <c r="T2477" s="1" t="s">
        <v>71</v>
      </c>
      <c r="V2477" s="1" t="s">
        <v>643</v>
      </c>
      <c r="Y2477" s="1" t="s">
        <v>579</v>
      </c>
      <c r="Z2477" s="1" t="str">
        <f t="shared" si="114"/>
        <v>55149 LRG3</v>
      </c>
      <c r="AA2477" s="3">
        <f>IF(INDEX('CAMD Facility Data 2023'!$AA$2:$AE$10000,MATCH(Z2477,'CAMD Facility Data 2023'!$AE$2:$AE$10000,0),1)&gt;0,INDEX('CAMD Facility Data 2023'!$AA$2:$AE$10000,MATCH(Z2477,'CAMD Facility Data 2023'!$AE$2:$AE$10000,0),1),"")</f>
        <v>37226</v>
      </c>
      <c r="AB2477" s="5">
        <f>IF(INDEX('CAMD Facility Data 2023'!$AC$2:$AE$10000,MATCH(Z2477,'CAMD Facility Data 2023'!$AE$2:$AE$10000,0),1)&gt;0,INDEX('CAMD Facility Data 2023'!$AC$2:$AE$10000,MATCH(Z2477,'CAMD Facility Data 2023'!$AE$2:$AE$10000,0),1),"")</f>
        <v>2276</v>
      </c>
      <c r="AC2477" s="1" t="str">
        <f>IF(INDEX('CAMD Facility Data 2023'!$AE$2:$AG$10000,MATCH(Z2477,'CAMD Facility Data 2023'!$AE$2:$AE$10000,0),3)&gt;0,INDEX('CAMD Facility Data 2023'!$AE$2:$AG$10000,MATCH(Z2477,'CAMD Facility Data 2023'!$AE$2:$AE$10000,0),3),"")</f>
        <v>Y</v>
      </c>
      <c r="AD2477" s="20">
        <f t="shared" si="115"/>
        <v>6.4935491184476876E-2</v>
      </c>
      <c r="AE2477" s="25">
        <f t="shared" si="116"/>
        <v>0.66739383014942499</v>
      </c>
    </row>
    <row r="2478" spans="1:31" x14ac:dyDescent="0.2">
      <c r="A2478" s="1" t="s">
        <v>370</v>
      </c>
      <c r="B2478" s="1" t="s">
        <v>5794</v>
      </c>
      <c r="C2478" s="1">
        <v>55151</v>
      </c>
      <c r="D2478" s="1" t="s">
        <v>5681</v>
      </c>
      <c r="F2478" s="1">
        <v>2023</v>
      </c>
      <c r="G2478" s="5">
        <v>3116</v>
      </c>
      <c r="H2478" s="5">
        <v>2967.73</v>
      </c>
      <c r="I2478" s="5">
        <v>541438.75</v>
      </c>
      <c r="K2478" s="5">
        <v>1.202</v>
      </c>
      <c r="L2478" s="5">
        <v>1E-3</v>
      </c>
      <c r="M2478" s="5">
        <v>238044.533</v>
      </c>
      <c r="N2478" s="6">
        <v>5.8999999999999997E-2</v>
      </c>
      <c r="O2478" s="5">
        <v>16.248000000000001</v>
      </c>
      <c r="P2478" s="6">
        <v>1.4800000000000001E-2</v>
      </c>
      <c r="Q2478" s="5">
        <v>4005545.949</v>
      </c>
      <c r="R2478" s="1" t="s">
        <v>44</v>
      </c>
      <c r="T2478" s="1" t="s">
        <v>71</v>
      </c>
      <c r="V2478" s="1" t="s">
        <v>64</v>
      </c>
      <c r="Y2478" s="1" t="s">
        <v>247</v>
      </c>
      <c r="Z2478" s="1" t="str">
        <f t="shared" si="114"/>
        <v>55151 CTG-1</v>
      </c>
      <c r="AA2478" s="3">
        <f>IF(INDEX('CAMD Facility Data 2023'!$AA$2:$AE$10000,MATCH(Z2478,'CAMD Facility Data 2023'!$AE$2:$AE$10000,0),1)&gt;0,INDEX('CAMD Facility Data 2023'!$AA$2:$AE$10000,MATCH(Z2478,'CAMD Facility Data 2023'!$AE$2:$AE$10000,0),1),"")</f>
        <v>37339</v>
      </c>
      <c r="AB2478" s="5">
        <f>IF(INDEX('CAMD Facility Data 2023'!$AC$2:$AE$10000,MATCH(Z2478,'CAMD Facility Data 2023'!$AE$2:$AE$10000,0),1)&gt;0,INDEX('CAMD Facility Data 2023'!$AC$2:$AE$10000,MATCH(Z2478,'CAMD Facility Data 2023'!$AE$2:$AE$10000,0),1),"")</f>
        <v>2200</v>
      </c>
      <c r="AC2478" s="1" t="str">
        <f>IF(INDEX('CAMD Facility Data 2023'!$AE$2:$AG$10000,MATCH(Z2478,'CAMD Facility Data 2023'!$AE$2:$AE$10000,0),3)&gt;0,INDEX('CAMD Facility Data 2023'!$AE$2:$AG$10000,MATCH(Z2478,'CAMD Facility Data 2023'!$AE$2:$AE$10000,0),3),"")</f>
        <v>Y</v>
      </c>
      <c r="AD2478" s="20">
        <f t="shared" si="115"/>
        <v>6.0017869057211001E-2</v>
      </c>
      <c r="AE2478" s="25">
        <f t="shared" si="116"/>
        <v>0.2078427744396015</v>
      </c>
    </row>
    <row r="2479" spans="1:31" x14ac:dyDescent="0.2">
      <c r="A2479" s="1" t="s">
        <v>370</v>
      </c>
      <c r="B2479" s="1" t="s">
        <v>5794</v>
      </c>
      <c r="C2479" s="1">
        <v>55151</v>
      </c>
      <c r="D2479" s="1" t="s">
        <v>5684</v>
      </c>
      <c r="F2479" s="1">
        <v>2023</v>
      </c>
      <c r="G2479" s="5">
        <v>3579</v>
      </c>
      <c r="H2479" s="5">
        <v>3440.41</v>
      </c>
      <c r="I2479" s="5">
        <v>641196.93999999994</v>
      </c>
      <c r="K2479" s="5">
        <v>1.417</v>
      </c>
      <c r="L2479" s="5">
        <v>1E-3</v>
      </c>
      <c r="M2479" s="5">
        <v>280719.19900000002</v>
      </c>
      <c r="N2479" s="6">
        <v>5.8999999999999997E-2</v>
      </c>
      <c r="O2479" s="5">
        <v>18.248000000000001</v>
      </c>
      <c r="P2479" s="6">
        <v>1.35E-2</v>
      </c>
      <c r="Q2479" s="5">
        <v>4723720.3969999999</v>
      </c>
      <c r="R2479" s="1" t="s">
        <v>44</v>
      </c>
      <c r="T2479" s="1" t="s">
        <v>71</v>
      </c>
      <c r="V2479" s="1" t="s">
        <v>64</v>
      </c>
      <c r="Y2479" s="1" t="s">
        <v>247</v>
      </c>
      <c r="Z2479" s="1" t="str">
        <f t="shared" si="114"/>
        <v>55151 CTG-2</v>
      </c>
      <c r="AA2479" s="3">
        <f>IF(INDEX('CAMD Facility Data 2023'!$AA$2:$AE$10000,MATCH(Z2479,'CAMD Facility Data 2023'!$AE$2:$AE$10000,0),1)&gt;0,INDEX('CAMD Facility Data 2023'!$AA$2:$AE$10000,MATCH(Z2479,'CAMD Facility Data 2023'!$AE$2:$AE$10000,0),1),"")</f>
        <v>37414</v>
      </c>
      <c r="AB2479" s="5">
        <f>IF(INDEX('CAMD Facility Data 2023'!$AC$2:$AE$10000,MATCH(Z2479,'CAMD Facility Data 2023'!$AE$2:$AE$10000,0),1)&gt;0,INDEX('CAMD Facility Data 2023'!$AC$2:$AE$10000,MATCH(Z2479,'CAMD Facility Data 2023'!$AE$2:$AE$10000,0),1),"")</f>
        <v>2200</v>
      </c>
      <c r="AC2479" s="1" t="str">
        <f>IF(INDEX('CAMD Facility Data 2023'!$AE$2:$AG$10000,MATCH(Z2479,'CAMD Facility Data 2023'!$AE$2:$AE$10000,0),3)&gt;0,INDEX('CAMD Facility Data 2023'!$AE$2:$AG$10000,MATCH(Z2479,'CAMD Facility Data 2023'!$AE$2:$AE$10000,0),3),"")</f>
        <v>Y</v>
      </c>
      <c r="AD2479" s="20">
        <f t="shared" si="115"/>
        <v>5.6918549860827478E-2</v>
      </c>
      <c r="AE2479" s="25">
        <f t="shared" si="116"/>
        <v>0.24510794920091322</v>
      </c>
    </row>
    <row r="2480" spans="1:31" x14ac:dyDescent="0.2">
      <c r="A2480" s="1" t="s">
        <v>370</v>
      </c>
      <c r="B2480" s="1" t="s">
        <v>5794</v>
      </c>
      <c r="C2480" s="1">
        <v>55151</v>
      </c>
      <c r="D2480" s="1" t="s">
        <v>5750</v>
      </c>
      <c r="F2480" s="1">
        <v>2023</v>
      </c>
      <c r="G2480" s="5">
        <v>3822</v>
      </c>
      <c r="H2480" s="5">
        <v>3672.83</v>
      </c>
      <c r="I2480" s="5">
        <v>647676.31999999995</v>
      </c>
      <c r="K2480" s="5">
        <v>1.4330000000000001</v>
      </c>
      <c r="L2480" s="5">
        <v>1E-3</v>
      </c>
      <c r="M2480" s="5">
        <v>283865.18900000001</v>
      </c>
      <c r="N2480" s="6">
        <v>5.8999999999999997E-2</v>
      </c>
      <c r="O2480" s="5">
        <v>16.838999999999999</v>
      </c>
      <c r="P2480" s="6">
        <v>1.09E-2</v>
      </c>
      <c r="Q2480" s="5">
        <v>4776644.6869999999</v>
      </c>
      <c r="R2480" s="1" t="s">
        <v>44</v>
      </c>
      <c r="T2480" s="1" t="s">
        <v>71</v>
      </c>
      <c r="V2480" s="1" t="s">
        <v>64</v>
      </c>
      <c r="Y2480" s="1" t="s">
        <v>247</v>
      </c>
      <c r="Z2480" s="1" t="str">
        <f t="shared" si="114"/>
        <v>55151 CTG-3</v>
      </c>
      <c r="AA2480" s="3">
        <f>IF(INDEX('CAMD Facility Data 2023'!$AA$2:$AE$10000,MATCH(Z2480,'CAMD Facility Data 2023'!$AE$2:$AE$10000,0),1)&gt;0,INDEX('CAMD Facility Data 2023'!$AA$2:$AE$10000,MATCH(Z2480,'CAMD Facility Data 2023'!$AE$2:$AE$10000,0),1),"")</f>
        <v>37462</v>
      </c>
      <c r="AB2480" s="5">
        <f>IF(INDEX('CAMD Facility Data 2023'!$AC$2:$AE$10000,MATCH(Z2480,'CAMD Facility Data 2023'!$AE$2:$AE$10000,0),1)&gt;0,INDEX('CAMD Facility Data 2023'!$AC$2:$AE$10000,MATCH(Z2480,'CAMD Facility Data 2023'!$AE$2:$AE$10000,0),1),"")</f>
        <v>2200</v>
      </c>
      <c r="AC2480" s="1" t="str">
        <f>IF(INDEX('CAMD Facility Data 2023'!$AE$2:$AG$10000,MATCH(Z2480,'CAMD Facility Data 2023'!$AE$2:$AE$10000,0),3)&gt;0,INDEX('CAMD Facility Data 2023'!$AE$2:$AG$10000,MATCH(Z2480,'CAMD Facility Data 2023'!$AE$2:$AE$10000,0),3),"")</f>
        <v>Y</v>
      </c>
      <c r="AD2480" s="20">
        <f t="shared" si="115"/>
        <v>5.1998195641921881E-2</v>
      </c>
      <c r="AE2480" s="25">
        <f t="shared" si="116"/>
        <v>0.24785412448111249</v>
      </c>
    </row>
    <row r="2481" spans="1:31" x14ac:dyDescent="0.2">
      <c r="A2481" s="1" t="s">
        <v>370</v>
      </c>
      <c r="B2481" s="1" t="s">
        <v>5794</v>
      </c>
      <c r="C2481" s="1">
        <v>55151</v>
      </c>
      <c r="D2481" s="1" t="s">
        <v>5799</v>
      </c>
      <c r="F2481" s="1">
        <v>2023</v>
      </c>
      <c r="G2481" s="5">
        <v>3046</v>
      </c>
      <c r="H2481" s="5">
        <v>2911.52</v>
      </c>
      <c r="I2481" s="5">
        <v>540921.78</v>
      </c>
      <c r="K2481" s="5">
        <v>1.1910000000000001</v>
      </c>
      <c r="L2481" s="5">
        <v>1E-3</v>
      </c>
      <c r="M2481" s="5">
        <v>235826.46400000001</v>
      </c>
      <c r="N2481" s="6">
        <v>5.8999999999999997E-2</v>
      </c>
      <c r="O2481" s="5">
        <v>11.986000000000001</v>
      </c>
      <c r="P2481" s="6">
        <v>1.2E-2</v>
      </c>
      <c r="Q2481" s="5">
        <v>3968295.0490000001</v>
      </c>
      <c r="R2481" s="1" t="s">
        <v>44</v>
      </c>
      <c r="T2481" s="1" t="s">
        <v>71</v>
      </c>
      <c r="V2481" s="1" t="s">
        <v>64</v>
      </c>
      <c r="Y2481" s="1" t="s">
        <v>247</v>
      </c>
      <c r="Z2481" s="1" t="str">
        <f t="shared" si="114"/>
        <v>55151 CTG-4</v>
      </c>
      <c r="AA2481" s="3">
        <f>IF(INDEX('CAMD Facility Data 2023'!$AA$2:$AE$10000,MATCH(Z2481,'CAMD Facility Data 2023'!$AE$2:$AE$10000,0),1)&gt;0,INDEX('CAMD Facility Data 2023'!$AA$2:$AE$10000,MATCH(Z2481,'CAMD Facility Data 2023'!$AE$2:$AE$10000,0),1),"")</f>
        <v>37515</v>
      </c>
      <c r="AB2481" s="5">
        <f>IF(INDEX('CAMD Facility Data 2023'!$AC$2:$AE$10000,MATCH(Z2481,'CAMD Facility Data 2023'!$AE$2:$AE$10000,0),1)&gt;0,INDEX('CAMD Facility Data 2023'!$AC$2:$AE$10000,MATCH(Z2481,'CAMD Facility Data 2023'!$AE$2:$AE$10000,0),1),"")</f>
        <v>2200</v>
      </c>
      <c r="AC2481" s="1" t="str">
        <f>IF(INDEX('CAMD Facility Data 2023'!$AE$2:$AG$10000,MATCH(Z2481,'CAMD Facility Data 2023'!$AE$2:$AE$10000,0),3)&gt;0,INDEX('CAMD Facility Data 2023'!$AE$2:$AG$10000,MATCH(Z2481,'CAMD Facility Data 2023'!$AE$2:$AE$10000,0),3),"")</f>
        <v>Y</v>
      </c>
      <c r="AD2481" s="20">
        <f t="shared" si="115"/>
        <v>4.4316943569918742E-2</v>
      </c>
      <c r="AE2481" s="25">
        <f t="shared" si="116"/>
        <v>0.20590987178289746</v>
      </c>
    </row>
    <row r="2482" spans="1:31" x14ac:dyDescent="0.2">
      <c r="A2482" s="1" t="s">
        <v>383</v>
      </c>
      <c r="B2482" s="1" t="s">
        <v>5801</v>
      </c>
      <c r="C2482" s="1">
        <v>55153</v>
      </c>
      <c r="D2482" s="1" t="s">
        <v>5681</v>
      </c>
      <c r="F2482" s="1">
        <v>2023</v>
      </c>
      <c r="G2482" s="5">
        <v>7645</v>
      </c>
      <c r="H2482" s="5">
        <v>7596.54</v>
      </c>
      <c r="I2482" s="5">
        <v>1819396.15</v>
      </c>
      <c r="K2482" s="5">
        <v>4.0750000000000002</v>
      </c>
      <c r="L2482" s="5">
        <v>1E-3</v>
      </c>
      <c r="M2482" s="5">
        <v>807141.152</v>
      </c>
      <c r="N2482" s="6">
        <v>5.8999999999999997E-2</v>
      </c>
      <c r="O2482" s="5">
        <v>229.041</v>
      </c>
      <c r="P2482" s="6">
        <v>3.4500000000000003E-2</v>
      </c>
      <c r="Q2482" s="5">
        <v>13581767.107999999</v>
      </c>
      <c r="R2482" s="1" t="s">
        <v>44</v>
      </c>
      <c r="T2482" s="1" t="s">
        <v>71</v>
      </c>
      <c r="V2482" s="1" t="s">
        <v>140</v>
      </c>
      <c r="Y2482" s="1" t="s">
        <v>346</v>
      </c>
      <c r="Z2482" s="1" t="str">
        <f t="shared" si="114"/>
        <v>55153 CTG-1</v>
      </c>
      <c r="AA2482" s="3">
        <f>IF(INDEX('CAMD Facility Data 2023'!$AA$2:$AE$10000,MATCH(Z2482,'CAMD Facility Data 2023'!$AE$2:$AE$10000,0),1)&gt;0,INDEX('CAMD Facility Data 2023'!$AA$2:$AE$10000,MATCH(Z2482,'CAMD Facility Data 2023'!$AE$2:$AE$10000,0),1),"")</f>
        <v>36880</v>
      </c>
      <c r="AB2482" s="5">
        <f>IF(INDEX('CAMD Facility Data 2023'!$AC$2:$AE$10000,MATCH(Z2482,'CAMD Facility Data 2023'!$AE$2:$AE$10000,0),1)&gt;0,INDEX('CAMD Facility Data 2023'!$AC$2:$AE$10000,MATCH(Z2482,'CAMD Facility Data 2023'!$AE$2:$AE$10000,0),1),"")</f>
        <v>2225</v>
      </c>
      <c r="AC2482" s="1" t="str">
        <f>IF(INDEX('CAMD Facility Data 2023'!$AE$2:$AG$10000,MATCH(Z2482,'CAMD Facility Data 2023'!$AE$2:$AE$10000,0),3)&gt;0,INDEX('CAMD Facility Data 2023'!$AE$2:$AG$10000,MATCH(Z2482,'CAMD Facility Data 2023'!$AE$2:$AE$10000,0),3),"")</f>
        <v/>
      </c>
      <c r="AD2482" s="20">
        <f t="shared" si="115"/>
        <v>0.25177694258614325</v>
      </c>
      <c r="AE2482" s="25">
        <f t="shared" si="116"/>
        <v>0.69682248771227739</v>
      </c>
    </row>
    <row r="2483" spans="1:31" x14ac:dyDescent="0.2">
      <c r="A2483" s="1" t="s">
        <v>383</v>
      </c>
      <c r="B2483" s="1" t="s">
        <v>5801</v>
      </c>
      <c r="C2483" s="1">
        <v>55153</v>
      </c>
      <c r="D2483" s="1" t="s">
        <v>5684</v>
      </c>
      <c r="F2483" s="1">
        <v>2023</v>
      </c>
      <c r="G2483" s="5">
        <v>7782</v>
      </c>
      <c r="H2483" s="5">
        <v>7733.7</v>
      </c>
      <c r="I2483" s="5">
        <v>1900800.91</v>
      </c>
      <c r="K2483" s="5">
        <v>4.1580000000000004</v>
      </c>
      <c r="L2483" s="5">
        <v>1E-3</v>
      </c>
      <c r="M2483" s="5">
        <v>823588.55299999996</v>
      </c>
      <c r="N2483" s="6">
        <v>5.8999999999999997E-2</v>
      </c>
      <c r="O2483" s="5">
        <v>233.62200000000001</v>
      </c>
      <c r="P2483" s="6">
        <v>3.4500000000000003E-2</v>
      </c>
      <c r="Q2483" s="5">
        <v>13858436.478</v>
      </c>
      <c r="R2483" s="1" t="s">
        <v>44</v>
      </c>
      <c r="T2483" s="1" t="s">
        <v>71</v>
      </c>
      <c r="V2483" s="1" t="s">
        <v>140</v>
      </c>
      <c r="Y2483" s="1" t="s">
        <v>346</v>
      </c>
      <c r="Z2483" s="1" t="str">
        <f t="shared" si="114"/>
        <v>55153 CTG-2</v>
      </c>
      <c r="AA2483" s="3">
        <f>IF(INDEX('CAMD Facility Data 2023'!$AA$2:$AE$10000,MATCH(Z2483,'CAMD Facility Data 2023'!$AE$2:$AE$10000,0),1)&gt;0,INDEX('CAMD Facility Data 2023'!$AA$2:$AE$10000,MATCH(Z2483,'CAMD Facility Data 2023'!$AE$2:$AE$10000,0),1),"")</f>
        <v>36880</v>
      </c>
      <c r="AB2483" s="5">
        <f>IF(INDEX('CAMD Facility Data 2023'!$AC$2:$AE$10000,MATCH(Z2483,'CAMD Facility Data 2023'!$AE$2:$AE$10000,0),1)&gt;0,INDEX('CAMD Facility Data 2023'!$AC$2:$AE$10000,MATCH(Z2483,'CAMD Facility Data 2023'!$AE$2:$AE$10000,0),1),"")</f>
        <v>2225</v>
      </c>
      <c r="AC2483" s="1" t="str">
        <f>IF(INDEX('CAMD Facility Data 2023'!$AE$2:$AG$10000,MATCH(Z2483,'CAMD Facility Data 2023'!$AE$2:$AE$10000,0),3)&gt;0,INDEX('CAMD Facility Data 2023'!$AE$2:$AG$10000,MATCH(Z2483,'CAMD Facility Data 2023'!$AE$2:$AE$10000,0),3),"")</f>
        <v/>
      </c>
      <c r="AD2483" s="20">
        <f t="shared" si="115"/>
        <v>0.24581427625684377</v>
      </c>
      <c r="AE2483" s="25">
        <f t="shared" si="116"/>
        <v>0.71101721194397416</v>
      </c>
    </row>
    <row r="2484" spans="1:31" x14ac:dyDescent="0.2">
      <c r="A2484" s="1" t="s">
        <v>383</v>
      </c>
      <c r="B2484" s="1" t="s">
        <v>5801</v>
      </c>
      <c r="C2484" s="1">
        <v>55153</v>
      </c>
      <c r="D2484" s="1" t="s">
        <v>5750</v>
      </c>
      <c r="F2484" s="1">
        <v>2023</v>
      </c>
      <c r="G2484" s="5">
        <v>7486</v>
      </c>
      <c r="H2484" s="5">
        <v>7443.79</v>
      </c>
      <c r="I2484" s="5">
        <v>1785426.31</v>
      </c>
      <c r="K2484" s="5">
        <v>3.984</v>
      </c>
      <c r="L2484" s="5">
        <v>1E-3</v>
      </c>
      <c r="M2484" s="5">
        <v>789107.10100000002</v>
      </c>
      <c r="N2484" s="6">
        <v>5.8999999999999997E-2</v>
      </c>
      <c r="O2484" s="5">
        <v>215.75899999999999</v>
      </c>
      <c r="P2484" s="6">
        <v>3.3000000000000002E-2</v>
      </c>
      <c r="Q2484" s="5">
        <v>13278231.109999999</v>
      </c>
      <c r="R2484" s="1" t="s">
        <v>44</v>
      </c>
      <c r="T2484" s="1" t="s">
        <v>71</v>
      </c>
      <c r="V2484" s="1" t="s">
        <v>140</v>
      </c>
      <c r="Y2484" s="1" t="s">
        <v>346</v>
      </c>
      <c r="Z2484" s="1" t="str">
        <f t="shared" si="114"/>
        <v>55153 CTG-3</v>
      </c>
      <c r="AA2484" s="3">
        <f>IF(INDEX('CAMD Facility Data 2023'!$AA$2:$AE$10000,MATCH(Z2484,'CAMD Facility Data 2023'!$AE$2:$AE$10000,0),1)&gt;0,INDEX('CAMD Facility Data 2023'!$AA$2:$AE$10000,MATCH(Z2484,'CAMD Facility Data 2023'!$AE$2:$AE$10000,0),1),"")</f>
        <v>36880</v>
      </c>
      <c r="AB2484" s="5">
        <f>IF(INDEX('CAMD Facility Data 2023'!$AC$2:$AE$10000,MATCH(Z2484,'CAMD Facility Data 2023'!$AE$2:$AE$10000,0),1)&gt;0,INDEX('CAMD Facility Data 2023'!$AC$2:$AE$10000,MATCH(Z2484,'CAMD Facility Data 2023'!$AE$2:$AE$10000,0),1),"")</f>
        <v>2225</v>
      </c>
      <c r="AC2484" s="1" t="str">
        <f>IF(INDEX('CAMD Facility Data 2023'!$AE$2:$AG$10000,MATCH(Z2484,'CAMD Facility Data 2023'!$AE$2:$AE$10000,0),3)&gt;0,INDEX('CAMD Facility Data 2023'!$AE$2:$AG$10000,MATCH(Z2484,'CAMD Facility Data 2023'!$AE$2:$AE$10000,0),3),"")</f>
        <v/>
      </c>
      <c r="AD2484" s="20">
        <f t="shared" si="115"/>
        <v>0.24168905632403276</v>
      </c>
      <c r="AE2484" s="25">
        <f t="shared" si="116"/>
        <v>0.68124935149556198</v>
      </c>
    </row>
    <row r="2485" spans="1:31" x14ac:dyDescent="0.2">
      <c r="A2485" s="1" t="s">
        <v>383</v>
      </c>
      <c r="B2485" s="1" t="s">
        <v>5801</v>
      </c>
      <c r="C2485" s="1">
        <v>55153</v>
      </c>
      <c r="D2485" s="1" t="s">
        <v>5799</v>
      </c>
      <c r="F2485" s="1">
        <v>2023</v>
      </c>
      <c r="G2485" s="5">
        <v>6882</v>
      </c>
      <c r="H2485" s="5">
        <v>6839.37</v>
      </c>
      <c r="I2485" s="5">
        <v>1668056.48</v>
      </c>
      <c r="K2485" s="5">
        <v>3.6890000000000001</v>
      </c>
      <c r="L2485" s="5">
        <v>1E-3</v>
      </c>
      <c r="M2485" s="5">
        <v>730781.80599999998</v>
      </c>
      <c r="N2485" s="6">
        <v>5.8999999999999997E-2</v>
      </c>
      <c r="O2485" s="5">
        <v>214.489</v>
      </c>
      <c r="P2485" s="6">
        <v>3.5400000000000001E-2</v>
      </c>
      <c r="Q2485" s="5">
        <v>12296814.361</v>
      </c>
      <c r="R2485" s="1" t="s">
        <v>44</v>
      </c>
      <c r="T2485" s="1" t="s">
        <v>71</v>
      </c>
      <c r="V2485" s="1" t="s">
        <v>140</v>
      </c>
      <c r="Y2485" s="1" t="s">
        <v>346</v>
      </c>
      <c r="Z2485" s="1" t="str">
        <f t="shared" si="114"/>
        <v>55153 CTG-4</v>
      </c>
      <c r="AA2485" s="3">
        <f>IF(INDEX('CAMD Facility Data 2023'!$AA$2:$AE$10000,MATCH(Z2485,'CAMD Facility Data 2023'!$AE$2:$AE$10000,0),1)&gt;0,INDEX('CAMD Facility Data 2023'!$AA$2:$AE$10000,MATCH(Z2485,'CAMD Facility Data 2023'!$AE$2:$AE$10000,0),1),"")</f>
        <v>36880</v>
      </c>
      <c r="AB2485" s="5">
        <f>IF(INDEX('CAMD Facility Data 2023'!$AC$2:$AE$10000,MATCH(Z2485,'CAMD Facility Data 2023'!$AE$2:$AE$10000,0),1)&gt;0,INDEX('CAMD Facility Data 2023'!$AC$2:$AE$10000,MATCH(Z2485,'CAMD Facility Data 2023'!$AE$2:$AE$10000,0),1),"")</f>
        <v>2225</v>
      </c>
      <c r="AC2485" s="1" t="str">
        <f>IF(INDEX('CAMD Facility Data 2023'!$AE$2:$AG$10000,MATCH(Z2485,'CAMD Facility Data 2023'!$AE$2:$AE$10000,0),3)&gt;0,INDEX('CAMD Facility Data 2023'!$AE$2:$AG$10000,MATCH(Z2485,'CAMD Facility Data 2023'!$AE$2:$AE$10000,0),3),"")</f>
        <v/>
      </c>
      <c r="AD2485" s="20">
        <f t="shared" si="115"/>
        <v>0.25717234706584996</v>
      </c>
      <c r="AE2485" s="25">
        <f t="shared" si="116"/>
        <v>0.63089704791955259</v>
      </c>
    </row>
    <row r="2486" spans="1:31" x14ac:dyDescent="0.2">
      <c r="A2486" s="1" t="s">
        <v>383</v>
      </c>
      <c r="B2486" s="1" t="s">
        <v>5808</v>
      </c>
      <c r="C2486" s="1">
        <v>55154</v>
      </c>
      <c r="D2486" s="1">
        <v>1</v>
      </c>
      <c r="F2486" s="1">
        <v>2023</v>
      </c>
      <c r="G2486" s="5">
        <v>6836</v>
      </c>
      <c r="H2486" s="5">
        <v>6769.84</v>
      </c>
      <c r="I2486" s="5">
        <v>1074255.78</v>
      </c>
      <c r="K2486" s="5">
        <v>3.484</v>
      </c>
      <c r="L2486" s="5">
        <v>1E-3</v>
      </c>
      <c r="M2486" s="5">
        <v>690142.74</v>
      </c>
      <c r="N2486" s="6">
        <v>5.8999999999999997E-2</v>
      </c>
      <c r="O2486" s="5">
        <v>73.503</v>
      </c>
      <c r="P2486" s="6">
        <v>1.37E-2</v>
      </c>
      <c r="Q2486" s="5">
        <v>11612954.139</v>
      </c>
      <c r="R2486" s="1" t="s">
        <v>44</v>
      </c>
      <c r="T2486" s="1" t="s">
        <v>71</v>
      </c>
      <c r="V2486" s="1" t="s">
        <v>223</v>
      </c>
      <c r="Y2486" s="1" t="s">
        <v>346</v>
      </c>
      <c r="Z2486" s="1" t="str">
        <f t="shared" si="114"/>
        <v>55154 1</v>
      </c>
      <c r="AA2486" s="3">
        <f>IF(INDEX('CAMD Facility Data 2023'!$AA$2:$AE$10000,MATCH(Z2486,'CAMD Facility Data 2023'!$AE$2:$AE$10000,0),1)&gt;0,INDEX('CAMD Facility Data 2023'!$AA$2:$AE$10000,MATCH(Z2486,'CAMD Facility Data 2023'!$AE$2:$AE$10000,0),1),"")</f>
        <v>36963</v>
      </c>
      <c r="AB2486" s="5">
        <f>IF(INDEX('CAMD Facility Data 2023'!$AC$2:$AE$10000,MATCH(Z2486,'CAMD Facility Data 2023'!$AE$2:$AE$10000,0),1)&gt;0,INDEX('CAMD Facility Data 2023'!$AC$2:$AE$10000,MATCH(Z2486,'CAMD Facility Data 2023'!$AE$2:$AE$10000,0),1),"")</f>
        <v>1990</v>
      </c>
      <c r="AC2486" s="1" t="str">
        <f>IF(INDEX('CAMD Facility Data 2023'!$AE$2:$AG$10000,MATCH(Z2486,'CAMD Facility Data 2023'!$AE$2:$AE$10000,0),3)&gt;0,INDEX('CAMD Facility Data 2023'!$AE$2:$AG$10000,MATCH(Z2486,'CAMD Facility Data 2023'!$AE$2:$AE$10000,0),3),"")</f>
        <v>Y</v>
      </c>
      <c r="AD2486" s="20">
        <f t="shared" si="115"/>
        <v>0.13684450457413411</v>
      </c>
      <c r="AE2486" s="25">
        <f t="shared" si="116"/>
        <v>0.66617070162456116</v>
      </c>
    </row>
    <row r="2487" spans="1:31" x14ac:dyDescent="0.2">
      <c r="A2487" s="1" t="s">
        <v>383</v>
      </c>
      <c r="B2487" s="1" t="s">
        <v>5808</v>
      </c>
      <c r="C2487" s="1">
        <v>55154</v>
      </c>
      <c r="D2487" s="1">
        <v>2</v>
      </c>
      <c r="F2487" s="1">
        <v>2023</v>
      </c>
      <c r="G2487" s="5">
        <v>6729</v>
      </c>
      <c r="H2487" s="5">
        <v>6678.46</v>
      </c>
      <c r="I2487" s="5">
        <v>1067281.3799999999</v>
      </c>
      <c r="K2487" s="5">
        <v>3.452</v>
      </c>
      <c r="L2487" s="5">
        <v>1E-3</v>
      </c>
      <c r="M2487" s="5">
        <v>683853.81900000002</v>
      </c>
      <c r="N2487" s="6">
        <v>5.8999999999999997E-2</v>
      </c>
      <c r="O2487" s="5">
        <v>71.269000000000005</v>
      </c>
      <c r="P2487" s="6">
        <v>1.32E-2</v>
      </c>
      <c r="Q2487" s="5">
        <v>11507093.638</v>
      </c>
      <c r="R2487" s="1" t="s">
        <v>44</v>
      </c>
      <c r="T2487" s="1" t="s">
        <v>71</v>
      </c>
      <c r="V2487" s="1" t="s">
        <v>223</v>
      </c>
      <c r="Y2487" s="1" t="s">
        <v>346</v>
      </c>
      <c r="Z2487" s="1" t="str">
        <f t="shared" si="114"/>
        <v>55154 2</v>
      </c>
      <c r="AA2487" s="3">
        <f>IF(INDEX('CAMD Facility Data 2023'!$AA$2:$AE$10000,MATCH(Z2487,'CAMD Facility Data 2023'!$AE$2:$AE$10000,0),1)&gt;0,INDEX('CAMD Facility Data 2023'!$AA$2:$AE$10000,MATCH(Z2487,'CAMD Facility Data 2023'!$AE$2:$AE$10000,0),1),"")</f>
        <v>36963</v>
      </c>
      <c r="AB2487" s="5">
        <f>IF(INDEX('CAMD Facility Data 2023'!$AC$2:$AE$10000,MATCH(Z2487,'CAMD Facility Data 2023'!$AE$2:$AE$10000,0),1)&gt;0,INDEX('CAMD Facility Data 2023'!$AC$2:$AE$10000,MATCH(Z2487,'CAMD Facility Data 2023'!$AE$2:$AE$10000,0),1),"")</f>
        <v>1990</v>
      </c>
      <c r="AC2487" s="1" t="str">
        <f>IF(INDEX('CAMD Facility Data 2023'!$AE$2:$AG$10000,MATCH(Z2487,'CAMD Facility Data 2023'!$AE$2:$AE$10000,0),3)&gt;0,INDEX('CAMD Facility Data 2023'!$AE$2:$AG$10000,MATCH(Z2487,'CAMD Facility Data 2023'!$AE$2:$AE$10000,0),3),"")</f>
        <v>Y</v>
      </c>
      <c r="AD2487" s="20">
        <f t="shared" si="115"/>
        <v>0.13355240958106102</v>
      </c>
      <c r="AE2487" s="25">
        <f t="shared" si="116"/>
        <v>0.66009807243982466</v>
      </c>
    </row>
    <row r="2488" spans="1:31" x14ac:dyDescent="0.2">
      <c r="A2488" s="1" t="s">
        <v>165</v>
      </c>
      <c r="B2488" s="1" t="s">
        <v>5812</v>
      </c>
      <c r="C2488" s="1">
        <v>55164</v>
      </c>
      <c r="D2488" s="1" t="s">
        <v>5813</v>
      </c>
      <c r="F2488" s="1">
        <v>2023</v>
      </c>
      <c r="G2488" s="5">
        <v>143</v>
      </c>
      <c r="H2488" s="5">
        <v>118.73</v>
      </c>
      <c r="I2488" s="5">
        <v>14784.51</v>
      </c>
      <c r="K2488" s="5">
        <v>5.2999999999999999E-2</v>
      </c>
      <c r="L2488" s="5">
        <v>1E-3</v>
      </c>
      <c r="M2488" s="5">
        <v>10384.971</v>
      </c>
      <c r="N2488" s="6">
        <v>5.9799999999999999E-2</v>
      </c>
      <c r="O2488" s="5">
        <v>5.8920000000000003</v>
      </c>
      <c r="P2488" s="6">
        <v>7.6100000000000001E-2</v>
      </c>
      <c r="Q2488" s="5">
        <v>173277.52</v>
      </c>
      <c r="R2488" s="1" t="s">
        <v>44</v>
      </c>
      <c r="S2488" s="1" t="s">
        <v>94</v>
      </c>
      <c r="T2488" s="1" t="s">
        <v>93</v>
      </c>
      <c r="V2488" s="1" t="s">
        <v>64</v>
      </c>
      <c r="Y2488" s="1" t="s">
        <v>168</v>
      </c>
      <c r="Z2488" s="1" t="str">
        <f t="shared" si="114"/>
        <v>55164 GTG1</v>
      </c>
      <c r="AA2488" s="3">
        <f>IF(INDEX('CAMD Facility Data 2023'!$AA$2:$AE$10000,MATCH(Z2488,'CAMD Facility Data 2023'!$AE$2:$AE$10000,0),1)&gt;0,INDEX('CAMD Facility Data 2023'!$AA$2:$AE$10000,MATCH(Z2488,'CAMD Facility Data 2023'!$AE$2:$AE$10000,0),1),"")</f>
        <v>37326</v>
      </c>
      <c r="AB2488" s="5">
        <f>IF(INDEX('CAMD Facility Data 2023'!$AC$2:$AE$10000,MATCH(Z2488,'CAMD Facility Data 2023'!$AE$2:$AE$10000,0),1)&gt;0,INDEX('CAMD Facility Data 2023'!$AC$2:$AE$10000,MATCH(Z2488,'CAMD Facility Data 2023'!$AE$2:$AE$10000,0),1),"")</f>
        <v>2076</v>
      </c>
      <c r="AC2488" s="1" t="str">
        <f>IF(INDEX('CAMD Facility Data 2023'!$AE$2:$AG$10000,MATCH(Z2488,'CAMD Facility Data 2023'!$AE$2:$AE$10000,0),3)&gt;0,INDEX('CAMD Facility Data 2023'!$AE$2:$AG$10000,MATCH(Z2488,'CAMD Facility Data 2023'!$AE$2:$AE$10000,0),3),"")</f>
        <v>Y</v>
      </c>
      <c r="AD2488" s="20">
        <f t="shared" si="115"/>
        <v>0.79705042642603641</v>
      </c>
      <c r="AE2488" s="25">
        <f t="shared" si="116"/>
        <v>9.5281978866981632E-3</v>
      </c>
    </row>
    <row r="2489" spans="1:31" x14ac:dyDescent="0.2">
      <c r="A2489" s="1" t="s">
        <v>165</v>
      </c>
      <c r="B2489" s="1" t="s">
        <v>5812</v>
      </c>
      <c r="C2489" s="1">
        <v>55164</v>
      </c>
      <c r="D2489" s="1" t="s">
        <v>5817</v>
      </c>
      <c r="F2489" s="1">
        <v>2023</v>
      </c>
      <c r="G2489" s="5">
        <v>105</v>
      </c>
      <c r="H2489" s="5">
        <v>83.19</v>
      </c>
      <c r="I2489" s="5">
        <v>11057.99</v>
      </c>
      <c r="K2489" s="5">
        <v>3.9E-2</v>
      </c>
      <c r="L2489" s="5">
        <v>1E-3</v>
      </c>
      <c r="M2489" s="5">
        <v>7609.3320000000003</v>
      </c>
      <c r="N2489" s="6">
        <v>5.9799999999999999E-2</v>
      </c>
      <c r="O2489" s="5">
        <v>4.3460000000000001</v>
      </c>
      <c r="P2489" s="6">
        <v>8.14E-2</v>
      </c>
      <c r="Q2489" s="5">
        <v>127441.601</v>
      </c>
      <c r="R2489" s="1" t="s">
        <v>44</v>
      </c>
      <c r="S2489" s="1" t="s">
        <v>94</v>
      </c>
      <c r="T2489" s="1" t="s">
        <v>93</v>
      </c>
      <c r="V2489" s="1" t="s">
        <v>64</v>
      </c>
      <c r="Y2489" s="1" t="s">
        <v>168</v>
      </c>
      <c r="Z2489" s="1" t="str">
        <f t="shared" si="114"/>
        <v>55164 GTG2</v>
      </c>
      <c r="AA2489" s="3">
        <f>IF(INDEX('CAMD Facility Data 2023'!$AA$2:$AE$10000,MATCH(Z2489,'CAMD Facility Data 2023'!$AE$2:$AE$10000,0),1)&gt;0,INDEX('CAMD Facility Data 2023'!$AA$2:$AE$10000,MATCH(Z2489,'CAMD Facility Data 2023'!$AE$2:$AE$10000,0),1),"")</f>
        <v>37306</v>
      </c>
      <c r="AB2489" s="5">
        <f>IF(INDEX('CAMD Facility Data 2023'!$AC$2:$AE$10000,MATCH(Z2489,'CAMD Facility Data 2023'!$AE$2:$AE$10000,0),1)&gt;0,INDEX('CAMD Facility Data 2023'!$AC$2:$AE$10000,MATCH(Z2489,'CAMD Facility Data 2023'!$AE$2:$AE$10000,0),1),"")</f>
        <v>2076</v>
      </c>
      <c r="AC2489" s="1" t="str">
        <f>IF(INDEX('CAMD Facility Data 2023'!$AE$2:$AG$10000,MATCH(Z2489,'CAMD Facility Data 2023'!$AE$2:$AE$10000,0),3)&gt;0,INDEX('CAMD Facility Data 2023'!$AE$2:$AG$10000,MATCH(Z2489,'CAMD Facility Data 2023'!$AE$2:$AE$10000,0),3),"")</f>
        <v>Y</v>
      </c>
      <c r="AD2489" s="20">
        <f t="shared" si="115"/>
        <v>0.7860379689256366</v>
      </c>
      <c r="AE2489" s="25">
        <f t="shared" si="116"/>
        <v>7.0077687707305056E-3</v>
      </c>
    </row>
    <row r="2490" spans="1:31" x14ac:dyDescent="0.2">
      <c r="A2490" s="1" t="s">
        <v>165</v>
      </c>
      <c r="B2490" s="1" t="s">
        <v>5812</v>
      </c>
      <c r="C2490" s="1">
        <v>55164</v>
      </c>
      <c r="D2490" s="1" t="s">
        <v>5819</v>
      </c>
      <c r="F2490" s="1">
        <v>2023</v>
      </c>
      <c r="G2490" s="5">
        <v>114</v>
      </c>
      <c r="H2490" s="5">
        <v>91.53</v>
      </c>
      <c r="I2490" s="5">
        <v>11001.85</v>
      </c>
      <c r="K2490" s="5">
        <v>3.9E-2</v>
      </c>
      <c r="L2490" s="5">
        <v>1E-3</v>
      </c>
      <c r="M2490" s="5">
        <v>7711.9970000000003</v>
      </c>
      <c r="N2490" s="6">
        <v>5.96E-2</v>
      </c>
      <c r="O2490" s="5">
        <v>4.3970000000000002</v>
      </c>
      <c r="P2490" s="6">
        <v>7.5600000000000001E-2</v>
      </c>
      <c r="Q2490" s="5">
        <v>129365.185</v>
      </c>
      <c r="R2490" s="1" t="s">
        <v>44</v>
      </c>
      <c r="S2490" s="1" t="s">
        <v>94</v>
      </c>
      <c r="T2490" s="1" t="s">
        <v>93</v>
      </c>
      <c r="V2490" s="1" t="s">
        <v>140</v>
      </c>
      <c r="Y2490" s="1" t="s">
        <v>168</v>
      </c>
      <c r="Z2490" s="1" t="str">
        <f t="shared" si="114"/>
        <v>55164 GTG3</v>
      </c>
      <c r="AA2490" s="3">
        <f>IF(INDEX('CAMD Facility Data 2023'!$AA$2:$AE$10000,MATCH(Z2490,'CAMD Facility Data 2023'!$AE$2:$AE$10000,0),1)&gt;0,INDEX('CAMD Facility Data 2023'!$AA$2:$AE$10000,MATCH(Z2490,'CAMD Facility Data 2023'!$AE$2:$AE$10000,0),1),"")</f>
        <v>37349</v>
      </c>
      <c r="AB2490" s="5">
        <f>IF(INDEX('CAMD Facility Data 2023'!$AC$2:$AE$10000,MATCH(Z2490,'CAMD Facility Data 2023'!$AE$2:$AE$10000,0),1)&gt;0,INDEX('CAMD Facility Data 2023'!$AC$2:$AE$10000,MATCH(Z2490,'CAMD Facility Data 2023'!$AE$2:$AE$10000,0),1),"")</f>
        <v>2076</v>
      </c>
      <c r="AC2490" s="1" t="str">
        <f>IF(INDEX('CAMD Facility Data 2023'!$AE$2:$AG$10000,MATCH(Z2490,'CAMD Facility Data 2023'!$AE$2:$AE$10000,0),3)&gt;0,INDEX('CAMD Facility Data 2023'!$AE$2:$AG$10000,MATCH(Z2490,'CAMD Facility Data 2023'!$AE$2:$AE$10000,0),3),"")</f>
        <v/>
      </c>
      <c r="AD2490" s="20">
        <f t="shared" si="115"/>
        <v>0.79932011434440564</v>
      </c>
      <c r="AE2490" s="25">
        <f t="shared" si="116"/>
        <v>7.1135429588865132E-3</v>
      </c>
    </row>
    <row r="2491" spans="1:31" x14ac:dyDescent="0.2">
      <c r="A2491" s="1" t="s">
        <v>1426</v>
      </c>
      <c r="B2491" s="1" t="s">
        <v>5821</v>
      </c>
      <c r="C2491" s="1">
        <v>55165</v>
      </c>
      <c r="D2491" s="1" t="s">
        <v>5813</v>
      </c>
      <c r="F2491" s="1">
        <v>2023</v>
      </c>
      <c r="G2491" s="5">
        <v>319</v>
      </c>
      <c r="H2491" s="5">
        <v>295.99</v>
      </c>
      <c r="I2491" s="5">
        <v>40314.31</v>
      </c>
      <c r="K2491" s="5">
        <v>0.14000000000000001</v>
      </c>
      <c r="L2491" s="5">
        <v>1E-3</v>
      </c>
      <c r="M2491" s="5">
        <v>27740.86</v>
      </c>
      <c r="N2491" s="6">
        <v>5.8999999999999997E-2</v>
      </c>
      <c r="O2491" s="5">
        <v>20.986999999999998</v>
      </c>
      <c r="P2491" s="6">
        <v>9.0499999999999997E-2</v>
      </c>
      <c r="Q2491" s="5">
        <v>466792.41200000001</v>
      </c>
      <c r="R2491" s="1" t="s">
        <v>44</v>
      </c>
      <c r="T2491" s="1" t="s">
        <v>93</v>
      </c>
      <c r="V2491" s="1" t="s">
        <v>140</v>
      </c>
      <c r="Y2491" s="1" t="s">
        <v>1428</v>
      </c>
      <c r="Z2491" s="1" t="str">
        <f t="shared" si="114"/>
        <v>55165 GTG1</v>
      </c>
      <c r="AA2491" s="3">
        <f>IF(INDEX('CAMD Facility Data 2023'!$AA$2:$AE$10000,MATCH(Z2491,'CAMD Facility Data 2023'!$AE$2:$AE$10000,0),1)&gt;0,INDEX('CAMD Facility Data 2023'!$AA$2:$AE$10000,MATCH(Z2491,'CAMD Facility Data 2023'!$AE$2:$AE$10000,0),1),"")</f>
        <v>36663</v>
      </c>
      <c r="AB2491" s="5">
        <f>IF(INDEX('CAMD Facility Data 2023'!$AC$2:$AE$10000,MATCH(Z2491,'CAMD Facility Data 2023'!$AE$2:$AE$10000,0),1)&gt;0,INDEX('CAMD Facility Data 2023'!$AC$2:$AE$10000,MATCH(Z2491,'CAMD Facility Data 2023'!$AE$2:$AE$10000,0),1),"")</f>
        <v>1950</v>
      </c>
      <c r="AC2491" s="1" t="str">
        <f>IF(INDEX('CAMD Facility Data 2023'!$AE$2:$AG$10000,MATCH(Z2491,'CAMD Facility Data 2023'!$AE$2:$AE$10000,0),3)&gt;0,INDEX('CAMD Facility Data 2023'!$AE$2:$AG$10000,MATCH(Z2491,'CAMD Facility Data 2023'!$AE$2:$AE$10000,0),3),"")</f>
        <v/>
      </c>
      <c r="AD2491" s="20">
        <f t="shared" si="115"/>
        <v>1.0411687562059229</v>
      </c>
      <c r="AE2491" s="25">
        <f t="shared" si="116"/>
        <v>2.7326566678374898E-2</v>
      </c>
    </row>
    <row r="2492" spans="1:31" x14ac:dyDescent="0.2">
      <c r="A2492" s="1" t="s">
        <v>1426</v>
      </c>
      <c r="B2492" s="1" t="s">
        <v>5821</v>
      </c>
      <c r="C2492" s="1">
        <v>55165</v>
      </c>
      <c r="D2492" s="1" t="s">
        <v>5817</v>
      </c>
      <c r="F2492" s="1">
        <v>2023</v>
      </c>
      <c r="G2492" s="5">
        <v>473</v>
      </c>
      <c r="H2492" s="5">
        <v>438.17</v>
      </c>
      <c r="I2492" s="5">
        <v>64881.82</v>
      </c>
      <c r="K2492" s="5">
        <v>0.217</v>
      </c>
      <c r="L2492" s="5">
        <v>1E-3</v>
      </c>
      <c r="M2492" s="5">
        <v>42960.659</v>
      </c>
      <c r="N2492" s="6">
        <v>5.8999999999999997E-2</v>
      </c>
      <c r="O2492" s="5">
        <v>30.030999999999999</v>
      </c>
      <c r="P2492" s="6">
        <v>8.5000000000000006E-2</v>
      </c>
      <c r="Q2492" s="5">
        <v>722906.58700000006</v>
      </c>
      <c r="R2492" s="1" t="s">
        <v>44</v>
      </c>
      <c r="T2492" s="1" t="s">
        <v>93</v>
      </c>
      <c r="V2492" s="1" t="s">
        <v>140</v>
      </c>
      <c r="Y2492" s="1" t="s">
        <v>1428</v>
      </c>
      <c r="Z2492" s="1" t="str">
        <f t="shared" si="114"/>
        <v>55165 GTG2</v>
      </c>
      <c r="AA2492" s="3">
        <f>IF(INDEX('CAMD Facility Data 2023'!$AA$2:$AE$10000,MATCH(Z2492,'CAMD Facility Data 2023'!$AE$2:$AE$10000,0),1)&gt;0,INDEX('CAMD Facility Data 2023'!$AA$2:$AE$10000,MATCH(Z2492,'CAMD Facility Data 2023'!$AE$2:$AE$10000,0),1),"")</f>
        <v>36994</v>
      </c>
      <c r="AB2492" s="5">
        <f>IF(INDEX('CAMD Facility Data 2023'!$AC$2:$AE$10000,MATCH(Z2492,'CAMD Facility Data 2023'!$AE$2:$AE$10000,0),1)&gt;0,INDEX('CAMD Facility Data 2023'!$AC$2:$AE$10000,MATCH(Z2492,'CAMD Facility Data 2023'!$AE$2:$AE$10000,0),1),"")</f>
        <v>2100</v>
      </c>
      <c r="AC2492" s="1" t="str">
        <f>IF(INDEX('CAMD Facility Data 2023'!$AE$2:$AG$10000,MATCH(Z2492,'CAMD Facility Data 2023'!$AE$2:$AE$10000,0),3)&gt;0,INDEX('CAMD Facility Data 2023'!$AE$2:$AG$10000,MATCH(Z2492,'CAMD Facility Data 2023'!$AE$2:$AE$10000,0),3),"")</f>
        <v/>
      </c>
      <c r="AD2492" s="20">
        <f t="shared" si="115"/>
        <v>0.92571385944475659</v>
      </c>
      <c r="AE2492" s="25">
        <f t="shared" si="116"/>
        <v>3.9296944281365515E-2</v>
      </c>
    </row>
    <row r="2493" spans="1:31" x14ac:dyDescent="0.2">
      <c r="A2493" s="1" t="s">
        <v>291</v>
      </c>
      <c r="B2493" s="1" t="s">
        <v>5824</v>
      </c>
      <c r="C2493" s="1">
        <v>55166</v>
      </c>
      <c r="D2493" s="1" t="s">
        <v>1296</v>
      </c>
      <c r="F2493" s="1">
        <v>2023</v>
      </c>
      <c r="G2493" s="5">
        <v>452</v>
      </c>
      <c r="H2493" s="5">
        <v>378.79</v>
      </c>
      <c r="I2493" s="5">
        <v>58280.51</v>
      </c>
      <c r="K2493" s="5">
        <v>0.223</v>
      </c>
      <c r="L2493" s="5">
        <v>1.2999999999999999E-3</v>
      </c>
      <c r="M2493" s="5">
        <v>35994.053</v>
      </c>
      <c r="N2493" s="6">
        <v>5.9200000000000003E-2</v>
      </c>
      <c r="O2493" s="5">
        <v>24.637</v>
      </c>
      <c r="P2493" s="6">
        <v>9.2399999999999996E-2</v>
      </c>
      <c r="Q2493" s="5">
        <v>604933.68700000003</v>
      </c>
      <c r="R2493" s="1" t="s">
        <v>44</v>
      </c>
      <c r="S2493" s="1" t="s">
        <v>94</v>
      </c>
      <c r="T2493" s="1" t="s">
        <v>93</v>
      </c>
      <c r="V2493" s="1" t="s">
        <v>140</v>
      </c>
      <c r="Y2493" s="1" t="s">
        <v>2690</v>
      </c>
      <c r="Z2493" s="1" t="str">
        <f t="shared" si="114"/>
        <v>55166 CT-1</v>
      </c>
      <c r="AA2493" s="3">
        <f>IF(INDEX('CAMD Facility Data 2023'!$AA$2:$AE$10000,MATCH(Z2493,'CAMD Facility Data 2023'!$AE$2:$AE$10000,0),1)&gt;0,INDEX('CAMD Facility Data 2023'!$AA$2:$AE$10000,MATCH(Z2493,'CAMD Facility Data 2023'!$AE$2:$AE$10000,0),1),"")</f>
        <v>36653</v>
      </c>
      <c r="AB2493" s="5">
        <f>IF(INDEX('CAMD Facility Data 2023'!$AC$2:$AE$10000,MATCH(Z2493,'CAMD Facility Data 2023'!$AE$2:$AE$10000,0),1)&gt;0,INDEX('CAMD Facility Data 2023'!$AC$2:$AE$10000,MATCH(Z2493,'CAMD Facility Data 2023'!$AE$2:$AE$10000,0),1),"")</f>
        <v>2137.5</v>
      </c>
      <c r="AC2493" s="1" t="str">
        <f>IF(INDEX('CAMD Facility Data 2023'!$AE$2:$AG$10000,MATCH(Z2493,'CAMD Facility Data 2023'!$AE$2:$AE$10000,0),3)&gt;0,INDEX('CAMD Facility Data 2023'!$AE$2:$AG$10000,MATCH(Z2493,'CAMD Facility Data 2023'!$AE$2:$AE$10000,0),3),"")</f>
        <v/>
      </c>
      <c r="AD2493" s="20">
        <f t="shared" si="115"/>
        <v>0.84546274560740797</v>
      </c>
      <c r="AE2493" s="25">
        <f t="shared" si="116"/>
        <v>3.2307067585249274E-2</v>
      </c>
    </row>
    <row r="2494" spans="1:31" x14ac:dyDescent="0.2">
      <c r="A2494" s="1" t="s">
        <v>291</v>
      </c>
      <c r="B2494" s="1" t="s">
        <v>5824</v>
      </c>
      <c r="C2494" s="1">
        <v>55166</v>
      </c>
      <c r="D2494" s="1" t="s">
        <v>1300</v>
      </c>
      <c r="F2494" s="1">
        <v>2023</v>
      </c>
      <c r="G2494" s="5">
        <v>413</v>
      </c>
      <c r="H2494" s="5">
        <v>346.32</v>
      </c>
      <c r="I2494" s="5">
        <v>51877.37</v>
      </c>
      <c r="K2494" s="5">
        <v>0.16400000000000001</v>
      </c>
      <c r="L2494" s="5">
        <v>1.1000000000000001E-3</v>
      </c>
      <c r="M2494" s="5">
        <v>31869.882000000001</v>
      </c>
      <c r="N2494" s="6">
        <v>5.91E-2</v>
      </c>
      <c r="O2494" s="5">
        <v>16.605</v>
      </c>
      <c r="P2494" s="6">
        <v>8.2600000000000007E-2</v>
      </c>
      <c r="Q2494" s="5">
        <v>536212.55200000003</v>
      </c>
      <c r="R2494" s="1" t="s">
        <v>44</v>
      </c>
      <c r="S2494" s="1" t="s">
        <v>94</v>
      </c>
      <c r="T2494" s="1" t="s">
        <v>93</v>
      </c>
      <c r="V2494" s="1" t="s">
        <v>140</v>
      </c>
      <c r="Y2494" s="1" t="s">
        <v>2690</v>
      </c>
      <c r="Z2494" s="1" t="str">
        <f t="shared" si="114"/>
        <v>55166 CT-2</v>
      </c>
      <c r="AA2494" s="3">
        <f>IF(INDEX('CAMD Facility Data 2023'!$AA$2:$AE$10000,MATCH(Z2494,'CAMD Facility Data 2023'!$AE$2:$AE$10000,0),1)&gt;0,INDEX('CAMD Facility Data 2023'!$AA$2:$AE$10000,MATCH(Z2494,'CAMD Facility Data 2023'!$AE$2:$AE$10000,0),1),"")</f>
        <v>36660</v>
      </c>
      <c r="AB2494" s="5">
        <f>IF(INDEX('CAMD Facility Data 2023'!$AC$2:$AE$10000,MATCH(Z2494,'CAMD Facility Data 2023'!$AE$2:$AE$10000,0),1)&gt;0,INDEX('CAMD Facility Data 2023'!$AC$2:$AE$10000,MATCH(Z2494,'CAMD Facility Data 2023'!$AE$2:$AE$10000,0),1),"")</f>
        <v>2137.5</v>
      </c>
      <c r="AC2494" s="1" t="str">
        <f>IF(INDEX('CAMD Facility Data 2023'!$AE$2:$AG$10000,MATCH(Z2494,'CAMD Facility Data 2023'!$AE$2:$AE$10000,0),3)&gt;0,INDEX('CAMD Facility Data 2023'!$AE$2:$AG$10000,MATCH(Z2494,'CAMD Facility Data 2023'!$AE$2:$AE$10000,0),3),"")</f>
        <v/>
      </c>
      <c r="AD2494" s="20">
        <f t="shared" si="115"/>
        <v>0.64016352409538102</v>
      </c>
      <c r="AE2494" s="25">
        <f t="shared" si="116"/>
        <v>2.8636949024005983E-2</v>
      </c>
    </row>
    <row r="2495" spans="1:31" x14ac:dyDescent="0.2">
      <c r="A2495" s="1" t="s">
        <v>291</v>
      </c>
      <c r="B2495" s="1" t="s">
        <v>5824</v>
      </c>
      <c r="C2495" s="1">
        <v>55166</v>
      </c>
      <c r="D2495" s="1" t="s">
        <v>1302</v>
      </c>
      <c r="F2495" s="1">
        <v>2023</v>
      </c>
      <c r="G2495" s="5">
        <v>561</v>
      </c>
      <c r="H2495" s="5">
        <v>471.07</v>
      </c>
      <c r="I2495" s="5">
        <v>71698.37</v>
      </c>
      <c r="K2495" s="5">
        <v>0.23599999999999999</v>
      </c>
      <c r="L2495" s="5">
        <v>1.5E-3</v>
      </c>
      <c r="M2495" s="5">
        <v>43836.08</v>
      </c>
      <c r="N2495" s="6">
        <v>5.9299999999999999E-2</v>
      </c>
      <c r="O2495" s="5">
        <v>43.362000000000002</v>
      </c>
      <c r="P2495" s="6">
        <v>0.12429999999999999</v>
      </c>
      <c r="Q2495" s="5">
        <v>737348.55099999998</v>
      </c>
      <c r="R2495" s="1" t="s">
        <v>44</v>
      </c>
      <c r="S2495" s="1" t="s">
        <v>94</v>
      </c>
      <c r="T2495" s="1" t="s">
        <v>93</v>
      </c>
      <c r="V2495" s="1" t="s">
        <v>140</v>
      </c>
      <c r="Y2495" s="1" t="s">
        <v>2690</v>
      </c>
      <c r="Z2495" s="1" t="str">
        <f t="shared" si="114"/>
        <v>55166 CT-3</v>
      </c>
      <c r="AA2495" s="3">
        <f>IF(INDEX('CAMD Facility Data 2023'!$AA$2:$AE$10000,MATCH(Z2495,'CAMD Facility Data 2023'!$AE$2:$AE$10000,0),1)&gt;0,INDEX('CAMD Facility Data 2023'!$AA$2:$AE$10000,MATCH(Z2495,'CAMD Facility Data 2023'!$AE$2:$AE$10000,0),1),"")</f>
        <v>36667</v>
      </c>
      <c r="AB2495" s="5">
        <f>IF(INDEX('CAMD Facility Data 2023'!$AC$2:$AE$10000,MATCH(Z2495,'CAMD Facility Data 2023'!$AE$2:$AE$10000,0),1)&gt;0,INDEX('CAMD Facility Data 2023'!$AC$2:$AE$10000,MATCH(Z2495,'CAMD Facility Data 2023'!$AE$2:$AE$10000,0),1),"")</f>
        <v>2137.5</v>
      </c>
      <c r="AC2495" s="1" t="str">
        <f>IF(INDEX('CAMD Facility Data 2023'!$AE$2:$AG$10000,MATCH(Z2495,'CAMD Facility Data 2023'!$AE$2:$AE$10000,0),3)&gt;0,INDEX('CAMD Facility Data 2023'!$AE$2:$AG$10000,MATCH(Z2495,'CAMD Facility Data 2023'!$AE$2:$AE$10000,0),3),"")</f>
        <v/>
      </c>
      <c r="AD2495" s="20">
        <f t="shared" si="115"/>
        <v>1.209567246786782</v>
      </c>
      <c r="AE2495" s="25">
        <f t="shared" si="116"/>
        <v>3.937881123661513E-2</v>
      </c>
    </row>
    <row r="2496" spans="1:31" x14ac:dyDescent="0.2">
      <c r="A2496" s="1" t="s">
        <v>291</v>
      </c>
      <c r="B2496" s="1" t="s">
        <v>5824</v>
      </c>
      <c r="C2496" s="1">
        <v>55166</v>
      </c>
      <c r="D2496" s="1" t="s">
        <v>1304</v>
      </c>
      <c r="F2496" s="1">
        <v>2023</v>
      </c>
      <c r="G2496" s="5">
        <v>429</v>
      </c>
      <c r="H2496" s="5">
        <v>362.18</v>
      </c>
      <c r="I2496" s="5">
        <v>55178.27</v>
      </c>
      <c r="K2496" s="5">
        <v>0.193</v>
      </c>
      <c r="L2496" s="5">
        <v>1.4E-3</v>
      </c>
      <c r="M2496" s="5">
        <v>33965.919999999998</v>
      </c>
      <c r="N2496" s="6">
        <v>5.9200000000000003E-2</v>
      </c>
      <c r="O2496" s="5">
        <v>24.532</v>
      </c>
      <c r="P2496" s="6">
        <v>9.3299999999999994E-2</v>
      </c>
      <c r="Q2496" s="5">
        <v>571163.50199999998</v>
      </c>
      <c r="R2496" s="1" t="s">
        <v>44</v>
      </c>
      <c r="S2496" s="1" t="s">
        <v>94</v>
      </c>
      <c r="T2496" s="1" t="s">
        <v>93</v>
      </c>
      <c r="V2496" s="1" t="s">
        <v>140</v>
      </c>
      <c r="Y2496" s="1" t="s">
        <v>2690</v>
      </c>
      <c r="Z2496" s="1" t="str">
        <f t="shared" si="114"/>
        <v>55166 CT-4</v>
      </c>
      <c r="AA2496" s="3">
        <f>IF(INDEX('CAMD Facility Data 2023'!$AA$2:$AE$10000,MATCH(Z2496,'CAMD Facility Data 2023'!$AE$2:$AE$10000,0),1)&gt;0,INDEX('CAMD Facility Data 2023'!$AA$2:$AE$10000,MATCH(Z2496,'CAMD Facility Data 2023'!$AE$2:$AE$10000,0),1),"")</f>
        <v>36980</v>
      </c>
      <c r="AB2496" s="5">
        <f>IF(INDEX('CAMD Facility Data 2023'!$AC$2:$AE$10000,MATCH(Z2496,'CAMD Facility Data 2023'!$AE$2:$AE$10000,0),1)&gt;0,INDEX('CAMD Facility Data 2023'!$AC$2:$AE$10000,MATCH(Z2496,'CAMD Facility Data 2023'!$AE$2:$AE$10000,0),1),"")</f>
        <v>2137.5</v>
      </c>
      <c r="AC2496" s="1" t="str">
        <f>IF(INDEX('CAMD Facility Data 2023'!$AE$2:$AG$10000,MATCH(Z2496,'CAMD Facility Data 2023'!$AE$2:$AE$10000,0),3)&gt;0,INDEX('CAMD Facility Data 2023'!$AE$2:$AG$10000,MATCH(Z2496,'CAMD Facility Data 2023'!$AE$2:$AE$10000,0),3),"")</f>
        <v/>
      </c>
      <c r="AD2496" s="20">
        <f t="shared" si="115"/>
        <v>0.88919061797334353</v>
      </c>
      <c r="AE2496" s="25">
        <f t="shared" si="116"/>
        <v>3.050353825202275E-2</v>
      </c>
    </row>
    <row r="2497" spans="1:31" x14ac:dyDescent="0.2">
      <c r="A2497" s="1" t="s">
        <v>291</v>
      </c>
      <c r="B2497" s="1" t="s">
        <v>5824</v>
      </c>
      <c r="C2497" s="1">
        <v>55166</v>
      </c>
      <c r="D2497" s="1" t="s">
        <v>5830</v>
      </c>
      <c r="F2497" s="1">
        <v>2023</v>
      </c>
      <c r="G2497" s="5">
        <v>388</v>
      </c>
      <c r="H2497" s="5">
        <v>329.72</v>
      </c>
      <c r="I2497" s="5">
        <v>51690.27</v>
      </c>
      <c r="K2497" s="5">
        <v>0.19</v>
      </c>
      <c r="L2497" s="5">
        <v>1.1999999999999999E-3</v>
      </c>
      <c r="M2497" s="5">
        <v>31680.508000000002</v>
      </c>
      <c r="N2497" s="6">
        <v>5.91E-2</v>
      </c>
      <c r="O2497" s="5">
        <v>19.309999999999999</v>
      </c>
      <c r="P2497" s="6">
        <v>8.2100000000000006E-2</v>
      </c>
      <c r="Q2497" s="5">
        <v>532567.03599999996</v>
      </c>
      <c r="R2497" s="1" t="s">
        <v>44</v>
      </c>
      <c r="S2497" s="1" t="s">
        <v>94</v>
      </c>
      <c r="T2497" s="1" t="s">
        <v>93</v>
      </c>
      <c r="V2497" s="1" t="s">
        <v>140</v>
      </c>
      <c r="Y2497" s="1" t="s">
        <v>2690</v>
      </c>
      <c r="Z2497" s="1" t="str">
        <f t="shared" si="114"/>
        <v>55166 CT-5</v>
      </c>
      <c r="AA2497" s="3">
        <f>IF(INDEX('CAMD Facility Data 2023'!$AA$2:$AE$10000,MATCH(Z2497,'CAMD Facility Data 2023'!$AE$2:$AE$10000,0),1)&gt;0,INDEX('CAMD Facility Data 2023'!$AA$2:$AE$10000,MATCH(Z2497,'CAMD Facility Data 2023'!$AE$2:$AE$10000,0),1),"")</f>
        <v>36980</v>
      </c>
      <c r="AB2497" s="5">
        <f>IF(INDEX('CAMD Facility Data 2023'!$AC$2:$AE$10000,MATCH(Z2497,'CAMD Facility Data 2023'!$AE$2:$AE$10000,0),1)&gt;0,INDEX('CAMD Facility Data 2023'!$AC$2:$AE$10000,MATCH(Z2497,'CAMD Facility Data 2023'!$AE$2:$AE$10000,0),1),"")</f>
        <v>2137.5</v>
      </c>
      <c r="AC2497" s="1" t="str">
        <f>IF(INDEX('CAMD Facility Data 2023'!$AE$2:$AG$10000,MATCH(Z2497,'CAMD Facility Data 2023'!$AE$2:$AE$10000,0),3)&gt;0,INDEX('CAMD Facility Data 2023'!$AE$2:$AG$10000,MATCH(Z2497,'CAMD Facility Data 2023'!$AE$2:$AE$10000,0),3),"")</f>
        <v/>
      </c>
      <c r="AD2497" s="20">
        <f t="shared" si="115"/>
        <v>0.74714254733047447</v>
      </c>
      <c r="AE2497" s="25">
        <f t="shared" si="116"/>
        <v>2.8442256722475898E-2</v>
      </c>
    </row>
    <row r="2498" spans="1:31" x14ac:dyDescent="0.2">
      <c r="A2498" s="1" t="s">
        <v>383</v>
      </c>
      <c r="B2498" s="1" t="s">
        <v>5832</v>
      </c>
      <c r="C2498" s="1">
        <v>55168</v>
      </c>
      <c r="D2498" s="1" t="s">
        <v>5833</v>
      </c>
      <c r="F2498" s="1">
        <v>2023</v>
      </c>
      <c r="G2498" s="5">
        <v>6242</v>
      </c>
      <c r="H2498" s="5">
        <v>6170.1</v>
      </c>
      <c r="I2498" s="5">
        <v>1556262.41</v>
      </c>
      <c r="K2498" s="5">
        <v>3.3039999999999998</v>
      </c>
      <c r="L2498" s="5">
        <v>1E-3</v>
      </c>
      <c r="M2498" s="5">
        <v>654507.45299999998</v>
      </c>
      <c r="N2498" s="6">
        <v>5.8999999999999997E-2</v>
      </c>
      <c r="O2498" s="5">
        <v>145.59100000000001</v>
      </c>
      <c r="P2498" s="6">
        <v>2.7900000000000001E-2</v>
      </c>
      <c r="Q2498" s="5">
        <v>11013405.995999999</v>
      </c>
      <c r="R2498" s="1" t="s">
        <v>44</v>
      </c>
      <c r="T2498" s="1" t="s">
        <v>71</v>
      </c>
      <c r="V2498" s="1" t="s">
        <v>140</v>
      </c>
      <c r="Y2498" s="1" t="s">
        <v>346</v>
      </c>
      <c r="Z2498" s="1" t="str">
        <f t="shared" si="114"/>
        <v>55168 CTG-1A</v>
      </c>
      <c r="AA2498" s="3">
        <f>IF(INDEX('CAMD Facility Data 2023'!$AA$2:$AE$10000,MATCH(Z2498,'CAMD Facility Data 2023'!$AE$2:$AE$10000,0),1)&gt;0,INDEX('CAMD Facility Data 2023'!$AA$2:$AE$10000,MATCH(Z2498,'CAMD Facility Data 2023'!$AE$2:$AE$10000,0),1),"")</f>
        <v>37346</v>
      </c>
      <c r="AB2498" s="5">
        <f>IF(INDEX('CAMD Facility Data 2023'!$AC$2:$AE$10000,MATCH(Z2498,'CAMD Facility Data 2023'!$AE$2:$AE$10000,0),1)&gt;0,INDEX('CAMD Facility Data 2023'!$AC$2:$AE$10000,MATCH(Z2498,'CAMD Facility Data 2023'!$AE$2:$AE$10000,0),1),"")</f>
        <v>2450</v>
      </c>
      <c r="AC2498" s="1" t="str">
        <f>IF(INDEX('CAMD Facility Data 2023'!$AE$2:$AG$10000,MATCH(Z2498,'CAMD Facility Data 2023'!$AE$2:$AE$10000,0),3)&gt;0,INDEX('CAMD Facility Data 2023'!$AE$2:$AG$10000,MATCH(Z2498,'CAMD Facility Data 2023'!$AE$2:$AE$10000,0),3),"")</f>
        <v/>
      </c>
      <c r="AD2498" s="20">
        <f t="shared" si="115"/>
        <v>0.18710340758021651</v>
      </c>
      <c r="AE2498" s="25">
        <f t="shared" si="116"/>
        <v>0.51315841934582052</v>
      </c>
    </row>
    <row r="2499" spans="1:31" x14ac:dyDescent="0.2">
      <c r="A2499" s="1" t="s">
        <v>383</v>
      </c>
      <c r="B2499" s="1" t="s">
        <v>5832</v>
      </c>
      <c r="C2499" s="1">
        <v>55168</v>
      </c>
      <c r="D2499" s="1" t="s">
        <v>5836</v>
      </c>
      <c r="F2499" s="1">
        <v>2023</v>
      </c>
      <c r="G2499" s="5">
        <v>6086</v>
      </c>
      <c r="H2499" s="5">
        <v>6015.89</v>
      </c>
      <c r="I2499" s="5">
        <v>1544775.95</v>
      </c>
      <c r="K2499" s="5">
        <v>3.2240000000000002</v>
      </c>
      <c r="L2499" s="5">
        <v>1E-3</v>
      </c>
      <c r="M2499" s="5">
        <v>638613.56700000004</v>
      </c>
      <c r="N2499" s="6">
        <v>5.8999999999999997E-2</v>
      </c>
      <c r="O2499" s="5">
        <v>138.90600000000001</v>
      </c>
      <c r="P2499" s="6">
        <v>2.6700000000000002E-2</v>
      </c>
      <c r="Q2499" s="5">
        <v>10745875.968</v>
      </c>
      <c r="R2499" s="1" t="s">
        <v>44</v>
      </c>
      <c r="T2499" s="1" t="s">
        <v>71</v>
      </c>
      <c r="V2499" s="1" t="s">
        <v>140</v>
      </c>
      <c r="Y2499" s="1" t="s">
        <v>346</v>
      </c>
      <c r="Z2499" s="1" t="str">
        <f t="shared" ref="Z2499:Z2562" si="117">C2499&amp;" "&amp;D2499</f>
        <v>55168 CTG-1B</v>
      </c>
      <c r="AA2499" s="3">
        <f>IF(INDEX('CAMD Facility Data 2023'!$AA$2:$AE$10000,MATCH(Z2499,'CAMD Facility Data 2023'!$AE$2:$AE$10000,0),1)&gt;0,INDEX('CAMD Facility Data 2023'!$AA$2:$AE$10000,MATCH(Z2499,'CAMD Facility Data 2023'!$AE$2:$AE$10000,0),1),"")</f>
        <v>37257</v>
      </c>
      <c r="AB2499" s="5">
        <f>IF(INDEX('CAMD Facility Data 2023'!$AC$2:$AE$10000,MATCH(Z2499,'CAMD Facility Data 2023'!$AE$2:$AE$10000,0),1)&gt;0,INDEX('CAMD Facility Data 2023'!$AC$2:$AE$10000,MATCH(Z2499,'CAMD Facility Data 2023'!$AE$2:$AE$10000,0),1),"")</f>
        <v>2450</v>
      </c>
      <c r="AC2499" s="1" t="str">
        <f>IF(INDEX('CAMD Facility Data 2023'!$AE$2:$AG$10000,MATCH(Z2499,'CAMD Facility Data 2023'!$AE$2:$AE$10000,0),3)&gt;0,INDEX('CAMD Facility Data 2023'!$AE$2:$AG$10000,MATCH(Z2499,'CAMD Facility Data 2023'!$AE$2:$AE$10000,0),3),"")</f>
        <v/>
      </c>
      <c r="AD2499" s="20">
        <f t="shared" ref="AD2499:AD2562" si="118">IF(ISNUMBER(O2499*2000/I2499),O2499*2000/I2499,"")</f>
        <v>0.1798396718954616</v>
      </c>
      <c r="AE2499" s="25">
        <f t="shared" ref="AE2499:AE2562" si="119">Q2499/(AB2499*8760)</f>
        <v>0.50069313055633213</v>
      </c>
    </row>
    <row r="2500" spans="1:31" x14ac:dyDescent="0.2">
      <c r="A2500" s="1" t="s">
        <v>1961</v>
      </c>
      <c r="B2500" s="1" t="s">
        <v>5838</v>
      </c>
      <c r="C2500" s="1">
        <v>55170</v>
      </c>
      <c r="D2500" s="1">
        <v>1</v>
      </c>
      <c r="F2500" s="1">
        <v>2023</v>
      </c>
      <c r="G2500" s="5">
        <v>5324</v>
      </c>
      <c r="H2500" s="5">
        <v>5195.99</v>
      </c>
      <c r="I2500" s="5">
        <v>1033558.91</v>
      </c>
      <c r="K2500" s="5">
        <v>3.3130000000000002</v>
      </c>
      <c r="L2500" s="5">
        <v>1E-3</v>
      </c>
      <c r="M2500" s="5">
        <v>656261.13199999998</v>
      </c>
      <c r="N2500" s="6">
        <v>5.8999999999999997E-2</v>
      </c>
      <c r="O2500" s="5">
        <v>53.125999999999998</v>
      </c>
      <c r="P2500" s="6">
        <v>1.23E-2</v>
      </c>
      <c r="Q2500" s="5">
        <v>11042821.342</v>
      </c>
      <c r="R2500" s="1" t="s">
        <v>44</v>
      </c>
      <c r="T2500" s="1" t="s">
        <v>71</v>
      </c>
      <c r="V2500" s="1" t="s">
        <v>2214</v>
      </c>
      <c r="Y2500" s="1" t="s">
        <v>1976</v>
      </c>
      <c r="Z2500" s="1" t="str">
        <f t="shared" si="117"/>
        <v>55170 1</v>
      </c>
      <c r="AA2500" s="3">
        <f>IF(INDEX('CAMD Facility Data 2023'!$AA$2:$AE$10000,MATCH(Z2500,'CAMD Facility Data 2023'!$AE$2:$AE$10000,0),1)&gt;0,INDEX('CAMD Facility Data 2023'!$AA$2:$AE$10000,MATCH(Z2500,'CAMD Facility Data 2023'!$AE$2:$AE$10000,0),1),"")</f>
        <v>37671</v>
      </c>
      <c r="AB2500" s="5">
        <f>IF(INDEX('CAMD Facility Data 2023'!$AC$2:$AE$10000,MATCH(Z2500,'CAMD Facility Data 2023'!$AE$2:$AE$10000,0),1)&gt;0,INDEX('CAMD Facility Data 2023'!$AC$2:$AE$10000,MATCH(Z2500,'CAMD Facility Data 2023'!$AE$2:$AE$10000,0),1),"")</f>
        <v>2849</v>
      </c>
      <c r="AC2500" s="1" t="str">
        <f>IF(INDEX('CAMD Facility Data 2023'!$AE$2:$AG$10000,MATCH(Z2500,'CAMD Facility Data 2023'!$AE$2:$AE$10000,0),3)&gt;0,INDEX('CAMD Facility Data 2023'!$AE$2:$AG$10000,MATCH(Z2500,'CAMD Facility Data 2023'!$AE$2:$AE$10000,0),3),"")</f>
        <v/>
      </c>
      <c r="AD2500" s="20">
        <f t="shared" si="118"/>
        <v>0.10280207443618283</v>
      </c>
      <c r="AE2500" s="25">
        <f t="shared" si="119"/>
        <v>0.44246965377581815</v>
      </c>
    </row>
    <row r="2501" spans="1:31" x14ac:dyDescent="0.2">
      <c r="A2501" s="1" t="s">
        <v>1961</v>
      </c>
      <c r="B2501" s="1" t="s">
        <v>5838</v>
      </c>
      <c r="C2501" s="1">
        <v>55170</v>
      </c>
      <c r="D2501" s="1">
        <v>2</v>
      </c>
      <c r="F2501" s="1">
        <v>2023</v>
      </c>
      <c r="G2501" s="5">
        <v>6253</v>
      </c>
      <c r="H2501" s="5">
        <v>6146.43</v>
      </c>
      <c r="I2501" s="5">
        <v>1232874.24</v>
      </c>
      <c r="K2501" s="5">
        <v>3.911</v>
      </c>
      <c r="L2501" s="5">
        <v>1E-3</v>
      </c>
      <c r="M2501" s="5">
        <v>774820.31599999999</v>
      </c>
      <c r="N2501" s="6">
        <v>5.8999999999999997E-2</v>
      </c>
      <c r="O2501" s="5">
        <v>60.463000000000001</v>
      </c>
      <c r="P2501" s="6">
        <v>1.18E-2</v>
      </c>
      <c r="Q2501" s="5">
        <v>13037840.817</v>
      </c>
      <c r="R2501" s="1" t="s">
        <v>44</v>
      </c>
      <c r="T2501" s="1" t="s">
        <v>71</v>
      </c>
      <c r="V2501" s="1" t="s">
        <v>2214</v>
      </c>
      <c r="Y2501" s="1" t="s">
        <v>1976</v>
      </c>
      <c r="Z2501" s="1" t="str">
        <f t="shared" si="117"/>
        <v>55170 2</v>
      </c>
      <c r="AA2501" s="3">
        <f>IF(INDEX('CAMD Facility Data 2023'!$AA$2:$AE$10000,MATCH(Z2501,'CAMD Facility Data 2023'!$AE$2:$AE$10000,0),1)&gt;0,INDEX('CAMD Facility Data 2023'!$AA$2:$AE$10000,MATCH(Z2501,'CAMD Facility Data 2023'!$AE$2:$AE$10000,0),1),"")</f>
        <v>37671</v>
      </c>
      <c r="AB2501" s="5">
        <f>IF(INDEX('CAMD Facility Data 2023'!$AC$2:$AE$10000,MATCH(Z2501,'CAMD Facility Data 2023'!$AE$2:$AE$10000,0),1)&gt;0,INDEX('CAMD Facility Data 2023'!$AC$2:$AE$10000,MATCH(Z2501,'CAMD Facility Data 2023'!$AE$2:$AE$10000,0),1),"")</f>
        <v>2849</v>
      </c>
      <c r="AC2501" s="1" t="str">
        <f>IF(INDEX('CAMD Facility Data 2023'!$AE$2:$AG$10000,MATCH(Z2501,'CAMD Facility Data 2023'!$AE$2:$AE$10000,0),3)&gt;0,INDEX('CAMD Facility Data 2023'!$AE$2:$AG$10000,MATCH(Z2501,'CAMD Facility Data 2023'!$AE$2:$AE$10000,0),3),"")</f>
        <v/>
      </c>
      <c r="AD2501" s="20">
        <f t="shared" si="118"/>
        <v>9.8084618914578023E-2</v>
      </c>
      <c r="AE2501" s="25">
        <f t="shared" si="119"/>
        <v>0.52240715788284275</v>
      </c>
    </row>
    <row r="2502" spans="1:31" x14ac:dyDescent="0.2">
      <c r="A2502" s="1" t="s">
        <v>383</v>
      </c>
      <c r="B2502" s="1" t="s">
        <v>5842</v>
      </c>
      <c r="C2502" s="1">
        <v>55172</v>
      </c>
      <c r="D2502" s="1" t="s">
        <v>1155</v>
      </c>
      <c r="F2502" s="1">
        <v>2023</v>
      </c>
      <c r="G2502" s="5">
        <v>7386</v>
      </c>
      <c r="H2502" s="5">
        <v>7332.33</v>
      </c>
      <c r="I2502" s="5">
        <v>1755777.03</v>
      </c>
      <c r="K2502" s="5">
        <v>3.57</v>
      </c>
      <c r="L2502" s="5">
        <v>1E-3</v>
      </c>
      <c r="M2502" s="5">
        <v>707147.16200000001</v>
      </c>
      <c r="N2502" s="6">
        <v>5.8999999999999997E-2</v>
      </c>
      <c r="O2502" s="5">
        <v>63.779000000000003</v>
      </c>
      <c r="P2502" s="6">
        <v>1.3100000000000001E-2</v>
      </c>
      <c r="Q2502" s="5">
        <v>11899082.812999999</v>
      </c>
      <c r="R2502" s="1" t="s">
        <v>44</v>
      </c>
      <c r="T2502" s="1" t="s">
        <v>71</v>
      </c>
      <c r="V2502" s="1" t="s">
        <v>858</v>
      </c>
      <c r="Y2502" s="1" t="s">
        <v>346</v>
      </c>
      <c r="Z2502" s="1" t="str">
        <f t="shared" si="117"/>
        <v>55172 GT-1</v>
      </c>
      <c r="AA2502" s="3">
        <f>IF(INDEX('CAMD Facility Data 2023'!$AA$2:$AE$10000,MATCH(Z2502,'CAMD Facility Data 2023'!$AE$2:$AE$10000,0),1)&gt;0,INDEX('CAMD Facility Data 2023'!$AA$2:$AE$10000,MATCH(Z2502,'CAMD Facility Data 2023'!$AE$2:$AE$10000,0),1),"")</f>
        <v>36678</v>
      </c>
      <c r="AB2502" s="5">
        <f>IF(INDEX('CAMD Facility Data 2023'!$AC$2:$AE$10000,MATCH(Z2502,'CAMD Facility Data 2023'!$AE$2:$AE$10000,0),1)&gt;0,INDEX('CAMD Facility Data 2023'!$AC$2:$AE$10000,MATCH(Z2502,'CAMD Facility Data 2023'!$AE$2:$AE$10000,0),1),"")</f>
        <v>2136</v>
      </c>
      <c r="AC2502" s="1" t="str">
        <f>IF(INDEX('CAMD Facility Data 2023'!$AE$2:$AG$10000,MATCH(Z2502,'CAMD Facility Data 2023'!$AE$2:$AE$10000,0),3)&gt;0,INDEX('CAMD Facility Data 2023'!$AE$2:$AG$10000,MATCH(Z2502,'CAMD Facility Data 2023'!$AE$2:$AE$10000,0),3),"")</f>
        <v>Y</v>
      </c>
      <c r="AD2502" s="20">
        <f t="shared" si="118"/>
        <v>7.2650454938461062E-2</v>
      </c>
      <c r="AE2502" s="25">
        <f t="shared" si="119"/>
        <v>0.635928271007559</v>
      </c>
    </row>
    <row r="2503" spans="1:31" x14ac:dyDescent="0.2">
      <c r="A2503" s="1" t="s">
        <v>383</v>
      </c>
      <c r="B2503" s="1" t="s">
        <v>5842</v>
      </c>
      <c r="C2503" s="1">
        <v>55172</v>
      </c>
      <c r="D2503" s="1" t="s">
        <v>1162</v>
      </c>
      <c r="F2503" s="1">
        <v>2023</v>
      </c>
      <c r="G2503" s="5">
        <v>7419</v>
      </c>
      <c r="H2503" s="5">
        <v>7368.26</v>
      </c>
      <c r="I2503" s="5">
        <v>1775813.16</v>
      </c>
      <c r="K2503" s="5">
        <v>3.6419999999999999</v>
      </c>
      <c r="L2503" s="5">
        <v>1E-3</v>
      </c>
      <c r="M2503" s="5">
        <v>721514.32700000005</v>
      </c>
      <c r="N2503" s="6">
        <v>5.8999999999999997E-2</v>
      </c>
      <c r="O2503" s="5">
        <v>70.340999999999994</v>
      </c>
      <c r="P2503" s="6">
        <v>1.34E-2</v>
      </c>
      <c r="Q2503" s="5">
        <v>12140805.174000001</v>
      </c>
      <c r="R2503" s="1" t="s">
        <v>44</v>
      </c>
      <c r="T2503" s="1" t="s">
        <v>71</v>
      </c>
      <c r="V2503" s="1" t="s">
        <v>858</v>
      </c>
      <c r="Y2503" s="1" t="s">
        <v>346</v>
      </c>
      <c r="Z2503" s="1" t="str">
        <f t="shared" si="117"/>
        <v>55172 GT-2</v>
      </c>
      <c r="AA2503" s="3">
        <f>IF(INDEX('CAMD Facility Data 2023'!$AA$2:$AE$10000,MATCH(Z2503,'CAMD Facility Data 2023'!$AE$2:$AE$10000,0),1)&gt;0,INDEX('CAMD Facility Data 2023'!$AA$2:$AE$10000,MATCH(Z2503,'CAMD Facility Data 2023'!$AE$2:$AE$10000,0),1),"")</f>
        <v>36678</v>
      </c>
      <c r="AB2503" s="5">
        <f>IF(INDEX('CAMD Facility Data 2023'!$AC$2:$AE$10000,MATCH(Z2503,'CAMD Facility Data 2023'!$AE$2:$AE$10000,0),1)&gt;0,INDEX('CAMD Facility Data 2023'!$AC$2:$AE$10000,MATCH(Z2503,'CAMD Facility Data 2023'!$AE$2:$AE$10000,0),1),"")</f>
        <v>2136</v>
      </c>
      <c r="AC2503" s="1" t="str">
        <f>IF(INDEX('CAMD Facility Data 2023'!$AE$2:$AG$10000,MATCH(Z2503,'CAMD Facility Data 2023'!$AE$2:$AE$10000,0),3)&gt;0,INDEX('CAMD Facility Data 2023'!$AE$2:$AG$10000,MATCH(Z2503,'CAMD Facility Data 2023'!$AE$2:$AE$10000,0),3),"")</f>
        <v>Y</v>
      </c>
      <c r="AD2503" s="20">
        <f t="shared" si="118"/>
        <v>7.922117211925607E-2</v>
      </c>
      <c r="AE2503" s="25">
        <f t="shared" si="119"/>
        <v>0.64884675266789804</v>
      </c>
    </row>
    <row r="2504" spans="1:31" x14ac:dyDescent="0.2">
      <c r="A2504" s="1" t="s">
        <v>383</v>
      </c>
      <c r="B2504" s="1" t="s">
        <v>5842</v>
      </c>
      <c r="C2504" s="1">
        <v>55172</v>
      </c>
      <c r="D2504" s="1" t="s">
        <v>1164</v>
      </c>
      <c r="F2504" s="1">
        <v>2023</v>
      </c>
      <c r="G2504" s="5">
        <v>6305</v>
      </c>
      <c r="H2504" s="5">
        <v>6257.67</v>
      </c>
      <c r="I2504" s="5">
        <v>954694.56</v>
      </c>
      <c r="K2504" s="5">
        <v>2.984</v>
      </c>
      <c r="L2504" s="5">
        <v>1E-3</v>
      </c>
      <c r="M2504" s="5">
        <v>591064.12</v>
      </c>
      <c r="N2504" s="6">
        <v>5.8999999999999997E-2</v>
      </c>
      <c r="O2504" s="5">
        <v>167.04900000000001</v>
      </c>
      <c r="P2504" s="6">
        <v>3.7699999999999997E-2</v>
      </c>
      <c r="Q2504" s="5">
        <v>9945825.6309999991</v>
      </c>
      <c r="R2504" s="1" t="s">
        <v>44</v>
      </c>
      <c r="T2504" s="1" t="s">
        <v>71</v>
      </c>
      <c r="V2504" s="1" t="s">
        <v>140</v>
      </c>
      <c r="Y2504" s="1" t="s">
        <v>346</v>
      </c>
      <c r="Z2504" s="1" t="str">
        <f t="shared" si="117"/>
        <v>55172 GT-3</v>
      </c>
      <c r="AA2504" s="3">
        <f>IF(INDEX('CAMD Facility Data 2023'!$AA$2:$AE$10000,MATCH(Z2504,'CAMD Facility Data 2023'!$AE$2:$AE$10000,0),1)&gt;0,INDEX('CAMD Facility Data 2023'!$AA$2:$AE$10000,MATCH(Z2504,'CAMD Facility Data 2023'!$AE$2:$AE$10000,0),1),"")</f>
        <v>36915</v>
      </c>
      <c r="AB2504" s="5">
        <f>IF(INDEX('CAMD Facility Data 2023'!$AC$2:$AE$10000,MATCH(Z2504,'CAMD Facility Data 2023'!$AE$2:$AE$10000,0),1)&gt;0,INDEX('CAMD Facility Data 2023'!$AC$2:$AE$10000,MATCH(Z2504,'CAMD Facility Data 2023'!$AE$2:$AE$10000,0),1),"")</f>
        <v>1910</v>
      </c>
      <c r="AC2504" s="1" t="str">
        <f>IF(INDEX('CAMD Facility Data 2023'!$AE$2:$AG$10000,MATCH(Z2504,'CAMD Facility Data 2023'!$AE$2:$AE$10000,0),3)&gt;0,INDEX('CAMD Facility Data 2023'!$AE$2:$AG$10000,MATCH(Z2504,'CAMD Facility Data 2023'!$AE$2:$AE$10000,0),3),"")</f>
        <v/>
      </c>
      <c r="AD2504" s="20">
        <f t="shared" si="118"/>
        <v>0.34995276394996949</v>
      </c>
      <c r="AE2504" s="25">
        <f t="shared" si="119"/>
        <v>0.5944336244591073</v>
      </c>
    </row>
    <row r="2505" spans="1:31" x14ac:dyDescent="0.2">
      <c r="A2505" s="1" t="s">
        <v>1426</v>
      </c>
      <c r="B2505" s="1" t="s">
        <v>5850</v>
      </c>
      <c r="C2505" s="1">
        <v>55173</v>
      </c>
      <c r="D2505" s="1" t="s">
        <v>311</v>
      </c>
      <c r="F2505" s="1">
        <v>2023</v>
      </c>
      <c r="G2505" s="5">
        <v>6942</v>
      </c>
      <c r="H2505" s="5">
        <v>6923.1</v>
      </c>
      <c r="I2505" s="5">
        <v>1415830.51</v>
      </c>
      <c r="K2505" s="5">
        <v>3.2</v>
      </c>
      <c r="L2505" s="5">
        <v>1E-3</v>
      </c>
      <c r="M2505" s="5">
        <v>633793.43599999999</v>
      </c>
      <c r="N2505" s="6">
        <v>5.8999999999999997E-2</v>
      </c>
      <c r="O2505" s="5">
        <v>40.177999999999997</v>
      </c>
      <c r="P2505" s="6">
        <v>7.7999999999999996E-3</v>
      </c>
      <c r="Q2505" s="5">
        <v>10664813.909</v>
      </c>
      <c r="R2505" s="1" t="s">
        <v>44</v>
      </c>
      <c r="T2505" s="1" t="s">
        <v>71</v>
      </c>
      <c r="V2505" s="1" t="s">
        <v>223</v>
      </c>
      <c r="Y2505" s="1" t="s">
        <v>1428</v>
      </c>
      <c r="Z2505" s="1" t="str">
        <f t="shared" si="117"/>
        <v>55173 CT1</v>
      </c>
      <c r="AA2505" s="3">
        <f>IF(INDEX('CAMD Facility Data 2023'!$AA$2:$AE$10000,MATCH(Z2505,'CAMD Facility Data 2023'!$AE$2:$AE$10000,0),1)&gt;0,INDEX('CAMD Facility Data 2023'!$AA$2:$AE$10000,MATCH(Z2505,'CAMD Facility Data 2023'!$AE$2:$AE$10000,0),1),"")</f>
        <v>37469</v>
      </c>
      <c r="AB2505" s="5">
        <f>IF(INDEX('CAMD Facility Data 2023'!$AC$2:$AE$10000,MATCH(Z2505,'CAMD Facility Data 2023'!$AE$2:$AE$10000,0),1)&gt;0,INDEX('CAMD Facility Data 2023'!$AC$2:$AE$10000,MATCH(Z2505,'CAMD Facility Data 2023'!$AE$2:$AE$10000,0),1),"")</f>
        <v>2500</v>
      </c>
      <c r="AC2505" s="1" t="str">
        <f>IF(INDEX('CAMD Facility Data 2023'!$AE$2:$AG$10000,MATCH(Z2505,'CAMD Facility Data 2023'!$AE$2:$AE$10000,0),3)&gt;0,INDEX('CAMD Facility Data 2023'!$AE$2:$AG$10000,MATCH(Z2505,'CAMD Facility Data 2023'!$AE$2:$AE$10000,0),3),"")</f>
        <v>Y</v>
      </c>
      <c r="AD2505" s="20">
        <f t="shared" si="118"/>
        <v>5.6755380981301215E-2</v>
      </c>
      <c r="AE2505" s="25">
        <f t="shared" si="119"/>
        <v>0.48697780406392693</v>
      </c>
    </row>
    <row r="2506" spans="1:31" x14ac:dyDescent="0.2">
      <c r="A2506" s="1" t="s">
        <v>1426</v>
      </c>
      <c r="B2506" s="1" t="s">
        <v>5850</v>
      </c>
      <c r="C2506" s="1">
        <v>55173</v>
      </c>
      <c r="D2506" s="1" t="s">
        <v>98</v>
      </c>
      <c r="F2506" s="1">
        <v>2023</v>
      </c>
      <c r="G2506" s="5">
        <v>7081</v>
      </c>
      <c r="H2506" s="5">
        <v>7061.01</v>
      </c>
      <c r="I2506" s="5">
        <v>1452445.98</v>
      </c>
      <c r="K2506" s="5">
        <v>3.226</v>
      </c>
      <c r="L2506" s="5">
        <v>1E-3</v>
      </c>
      <c r="M2506" s="5">
        <v>639075.81200000003</v>
      </c>
      <c r="N2506" s="6">
        <v>5.8999999999999997E-2</v>
      </c>
      <c r="O2506" s="5">
        <v>45.698</v>
      </c>
      <c r="P2506" s="6">
        <v>8.8000000000000005E-3</v>
      </c>
      <c r="Q2506" s="5">
        <v>10753751.067</v>
      </c>
      <c r="R2506" s="1" t="s">
        <v>44</v>
      </c>
      <c r="T2506" s="1" t="s">
        <v>71</v>
      </c>
      <c r="V2506" s="1" t="s">
        <v>223</v>
      </c>
      <c r="Y2506" s="1" t="s">
        <v>1428</v>
      </c>
      <c r="Z2506" s="1" t="str">
        <f t="shared" si="117"/>
        <v>55173 CT2</v>
      </c>
      <c r="AA2506" s="3">
        <f>IF(INDEX('CAMD Facility Data 2023'!$AA$2:$AE$10000,MATCH(Z2506,'CAMD Facility Data 2023'!$AE$2:$AE$10000,0),1)&gt;0,INDEX('CAMD Facility Data 2023'!$AA$2:$AE$10000,MATCH(Z2506,'CAMD Facility Data 2023'!$AE$2:$AE$10000,0),1),"")</f>
        <v>37469</v>
      </c>
      <c r="AB2506" s="5">
        <f>IF(INDEX('CAMD Facility Data 2023'!$AC$2:$AE$10000,MATCH(Z2506,'CAMD Facility Data 2023'!$AE$2:$AE$10000,0),1)&gt;0,INDEX('CAMD Facility Data 2023'!$AC$2:$AE$10000,MATCH(Z2506,'CAMD Facility Data 2023'!$AE$2:$AE$10000,0),1),"")</f>
        <v>2500</v>
      </c>
      <c r="AC2506" s="1" t="str">
        <f>IF(INDEX('CAMD Facility Data 2023'!$AE$2:$AG$10000,MATCH(Z2506,'CAMD Facility Data 2023'!$AE$2:$AE$10000,0),3)&gt;0,INDEX('CAMD Facility Data 2023'!$AE$2:$AG$10000,MATCH(Z2506,'CAMD Facility Data 2023'!$AE$2:$AE$10000,0),3),"")</f>
        <v>Y</v>
      </c>
      <c r="AD2506" s="20">
        <f t="shared" si="118"/>
        <v>6.2925576068584663E-2</v>
      </c>
      <c r="AE2506" s="25">
        <f t="shared" si="119"/>
        <v>0.49103886150684933</v>
      </c>
    </row>
    <row r="2507" spans="1:31" x14ac:dyDescent="0.2">
      <c r="A2507" s="1" t="s">
        <v>1426</v>
      </c>
      <c r="B2507" s="1" t="s">
        <v>5850</v>
      </c>
      <c r="C2507" s="1">
        <v>55173</v>
      </c>
      <c r="D2507" s="1" t="s">
        <v>101</v>
      </c>
      <c r="F2507" s="1">
        <v>2023</v>
      </c>
      <c r="G2507" s="5">
        <v>6398</v>
      </c>
      <c r="H2507" s="5">
        <v>6385.16</v>
      </c>
      <c r="I2507" s="5">
        <v>1520829.01</v>
      </c>
      <c r="K2507" s="5">
        <v>3.3479999999999999</v>
      </c>
      <c r="L2507" s="5">
        <v>1E-3</v>
      </c>
      <c r="M2507" s="5">
        <v>663273.31000000006</v>
      </c>
      <c r="N2507" s="6">
        <v>5.8999999999999997E-2</v>
      </c>
      <c r="O2507" s="5">
        <v>50.375999999999998</v>
      </c>
      <c r="P2507" s="6">
        <v>9.1999999999999998E-3</v>
      </c>
      <c r="Q2507" s="5">
        <v>11160919.265000001</v>
      </c>
      <c r="R2507" s="1" t="s">
        <v>44</v>
      </c>
      <c r="T2507" s="1" t="s">
        <v>71</v>
      </c>
      <c r="V2507" s="1" t="s">
        <v>223</v>
      </c>
      <c r="Y2507" s="1" t="s">
        <v>1428</v>
      </c>
      <c r="Z2507" s="1" t="str">
        <f t="shared" si="117"/>
        <v>55173 CT3</v>
      </c>
      <c r="AA2507" s="3">
        <f>IF(INDEX('CAMD Facility Data 2023'!$AA$2:$AE$10000,MATCH(Z2507,'CAMD Facility Data 2023'!$AE$2:$AE$10000,0),1)&gt;0,INDEX('CAMD Facility Data 2023'!$AA$2:$AE$10000,MATCH(Z2507,'CAMD Facility Data 2023'!$AE$2:$AE$10000,0),1),"")</f>
        <v>37469</v>
      </c>
      <c r="AB2507" s="5">
        <f>IF(INDEX('CAMD Facility Data 2023'!$AC$2:$AE$10000,MATCH(Z2507,'CAMD Facility Data 2023'!$AE$2:$AE$10000,0),1)&gt;0,INDEX('CAMD Facility Data 2023'!$AC$2:$AE$10000,MATCH(Z2507,'CAMD Facility Data 2023'!$AE$2:$AE$10000,0),1),"")</f>
        <v>2500</v>
      </c>
      <c r="AC2507" s="1" t="str">
        <f>IF(INDEX('CAMD Facility Data 2023'!$AE$2:$AG$10000,MATCH(Z2507,'CAMD Facility Data 2023'!$AE$2:$AE$10000,0),3)&gt;0,INDEX('CAMD Facility Data 2023'!$AE$2:$AG$10000,MATCH(Z2507,'CAMD Facility Data 2023'!$AE$2:$AE$10000,0),3),"")</f>
        <v>Y</v>
      </c>
      <c r="AD2507" s="20">
        <f t="shared" si="118"/>
        <v>6.6248078737004099E-2</v>
      </c>
      <c r="AE2507" s="25">
        <f t="shared" si="119"/>
        <v>0.50963101666666666</v>
      </c>
    </row>
    <row r="2508" spans="1:31" x14ac:dyDescent="0.2">
      <c r="A2508" s="1" t="s">
        <v>1426</v>
      </c>
      <c r="B2508" s="1" t="s">
        <v>5850</v>
      </c>
      <c r="C2508" s="1">
        <v>55173</v>
      </c>
      <c r="D2508" s="1" t="s">
        <v>103</v>
      </c>
      <c r="F2508" s="1">
        <v>2023</v>
      </c>
      <c r="G2508" s="5">
        <v>6035</v>
      </c>
      <c r="H2508" s="5">
        <v>6016.9</v>
      </c>
      <c r="I2508" s="5">
        <v>1450599.38</v>
      </c>
      <c r="K2508" s="5">
        <v>3.18</v>
      </c>
      <c r="L2508" s="5">
        <v>1E-3</v>
      </c>
      <c r="M2508" s="5">
        <v>629977.66799999995</v>
      </c>
      <c r="N2508" s="6">
        <v>5.8999999999999997E-2</v>
      </c>
      <c r="O2508" s="5">
        <v>51.588000000000001</v>
      </c>
      <c r="P2508" s="6">
        <v>9.9000000000000008E-3</v>
      </c>
      <c r="Q2508" s="5">
        <v>10600591.816</v>
      </c>
      <c r="R2508" s="1" t="s">
        <v>44</v>
      </c>
      <c r="T2508" s="1" t="s">
        <v>71</v>
      </c>
      <c r="V2508" s="1" t="s">
        <v>223</v>
      </c>
      <c r="Y2508" s="1" t="s">
        <v>1428</v>
      </c>
      <c r="Z2508" s="1" t="str">
        <f t="shared" si="117"/>
        <v>55173 CT4</v>
      </c>
      <c r="AA2508" s="3">
        <f>IF(INDEX('CAMD Facility Data 2023'!$AA$2:$AE$10000,MATCH(Z2508,'CAMD Facility Data 2023'!$AE$2:$AE$10000,0),1)&gt;0,INDEX('CAMD Facility Data 2023'!$AA$2:$AE$10000,MATCH(Z2508,'CAMD Facility Data 2023'!$AE$2:$AE$10000,0),1),"")</f>
        <v>37469</v>
      </c>
      <c r="AB2508" s="5">
        <f>IF(INDEX('CAMD Facility Data 2023'!$AC$2:$AE$10000,MATCH(Z2508,'CAMD Facility Data 2023'!$AE$2:$AE$10000,0),1)&gt;0,INDEX('CAMD Facility Data 2023'!$AC$2:$AE$10000,MATCH(Z2508,'CAMD Facility Data 2023'!$AE$2:$AE$10000,0),1),"")</f>
        <v>2500</v>
      </c>
      <c r="AC2508" s="1" t="str">
        <f>IF(INDEX('CAMD Facility Data 2023'!$AE$2:$AG$10000,MATCH(Z2508,'CAMD Facility Data 2023'!$AE$2:$AE$10000,0),3)&gt;0,INDEX('CAMD Facility Data 2023'!$AE$2:$AG$10000,MATCH(Z2508,'CAMD Facility Data 2023'!$AE$2:$AE$10000,0),3),"")</f>
        <v>Y</v>
      </c>
      <c r="AD2508" s="20">
        <f t="shared" si="118"/>
        <v>7.112646084268974E-2</v>
      </c>
      <c r="AE2508" s="25">
        <f t="shared" si="119"/>
        <v>0.48404528840182648</v>
      </c>
    </row>
    <row r="2509" spans="1:31" x14ac:dyDescent="0.2">
      <c r="A2509" s="1" t="s">
        <v>383</v>
      </c>
      <c r="B2509" s="1" t="s">
        <v>5858</v>
      </c>
      <c r="C2509" s="1">
        <v>55176</v>
      </c>
      <c r="D2509" s="1">
        <v>1</v>
      </c>
      <c r="F2509" s="1">
        <v>2023</v>
      </c>
      <c r="G2509" s="5">
        <v>7297</v>
      </c>
      <c r="H2509" s="5">
        <v>7278.71</v>
      </c>
      <c r="I2509" s="5">
        <v>1274026.45</v>
      </c>
      <c r="K2509" s="5">
        <v>3.661</v>
      </c>
      <c r="L2509" s="5">
        <v>1E-3</v>
      </c>
      <c r="M2509" s="5">
        <v>725181.06900000002</v>
      </c>
      <c r="N2509" s="6">
        <v>5.8999999999999997E-2</v>
      </c>
      <c r="O2509" s="5">
        <v>185.029</v>
      </c>
      <c r="P2509" s="6">
        <v>3.0200000000000001E-2</v>
      </c>
      <c r="Q2509" s="5">
        <v>12202540.001</v>
      </c>
      <c r="R2509" s="1" t="s">
        <v>44</v>
      </c>
      <c r="S2509" s="1" t="s">
        <v>5436</v>
      </c>
      <c r="T2509" s="1" t="s">
        <v>71</v>
      </c>
      <c r="V2509" s="1" t="s">
        <v>140</v>
      </c>
      <c r="Y2509" s="1" t="s">
        <v>346</v>
      </c>
      <c r="Z2509" s="1" t="str">
        <f t="shared" si="117"/>
        <v>55176 1</v>
      </c>
      <c r="AA2509" s="3">
        <f>IF(INDEX('CAMD Facility Data 2023'!$AA$2:$AE$10000,MATCH(Z2509,'CAMD Facility Data 2023'!$AE$2:$AE$10000,0),1)&gt;0,INDEX('CAMD Facility Data 2023'!$AA$2:$AE$10000,MATCH(Z2509,'CAMD Facility Data 2023'!$AE$2:$AE$10000,0),1),"")</f>
        <v>37001</v>
      </c>
      <c r="AB2509" s="5">
        <f>IF(INDEX('CAMD Facility Data 2023'!$AC$2:$AE$10000,MATCH(Z2509,'CAMD Facility Data 2023'!$AE$2:$AE$10000,0),1)&gt;0,INDEX('CAMD Facility Data 2023'!$AC$2:$AE$10000,MATCH(Z2509,'CAMD Facility Data 2023'!$AE$2:$AE$10000,0),1),"")</f>
        <v>2335</v>
      </c>
      <c r="AC2509" s="1" t="str">
        <f>IF(INDEX('CAMD Facility Data 2023'!$AE$2:$AG$10000,MATCH(Z2509,'CAMD Facility Data 2023'!$AE$2:$AE$10000,0),3)&gt;0,INDEX('CAMD Facility Data 2023'!$AE$2:$AG$10000,MATCH(Z2509,'CAMD Facility Data 2023'!$AE$2:$AE$10000,0),3),"")</f>
        <v/>
      </c>
      <c r="AD2509" s="20">
        <f t="shared" si="118"/>
        <v>0.29046335733453571</v>
      </c>
      <c r="AE2509" s="25">
        <f t="shared" si="119"/>
        <v>0.59656703142569401</v>
      </c>
    </row>
    <row r="2510" spans="1:31" x14ac:dyDescent="0.2">
      <c r="A2510" s="1" t="s">
        <v>383</v>
      </c>
      <c r="B2510" s="1" t="s">
        <v>5858</v>
      </c>
      <c r="C2510" s="1">
        <v>55176</v>
      </c>
      <c r="D2510" s="1">
        <v>2</v>
      </c>
      <c r="F2510" s="1">
        <v>2023</v>
      </c>
      <c r="G2510" s="5">
        <v>8034</v>
      </c>
      <c r="H2510" s="5">
        <v>8029.19</v>
      </c>
      <c r="I2510" s="5">
        <v>1414502.01</v>
      </c>
      <c r="K2510" s="5">
        <v>4.0119999999999996</v>
      </c>
      <c r="L2510" s="5">
        <v>1E-3</v>
      </c>
      <c r="M2510" s="5">
        <v>794724.505</v>
      </c>
      <c r="N2510" s="6">
        <v>5.8999999999999997E-2</v>
      </c>
      <c r="O2510" s="5">
        <v>202.066</v>
      </c>
      <c r="P2510" s="6">
        <v>3.0099999999999998E-2</v>
      </c>
      <c r="Q2510" s="5">
        <v>13372741.460999999</v>
      </c>
      <c r="R2510" s="1" t="s">
        <v>44</v>
      </c>
      <c r="S2510" s="1" t="s">
        <v>5436</v>
      </c>
      <c r="T2510" s="1" t="s">
        <v>71</v>
      </c>
      <c r="V2510" s="1" t="s">
        <v>140</v>
      </c>
      <c r="Y2510" s="1" t="s">
        <v>346</v>
      </c>
      <c r="Z2510" s="1" t="str">
        <f t="shared" si="117"/>
        <v>55176 2</v>
      </c>
      <c r="AA2510" s="3">
        <f>IF(INDEX('CAMD Facility Data 2023'!$AA$2:$AE$10000,MATCH(Z2510,'CAMD Facility Data 2023'!$AE$2:$AE$10000,0),1)&gt;0,INDEX('CAMD Facility Data 2023'!$AA$2:$AE$10000,MATCH(Z2510,'CAMD Facility Data 2023'!$AE$2:$AE$10000,0),1),"")</f>
        <v>37098</v>
      </c>
      <c r="AB2510" s="5">
        <f>IF(INDEX('CAMD Facility Data 2023'!$AC$2:$AE$10000,MATCH(Z2510,'CAMD Facility Data 2023'!$AE$2:$AE$10000,0),1)&gt;0,INDEX('CAMD Facility Data 2023'!$AC$2:$AE$10000,MATCH(Z2510,'CAMD Facility Data 2023'!$AE$2:$AE$10000,0),1),"")</f>
        <v>2335</v>
      </c>
      <c r="AC2510" s="1" t="str">
        <f>IF(INDEX('CAMD Facility Data 2023'!$AE$2:$AG$10000,MATCH(Z2510,'CAMD Facility Data 2023'!$AE$2:$AE$10000,0),3)&gt;0,INDEX('CAMD Facility Data 2023'!$AE$2:$AG$10000,MATCH(Z2510,'CAMD Facility Data 2023'!$AE$2:$AE$10000,0),3),"")</f>
        <v/>
      </c>
      <c r="AD2510" s="20">
        <f t="shared" si="118"/>
        <v>0.28570620412197223</v>
      </c>
      <c r="AE2510" s="25">
        <f t="shared" si="119"/>
        <v>0.65377672802205855</v>
      </c>
    </row>
    <row r="2511" spans="1:31" x14ac:dyDescent="0.2">
      <c r="A2511" s="1" t="s">
        <v>234</v>
      </c>
      <c r="B2511" s="1" t="s">
        <v>5863</v>
      </c>
      <c r="C2511" s="1">
        <v>55177</v>
      </c>
      <c r="D2511" s="1" t="s">
        <v>3087</v>
      </c>
      <c r="F2511" s="1">
        <v>2023</v>
      </c>
      <c r="G2511" s="5">
        <v>6858</v>
      </c>
      <c r="H2511" s="5">
        <v>6787.11</v>
      </c>
      <c r="I2511" s="5">
        <v>1361497.13</v>
      </c>
      <c r="K2511" s="5">
        <v>3.036</v>
      </c>
      <c r="L2511" s="5">
        <v>1E-3</v>
      </c>
      <c r="M2511" s="5">
        <v>601468.75</v>
      </c>
      <c r="N2511" s="6">
        <v>5.8999999999999997E-2</v>
      </c>
      <c r="O2511" s="5">
        <v>47.48</v>
      </c>
      <c r="P2511" s="6">
        <v>0.01</v>
      </c>
      <c r="Q2511" s="5">
        <v>10120850.903999999</v>
      </c>
      <c r="R2511" s="1" t="s">
        <v>44</v>
      </c>
      <c r="T2511" s="1" t="s">
        <v>71</v>
      </c>
      <c r="V2511" s="1" t="s">
        <v>64</v>
      </c>
      <c r="Y2511" s="1" t="s">
        <v>247</v>
      </c>
      <c r="Z2511" s="1" t="str">
        <f t="shared" si="117"/>
        <v>55177 A</v>
      </c>
      <c r="AA2511" s="3">
        <f>IF(INDEX('CAMD Facility Data 2023'!$AA$2:$AE$10000,MATCH(Z2511,'CAMD Facility Data 2023'!$AE$2:$AE$10000,0),1)&gt;0,INDEX('CAMD Facility Data 2023'!$AA$2:$AE$10000,MATCH(Z2511,'CAMD Facility Data 2023'!$AE$2:$AE$10000,0),1),"")</f>
        <v>36951</v>
      </c>
      <c r="AB2511" s="5">
        <f>IF(INDEX('CAMD Facility Data 2023'!$AC$2:$AE$10000,MATCH(Z2511,'CAMD Facility Data 2023'!$AE$2:$AE$10000,0),1)&gt;0,INDEX('CAMD Facility Data 2023'!$AC$2:$AE$10000,MATCH(Z2511,'CAMD Facility Data 2023'!$AE$2:$AE$10000,0),1),"")</f>
        <v>2150</v>
      </c>
      <c r="AC2511" s="1" t="str">
        <f>IF(INDEX('CAMD Facility Data 2023'!$AE$2:$AG$10000,MATCH(Z2511,'CAMD Facility Data 2023'!$AE$2:$AE$10000,0),3)&gt;0,INDEX('CAMD Facility Data 2023'!$AE$2:$AG$10000,MATCH(Z2511,'CAMD Facility Data 2023'!$AE$2:$AE$10000,0),3),"")</f>
        <v>Y</v>
      </c>
      <c r="AD2511" s="20">
        <f t="shared" si="118"/>
        <v>6.9746750035382013E-2</v>
      </c>
      <c r="AE2511" s="25">
        <f t="shared" si="119"/>
        <v>0.53737129149410634</v>
      </c>
    </row>
    <row r="2512" spans="1:31" x14ac:dyDescent="0.2">
      <c r="A2512" s="1" t="s">
        <v>234</v>
      </c>
      <c r="B2512" s="1" t="s">
        <v>5863</v>
      </c>
      <c r="C2512" s="1">
        <v>55177</v>
      </c>
      <c r="D2512" s="1" t="s">
        <v>3091</v>
      </c>
      <c r="F2512" s="1">
        <v>2023</v>
      </c>
      <c r="G2512" s="5">
        <v>6975</v>
      </c>
      <c r="H2512" s="5">
        <v>6922.68</v>
      </c>
      <c r="I2512" s="5">
        <v>1393253.42</v>
      </c>
      <c r="K2512" s="5">
        <v>3.1230000000000002</v>
      </c>
      <c r="L2512" s="5">
        <v>1E-3</v>
      </c>
      <c r="M2512" s="5">
        <v>618603.01500000001</v>
      </c>
      <c r="N2512" s="6">
        <v>5.8999999999999997E-2</v>
      </c>
      <c r="O2512" s="5">
        <v>47.78</v>
      </c>
      <c r="P2512" s="6">
        <v>9.7000000000000003E-3</v>
      </c>
      <c r="Q2512" s="5">
        <v>10409073.189999999</v>
      </c>
      <c r="R2512" s="1" t="s">
        <v>44</v>
      </c>
      <c r="T2512" s="1" t="s">
        <v>71</v>
      </c>
      <c r="V2512" s="1" t="s">
        <v>64</v>
      </c>
      <c r="Y2512" s="1" t="s">
        <v>247</v>
      </c>
      <c r="Z2512" s="1" t="str">
        <f t="shared" si="117"/>
        <v>55177 B</v>
      </c>
      <c r="AA2512" s="3">
        <f>IF(INDEX('CAMD Facility Data 2023'!$AA$2:$AE$10000,MATCH(Z2512,'CAMD Facility Data 2023'!$AE$2:$AE$10000,0),1)&gt;0,INDEX('CAMD Facility Data 2023'!$AA$2:$AE$10000,MATCH(Z2512,'CAMD Facility Data 2023'!$AE$2:$AE$10000,0),1),"")</f>
        <v>36951</v>
      </c>
      <c r="AB2512" s="5">
        <f>IF(INDEX('CAMD Facility Data 2023'!$AC$2:$AE$10000,MATCH(Z2512,'CAMD Facility Data 2023'!$AE$2:$AE$10000,0),1)&gt;0,INDEX('CAMD Facility Data 2023'!$AC$2:$AE$10000,MATCH(Z2512,'CAMD Facility Data 2023'!$AE$2:$AE$10000,0),1),"")</f>
        <v>2150</v>
      </c>
      <c r="AC2512" s="1" t="str">
        <f>IF(INDEX('CAMD Facility Data 2023'!$AE$2:$AG$10000,MATCH(Z2512,'CAMD Facility Data 2023'!$AE$2:$AE$10000,0),3)&gt;0,INDEX('CAMD Facility Data 2023'!$AE$2:$AG$10000,MATCH(Z2512,'CAMD Facility Data 2023'!$AE$2:$AE$10000,0),3),"")</f>
        <v>Y</v>
      </c>
      <c r="AD2512" s="20">
        <f t="shared" si="118"/>
        <v>6.8587665838997197E-2</v>
      </c>
      <c r="AE2512" s="25">
        <f t="shared" si="119"/>
        <v>0.55267458797918656</v>
      </c>
    </row>
    <row r="2513" spans="1:31" x14ac:dyDescent="0.2">
      <c r="A2513" s="1" t="s">
        <v>1755</v>
      </c>
      <c r="B2513" s="1" t="s">
        <v>5866</v>
      </c>
      <c r="C2513" s="1">
        <v>55178</v>
      </c>
      <c r="D2513" s="1" t="s">
        <v>1296</v>
      </c>
      <c r="F2513" s="1">
        <v>2023</v>
      </c>
      <c r="G2513" s="5">
        <v>4983</v>
      </c>
      <c r="H2513" s="5">
        <v>4818.43</v>
      </c>
      <c r="I2513" s="5">
        <v>1311950.3400000001</v>
      </c>
      <c r="K2513" s="5">
        <v>2.8410000000000002</v>
      </c>
      <c r="L2513" s="5">
        <v>1E-3</v>
      </c>
      <c r="M2513" s="5">
        <v>562838.42099999997</v>
      </c>
      <c r="N2513" s="6">
        <v>5.8999999999999997E-2</v>
      </c>
      <c r="O2513" s="5">
        <v>71.878</v>
      </c>
      <c r="P2513" s="6">
        <v>1.83E-2</v>
      </c>
      <c r="Q2513" s="5">
        <v>9470654.3259999994</v>
      </c>
      <c r="R2513" s="1" t="s">
        <v>44</v>
      </c>
      <c r="T2513" s="1" t="s">
        <v>71</v>
      </c>
      <c r="V2513" s="1" t="s">
        <v>64</v>
      </c>
      <c r="Y2513" s="1" t="s">
        <v>1207</v>
      </c>
      <c r="Z2513" s="1" t="str">
        <f t="shared" si="117"/>
        <v>55178 CT-1</v>
      </c>
      <c r="AA2513" s="3">
        <f>IF(INDEX('CAMD Facility Data 2023'!$AA$2:$AE$10000,MATCH(Z2513,'CAMD Facility Data 2023'!$AE$2:$AE$10000,0),1)&gt;0,INDEX('CAMD Facility Data 2023'!$AA$2:$AE$10000,MATCH(Z2513,'CAMD Facility Data 2023'!$AE$2:$AE$10000,0),1),"")</f>
        <v>37042</v>
      </c>
      <c r="AB2513" s="5">
        <f>IF(INDEX('CAMD Facility Data 2023'!$AC$2:$AE$10000,MATCH(Z2513,'CAMD Facility Data 2023'!$AE$2:$AE$10000,0),1)&gt;0,INDEX('CAMD Facility Data 2023'!$AC$2:$AE$10000,MATCH(Z2513,'CAMD Facility Data 2023'!$AE$2:$AE$10000,0),1),"")</f>
        <v>2600</v>
      </c>
      <c r="AC2513" s="1" t="str">
        <f>IF(INDEX('CAMD Facility Data 2023'!$AE$2:$AG$10000,MATCH(Z2513,'CAMD Facility Data 2023'!$AE$2:$AE$10000,0),3)&gt;0,INDEX('CAMD Facility Data 2023'!$AE$2:$AG$10000,MATCH(Z2513,'CAMD Facility Data 2023'!$AE$2:$AE$10000,0),3),"")</f>
        <v>Y</v>
      </c>
      <c r="AD2513" s="20">
        <f t="shared" si="118"/>
        <v>0.10957426940413004</v>
      </c>
      <c r="AE2513" s="25">
        <f t="shared" si="119"/>
        <v>0.41581727809975411</v>
      </c>
    </row>
    <row r="2514" spans="1:31" x14ac:dyDescent="0.2">
      <c r="A2514" s="1" t="s">
        <v>1755</v>
      </c>
      <c r="B2514" s="1" t="s">
        <v>5866</v>
      </c>
      <c r="C2514" s="1">
        <v>55178</v>
      </c>
      <c r="D2514" s="1" t="s">
        <v>1300</v>
      </c>
      <c r="F2514" s="1">
        <v>2023</v>
      </c>
      <c r="G2514" s="5">
        <v>5270</v>
      </c>
      <c r="H2514" s="5">
        <v>5139.43</v>
      </c>
      <c r="I2514" s="5">
        <v>1377532.74</v>
      </c>
      <c r="K2514" s="5">
        <v>2.9860000000000002</v>
      </c>
      <c r="L2514" s="5">
        <v>1E-3</v>
      </c>
      <c r="M2514" s="5">
        <v>591546.99600000004</v>
      </c>
      <c r="N2514" s="6">
        <v>5.8999999999999997E-2</v>
      </c>
      <c r="O2514" s="5">
        <v>75.631</v>
      </c>
      <c r="P2514" s="6">
        <v>1.7899999999999999E-2</v>
      </c>
      <c r="Q2514" s="5">
        <v>9953996.1750000007</v>
      </c>
      <c r="R2514" s="1" t="s">
        <v>44</v>
      </c>
      <c r="T2514" s="1" t="s">
        <v>71</v>
      </c>
      <c r="V2514" s="1" t="s">
        <v>64</v>
      </c>
      <c r="Y2514" s="1" t="s">
        <v>1207</v>
      </c>
      <c r="Z2514" s="1" t="str">
        <f t="shared" si="117"/>
        <v>55178 CT-2</v>
      </c>
      <c r="AA2514" s="3">
        <f>IF(INDEX('CAMD Facility Data 2023'!$AA$2:$AE$10000,MATCH(Z2514,'CAMD Facility Data 2023'!$AE$2:$AE$10000,0),1)&gt;0,INDEX('CAMD Facility Data 2023'!$AA$2:$AE$10000,MATCH(Z2514,'CAMD Facility Data 2023'!$AE$2:$AE$10000,0),1),"")</f>
        <v>37042</v>
      </c>
      <c r="AB2514" s="5">
        <f>IF(INDEX('CAMD Facility Data 2023'!$AC$2:$AE$10000,MATCH(Z2514,'CAMD Facility Data 2023'!$AE$2:$AE$10000,0),1)&gt;0,INDEX('CAMD Facility Data 2023'!$AC$2:$AE$10000,MATCH(Z2514,'CAMD Facility Data 2023'!$AE$2:$AE$10000,0),1),"")</f>
        <v>2600</v>
      </c>
      <c r="AC2514" s="1" t="str">
        <f>IF(INDEX('CAMD Facility Data 2023'!$AE$2:$AG$10000,MATCH(Z2514,'CAMD Facility Data 2023'!$AE$2:$AE$10000,0),3)&gt;0,INDEX('CAMD Facility Data 2023'!$AE$2:$AG$10000,MATCH(Z2514,'CAMD Facility Data 2023'!$AE$2:$AE$10000,0),3),"")</f>
        <v>Y</v>
      </c>
      <c r="AD2514" s="20">
        <f t="shared" si="118"/>
        <v>0.10980646456359361</v>
      </c>
      <c r="AE2514" s="25">
        <f t="shared" si="119"/>
        <v>0.43703882046891468</v>
      </c>
    </row>
    <row r="2515" spans="1:31" x14ac:dyDescent="0.2">
      <c r="A2515" s="1" t="s">
        <v>4118</v>
      </c>
      <c r="B2515" s="1" t="s">
        <v>5870</v>
      </c>
      <c r="C2515" s="1">
        <v>55179</v>
      </c>
      <c r="D2515" s="1" t="s">
        <v>5775</v>
      </c>
      <c r="F2515" s="1">
        <v>2023</v>
      </c>
      <c r="G2515" s="5">
        <v>7861</v>
      </c>
      <c r="H2515" s="5">
        <v>7829.01</v>
      </c>
      <c r="I2515" s="5">
        <v>1834721.5</v>
      </c>
      <c r="K2515" s="5">
        <v>3.8580000000000001</v>
      </c>
      <c r="L2515" s="5">
        <v>1E-3</v>
      </c>
      <c r="M2515" s="5">
        <v>764141.99600000004</v>
      </c>
      <c r="N2515" s="6">
        <v>5.8999999999999997E-2</v>
      </c>
      <c r="O2515" s="5">
        <v>76.953999999999994</v>
      </c>
      <c r="P2515" s="6">
        <v>1.32E-2</v>
      </c>
      <c r="Q2515" s="5">
        <v>12858151.534</v>
      </c>
      <c r="R2515" s="1" t="s">
        <v>44</v>
      </c>
      <c r="T2515" s="1" t="s">
        <v>71</v>
      </c>
      <c r="V2515" s="1" t="s">
        <v>64</v>
      </c>
      <c r="Y2515" s="1" t="s">
        <v>247</v>
      </c>
      <c r="Z2515" s="1" t="str">
        <f t="shared" si="117"/>
        <v>55179 CTGEN1</v>
      </c>
      <c r="AA2515" s="3">
        <f>IF(INDEX('CAMD Facility Data 2023'!$AA$2:$AE$10000,MATCH(Z2515,'CAMD Facility Data 2023'!$AE$2:$AE$10000,0),1)&gt;0,INDEX('CAMD Facility Data 2023'!$AA$2:$AE$10000,MATCH(Z2515,'CAMD Facility Data 2023'!$AE$2:$AE$10000,0),1),"")</f>
        <v>37095</v>
      </c>
      <c r="AB2515" s="5">
        <f>IF(INDEX('CAMD Facility Data 2023'!$AC$2:$AE$10000,MATCH(Z2515,'CAMD Facility Data 2023'!$AE$2:$AE$10000,0),1)&gt;0,INDEX('CAMD Facility Data 2023'!$AC$2:$AE$10000,MATCH(Z2515,'CAMD Facility Data 2023'!$AE$2:$AE$10000,0),1),"")</f>
        <v>2040</v>
      </c>
      <c r="AC2515" s="1" t="str">
        <f>IF(INDEX('CAMD Facility Data 2023'!$AE$2:$AG$10000,MATCH(Z2515,'CAMD Facility Data 2023'!$AE$2:$AE$10000,0),3)&gt;0,INDEX('CAMD Facility Data 2023'!$AE$2:$AG$10000,MATCH(Z2515,'CAMD Facility Data 2023'!$AE$2:$AE$10000,0),3),"")</f>
        <v>Y</v>
      </c>
      <c r="AD2515" s="20">
        <f t="shared" si="118"/>
        <v>8.388630099990653E-2</v>
      </c>
      <c r="AE2515" s="25">
        <f t="shared" si="119"/>
        <v>0.71952231253917087</v>
      </c>
    </row>
    <row r="2516" spans="1:31" x14ac:dyDescent="0.2">
      <c r="A2516" s="1" t="s">
        <v>370</v>
      </c>
      <c r="B2516" s="1" t="s">
        <v>5874</v>
      </c>
      <c r="C2516" s="1">
        <v>55182</v>
      </c>
      <c r="D2516" s="1" t="s">
        <v>1129</v>
      </c>
      <c r="F2516" s="1">
        <v>2023</v>
      </c>
      <c r="G2516" s="5">
        <v>6151</v>
      </c>
      <c r="H2516" s="5">
        <v>5952.38</v>
      </c>
      <c r="I2516" s="5">
        <v>1417686.4</v>
      </c>
      <c r="K2516" s="5">
        <v>2.9409999999999998</v>
      </c>
      <c r="L2516" s="5">
        <v>1E-3</v>
      </c>
      <c r="M2516" s="5">
        <v>582653.33900000004</v>
      </c>
      <c r="N2516" s="6">
        <v>5.8999999999999997E-2</v>
      </c>
      <c r="O2516" s="5">
        <v>25.044</v>
      </c>
      <c r="P2516" s="6">
        <v>6.7999999999999996E-3</v>
      </c>
      <c r="Q2516" s="5">
        <v>9804216.125</v>
      </c>
      <c r="R2516" s="1" t="s">
        <v>44</v>
      </c>
      <c r="T2516" s="1" t="s">
        <v>71</v>
      </c>
      <c r="V2516" s="1" t="s">
        <v>858</v>
      </c>
      <c r="Y2516" s="1" t="s">
        <v>247</v>
      </c>
      <c r="Z2516" s="1" t="str">
        <f t="shared" si="117"/>
        <v>55182 CTG1</v>
      </c>
      <c r="AA2516" s="3">
        <f>IF(INDEX('CAMD Facility Data 2023'!$AA$2:$AE$10000,MATCH(Z2516,'CAMD Facility Data 2023'!$AE$2:$AE$10000,0),1)&gt;0,INDEX('CAMD Facility Data 2023'!$AA$2:$AE$10000,MATCH(Z2516,'CAMD Facility Data 2023'!$AE$2:$AE$10000,0),1),"")</f>
        <v>37070</v>
      </c>
      <c r="AB2516" s="5">
        <f>IF(INDEX('CAMD Facility Data 2023'!$AC$2:$AE$10000,MATCH(Z2516,'CAMD Facility Data 2023'!$AE$2:$AE$10000,0),1)&gt;0,INDEX('CAMD Facility Data 2023'!$AC$2:$AE$10000,MATCH(Z2516,'CAMD Facility Data 2023'!$AE$2:$AE$10000,0),1),"")</f>
        <v>2175</v>
      </c>
      <c r="AC2516" s="1" t="str">
        <f>IF(INDEX('CAMD Facility Data 2023'!$AE$2:$AG$10000,MATCH(Z2516,'CAMD Facility Data 2023'!$AE$2:$AE$10000,0),3)&gt;0,INDEX('CAMD Facility Data 2023'!$AE$2:$AG$10000,MATCH(Z2516,'CAMD Facility Data 2023'!$AE$2:$AE$10000,0),3),"")</f>
        <v>Y</v>
      </c>
      <c r="AD2516" s="20">
        <f t="shared" si="118"/>
        <v>3.5330803765910433E-2</v>
      </c>
      <c r="AE2516" s="25">
        <f t="shared" si="119"/>
        <v>0.51457597884847528</v>
      </c>
    </row>
    <row r="2517" spans="1:31" x14ac:dyDescent="0.2">
      <c r="A2517" s="1" t="s">
        <v>370</v>
      </c>
      <c r="B2517" s="1" t="s">
        <v>5874</v>
      </c>
      <c r="C2517" s="1">
        <v>55182</v>
      </c>
      <c r="D2517" s="1" t="s">
        <v>1135</v>
      </c>
      <c r="F2517" s="1">
        <v>2023</v>
      </c>
      <c r="G2517" s="5">
        <v>6462</v>
      </c>
      <c r="H2517" s="5">
        <v>6293.27</v>
      </c>
      <c r="I2517" s="5">
        <v>1499217.22</v>
      </c>
      <c r="K2517" s="5">
        <v>3.0750000000000002</v>
      </c>
      <c r="L2517" s="5">
        <v>1E-3</v>
      </c>
      <c r="M2517" s="5">
        <v>609107.375</v>
      </c>
      <c r="N2517" s="6">
        <v>5.8999999999999997E-2</v>
      </c>
      <c r="O2517" s="5">
        <v>25.446000000000002</v>
      </c>
      <c r="P2517" s="6">
        <v>6.7000000000000002E-3</v>
      </c>
      <c r="Q2517" s="5">
        <v>10249470.609999999</v>
      </c>
      <c r="R2517" s="1" t="s">
        <v>44</v>
      </c>
      <c r="T2517" s="1" t="s">
        <v>71</v>
      </c>
      <c r="V2517" s="1" t="s">
        <v>858</v>
      </c>
      <c r="Y2517" s="1" t="s">
        <v>247</v>
      </c>
      <c r="Z2517" s="1" t="str">
        <f t="shared" si="117"/>
        <v>55182 CTG2</v>
      </c>
      <c r="AA2517" s="3">
        <f>IF(INDEX('CAMD Facility Data 2023'!$AA$2:$AE$10000,MATCH(Z2517,'CAMD Facility Data 2023'!$AE$2:$AE$10000,0),1)&gt;0,INDEX('CAMD Facility Data 2023'!$AA$2:$AE$10000,MATCH(Z2517,'CAMD Facility Data 2023'!$AE$2:$AE$10000,0),1),"")</f>
        <v>37071</v>
      </c>
      <c r="AB2517" s="5">
        <f>IF(INDEX('CAMD Facility Data 2023'!$AC$2:$AE$10000,MATCH(Z2517,'CAMD Facility Data 2023'!$AE$2:$AE$10000,0),1)&gt;0,INDEX('CAMD Facility Data 2023'!$AC$2:$AE$10000,MATCH(Z2517,'CAMD Facility Data 2023'!$AE$2:$AE$10000,0),1),"")</f>
        <v>2200</v>
      </c>
      <c r="AC2517" s="1" t="str">
        <f>IF(INDEX('CAMD Facility Data 2023'!$AE$2:$AG$10000,MATCH(Z2517,'CAMD Facility Data 2023'!$AE$2:$AE$10000,0),3)&gt;0,INDEX('CAMD Facility Data 2023'!$AE$2:$AG$10000,MATCH(Z2517,'CAMD Facility Data 2023'!$AE$2:$AE$10000,0),3),"")</f>
        <v>Y</v>
      </c>
      <c r="AD2517" s="20">
        <f t="shared" si="118"/>
        <v>3.3945714684360417E-2</v>
      </c>
      <c r="AE2517" s="25">
        <f t="shared" si="119"/>
        <v>0.53183222343295966</v>
      </c>
    </row>
    <row r="2518" spans="1:31" x14ac:dyDescent="0.2">
      <c r="A2518" s="1" t="s">
        <v>458</v>
      </c>
      <c r="B2518" s="1" t="s">
        <v>5878</v>
      </c>
      <c r="C2518" s="1">
        <v>55183</v>
      </c>
      <c r="D2518" s="1">
        <v>1</v>
      </c>
      <c r="F2518" s="1">
        <v>2023</v>
      </c>
      <c r="G2518" s="5">
        <v>6272</v>
      </c>
      <c r="H2518" s="5">
        <v>6114.41</v>
      </c>
      <c r="I2518" s="5">
        <v>1539200.42</v>
      </c>
      <c r="K2518" s="5">
        <v>3.2010000000000001</v>
      </c>
      <c r="L2518" s="5">
        <v>1E-3</v>
      </c>
      <c r="M2518" s="5">
        <v>634023.88600000006</v>
      </c>
      <c r="N2518" s="6">
        <v>5.8999999999999997E-2</v>
      </c>
      <c r="O2518" s="5">
        <v>84.950999999999993</v>
      </c>
      <c r="P2518" s="6">
        <v>2.4199999999999999E-2</v>
      </c>
      <c r="Q2518" s="5">
        <v>10668678.447000001</v>
      </c>
      <c r="R2518" s="1" t="s">
        <v>44</v>
      </c>
      <c r="T2518" s="1" t="s">
        <v>71</v>
      </c>
      <c r="V2518" s="1" t="s">
        <v>64</v>
      </c>
      <c r="Y2518" s="1" t="s">
        <v>461</v>
      </c>
      <c r="Z2518" s="1" t="str">
        <f t="shared" si="117"/>
        <v>55183 1</v>
      </c>
      <c r="AA2518" s="3">
        <f>IF(INDEX('CAMD Facility Data 2023'!$AA$2:$AE$10000,MATCH(Z2518,'CAMD Facility Data 2023'!$AE$2:$AE$10000,0),1)&gt;0,INDEX('CAMD Facility Data 2023'!$AA$2:$AE$10000,MATCH(Z2518,'CAMD Facility Data 2023'!$AE$2:$AE$10000,0),1),"")</f>
        <v>42034</v>
      </c>
      <c r="AB2518" s="5">
        <f>IF(INDEX('CAMD Facility Data 2023'!$AC$2:$AE$10000,MATCH(Z2518,'CAMD Facility Data 2023'!$AE$2:$AE$10000,0),1)&gt;0,INDEX('CAMD Facility Data 2023'!$AC$2:$AE$10000,MATCH(Z2518,'CAMD Facility Data 2023'!$AE$2:$AE$10000,0),1),"")</f>
        <v>2516</v>
      </c>
      <c r="AC2518" s="1" t="str">
        <f>IF(INDEX('CAMD Facility Data 2023'!$AE$2:$AG$10000,MATCH(Z2518,'CAMD Facility Data 2023'!$AE$2:$AE$10000,0),3)&gt;0,INDEX('CAMD Facility Data 2023'!$AE$2:$AG$10000,MATCH(Z2518,'CAMD Facility Data 2023'!$AE$2:$AE$10000,0),3),"")</f>
        <v>Y</v>
      </c>
      <c r="AD2518" s="20">
        <f t="shared" si="118"/>
        <v>0.11038328588813666</v>
      </c>
      <c r="AE2518" s="25">
        <f t="shared" si="119"/>
        <v>0.48405630662390836</v>
      </c>
    </row>
    <row r="2519" spans="1:31" x14ac:dyDescent="0.2">
      <c r="A2519" s="1" t="s">
        <v>458</v>
      </c>
      <c r="B2519" s="1" t="s">
        <v>5878</v>
      </c>
      <c r="C2519" s="1">
        <v>55183</v>
      </c>
      <c r="D2519" s="1">
        <v>2</v>
      </c>
      <c r="F2519" s="1">
        <v>2023</v>
      </c>
      <c r="G2519" s="5">
        <v>5946</v>
      </c>
      <c r="H2519" s="5">
        <v>5806.01</v>
      </c>
      <c r="I2519" s="5">
        <v>1441073.86</v>
      </c>
      <c r="K2519" s="5">
        <v>2.9980000000000002</v>
      </c>
      <c r="L2519" s="5">
        <v>1E-3</v>
      </c>
      <c r="M2519" s="5">
        <v>593784.90399999998</v>
      </c>
      <c r="N2519" s="6">
        <v>5.8999999999999997E-2</v>
      </c>
      <c r="O2519" s="5">
        <v>80.807000000000002</v>
      </c>
      <c r="P2519" s="6">
        <v>2.41E-2</v>
      </c>
      <c r="Q2519" s="5">
        <v>9991613.9499999993</v>
      </c>
      <c r="R2519" s="1" t="s">
        <v>44</v>
      </c>
      <c r="T2519" s="1" t="s">
        <v>71</v>
      </c>
      <c r="V2519" s="1" t="s">
        <v>64</v>
      </c>
      <c r="Y2519" s="1" t="s">
        <v>461</v>
      </c>
      <c r="Z2519" s="1" t="str">
        <f t="shared" si="117"/>
        <v>55183 2</v>
      </c>
      <c r="AA2519" s="3">
        <f>IF(INDEX('CAMD Facility Data 2023'!$AA$2:$AE$10000,MATCH(Z2519,'CAMD Facility Data 2023'!$AE$2:$AE$10000,0),1)&gt;0,INDEX('CAMD Facility Data 2023'!$AA$2:$AE$10000,MATCH(Z2519,'CAMD Facility Data 2023'!$AE$2:$AE$10000,0),1),"")</f>
        <v>42089</v>
      </c>
      <c r="AB2519" s="5">
        <f>IF(INDEX('CAMD Facility Data 2023'!$AC$2:$AE$10000,MATCH(Z2519,'CAMD Facility Data 2023'!$AE$2:$AE$10000,0),1)&gt;0,INDEX('CAMD Facility Data 2023'!$AC$2:$AE$10000,MATCH(Z2519,'CAMD Facility Data 2023'!$AE$2:$AE$10000,0),1),"")</f>
        <v>2516</v>
      </c>
      <c r="AC2519" s="1" t="str">
        <f>IF(INDEX('CAMD Facility Data 2023'!$AE$2:$AG$10000,MATCH(Z2519,'CAMD Facility Data 2023'!$AE$2:$AE$10000,0),3)&gt;0,INDEX('CAMD Facility Data 2023'!$AE$2:$AG$10000,MATCH(Z2519,'CAMD Facility Data 2023'!$AE$2:$AE$10000,0),3),"")</f>
        <v>Y</v>
      </c>
      <c r="AD2519" s="20">
        <f t="shared" si="118"/>
        <v>0.11214831139883419</v>
      </c>
      <c r="AE2519" s="25">
        <f t="shared" si="119"/>
        <v>0.45333672486951088</v>
      </c>
    </row>
    <row r="2520" spans="1:31" x14ac:dyDescent="0.2">
      <c r="A2520" s="1" t="s">
        <v>383</v>
      </c>
      <c r="B2520" s="1" t="s">
        <v>5883</v>
      </c>
      <c r="C2520" s="1">
        <v>55187</v>
      </c>
      <c r="D2520" s="1" t="s">
        <v>5884</v>
      </c>
      <c r="F2520" s="1">
        <v>2023</v>
      </c>
      <c r="G2520" s="5">
        <v>4257</v>
      </c>
      <c r="H2520" s="5">
        <v>4255.8</v>
      </c>
      <c r="I2520" s="5">
        <v>1171477.18</v>
      </c>
      <c r="K2520" s="5">
        <v>2.419</v>
      </c>
      <c r="L2520" s="5">
        <v>1E-3</v>
      </c>
      <c r="M2520" s="5">
        <v>479180.51</v>
      </c>
      <c r="N2520" s="6">
        <v>5.8999999999999997E-2</v>
      </c>
      <c r="O2520" s="5">
        <v>42.085000000000001</v>
      </c>
      <c r="P2520" s="6">
        <v>1.0500000000000001E-2</v>
      </c>
      <c r="Q2520" s="5">
        <v>8063203.5199999996</v>
      </c>
      <c r="R2520" s="1" t="s">
        <v>44</v>
      </c>
      <c r="T2520" s="1" t="s">
        <v>71</v>
      </c>
      <c r="V2520" s="1" t="s">
        <v>223</v>
      </c>
      <c r="Y2520" s="1" t="s">
        <v>346</v>
      </c>
      <c r="Z2520" s="1" t="str">
        <f t="shared" si="117"/>
        <v>55187 CHV1</v>
      </c>
      <c r="AA2520" s="3">
        <f>IF(INDEX('CAMD Facility Data 2023'!$AA$2:$AE$10000,MATCH(Z2520,'CAMD Facility Data 2023'!$AE$2:$AE$10000,0),1)&gt;0,INDEX('CAMD Facility Data 2023'!$AA$2:$AE$10000,MATCH(Z2520,'CAMD Facility Data 2023'!$AE$2:$AE$10000,0),1),"")</f>
        <v>37335</v>
      </c>
      <c r="AB2520" s="5">
        <f>IF(INDEX('CAMD Facility Data 2023'!$AC$2:$AE$10000,MATCH(Z2520,'CAMD Facility Data 2023'!$AE$2:$AE$10000,0),1)&gt;0,INDEX('CAMD Facility Data 2023'!$AC$2:$AE$10000,MATCH(Z2520,'CAMD Facility Data 2023'!$AE$2:$AE$10000,0),1),"")</f>
        <v>2707</v>
      </c>
      <c r="AC2520" s="1" t="str">
        <f>IF(INDEX('CAMD Facility Data 2023'!$AE$2:$AG$10000,MATCH(Z2520,'CAMD Facility Data 2023'!$AE$2:$AE$10000,0),3)&gt;0,INDEX('CAMD Facility Data 2023'!$AE$2:$AG$10000,MATCH(Z2520,'CAMD Facility Data 2023'!$AE$2:$AE$10000,0),3),"")</f>
        <v>Y</v>
      </c>
      <c r="AD2520" s="20">
        <f t="shared" si="118"/>
        <v>7.184945762238408E-2</v>
      </c>
      <c r="AE2520" s="25">
        <f t="shared" si="119"/>
        <v>0.34002845320688962</v>
      </c>
    </row>
    <row r="2521" spans="1:31" x14ac:dyDescent="0.2">
      <c r="A2521" s="1" t="s">
        <v>383</v>
      </c>
      <c r="B2521" s="1" t="s">
        <v>5883</v>
      </c>
      <c r="C2521" s="1">
        <v>55187</v>
      </c>
      <c r="D2521" s="1" t="s">
        <v>5887</v>
      </c>
      <c r="F2521" s="1">
        <v>2023</v>
      </c>
      <c r="G2521" s="5">
        <v>8070</v>
      </c>
      <c r="H2521" s="5">
        <v>8066.92</v>
      </c>
      <c r="I2521" s="5">
        <v>2191110.7000000002</v>
      </c>
      <c r="K2521" s="5">
        <v>4.5579999999999998</v>
      </c>
      <c r="L2521" s="5">
        <v>1E-3</v>
      </c>
      <c r="M2521" s="5">
        <v>902815.804</v>
      </c>
      <c r="N2521" s="6">
        <v>5.8999999999999997E-2</v>
      </c>
      <c r="O2521" s="5">
        <v>80.411000000000001</v>
      </c>
      <c r="P2521" s="6">
        <v>1.06E-2</v>
      </c>
      <c r="Q2521" s="5">
        <v>15191552.723999999</v>
      </c>
      <c r="R2521" s="1" t="s">
        <v>44</v>
      </c>
      <c r="T2521" s="1" t="s">
        <v>71</v>
      </c>
      <c r="V2521" s="1" t="s">
        <v>223</v>
      </c>
      <c r="Y2521" s="1" t="s">
        <v>346</v>
      </c>
      <c r="Z2521" s="1" t="str">
        <f t="shared" si="117"/>
        <v>55187 CHV2</v>
      </c>
      <c r="AA2521" s="3">
        <f>IF(INDEX('CAMD Facility Data 2023'!$AA$2:$AE$10000,MATCH(Z2521,'CAMD Facility Data 2023'!$AE$2:$AE$10000,0),1)&gt;0,INDEX('CAMD Facility Data 2023'!$AA$2:$AE$10000,MATCH(Z2521,'CAMD Facility Data 2023'!$AE$2:$AE$10000,0),1),"")</f>
        <v>37307</v>
      </c>
      <c r="AB2521" s="5">
        <f>IF(INDEX('CAMD Facility Data 2023'!$AC$2:$AE$10000,MATCH(Z2521,'CAMD Facility Data 2023'!$AE$2:$AE$10000,0),1)&gt;0,INDEX('CAMD Facility Data 2023'!$AC$2:$AE$10000,MATCH(Z2521,'CAMD Facility Data 2023'!$AE$2:$AE$10000,0),1),"")</f>
        <v>2707</v>
      </c>
      <c r="AC2521" s="1" t="str">
        <f>IF(INDEX('CAMD Facility Data 2023'!$AE$2:$AG$10000,MATCH(Z2521,'CAMD Facility Data 2023'!$AE$2:$AE$10000,0),3)&gt;0,INDEX('CAMD Facility Data 2023'!$AE$2:$AG$10000,MATCH(Z2521,'CAMD Facility Data 2023'!$AE$2:$AE$10000,0),3),"")</f>
        <v>Y</v>
      </c>
      <c r="AD2521" s="20">
        <f t="shared" si="118"/>
        <v>7.3397478274374719E-2</v>
      </c>
      <c r="AE2521" s="25">
        <f t="shared" si="119"/>
        <v>0.6406337334460126</v>
      </c>
    </row>
    <row r="2522" spans="1:31" x14ac:dyDescent="0.2">
      <c r="A2522" s="1" t="s">
        <v>383</v>
      </c>
      <c r="B2522" s="1" t="s">
        <v>5883</v>
      </c>
      <c r="C2522" s="1">
        <v>55187</v>
      </c>
      <c r="D2522" s="1" t="s">
        <v>5889</v>
      </c>
      <c r="F2522" s="1">
        <v>2023</v>
      </c>
      <c r="G2522" s="5">
        <v>8386</v>
      </c>
      <c r="H2522" s="5">
        <v>8378.6</v>
      </c>
      <c r="I2522" s="5">
        <v>2339161.4700000002</v>
      </c>
      <c r="K2522" s="5">
        <v>4.9329999999999998</v>
      </c>
      <c r="L2522" s="5">
        <v>1E-3</v>
      </c>
      <c r="M2522" s="5">
        <v>977156.554</v>
      </c>
      <c r="N2522" s="6">
        <v>5.8999999999999997E-2</v>
      </c>
      <c r="O2522" s="5">
        <v>86.006</v>
      </c>
      <c r="P2522" s="6">
        <v>1.06E-2</v>
      </c>
      <c r="Q2522" s="5">
        <v>16442593.739</v>
      </c>
      <c r="R2522" s="1" t="s">
        <v>44</v>
      </c>
      <c r="T2522" s="1" t="s">
        <v>71</v>
      </c>
      <c r="V2522" s="1" t="s">
        <v>223</v>
      </c>
      <c r="Y2522" s="1" t="s">
        <v>346</v>
      </c>
      <c r="Z2522" s="1" t="str">
        <f t="shared" si="117"/>
        <v>55187 CHV3</v>
      </c>
      <c r="AA2522" s="3">
        <f>IF(INDEX('CAMD Facility Data 2023'!$AA$2:$AE$10000,MATCH(Z2522,'CAMD Facility Data 2023'!$AE$2:$AE$10000,0),1)&gt;0,INDEX('CAMD Facility Data 2023'!$AA$2:$AE$10000,MATCH(Z2522,'CAMD Facility Data 2023'!$AE$2:$AE$10000,0),1),"")</f>
        <v>37196</v>
      </c>
      <c r="AB2522" s="5">
        <f>IF(INDEX('CAMD Facility Data 2023'!$AC$2:$AE$10000,MATCH(Z2522,'CAMD Facility Data 2023'!$AE$2:$AE$10000,0),1)&gt;0,INDEX('CAMD Facility Data 2023'!$AC$2:$AE$10000,MATCH(Z2522,'CAMD Facility Data 2023'!$AE$2:$AE$10000,0),1),"")</f>
        <v>2707</v>
      </c>
      <c r="AC2522" s="1" t="str">
        <f>IF(INDEX('CAMD Facility Data 2023'!$AE$2:$AG$10000,MATCH(Z2522,'CAMD Facility Data 2023'!$AE$2:$AE$10000,0),3)&gt;0,INDEX('CAMD Facility Data 2023'!$AE$2:$AG$10000,MATCH(Z2522,'CAMD Facility Data 2023'!$AE$2:$AE$10000,0),3),"")</f>
        <v>Y</v>
      </c>
      <c r="AD2522" s="20">
        <f t="shared" si="118"/>
        <v>7.3535752963646409E-2</v>
      </c>
      <c r="AE2522" s="25">
        <f t="shared" si="119"/>
        <v>0.69339062345550939</v>
      </c>
    </row>
    <row r="2523" spans="1:31" x14ac:dyDescent="0.2">
      <c r="A2523" s="1" t="s">
        <v>383</v>
      </c>
      <c r="B2523" s="1" t="s">
        <v>5883</v>
      </c>
      <c r="C2523" s="1">
        <v>55187</v>
      </c>
      <c r="D2523" s="1" t="s">
        <v>5891</v>
      </c>
      <c r="F2523" s="1">
        <v>2023</v>
      </c>
      <c r="G2523" s="5">
        <v>7448</v>
      </c>
      <c r="H2523" s="5">
        <v>7444.28</v>
      </c>
      <c r="I2523" s="5">
        <v>2000245.91</v>
      </c>
      <c r="K2523" s="5">
        <v>4.1559999999999997</v>
      </c>
      <c r="L2523" s="5">
        <v>1E-3</v>
      </c>
      <c r="M2523" s="5">
        <v>823283.63899999997</v>
      </c>
      <c r="N2523" s="6">
        <v>5.8999999999999997E-2</v>
      </c>
      <c r="O2523" s="5">
        <v>77.718000000000004</v>
      </c>
      <c r="P2523" s="6">
        <v>1.1299999999999999E-2</v>
      </c>
      <c r="Q2523" s="5">
        <v>13853232.876</v>
      </c>
      <c r="R2523" s="1" t="s">
        <v>44</v>
      </c>
      <c r="T2523" s="1" t="s">
        <v>71</v>
      </c>
      <c r="V2523" s="1" t="s">
        <v>223</v>
      </c>
      <c r="Y2523" s="1" t="s">
        <v>346</v>
      </c>
      <c r="Z2523" s="1" t="str">
        <f t="shared" si="117"/>
        <v>55187 CHV4</v>
      </c>
      <c r="AA2523" s="3">
        <f>IF(INDEX('CAMD Facility Data 2023'!$AA$2:$AE$10000,MATCH(Z2523,'CAMD Facility Data 2023'!$AE$2:$AE$10000,0),1)&gt;0,INDEX('CAMD Facility Data 2023'!$AA$2:$AE$10000,MATCH(Z2523,'CAMD Facility Data 2023'!$AE$2:$AE$10000,0),1),"")</f>
        <v>37099</v>
      </c>
      <c r="AB2523" s="5">
        <f>IF(INDEX('CAMD Facility Data 2023'!$AC$2:$AE$10000,MATCH(Z2523,'CAMD Facility Data 2023'!$AE$2:$AE$10000,0),1)&gt;0,INDEX('CAMD Facility Data 2023'!$AC$2:$AE$10000,MATCH(Z2523,'CAMD Facility Data 2023'!$AE$2:$AE$10000,0),1),"")</f>
        <v>2707</v>
      </c>
      <c r="AC2523" s="1" t="str">
        <f>IF(INDEX('CAMD Facility Data 2023'!$AE$2:$AG$10000,MATCH(Z2523,'CAMD Facility Data 2023'!$AE$2:$AE$10000,0),3)&gt;0,INDEX('CAMD Facility Data 2023'!$AE$2:$AG$10000,MATCH(Z2523,'CAMD Facility Data 2023'!$AE$2:$AE$10000,0),3),"")</f>
        <v>Y</v>
      </c>
      <c r="AD2523" s="20">
        <f t="shared" si="118"/>
        <v>7.7708445358100994E-2</v>
      </c>
      <c r="AE2523" s="25">
        <f t="shared" si="119"/>
        <v>0.58419626083568221</v>
      </c>
    </row>
    <row r="2524" spans="1:31" x14ac:dyDescent="0.2">
      <c r="A2524" s="1" t="s">
        <v>458</v>
      </c>
      <c r="B2524" s="1" t="s">
        <v>5893</v>
      </c>
      <c r="C2524" s="1">
        <v>55188</v>
      </c>
      <c r="D2524" s="1">
        <v>1</v>
      </c>
      <c r="F2524" s="1">
        <v>2023</v>
      </c>
      <c r="G2524" s="5">
        <v>1327</v>
      </c>
      <c r="H2524" s="5">
        <v>1312.32</v>
      </c>
      <c r="I2524" s="5">
        <v>281450.84000000003</v>
      </c>
      <c r="K2524" s="5">
        <v>0.57299999999999995</v>
      </c>
      <c r="L2524" s="5">
        <v>1E-3</v>
      </c>
      <c r="M2524" s="5">
        <v>113439.338</v>
      </c>
      <c r="N2524" s="6">
        <v>5.8999999999999997E-2</v>
      </c>
      <c r="O2524" s="5">
        <v>12.837</v>
      </c>
      <c r="P2524" s="6">
        <v>1.4800000000000001E-2</v>
      </c>
      <c r="Q2524" s="5">
        <v>1908736.5589999999</v>
      </c>
      <c r="R2524" s="1" t="s">
        <v>44</v>
      </c>
      <c r="T2524" s="1" t="s">
        <v>71</v>
      </c>
      <c r="V2524" s="1" t="s">
        <v>64</v>
      </c>
      <c r="Y2524" s="1" t="s">
        <v>461</v>
      </c>
      <c r="Z2524" s="1" t="str">
        <f t="shared" si="117"/>
        <v>55188 1</v>
      </c>
      <c r="AA2524" s="3">
        <f>IF(INDEX('CAMD Facility Data 2023'!$AA$2:$AE$10000,MATCH(Z2524,'CAMD Facility Data 2023'!$AE$2:$AE$10000,0),1)&gt;0,INDEX('CAMD Facility Data 2023'!$AA$2:$AE$10000,MATCH(Z2524,'CAMD Facility Data 2023'!$AE$2:$AE$10000,0),1),"")</f>
        <v>37061</v>
      </c>
      <c r="AB2524" s="5">
        <f>IF(INDEX('CAMD Facility Data 2023'!$AC$2:$AE$10000,MATCH(Z2524,'CAMD Facility Data 2023'!$AE$2:$AE$10000,0),1)&gt;0,INDEX('CAMD Facility Data 2023'!$AC$2:$AE$10000,MATCH(Z2524,'CAMD Facility Data 2023'!$AE$2:$AE$10000,0),1),"")</f>
        <v>2152.1999999999998</v>
      </c>
      <c r="AC2524" s="1" t="str">
        <f>IF(INDEX('CAMD Facility Data 2023'!$AE$2:$AG$10000,MATCH(Z2524,'CAMD Facility Data 2023'!$AE$2:$AE$10000,0),3)&gt;0,INDEX('CAMD Facility Data 2023'!$AE$2:$AG$10000,MATCH(Z2524,'CAMD Facility Data 2023'!$AE$2:$AE$10000,0),3),"")</f>
        <v>Y</v>
      </c>
      <c r="AD2524" s="20">
        <f t="shared" si="118"/>
        <v>9.1220193196083543E-2</v>
      </c>
      <c r="AE2524" s="25">
        <f t="shared" si="119"/>
        <v>0.10124166028050727</v>
      </c>
    </row>
    <row r="2525" spans="1:31" x14ac:dyDescent="0.2">
      <c r="A2525" s="1" t="s">
        <v>458</v>
      </c>
      <c r="B2525" s="1" t="s">
        <v>5893</v>
      </c>
      <c r="C2525" s="1">
        <v>55188</v>
      </c>
      <c r="D2525" s="1">
        <v>2</v>
      </c>
      <c r="F2525" s="1">
        <v>2023</v>
      </c>
      <c r="G2525" s="5">
        <v>2369</v>
      </c>
      <c r="H2525" s="5">
        <v>2332.65</v>
      </c>
      <c r="I2525" s="5">
        <v>508535.99</v>
      </c>
      <c r="K2525" s="5">
        <v>1.0489999999999999</v>
      </c>
      <c r="L2525" s="5">
        <v>1E-3</v>
      </c>
      <c r="M2525" s="5">
        <v>207769.94399999999</v>
      </c>
      <c r="N2525" s="6">
        <v>5.8999999999999997E-2</v>
      </c>
      <c r="O2525" s="5">
        <v>24.585000000000001</v>
      </c>
      <c r="P2525" s="6">
        <v>1.55E-2</v>
      </c>
      <c r="Q2525" s="5">
        <v>3496014.15</v>
      </c>
      <c r="R2525" s="1" t="s">
        <v>44</v>
      </c>
      <c r="T2525" s="1" t="s">
        <v>71</v>
      </c>
      <c r="V2525" s="1" t="s">
        <v>64</v>
      </c>
      <c r="Y2525" s="1" t="s">
        <v>461</v>
      </c>
      <c r="Z2525" s="1" t="str">
        <f t="shared" si="117"/>
        <v>55188 2</v>
      </c>
      <c r="AA2525" s="3">
        <f>IF(INDEX('CAMD Facility Data 2023'!$AA$2:$AE$10000,MATCH(Z2525,'CAMD Facility Data 2023'!$AE$2:$AE$10000,0),1)&gt;0,INDEX('CAMD Facility Data 2023'!$AA$2:$AE$10000,MATCH(Z2525,'CAMD Facility Data 2023'!$AE$2:$AE$10000,0),1),"")</f>
        <v>37061</v>
      </c>
      <c r="AB2525" s="5">
        <f>IF(INDEX('CAMD Facility Data 2023'!$AC$2:$AE$10000,MATCH(Z2525,'CAMD Facility Data 2023'!$AE$2:$AE$10000,0),1)&gt;0,INDEX('CAMD Facility Data 2023'!$AC$2:$AE$10000,MATCH(Z2525,'CAMD Facility Data 2023'!$AE$2:$AE$10000,0),1),"")</f>
        <v>2152.1999999999998</v>
      </c>
      <c r="AC2525" s="1" t="str">
        <f>IF(INDEX('CAMD Facility Data 2023'!$AE$2:$AG$10000,MATCH(Z2525,'CAMD Facility Data 2023'!$AE$2:$AE$10000,0),3)&gt;0,INDEX('CAMD Facility Data 2023'!$AE$2:$AG$10000,MATCH(Z2525,'CAMD Facility Data 2023'!$AE$2:$AE$10000,0),3),"")</f>
        <v>Y</v>
      </c>
      <c r="AD2525" s="20">
        <f t="shared" si="118"/>
        <v>9.6689321831479422E-2</v>
      </c>
      <c r="AE2525" s="25">
        <f t="shared" si="119"/>
        <v>0.18543275405987883</v>
      </c>
    </row>
    <row r="2526" spans="1:31" x14ac:dyDescent="0.2">
      <c r="A2526" s="1" t="s">
        <v>304</v>
      </c>
      <c r="B2526" s="1" t="s">
        <v>5899</v>
      </c>
      <c r="C2526" s="1">
        <v>55192</v>
      </c>
      <c r="D2526" s="1" t="s">
        <v>5900</v>
      </c>
      <c r="F2526" s="1">
        <v>2023</v>
      </c>
      <c r="G2526" s="5">
        <v>0</v>
      </c>
      <c r="H2526" s="5">
        <v>0</v>
      </c>
      <c r="R2526" s="1" t="s">
        <v>44</v>
      </c>
      <c r="S2526" s="1" t="s">
        <v>94</v>
      </c>
      <c r="T2526" s="1" t="s">
        <v>93</v>
      </c>
      <c r="V2526" s="1" t="s">
        <v>183</v>
      </c>
      <c r="Y2526" s="1" t="s">
        <v>247</v>
      </c>
      <c r="Z2526" s="1" t="str">
        <f t="shared" si="117"/>
        <v>55192 OSC1</v>
      </c>
      <c r="AA2526" s="3">
        <f>IF(INDEX('CAMD Facility Data 2023'!$AA$2:$AE$10000,MATCH(Z2526,'CAMD Facility Data 2023'!$AE$2:$AE$10000,0),1)&gt;0,INDEX('CAMD Facility Data 2023'!$AA$2:$AE$10000,MATCH(Z2526,'CAMD Facility Data 2023'!$AE$2:$AE$10000,0),1),"")</f>
        <v>37180</v>
      </c>
      <c r="AB2526" s="5">
        <f>IF(INDEX('CAMD Facility Data 2023'!$AC$2:$AE$10000,MATCH(Z2526,'CAMD Facility Data 2023'!$AE$2:$AE$10000,0),1)&gt;0,INDEX('CAMD Facility Data 2023'!$AC$2:$AE$10000,MATCH(Z2526,'CAMD Facility Data 2023'!$AE$2:$AE$10000,0),1),"")</f>
        <v>1942</v>
      </c>
      <c r="AC2526" s="1" t="str">
        <f>IF(INDEX('CAMD Facility Data 2023'!$AE$2:$AG$10000,MATCH(Z2526,'CAMD Facility Data 2023'!$AE$2:$AE$10000,0),3)&gt;0,INDEX('CAMD Facility Data 2023'!$AE$2:$AG$10000,MATCH(Z2526,'CAMD Facility Data 2023'!$AE$2:$AE$10000,0),3),"")</f>
        <v/>
      </c>
      <c r="AD2526" s="20" t="str">
        <f t="shared" si="118"/>
        <v/>
      </c>
      <c r="AE2526" s="25">
        <f t="shared" si="119"/>
        <v>0</v>
      </c>
    </row>
    <row r="2527" spans="1:31" x14ac:dyDescent="0.2">
      <c r="A2527" s="1" t="s">
        <v>304</v>
      </c>
      <c r="B2527" s="1" t="s">
        <v>5899</v>
      </c>
      <c r="C2527" s="1">
        <v>55192</v>
      </c>
      <c r="D2527" s="1" t="s">
        <v>5902</v>
      </c>
      <c r="F2527" s="1">
        <v>2023</v>
      </c>
      <c r="G2527" s="5">
        <v>105</v>
      </c>
      <c r="H2527" s="5">
        <v>81.39</v>
      </c>
      <c r="I2527" s="5">
        <v>10510.58</v>
      </c>
      <c r="K2527" s="5">
        <v>4.6180000000000003</v>
      </c>
      <c r="L2527" s="5">
        <v>9.1200000000000003E-2</v>
      </c>
      <c r="M2527" s="5">
        <v>6299.2920000000004</v>
      </c>
      <c r="N2527" s="6">
        <v>6.4199999999999993E-2</v>
      </c>
      <c r="O2527" s="5">
        <v>1.954</v>
      </c>
      <c r="P2527" s="6">
        <v>4.7600000000000003E-2</v>
      </c>
      <c r="Q2527" s="5">
        <v>102653.655</v>
      </c>
      <c r="R2527" s="1" t="s">
        <v>44</v>
      </c>
      <c r="S2527" s="1" t="s">
        <v>94</v>
      </c>
      <c r="T2527" s="1" t="s">
        <v>93</v>
      </c>
      <c r="V2527" s="1" t="s">
        <v>183</v>
      </c>
      <c r="Y2527" s="1" t="s">
        <v>247</v>
      </c>
      <c r="Z2527" s="1" t="str">
        <f t="shared" si="117"/>
        <v>55192 OSC2</v>
      </c>
      <c r="AA2527" s="3">
        <f>IF(INDEX('CAMD Facility Data 2023'!$AA$2:$AE$10000,MATCH(Z2527,'CAMD Facility Data 2023'!$AE$2:$AE$10000,0),1)&gt;0,INDEX('CAMD Facility Data 2023'!$AA$2:$AE$10000,MATCH(Z2527,'CAMD Facility Data 2023'!$AE$2:$AE$10000,0),1),"")</f>
        <v>37185</v>
      </c>
      <c r="AB2527" s="5">
        <f>IF(INDEX('CAMD Facility Data 2023'!$AC$2:$AE$10000,MATCH(Z2527,'CAMD Facility Data 2023'!$AE$2:$AE$10000,0),1)&gt;0,INDEX('CAMD Facility Data 2023'!$AC$2:$AE$10000,MATCH(Z2527,'CAMD Facility Data 2023'!$AE$2:$AE$10000,0),1),"")</f>
        <v>1942</v>
      </c>
      <c r="AC2527" s="1" t="str">
        <f>IF(INDEX('CAMD Facility Data 2023'!$AE$2:$AG$10000,MATCH(Z2527,'CAMD Facility Data 2023'!$AE$2:$AE$10000,0),3)&gt;0,INDEX('CAMD Facility Data 2023'!$AE$2:$AG$10000,MATCH(Z2527,'CAMD Facility Data 2023'!$AE$2:$AE$10000,0),3),"")</f>
        <v/>
      </c>
      <c r="AD2527" s="20">
        <f t="shared" si="118"/>
        <v>0.37181582748050063</v>
      </c>
      <c r="AE2527" s="25">
        <f t="shared" si="119"/>
        <v>6.0342192415670896E-3</v>
      </c>
    </row>
    <row r="2528" spans="1:31" x14ac:dyDescent="0.2">
      <c r="A2528" s="1" t="s">
        <v>304</v>
      </c>
      <c r="B2528" s="1" t="s">
        <v>5899</v>
      </c>
      <c r="C2528" s="1">
        <v>55192</v>
      </c>
      <c r="D2528" s="1" t="s">
        <v>5904</v>
      </c>
      <c r="F2528" s="1">
        <v>2023</v>
      </c>
      <c r="G2528" s="5">
        <v>0</v>
      </c>
      <c r="H2528" s="5">
        <v>0</v>
      </c>
      <c r="R2528" s="1" t="s">
        <v>44</v>
      </c>
      <c r="S2528" s="1" t="s">
        <v>94</v>
      </c>
      <c r="T2528" s="1" t="s">
        <v>93</v>
      </c>
      <c r="V2528" s="1" t="s">
        <v>183</v>
      </c>
      <c r="Y2528" s="1" t="s">
        <v>247</v>
      </c>
      <c r="Z2528" s="1" t="str">
        <f t="shared" si="117"/>
        <v>55192 OSC3</v>
      </c>
      <c r="AA2528" s="3">
        <f>IF(INDEX('CAMD Facility Data 2023'!$AA$2:$AE$10000,MATCH(Z2528,'CAMD Facility Data 2023'!$AE$2:$AE$10000,0),1)&gt;0,INDEX('CAMD Facility Data 2023'!$AA$2:$AE$10000,MATCH(Z2528,'CAMD Facility Data 2023'!$AE$2:$AE$10000,0),1),"")</f>
        <v>37363</v>
      </c>
      <c r="AB2528" s="5">
        <f>IF(INDEX('CAMD Facility Data 2023'!$AC$2:$AE$10000,MATCH(Z2528,'CAMD Facility Data 2023'!$AE$2:$AE$10000,0),1)&gt;0,INDEX('CAMD Facility Data 2023'!$AC$2:$AE$10000,MATCH(Z2528,'CAMD Facility Data 2023'!$AE$2:$AE$10000,0),1),"")</f>
        <v>1942</v>
      </c>
      <c r="AC2528" s="1" t="str">
        <f>IF(INDEX('CAMD Facility Data 2023'!$AE$2:$AG$10000,MATCH(Z2528,'CAMD Facility Data 2023'!$AE$2:$AE$10000,0),3)&gt;0,INDEX('CAMD Facility Data 2023'!$AE$2:$AG$10000,MATCH(Z2528,'CAMD Facility Data 2023'!$AE$2:$AE$10000,0),3),"")</f>
        <v/>
      </c>
      <c r="AD2528" s="20" t="str">
        <f t="shared" si="118"/>
        <v/>
      </c>
      <c r="AE2528" s="25">
        <f t="shared" si="119"/>
        <v>0</v>
      </c>
    </row>
    <row r="2529" spans="1:31" x14ac:dyDescent="0.2">
      <c r="A2529" s="1" t="s">
        <v>2584</v>
      </c>
      <c r="B2529" s="1" t="s">
        <v>5906</v>
      </c>
      <c r="C2529" s="1">
        <v>55193</v>
      </c>
      <c r="D2529" s="1" t="s">
        <v>311</v>
      </c>
      <c r="F2529" s="1">
        <v>2023</v>
      </c>
      <c r="G2529" s="5">
        <v>7777</v>
      </c>
      <c r="H2529" s="5">
        <v>7766.28</v>
      </c>
      <c r="I2529" s="5">
        <v>2103656.75</v>
      </c>
      <c r="K2529" s="5">
        <v>4.4169999999999998</v>
      </c>
      <c r="L2529" s="5">
        <v>1E-3</v>
      </c>
      <c r="M2529" s="5">
        <v>875017.96900000004</v>
      </c>
      <c r="N2529" s="6">
        <v>5.8999999999999997E-2</v>
      </c>
      <c r="O2529" s="5">
        <v>52.533000000000001</v>
      </c>
      <c r="P2529" s="6">
        <v>7.3000000000000001E-3</v>
      </c>
      <c r="Q2529" s="5">
        <v>14723849.048</v>
      </c>
      <c r="R2529" s="1" t="s">
        <v>44</v>
      </c>
      <c r="T2529" s="1" t="s">
        <v>71</v>
      </c>
      <c r="V2529" s="1" t="s">
        <v>64</v>
      </c>
      <c r="Y2529" s="1" t="s">
        <v>1515</v>
      </c>
      <c r="Z2529" s="1" t="str">
        <f t="shared" si="117"/>
        <v>55193 CT1</v>
      </c>
      <c r="AA2529" s="3">
        <f>IF(INDEX('CAMD Facility Data 2023'!$AA$2:$AE$10000,MATCH(Z2529,'CAMD Facility Data 2023'!$AE$2:$AE$10000,0),1)&gt;0,INDEX('CAMD Facility Data 2023'!$AA$2:$AE$10000,MATCH(Z2529,'CAMD Facility Data 2023'!$AE$2:$AE$10000,0),1),"")</f>
        <v>37573</v>
      </c>
      <c r="AB2529" s="5">
        <f>IF(INDEX('CAMD Facility Data 2023'!$AC$2:$AE$10000,MATCH(Z2529,'CAMD Facility Data 2023'!$AE$2:$AE$10000,0),1)&gt;0,INDEX('CAMD Facility Data 2023'!$AC$2:$AE$10000,MATCH(Z2529,'CAMD Facility Data 2023'!$AE$2:$AE$10000,0),1),"")</f>
        <v>2160</v>
      </c>
      <c r="AC2529" s="1" t="str">
        <f>IF(INDEX('CAMD Facility Data 2023'!$AE$2:$AG$10000,MATCH(Z2529,'CAMD Facility Data 2023'!$AE$2:$AE$10000,0),3)&gt;0,INDEX('CAMD Facility Data 2023'!$AE$2:$AG$10000,MATCH(Z2529,'CAMD Facility Data 2023'!$AE$2:$AE$10000,0),3),"")</f>
        <v>Y</v>
      </c>
      <c r="AD2529" s="20">
        <f t="shared" si="118"/>
        <v>4.9944459807903546E-2</v>
      </c>
      <c r="AE2529" s="25">
        <f t="shared" si="119"/>
        <v>0.77815031752071706</v>
      </c>
    </row>
    <row r="2530" spans="1:31" x14ac:dyDescent="0.2">
      <c r="A2530" s="1" t="s">
        <v>2584</v>
      </c>
      <c r="B2530" s="1" t="s">
        <v>5906</v>
      </c>
      <c r="C2530" s="1">
        <v>55193</v>
      </c>
      <c r="D2530" s="1" t="s">
        <v>98</v>
      </c>
      <c r="F2530" s="1">
        <v>2023</v>
      </c>
      <c r="G2530" s="5">
        <v>7806</v>
      </c>
      <c r="H2530" s="5">
        <v>7793.24</v>
      </c>
      <c r="I2530" s="5">
        <v>2100638.7000000002</v>
      </c>
      <c r="K2530" s="5">
        <v>4.3499999999999996</v>
      </c>
      <c r="L2530" s="5">
        <v>1E-3</v>
      </c>
      <c r="M2530" s="5">
        <v>861691.37600000005</v>
      </c>
      <c r="N2530" s="6">
        <v>5.8999999999999997E-2</v>
      </c>
      <c r="O2530" s="5">
        <v>47.981000000000002</v>
      </c>
      <c r="P2530" s="6">
        <v>6.7000000000000002E-3</v>
      </c>
      <c r="Q2530" s="5">
        <v>14499544.818</v>
      </c>
      <c r="R2530" s="1" t="s">
        <v>44</v>
      </c>
      <c r="T2530" s="1" t="s">
        <v>71</v>
      </c>
      <c r="V2530" s="1" t="s">
        <v>64</v>
      </c>
      <c r="Y2530" s="1" t="s">
        <v>1515</v>
      </c>
      <c r="Z2530" s="1" t="str">
        <f t="shared" si="117"/>
        <v>55193 CT2</v>
      </c>
      <c r="AA2530" s="3">
        <f>IF(INDEX('CAMD Facility Data 2023'!$AA$2:$AE$10000,MATCH(Z2530,'CAMD Facility Data 2023'!$AE$2:$AE$10000,0),1)&gt;0,INDEX('CAMD Facility Data 2023'!$AA$2:$AE$10000,MATCH(Z2530,'CAMD Facility Data 2023'!$AE$2:$AE$10000,0),1),"")</f>
        <v>37573</v>
      </c>
      <c r="AB2530" s="5">
        <f>IF(INDEX('CAMD Facility Data 2023'!$AC$2:$AE$10000,MATCH(Z2530,'CAMD Facility Data 2023'!$AE$2:$AE$10000,0),1)&gt;0,INDEX('CAMD Facility Data 2023'!$AC$2:$AE$10000,MATCH(Z2530,'CAMD Facility Data 2023'!$AE$2:$AE$10000,0),1),"")</f>
        <v>2160</v>
      </c>
      <c r="AC2530" s="1" t="str">
        <f>IF(INDEX('CAMD Facility Data 2023'!$AE$2:$AG$10000,MATCH(Z2530,'CAMD Facility Data 2023'!$AE$2:$AE$10000,0),3)&gt;0,INDEX('CAMD Facility Data 2023'!$AE$2:$AG$10000,MATCH(Z2530,'CAMD Facility Data 2023'!$AE$2:$AE$10000,0),3),"")</f>
        <v>Y</v>
      </c>
      <c r="AD2530" s="20">
        <f t="shared" si="118"/>
        <v>4.5682296532002384E-2</v>
      </c>
      <c r="AE2530" s="25">
        <f t="shared" si="119"/>
        <v>0.76629591673008624</v>
      </c>
    </row>
    <row r="2531" spans="1:31" x14ac:dyDescent="0.2">
      <c r="A2531" s="1" t="s">
        <v>2584</v>
      </c>
      <c r="B2531" s="1" t="s">
        <v>5912</v>
      </c>
      <c r="C2531" s="1">
        <v>55196</v>
      </c>
      <c r="D2531" s="1">
        <v>1</v>
      </c>
      <c r="F2531" s="1">
        <v>2023</v>
      </c>
      <c r="G2531" s="5">
        <v>1558</v>
      </c>
      <c r="H2531" s="5">
        <v>1406.14</v>
      </c>
      <c r="I2531" s="5">
        <v>62765.62</v>
      </c>
      <c r="K2531" s="5">
        <v>0.187</v>
      </c>
      <c r="L2531" s="5">
        <v>1E-3</v>
      </c>
      <c r="M2531" s="5">
        <v>37000.099000000002</v>
      </c>
      <c r="N2531" s="6">
        <v>5.9200000000000003E-2</v>
      </c>
      <c r="O2531" s="5">
        <v>23.934000000000001</v>
      </c>
      <c r="P2531" s="6">
        <v>8.43E-2</v>
      </c>
      <c r="Q2531" s="5">
        <v>622592.18799999997</v>
      </c>
      <c r="R2531" s="1" t="s">
        <v>44</v>
      </c>
      <c r="T2531" s="1" t="s">
        <v>93</v>
      </c>
      <c r="V2531" s="1" t="s">
        <v>95</v>
      </c>
      <c r="Y2531" s="1" t="s">
        <v>1515</v>
      </c>
      <c r="Z2531" s="1" t="str">
        <f t="shared" si="117"/>
        <v>55196 1</v>
      </c>
      <c r="AA2531" s="3">
        <f>IF(INDEX('CAMD Facility Data 2023'!$AA$2:$AE$10000,MATCH(Z2531,'CAMD Facility Data 2023'!$AE$2:$AE$10000,0),1)&gt;0,INDEX('CAMD Facility Data 2023'!$AA$2:$AE$10000,MATCH(Z2531,'CAMD Facility Data 2023'!$AE$2:$AE$10000,0),1),"")</f>
        <v>36479</v>
      </c>
      <c r="AB2531" s="5">
        <f>IF(INDEX('CAMD Facility Data 2023'!$AC$2:$AE$10000,MATCH(Z2531,'CAMD Facility Data 2023'!$AE$2:$AE$10000,0),1)&gt;0,INDEX('CAMD Facility Data 2023'!$AC$2:$AE$10000,MATCH(Z2531,'CAMD Facility Data 2023'!$AE$2:$AE$10000,0),1),"")</f>
        <v>490</v>
      </c>
      <c r="AC2531" s="1" t="str">
        <f>IF(INDEX('CAMD Facility Data 2023'!$AE$2:$AG$10000,MATCH(Z2531,'CAMD Facility Data 2023'!$AE$2:$AE$10000,0),3)&gt;0,INDEX('CAMD Facility Data 2023'!$AE$2:$AG$10000,MATCH(Z2531,'CAMD Facility Data 2023'!$AE$2:$AE$10000,0),3),"")</f>
        <v/>
      </c>
      <c r="AD2531" s="20">
        <f t="shared" si="118"/>
        <v>0.7626468120604879</v>
      </c>
      <c r="AE2531" s="25">
        <f t="shared" si="119"/>
        <v>0.14504523995899729</v>
      </c>
    </row>
    <row r="2532" spans="1:31" x14ac:dyDescent="0.2">
      <c r="A2532" s="1" t="s">
        <v>2584</v>
      </c>
      <c r="B2532" s="1" t="s">
        <v>5912</v>
      </c>
      <c r="C2532" s="1">
        <v>55196</v>
      </c>
      <c r="D2532" s="1">
        <v>2</v>
      </c>
      <c r="F2532" s="1">
        <v>2023</v>
      </c>
      <c r="G2532" s="5">
        <v>1795</v>
      </c>
      <c r="H2532" s="5">
        <v>1619.03</v>
      </c>
      <c r="I2532" s="5">
        <v>71116.210000000006</v>
      </c>
      <c r="K2532" s="5">
        <v>0.21099999999999999</v>
      </c>
      <c r="L2532" s="5">
        <v>1E-3</v>
      </c>
      <c r="M2532" s="5">
        <v>41727.769999999997</v>
      </c>
      <c r="N2532" s="6">
        <v>5.9200000000000003E-2</v>
      </c>
      <c r="O2532" s="5">
        <v>27.081</v>
      </c>
      <c r="P2532" s="6">
        <v>8.4400000000000003E-2</v>
      </c>
      <c r="Q2532" s="5">
        <v>702170.18400000001</v>
      </c>
      <c r="R2532" s="1" t="s">
        <v>44</v>
      </c>
      <c r="T2532" s="1" t="s">
        <v>93</v>
      </c>
      <c r="V2532" s="1" t="s">
        <v>95</v>
      </c>
      <c r="Y2532" s="1" t="s">
        <v>1515</v>
      </c>
      <c r="Z2532" s="1" t="str">
        <f t="shared" si="117"/>
        <v>55196 2</v>
      </c>
      <c r="AA2532" s="3">
        <f>IF(INDEX('CAMD Facility Data 2023'!$AA$2:$AE$10000,MATCH(Z2532,'CAMD Facility Data 2023'!$AE$2:$AE$10000,0),1)&gt;0,INDEX('CAMD Facility Data 2023'!$AA$2:$AE$10000,MATCH(Z2532,'CAMD Facility Data 2023'!$AE$2:$AE$10000,0),1),"")</f>
        <v>36479</v>
      </c>
      <c r="AB2532" s="5">
        <f>IF(INDEX('CAMD Facility Data 2023'!$AC$2:$AE$10000,MATCH(Z2532,'CAMD Facility Data 2023'!$AE$2:$AE$10000,0),1)&gt;0,INDEX('CAMD Facility Data 2023'!$AC$2:$AE$10000,MATCH(Z2532,'CAMD Facility Data 2023'!$AE$2:$AE$10000,0),1),"")</f>
        <v>490</v>
      </c>
      <c r="AC2532" s="1" t="str">
        <f>IF(INDEX('CAMD Facility Data 2023'!$AE$2:$AG$10000,MATCH(Z2532,'CAMD Facility Data 2023'!$AE$2:$AE$10000,0),3)&gt;0,INDEX('CAMD Facility Data 2023'!$AE$2:$AG$10000,MATCH(Z2532,'CAMD Facility Data 2023'!$AE$2:$AE$10000,0),3),"")</f>
        <v/>
      </c>
      <c r="AD2532" s="20">
        <f t="shared" si="118"/>
        <v>0.76159851600640693</v>
      </c>
      <c r="AE2532" s="25">
        <f t="shared" si="119"/>
        <v>0.1635845177523064</v>
      </c>
    </row>
    <row r="2533" spans="1:31" x14ac:dyDescent="0.2">
      <c r="A2533" s="1" t="s">
        <v>1732</v>
      </c>
      <c r="B2533" s="1" t="s">
        <v>5916</v>
      </c>
      <c r="C2533" s="1">
        <v>55197</v>
      </c>
      <c r="D2533" s="1" t="s">
        <v>5546</v>
      </c>
      <c r="F2533" s="1">
        <v>2023</v>
      </c>
      <c r="G2533" s="5">
        <v>5497</v>
      </c>
      <c r="H2533" s="5">
        <v>5468.78</v>
      </c>
      <c r="I2533" s="5">
        <v>1312139.55</v>
      </c>
      <c r="K2533" s="5">
        <v>2.7349999999999999</v>
      </c>
      <c r="L2533" s="5">
        <v>1E-3</v>
      </c>
      <c r="M2533" s="5">
        <v>541835.40500000003</v>
      </c>
      <c r="N2533" s="6">
        <v>5.8999999999999997E-2</v>
      </c>
      <c r="O2533" s="5">
        <v>48.554000000000002</v>
      </c>
      <c r="P2533" s="6">
        <v>1.18E-2</v>
      </c>
      <c r="Q2533" s="5">
        <v>9117422.1769999992</v>
      </c>
      <c r="R2533" s="1" t="s">
        <v>44</v>
      </c>
      <c r="T2533" s="1" t="s">
        <v>71</v>
      </c>
      <c r="V2533" s="1" t="s">
        <v>64</v>
      </c>
      <c r="Y2533" s="1" t="s">
        <v>346</v>
      </c>
      <c r="Z2533" s="1" t="str">
        <f t="shared" si="117"/>
        <v>55197 AA-001</v>
      </c>
      <c r="AA2533" s="3">
        <f>IF(INDEX('CAMD Facility Data 2023'!$AA$2:$AE$10000,MATCH(Z2533,'CAMD Facility Data 2023'!$AE$2:$AE$10000,0),1)&gt;0,INDEX('CAMD Facility Data 2023'!$AA$2:$AE$10000,MATCH(Z2533,'CAMD Facility Data 2023'!$AE$2:$AE$10000,0),1),"")</f>
        <v>37699</v>
      </c>
      <c r="AB2533" s="5">
        <f>IF(INDEX('CAMD Facility Data 2023'!$AC$2:$AE$10000,MATCH(Z2533,'CAMD Facility Data 2023'!$AE$2:$AE$10000,0),1)&gt;0,INDEX('CAMD Facility Data 2023'!$AC$2:$AE$10000,MATCH(Z2533,'CAMD Facility Data 2023'!$AE$2:$AE$10000,0),1),"")</f>
        <v>2136</v>
      </c>
      <c r="AC2533" s="1" t="str">
        <f>IF(INDEX('CAMD Facility Data 2023'!$AE$2:$AG$10000,MATCH(Z2533,'CAMD Facility Data 2023'!$AE$2:$AE$10000,0),3)&gt;0,INDEX('CAMD Facility Data 2023'!$AE$2:$AG$10000,MATCH(Z2533,'CAMD Facility Data 2023'!$AE$2:$AE$10000,0),3),"")</f>
        <v>Y</v>
      </c>
      <c r="AD2533" s="20">
        <f t="shared" si="118"/>
        <v>7.4007372157938539E-2</v>
      </c>
      <c r="AE2533" s="25">
        <f t="shared" si="119"/>
        <v>0.48726667527106521</v>
      </c>
    </row>
    <row r="2534" spans="1:31" x14ac:dyDescent="0.2">
      <c r="A2534" s="1" t="s">
        <v>1732</v>
      </c>
      <c r="B2534" s="1" t="s">
        <v>5916</v>
      </c>
      <c r="C2534" s="1">
        <v>55197</v>
      </c>
      <c r="D2534" s="1" t="s">
        <v>5548</v>
      </c>
      <c r="F2534" s="1">
        <v>2023</v>
      </c>
      <c r="G2534" s="5">
        <v>5887</v>
      </c>
      <c r="H2534" s="5">
        <v>5825.53</v>
      </c>
      <c r="I2534" s="5">
        <v>1409351.6</v>
      </c>
      <c r="K2534" s="5">
        <v>2.9649999999999999</v>
      </c>
      <c r="L2534" s="5">
        <v>1E-3</v>
      </c>
      <c r="M2534" s="5">
        <v>587292.071</v>
      </c>
      <c r="N2534" s="6">
        <v>5.8999999999999997E-2</v>
      </c>
      <c r="O2534" s="5">
        <v>55.908000000000001</v>
      </c>
      <c r="P2534" s="6">
        <v>1.32E-2</v>
      </c>
      <c r="Q2534" s="5">
        <v>9882298.5690000001</v>
      </c>
      <c r="R2534" s="1" t="s">
        <v>44</v>
      </c>
      <c r="T2534" s="1" t="s">
        <v>71</v>
      </c>
      <c r="V2534" s="1" t="s">
        <v>64</v>
      </c>
      <c r="Y2534" s="1" t="s">
        <v>346</v>
      </c>
      <c r="Z2534" s="1" t="str">
        <f t="shared" si="117"/>
        <v>55197 AA-002</v>
      </c>
      <c r="AA2534" s="3">
        <f>IF(INDEX('CAMD Facility Data 2023'!$AA$2:$AE$10000,MATCH(Z2534,'CAMD Facility Data 2023'!$AE$2:$AE$10000,0),1)&gt;0,INDEX('CAMD Facility Data 2023'!$AA$2:$AE$10000,MATCH(Z2534,'CAMD Facility Data 2023'!$AE$2:$AE$10000,0),1),"")</f>
        <v>37720</v>
      </c>
      <c r="AB2534" s="5">
        <f>IF(INDEX('CAMD Facility Data 2023'!$AC$2:$AE$10000,MATCH(Z2534,'CAMD Facility Data 2023'!$AE$2:$AE$10000,0),1)&gt;0,INDEX('CAMD Facility Data 2023'!$AC$2:$AE$10000,MATCH(Z2534,'CAMD Facility Data 2023'!$AE$2:$AE$10000,0),1),"")</f>
        <v>2042</v>
      </c>
      <c r="AC2534" s="1" t="str">
        <f>IF(INDEX('CAMD Facility Data 2023'!$AE$2:$AG$10000,MATCH(Z2534,'CAMD Facility Data 2023'!$AE$2:$AE$10000,0),3)&gt;0,INDEX('CAMD Facility Data 2023'!$AE$2:$AG$10000,MATCH(Z2534,'CAMD Facility Data 2023'!$AE$2:$AE$10000,0),3),"")</f>
        <v>Y</v>
      </c>
      <c r="AD2534" s="20">
        <f t="shared" si="118"/>
        <v>7.933861216746764E-2</v>
      </c>
      <c r="AE2534" s="25">
        <f t="shared" si="119"/>
        <v>0.55245654995102844</v>
      </c>
    </row>
    <row r="2535" spans="1:31" x14ac:dyDescent="0.2">
      <c r="A2535" s="1" t="s">
        <v>1732</v>
      </c>
      <c r="B2535" s="1" t="s">
        <v>5916</v>
      </c>
      <c r="C2535" s="1">
        <v>55197</v>
      </c>
      <c r="D2535" s="1" t="s">
        <v>5550</v>
      </c>
      <c r="F2535" s="1">
        <v>2023</v>
      </c>
      <c r="G2535" s="5">
        <v>5274</v>
      </c>
      <c r="H2535" s="5">
        <v>5223.18</v>
      </c>
      <c r="I2535" s="5">
        <v>1269054.02</v>
      </c>
      <c r="K2535" s="5">
        <v>2.6230000000000002</v>
      </c>
      <c r="L2535" s="5">
        <v>1E-3</v>
      </c>
      <c r="M2535" s="5">
        <v>519590.57500000001</v>
      </c>
      <c r="N2535" s="6">
        <v>5.91E-2</v>
      </c>
      <c r="O2535" s="5">
        <v>46.805</v>
      </c>
      <c r="P2535" s="6">
        <v>1.2200000000000001E-2</v>
      </c>
      <c r="Q2535" s="5">
        <v>8743066.1689999998</v>
      </c>
      <c r="R2535" s="1" t="s">
        <v>44</v>
      </c>
      <c r="T2535" s="1" t="s">
        <v>71</v>
      </c>
      <c r="V2535" s="1" t="s">
        <v>64</v>
      </c>
      <c r="Y2535" s="1" t="s">
        <v>346</v>
      </c>
      <c r="Z2535" s="1" t="str">
        <f t="shared" si="117"/>
        <v>55197 AA-003</v>
      </c>
      <c r="AA2535" s="3">
        <f>IF(INDEX('CAMD Facility Data 2023'!$AA$2:$AE$10000,MATCH(Z2535,'CAMD Facility Data 2023'!$AE$2:$AE$10000,0),1)&gt;0,INDEX('CAMD Facility Data 2023'!$AA$2:$AE$10000,MATCH(Z2535,'CAMD Facility Data 2023'!$AE$2:$AE$10000,0),1),"")</f>
        <v>37729</v>
      </c>
      <c r="AB2535" s="5">
        <f>IF(INDEX('CAMD Facility Data 2023'!$AC$2:$AE$10000,MATCH(Z2535,'CAMD Facility Data 2023'!$AE$2:$AE$10000,0),1)&gt;0,INDEX('CAMD Facility Data 2023'!$AC$2:$AE$10000,MATCH(Z2535,'CAMD Facility Data 2023'!$AE$2:$AE$10000,0),1),"")</f>
        <v>2108</v>
      </c>
      <c r="AC2535" s="1" t="str">
        <f>IF(INDEX('CAMD Facility Data 2023'!$AE$2:$AG$10000,MATCH(Z2535,'CAMD Facility Data 2023'!$AE$2:$AE$10000,0),3)&gt;0,INDEX('CAMD Facility Data 2023'!$AE$2:$AG$10000,MATCH(Z2535,'CAMD Facility Data 2023'!$AE$2:$AE$10000,0),3),"")</f>
        <v>Y</v>
      </c>
      <c r="AD2535" s="20">
        <f t="shared" si="118"/>
        <v>7.3763605429499363E-2</v>
      </c>
      <c r="AE2535" s="25">
        <f t="shared" si="119"/>
        <v>0.47346627811641667</v>
      </c>
    </row>
    <row r="2536" spans="1:31" x14ac:dyDescent="0.2">
      <c r="A2536" s="1" t="s">
        <v>165</v>
      </c>
      <c r="B2536" s="1" t="s">
        <v>5922</v>
      </c>
      <c r="C2536" s="1">
        <v>55198</v>
      </c>
      <c r="D2536" s="1" t="s">
        <v>5923</v>
      </c>
      <c r="F2536" s="1">
        <v>2023</v>
      </c>
      <c r="G2536" s="5">
        <v>687</v>
      </c>
      <c r="H2536" s="5">
        <v>615.72</v>
      </c>
      <c r="I2536" s="5">
        <v>90065.37</v>
      </c>
      <c r="K2536" s="5">
        <v>0.309</v>
      </c>
      <c r="L2536" s="5">
        <v>1E-3</v>
      </c>
      <c r="M2536" s="5">
        <v>61255.703000000001</v>
      </c>
      <c r="N2536" s="6">
        <v>5.8999999999999997E-2</v>
      </c>
      <c r="O2536" s="5">
        <v>28.751000000000001</v>
      </c>
      <c r="P2536" s="6">
        <v>5.9799999999999999E-2</v>
      </c>
      <c r="Q2536" s="5">
        <v>1030755.762</v>
      </c>
      <c r="R2536" s="1" t="s">
        <v>44</v>
      </c>
      <c r="T2536" s="1" t="s">
        <v>93</v>
      </c>
      <c r="V2536" s="1" t="s">
        <v>140</v>
      </c>
      <c r="Y2536" s="1" t="s">
        <v>168</v>
      </c>
      <c r="Z2536" s="1" t="str">
        <f t="shared" si="117"/>
        <v>55198 GTG101</v>
      </c>
      <c r="AA2536" s="3">
        <f>IF(INDEX('CAMD Facility Data 2023'!$AA$2:$AE$10000,MATCH(Z2536,'CAMD Facility Data 2023'!$AE$2:$AE$10000,0),1)&gt;0,INDEX('CAMD Facility Data 2023'!$AA$2:$AE$10000,MATCH(Z2536,'CAMD Facility Data 2023'!$AE$2:$AE$10000,0),1),"")</f>
        <v>37054</v>
      </c>
      <c r="AB2536" s="5">
        <f>IF(INDEX('CAMD Facility Data 2023'!$AC$2:$AE$10000,MATCH(Z2536,'CAMD Facility Data 2023'!$AE$2:$AE$10000,0),1)&gt;0,INDEX('CAMD Facility Data 2023'!$AC$2:$AE$10000,MATCH(Z2536,'CAMD Facility Data 2023'!$AE$2:$AE$10000,0),1),"")</f>
        <v>2133</v>
      </c>
      <c r="AC2536" s="1" t="str">
        <f>IF(INDEX('CAMD Facility Data 2023'!$AE$2:$AG$10000,MATCH(Z2536,'CAMD Facility Data 2023'!$AE$2:$AE$10000,0),3)&gt;0,INDEX('CAMD Facility Data 2023'!$AE$2:$AG$10000,MATCH(Z2536,'CAMD Facility Data 2023'!$AE$2:$AE$10000,0),3),"")</f>
        <v/>
      </c>
      <c r="AD2536" s="20">
        <f t="shared" si="118"/>
        <v>0.63844738549344771</v>
      </c>
      <c r="AE2536" s="25">
        <f t="shared" si="119"/>
        <v>5.5164642698880606E-2</v>
      </c>
    </row>
    <row r="2537" spans="1:31" x14ac:dyDescent="0.2">
      <c r="A2537" s="1" t="s">
        <v>165</v>
      </c>
      <c r="B2537" s="1" t="s">
        <v>5922</v>
      </c>
      <c r="C2537" s="1">
        <v>55198</v>
      </c>
      <c r="D2537" s="1" t="s">
        <v>5926</v>
      </c>
      <c r="F2537" s="1">
        <v>2023</v>
      </c>
      <c r="G2537" s="5">
        <v>783</v>
      </c>
      <c r="H2537" s="5">
        <v>704.39</v>
      </c>
      <c r="I2537" s="5">
        <v>106073</v>
      </c>
      <c r="K2537" s="5">
        <v>0.36</v>
      </c>
      <c r="L2537" s="5">
        <v>1E-3</v>
      </c>
      <c r="M2537" s="5">
        <v>71387.707999999999</v>
      </c>
      <c r="N2537" s="6">
        <v>5.8999999999999997E-2</v>
      </c>
      <c r="O2537" s="5">
        <v>34.057000000000002</v>
      </c>
      <c r="P2537" s="6">
        <v>6.0299999999999999E-2</v>
      </c>
      <c r="Q2537" s="5">
        <v>1201231.28</v>
      </c>
      <c r="R2537" s="1" t="s">
        <v>44</v>
      </c>
      <c r="T2537" s="1" t="s">
        <v>93</v>
      </c>
      <c r="V2537" s="1" t="s">
        <v>140</v>
      </c>
      <c r="Y2537" s="1" t="s">
        <v>168</v>
      </c>
      <c r="Z2537" s="1" t="str">
        <f t="shared" si="117"/>
        <v>55198 GTG201</v>
      </c>
      <c r="AA2537" s="3">
        <f>IF(INDEX('CAMD Facility Data 2023'!$AA$2:$AE$10000,MATCH(Z2537,'CAMD Facility Data 2023'!$AE$2:$AE$10000,0),1)&gt;0,INDEX('CAMD Facility Data 2023'!$AA$2:$AE$10000,MATCH(Z2537,'CAMD Facility Data 2023'!$AE$2:$AE$10000,0),1),"")</f>
        <v>37076</v>
      </c>
      <c r="AB2537" s="5">
        <f>IF(INDEX('CAMD Facility Data 2023'!$AC$2:$AE$10000,MATCH(Z2537,'CAMD Facility Data 2023'!$AE$2:$AE$10000,0),1)&gt;0,INDEX('CAMD Facility Data 2023'!$AC$2:$AE$10000,MATCH(Z2537,'CAMD Facility Data 2023'!$AE$2:$AE$10000,0),1),"")</f>
        <v>2133</v>
      </c>
      <c r="AC2537" s="1" t="str">
        <f>IF(INDEX('CAMD Facility Data 2023'!$AE$2:$AG$10000,MATCH(Z2537,'CAMD Facility Data 2023'!$AE$2:$AE$10000,0),3)&gt;0,INDEX('CAMD Facility Data 2023'!$AE$2:$AG$10000,MATCH(Z2537,'CAMD Facility Data 2023'!$AE$2:$AE$10000,0),3),"")</f>
        <v/>
      </c>
      <c r="AD2537" s="20">
        <f t="shared" si="118"/>
        <v>0.64214267532736891</v>
      </c>
      <c r="AE2537" s="25">
        <f t="shared" si="119"/>
        <v>6.4288259937875569E-2</v>
      </c>
    </row>
    <row r="2538" spans="1:31" x14ac:dyDescent="0.2">
      <c r="A2538" s="1" t="s">
        <v>165</v>
      </c>
      <c r="B2538" s="1" t="s">
        <v>5922</v>
      </c>
      <c r="C2538" s="1">
        <v>55198</v>
      </c>
      <c r="D2538" s="1" t="s">
        <v>5928</v>
      </c>
      <c r="F2538" s="1">
        <v>2023</v>
      </c>
      <c r="G2538" s="5">
        <v>664</v>
      </c>
      <c r="H2538" s="5">
        <v>595.23</v>
      </c>
      <c r="I2538" s="5">
        <v>89626.8</v>
      </c>
      <c r="K2538" s="5">
        <v>0.30599999999999999</v>
      </c>
      <c r="L2538" s="5">
        <v>1E-3</v>
      </c>
      <c r="M2538" s="5">
        <v>60551.976000000002</v>
      </c>
      <c r="N2538" s="6">
        <v>5.8999999999999997E-2</v>
      </c>
      <c r="O2538" s="5">
        <v>28.155000000000001</v>
      </c>
      <c r="P2538" s="6">
        <v>5.8400000000000001E-2</v>
      </c>
      <c r="Q2538" s="5">
        <v>1018914.091</v>
      </c>
      <c r="R2538" s="1" t="s">
        <v>44</v>
      </c>
      <c r="T2538" s="1" t="s">
        <v>93</v>
      </c>
      <c r="V2538" s="1" t="s">
        <v>140</v>
      </c>
      <c r="Y2538" s="1" t="s">
        <v>168</v>
      </c>
      <c r="Z2538" s="1" t="str">
        <f t="shared" si="117"/>
        <v>55198 GTG301</v>
      </c>
      <c r="AA2538" s="3">
        <f>IF(INDEX('CAMD Facility Data 2023'!$AA$2:$AE$10000,MATCH(Z2538,'CAMD Facility Data 2023'!$AE$2:$AE$10000,0),1)&gt;0,INDEX('CAMD Facility Data 2023'!$AA$2:$AE$10000,MATCH(Z2538,'CAMD Facility Data 2023'!$AE$2:$AE$10000,0),1),"")</f>
        <v>37079</v>
      </c>
      <c r="AB2538" s="5">
        <f>IF(INDEX('CAMD Facility Data 2023'!$AC$2:$AE$10000,MATCH(Z2538,'CAMD Facility Data 2023'!$AE$2:$AE$10000,0),1)&gt;0,INDEX('CAMD Facility Data 2023'!$AC$2:$AE$10000,MATCH(Z2538,'CAMD Facility Data 2023'!$AE$2:$AE$10000,0),1),"")</f>
        <v>2133</v>
      </c>
      <c r="AC2538" s="1" t="str">
        <f>IF(INDEX('CAMD Facility Data 2023'!$AE$2:$AG$10000,MATCH(Z2538,'CAMD Facility Data 2023'!$AE$2:$AE$10000,0),3)&gt;0,INDEX('CAMD Facility Data 2023'!$AE$2:$AG$10000,MATCH(Z2538,'CAMD Facility Data 2023'!$AE$2:$AE$10000,0),3),"")</f>
        <v/>
      </c>
      <c r="AD2538" s="20">
        <f t="shared" si="118"/>
        <v>0.62827190081538109</v>
      </c>
      <c r="AE2538" s="25">
        <f t="shared" si="119"/>
        <v>5.4530892615926717E-2</v>
      </c>
    </row>
    <row r="2539" spans="1:31" x14ac:dyDescent="0.2">
      <c r="A2539" s="1" t="s">
        <v>165</v>
      </c>
      <c r="B2539" s="1" t="s">
        <v>5922</v>
      </c>
      <c r="C2539" s="1">
        <v>55198</v>
      </c>
      <c r="D2539" s="1" t="s">
        <v>5930</v>
      </c>
      <c r="F2539" s="1">
        <v>2023</v>
      </c>
      <c r="G2539" s="5">
        <v>719</v>
      </c>
      <c r="H2539" s="5">
        <v>645.02</v>
      </c>
      <c r="I2539" s="5">
        <v>96583.41</v>
      </c>
      <c r="K2539" s="5">
        <v>0.33200000000000002</v>
      </c>
      <c r="L2539" s="5">
        <v>1E-3</v>
      </c>
      <c r="M2539" s="5">
        <v>65842.254000000001</v>
      </c>
      <c r="N2539" s="6">
        <v>5.8999999999999997E-2</v>
      </c>
      <c r="O2539" s="5">
        <v>30.533000000000001</v>
      </c>
      <c r="P2539" s="6">
        <v>5.7799999999999997E-2</v>
      </c>
      <c r="Q2539" s="5">
        <v>1107912.578</v>
      </c>
      <c r="R2539" s="1" t="s">
        <v>44</v>
      </c>
      <c r="T2539" s="1" t="s">
        <v>93</v>
      </c>
      <c r="V2539" s="1" t="s">
        <v>643</v>
      </c>
      <c r="Y2539" s="1" t="s">
        <v>168</v>
      </c>
      <c r="Z2539" s="1" t="str">
        <f t="shared" si="117"/>
        <v>55198 GTG401</v>
      </c>
      <c r="AA2539" s="3">
        <f>IF(INDEX('CAMD Facility Data 2023'!$AA$2:$AE$10000,MATCH(Z2539,'CAMD Facility Data 2023'!$AE$2:$AE$10000,0),1)&gt;0,INDEX('CAMD Facility Data 2023'!$AA$2:$AE$10000,MATCH(Z2539,'CAMD Facility Data 2023'!$AE$2:$AE$10000,0),1),"")</f>
        <v>37335</v>
      </c>
      <c r="AB2539" s="5">
        <f>IF(INDEX('CAMD Facility Data 2023'!$AC$2:$AE$10000,MATCH(Z2539,'CAMD Facility Data 2023'!$AE$2:$AE$10000,0),1)&gt;0,INDEX('CAMD Facility Data 2023'!$AC$2:$AE$10000,MATCH(Z2539,'CAMD Facility Data 2023'!$AE$2:$AE$10000,0),1),"")</f>
        <v>2133</v>
      </c>
      <c r="AC2539" s="1" t="str">
        <f>IF(INDEX('CAMD Facility Data 2023'!$AE$2:$AG$10000,MATCH(Z2539,'CAMD Facility Data 2023'!$AE$2:$AE$10000,0),3)&gt;0,INDEX('CAMD Facility Data 2023'!$AE$2:$AG$10000,MATCH(Z2539,'CAMD Facility Data 2023'!$AE$2:$AE$10000,0),3),"")</f>
        <v>Y</v>
      </c>
      <c r="AD2539" s="20">
        <f t="shared" si="118"/>
        <v>0.63226179320030218</v>
      </c>
      <c r="AE2539" s="25">
        <f t="shared" si="119"/>
        <v>5.9293970269327187E-2</v>
      </c>
    </row>
    <row r="2540" spans="1:31" x14ac:dyDescent="0.2">
      <c r="A2540" s="1" t="s">
        <v>165</v>
      </c>
      <c r="B2540" s="1" t="s">
        <v>5922</v>
      </c>
      <c r="C2540" s="1">
        <v>55198</v>
      </c>
      <c r="D2540" s="1" t="s">
        <v>5932</v>
      </c>
      <c r="F2540" s="1">
        <v>2023</v>
      </c>
      <c r="G2540" s="5">
        <v>601</v>
      </c>
      <c r="H2540" s="5">
        <v>525.01</v>
      </c>
      <c r="I2540" s="5">
        <v>79472.259999999995</v>
      </c>
      <c r="K2540" s="5">
        <v>0.27</v>
      </c>
      <c r="L2540" s="5">
        <v>1E-3</v>
      </c>
      <c r="M2540" s="5">
        <v>53561.29</v>
      </c>
      <c r="N2540" s="6">
        <v>5.8999999999999997E-2</v>
      </c>
      <c r="O2540" s="5">
        <v>25.87</v>
      </c>
      <c r="P2540" s="6">
        <v>6.2399999999999997E-2</v>
      </c>
      <c r="Q2540" s="5">
        <v>901295.17799999996</v>
      </c>
      <c r="R2540" s="1" t="s">
        <v>44</v>
      </c>
      <c r="T2540" s="1" t="s">
        <v>93</v>
      </c>
      <c r="V2540" s="1" t="s">
        <v>643</v>
      </c>
      <c r="Y2540" s="1" t="s">
        <v>168</v>
      </c>
      <c r="Z2540" s="1" t="str">
        <f t="shared" si="117"/>
        <v>55198 GTG501</v>
      </c>
      <c r="AA2540" s="3">
        <f>IF(INDEX('CAMD Facility Data 2023'!$AA$2:$AE$10000,MATCH(Z2540,'CAMD Facility Data 2023'!$AE$2:$AE$10000,0),1)&gt;0,INDEX('CAMD Facility Data 2023'!$AA$2:$AE$10000,MATCH(Z2540,'CAMD Facility Data 2023'!$AE$2:$AE$10000,0),1),"")</f>
        <v>37355</v>
      </c>
      <c r="AB2540" s="5">
        <f>IF(INDEX('CAMD Facility Data 2023'!$AC$2:$AE$10000,MATCH(Z2540,'CAMD Facility Data 2023'!$AE$2:$AE$10000,0),1)&gt;0,INDEX('CAMD Facility Data 2023'!$AC$2:$AE$10000,MATCH(Z2540,'CAMD Facility Data 2023'!$AE$2:$AE$10000,0),1),"")</f>
        <v>2133</v>
      </c>
      <c r="AC2540" s="1" t="str">
        <f>IF(INDEX('CAMD Facility Data 2023'!$AE$2:$AG$10000,MATCH(Z2540,'CAMD Facility Data 2023'!$AE$2:$AE$10000,0),3)&gt;0,INDEX('CAMD Facility Data 2023'!$AE$2:$AG$10000,MATCH(Z2540,'CAMD Facility Data 2023'!$AE$2:$AE$10000,0),3),"")</f>
        <v>Y</v>
      </c>
      <c r="AD2540" s="20">
        <f t="shared" si="118"/>
        <v>0.65104477965015717</v>
      </c>
      <c r="AE2540" s="25">
        <f t="shared" si="119"/>
        <v>4.8236088793839789E-2</v>
      </c>
    </row>
    <row r="2541" spans="1:31" x14ac:dyDescent="0.2">
      <c r="A2541" s="1" t="s">
        <v>458</v>
      </c>
      <c r="B2541" s="1" t="s">
        <v>5934</v>
      </c>
      <c r="C2541" s="1">
        <v>55199</v>
      </c>
      <c r="D2541" s="1">
        <v>1</v>
      </c>
      <c r="F2541" s="1">
        <v>2023</v>
      </c>
      <c r="G2541" s="5">
        <v>813</v>
      </c>
      <c r="H2541" s="5">
        <v>750.31</v>
      </c>
      <c r="I2541" s="5">
        <v>111241.8</v>
      </c>
      <c r="K2541" s="5">
        <v>0.38300000000000001</v>
      </c>
      <c r="L2541" s="5">
        <v>1E-3</v>
      </c>
      <c r="M2541" s="5">
        <v>75928.611999999994</v>
      </c>
      <c r="N2541" s="6">
        <v>5.8999999999999997E-2</v>
      </c>
      <c r="O2541" s="5">
        <v>21.295000000000002</v>
      </c>
      <c r="P2541" s="6">
        <v>3.9600000000000003E-2</v>
      </c>
      <c r="Q2541" s="5">
        <v>1277653.1200000001</v>
      </c>
      <c r="R2541" s="1" t="s">
        <v>44</v>
      </c>
      <c r="T2541" s="1" t="s">
        <v>93</v>
      </c>
      <c r="V2541" s="1" t="s">
        <v>140</v>
      </c>
      <c r="Y2541" s="1" t="s">
        <v>461</v>
      </c>
      <c r="Z2541" s="1" t="str">
        <f t="shared" si="117"/>
        <v>55199 1</v>
      </c>
      <c r="AA2541" s="3">
        <f>IF(INDEX('CAMD Facility Data 2023'!$AA$2:$AE$10000,MATCH(Z2541,'CAMD Facility Data 2023'!$AE$2:$AE$10000,0),1)&gt;0,INDEX('CAMD Facility Data 2023'!$AA$2:$AE$10000,MATCH(Z2541,'CAMD Facility Data 2023'!$AE$2:$AE$10000,0),1),"")</f>
        <v>36308</v>
      </c>
      <c r="AB2541" s="5">
        <f>IF(INDEX('CAMD Facility Data 2023'!$AC$2:$AE$10000,MATCH(Z2541,'CAMD Facility Data 2023'!$AE$2:$AE$10000,0),1)&gt;0,INDEX('CAMD Facility Data 2023'!$AC$2:$AE$10000,MATCH(Z2541,'CAMD Facility Data 2023'!$AE$2:$AE$10000,0),1),"")</f>
        <v>2060</v>
      </c>
      <c r="AC2541" s="1" t="str">
        <f>IF(INDEX('CAMD Facility Data 2023'!$AE$2:$AG$10000,MATCH(Z2541,'CAMD Facility Data 2023'!$AE$2:$AE$10000,0),3)&gt;0,INDEX('CAMD Facility Data 2023'!$AE$2:$AG$10000,MATCH(Z2541,'CAMD Facility Data 2023'!$AE$2:$AE$10000,0),3),"")</f>
        <v/>
      </c>
      <c r="AD2541" s="20">
        <f t="shared" si="118"/>
        <v>0.38285968044386193</v>
      </c>
      <c r="AE2541" s="25">
        <f t="shared" si="119"/>
        <v>7.0801365429800062E-2</v>
      </c>
    </row>
    <row r="2542" spans="1:31" x14ac:dyDescent="0.2">
      <c r="A2542" s="1" t="s">
        <v>458</v>
      </c>
      <c r="B2542" s="1" t="s">
        <v>5934</v>
      </c>
      <c r="C2542" s="1">
        <v>55199</v>
      </c>
      <c r="D2542" s="1">
        <v>2</v>
      </c>
      <c r="F2542" s="1">
        <v>2023</v>
      </c>
      <c r="G2542" s="5">
        <v>753</v>
      </c>
      <c r="H2542" s="5">
        <v>692.36</v>
      </c>
      <c r="I2542" s="5">
        <v>102827.53</v>
      </c>
      <c r="K2542" s="5">
        <v>0.35</v>
      </c>
      <c r="L2542" s="5">
        <v>1E-3</v>
      </c>
      <c r="M2542" s="5">
        <v>69247.065000000002</v>
      </c>
      <c r="N2542" s="6">
        <v>5.8999999999999997E-2</v>
      </c>
      <c r="O2542" s="5">
        <v>22.349</v>
      </c>
      <c r="P2542" s="6">
        <v>4.53E-2</v>
      </c>
      <c r="Q2542" s="5">
        <v>1165219.2009999999</v>
      </c>
      <c r="R2542" s="1" t="s">
        <v>44</v>
      </c>
      <c r="T2542" s="1" t="s">
        <v>93</v>
      </c>
      <c r="V2542" s="1" t="s">
        <v>140</v>
      </c>
      <c r="Y2542" s="1" t="s">
        <v>461</v>
      </c>
      <c r="Z2542" s="1" t="str">
        <f t="shared" si="117"/>
        <v>55199 2</v>
      </c>
      <c r="AA2542" s="3">
        <f>IF(INDEX('CAMD Facility Data 2023'!$AA$2:$AE$10000,MATCH(Z2542,'CAMD Facility Data 2023'!$AE$2:$AE$10000,0),1)&gt;0,INDEX('CAMD Facility Data 2023'!$AA$2:$AE$10000,MATCH(Z2542,'CAMD Facility Data 2023'!$AE$2:$AE$10000,0),1),"")</f>
        <v>36308</v>
      </c>
      <c r="AB2542" s="5">
        <f>IF(INDEX('CAMD Facility Data 2023'!$AC$2:$AE$10000,MATCH(Z2542,'CAMD Facility Data 2023'!$AE$2:$AE$10000,0),1)&gt;0,INDEX('CAMD Facility Data 2023'!$AC$2:$AE$10000,MATCH(Z2542,'CAMD Facility Data 2023'!$AE$2:$AE$10000,0),1),"")</f>
        <v>2060</v>
      </c>
      <c r="AC2542" s="1" t="str">
        <f>IF(INDEX('CAMD Facility Data 2023'!$AE$2:$AG$10000,MATCH(Z2542,'CAMD Facility Data 2023'!$AE$2:$AE$10000,0),3)&gt;0,INDEX('CAMD Facility Data 2023'!$AE$2:$AG$10000,MATCH(Z2542,'CAMD Facility Data 2023'!$AE$2:$AE$10000,0),3),"")</f>
        <v/>
      </c>
      <c r="AD2542" s="20">
        <f t="shared" si="118"/>
        <v>0.43468903707013096</v>
      </c>
      <c r="AE2542" s="25">
        <f t="shared" si="119"/>
        <v>6.4570820643259294E-2</v>
      </c>
    </row>
    <row r="2543" spans="1:31" x14ac:dyDescent="0.2">
      <c r="A2543" s="1" t="s">
        <v>458</v>
      </c>
      <c r="B2543" s="1" t="s">
        <v>5934</v>
      </c>
      <c r="C2543" s="1">
        <v>55199</v>
      </c>
      <c r="D2543" s="1">
        <v>3</v>
      </c>
      <c r="F2543" s="1">
        <v>2023</v>
      </c>
      <c r="G2543" s="5">
        <v>916</v>
      </c>
      <c r="H2543" s="5">
        <v>849.76</v>
      </c>
      <c r="I2543" s="5">
        <v>126736.56</v>
      </c>
      <c r="K2543" s="5">
        <v>0.43</v>
      </c>
      <c r="L2543" s="5">
        <v>1E-3</v>
      </c>
      <c r="M2543" s="5">
        <v>85233.195999999996</v>
      </c>
      <c r="N2543" s="6">
        <v>5.8999999999999997E-2</v>
      </c>
      <c r="O2543" s="5">
        <v>25.742000000000001</v>
      </c>
      <c r="P2543" s="6">
        <v>4.1399999999999999E-2</v>
      </c>
      <c r="Q2543" s="5">
        <v>1434214.811</v>
      </c>
      <c r="R2543" s="1" t="s">
        <v>44</v>
      </c>
      <c r="T2543" s="1" t="s">
        <v>93</v>
      </c>
      <c r="V2543" s="1" t="s">
        <v>140</v>
      </c>
      <c r="Y2543" s="1" t="s">
        <v>461</v>
      </c>
      <c r="Z2543" s="1" t="str">
        <f t="shared" si="117"/>
        <v>55199 3</v>
      </c>
      <c r="AA2543" s="3">
        <f>IF(INDEX('CAMD Facility Data 2023'!$AA$2:$AE$10000,MATCH(Z2543,'CAMD Facility Data 2023'!$AE$2:$AE$10000,0),1)&gt;0,INDEX('CAMD Facility Data 2023'!$AA$2:$AE$10000,MATCH(Z2543,'CAMD Facility Data 2023'!$AE$2:$AE$10000,0),1),"")</f>
        <v>36308</v>
      </c>
      <c r="AB2543" s="5">
        <f>IF(INDEX('CAMD Facility Data 2023'!$AC$2:$AE$10000,MATCH(Z2543,'CAMD Facility Data 2023'!$AE$2:$AE$10000,0),1)&gt;0,INDEX('CAMD Facility Data 2023'!$AC$2:$AE$10000,MATCH(Z2543,'CAMD Facility Data 2023'!$AE$2:$AE$10000,0),1),"")</f>
        <v>2060</v>
      </c>
      <c r="AC2543" s="1" t="str">
        <f>IF(INDEX('CAMD Facility Data 2023'!$AE$2:$AG$10000,MATCH(Z2543,'CAMD Facility Data 2023'!$AE$2:$AE$10000,0),3)&gt;0,INDEX('CAMD Facility Data 2023'!$AE$2:$AG$10000,MATCH(Z2543,'CAMD Facility Data 2023'!$AE$2:$AE$10000,0),3),"")</f>
        <v/>
      </c>
      <c r="AD2543" s="20">
        <f t="shared" si="118"/>
        <v>0.40622847898033526</v>
      </c>
      <c r="AE2543" s="25">
        <f t="shared" si="119"/>
        <v>7.9477258223611291E-2</v>
      </c>
    </row>
    <row r="2544" spans="1:31" x14ac:dyDescent="0.2">
      <c r="A2544" s="1" t="s">
        <v>458</v>
      </c>
      <c r="B2544" s="1" t="s">
        <v>5934</v>
      </c>
      <c r="C2544" s="1">
        <v>55199</v>
      </c>
      <c r="D2544" s="1">
        <v>4</v>
      </c>
      <c r="F2544" s="1">
        <v>2023</v>
      </c>
      <c r="G2544" s="5">
        <v>800</v>
      </c>
      <c r="H2544" s="5">
        <v>735.24</v>
      </c>
      <c r="I2544" s="5">
        <v>108824.08</v>
      </c>
      <c r="K2544" s="5">
        <v>0.371</v>
      </c>
      <c r="L2544" s="5">
        <v>1E-3</v>
      </c>
      <c r="M2544" s="5">
        <v>73510.455000000002</v>
      </c>
      <c r="N2544" s="6">
        <v>5.8999999999999997E-2</v>
      </c>
      <c r="O2544" s="5">
        <v>21.199000000000002</v>
      </c>
      <c r="P2544" s="6">
        <v>4.1200000000000001E-2</v>
      </c>
      <c r="Q2544" s="5">
        <v>1236948.5</v>
      </c>
      <c r="R2544" s="1" t="s">
        <v>44</v>
      </c>
      <c r="T2544" s="1" t="s">
        <v>93</v>
      </c>
      <c r="V2544" s="1" t="s">
        <v>140</v>
      </c>
      <c r="Y2544" s="1" t="s">
        <v>461</v>
      </c>
      <c r="Z2544" s="1" t="str">
        <f t="shared" si="117"/>
        <v>55199 4</v>
      </c>
      <c r="AA2544" s="3">
        <f>IF(INDEX('CAMD Facility Data 2023'!$AA$2:$AE$10000,MATCH(Z2544,'CAMD Facility Data 2023'!$AE$2:$AE$10000,0),1)&gt;0,INDEX('CAMD Facility Data 2023'!$AA$2:$AE$10000,MATCH(Z2544,'CAMD Facility Data 2023'!$AE$2:$AE$10000,0),1),"")</f>
        <v>36308</v>
      </c>
      <c r="AB2544" s="5">
        <f>IF(INDEX('CAMD Facility Data 2023'!$AC$2:$AE$10000,MATCH(Z2544,'CAMD Facility Data 2023'!$AE$2:$AE$10000,0),1)&gt;0,INDEX('CAMD Facility Data 2023'!$AC$2:$AE$10000,MATCH(Z2544,'CAMD Facility Data 2023'!$AE$2:$AE$10000,0),1),"")</f>
        <v>2060</v>
      </c>
      <c r="AC2544" s="1" t="str">
        <f>IF(INDEX('CAMD Facility Data 2023'!$AE$2:$AG$10000,MATCH(Z2544,'CAMD Facility Data 2023'!$AE$2:$AE$10000,0),3)&gt;0,INDEX('CAMD Facility Data 2023'!$AE$2:$AG$10000,MATCH(Z2544,'CAMD Facility Data 2023'!$AE$2:$AE$10000,0),3),"")</f>
        <v/>
      </c>
      <c r="AD2544" s="20">
        <f t="shared" si="118"/>
        <v>0.38960127207140183</v>
      </c>
      <c r="AE2544" s="25">
        <f t="shared" si="119"/>
        <v>6.8545711974110038E-2</v>
      </c>
    </row>
    <row r="2545" spans="1:31" x14ac:dyDescent="0.2">
      <c r="A2545" s="1" t="s">
        <v>458</v>
      </c>
      <c r="B2545" s="1" t="s">
        <v>5934</v>
      </c>
      <c r="C2545" s="1">
        <v>55199</v>
      </c>
      <c r="D2545" s="1">
        <v>5</v>
      </c>
      <c r="F2545" s="1">
        <v>2023</v>
      </c>
      <c r="G2545" s="5">
        <v>1057</v>
      </c>
      <c r="H2545" s="5">
        <v>980.53</v>
      </c>
      <c r="I2545" s="5">
        <v>144497.16</v>
      </c>
      <c r="K2545" s="5">
        <v>0.46500000000000002</v>
      </c>
      <c r="L2545" s="5">
        <v>1E-3</v>
      </c>
      <c r="M2545" s="5">
        <v>92195.646999999997</v>
      </c>
      <c r="N2545" s="6">
        <v>5.8999999999999997E-2</v>
      </c>
      <c r="O2545" s="5">
        <v>24.834</v>
      </c>
      <c r="P2545" s="6">
        <v>3.7499999999999999E-2</v>
      </c>
      <c r="Q2545" s="5">
        <v>1551458.446</v>
      </c>
      <c r="R2545" s="1" t="s">
        <v>44</v>
      </c>
      <c r="T2545" s="1" t="s">
        <v>93</v>
      </c>
      <c r="V2545" s="1" t="s">
        <v>140</v>
      </c>
      <c r="Y2545" s="1" t="s">
        <v>461</v>
      </c>
      <c r="Z2545" s="1" t="str">
        <f t="shared" si="117"/>
        <v>55199 5</v>
      </c>
      <c r="AA2545" s="3">
        <f>IF(INDEX('CAMD Facility Data 2023'!$AA$2:$AE$10000,MATCH(Z2545,'CAMD Facility Data 2023'!$AE$2:$AE$10000,0),1)&gt;0,INDEX('CAMD Facility Data 2023'!$AA$2:$AE$10000,MATCH(Z2545,'CAMD Facility Data 2023'!$AE$2:$AE$10000,0),1),"")</f>
        <v>37002</v>
      </c>
      <c r="AB2545" s="5">
        <f>IF(INDEX('CAMD Facility Data 2023'!$AC$2:$AE$10000,MATCH(Z2545,'CAMD Facility Data 2023'!$AE$2:$AE$10000,0),1)&gt;0,INDEX('CAMD Facility Data 2023'!$AC$2:$AE$10000,MATCH(Z2545,'CAMD Facility Data 2023'!$AE$2:$AE$10000,0),1),"")</f>
        <v>2083</v>
      </c>
      <c r="AC2545" s="1" t="str">
        <f>IF(INDEX('CAMD Facility Data 2023'!$AE$2:$AG$10000,MATCH(Z2545,'CAMD Facility Data 2023'!$AE$2:$AE$10000,0),3)&gt;0,INDEX('CAMD Facility Data 2023'!$AE$2:$AG$10000,MATCH(Z2545,'CAMD Facility Data 2023'!$AE$2:$AE$10000,0),3),"")</f>
        <v/>
      </c>
      <c r="AD2545" s="20">
        <f t="shared" si="118"/>
        <v>0.34372993905208932</v>
      </c>
      <c r="AE2545" s="25">
        <f t="shared" si="119"/>
        <v>8.5025025702742577E-2</v>
      </c>
    </row>
    <row r="2546" spans="1:31" x14ac:dyDescent="0.2">
      <c r="A2546" s="1" t="s">
        <v>458</v>
      </c>
      <c r="B2546" s="1" t="s">
        <v>5934</v>
      </c>
      <c r="C2546" s="1">
        <v>55199</v>
      </c>
      <c r="D2546" s="1">
        <v>6</v>
      </c>
      <c r="F2546" s="1">
        <v>2023</v>
      </c>
      <c r="G2546" s="5">
        <v>517</v>
      </c>
      <c r="H2546" s="5">
        <v>465.97</v>
      </c>
      <c r="I2546" s="5">
        <v>63865.31</v>
      </c>
      <c r="K2546" s="5">
        <v>0.21099999999999999</v>
      </c>
      <c r="L2546" s="5">
        <v>1E-3</v>
      </c>
      <c r="M2546" s="5">
        <v>41842.961000000003</v>
      </c>
      <c r="N2546" s="6">
        <v>5.8999999999999997E-2</v>
      </c>
      <c r="O2546" s="5">
        <v>11.561</v>
      </c>
      <c r="P2546" s="6">
        <v>4.1500000000000002E-2</v>
      </c>
      <c r="Q2546" s="5">
        <v>704107.91500000004</v>
      </c>
      <c r="R2546" s="1" t="s">
        <v>44</v>
      </c>
      <c r="T2546" s="1" t="s">
        <v>93</v>
      </c>
      <c r="V2546" s="1" t="s">
        <v>140</v>
      </c>
      <c r="Y2546" s="1" t="s">
        <v>461</v>
      </c>
      <c r="Z2546" s="1" t="str">
        <f t="shared" si="117"/>
        <v>55199 6</v>
      </c>
      <c r="AA2546" s="3">
        <f>IF(INDEX('CAMD Facility Data 2023'!$AA$2:$AE$10000,MATCH(Z2546,'CAMD Facility Data 2023'!$AE$2:$AE$10000,0),1)&gt;0,INDEX('CAMD Facility Data 2023'!$AA$2:$AE$10000,MATCH(Z2546,'CAMD Facility Data 2023'!$AE$2:$AE$10000,0),1),"")</f>
        <v>37015</v>
      </c>
      <c r="AB2546" s="5">
        <f>IF(INDEX('CAMD Facility Data 2023'!$AC$2:$AE$10000,MATCH(Z2546,'CAMD Facility Data 2023'!$AE$2:$AE$10000,0),1)&gt;0,INDEX('CAMD Facility Data 2023'!$AC$2:$AE$10000,MATCH(Z2546,'CAMD Facility Data 2023'!$AE$2:$AE$10000,0),1),"")</f>
        <v>2083</v>
      </c>
      <c r="AC2546" s="1" t="str">
        <f>IF(INDEX('CAMD Facility Data 2023'!$AE$2:$AG$10000,MATCH(Z2546,'CAMD Facility Data 2023'!$AE$2:$AE$10000,0),3)&gt;0,INDEX('CAMD Facility Data 2023'!$AE$2:$AG$10000,MATCH(Z2546,'CAMD Facility Data 2023'!$AE$2:$AE$10000,0),3),"")</f>
        <v/>
      </c>
      <c r="AD2546" s="20">
        <f t="shared" si="118"/>
        <v>0.36204318118866097</v>
      </c>
      <c r="AE2546" s="25">
        <f t="shared" si="119"/>
        <v>3.8587429605175187E-2</v>
      </c>
    </row>
    <row r="2547" spans="1:31" x14ac:dyDescent="0.2">
      <c r="A2547" s="1" t="s">
        <v>458</v>
      </c>
      <c r="B2547" s="1" t="s">
        <v>5934</v>
      </c>
      <c r="C2547" s="1">
        <v>55199</v>
      </c>
      <c r="D2547" s="1">
        <v>7</v>
      </c>
      <c r="F2547" s="1">
        <v>2023</v>
      </c>
      <c r="G2547" s="5">
        <v>966</v>
      </c>
      <c r="H2547" s="5">
        <v>888.3</v>
      </c>
      <c r="I2547" s="5">
        <v>132590.81</v>
      </c>
      <c r="K2547" s="5">
        <v>0.41599999999999998</v>
      </c>
      <c r="L2547" s="5">
        <v>1E-3</v>
      </c>
      <c r="M2547" s="5">
        <v>82308.936000000002</v>
      </c>
      <c r="N2547" s="6">
        <v>5.8999999999999997E-2</v>
      </c>
      <c r="O2547" s="5">
        <v>20.585999999999999</v>
      </c>
      <c r="P2547" s="6">
        <v>3.5999999999999997E-2</v>
      </c>
      <c r="Q2547" s="5">
        <v>1385083.314</v>
      </c>
      <c r="R2547" s="1" t="s">
        <v>44</v>
      </c>
      <c r="T2547" s="1" t="s">
        <v>93</v>
      </c>
      <c r="V2547" s="1" t="s">
        <v>140</v>
      </c>
      <c r="Y2547" s="1" t="s">
        <v>461</v>
      </c>
      <c r="Z2547" s="1" t="str">
        <f t="shared" si="117"/>
        <v>55199 7</v>
      </c>
      <c r="AA2547" s="3">
        <f>IF(INDEX('CAMD Facility Data 2023'!$AA$2:$AE$10000,MATCH(Z2547,'CAMD Facility Data 2023'!$AE$2:$AE$10000,0),1)&gt;0,INDEX('CAMD Facility Data 2023'!$AA$2:$AE$10000,MATCH(Z2547,'CAMD Facility Data 2023'!$AE$2:$AE$10000,0),1),"")</f>
        <v>37029</v>
      </c>
      <c r="AB2547" s="5">
        <f>IF(INDEX('CAMD Facility Data 2023'!$AC$2:$AE$10000,MATCH(Z2547,'CAMD Facility Data 2023'!$AE$2:$AE$10000,0),1)&gt;0,INDEX('CAMD Facility Data 2023'!$AC$2:$AE$10000,MATCH(Z2547,'CAMD Facility Data 2023'!$AE$2:$AE$10000,0),1),"")</f>
        <v>2083</v>
      </c>
      <c r="AC2547" s="1" t="str">
        <f>IF(INDEX('CAMD Facility Data 2023'!$AE$2:$AG$10000,MATCH(Z2547,'CAMD Facility Data 2023'!$AE$2:$AE$10000,0),3)&gt;0,INDEX('CAMD Facility Data 2023'!$AE$2:$AG$10000,MATCH(Z2547,'CAMD Facility Data 2023'!$AE$2:$AE$10000,0),3),"")</f>
        <v/>
      </c>
      <c r="AD2547" s="20">
        <f t="shared" si="118"/>
        <v>0.31051925846142731</v>
      </c>
      <c r="AE2547" s="25">
        <f t="shared" si="119"/>
        <v>7.5907121248988879E-2</v>
      </c>
    </row>
    <row r="2548" spans="1:31" x14ac:dyDescent="0.2">
      <c r="A2548" s="1" t="s">
        <v>458</v>
      </c>
      <c r="B2548" s="1" t="s">
        <v>5934</v>
      </c>
      <c r="C2548" s="1">
        <v>55199</v>
      </c>
      <c r="D2548" s="1">
        <v>8</v>
      </c>
      <c r="F2548" s="1">
        <v>2023</v>
      </c>
      <c r="G2548" s="5">
        <v>663</v>
      </c>
      <c r="H2548" s="5">
        <v>604.6</v>
      </c>
      <c r="I2548" s="5">
        <v>86740.85</v>
      </c>
      <c r="K2548" s="5">
        <v>0.28100000000000003</v>
      </c>
      <c r="L2548" s="5">
        <v>1E-3</v>
      </c>
      <c r="M2548" s="5">
        <v>55576.436000000002</v>
      </c>
      <c r="N2548" s="6">
        <v>5.8999999999999997E-2</v>
      </c>
      <c r="O2548" s="5">
        <v>14.057</v>
      </c>
      <c r="P2548" s="6">
        <v>3.6900000000000002E-2</v>
      </c>
      <c r="Q2548" s="5">
        <v>935250.06599999999</v>
      </c>
      <c r="R2548" s="1" t="s">
        <v>44</v>
      </c>
      <c r="T2548" s="1" t="s">
        <v>93</v>
      </c>
      <c r="V2548" s="1" t="s">
        <v>140</v>
      </c>
      <c r="Y2548" s="1" t="s">
        <v>461</v>
      </c>
      <c r="Z2548" s="1" t="str">
        <f t="shared" si="117"/>
        <v>55199 8</v>
      </c>
      <c r="AA2548" s="3">
        <f>IF(INDEX('CAMD Facility Data 2023'!$AA$2:$AE$10000,MATCH(Z2548,'CAMD Facility Data 2023'!$AE$2:$AE$10000,0),1)&gt;0,INDEX('CAMD Facility Data 2023'!$AA$2:$AE$10000,MATCH(Z2548,'CAMD Facility Data 2023'!$AE$2:$AE$10000,0),1),"")</f>
        <v>37033</v>
      </c>
      <c r="AB2548" s="5">
        <f>IF(INDEX('CAMD Facility Data 2023'!$AC$2:$AE$10000,MATCH(Z2548,'CAMD Facility Data 2023'!$AE$2:$AE$10000,0),1)&gt;0,INDEX('CAMD Facility Data 2023'!$AC$2:$AE$10000,MATCH(Z2548,'CAMD Facility Data 2023'!$AE$2:$AE$10000,0),1),"")</f>
        <v>2083</v>
      </c>
      <c r="AC2548" s="1" t="str">
        <f>IF(INDEX('CAMD Facility Data 2023'!$AE$2:$AG$10000,MATCH(Z2548,'CAMD Facility Data 2023'!$AE$2:$AE$10000,0),3)&gt;0,INDEX('CAMD Facility Data 2023'!$AE$2:$AG$10000,MATCH(Z2548,'CAMD Facility Data 2023'!$AE$2:$AE$10000,0),3),"")</f>
        <v/>
      </c>
      <c r="AD2548" s="20">
        <f t="shared" si="118"/>
        <v>0.32411487782284815</v>
      </c>
      <c r="AE2548" s="25">
        <f t="shared" si="119"/>
        <v>5.1254779723659896E-2</v>
      </c>
    </row>
    <row r="2549" spans="1:31" x14ac:dyDescent="0.2">
      <c r="A2549" s="1" t="s">
        <v>458</v>
      </c>
      <c r="B2549" s="1" t="s">
        <v>5934</v>
      </c>
      <c r="C2549" s="1">
        <v>55199</v>
      </c>
      <c r="D2549" s="1">
        <v>9</v>
      </c>
      <c r="F2549" s="1">
        <v>2023</v>
      </c>
      <c r="G2549" s="5">
        <v>545</v>
      </c>
      <c r="H2549" s="5">
        <v>493.9</v>
      </c>
      <c r="I2549" s="5">
        <v>70279.62</v>
      </c>
      <c r="K2549" s="5">
        <v>0.219</v>
      </c>
      <c r="L2549" s="5">
        <v>1E-3</v>
      </c>
      <c r="M2549" s="5">
        <v>43372.906999999999</v>
      </c>
      <c r="N2549" s="6">
        <v>5.91E-2</v>
      </c>
      <c r="O2549" s="5">
        <v>10.856999999999999</v>
      </c>
      <c r="P2549" s="6">
        <v>3.6499999999999998E-2</v>
      </c>
      <c r="Q2549" s="5">
        <v>729882.20700000005</v>
      </c>
      <c r="R2549" s="1" t="s">
        <v>44</v>
      </c>
      <c r="T2549" s="1" t="s">
        <v>93</v>
      </c>
      <c r="V2549" s="1" t="s">
        <v>140</v>
      </c>
      <c r="Y2549" s="1" t="s">
        <v>461</v>
      </c>
      <c r="Z2549" s="1" t="str">
        <f t="shared" si="117"/>
        <v>55199 9</v>
      </c>
      <c r="AA2549" s="3">
        <f>IF(INDEX('CAMD Facility Data 2023'!$AA$2:$AE$10000,MATCH(Z2549,'CAMD Facility Data 2023'!$AE$2:$AE$10000,0),1)&gt;0,INDEX('CAMD Facility Data 2023'!$AA$2:$AE$10000,MATCH(Z2549,'CAMD Facility Data 2023'!$AE$2:$AE$10000,0),1),"")</f>
        <v>36999</v>
      </c>
      <c r="AB2549" s="5">
        <f>IF(INDEX('CAMD Facility Data 2023'!$AC$2:$AE$10000,MATCH(Z2549,'CAMD Facility Data 2023'!$AE$2:$AE$10000,0),1)&gt;0,INDEX('CAMD Facility Data 2023'!$AC$2:$AE$10000,MATCH(Z2549,'CAMD Facility Data 2023'!$AE$2:$AE$10000,0),1),"")</f>
        <v>2083</v>
      </c>
      <c r="AC2549" s="1" t="str">
        <f>IF(INDEX('CAMD Facility Data 2023'!$AE$2:$AG$10000,MATCH(Z2549,'CAMD Facility Data 2023'!$AE$2:$AE$10000,0),3)&gt;0,INDEX('CAMD Facility Data 2023'!$AE$2:$AG$10000,MATCH(Z2549,'CAMD Facility Data 2023'!$AE$2:$AE$10000,0),3),"")</f>
        <v/>
      </c>
      <c r="AD2549" s="20">
        <f t="shared" si="118"/>
        <v>0.30896581398704209</v>
      </c>
      <c r="AE2549" s="25">
        <f t="shared" si="119"/>
        <v>3.999994558033395E-2</v>
      </c>
    </row>
    <row r="2550" spans="1:31" x14ac:dyDescent="0.2">
      <c r="A2550" s="1" t="s">
        <v>516</v>
      </c>
      <c r="B2550" s="1" t="s">
        <v>5946</v>
      </c>
      <c r="C2550" s="1">
        <v>55200</v>
      </c>
      <c r="D2550" s="1" t="s">
        <v>105</v>
      </c>
      <c r="F2550" s="1">
        <v>2023</v>
      </c>
      <c r="G2550" s="5">
        <v>3563</v>
      </c>
      <c r="H2550" s="5">
        <v>3440.27</v>
      </c>
      <c r="I2550" s="5">
        <v>118333.3</v>
      </c>
      <c r="K2550" s="5">
        <v>0.29899999999999999</v>
      </c>
      <c r="L2550" s="5">
        <v>1E-3</v>
      </c>
      <c r="M2550" s="5">
        <v>59292.328000000001</v>
      </c>
      <c r="N2550" s="6">
        <v>5.9299999999999999E-2</v>
      </c>
      <c r="O2550" s="5">
        <v>14.936999999999999</v>
      </c>
      <c r="P2550" s="6">
        <v>3.2199999999999999E-2</v>
      </c>
      <c r="Q2550" s="5">
        <v>997695.37100000004</v>
      </c>
      <c r="R2550" s="1" t="s">
        <v>44</v>
      </c>
      <c r="T2550" s="1" t="s">
        <v>71</v>
      </c>
      <c r="V2550" s="1" t="s">
        <v>223</v>
      </c>
      <c r="Y2550" s="1" t="s">
        <v>247</v>
      </c>
      <c r="Z2550" s="1" t="str">
        <f t="shared" si="117"/>
        <v>55200 CT5</v>
      </c>
      <c r="AA2550" s="3">
        <f>IF(INDEX('CAMD Facility Data 2023'!$AA$2:$AE$10000,MATCH(Z2550,'CAMD Facility Data 2023'!$AE$2:$AE$10000,0),1)&gt;0,INDEX('CAMD Facility Data 2023'!$AA$2:$AE$10000,MATCH(Z2550,'CAMD Facility Data 2023'!$AE$2:$AE$10000,0),1),"")</f>
        <v>36671</v>
      </c>
      <c r="AB2550" s="5">
        <f>IF(INDEX('CAMD Facility Data 2023'!$AC$2:$AE$10000,MATCH(Z2550,'CAMD Facility Data 2023'!$AE$2:$AE$10000,0),1)&gt;0,INDEX('CAMD Facility Data 2023'!$AC$2:$AE$10000,MATCH(Z2550,'CAMD Facility Data 2023'!$AE$2:$AE$10000,0),1),"")</f>
        <v>555</v>
      </c>
      <c r="AC2550" s="1" t="str">
        <f>IF(INDEX('CAMD Facility Data 2023'!$AE$2:$AG$10000,MATCH(Z2550,'CAMD Facility Data 2023'!$AE$2:$AE$10000,0),3)&gt;0,INDEX('CAMD Facility Data 2023'!$AE$2:$AG$10000,MATCH(Z2550,'CAMD Facility Data 2023'!$AE$2:$AE$10000,0),3),"")</f>
        <v>Y</v>
      </c>
      <c r="AD2550" s="20">
        <f t="shared" si="118"/>
        <v>0.25245640914265044</v>
      </c>
      <c r="AE2550" s="25">
        <f t="shared" si="119"/>
        <v>0.20521110925994487</v>
      </c>
    </row>
    <row r="2551" spans="1:31" x14ac:dyDescent="0.2">
      <c r="A2551" s="1" t="s">
        <v>516</v>
      </c>
      <c r="B2551" s="1" t="s">
        <v>5946</v>
      </c>
      <c r="C2551" s="1">
        <v>55200</v>
      </c>
      <c r="D2551" s="1" t="s">
        <v>107</v>
      </c>
      <c r="F2551" s="1">
        <v>2023</v>
      </c>
      <c r="G2551" s="5">
        <v>3540</v>
      </c>
      <c r="H2551" s="5">
        <v>3413.38</v>
      </c>
      <c r="I2551" s="5">
        <v>118567.34</v>
      </c>
      <c r="K2551" s="5">
        <v>0.29799999999999999</v>
      </c>
      <c r="L2551" s="5">
        <v>1E-3</v>
      </c>
      <c r="M2551" s="5">
        <v>59017.199000000001</v>
      </c>
      <c r="N2551" s="6">
        <v>5.9299999999999999E-2</v>
      </c>
      <c r="O2551" s="5">
        <v>13.596</v>
      </c>
      <c r="P2551" s="6">
        <v>3.04E-2</v>
      </c>
      <c r="Q2551" s="5">
        <v>993075.29099999997</v>
      </c>
      <c r="R2551" s="1" t="s">
        <v>44</v>
      </c>
      <c r="T2551" s="1" t="s">
        <v>71</v>
      </c>
      <c r="V2551" s="1" t="s">
        <v>223</v>
      </c>
      <c r="Y2551" s="1" t="s">
        <v>247</v>
      </c>
      <c r="Z2551" s="1" t="str">
        <f t="shared" si="117"/>
        <v>55200 CT6</v>
      </c>
      <c r="AA2551" s="3">
        <f>IF(INDEX('CAMD Facility Data 2023'!$AA$2:$AE$10000,MATCH(Z2551,'CAMD Facility Data 2023'!$AE$2:$AE$10000,0),1)&gt;0,INDEX('CAMD Facility Data 2023'!$AA$2:$AE$10000,MATCH(Z2551,'CAMD Facility Data 2023'!$AE$2:$AE$10000,0),1),"")</f>
        <v>36671</v>
      </c>
      <c r="AB2551" s="5">
        <f>IF(INDEX('CAMD Facility Data 2023'!$AC$2:$AE$10000,MATCH(Z2551,'CAMD Facility Data 2023'!$AE$2:$AE$10000,0),1)&gt;0,INDEX('CAMD Facility Data 2023'!$AC$2:$AE$10000,MATCH(Z2551,'CAMD Facility Data 2023'!$AE$2:$AE$10000,0),1),"")</f>
        <v>555</v>
      </c>
      <c r="AC2551" s="1" t="str">
        <f>IF(INDEX('CAMD Facility Data 2023'!$AE$2:$AG$10000,MATCH(Z2551,'CAMD Facility Data 2023'!$AE$2:$AE$10000,0),3)&gt;0,INDEX('CAMD Facility Data 2023'!$AE$2:$AG$10000,MATCH(Z2551,'CAMD Facility Data 2023'!$AE$2:$AE$10000,0),3),"")</f>
        <v>Y</v>
      </c>
      <c r="AD2551" s="20">
        <f t="shared" si="118"/>
        <v>0.22933802849924778</v>
      </c>
      <c r="AE2551" s="25">
        <f t="shared" si="119"/>
        <v>0.20426082747130692</v>
      </c>
    </row>
    <row r="2552" spans="1:31" x14ac:dyDescent="0.2">
      <c r="A2552" s="1" t="s">
        <v>458</v>
      </c>
      <c r="B2552" s="1" t="s">
        <v>5952</v>
      </c>
      <c r="C2552" s="1">
        <v>55201</v>
      </c>
      <c r="D2552" s="1" t="s">
        <v>5953</v>
      </c>
      <c r="F2552" s="1">
        <v>2023</v>
      </c>
      <c r="G2552" s="5">
        <v>476</v>
      </c>
      <c r="H2552" s="5">
        <v>433</v>
      </c>
      <c r="I2552" s="5">
        <v>37241.71</v>
      </c>
      <c r="K2552" s="5">
        <v>0.13100000000000001</v>
      </c>
      <c r="L2552" s="5">
        <v>1E-3</v>
      </c>
      <c r="M2552" s="5">
        <v>25963.508999999998</v>
      </c>
      <c r="N2552" s="6">
        <v>5.8999999999999997E-2</v>
      </c>
      <c r="O2552" s="5">
        <v>16.420000000000002</v>
      </c>
      <c r="P2552" s="6">
        <v>8.0699999999999994E-2</v>
      </c>
      <c r="Q2552" s="5">
        <v>436887.41200000001</v>
      </c>
      <c r="R2552" s="1" t="s">
        <v>44</v>
      </c>
      <c r="S2552" s="1" t="s">
        <v>94</v>
      </c>
      <c r="T2552" s="1" t="s">
        <v>93</v>
      </c>
      <c r="V2552" s="1" t="s">
        <v>183</v>
      </c>
      <c r="Y2552" s="1" t="s">
        <v>461</v>
      </c>
      <c r="Z2552" s="1" t="str">
        <f t="shared" si="117"/>
        <v>55201 GCTG1</v>
      </c>
      <c r="AA2552" s="3">
        <f>IF(INDEX('CAMD Facility Data 2023'!$AA$2:$AE$10000,MATCH(Z2552,'CAMD Facility Data 2023'!$AE$2:$AE$10000,0),1)&gt;0,INDEX('CAMD Facility Data 2023'!$AA$2:$AE$10000,MATCH(Z2552,'CAMD Facility Data 2023'!$AE$2:$AE$10000,0),1),"")</f>
        <v>36704</v>
      </c>
      <c r="AB2552" s="5">
        <f>IF(INDEX('CAMD Facility Data 2023'!$AC$2:$AE$10000,MATCH(Z2552,'CAMD Facility Data 2023'!$AE$2:$AE$10000,0),1)&gt;0,INDEX('CAMD Facility Data 2023'!$AC$2:$AE$10000,MATCH(Z2552,'CAMD Facility Data 2023'!$AE$2:$AE$10000,0),1),"")</f>
        <v>1657</v>
      </c>
      <c r="AC2552" s="1" t="str">
        <f>IF(INDEX('CAMD Facility Data 2023'!$AE$2:$AG$10000,MATCH(Z2552,'CAMD Facility Data 2023'!$AE$2:$AE$10000,0),3)&gt;0,INDEX('CAMD Facility Data 2023'!$AE$2:$AG$10000,MATCH(Z2552,'CAMD Facility Data 2023'!$AE$2:$AE$10000,0),3),"")</f>
        <v/>
      </c>
      <c r="AD2552" s="20">
        <f t="shared" si="118"/>
        <v>0.88180698469538588</v>
      </c>
      <c r="AE2552" s="25">
        <f t="shared" si="119"/>
        <v>3.0098365864479736E-2</v>
      </c>
    </row>
    <row r="2553" spans="1:31" x14ac:dyDescent="0.2">
      <c r="A2553" s="1" t="s">
        <v>458</v>
      </c>
      <c r="B2553" s="1" t="s">
        <v>5952</v>
      </c>
      <c r="C2553" s="1">
        <v>55201</v>
      </c>
      <c r="D2553" s="1" t="s">
        <v>5956</v>
      </c>
      <c r="F2553" s="1">
        <v>2023</v>
      </c>
      <c r="G2553" s="5">
        <v>492</v>
      </c>
      <c r="H2553" s="5">
        <v>446.29</v>
      </c>
      <c r="I2553" s="5">
        <v>38317.03</v>
      </c>
      <c r="K2553" s="5">
        <v>0.13700000000000001</v>
      </c>
      <c r="L2553" s="5">
        <v>1E-3</v>
      </c>
      <c r="M2553" s="5">
        <v>27160.252</v>
      </c>
      <c r="N2553" s="6">
        <v>5.8999999999999997E-2</v>
      </c>
      <c r="O2553" s="5">
        <v>14.933999999999999</v>
      </c>
      <c r="P2553" s="6">
        <v>7.1999999999999995E-2</v>
      </c>
      <c r="Q2553" s="5">
        <v>457008.859</v>
      </c>
      <c r="R2553" s="1" t="s">
        <v>44</v>
      </c>
      <c r="S2553" s="1" t="s">
        <v>94</v>
      </c>
      <c r="T2553" s="1" t="s">
        <v>93</v>
      </c>
      <c r="V2553" s="1" t="s">
        <v>183</v>
      </c>
      <c r="Y2553" s="1" t="s">
        <v>461</v>
      </c>
      <c r="Z2553" s="1" t="str">
        <f t="shared" si="117"/>
        <v>55201 GCTG2</v>
      </c>
      <c r="AA2553" s="3">
        <f>IF(INDEX('CAMD Facility Data 2023'!$AA$2:$AE$10000,MATCH(Z2553,'CAMD Facility Data 2023'!$AE$2:$AE$10000,0),1)&gt;0,INDEX('CAMD Facility Data 2023'!$AA$2:$AE$10000,MATCH(Z2553,'CAMD Facility Data 2023'!$AE$2:$AE$10000,0),1),"")</f>
        <v>36729</v>
      </c>
      <c r="AB2553" s="5">
        <f>IF(INDEX('CAMD Facility Data 2023'!$AC$2:$AE$10000,MATCH(Z2553,'CAMD Facility Data 2023'!$AE$2:$AE$10000,0),1)&gt;0,INDEX('CAMD Facility Data 2023'!$AC$2:$AE$10000,MATCH(Z2553,'CAMD Facility Data 2023'!$AE$2:$AE$10000,0),1),"")</f>
        <v>1400</v>
      </c>
      <c r="AC2553" s="1" t="str">
        <f>IF(INDEX('CAMD Facility Data 2023'!$AE$2:$AG$10000,MATCH(Z2553,'CAMD Facility Data 2023'!$AE$2:$AE$10000,0),3)&gt;0,INDEX('CAMD Facility Data 2023'!$AE$2:$AG$10000,MATCH(Z2553,'CAMD Facility Data 2023'!$AE$2:$AE$10000,0),3),"")</f>
        <v/>
      </c>
      <c r="AD2553" s="20">
        <f t="shared" si="118"/>
        <v>0.77949674074425912</v>
      </c>
      <c r="AE2553" s="25">
        <f t="shared" si="119"/>
        <v>3.7264257909328115E-2</v>
      </c>
    </row>
    <row r="2554" spans="1:31" x14ac:dyDescent="0.2">
      <c r="A2554" s="1" t="s">
        <v>458</v>
      </c>
      <c r="B2554" s="1" t="s">
        <v>5958</v>
      </c>
      <c r="C2554" s="1">
        <v>55202</v>
      </c>
      <c r="D2554" s="1" t="s">
        <v>993</v>
      </c>
      <c r="F2554" s="1">
        <v>2023</v>
      </c>
      <c r="G2554" s="5">
        <v>342</v>
      </c>
      <c r="H2554" s="5">
        <v>279.69</v>
      </c>
      <c r="I2554" s="5">
        <v>11942.49</v>
      </c>
      <c r="K2554" s="5">
        <v>3.4000000000000002E-2</v>
      </c>
      <c r="L2554" s="5">
        <v>1E-3</v>
      </c>
      <c r="M2554" s="5">
        <v>6689.3249999999998</v>
      </c>
      <c r="N2554" s="6">
        <v>5.9200000000000003E-2</v>
      </c>
      <c r="O2554" s="5">
        <v>5.3</v>
      </c>
      <c r="P2554" s="6">
        <v>0.1026</v>
      </c>
      <c r="Q2554" s="5">
        <v>112560.321</v>
      </c>
      <c r="R2554" s="1" t="s">
        <v>44</v>
      </c>
      <c r="T2554" s="1" t="s">
        <v>93</v>
      </c>
      <c r="V2554" s="1" t="s">
        <v>95</v>
      </c>
      <c r="Y2554" s="1" t="s">
        <v>461</v>
      </c>
      <c r="Z2554" s="1" t="str">
        <f t="shared" si="117"/>
        <v>55202 CT01</v>
      </c>
      <c r="AA2554" s="3">
        <f>IF(INDEX('CAMD Facility Data 2023'!$AA$2:$AE$10000,MATCH(Z2554,'CAMD Facility Data 2023'!$AE$2:$AE$10000,0),1)&gt;0,INDEX('CAMD Facility Data 2023'!$AA$2:$AE$10000,MATCH(Z2554,'CAMD Facility Data 2023'!$AE$2:$AE$10000,0),1),"")</f>
        <v>36681</v>
      </c>
      <c r="AB2554" s="5">
        <f>IF(INDEX('CAMD Facility Data 2023'!$AC$2:$AE$10000,MATCH(Z2554,'CAMD Facility Data 2023'!$AE$2:$AE$10000,0),1)&gt;0,INDEX('CAMD Facility Data 2023'!$AC$2:$AE$10000,MATCH(Z2554,'CAMD Facility Data 2023'!$AE$2:$AE$10000,0),1),"")</f>
        <v>444</v>
      </c>
      <c r="AC2554" s="1" t="str">
        <f>IF(INDEX('CAMD Facility Data 2023'!$AE$2:$AG$10000,MATCH(Z2554,'CAMD Facility Data 2023'!$AE$2:$AE$10000,0),3)&gt;0,INDEX('CAMD Facility Data 2023'!$AE$2:$AG$10000,MATCH(Z2554,'CAMD Facility Data 2023'!$AE$2:$AE$10000,0),3),"")</f>
        <v/>
      </c>
      <c r="AD2554" s="20">
        <f t="shared" si="118"/>
        <v>0.88758709448364626</v>
      </c>
      <c r="AE2554" s="25">
        <f t="shared" si="119"/>
        <v>2.89399813340738E-2</v>
      </c>
    </row>
    <row r="2555" spans="1:31" x14ac:dyDescent="0.2">
      <c r="A2555" s="1" t="s">
        <v>458</v>
      </c>
      <c r="B2555" s="1" t="s">
        <v>5958</v>
      </c>
      <c r="C2555" s="1">
        <v>55202</v>
      </c>
      <c r="D2555" s="1" t="s">
        <v>998</v>
      </c>
      <c r="F2555" s="1">
        <v>2023</v>
      </c>
      <c r="G2555" s="5">
        <v>334</v>
      </c>
      <c r="H2555" s="5">
        <v>275.99</v>
      </c>
      <c r="I2555" s="5">
        <v>11730.31</v>
      </c>
      <c r="K2555" s="5">
        <v>3.2000000000000001E-2</v>
      </c>
      <c r="L2555" s="5">
        <v>1E-3</v>
      </c>
      <c r="M2555" s="5">
        <v>6422.2089999999998</v>
      </c>
      <c r="N2555" s="6">
        <v>5.9299999999999999E-2</v>
      </c>
      <c r="O2555" s="5">
        <v>5.0670000000000002</v>
      </c>
      <c r="P2555" s="6">
        <v>0.1033</v>
      </c>
      <c r="Q2555" s="5">
        <v>108071.74400000001</v>
      </c>
      <c r="R2555" s="1" t="s">
        <v>44</v>
      </c>
      <c r="T2555" s="1" t="s">
        <v>93</v>
      </c>
      <c r="V2555" s="1" t="s">
        <v>95</v>
      </c>
      <c r="Y2555" s="1" t="s">
        <v>461</v>
      </c>
      <c r="Z2555" s="1" t="str">
        <f t="shared" si="117"/>
        <v>55202 CT02</v>
      </c>
      <c r="AA2555" s="3">
        <f>IF(INDEX('CAMD Facility Data 2023'!$AA$2:$AE$10000,MATCH(Z2555,'CAMD Facility Data 2023'!$AE$2:$AE$10000,0),1)&gt;0,INDEX('CAMD Facility Data 2023'!$AA$2:$AE$10000,MATCH(Z2555,'CAMD Facility Data 2023'!$AE$2:$AE$10000,0),1),"")</f>
        <v>36683</v>
      </c>
      <c r="AB2555" s="5">
        <f>IF(INDEX('CAMD Facility Data 2023'!$AC$2:$AE$10000,MATCH(Z2555,'CAMD Facility Data 2023'!$AE$2:$AE$10000,0),1)&gt;0,INDEX('CAMD Facility Data 2023'!$AC$2:$AE$10000,MATCH(Z2555,'CAMD Facility Data 2023'!$AE$2:$AE$10000,0),1),"")</f>
        <v>444</v>
      </c>
      <c r="AC2555" s="1" t="str">
        <f>IF(INDEX('CAMD Facility Data 2023'!$AE$2:$AG$10000,MATCH(Z2555,'CAMD Facility Data 2023'!$AE$2:$AE$10000,0),3)&gt;0,INDEX('CAMD Facility Data 2023'!$AE$2:$AG$10000,MATCH(Z2555,'CAMD Facility Data 2023'!$AE$2:$AE$10000,0),3),"")</f>
        <v/>
      </c>
      <c r="AD2555" s="20">
        <f t="shared" si="118"/>
        <v>0.86391578739180808</v>
      </c>
      <c r="AE2555" s="25">
        <f t="shared" si="119"/>
        <v>2.7785939364021559E-2</v>
      </c>
    </row>
    <row r="2556" spans="1:31" x14ac:dyDescent="0.2">
      <c r="A2556" s="1" t="s">
        <v>458</v>
      </c>
      <c r="B2556" s="1" t="s">
        <v>5958</v>
      </c>
      <c r="C2556" s="1">
        <v>55202</v>
      </c>
      <c r="D2556" s="1" t="s">
        <v>1043</v>
      </c>
      <c r="F2556" s="1">
        <v>2023</v>
      </c>
      <c r="G2556" s="5">
        <v>343</v>
      </c>
      <c r="H2556" s="5">
        <v>281.13</v>
      </c>
      <c r="I2556" s="5">
        <v>12020.89</v>
      </c>
      <c r="K2556" s="5">
        <v>3.4000000000000002E-2</v>
      </c>
      <c r="L2556" s="5">
        <v>1E-3</v>
      </c>
      <c r="M2556" s="5">
        <v>6648.8360000000002</v>
      </c>
      <c r="N2556" s="6">
        <v>5.9200000000000003E-2</v>
      </c>
      <c r="O2556" s="5">
        <v>5.2530000000000001</v>
      </c>
      <c r="P2556" s="6">
        <v>0.10489999999999999</v>
      </c>
      <c r="Q2556" s="5">
        <v>111873.632</v>
      </c>
      <c r="R2556" s="1" t="s">
        <v>44</v>
      </c>
      <c r="T2556" s="1" t="s">
        <v>93</v>
      </c>
      <c r="V2556" s="1" t="s">
        <v>95</v>
      </c>
      <c r="Y2556" s="1" t="s">
        <v>461</v>
      </c>
      <c r="Z2556" s="1" t="str">
        <f t="shared" si="117"/>
        <v>55202 CT03</v>
      </c>
      <c r="AA2556" s="3">
        <f>IF(INDEX('CAMD Facility Data 2023'!$AA$2:$AE$10000,MATCH(Z2556,'CAMD Facility Data 2023'!$AE$2:$AE$10000,0),1)&gt;0,INDEX('CAMD Facility Data 2023'!$AA$2:$AE$10000,MATCH(Z2556,'CAMD Facility Data 2023'!$AE$2:$AE$10000,0),1),"")</f>
        <v>36692</v>
      </c>
      <c r="AB2556" s="5">
        <f>IF(INDEX('CAMD Facility Data 2023'!$AC$2:$AE$10000,MATCH(Z2556,'CAMD Facility Data 2023'!$AE$2:$AE$10000,0),1)&gt;0,INDEX('CAMD Facility Data 2023'!$AC$2:$AE$10000,MATCH(Z2556,'CAMD Facility Data 2023'!$AE$2:$AE$10000,0),1),"")</f>
        <v>444</v>
      </c>
      <c r="AC2556" s="1" t="str">
        <f>IF(INDEX('CAMD Facility Data 2023'!$AE$2:$AG$10000,MATCH(Z2556,'CAMD Facility Data 2023'!$AE$2:$AE$10000,0),3)&gt;0,INDEX('CAMD Facility Data 2023'!$AE$2:$AG$10000,MATCH(Z2556,'CAMD Facility Data 2023'!$AE$2:$AE$10000,0),3),"")</f>
        <v/>
      </c>
      <c r="AD2556" s="20">
        <f t="shared" si="118"/>
        <v>0.87397854900926641</v>
      </c>
      <c r="AE2556" s="25">
        <f t="shared" si="119"/>
        <v>2.8763429182607263E-2</v>
      </c>
    </row>
    <row r="2557" spans="1:31" x14ac:dyDescent="0.2">
      <c r="A2557" s="1" t="s">
        <v>458</v>
      </c>
      <c r="B2557" s="1" t="s">
        <v>5958</v>
      </c>
      <c r="C2557" s="1">
        <v>55202</v>
      </c>
      <c r="D2557" s="1" t="s">
        <v>1048</v>
      </c>
      <c r="F2557" s="1">
        <v>2023</v>
      </c>
      <c r="G2557" s="5">
        <v>319</v>
      </c>
      <c r="H2557" s="5">
        <v>263.94</v>
      </c>
      <c r="I2557" s="5">
        <v>11221.25</v>
      </c>
      <c r="K2557" s="5">
        <v>3.2000000000000001E-2</v>
      </c>
      <c r="L2557" s="5">
        <v>1E-3</v>
      </c>
      <c r="M2557" s="5">
        <v>6423.518</v>
      </c>
      <c r="N2557" s="6">
        <v>5.9200000000000003E-2</v>
      </c>
      <c r="O2557" s="5">
        <v>5.04</v>
      </c>
      <c r="P2557" s="6">
        <v>0.1017</v>
      </c>
      <c r="Q2557" s="5">
        <v>108098.133</v>
      </c>
      <c r="R2557" s="1" t="s">
        <v>44</v>
      </c>
      <c r="T2557" s="1" t="s">
        <v>93</v>
      </c>
      <c r="V2557" s="1" t="s">
        <v>95</v>
      </c>
      <c r="Y2557" s="1" t="s">
        <v>461</v>
      </c>
      <c r="Z2557" s="1" t="str">
        <f t="shared" si="117"/>
        <v>55202 CT04</v>
      </c>
      <c r="AA2557" s="3">
        <f>IF(INDEX('CAMD Facility Data 2023'!$AA$2:$AE$10000,MATCH(Z2557,'CAMD Facility Data 2023'!$AE$2:$AE$10000,0),1)&gt;0,INDEX('CAMD Facility Data 2023'!$AA$2:$AE$10000,MATCH(Z2557,'CAMD Facility Data 2023'!$AE$2:$AE$10000,0),1),"")</f>
        <v>36699</v>
      </c>
      <c r="AB2557" s="5">
        <f>IF(INDEX('CAMD Facility Data 2023'!$AC$2:$AE$10000,MATCH(Z2557,'CAMD Facility Data 2023'!$AE$2:$AE$10000,0),1)&gt;0,INDEX('CAMD Facility Data 2023'!$AC$2:$AE$10000,MATCH(Z2557,'CAMD Facility Data 2023'!$AE$2:$AE$10000,0),1),"")</f>
        <v>444</v>
      </c>
      <c r="AC2557" s="1" t="str">
        <f>IF(INDEX('CAMD Facility Data 2023'!$AE$2:$AG$10000,MATCH(Z2557,'CAMD Facility Data 2023'!$AE$2:$AE$10000,0),3)&gt;0,INDEX('CAMD Facility Data 2023'!$AE$2:$AG$10000,MATCH(Z2557,'CAMD Facility Data 2023'!$AE$2:$AE$10000,0),3),"")</f>
        <v/>
      </c>
      <c r="AD2557" s="20">
        <f t="shared" si="118"/>
        <v>0.89829564442464072</v>
      </c>
      <c r="AE2557" s="25">
        <f t="shared" si="119"/>
        <v>2.7792724145378256E-2</v>
      </c>
    </row>
    <row r="2558" spans="1:31" x14ac:dyDescent="0.2">
      <c r="A2558" s="1" t="s">
        <v>458</v>
      </c>
      <c r="B2558" s="1" t="s">
        <v>5958</v>
      </c>
      <c r="C2558" s="1">
        <v>55202</v>
      </c>
      <c r="D2558" s="1" t="s">
        <v>1050</v>
      </c>
      <c r="F2558" s="1">
        <v>2023</v>
      </c>
      <c r="G2558" s="5">
        <v>6</v>
      </c>
      <c r="H2558" s="5">
        <v>3.31</v>
      </c>
      <c r="I2558" s="5">
        <v>103.1</v>
      </c>
      <c r="K2558" s="5">
        <v>0</v>
      </c>
      <c r="L2558" s="5">
        <v>8.0000000000000004E-4</v>
      </c>
      <c r="M2558" s="5">
        <v>66.841999999999999</v>
      </c>
      <c r="N2558" s="6">
        <v>6.0499999999999998E-2</v>
      </c>
      <c r="O2558" s="5">
        <v>1.7000000000000001E-2</v>
      </c>
      <c r="P2558" s="6">
        <v>2.75E-2</v>
      </c>
      <c r="Q2558" s="5">
        <v>1124.68</v>
      </c>
      <c r="R2558" s="1" t="s">
        <v>44</v>
      </c>
      <c r="T2558" s="1" t="s">
        <v>93</v>
      </c>
      <c r="V2558" s="1" t="s">
        <v>140</v>
      </c>
      <c r="Y2558" s="1" t="s">
        <v>461</v>
      </c>
      <c r="Z2558" s="1" t="str">
        <f t="shared" si="117"/>
        <v>55202 CT05</v>
      </c>
      <c r="AA2558" s="3">
        <f>IF(INDEX('CAMD Facility Data 2023'!$AA$2:$AE$10000,MATCH(Z2558,'CAMD Facility Data 2023'!$AE$2:$AE$10000,0),1)&gt;0,INDEX('CAMD Facility Data 2023'!$AA$2:$AE$10000,MATCH(Z2558,'CAMD Facility Data 2023'!$AE$2:$AE$10000,0),1),"")</f>
        <v>37039</v>
      </c>
      <c r="AB2558" s="5">
        <f>IF(INDEX('CAMD Facility Data 2023'!$AC$2:$AE$10000,MATCH(Z2558,'CAMD Facility Data 2023'!$AE$2:$AE$10000,0),1)&gt;0,INDEX('CAMD Facility Data 2023'!$AC$2:$AE$10000,MATCH(Z2558,'CAMD Facility Data 2023'!$AE$2:$AE$10000,0),1),"")</f>
        <v>553</v>
      </c>
      <c r="AC2558" s="1" t="str">
        <f>IF(INDEX('CAMD Facility Data 2023'!$AE$2:$AG$10000,MATCH(Z2558,'CAMD Facility Data 2023'!$AE$2:$AE$10000,0),3)&gt;0,INDEX('CAMD Facility Data 2023'!$AE$2:$AG$10000,MATCH(Z2558,'CAMD Facility Data 2023'!$AE$2:$AE$10000,0),3),"")</f>
        <v/>
      </c>
      <c r="AD2558" s="20">
        <f t="shared" si="118"/>
        <v>0.32977691561590688</v>
      </c>
      <c r="AE2558" s="25">
        <f t="shared" si="119"/>
        <v>2.3216659648079798E-4</v>
      </c>
    </row>
    <row r="2559" spans="1:31" x14ac:dyDescent="0.2">
      <c r="A2559" s="1" t="s">
        <v>458</v>
      </c>
      <c r="B2559" s="1" t="s">
        <v>5958</v>
      </c>
      <c r="C2559" s="1">
        <v>55202</v>
      </c>
      <c r="D2559" s="1" t="s">
        <v>4517</v>
      </c>
      <c r="F2559" s="1">
        <v>2023</v>
      </c>
      <c r="G2559" s="5">
        <v>5</v>
      </c>
      <c r="H2559" s="5">
        <v>3.36</v>
      </c>
      <c r="I2559" s="5">
        <v>114.37</v>
      </c>
      <c r="K2559" s="5">
        <v>0</v>
      </c>
      <c r="L2559" s="5">
        <v>1E-3</v>
      </c>
      <c r="M2559" s="5">
        <v>72.238</v>
      </c>
      <c r="N2559" s="6">
        <v>5.9200000000000003E-2</v>
      </c>
      <c r="O2559" s="5">
        <v>1.4E-2</v>
      </c>
      <c r="P2559" s="6">
        <v>2.5000000000000001E-2</v>
      </c>
      <c r="Q2559" s="5">
        <v>1215.5160000000001</v>
      </c>
      <c r="R2559" s="1" t="s">
        <v>44</v>
      </c>
      <c r="T2559" s="1" t="s">
        <v>93</v>
      </c>
      <c r="V2559" s="1" t="s">
        <v>140</v>
      </c>
      <c r="Y2559" s="1" t="s">
        <v>461</v>
      </c>
      <c r="Z2559" s="1" t="str">
        <f t="shared" si="117"/>
        <v>55202 CT06</v>
      </c>
      <c r="AA2559" s="3">
        <f>IF(INDEX('CAMD Facility Data 2023'!$AA$2:$AE$10000,MATCH(Z2559,'CAMD Facility Data 2023'!$AE$2:$AE$10000,0),1)&gt;0,INDEX('CAMD Facility Data 2023'!$AA$2:$AE$10000,MATCH(Z2559,'CAMD Facility Data 2023'!$AE$2:$AE$10000,0),1),"")</f>
        <v>37048</v>
      </c>
      <c r="AB2559" s="5">
        <f>IF(INDEX('CAMD Facility Data 2023'!$AC$2:$AE$10000,MATCH(Z2559,'CAMD Facility Data 2023'!$AE$2:$AE$10000,0),1)&gt;0,INDEX('CAMD Facility Data 2023'!$AC$2:$AE$10000,MATCH(Z2559,'CAMD Facility Data 2023'!$AE$2:$AE$10000,0),1),"")</f>
        <v>553</v>
      </c>
      <c r="AC2559" s="1" t="str">
        <f>IF(INDEX('CAMD Facility Data 2023'!$AE$2:$AG$10000,MATCH(Z2559,'CAMD Facility Data 2023'!$AE$2:$AE$10000,0),3)&gt;0,INDEX('CAMD Facility Data 2023'!$AE$2:$AG$10000,MATCH(Z2559,'CAMD Facility Data 2023'!$AE$2:$AE$10000,0),3),"")</f>
        <v/>
      </c>
      <c r="AD2559" s="20">
        <f t="shared" si="118"/>
        <v>0.2448194456588266</v>
      </c>
      <c r="AE2559" s="25">
        <f t="shared" si="119"/>
        <v>2.5091778344769503E-4</v>
      </c>
    </row>
    <row r="2560" spans="1:31" x14ac:dyDescent="0.2">
      <c r="A2560" s="1" t="s">
        <v>458</v>
      </c>
      <c r="B2560" s="1" t="s">
        <v>5958</v>
      </c>
      <c r="C2560" s="1">
        <v>55202</v>
      </c>
      <c r="D2560" s="1" t="s">
        <v>5961</v>
      </c>
      <c r="F2560" s="1">
        <v>2023</v>
      </c>
      <c r="G2560" s="5">
        <v>5</v>
      </c>
      <c r="H2560" s="5">
        <v>3.38</v>
      </c>
      <c r="I2560" s="5">
        <v>108.92</v>
      </c>
      <c r="K2560" s="5">
        <v>0</v>
      </c>
      <c r="L2560" s="5">
        <v>1E-3</v>
      </c>
      <c r="M2560" s="5">
        <v>77.933000000000007</v>
      </c>
      <c r="N2560" s="6">
        <v>5.9200000000000003E-2</v>
      </c>
      <c r="O2560" s="5">
        <v>2.1000000000000001E-2</v>
      </c>
      <c r="P2560" s="6">
        <v>3.44E-2</v>
      </c>
      <c r="Q2560" s="5">
        <v>1310.328</v>
      </c>
      <c r="R2560" s="1" t="s">
        <v>44</v>
      </c>
      <c r="T2560" s="1" t="s">
        <v>93</v>
      </c>
      <c r="V2560" s="1" t="s">
        <v>140</v>
      </c>
      <c r="Y2560" s="1" t="s">
        <v>461</v>
      </c>
      <c r="Z2560" s="1" t="str">
        <f t="shared" si="117"/>
        <v>55202 CT07</v>
      </c>
      <c r="AA2560" s="3">
        <f>IF(INDEX('CAMD Facility Data 2023'!$AA$2:$AE$10000,MATCH(Z2560,'CAMD Facility Data 2023'!$AE$2:$AE$10000,0),1)&gt;0,INDEX('CAMD Facility Data 2023'!$AA$2:$AE$10000,MATCH(Z2560,'CAMD Facility Data 2023'!$AE$2:$AE$10000,0),1),"")</f>
        <v>37065</v>
      </c>
      <c r="AB2560" s="5">
        <f>IF(INDEX('CAMD Facility Data 2023'!$AC$2:$AE$10000,MATCH(Z2560,'CAMD Facility Data 2023'!$AE$2:$AE$10000,0),1)&gt;0,INDEX('CAMD Facility Data 2023'!$AC$2:$AE$10000,MATCH(Z2560,'CAMD Facility Data 2023'!$AE$2:$AE$10000,0),1),"")</f>
        <v>553</v>
      </c>
      <c r="AC2560" s="1" t="str">
        <f>IF(INDEX('CAMD Facility Data 2023'!$AE$2:$AG$10000,MATCH(Z2560,'CAMD Facility Data 2023'!$AE$2:$AE$10000,0),3)&gt;0,INDEX('CAMD Facility Data 2023'!$AE$2:$AG$10000,MATCH(Z2560,'CAMD Facility Data 2023'!$AE$2:$AE$10000,0),3),"")</f>
        <v/>
      </c>
      <c r="AD2560" s="20">
        <f t="shared" si="118"/>
        <v>0.38560411311053983</v>
      </c>
      <c r="AE2560" s="25">
        <f t="shared" si="119"/>
        <v>2.7048973222026804E-4</v>
      </c>
    </row>
    <row r="2561" spans="1:31" x14ac:dyDescent="0.2">
      <c r="A2561" s="1" t="s">
        <v>458</v>
      </c>
      <c r="B2561" s="1" t="s">
        <v>5958</v>
      </c>
      <c r="C2561" s="1">
        <v>55202</v>
      </c>
      <c r="D2561" s="1" t="s">
        <v>5962</v>
      </c>
      <c r="F2561" s="1">
        <v>2023</v>
      </c>
      <c r="G2561" s="5">
        <v>5</v>
      </c>
      <c r="H2561" s="5">
        <v>3.4</v>
      </c>
      <c r="I2561" s="5">
        <v>107</v>
      </c>
      <c r="K2561" s="5">
        <v>0</v>
      </c>
      <c r="L2561" s="5">
        <v>1E-3</v>
      </c>
      <c r="M2561" s="5">
        <v>70.31</v>
      </c>
      <c r="N2561" s="6">
        <v>5.9200000000000003E-2</v>
      </c>
      <c r="O2561" s="5">
        <v>2.8000000000000001E-2</v>
      </c>
      <c r="P2561" s="6">
        <v>4.36E-2</v>
      </c>
      <c r="Q2561" s="5">
        <v>1183.105</v>
      </c>
      <c r="R2561" s="1" t="s">
        <v>44</v>
      </c>
      <c r="T2561" s="1" t="s">
        <v>93</v>
      </c>
      <c r="V2561" s="1" t="s">
        <v>140</v>
      </c>
      <c r="Y2561" s="1" t="s">
        <v>461</v>
      </c>
      <c r="Z2561" s="1" t="str">
        <f t="shared" si="117"/>
        <v>55202 CT08</v>
      </c>
      <c r="AA2561" s="3">
        <f>IF(INDEX('CAMD Facility Data 2023'!$AA$2:$AE$10000,MATCH(Z2561,'CAMD Facility Data 2023'!$AE$2:$AE$10000,0),1)&gt;0,INDEX('CAMD Facility Data 2023'!$AA$2:$AE$10000,MATCH(Z2561,'CAMD Facility Data 2023'!$AE$2:$AE$10000,0),1),"")</f>
        <v>37095</v>
      </c>
      <c r="AB2561" s="5">
        <f>IF(INDEX('CAMD Facility Data 2023'!$AC$2:$AE$10000,MATCH(Z2561,'CAMD Facility Data 2023'!$AE$2:$AE$10000,0),1)&gt;0,INDEX('CAMD Facility Data 2023'!$AC$2:$AE$10000,MATCH(Z2561,'CAMD Facility Data 2023'!$AE$2:$AE$10000,0),1),"")</f>
        <v>553</v>
      </c>
      <c r="AC2561" s="1" t="str">
        <f>IF(INDEX('CAMD Facility Data 2023'!$AE$2:$AG$10000,MATCH(Z2561,'CAMD Facility Data 2023'!$AE$2:$AE$10000,0),3)&gt;0,INDEX('CAMD Facility Data 2023'!$AE$2:$AG$10000,MATCH(Z2561,'CAMD Facility Data 2023'!$AE$2:$AE$10000,0),3),"")</f>
        <v/>
      </c>
      <c r="AD2561" s="20">
        <f t="shared" si="118"/>
        <v>0.52336448598130836</v>
      </c>
      <c r="AE2561" s="25">
        <f t="shared" si="119"/>
        <v>2.4422721229986705E-4</v>
      </c>
    </row>
    <row r="2562" spans="1:31" x14ac:dyDescent="0.2">
      <c r="A2562" s="1" t="s">
        <v>458</v>
      </c>
      <c r="B2562" s="1" t="s">
        <v>5964</v>
      </c>
      <c r="C2562" s="1">
        <v>55204</v>
      </c>
      <c r="D2562" s="1" t="s">
        <v>5965</v>
      </c>
      <c r="F2562" s="1">
        <v>2023</v>
      </c>
      <c r="G2562" s="5">
        <v>44</v>
      </c>
      <c r="H2562" s="5">
        <v>36.9</v>
      </c>
      <c r="I2562" s="5">
        <v>2792.61</v>
      </c>
      <c r="K2562" s="5">
        <v>0.01</v>
      </c>
      <c r="L2562" s="5">
        <v>1E-3</v>
      </c>
      <c r="M2562" s="5">
        <v>1956.297</v>
      </c>
      <c r="N2562" s="6">
        <v>5.8999999999999997E-2</v>
      </c>
      <c r="O2562" s="5">
        <v>1.1060000000000001</v>
      </c>
      <c r="P2562" s="6">
        <v>8.1299999999999997E-2</v>
      </c>
      <c r="Q2562" s="5">
        <v>32913.461000000003</v>
      </c>
      <c r="R2562" s="1" t="s">
        <v>44</v>
      </c>
      <c r="S2562" s="1" t="s">
        <v>94</v>
      </c>
      <c r="T2562" s="1" t="s">
        <v>93</v>
      </c>
      <c r="V2562" s="1" t="s">
        <v>183</v>
      </c>
      <c r="Y2562" s="1" t="s">
        <v>461</v>
      </c>
      <c r="Z2562" s="1" t="str">
        <f t="shared" si="117"/>
        <v>55204 KCTG1</v>
      </c>
      <c r="AA2562" s="3">
        <f>IF(INDEX('CAMD Facility Data 2023'!$AA$2:$AE$10000,MATCH(Z2562,'CAMD Facility Data 2023'!$AE$2:$AE$10000,0),1)&gt;0,INDEX('CAMD Facility Data 2023'!$AA$2:$AE$10000,MATCH(Z2562,'CAMD Facility Data 2023'!$AE$2:$AE$10000,0),1),"")</f>
        <v>36985</v>
      </c>
      <c r="AB2562" s="5">
        <f>IF(INDEX('CAMD Facility Data 2023'!$AC$2:$AE$10000,MATCH(Z2562,'CAMD Facility Data 2023'!$AE$2:$AE$10000,0),1)&gt;0,INDEX('CAMD Facility Data 2023'!$AC$2:$AE$10000,MATCH(Z2562,'CAMD Facility Data 2023'!$AE$2:$AE$10000,0),1),"")</f>
        <v>1459</v>
      </c>
      <c r="AC2562" s="1" t="str">
        <f>IF(INDEX('CAMD Facility Data 2023'!$AE$2:$AG$10000,MATCH(Z2562,'CAMD Facility Data 2023'!$AE$2:$AE$10000,0),3)&gt;0,INDEX('CAMD Facility Data 2023'!$AE$2:$AG$10000,MATCH(Z2562,'CAMD Facility Data 2023'!$AE$2:$AE$10000,0),3),"")</f>
        <v/>
      </c>
      <c r="AD2562" s="20">
        <f t="shared" si="118"/>
        <v>0.79209055328169697</v>
      </c>
      <c r="AE2562" s="25">
        <f t="shared" si="119"/>
        <v>2.5752189214480426E-3</v>
      </c>
    </row>
    <row r="2563" spans="1:31" x14ac:dyDescent="0.2">
      <c r="A2563" s="1" t="s">
        <v>458</v>
      </c>
      <c r="B2563" s="1" t="s">
        <v>5964</v>
      </c>
      <c r="C2563" s="1">
        <v>55204</v>
      </c>
      <c r="D2563" s="1" t="s">
        <v>5967</v>
      </c>
      <c r="F2563" s="1">
        <v>2023</v>
      </c>
      <c r="G2563" s="5">
        <v>40</v>
      </c>
      <c r="H2563" s="5">
        <v>31.23</v>
      </c>
      <c r="I2563" s="5">
        <v>2349.75</v>
      </c>
      <c r="K2563" s="5">
        <v>8.9999999999999993E-3</v>
      </c>
      <c r="L2563" s="5">
        <v>1E-3</v>
      </c>
      <c r="M2563" s="5">
        <v>1654.316</v>
      </c>
      <c r="N2563" s="6">
        <v>5.8999999999999997E-2</v>
      </c>
      <c r="O2563" s="5">
        <v>1.0109999999999999</v>
      </c>
      <c r="P2563" s="6">
        <v>8.7900000000000006E-2</v>
      </c>
      <c r="Q2563" s="5">
        <v>27833.514999999999</v>
      </c>
      <c r="R2563" s="1" t="s">
        <v>44</v>
      </c>
      <c r="S2563" s="1" t="s">
        <v>94</v>
      </c>
      <c r="T2563" s="1" t="s">
        <v>93</v>
      </c>
      <c r="V2563" s="1" t="s">
        <v>183</v>
      </c>
      <c r="Y2563" s="1" t="s">
        <v>461</v>
      </c>
      <c r="Z2563" s="1" t="str">
        <f t="shared" ref="Z2563:Z2626" si="120">C2563&amp;" "&amp;D2563</f>
        <v>55204 KCTG2</v>
      </c>
      <c r="AA2563" s="3">
        <f>IF(INDEX('CAMD Facility Data 2023'!$AA$2:$AE$10000,MATCH(Z2563,'CAMD Facility Data 2023'!$AE$2:$AE$10000,0),1)&gt;0,INDEX('CAMD Facility Data 2023'!$AA$2:$AE$10000,MATCH(Z2563,'CAMD Facility Data 2023'!$AE$2:$AE$10000,0),1),"")</f>
        <v>37035</v>
      </c>
      <c r="AB2563" s="5">
        <f>IF(INDEX('CAMD Facility Data 2023'!$AC$2:$AE$10000,MATCH(Z2563,'CAMD Facility Data 2023'!$AE$2:$AE$10000,0),1)&gt;0,INDEX('CAMD Facility Data 2023'!$AC$2:$AE$10000,MATCH(Z2563,'CAMD Facility Data 2023'!$AE$2:$AE$10000,0),1),"")</f>
        <v>1459</v>
      </c>
      <c r="AC2563" s="1" t="str">
        <f>IF(INDEX('CAMD Facility Data 2023'!$AE$2:$AG$10000,MATCH(Z2563,'CAMD Facility Data 2023'!$AE$2:$AE$10000,0),3)&gt;0,INDEX('CAMD Facility Data 2023'!$AE$2:$AG$10000,MATCH(Z2563,'CAMD Facility Data 2023'!$AE$2:$AE$10000,0),3),"")</f>
        <v/>
      </c>
      <c r="AD2563" s="20">
        <f t="shared" ref="AD2563:AD2626" si="121">IF(ISNUMBER(O2563*2000/I2563),O2563*2000/I2563,"")</f>
        <v>0.86051707628471108</v>
      </c>
      <c r="AE2563" s="25">
        <f t="shared" ref="AE2563:AE2626" si="122">Q2563/(AB2563*8760)</f>
        <v>2.1777531836718088E-3</v>
      </c>
    </row>
    <row r="2564" spans="1:31" x14ac:dyDescent="0.2">
      <c r="A2564" s="1" t="s">
        <v>383</v>
      </c>
      <c r="B2564" s="1" t="s">
        <v>5968</v>
      </c>
      <c r="C2564" s="1">
        <v>55206</v>
      </c>
      <c r="D2564" s="1" t="s">
        <v>5969</v>
      </c>
      <c r="F2564" s="1">
        <v>2023</v>
      </c>
      <c r="G2564" s="5">
        <v>6557</v>
      </c>
      <c r="H2564" s="5">
        <v>6530.19</v>
      </c>
      <c r="I2564" s="5">
        <v>1415486.81</v>
      </c>
      <c r="K2564" s="5">
        <v>3.2320000000000002</v>
      </c>
      <c r="L2564" s="5">
        <v>1E-3</v>
      </c>
      <c r="M2564" s="5">
        <v>640146.86300000001</v>
      </c>
      <c r="N2564" s="6">
        <v>5.8999999999999997E-2</v>
      </c>
      <c r="O2564" s="5">
        <v>189.78200000000001</v>
      </c>
      <c r="P2564" s="6">
        <v>3.5499999999999997E-2</v>
      </c>
      <c r="Q2564" s="5">
        <v>10771678.021</v>
      </c>
      <c r="R2564" s="1" t="s">
        <v>44</v>
      </c>
      <c r="T2564" s="1" t="s">
        <v>71</v>
      </c>
      <c r="V2564" s="1" t="s">
        <v>140</v>
      </c>
      <c r="Y2564" s="1" t="s">
        <v>346</v>
      </c>
      <c r="Z2564" s="1" t="str">
        <f t="shared" si="120"/>
        <v>55206 CU1</v>
      </c>
      <c r="AA2564" s="3">
        <f>IF(INDEX('CAMD Facility Data 2023'!$AA$2:$AE$10000,MATCH(Z2564,'CAMD Facility Data 2023'!$AE$2:$AE$10000,0),1)&gt;0,INDEX('CAMD Facility Data 2023'!$AA$2:$AE$10000,MATCH(Z2564,'CAMD Facility Data 2023'!$AE$2:$AE$10000,0),1),"")</f>
        <v>37165</v>
      </c>
      <c r="AB2564" s="5">
        <f>IF(INDEX('CAMD Facility Data 2023'!$AC$2:$AE$10000,MATCH(Z2564,'CAMD Facility Data 2023'!$AE$2:$AE$10000,0),1)&gt;0,INDEX('CAMD Facility Data 2023'!$AC$2:$AE$10000,MATCH(Z2564,'CAMD Facility Data 2023'!$AE$2:$AE$10000,0),1),"")</f>
        <v>2500</v>
      </c>
      <c r="AC2564" s="1" t="str">
        <f>IF(INDEX('CAMD Facility Data 2023'!$AE$2:$AG$10000,MATCH(Z2564,'CAMD Facility Data 2023'!$AE$2:$AE$10000,0),3)&gt;0,INDEX('CAMD Facility Data 2023'!$AE$2:$AG$10000,MATCH(Z2564,'CAMD Facility Data 2023'!$AE$2:$AE$10000,0),3),"")</f>
        <v/>
      </c>
      <c r="AD2564" s="20">
        <f t="shared" si="121"/>
        <v>0.26815085617081802</v>
      </c>
      <c r="AE2564" s="25">
        <f t="shared" si="122"/>
        <v>0.4918574438812785</v>
      </c>
    </row>
    <row r="2565" spans="1:31" x14ac:dyDescent="0.2">
      <c r="A2565" s="1" t="s">
        <v>383</v>
      </c>
      <c r="B2565" s="1" t="s">
        <v>5968</v>
      </c>
      <c r="C2565" s="1">
        <v>55206</v>
      </c>
      <c r="D2565" s="1" t="s">
        <v>5972</v>
      </c>
      <c r="F2565" s="1">
        <v>2023</v>
      </c>
      <c r="G2565" s="5">
        <v>7863</v>
      </c>
      <c r="H2565" s="5">
        <v>7847.58</v>
      </c>
      <c r="I2565" s="5">
        <v>1734844.48</v>
      </c>
      <c r="K2565" s="5">
        <v>3.9809999999999999</v>
      </c>
      <c r="L2565" s="5">
        <v>1E-3</v>
      </c>
      <c r="M2565" s="5">
        <v>788525.66299999994</v>
      </c>
      <c r="N2565" s="6">
        <v>5.8999999999999997E-2</v>
      </c>
      <c r="O2565" s="5">
        <v>256.64499999999998</v>
      </c>
      <c r="P2565" s="6">
        <v>3.8600000000000002E-2</v>
      </c>
      <c r="Q2565" s="5">
        <v>13268546.773</v>
      </c>
      <c r="R2565" s="1" t="s">
        <v>44</v>
      </c>
      <c r="T2565" s="1" t="s">
        <v>71</v>
      </c>
      <c r="V2565" s="1" t="s">
        <v>140</v>
      </c>
      <c r="Y2565" s="1" t="s">
        <v>346</v>
      </c>
      <c r="Z2565" s="1" t="str">
        <f t="shared" si="120"/>
        <v>55206 CU2</v>
      </c>
      <c r="AA2565" s="3">
        <f>IF(INDEX('CAMD Facility Data 2023'!$AA$2:$AE$10000,MATCH(Z2565,'CAMD Facility Data 2023'!$AE$2:$AE$10000,0),1)&gt;0,INDEX('CAMD Facility Data 2023'!$AA$2:$AE$10000,MATCH(Z2565,'CAMD Facility Data 2023'!$AE$2:$AE$10000,0),1),"")</f>
        <v>37165</v>
      </c>
      <c r="AB2565" s="5">
        <f>IF(INDEX('CAMD Facility Data 2023'!$AC$2:$AE$10000,MATCH(Z2565,'CAMD Facility Data 2023'!$AE$2:$AE$10000,0),1)&gt;0,INDEX('CAMD Facility Data 2023'!$AC$2:$AE$10000,MATCH(Z2565,'CAMD Facility Data 2023'!$AE$2:$AE$10000,0),1),"")</f>
        <v>2510</v>
      </c>
      <c r="AC2565" s="1" t="str">
        <f>IF(INDEX('CAMD Facility Data 2023'!$AE$2:$AG$10000,MATCH(Z2565,'CAMD Facility Data 2023'!$AE$2:$AE$10000,0),3)&gt;0,INDEX('CAMD Facility Data 2023'!$AE$2:$AG$10000,MATCH(Z2565,'CAMD Facility Data 2023'!$AE$2:$AE$10000,0),3),"")</f>
        <v/>
      </c>
      <c r="AD2565" s="20">
        <f t="shared" si="121"/>
        <v>0.29587090135018901</v>
      </c>
      <c r="AE2565" s="25">
        <f t="shared" si="122"/>
        <v>0.60345589209372552</v>
      </c>
    </row>
    <row r="2566" spans="1:31" x14ac:dyDescent="0.2">
      <c r="A2566" s="1" t="s">
        <v>516</v>
      </c>
      <c r="B2566" s="1" t="s">
        <v>5974</v>
      </c>
      <c r="C2566" s="1">
        <v>55207</v>
      </c>
      <c r="D2566" s="1" t="s">
        <v>109</v>
      </c>
      <c r="F2566" s="1">
        <v>2023</v>
      </c>
      <c r="G2566" s="5">
        <v>661</v>
      </c>
      <c r="H2566" s="5">
        <v>559.49</v>
      </c>
      <c r="I2566" s="5">
        <v>12317.1</v>
      </c>
      <c r="K2566" s="5">
        <v>4.2999999999999997E-2</v>
      </c>
      <c r="L2566" s="5">
        <v>1E-3</v>
      </c>
      <c r="M2566" s="5">
        <v>8420.3580000000002</v>
      </c>
      <c r="N2566" s="6">
        <v>5.6599999999999998E-2</v>
      </c>
      <c r="O2566" s="5">
        <v>7.6710000000000003</v>
      </c>
      <c r="P2566" s="6">
        <v>0.1197</v>
      </c>
      <c r="Q2566" s="5">
        <v>141691.72099999999</v>
      </c>
      <c r="R2566" s="1" t="s">
        <v>44</v>
      </c>
      <c r="T2566" s="1" t="s">
        <v>93</v>
      </c>
      <c r="V2566" s="1" t="s">
        <v>95</v>
      </c>
      <c r="Y2566" s="1" t="s">
        <v>247</v>
      </c>
      <c r="Z2566" s="1" t="str">
        <f t="shared" si="120"/>
        <v>55207 CT7</v>
      </c>
      <c r="AA2566" s="3">
        <f>IF(INDEX('CAMD Facility Data 2023'!$AA$2:$AE$10000,MATCH(Z2566,'CAMD Facility Data 2023'!$AE$2:$AE$10000,0),1)&gt;0,INDEX('CAMD Facility Data 2023'!$AA$2:$AE$10000,MATCH(Z2566,'CAMD Facility Data 2023'!$AE$2:$AE$10000,0),1),"")</f>
        <v>36672</v>
      </c>
      <c r="AB2566" s="5">
        <f>IF(INDEX('CAMD Facility Data 2023'!$AC$2:$AE$10000,MATCH(Z2566,'CAMD Facility Data 2023'!$AE$2:$AE$10000,0),1)&gt;0,INDEX('CAMD Facility Data 2023'!$AC$2:$AE$10000,MATCH(Z2566,'CAMD Facility Data 2023'!$AE$2:$AE$10000,0),1),"")</f>
        <v>425</v>
      </c>
      <c r="AC2566" s="1" t="str">
        <f>IF(INDEX('CAMD Facility Data 2023'!$AE$2:$AG$10000,MATCH(Z2566,'CAMD Facility Data 2023'!$AE$2:$AE$10000,0),3)&gt;0,INDEX('CAMD Facility Data 2023'!$AE$2:$AG$10000,MATCH(Z2566,'CAMD Facility Data 2023'!$AE$2:$AE$10000,0),3),"")</f>
        <v/>
      </c>
      <c r="AD2566" s="20">
        <f t="shared" si="121"/>
        <v>1.245585405655552</v>
      </c>
      <c r="AE2566" s="25">
        <f t="shared" si="122"/>
        <v>3.8058479989255975E-2</v>
      </c>
    </row>
    <row r="2567" spans="1:31" x14ac:dyDescent="0.2">
      <c r="A2567" s="1" t="s">
        <v>516</v>
      </c>
      <c r="B2567" s="1" t="s">
        <v>5974</v>
      </c>
      <c r="C2567" s="1">
        <v>55207</v>
      </c>
      <c r="D2567" s="1" t="s">
        <v>111</v>
      </c>
      <c r="F2567" s="1">
        <v>2023</v>
      </c>
      <c r="G2567" s="5">
        <v>666</v>
      </c>
      <c r="H2567" s="5">
        <v>563.98</v>
      </c>
      <c r="I2567" s="5">
        <v>10763.74</v>
      </c>
      <c r="K2567" s="5">
        <v>4.2000000000000003E-2</v>
      </c>
      <c r="L2567" s="5">
        <v>1E-3</v>
      </c>
      <c r="M2567" s="5">
        <v>8263.1589999999997</v>
      </c>
      <c r="N2567" s="6">
        <v>5.9299999999999999E-2</v>
      </c>
      <c r="O2567" s="5">
        <v>7.2309999999999999</v>
      </c>
      <c r="P2567" s="6">
        <v>0.1159</v>
      </c>
      <c r="Q2567" s="5">
        <v>139057.024</v>
      </c>
      <c r="R2567" s="1" t="s">
        <v>44</v>
      </c>
      <c r="T2567" s="1" t="s">
        <v>93</v>
      </c>
      <c r="V2567" s="1" t="s">
        <v>95</v>
      </c>
      <c r="Y2567" s="1" t="s">
        <v>247</v>
      </c>
      <c r="Z2567" s="1" t="str">
        <f t="shared" si="120"/>
        <v>55207 CT8</v>
      </c>
      <c r="AA2567" s="3">
        <f>IF(INDEX('CAMD Facility Data 2023'!$AA$2:$AE$10000,MATCH(Z2567,'CAMD Facility Data 2023'!$AE$2:$AE$10000,0),1)&gt;0,INDEX('CAMD Facility Data 2023'!$AA$2:$AE$10000,MATCH(Z2567,'CAMD Facility Data 2023'!$AE$2:$AE$10000,0),1),"")</f>
        <v>37079</v>
      </c>
      <c r="AB2567" s="5">
        <f>IF(INDEX('CAMD Facility Data 2023'!$AC$2:$AE$10000,MATCH(Z2567,'CAMD Facility Data 2023'!$AE$2:$AE$10000,0),1)&gt;0,INDEX('CAMD Facility Data 2023'!$AC$2:$AE$10000,MATCH(Z2567,'CAMD Facility Data 2023'!$AE$2:$AE$10000,0),1),"")</f>
        <v>425</v>
      </c>
      <c r="AC2567" s="1" t="str">
        <f>IF(INDEX('CAMD Facility Data 2023'!$AE$2:$AG$10000,MATCH(Z2567,'CAMD Facility Data 2023'!$AE$2:$AE$10000,0),3)&gt;0,INDEX('CAMD Facility Data 2023'!$AE$2:$AG$10000,MATCH(Z2567,'CAMD Facility Data 2023'!$AE$2:$AE$10000,0),3),"")</f>
        <v/>
      </c>
      <c r="AD2567" s="20">
        <f t="shared" si="121"/>
        <v>1.3435850364278588</v>
      </c>
      <c r="AE2567" s="25">
        <f t="shared" si="122"/>
        <v>3.73507988181574E-2</v>
      </c>
    </row>
    <row r="2568" spans="1:31" x14ac:dyDescent="0.2">
      <c r="A2568" s="1" t="s">
        <v>2054</v>
      </c>
      <c r="B2568" s="1" t="s">
        <v>5980</v>
      </c>
      <c r="C2568" s="1">
        <v>55210</v>
      </c>
      <c r="D2568" s="1">
        <v>1</v>
      </c>
      <c r="F2568" s="1">
        <v>2023</v>
      </c>
      <c r="G2568" s="5">
        <v>7753</v>
      </c>
      <c r="H2568" s="5">
        <v>7594.39</v>
      </c>
      <c r="I2568" s="5">
        <v>1488127.8</v>
      </c>
      <c r="K2568" s="5">
        <v>3.1890000000000001</v>
      </c>
      <c r="L2568" s="5">
        <v>1E-3</v>
      </c>
      <c r="M2568" s="5">
        <v>631597.33200000005</v>
      </c>
      <c r="N2568" s="6">
        <v>5.8999999999999997E-2</v>
      </c>
      <c r="O2568" s="5">
        <v>83.353999999999999</v>
      </c>
      <c r="P2568" s="6">
        <v>2.0299999999999999E-2</v>
      </c>
      <c r="Q2568" s="5">
        <v>10627917.971999999</v>
      </c>
      <c r="R2568" s="1" t="s">
        <v>44</v>
      </c>
      <c r="S2568" s="1" t="s">
        <v>94</v>
      </c>
      <c r="T2568" s="1" t="s">
        <v>71</v>
      </c>
      <c r="V2568" s="1" t="s">
        <v>3404</v>
      </c>
      <c r="Y2568" s="1" t="s">
        <v>247</v>
      </c>
      <c r="Z2568" s="1" t="str">
        <f t="shared" si="120"/>
        <v>55210 1</v>
      </c>
      <c r="AA2568" s="3">
        <f>IF(INDEX('CAMD Facility Data 2023'!$AA$2:$AE$10000,MATCH(Z2568,'CAMD Facility Data 2023'!$AE$2:$AE$10000,0),1)&gt;0,INDEX('CAMD Facility Data 2023'!$AA$2:$AE$10000,MATCH(Z2568,'CAMD Facility Data 2023'!$AE$2:$AE$10000,0),1),"")</f>
        <v>37543</v>
      </c>
      <c r="AB2568" s="5">
        <f>IF(INDEX('CAMD Facility Data 2023'!$AC$2:$AE$10000,MATCH(Z2568,'CAMD Facility Data 2023'!$AE$2:$AE$10000,0),1)&gt;0,INDEX('CAMD Facility Data 2023'!$AC$2:$AE$10000,MATCH(Z2568,'CAMD Facility Data 2023'!$AE$2:$AE$10000,0),1),"")</f>
        <v>1853.8</v>
      </c>
      <c r="AC2568" s="1" t="str">
        <f>IF(INDEX('CAMD Facility Data 2023'!$AE$2:$AG$10000,MATCH(Z2568,'CAMD Facility Data 2023'!$AE$2:$AE$10000,0),3)&gt;0,INDEX('CAMD Facility Data 2023'!$AE$2:$AG$10000,MATCH(Z2568,'CAMD Facility Data 2023'!$AE$2:$AE$10000,0),3),"")</f>
        <v>Y</v>
      </c>
      <c r="AD2568" s="20">
        <f t="shared" si="121"/>
        <v>0.1120253247066549</v>
      </c>
      <c r="AE2568" s="25">
        <f t="shared" si="122"/>
        <v>0.65445713950020468</v>
      </c>
    </row>
    <row r="2569" spans="1:31" x14ac:dyDescent="0.2">
      <c r="A2569" s="1" t="s">
        <v>1568</v>
      </c>
      <c r="B2569" s="1" t="s">
        <v>5982</v>
      </c>
      <c r="C2569" s="1">
        <v>55211</v>
      </c>
      <c r="D2569" s="1">
        <v>1</v>
      </c>
      <c r="F2569" s="1">
        <v>2023</v>
      </c>
      <c r="G2569" s="5">
        <v>8010</v>
      </c>
      <c r="H2569" s="5">
        <v>7987.24</v>
      </c>
      <c r="I2569" s="5">
        <v>1003031.38</v>
      </c>
      <c r="K2569" s="5">
        <v>3.3679999999999999</v>
      </c>
      <c r="L2569" s="5">
        <v>1E-3</v>
      </c>
      <c r="M2569" s="5">
        <v>667211.98199999996</v>
      </c>
      <c r="N2569" s="6">
        <v>5.8999999999999997E-2</v>
      </c>
      <c r="O2569" s="5">
        <v>36.283999999999999</v>
      </c>
      <c r="P2569" s="6">
        <v>7.9000000000000008E-3</v>
      </c>
      <c r="Q2569" s="5">
        <v>11227142.176000001</v>
      </c>
      <c r="R2569" s="1" t="s">
        <v>44</v>
      </c>
      <c r="T2569" s="1" t="s">
        <v>71</v>
      </c>
      <c r="V2569" s="1" t="s">
        <v>64</v>
      </c>
      <c r="Y2569" s="1" t="s">
        <v>579</v>
      </c>
      <c r="Z2569" s="1" t="str">
        <f t="shared" si="120"/>
        <v>55211 1</v>
      </c>
      <c r="AA2569" s="3">
        <f>IF(INDEX('CAMD Facility Data 2023'!$AA$2:$AE$10000,MATCH(Z2569,'CAMD Facility Data 2023'!$AE$2:$AE$10000,0),1)&gt;0,INDEX('CAMD Facility Data 2023'!$AA$2:$AE$10000,MATCH(Z2569,'CAMD Facility Data 2023'!$AE$2:$AE$10000,0),1),"")</f>
        <v>37426</v>
      </c>
      <c r="AB2569" s="5">
        <f>IF(INDEX('CAMD Facility Data 2023'!$AC$2:$AE$10000,MATCH(Z2569,'CAMD Facility Data 2023'!$AE$2:$AE$10000,0),1)&gt;0,INDEX('CAMD Facility Data 2023'!$AC$2:$AE$10000,MATCH(Z2569,'CAMD Facility Data 2023'!$AE$2:$AE$10000,0),1),"")</f>
        <v>2184</v>
      </c>
      <c r="AC2569" s="1" t="str">
        <f>IF(INDEX('CAMD Facility Data 2023'!$AE$2:$AG$10000,MATCH(Z2569,'CAMD Facility Data 2023'!$AE$2:$AE$10000,0),3)&gt;0,INDEX('CAMD Facility Data 2023'!$AE$2:$AG$10000,MATCH(Z2569,'CAMD Facility Data 2023'!$AE$2:$AE$10000,0),3),"")</f>
        <v>Y</v>
      </c>
      <c r="AD2569" s="20">
        <f t="shared" si="121"/>
        <v>7.2348683647365047E-2</v>
      </c>
      <c r="AE2569" s="25">
        <f t="shared" si="122"/>
        <v>0.58683023566996173</v>
      </c>
    </row>
    <row r="2570" spans="1:31" x14ac:dyDescent="0.2">
      <c r="A2570" s="1" t="s">
        <v>1568</v>
      </c>
      <c r="B2570" s="1" t="s">
        <v>5982</v>
      </c>
      <c r="C2570" s="1">
        <v>55211</v>
      </c>
      <c r="D2570" s="1">
        <v>2</v>
      </c>
      <c r="F2570" s="1">
        <v>2023</v>
      </c>
      <c r="G2570" s="5">
        <v>8001</v>
      </c>
      <c r="H2570" s="5">
        <v>7970.7</v>
      </c>
      <c r="I2570" s="5">
        <v>1002130.55</v>
      </c>
      <c r="K2570" s="5">
        <v>3.399</v>
      </c>
      <c r="L2570" s="5">
        <v>1E-3</v>
      </c>
      <c r="M2570" s="5">
        <v>673262.84400000004</v>
      </c>
      <c r="N2570" s="6">
        <v>5.8999999999999997E-2</v>
      </c>
      <c r="O2570" s="5">
        <v>38.482999999999997</v>
      </c>
      <c r="P2570" s="6">
        <v>9.1000000000000004E-3</v>
      </c>
      <c r="Q2570" s="5">
        <v>11328903.174000001</v>
      </c>
      <c r="R2570" s="1" t="s">
        <v>44</v>
      </c>
      <c r="T2570" s="1" t="s">
        <v>71</v>
      </c>
      <c r="V2570" s="1" t="s">
        <v>64</v>
      </c>
      <c r="Y2570" s="1" t="s">
        <v>579</v>
      </c>
      <c r="Z2570" s="1" t="str">
        <f t="shared" si="120"/>
        <v>55211 2</v>
      </c>
      <c r="AA2570" s="3">
        <f>IF(INDEX('CAMD Facility Data 2023'!$AA$2:$AE$10000,MATCH(Z2570,'CAMD Facility Data 2023'!$AE$2:$AE$10000,0),1)&gt;0,INDEX('CAMD Facility Data 2023'!$AA$2:$AE$10000,MATCH(Z2570,'CAMD Facility Data 2023'!$AE$2:$AE$10000,0),1),"")</f>
        <v>37492</v>
      </c>
      <c r="AB2570" s="5">
        <f>IF(INDEX('CAMD Facility Data 2023'!$AC$2:$AE$10000,MATCH(Z2570,'CAMD Facility Data 2023'!$AE$2:$AE$10000,0),1)&gt;0,INDEX('CAMD Facility Data 2023'!$AC$2:$AE$10000,MATCH(Z2570,'CAMD Facility Data 2023'!$AE$2:$AE$10000,0),1),"")</f>
        <v>2184</v>
      </c>
      <c r="AC2570" s="1" t="str">
        <f>IF(INDEX('CAMD Facility Data 2023'!$AE$2:$AG$10000,MATCH(Z2570,'CAMD Facility Data 2023'!$AE$2:$AE$10000,0),3)&gt;0,INDEX('CAMD Facility Data 2023'!$AE$2:$AG$10000,MATCH(Z2570,'CAMD Facility Data 2023'!$AE$2:$AE$10000,0),3),"")</f>
        <v>Y</v>
      </c>
      <c r="AD2570" s="20">
        <f t="shared" si="121"/>
        <v>7.6802368713337801E-2</v>
      </c>
      <c r="AE2570" s="25">
        <f t="shared" si="122"/>
        <v>0.59214916986552268</v>
      </c>
    </row>
    <row r="2571" spans="1:31" x14ac:dyDescent="0.2">
      <c r="A2571" s="1" t="s">
        <v>1568</v>
      </c>
      <c r="B2571" s="1" t="s">
        <v>5986</v>
      </c>
      <c r="C2571" s="1">
        <v>55212</v>
      </c>
      <c r="D2571" s="1">
        <v>1</v>
      </c>
      <c r="F2571" s="1">
        <v>2023</v>
      </c>
      <c r="G2571" s="5">
        <v>7182</v>
      </c>
      <c r="H2571" s="5">
        <v>7147.37</v>
      </c>
      <c r="I2571" s="5">
        <v>900721.58</v>
      </c>
      <c r="K2571" s="5">
        <v>2.9020000000000001</v>
      </c>
      <c r="L2571" s="5">
        <v>1E-3</v>
      </c>
      <c r="M2571" s="5">
        <v>574869.39599999995</v>
      </c>
      <c r="N2571" s="6">
        <v>5.8999999999999997E-2</v>
      </c>
      <c r="O2571" s="5">
        <v>33.518999999999998</v>
      </c>
      <c r="P2571" s="6">
        <v>9.4999999999999998E-3</v>
      </c>
      <c r="Q2571" s="5">
        <v>9673435.2919999994</v>
      </c>
      <c r="R2571" s="1" t="s">
        <v>44</v>
      </c>
      <c r="T2571" s="1" t="s">
        <v>71</v>
      </c>
      <c r="V2571" s="1" t="s">
        <v>64</v>
      </c>
      <c r="Y2571" s="1" t="s">
        <v>579</v>
      </c>
      <c r="Z2571" s="1" t="str">
        <f t="shared" si="120"/>
        <v>55212 1</v>
      </c>
      <c r="AA2571" s="3">
        <f>IF(INDEX('CAMD Facility Data 2023'!$AA$2:$AE$10000,MATCH(Z2571,'CAMD Facility Data 2023'!$AE$2:$AE$10000,0),1)&gt;0,INDEX('CAMD Facility Data 2023'!$AA$2:$AE$10000,MATCH(Z2571,'CAMD Facility Data 2023'!$AE$2:$AE$10000,0),1),"")</f>
        <v>37006</v>
      </c>
      <c r="AB2571" s="5">
        <f>IF(INDEX('CAMD Facility Data 2023'!$AC$2:$AE$10000,MATCH(Z2571,'CAMD Facility Data 2023'!$AE$2:$AE$10000,0),1)&gt;0,INDEX('CAMD Facility Data 2023'!$AC$2:$AE$10000,MATCH(Z2571,'CAMD Facility Data 2023'!$AE$2:$AE$10000,0),1),"")</f>
        <v>2184</v>
      </c>
      <c r="AC2571" s="1" t="str">
        <f>IF(INDEX('CAMD Facility Data 2023'!$AE$2:$AG$10000,MATCH(Z2571,'CAMD Facility Data 2023'!$AE$2:$AE$10000,0),3)&gt;0,INDEX('CAMD Facility Data 2023'!$AE$2:$AG$10000,MATCH(Z2571,'CAMD Facility Data 2023'!$AE$2:$AE$10000,0),3),"")</f>
        <v>Y</v>
      </c>
      <c r="AD2571" s="20">
        <f t="shared" si="121"/>
        <v>7.4426994410414823E-2</v>
      </c>
      <c r="AE2571" s="25">
        <f t="shared" si="122"/>
        <v>0.50561970474350604</v>
      </c>
    </row>
    <row r="2572" spans="1:31" x14ac:dyDescent="0.2">
      <c r="A2572" s="1" t="s">
        <v>1568</v>
      </c>
      <c r="B2572" s="1" t="s">
        <v>5986</v>
      </c>
      <c r="C2572" s="1">
        <v>55212</v>
      </c>
      <c r="D2572" s="1">
        <v>2</v>
      </c>
      <c r="F2572" s="1">
        <v>2023</v>
      </c>
      <c r="G2572" s="5">
        <v>7453</v>
      </c>
      <c r="H2572" s="5">
        <v>7412.55</v>
      </c>
      <c r="I2572" s="5">
        <v>937773.28</v>
      </c>
      <c r="K2572" s="5">
        <v>3.1040000000000001</v>
      </c>
      <c r="L2572" s="5">
        <v>1E-3</v>
      </c>
      <c r="M2572" s="5">
        <v>614903.92000000004</v>
      </c>
      <c r="N2572" s="6">
        <v>5.8999999999999997E-2</v>
      </c>
      <c r="O2572" s="5">
        <v>36.401000000000003</v>
      </c>
      <c r="P2572" s="6">
        <v>1.01E-2</v>
      </c>
      <c r="Q2572" s="5">
        <v>10346978.982999999</v>
      </c>
      <c r="R2572" s="1" t="s">
        <v>44</v>
      </c>
      <c r="T2572" s="1" t="s">
        <v>71</v>
      </c>
      <c r="V2572" s="1" t="s">
        <v>64</v>
      </c>
      <c r="Y2572" s="1" t="s">
        <v>579</v>
      </c>
      <c r="Z2572" s="1" t="str">
        <f t="shared" si="120"/>
        <v>55212 2</v>
      </c>
      <c r="AA2572" s="3">
        <f>IF(INDEX('CAMD Facility Data 2023'!$AA$2:$AE$10000,MATCH(Z2572,'CAMD Facility Data 2023'!$AE$2:$AE$10000,0),1)&gt;0,INDEX('CAMD Facility Data 2023'!$AA$2:$AE$10000,MATCH(Z2572,'CAMD Facility Data 2023'!$AE$2:$AE$10000,0),1),"")</f>
        <v>37039</v>
      </c>
      <c r="AB2572" s="5">
        <f>IF(INDEX('CAMD Facility Data 2023'!$AC$2:$AE$10000,MATCH(Z2572,'CAMD Facility Data 2023'!$AE$2:$AE$10000,0),1)&gt;0,INDEX('CAMD Facility Data 2023'!$AC$2:$AE$10000,MATCH(Z2572,'CAMD Facility Data 2023'!$AE$2:$AE$10000,0),1),"")</f>
        <v>2184</v>
      </c>
      <c r="AC2572" s="1" t="str">
        <f>IF(INDEX('CAMD Facility Data 2023'!$AE$2:$AG$10000,MATCH(Z2572,'CAMD Facility Data 2023'!$AE$2:$AE$10000,0),3)&gt;0,INDEX('CAMD Facility Data 2023'!$AE$2:$AG$10000,MATCH(Z2572,'CAMD Facility Data 2023'!$AE$2:$AE$10000,0),3),"")</f>
        <v>Y</v>
      </c>
      <c r="AD2572" s="20">
        <f t="shared" si="121"/>
        <v>7.7632836798250421E-2</v>
      </c>
      <c r="AE2572" s="25">
        <f t="shared" si="122"/>
        <v>0.54082508441425392</v>
      </c>
    </row>
    <row r="2573" spans="1:31" x14ac:dyDescent="0.2">
      <c r="A2573" s="1" t="s">
        <v>383</v>
      </c>
      <c r="B2573" s="1" t="s">
        <v>5988</v>
      </c>
      <c r="C2573" s="1">
        <v>55215</v>
      </c>
      <c r="D2573" s="1" t="s">
        <v>280</v>
      </c>
      <c r="F2573" s="1">
        <v>2023</v>
      </c>
      <c r="G2573" s="5">
        <v>7103</v>
      </c>
      <c r="H2573" s="5">
        <v>7030.56</v>
      </c>
      <c r="I2573" s="5">
        <v>1820168.29</v>
      </c>
      <c r="K2573" s="5">
        <v>3.6280000000000001</v>
      </c>
      <c r="L2573" s="5">
        <v>1E-3</v>
      </c>
      <c r="M2573" s="5">
        <v>718560.26300000004</v>
      </c>
      <c r="N2573" s="6">
        <v>5.8999999999999997E-2</v>
      </c>
      <c r="O2573" s="5">
        <v>162.245</v>
      </c>
      <c r="P2573" s="6">
        <v>2.9700000000000001E-2</v>
      </c>
      <c r="Q2573" s="5">
        <v>12091119.448000001</v>
      </c>
      <c r="R2573" s="1" t="s">
        <v>44</v>
      </c>
      <c r="T2573" s="1" t="s">
        <v>71</v>
      </c>
      <c r="V2573" s="1" t="s">
        <v>140</v>
      </c>
      <c r="Y2573" s="1" t="s">
        <v>346</v>
      </c>
      <c r="Z2573" s="1" t="str">
        <f t="shared" si="120"/>
        <v>55215 GT1</v>
      </c>
      <c r="AA2573" s="3">
        <f>IF(INDEX('CAMD Facility Data 2023'!$AA$2:$AE$10000,MATCH(Z2573,'CAMD Facility Data 2023'!$AE$2:$AE$10000,0),1)&gt;0,INDEX('CAMD Facility Data 2023'!$AA$2:$AE$10000,MATCH(Z2573,'CAMD Facility Data 2023'!$AE$2:$AE$10000,0),1),"")</f>
        <v>37006</v>
      </c>
      <c r="AB2573" s="5">
        <f>IF(INDEX('CAMD Facility Data 2023'!$AC$2:$AE$10000,MATCH(Z2573,'CAMD Facility Data 2023'!$AE$2:$AE$10000,0),1)&gt;0,INDEX('CAMD Facility Data 2023'!$AC$2:$AE$10000,MATCH(Z2573,'CAMD Facility Data 2023'!$AE$2:$AE$10000,0),1),"")</f>
        <v>2185</v>
      </c>
      <c r="AC2573" s="1" t="str">
        <f>IF(INDEX('CAMD Facility Data 2023'!$AE$2:$AG$10000,MATCH(Z2573,'CAMD Facility Data 2023'!$AE$2:$AE$10000,0),3)&gt;0,INDEX('CAMD Facility Data 2023'!$AE$2:$AG$10000,MATCH(Z2573,'CAMD Facility Data 2023'!$AE$2:$AE$10000,0),3),"")</f>
        <v/>
      </c>
      <c r="AD2573" s="20">
        <f t="shared" si="121"/>
        <v>0.17827472425640378</v>
      </c>
      <c r="AE2573" s="25">
        <f t="shared" si="122"/>
        <v>0.63170012685077792</v>
      </c>
    </row>
    <row r="2574" spans="1:31" x14ac:dyDescent="0.2">
      <c r="A2574" s="1" t="s">
        <v>383</v>
      </c>
      <c r="B2574" s="1" t="s">
        <v>5988</v>
      </c>
      <c r="C2574" s="1">
        <v>55215</v>
      </c>
      <c r="D2574" s="1" t="s">
        <v>1102</v>
      </c>
      <c r="F2574" s="1">
        <v>2023</v>
      </c>
      <c r="G2574" s="5">
        <v>7608</v>
      </c>
      <c r="H2574" s="5">
        <v>7525.15</v>
      </c>
      <c r="I2574" s="5">
        <v>1961123.76</v>
      </c>
      <c r="K2574" s="5">
        <v>3.9689999999999999</v>
      </c>
      <c r="L2574" s="5">
        <v>1E-3</v>
      </c>
      <c r="M2574" s="5">
        <v>786162.66799999995</v>
      </c>
      <c r="N2574" s="6">
        <v>5.8999999999999997E-2</v>
      </c>
      <c r="O2574" s="5">
        <v>187.11699999999999</v>
      </c>
      <c r="P2574" s="6">
        <v>3.0300000000000001E-2</v>
      </c>
      <c r="Q2574" s="5">
        <v>13228703.051000001</v>
      </c>
      <c r="R2574" s="1" t="s">
        <v>44</v>
      </c>
      <c r="T2574" s="1" t="s">
        <v>71</v>
      </c>
      <c r="V2574" s="1" t="s">
        <v>140</v>
      </c>
      <c r="Y2574" s="1" t="s">
        <v>346</v>
      </c>
      <c r="Z2574" s="1" t="str">
        <f t="shared" si="120"/>
        <v>55215 GT2</v>
      </c>
      <c r="AA2574" s="3">
        <f>IF(INDEX('CAMD Facility Data 2023'!$AA$2:$AE$10000,MATCH(Z2574,'CAMD Facility Data 2023'!$AE$2:$AE$10000,0),1)&gt;0,INDEX('CAMD Facility Data 2023'!$AA$2:$AE$10000,MATCH(Z2574,'CAMD Facility Data 2023'!$AE$2:$AE$10000,0),1),"")</f>
        <v>37006</v>
      </c>
      <c r="AB2574" s="5">
        <f>IF(INDEX('CAMD Facility Data 2023'!$AC$2:$AE$10000,MATCH(Z2574,'CAMD Facility Data 2023'!$AE$2:$AE$10000,0),1)&gt;0,INDEX('CAMD Facility Data 2023'!$AC$2:$AE$10000,MATCH(Z2574,'CAMD Facility Data 2023'!$AE$2:$AE$10000,0),1),"")</f>
        <v>2185</v>
      </c>
      <c r="AC2574" s="1" t="str">
        <f>IF(INDEX('CAMD Facility Data 2023'!$AE$2:$AG$10000,MATCH(Z2574,'CAMD Facility Data 2023'!$AE$2:$AE$10000,0),3)&gt;0,INDEX('CAMD Facility Data 2023'!$AE$2:$AG$10000,MATCH(Z2574,'CAMD Facility Data 2023'!$AE$2:$AE$10000,0),3),"")</f>
        <v/>
      </c>
      <c r="AD2574" s="20">
        <f t="shared" si="121"/>
        <v>0.19082630460812938</v>
      </c>
      <c r="AE2574" s="25">
        <f t="shared" si="122"/>
        <v>0.69113314373635104</v>
      </c>
    </row>
    <row r="2575" spans="1:31" x14ac:dyDescent="0.2">
      <c r="A2575" s="1" t="s">
        <v>383</v>
      </c>
      <c r="B2575" s="1" t="s">
        <v>5988</v>
      </c>
      <c r="C2575" s="1">
        <v>55215</v>
      </c>
      <c r="D2575" s="1" t="s">
        <v>246</v>
      </c>
      <c r="F2575" s="1">
        <v>2023</v>
      </c>
      <c r="G2575" s="5">
        <v>6211</v>
      </c>
      <c r="H2575" s="5">
        <v>6177.54</v>
      </c>
      <c r="I2575" s="5">
        <v>1589425.88</v>
      </c>
      <c r="K2575" s="5">
        <v>3.2050000000000001</v>
      </c>
      <c r="L2575" s="5">
        <v>1E-3</v>
      </c>
      <c r="M2575" s="5">
        <v>634837.42500000005</v>
      </c>
      <c r="N2575" s="6">
        <v>5.8999999999999997E-2</v>
      </c>
      <c r="O2575" s="5">
        <v>142.99299999999999</v>
      </c>
      <c r="P2575" s="6">
        <v>2.81E-2</v>
      </c>
      <c r="Q2575" s="5">
        <v>10682431.176000001</v>
      </c>
      <c r="R2575" s="1" t="s">
        <v>44</v>
      </c>
      <c r="T2575" s="1" t="s">
        <v>71</v>
      </c>
      <c r="V2575" s="1" t="s">
        <v>140</v>
      </c>
      <c r="Y2575" s="1" t="s">
        <v>346</v>
      </c>
      <c r="Z2575" s="1" t="str">
        <f t="shared" si="120"/>
        <v>55215 GT3</v>
      </c>
      <c r="AA2575" s="3">
        <f>IF(INDEX('CAMD Facility Data 2023'!$AA$2:$AE$10000,MATCH(Z2575,'CAMD Facility Data 2023'!$AE$2:$AE$10000,0),1)&gt;0,INDEX('CAMD Facility Data 2023'!$AA$2:$AE$10000,MATCH(Z2575,'CAMD Facility Data 2023'!$AE$2:$AE$10000,0),1),"")</f>
        <v>37092</v>
      </c>
      <c r="AB2575" s="5">
        <f>IF(INDEX('CAMD Facility Data 2023'!$AC$2:$AE$10000,MATCH(Z2575,'CAMD Facility Data 2023'!$AE$2:$AE$10000,0),1)&gt;0,INDEX('CAMD Facility Data 2023'!$AC$2:$AE$10000,MATCH(Z2575,'CAMD Facility Data 2023'!$AE$2:$AE$10000,0),1),"")</f>
        <v>2185</v>
      </c>
      <c r="AC2575" s="1" t="str">
        <f>IF(INDEX('CAMD Facility Data 2023'!$AE$2:$AG$10000,MATCH(Z2575,'CAMD Facility Data 2023'!$AE$2:$AE$10000,0),3)&gt;0,INDEX('CAMD Facility Data 2023'!$AE$2:$AG$10000,MATCH(Z2575,'CAMD Facility Data 2023'!$AE$2:$AE$10000,0),3),"")</f>
        <v/>
      </c>
      <c r="AD2575" s="20">
        <f t="shared" si="121"/>
        <v>0.17993037838291648</v>
      </c>
      <c r="AE2575" s="25">
        <f t="shared" si="122"/>
        <v>0.55810325569731356</v>
      </c>
    </row>
    <row r="2576" spans="1:31" x14ac:dyDescent="0.2">
      <c r="A2576" s="1" t="s">
        <v>383</v>
      </c>
      <c r="B2576" s="1" t="s">
        <v>5988</v>
      </c>
      <c r="C2576" s="1">
        <v>55215</v>
      </c>
      <c r="D2576" s="1" t="s">
        <v>251</v>
      </c>
      <c r="F2576" s="1">
        <v>2023</v>
      </c>
      <c r="G2576" s="5">
        <v>6880</v>
      </c>
      <c r="H2576" s="5">
        <v>6838.01</v>
      </c>
      <c r="I2576" s="5">
        <v>1782631.3</v>
      </c>
      <c r="K2576" s="5">
        <v>3.5840000000000001</v>
      </c>
      <c r="L2576" s="5">
        <v>1E-3</v>
      </c>
      <c r="M2576" s="5">
        <v>709997.78599999996</v>
      </c>
      <c r="N2576" s="6">
        <v>5.8999999999999997E-2</v>
      </c>
      <c r="O2576" s="5">
        <v>154.666</v>
      </c>
      <c r="P2576" s="6">
        <v>2.6700000000000002E-2</v>
      </c>
      <c r="Q2576" s="5">
        <v>11947142.653999999</v>
      </c>
      <c r="R2576" s="1" t="s">
        <v>44</v>
      </c>
      <c r="T2576" s="1" t="s">
        <v>71</v>
      </c>
      <c r="V2576" s="1" t="s">
        <v>140</v>
      </c>
      <c r="Y2576" s="1" t="s">
        <v>346</v>
      </c>
      <c r="Z2576" s="1" t="str">
        <f t="shared" si="120"/>
        <v>55215 GT4</v>
      </c>
      <c r="AA2576" s="3">
        <f>IF(INDEX('CAMD Facility Data 2023'!$AA$2:$AE$10000,MATCH(Z2576,'CAMD Facility Data 2023'!$AE$2:$AE$10000,0),1)&gt;0,INDEX('CAMD Facility Data 2023'!$AA$2:$AE$10000,MATCH(Z2576,'CAMD Facility Data 2023'!$AE$2:$AE$10000,0),1),"")</f>
        <v>37089</v>
      </c>
      <c r="AB2576" s="5">
        <f>IF(INDEX('CAMD Facility Data 2023'!$AC$2:$AE$10000,MATCH(Z2576,'CAMD Facility Data 2023'!$AE$2:$AE$10000,0),1)&gt;0,INDEX('CAMD Facility Data 2023'!$AC$2:$AE$10000,MATCH(Z2576,'CAMD Facility Data 2023'!$AE$2:$AE$10000,0),1),"")</f>
        <v>2185</v>
      </c>
      <c r="AC2576" s="1" t="str">
        <f>IF(INDEX('CAMD Facility Data 2023'!$AE$2:$AG$10000,MATCH(Z2576,'CAMD Facility Data 2023'!$AE$2:$AE$10000,0),3)&gt;0,INDEX('CAMD Facility Data 2023'!$AE$2:$AG$10000,MATCH(Z2576,'CAMD Facility Data 2023'!$AE$2:$AE$10000,0),3),"")</f>
        <v/>
      </c>
      <c r="AD2576" s="20">
        <f t="shared" si="121"/>
        <v>0.17352550692899871</v>
      </c>
      <c r="AE2576" s="25">
        <f t="shared" si="122"/>
        <v>0.62417806411502252</v>
      </c>
    </row>
    <row r="2577" spans="1:31" x14ac:dyDescent="0.2">
      <c r="A2577" s="1" t="s">
        <v>458</v>
      </c>
      <c r="B2577" s="1" t="s">
        <v>5995</v>
      </c>
      <c r="C2577" s="1">
        <v>55216</v>
      </c>
      <c r="D2577" s="1" t="s">
        <v>1129</v>
      </c>
      <c r="F2577" s="1">
        <v>2023</v>
      </c>
      <c r="G2577" s="5">
        <v>5066</v>
      </c>
      <c r="H2577" s="5">
        <v>5058.3</v>
      </c>
      <c r="I2577" s="5">
        <v>169914.79</v>
      </c>
      <c r="K2577" s="5">
        <v>0.64800000000000002</v>
      </c>
      <c r="L2577" s="5">
        <v>1E-3</v>
      </c>
      <c r="O2577" s="5">
        <v>33.119999999999997</v>
      </c>
      <c r="P2577" s="6">
        <v>3.0599999999999999E-2</v>
      </c>
      <c r="Q2577" s="5">
        <v>2158166.2650000001</v>
      </c>
      <c r="R2577" s="1" t="s">
        <v>44</v>
      </c>
      <c r="T2577" s="1" t="s">
        <v>71</v>
      </c>
      <c r="V2577" s="1" t="s">
        <v>140</v>
      </c>
      <c r="Y2577" s="1" t="s">
        <v>5996</v>
      </c>
      <c r="Z2577" s="1" t="str">
        <f t="shared" si="120"/>
        <v>55216 CTG1</v>
      </c>
      <c r="AA2577" s="3">
        <f>IF(INDEX('CAMD Facility Data 2023'!$AA$2:$AE$10000,MATCH(Z2577,'CAMD Facility Data 2023'!$AE$2:$AE$10000,0),1)&gt;0,INDEX('CAMD Facility Data 2023'!$AA$2:$AE$10000,MATCH(Z2577,'CAMD Facility Data 2023'!$AE$2:$AE$10000,0),1),"")</f>
        <v>36100</v>
      </c>
      <c r="AB2577" s="5">
        <f>IF(INDEX('CAMD Facility Data 2023'!$AC$2:$AE$10000,MATCH(Z2577,'CAMD Facility Data 2023'!$AE$2:$AE$10000,0),1)&gt;0,INDEX('CAMD Facility Data 2023'!$AC$2:$AE$10000,MATCH(Z2577,'CAMD Facility Data 2023'!$AE$2:$AE$10000,0),1),"")</f>
        <v>944</v>
      </c>
      <c r="AC2577" s="1" t="str">
        <f>IF(INDEX('CAMD Facility Data 2023'!$AE$2:$AG$10000,MATCH(Z2577,'CAMD Facility Data 2023'!$AE$2:$AE$10000,0),3)&gt;0,INDEX('CAMD Facility Data 2023'!$AE$2:$AG$10000,MATCH(Z2577,'CAMD Facility Data 2023'!$AE$2:$AE$10000,0),3),"")</f>
        <v/>
      </c>
      <c r="AD2577" s="20">
        <f t="shared" si="121"/>
        <v>0.38984246162444125</v>
      </c>
      <c r="AE2577" s="25">
        <f t="shared" si="122"/>
        <v>0.26098094490074297</v>
      </c>
    </row>
    <row r="2578" spans="1:31" x14ac:dyDescent="0.2">
      <c r="A2578" s="1" t="s">
        <v>458</v>
      </c>
      <c r="B2578" s="1" t="s">
        <v>5995</v>
      </c>
      <c r="C2578" s="1">
        <v>55216</v>
      </c>
      <c r="D2578" s="1" t="s">
        <v>1135</v>
      </c>
      <c r="F2578" s="1">
        <v>2023</v>
      </c>
      <c r="G2578" s="5">
        <v>5212</v>
      </c>
      <c r="H2578" s="5">
        <v>5201.22</v>
      </c>
      <c r="I2578" s="5">
        <v>174210.75</v>
      </c>
      <c r="K2578" s="5">
        <v>0.64700000000000002</v>
      </c>
      <c r="L2578" s="5">
        <v>1E-3</v>
      </c>
      <c r="O2578" s="5">
        <v>35.664999999999999</v>
      </c>
      <c r="P2578" s="6">
        <v>3.3099999999999997E-2</v>
      </c>
      <c r="Q2578" s="5">
        <v>2155732.682</v>
      </c>
      <c r="R2578" s="1" t="s">
        <v>44</v>
      </c>
      <c r="T2578" s="1" t="s">
        <v>71</v>
      </c>
      <c r="V2578" s="1" t="s">
        <v>140</v>
      </c>
      <c r="Y2578" s="1" t="s">
        <v>5996</v>
      </c>
      <c r="Z2578" s="1" t="str">
        <f t="shared" si="120"/>
        <v>55216 CTG2</v>
      </c>
      <c r="AA2578" s="3">
        <f>IF(INDEX('CAMD Facility Data 2023'!$AA$2:$AE$10000,MATCH(Z2578,'CAMD Facility Data 2023'!$AE$2:$AE$10000,0),1)&gt;0,INDEX('CAMD Facility Data 2023'!$AA$2:$AE$10000,MATCH(Z2578,'CAMD Facility Data 2023'!$AE$2:$AE$10000,0),1),"")</f>
        <v>36100</v>
      </c>
      <c r="AB2578" s="5">
        <f>IF(INDEX('CAMD Facility Data 2023'!$AC$2:$AE$10000,MATCH(Z2578,'CAMD Facility Data 2023'!$AE$2:$AE$10000,0),1)&gt;0,INDEX('CAMD Facility Data 2023'!$AC$2:$AE$10000,MATCH(Z2578,'CAMD Facility Data 2023'!$AE$2:$AE$10000,0),1),"")</f>
        <v>944</v>
      </c>
      <c r="AC2578" s="1" t="str">
        <f>IF(INDEX('CAMD Facility Data 2023'!$AE$2:$AG$10000,MATCH(Z2578,'CAMD Facility Data 2023'!$AE$2:$AE$10000,0),3)&gt;0,INDEX('CAMD Facility Data 2023'!$AE$2:$AG$10000,MATCH(Z2578,'CAMD Facility Data 2023'!$AE$2:$AE$10000,0),3),"")</f>
        <v/>
      </c>
      <c r="AD2578" s="20">
        <f t="shared" si="121"/>
        <v>0.40944660418487377</v>
      </c>
      <c r="AE2578" s="25">
        <f t="shared" si="122"/>
        <v>0.26068665858873152</v>
      </c>
    </row>
    <row r="2579" spans="1:31" x14ac:dyDescent="0.2">
      <c r="A2579" s="1" t="s">
        <v>458</v>
      </c>
      <c r="B2579" s="1" t="s">
        <v>5995</v>
      </c>
      <c r="C2579" s="1">
        <v>55216</v>
      </c>
      <c r="D2579" s="1" t="s">
        <v>6002</v>
      </c>
      <c r="F2579" s="1">
        <v>2023</v>
      </c>
      <c r="G2579" s="5">
        <v>6000</v>
      </c>
      <c r="H2579" s="5">
        <v>5982.86</v>
      </c>
      <c r="I2579" s="5">
        <v>203231.38</v>
      </c>
      <c r="K2579" s="5">
        <v>0.746</v>
      </c>
      <c r="L2579" s="5">
        <v>1E-3</v>
      </c>
      <c r="O2579" s="5">
        <v>46.488999999999997</v>
      </c>
      <c r="P2579" s="6">
        <v>3.7499999999999999E-2</v>
      </c>
      <c r="Q2579" s="5">
        <v>2486533.389</v>
      </c>
      <c r="R2579" s="1" t="s">
        <v>44</v>
      </c>
      <c r="T2579" s="1" t="s">
        <v>71</v>
      </c>
      <c r="V2579" s="1" t="s">
        <v>140</v>
      </c>
      <c r="Y2579" s="1" t="s">
        <v>5996</v>
      </c>
      <c r="Z2579" s="1" t="str">
        <f t="shared" si="120"/>
        <v>55216 CTG3</v>
      </c>
      <c r="AA2579" s="3">
        <f>IF(INDEX('CAMD Facility Data 2023'!$AA$2:$AE$10000,MATCH(Z2579,'CAMD Facility Data 2023'!$AE$2:$AE$10000,0),1)&gt;0,INDEX('CAMD Facility Data 2023'!$AA$2:$AE$10000,MATCH(Z2579,'CAMD Facility Data 2023'!$AE$2:$AE$10000,0),1),"")</f>
        <v>36100</v>
      </c>
      <c r="AB2579" s="5">
        <f>IF(INDEX('CAMD Facility Data 2023'!$AC$2:$AE$10000,MATCH(Z2579,'CAMD Facility Data 2023'!$AE$2:$AE$10000,0),1)&gt;0,INDEX('CAMD Facility Data 2023'!$AC$2:$AE$10000,MATCH(Z2579,'CAMD Facility Data 2023'!$AE$2:$AE$10000,0),1),"")</f>
        <v>944</v>
      </c>
      <c r="AC2579" s="1" t="str">
        <f>IF(INDEX('CAMD Facility Data 2023'!$AE$2:$AG$10000,MATCH(Z2579,'CAMD Facility Data 2023'!$AE$2:$AE$10000,0),3)&gt;0,INDEX('CAMD Facility Data 2023'!$AE$2:$AG$10000,MATCH(Z2579,'CAMD Facility Data 2023'!$AE$2:$AE$10000,0),3),"")</f>
        <v/>
      </c>
      <c r="AD2579" s="20">
        <f t="shared" si="121"/>
        <v>0.45749824657983429</v>
      </c>
      <c r="AE2579" s="25">
        <f t="shared" si="122"/>
        <v>0.30068945285291387</v>
      </c>
    </row>
    <row r="2580" spans="1:31" x14ac:dyDescent="0.2">
      <c r="A2580" s="1" t="s">
        <v>370</v>
      </c>
      <c r="B2580" s="1" t="s">
        <v>6004</v>
      </c>
      <c r="C2580" s="1">
        <v>55217</v>
      </c>
      <c r="D2580" s="1" t="s">
        <v>6005</v>
      </c>
      <c r="F2580" s="1">
        <v>2023</v>
      </c>
      <c r="G2580" s="5">
        <v>6618</v>
      </c>
      <c r="H2580" s="5">
        <v>6575.81</v>
      </c>
      <c r="I2580" s="5">
        <v>1800848.43</v>
      </c>
      <c r="K2580" s="5">
        <v>3.6970000000000001</v>
      </c>
      <c r="L2580" s="5">
        <v>1E-3</v>
      </c>
      <c r="M2580" s="5">
        <v>732252.26399999997</v>
      </c>
      <c r="N2580" s="6">
        <v>5.8999999999999997E-2</v>
      </c>
      <c r="O2580" s="5">
        <v>45.304000000000002</v>
      </c>
      <c r="P2580" s="6">
        <v>8.3999999999999995E-3</v>
      </c>
      <c r="Q2580" s="5">
        <v>12321560.081</v>
      </c>
      <c r="R2580" s="1" t="s">
        <v>44</v>
      </c>
      <c r="T2580" s="1" t="s">
        <v>71</v>
      </c>
      <c r="V2580" s="1" t="s">
        <v>223</v>
      </c>
      <c r="Y2580" s="1" t="s">
        <v>247</v>
      </c>
      <c r="Z2580" s="1" t="str">
        <f t="shared" si="120"/>
        <v>55217 X724</v>
      </c>
      <c r="AA2580" s="3">
        <f>IF(INDEX('CAMD Facility Data 2023'!$AA$2:$AE$10000,MATCH(Z2580,'CAMD Facility Data 2023'!$AE$2:$AE$10000,0),1)&gt;0,INDEX('CAMD Facility Data 2023'!$AA$2:$AE$10000,MATCH(Z2580,'CAMD Facility Data 2023'!$AE$2:$AE$10000,0),1),"")</f>
        <v>37017</v>
      </c>
      <c r="AB2580" s="5">
        <f>IF(INDEX('CAMD Facility Data 2023'!$AC$2:$AE$10000,MATCH(Z2580,'CAMD Facility Data 2023'!$AE$2:$AE$10000,0),1)&gt;0,INDEX('CAMD Facility Data 2023'!$AC$2:$AE$10000,MATCH(Z2580,'CAMD Facility Data 2023'!$AE$2:$AE$10000,0),1),"")</f>
        <v>2225.1</v>
      </c>
      <c r="AC2580" s="1" t="str">
        <f>IF(INDEX('CAMD Facility Data 2023'!$AE$2:$AG$10000,MATCH(Z2580,'CAMD Facility Data 2023'!$AE$2:$AE$10000,0),3)&gt;0,INDEX('CAMD Facility Data 2023'!$AE$2:$AG$10000,MATCH(Z2580,'CAMD Facility Data 2023'!$AE$2:$AE$10000,0),3),"")</f>
        <v>Y</v>
      </c>
      <c r="AD2580" s="20">
        <f t="shared" si="121"/>
        <v>5.0314062244538819E-2</v>
      </c>
      <c r="AE2580" s="25">
        <f t="shared" si="122"/>
        <v>0.63213823446239858</v>
      </c>
    </row>
    <row r="2581" spans="1:31" x14ac:dyDescent="0.2">
      <c r="A2581" s="1" t="s">
        <v>370</v>
      </c>
      <c r="B2581" s="1" t="s">
        <v>6004</v>
      </c>
      <c r="C2581" s="1">
        <v>55217</v>
      </c>
      <c r="D2581" s="1" t="s">
        <v>6011</v>
      </c>
      <c r="F2581" s="1">
        <v>2023</v>
      </c>
      <c r="G2581" s="5">
        <v>6357</v>
      </c>
      <c r="H2581" s="5">
        <v>6326.01</v>
      </c>
      <c r="I2581" s="5">
        <v>1660076.98</v>
      </c>
      <c r="K2581" s="5">
        <v>3.4319999999999999</v>
      </c>
      <c r="L2581" s="5">
        <v>1E-3</v>
      </c>
      <c r="M2581" s="5">
        <v>679877.46699999995</v>
      </c>
      <c r="N2581" s="6">
        <v>5.8999999999999997E-2</v>
      </c>
      <c r="O2581" s="5">
        <v>41.341000000000001</v>
      </c>
      <c r="P2581" s="6">
        <v>8.0000000000000002E-3</v>
      </c>
      <c r="Q2581" s="5">
        <v>11440185.114</v>
      </c>
      <c r="R2581" s="1" t="s">
        <v>44</v>
      </c>
      <c r="T2581" s="1" t="s">
        <v>71</v>
      </c>
      <c r="V2581" s="1" t="s">
        <v>223</v>
      </c>
      <c r="Y2581" s="1" t="s">
        <v>247</v>
      </c>
      <c r="Z2581" s="1" t="str">
        <f t="shared" si="120"/>
        <v>55217 X725</v>
      </c>
      <c r="AA2581" s="3">
        <f>IF(INDEX('CAMD Facility Data 2023'!$AA$2:$AE$10000,MATCH(Z2581,'CAMD Facility Data 2023'!$AE$2:$AE$10000,0),1)&gt;0,INDEX('CAMD Facility Data 2023'!$AA$2:$AE$10000,MATCH(Z2581,'CAMD Facility Data 2023'!$AE$2:$AE$10000,0),1),"")</f>
        <v>37017</v>
      </c>
      <c r="AB2581" s="5">
        <f>IF(INDEX('CAMD Facility Data 2023'!$AC$2:$AE$10000,MATCH(Z2581,'CAMD Facility Data 2023'!$AE$2:$AE$10000,0),1)&gt;0,INDEX('CAMD Facility Data 2023'!$AC$2:$AE$10000,MATCH(Z2581,'CAMD Facility Data 2023'!$AE$2:$AE$10000,0),1),"")</f>
        <v>2225.1</v>
      </c>
      <c r="AC2581" s="1" t="str">
        <f>IF(INDEX('CAMD Facility Data 2023'!$AE$2:$AG$10000,MATCH(Z2581,'CAMD Facility Data 2023'!$AE$2:$AE$10000,0),3)&gt;0,INDEX('CAMD Facility Data 2023'!$AE$2:$AG$10000,MATCH(Z2581,'CAMD Facility Data 2023'!$AE$2:$AE$10000,0),3),"")</f>
        <v>Y</v>
      </c>
      <c r="AD2581" s="20">
        <f t="shared" si="121"/>
        <v>4.9806124050946123E-2</v>
      </c>
      <c r="AE2581" s="25">
        <f t="shared" si="122"/>
        <v>0.5869206798770934</v>
      </c>
    </row>
    <row r="2582" spans="1:31" x14ac:dyDescent="0.2">
      <c r="A2582" s="1" t="s">
        <v>1732</v>
      </c>
      <c r="B2582" s="1" t="s">
        <v>6013</v>
      </c>
      <c r="C2582" s="1">
        <v>55218</v>
      </c>
      <c r="D2582" s="1">
        <v>2</v>
      </c>
      <c r="F2582" s="1">
        <v>2023</v>
      </c>
      <c r="G2582" s="5">
        <v>212</v>
      </c>
      <c r="H2582" s="5">
        <v>177.93</v>
      </c>
      <c r="I2582" s="5">
        <v>4385.95</v>
      </c>
      <c r="K2582" s="5">
        <v>1.4E-2</v>
      </c>
      <c r="L2582" s="5">
        <v>1E-3</v>
      </c>
      <c r="M2582" s="5">
        <v>2782.4989999999998</v>
      </c>
      <c r="N2582" s="6">
        <v>5.9299999999999999E-2</v>
      </c>
      <c r="O2582" s="5">
        <v>1.1739999999999999</v>
      </c>
      <c r="P2582" s="6">
        <v>5.0999999999999997E-2</v>
      </c>
      <c r="Q2582" s="5">
        <v>46814.752</v>
      </c>
      <c r="R2582" s="1" t="s">
        <v>44</v>
      </c>
      <c r="T2582" s="1" t="s">
        <v>93</v>
      </c>
      <c r="V2582" s="1" t="s">
        <v>140</v>
      </c>
      <c r="Y2582" s="1" t="s">
        <v>346</v>
      </c>
      <c r="Z2582" s="1" t="str">
        <f t="shared" si="120"/>
        <v>55218 2</v>
      </c>
      <c r="AA2582" s="3">
        <f>IF(INDEX('CAMD Facility Data 2023'!$AA$2:$AE$10000,MATCH(Z2582,'CAMD Facility Data 2023'!$AE$2:$AE$10000,0),1)&gt;0,INDEX('CAMD Facility Data 2023'!$AA$2:$AE$10000,MATCH(Z2582,'CAMD Facility Data 2023'!$AE$2:$AE$10000,0),1),"")</f>
        <v>43716</v>
      </c>
      <c r="AB2582" s="5">
        <f>IF(INDEX('CAMD Facility Data 2023'!$AC$2:$AE$10000,MATCH(Z2582,'CAMD Facility Data 2023'!$AE$2:$AE$10000,0),1)&gt;0,INDEX('CAMD Facility Data 2023'!$AC$2:$AE$10000,MATCH(Z2582,'CAMD Facility Data 2023'!$AE$2:$AE$10000,0),1),"")</f>
        <v>350</v>
      </c>
      <c r="AC2582" s="1" t="str">
        <f>IF(INDEX('CAMD Facility Data 2023'!$AE$2:$AG$10000,MATCH(Z2582,'CAMD Facility Data 2023'!$AE$2:$AE$10000,0),3)&gt;0,INDEX('CAMD Facility Data 2023'!$AE$2:$AG$10000,MATCH(Z2582,'CAMD Facility Data 2023'!$AE$2:$AE$10000,0),3),"")</f>
        <v/>
      </c>
      <c r="AD2582" s="20">
        <f t="shared" si="121"/>
        <v>0.53534582017578858</v>
      </c>
      <c r="AE2582" s="25">
        <f t="shared" si="122"/>
        <v>1.5268999347684279E-2</v>
      </c>
    </row>
    <row r="2583" spans="1:31" x14ac:dyDescent="0.2">
      <c r="A2583" s="1" t="s">
        <v>1732</v>
      </c>
      <c r="B2583" s="1" t="s">
        <v>6013</v>
      </c>
      <c r="C2583" s="1">
        <v>55218</v>
      </c>
      <c r="D2583" s="1" t="s">
        <v>6017</v>
      </c>
      <c r="F2583" s="1">
        <v>2023</v>
      </c>
      <c r="G2583" s="5">
        <v>7273</v>
      </c>
      <c r="H2583" s="5">
        <v>7264.04</v>
      </c>
      <c r="I2583" s="5">
        <v>1692125.83</v>
      </c>
      <c r="K2583" s="5">
        <v>3.6360000000000001</v>
      </c>
      <c r="L2583" s="5">
        <v>1E-3</v>
      </c>
      <c r="M2583" s="5">
        <v>720173.47699999996</v>
      </c>
      <c r="N2583" s="6">
        <v>5.8999999999999997E-2</v>
      </c>
      <c r="O2583" s="5">
        <v>70.587999999999994</v>
      </c>
      <c r="P2583" s="6">
        <v>1.2E-2</v>
      </c>
      <c r="Q2583" s="5">
        <v>12118304.711999999</v>
      </c>
      <c r="R2583" s="1" t="s">
        <v>44</v>
      </c>
      <c r="T2583" s="1" t="s">
        <v>71</v>
      </c>
      <c r="V2583" s="1" t="s">
        <v>64</v>
      </c>
      <c r="Y2583" s="1" t="s">
        <v>346</v>
      </c>
      <c r="Z2583" s="1" t="str">
        <f t="shared" si="120"/>
        <v>55218 H01</v>
      </c>
      <c r="AA2583" s="3">
        <f>IF(INDEX('CAMD Facility Data 2023'!$AA$2:$AE$10000,MATCH(Z2583,'CAMD Facility Data 2023'!$AE$2:$AE$10000,0),1)&gt;0,INDEX('CAMD Facility Data 2023'!$AA$2:$AE$10000,MATCH(Z2583,'CAMD Facility Data 2023'!$AE$2:$AE$10000,0),1),"")</f>
        <v>36966</v>
      </c>
      <c r="AB2583" s="5">
        <f>IF(INDEX('CAMD Facility Data 2023'!$AC$2:$AE$10000,MATCH(Z2583,'CAMD Facility Data 2023'!$AE$2:$AE$10000,0),1)&gt;0,INDEX('CAMD Facility Data 2023'!$AC$2:$AE$10000,MATCH(Z2583,'CAMD Facility Data 2023'!$AE$2:$AE$10000,0),1),"")</f>
        <v>1875</v>
      </c>
      <c r="AC2583" s="1" t="str">
        <f>IF(INDEX('CAMD Facility Data 2023'!$AE$2:$AG$10000,MATCH(Z2583,'CAMD Facility Data 2023'!$AE$2:$AE$10000,0),3)&gt;0,INDEX('CAMD Facility Data 2023'!$AE$2:$AG$10000,MATCH(Z2583,'CAMD Facility Data 2023'!$AE$2:$AE$10000,0),3),"")</f>
        <v>Y</v>
      </c>
      <c r="AD2583" s="20">
        <f t="shared" si="121"/>
        <v>8.3431147670619737E-2</v>
      </c>
      <c r="AE2583" s="25">
        <f t="shared" si="122"/>
        <v>0.7377963294977169</v>
      </c>
    </row>
    <row r="2584" spans="1:31" x14ac:dyDescent="0.2">
      <c r="A2584" s="1" t="s">
        <v>1732</v>
      </c>
      <c r="B2584" s="1" t="s">
        <v>6013</v>
      </c>
      <c r="C2584" s="1">
        <v>55218</v>
      </c>
      <c r="D2584" s="1" t="s">
        <v>6019</v>
      </c>
      <c r="F2584" s="1">
        <v>2023</v>
      </c>
      <c r="G2584" s="5">
        <v>6979</v>
      </c>
      <c r="H2584" s="5">
        <v>6964.98</v>
      </c>
      <c r="I2584" s="5">
        <v>1603883.89</v>
      </c>
      <c r="K2584" s="5">
        <v>3.3839999999999999</v>
      </c>
      <c r="L2584" s="5">
        <v>1E-3</v>
      </c>
      <c r="M2584" s="5">
        <v>670261.15099999995</v>
      </c>
      <c r="N2584" s="6">
        <v>5.8999999999999997E-2</v>
      </c>
      <c r="O2584" s="5">
        <v>66.203999999999994</v>
      </c>
      <c r="P2584" s="6">
        <v>1.23E-2</v>
      </c>
      <c r="Q2584" s="5">
        <v>11278383.823999999</v>
      </c>
      <c r="R2584" s="1" t="s">
        <v>44</v>
      </c>
      <c r="T2584" s="1" t="s">
        <v>71</v>
      </c>
      <c r="V2584" s="1" t="s">
        <v>64</v>
      </c>
      <c r="Y2584" s="1" t="s">
        <v>346</v>
      </c>
      <c r="Z2584" s="1" t="str">
        <f t="shared" si="120"/>
        <v>55218 H02</v>
      </c>
      <c r="AA2584" s="3">
        <f>IF(INDEX('CAMD Facility Data 2023'!$AA$2:$AE$10000,MATCH(Z2584,'CAMD Facility Data 2023'!$AE$2:$AE$10000,0),1)&gt;0,INDEX('CAMD Facility Data 2023'!$AA$2:$AE$10000,MATCH(Z2584,'CAMD Facility Data 2023'!$AE$2:$AE$10000,0),1),"")</f>
        <v>36958</v>
      </c>
      <c r="AB2584" s="5">
        <f>IF(INDEX('CAMD Facility Data 2023'!$AC$2:$AE$10000,MATCH(Z2584,'CAMD Facility Data 2023'!$AE$2:$AE$10000,0),1)&gt;0,INDEX('CAMD Facility Data 2023'!$AC$2:$AE$10000,MATCH(Z2584,'CAMD Facility Data 2023'!$AE$2:$AE$10000,0),1),"")</f>
        <v>1830</v>
      </c>
      <c r="AC2584" s="1" t="str">
        <f>IF(INDEX('CAMD Facility Data 2023'!$AE$2:$AG$10000,MATCH(Z2584,'CAMD Facility Data 2023'!$AE$2:$AE$10000,0),3)&gt;0,INDEX('CAMD Facility Data 2023'!$AE$2:$AG$10000,MATCH(Z2584,'CAMD Facility Data 2023'!$AE$2:$AE$10000,0),3),"")</f>
        <v>Y</v>
      </c>
      <c r="AD2584" s="20">
        <f t="shared" si="121"/>
        <v>8.255460437351235E-2</v>
      </c>
      <c r="AE2584" s="25">
        <f t="shared" si="122"/>
        <v>0.70354466551887607</v>
      </c>
    </row>
    <row r="2585" spans="1:31" x14ac:dyDescent="0.2">
      <c r="A2585" s="1" t="s">
        <v>1732</v>
      </c>
      <c r="B2585" s="1" t="s">
        <v>6021</v>
      </c>
      <c r="C2585" s="1">
        <v>55220</v>
      </c>
      <c r="D2585" s="1" t="s">
        <v>5299</v>
      </c>
      <c r="F2585" s="1">
        <v>2023</v>
      </c>
      <c r="G2585" s="5">
        <v>6344</v>
      </c>
      <c r="H2585" s="5">
        <v>6327.72</v>
      </c>
      <c r="I2585" s="5">
        <v>1479328.55</v>
      </c>
      <c r="K2585" s="5">
        <v>2.9750000000000001</v>
      </c>
      <c r="L2585" s="5">
        <v>1E-3</v>
      </c>
      <c r="M2585" s="5">
        <v>589365.17599999998</v>
      </c>
      <c r="N2585" s="6">
        <v>5.8999999999999997E-2</v>
      </c>
      <c r="O2585" s="5">
        <v>55.406999999999996</v>
      </c>
      <c r="P2585" s="6">
        <v>1.2E-2</v>
      </c>
      <c r="Q2585" s="5">
        <v>9917140.3990000002</v>
      </c>
      <c r="R2585" s="1" t="s">
        <v>44</v>
      </c>
      <c r="T2585" s="1" t="s">
        <v>71</v>
      </c>
      <c r="V2585" s="1" t="s">
        <v>64</v>
      </c>
      <c r="Y2585" s="1" t="s">
        <v>346</v>
      </c>
      <c r="Z2585" s="1" t="str">
        <f t="shared" si="120"/>
        <v>55220 A01</v>
      </c>
      <c r="AA2585" s="3">
        <f>IF(INDEX('CAMD Facility Data 2023'!$AA$2:$AE$10000,MATCH(Z2585,'CAMD Facility Data 2023'!$AE$2:$AE$10000,0),1)&gt;0,INDEX('CAMD Facility Data 2023'!$AA$2:$AE$10000,MATCH(Z2585,'CAMD Facility Data 2023'!$AE$2:$AE$10000,0),1),"")</f>
        <v>36972</v>
      </c>
      <c r="AB2585" s="5">
        <f>IF(INDEX('CAMD Facility Data 2023'!$AC$2:$AE$10000,MATCH(Z2585,'CAMD Facility Data 2023'!$AE$2:$AE$10000,0),1)&gt;0,INDEX('CAMD Facility Data 2023'!$AC$2:$AE$10000,MATCH(Z2585,'CAMD Facility Data 2023'!$AE$2:$AE$10000,0),1),"")</f>
        <v>2230</v>
      </c>
      <c r="AC2585" s="1" t="str">
        <f>IF(INDEX('CAMD Facility Data 2023'!$AE$2:$AG$10000,MATCH(Z2585,'CAMD Facility Data 2023'!$AE$2:$AE$10000,0),3)&gt;0,INDEX('CAMD Facility Data 2023'!$AE$2:$AG$10000,MATCH(Z2585,'CAMD Facility Data 2023'!$AE$2:$AE$10000,0),3),"")</f>
        <v>Y</v>
      </c>
      <c r="AD2585" s="20">
        <f t="shared" si="121"/>
        <v>7.4908308908119156E-2</v>
      </c>
      <c r="AE2585" s="25">
        <f t="shared" si="122"/>
        <v>0.50766531518111269</v>
      </c>
    </row>
    <row r="2586" spans="1:31" x14ac:dyDescent="0.2">
      <c r="A2586" s="1" t="s">
        <v>1732</v>
      </c>
      <c r="B2586" s="1" t="s">
        <v>6021</v>
      </c>
      <c r="C2586" s="1">
        <v>55220</v>
      </c>
      <c r="D2586" s="1" t="s">
        <v>5303</v>
      </c>
      <c r="F2586" s="1">
        <v>2023</v>
      </c>
      <c r="G2586" s="5">
        <v>6442</v>
      </c>
      <c r="H2586" s="5">
        <v>6427.95</v>
      </c>
      <c r="I2586" s="5">
        <v>1504351.54</v>
      </c>
      <c r="K2586" s="5">
        <v>3.24</v>
      </c>
      <c r="L2586" s="5">
        <v>1E-3</v>
      </c>
      <c r="M2586" s="5">
        <v>641792.88600000006</v>
      </c>
      <c r="N2586" s="6">
        <v>5.8999999999999997E-2</v>
      </c>
      <c r="O2586" s="5">
        <v>58.457000000000001</v>
      </c>
      <c r="P2586" s="6">
        <v>1.1599999999999999E-2</v>
      </c>
      <c r="Q2586" s="5">
        <v>10799407.361</v>
      </c>
      <c r="R2586" s="1" t="s">
        <v>44</v>
      </c>
      <c r="T2586" s="1" t="s">
        <v>71</v>
      </c>
      <c r="V2586" s="1" t="s">
        <v>64</v>
      </c>
      <c r="Y2586" s="1" t="s">
        <v>346</v>
      </c>
      <c r="Z2586" s="1" t="str">
        <f t="shared" si="120"/>
        <v>55220 A02</v>
      </c>
      <c r="AA2586" s="3">
        <f>IF(INDEX('CAMD Facility Data 2023'!$AA$2:$AE$10000,MATCH(Z2586,'CAMD Facility Data 2023'!$AE$2:$AE$10000,0),1)&gt;0,INDEX('CAMD Facility Data 2023'!$AA$2:$AE$10000,MATCH(Z2586,'CAMD Facility Data 2023'!$AE$2:$AE$10000,0),1),"")</f>
        <v>36979</v>
      </c>
      <c r="AB2586" s="5">
        <f>IF(INDEX('CAMD Facility Data 2023'!$AC$2:$AE$10000,MATCH(Z2586,'CAMD Facility Data 2023'!$AE$2:$AE$10000,0),1)&gt;0,INDEX('CAMD Facility Data 2023'!$AC$2:$AE$10000,MATCH(Z2586,'CAMD Facility Data 2023'!$AE$2:$AE$10000,0),1),"")</f>
        <v>2200</v>
      </c>
      <c r="AC2586" s="1" t="str">
        <f>IF(INDEX('CAMD Facility Data 2023'!$AE$2:$AG$10000,MATCH(Z2586,'CAMD Facility Data 2023'!$AE$2:$AE$10000,0),3)&gt;0,INDEX('CAMD Facility Data 2023'!$AE$2:$AG$10000,MATCH(Z2586,'CAMD Facility Data 2023'!$AE$2:$AE$10000,0),3),"")</f>
        <v>Y</v>
      </c>
      <c r="AD2586" s="20">
        <f t="shared" si="121"/>
        <v>7.7717206976768205E-2</v>
      </c>
      <c r="AE2586" s="25">
        <f t="shared" si="122"/>
        <v>0.56036775430676622</v>
      </c>
    </row>
    <row r="2587" spans="1:31" x14ac:dyDescent="0.2">
      <c r="A2587" s="1" t="s">
        <v>348</v>
      </c>
      <c r="B2587" s="1" t="s">
        <v>6026</v>
      </c>
      <c r="C2587" s="1">
        <v>55221</v>
      </c>
      <c r="D2587" s="1" t="s">
        <v>3796</v>
      </c>
      <c r="F2587" s="1">
        <v>2023</v>
      </c>
      <c r="G2587" s="5">
        <v>1959</v>
      </c>
      <c r="H2587" s="5">
        <v>1772.12</v>
      </c>
      <c r="I2587" s="5">
        <v>84451.31</v>
      </c>
      <c r="K2587" s="5">
        <v>0.193</v>
      </c>
      <c r="L2587" s="5">
        <v>1E-3</v>
      </c>
      <c r="M2587" s="5">
        <v>38173.347000000002</v>
      </c>
      <c r="N2587" s="6">
        <v>5.9299999999999999E-2</v>
      </c>
      <c r="O2587" s="5">
        <v>31.111999999999998</v>
      </c>
      <c r="P2587" s="6">
        <v>0.17430000000000001</v>
      </c>
      <c r="Q2587" s="5">
        <v>642116.46900000004</v>
      </c>
      <c r="R2587" s="1" t="s">
        <v>44</v>
      </c>
      <c r="T2587" s="1" t="s">
        <v>71</v>
      </c>
      <c r="V2587" s="1" t="s">
        <v>1606</v>
      </c>
      <c r="Y2587" s="1" t="s">
        <v>346</v>
      </c>
      <c r="Z2587" s="1" t="str">
        <f t="shared" si="120"/>
        <v>55221 G1</v>
      </c>
      <c r="AA2587" s="3">
        <f>IF(INDEX('CAMD Facility Data 2023'!$AA$2:$AE$10000,MATCH(Z2587,'CAMD Facility Data 2023'!$AE$2:$AE$10000,0),1)&gt;0,INDEX('CAMD Facility Data 2023'!$AA$2:$AE$10000,MATCH(Z2587,'CAMD Facility Data 2023'!$AE$2:$AE$10000,0),1),"")</f>
        <v>37368</v>
      </c>
      <c r="AB2587" s="5">
        <f>IF(INDEX('CAMD Facility Data 2023'!$AC$2:$AE$10000,MATCH(Z2587,'CAMD Facility Data 2023'!$AE$2:$AE$10000,0),1)&gt;0,INDEX('CAMD Facility Data 2023'!$AC$2:$AE$10000,MATCH(Z2587,'CAMD Facility Data 2023'!$AE$2:$AE$10000,0),1),"")</f>
        <v>567</v>
      </c>
      <c r="AC2587" s="1" t="str">
        <f>IF(INDEX('CAMD Facility Data 2023'!$AE$2:$AG$10000,MATCH(Z2587,'CAMD Facility Data 2023'!$AE$2:$AE$10000,0),3)&gt;0,INDEX('CAMD Facility Data 2023'!$AE$2:$AG$10000,MATCH(Z2587,'CAMD Facility Data 2023'!$AE$2:$AE$10000,0),3),"")</f>
        <v/>
      </c>
      <c r="AD2587" s="20">
        <f t="shared" si="121"/>
        <v>0.73680325385124279</v>
      </c>
      <c r="AE2587" s="25">
        <f t="shared" si="122"/>
        <v>0.1292786010243773</v>
      </c>
    </row>
    <row r="2588" spans="1:31" x14ac:dyDescent="0.2">
      <c r="A2588" s="1" t="s">
        <v>348</v>
      </c>
      <c r="B2588" s="1" t="s">
        <v>6026</v>
      </c>
      <c r="C2588" s="1">
        <v>55221</v>
      </c>
      <c r="D2588" s="1" t="s">
        <v>3798</v>
      </c>
      <c r="F2588" s="1">
        <v>2023</v>
      </c>
      <c r="G2588" s="5">
        <v>3006</v>
      </c>
      <c r="H2588" s="5">
        <v>2747.04</v>
      </c>
      <c r="I2588" s="5">
        <v>133217.06</v>
      </c>
      <c r="K2588" s="5">
        <v>0.29499999999999998</v>
      </c>
      <c r="L2588" s="5">
        <v>1E-3</v>
      </c>
      <c r="M2588" s="5">
        <v>58448.207000000002</v>
      </c>
      <c r="N2588" s="6">
        <v>5.9299999999999999E-2</v>
      </c>
      <c r="O2588" s="5">
        <v>48.261000000000003</v>
      </c>
      <c r="P2588" s="6">
        <v>0.16789999999999999</v>
      </c>
      <c r="Q2588" s="5">
        <v>982984.96400000004</v>
      </c>
      <c r="R2588" s="1" t="s">
        <v>44</v>
      </c>
      <c r="T2588" s="1" t="s">
        <v>71</v>
      </c>
      <c r="V2588" s="1" t="s">
        <v>1606</v>
      </c>
      <c r="Y2588" s="1" t="s">
        <v>346</v>
      </c>
      <c r="Z2588" s="1" t="str">
        <f t="shared" si="120"/>
        <v>55221 G2</v>
      </c>
      <c r="AA2588" s="3">
        <f>IF(INDEX('CAMD Facility Data 2023'!$AA$2:$AE$10000,MATCH(Z2588,'CAMD Facility Data 2023'!$AE$2:$AE$10000,0),1)&gt;0,INDEX('CAMD Facility Data 2023'!$AA$2:$AE$10000,MATCH(Z2588,'CAMD Facility Data 2023'!$AE$2:$AE$10000,0),1),"")</f>
        <v>37361</v>
      </c>
      <c r="AB2588" s="5">
        <f>IF(INDEX('CAMD Facility Data 2023'!$AC$2:$AE$10000,MATCH(Z2588,'CAMD Facility Data 2023'!$AE$2:$AE$10000,0),1)&gt;0,INDEX('CAMD Facility Data 2023'!$AC$2:$AE$10000,MATCH(Z2588,'CAMD Facility Data 2023'!$AE$2:$AE$10000,0),1),"")</f>
        <v>567</v>
      </c>
      <c r="AC2588" s="1" t="str">
        <f>IF(INDEX('CAMD Facility Data 2023'!$AE$2:$AG$10000,MATCH(Z2588,'CAMD Facility Data 2023'!$AE$2:$AE$10000,0),3)&gt;0,INDEX('CAMD Facility Data 2023'!$AE$2:$AG$10000,MATCH(Z2588,'CAMD Facility Data 2023'!$AE$2:$AE$10000,0),3),"")</f>
        <v/>
      </c>
      <c r="AD2588" s="20">
        <f t="shared" si="121"/>
        <v>0.72454684107275746</v>
      </c>
      <c r="AE2588" s="25">
        <f t="shared" si="122"/>
        <v>0.19790634115306871</v>
      </c>
    </row>
    <row r="2589" spans="1:31" x14ac:dyDescent="0.2">
      <c r="A2589" s="1" t="s">
        <v>348</v>
      </c>
      <c r="B2589" s="1" t="s">
        <v>6026</v>
      </c>
      <c r="C2589" s="1">
        <v>55221</v>
      </c>
      <c r="D2589" s="1" t="s">
        <v>6030</v>
      </c>
      <c r="F2589" s="1">
        <v>2023</v>
      </c>
      <c r="G2589" s="5">
        <v>702</v>
      </c>
      <c r="H2589" s="5">
        <v>636.85</v>
      </c>
      <c r="I2589" s="5">
        <v>31017.91</v>
      </c>
      <c r="K2589" s="5">
        <v>6.9000000000000006E-2</v>
      </c>
      <c r="L2589" s="5">
        <v>1E-3</v>
      </c>
      <c r="M2589" s="5">
        <v>13738.252</v>
      </c>
      <c r="N2589" s="6">
        <v>5.96E-2</v>
      </c>
      <c r="O2589" s="5">
        <v>11.393000000000001</v>
      </c>
      <c r="P2589" s="6">
        <v>0.1744</v>
      </c>
      <c r="Q2589" s="5">
        <v>229904.935</v>
      </c>
      <c r="R2589" s="1" t="s">
        <v>44</v>
      </c>
      <c r="T2589" s="1" t="s">
        <v>71</v>
      </c>
      <c r="V2589" s="1" t="s">
        <v>1606</v>
      </c>
      <c r="Y2589" s="1" t="s">
        <v>346</v>
      </c>
      <c r="Z2589" s="1" t="str">
        <f t="shared" si="120"/>
        <v>55221 G3</v>
      </c>
      <c r="AA2589" s="3">
        <f>IF(INDEX('CAMD Facility Data 2023'!$AA$2:$AE$10000,MATCH(Z2589,'CAMD Facility Data 2023'!$AE$2:$AE$10000,0),1)&gt;0,INDEX('CAMD Facility Data 2023'!$AA$2:$AE$10000,MATCH(Z2589,'CAMD Facility Data 2023'!$AE$2:$AE$10000,0),1),"")</f>
        <v>37354</v>
      </c>
      <c r="AB2589" s="5">
        <f>IF(INDEX('CAMD Facility Data 2023'!$AC$2:$AE$10000,MATCH(Z2589,'CAMD Facility Data 2023'!$AE$2:$AE$10000,0),1)&gt;0,INDEX('CAMD Facility Data 2023'!$AC$2:$AE$10000,MATCH(Z2589,'CAMD Facility Data 2023'!$AE$2:$AE$10000,0),1),"")</f>
        <v>567</v>
      </c>
      <c r="AC2589" s="1" t="str">
        <f>IF(INDEX('CAMD Facility Data 2023'!$AE$2:$AG$10000,MATCH(Z2589,'CAMD Facility Data 2023'!$AE$2:$AE$10000,0),3)&gt;0,INDEX('CAMD Facility Data 2023'!$AE$2:$AG$10000,MATCH(Z2589,'CAMD Facility Data 2023'!$AE$2:$AE$10000,0),3),"")</f>
        <v/>
      </c>
      <c r="AD2589" s="20">
        <f t="shared" si="121"/>
        <v>0.73460784430672477</v>
      </c>
      <c r="AE2589" s="25">
        <f t="shared" si="122"/>
        <v>4.6287223269148685E-2</v>
      </c>
    </row>
    <row r="2590" spans="1:31" x14ac:dyDescent="0.2">
      <c r="A2590" s="1" t="s">
        <v>348</v>
      </c>
      <c r="B2590" s="1" t="s">
        <v>6026</v>
      </c>
      <c r="C2590" s="1">
        <v>55221</v>
      </c>
      <c r="D2590" s="1" t="s">
        <v>6032</v>
      </c>
      <c r="F2590" s="1">
        <v>2023</v>
      </c>
      <c r="G2590" s="5">
        <v>2988</v>
      </c>
      <c r="H2590" s="5">
        <v>2760.47</v>
      </c>
      <c r="I2590" s="5">
        <v>138994.9</v>
      </c>
      <c r="K2590" s="5">
        <v>0.30599999999999999</v>
      </c>
      <c r="L2590" s="5">
        <v>1E-3</v>
      </c>
      <c r="M2590" s="5">
        <v>60657.987000000001</v>
      </c>
      <c r="N2590" s="6">
        <v>5.9299999999999999E-2</v>
      </c>
      <c r="O2590" s="5">
        <v>54.003999999999998</v>
      </c>
      <c r="P2590" s="6">
        <v>0.1656</v>
      </c>
      <c r="Q2590" s="5">
        <v>1019361.969</v>
      </c>
      <c r="R2590" s="1" t="s">
        <v>44</v>
      </c>
      <c r="T2590" s="1" t="s">
        <v>71</v>
      </c>
      <c r="V2590" s="1" t="s">
        <v>1606</v>
      </c>
      <c r="Y2590" s="1" t="s">
        <v>346</v>
      </c>
      <c r="Z2590" s="1" t="str">
        <f t="shared" si="120"/>
        <v>55221 G4</v>
      </c>
      <c r="AA2590" s="3">
        <f>IF(INDEX('CAMD Facility Data 2023'!$AA$2:$AE$10000,MATCH(Z2590,'CAMD Facility Data 2023'!$AE$2:$AE$10000,0),1)&gt;0,INDEX('CAMD Facility Data 2023'!$AA$2:$AE$10000,MATCH(Z2590,'CAMD Facility Data 2023'!$AE$2:$AE$10000,0),1),"")</f>
        <v>37349</v>
      </c>
      <c r="AB2590" s="5">
        <f>IF(INDEX('CAMD Facility Data 2023'!$AC$2:$AE$10000,MATCH(Z2590,'CAMD Facility Data 2023'!$AE$2:$AE$10000,0),1)&gt;0,INDEX('CAMD Facility Data 2023'!$AC$2:$AE$10000,MATCH(Z2590,'CAMD Facility Data 2023'!$AE$2:$AE$10000,0),1),"")</f>
        <v>567</v>
      </c>
      <c r="AC2590" s="1" t="str">
        <f>IF(INDEX('CAMD Facility Data 2023'!$AE$2:$AG$10000,MATCH(Z2590,'CAMD Facility Data 2023'!$AE$2:$AE$10000,0),3)&gt;0,INDEX('CAMD Facility Data 2023'!$AE$2:$AG$10000,MATCH(Z2590,'CAMD Facility Data 2023'!$AE$2:$AE$10000,0),3),"")</f>
        <v/>
      </c>
      <c r="AD2590" s="20">
        <f t="shared" si="121"/>
        <v>0.77706448222200963</v>
      </c>
      <c r="AE2590" s="25">
        <f t="shared" si="122"/>
        <v>0.20523019678190912</v>
      </c>
    </row>
    <row r="2591" spans="1:31" x14ac:dyDescent="0.2">
      <c r="A2591" s="1" t="s">
        <v>348</v>
      </c>
      <c r="B2591" s="1" t="s">
        <v>6026</v>
      </c>
      <c r="C2591" s="1">
        <v>55221</v>
      </c>
      <c r="D2591" s="1" t="s">
        <v>6034</v>
      </c>
      <c r="F2591" s="1">
        <v>2023</v>
      </c>
      <c r="G2591" s="5">
        <v>2863</v>
      </c>
      <c r="H2591" s="5">
        <v>2615.0700000000002</v>
      </c>
      <c r="I2591" s="5">
        <v>129352.92</v>
      </c>
      <c r="K2591" s="5">
        <v>0.28199999999999997</v>
      </c>
      <c r="L2591" s="5">
        <v>1E-3</v>
      </c>
      <c r="M2591" s="5">
        <v>56000.506000000001</v>
      </c>
      <c r="N2591" s="6">
        <v>5.9400000000000001E-2</v>
      </c>
      <c r="O2591" s="5">
        <v>44.066000000000003</v>
      </c>
      <c r="P2591" s="6">
        <v>0.16300000000000001</v>
      </c>
      <c r="Q2591" s="5">
        <v>941002.99899999995</v>
      </c>
      <c r="R2591" s="1" t="s">
        <v>44</v>
      </c>
      <c r="T2591" s="1" t="s">
        <v>71</v>
      </c>
      <c r="V2591" s="1" t="s">
        <v>1606</v>
      </c>
      <c r="Y2591" s="1" t="s">
        <v>346</v>
      </c>
      <c r="Z2591" s="1" t="str">
        <f t="shared" si="120"/>
        <v>55221 G5</v>
      </c>
      <c r="AA2591" s="3">
        <f>IF(INDEX('CAMD Facility Data 2023'!$AA$2:$AE$10000,MATCH(Z2591,'CAMD Facility Data 2023'!$AE$2:$AE$10000,0),1)&gt;0,INDEX('CAMD Facility Data 2023'!$AA$2:$AE$10000,MATCH(Z2591,'CAMD Facility Data 2023'!$AE$2:$AE$10000,0),1),"")</f>
        <v>37343</v>
      </c>
      <c r="AB2591" s="5">
        <f>IF(INDEX('CAMD Facility Data 2023'!$AC$2:$AE$10000,MATCH(Z2591,'CAMD Facility Data 2023'!$AE$2:$AE$10000,0),1)&gt;0,INDEX('CAMD Facility Data 2023'!$AC$2:$AE$10000,MATCH(Z2591,'CAMD Facility Data 2023'!$AE$2:$AE$10000,0),1),"")</f>
        <v>567</v>
      </c>
      <c r="AC2591" s="1" t="str">
        <f>IF(INDEX('CAMD Facility Data 2023'!$AE$2:$AG$10000,MATCH(Z2591,'CAMD Facility Data 2023'!$AE$2:$AE$10000,0),3)&gt;0,INDEX('CAMD Facility Data 2023'!$AE$2:$AG$10000,MATCH(Z2591,'CAMD Facility Data 2023'!$AE$2:$AE$10000,0),3),"")</f>
        <v/>
      </c>
      <c r="AD2591" s="20">
        <f t="shared" si="121"/>
        <v>0.68132980685708522</v>
      </c>
      <c r="AE2591" s="25">
        <f t="shared" si="122"/>
        <v>0.18945402764691197</v>
      </c>
    </row>
    <row r="2592" spans="1:31" x14ac:dyDescent="0.2">
      <c r="A2592" s="1" t="s">
        <v>348</v>
      </c>
      <c r="B2592" s="1" t="s">
        <v>6026</v>
      </c>
      <c r="C2592" s="1">
        <v>55221</v>
      </c>
      <c r="D2592" s="1" t="s">
        <v>6036</v>
      </c>
      <c r="F2592" s="1">
        <v>2023</v>
      </c>
      <c r="G2592" s="5">
        <v>2870</v>
      </c>
      <c r="H2592" s="5">
        <v>2618.15</v>
      </c>
      <c r="I2592" s="5">
        <v>126471.77</v>
      </c>
      <c r="K2592" s="5">
        <v>0.28399999999999997</v>
      </c>
      <c r="L2592" s="5">
        <v>1E-3</v>
      </c>
      <c r="M2592" s="5">
        <v>56303.521000000001</v>
      </c>
      <c r="N2592" s="6">
        <v>5.9299999999999999E-2</v>
      </c>
      <c r="O2592" s="5">
        <v>43.057000000000002</v>
      </c>
      <c r="P2592" s="6">
        <v>0.1615</v>
      </c>
      <c r="Q2592" s="5">
        <v>946169.88600000006</v>
      </c>
      <c r="R2592" s="1" t="s">
        <v>44</v>
      </c>
      <c r="T2592" s="1" t="s">
        <v>71</v>
      </c>
      <c r="V2592" s="1" t="s">
        <v>1606</v>
      </c>
      <c r="Y2592" s="1" t="s">
        <v>346</v>
      </c>
      <c r="Z2592" s="1" t="str">
        <f t="shared" si="120"/>
        <v>55221 G6</v>
      </c>
      <c r="AA2592" s="3">
        <f>IF(INDEX('CAMD Facility Data 2023'!$AA$2:$AE$10000,MATCH(Z2592,'CAMD Facility Data 2023'!$AE$2:$AE$10000,0),1)&gt;0,INDEX('CAMD Facility Data 2023'!$AA$2:$AE$10000,MATCH(Z2592,'CAMD Facility Data 2023'!$AE$2:$AE$10000,0),1),"")</f>
        <v>37338</v>
      </c>
      <c r="AB2592" s="5">
        <f>IF(INDEX('CAMD Facility Data 2023'!$AC$2:$AE$10000,MATCH(Z2592,'CAMD Facility Data 2023'!$AE$2:$AE$10000,0),1)&gt;0,INDEX('CAMD Facility Data 2023'!$AC$2:$AE$10000,MATCH(Z2592,'CAMD Facility Data 2023'!$AE$2:$AE$10000,0),1),"")</f>
        <v>567</v>
      </c>
      <c r="AC2592" s="1" t="str">
        <f>IF(INDEX('CAMD Facility Data 2023'!$AE$2:$AG$10000,MATCH(Z2592,'CAMD Facility Data 2023'!$AE$2:$AE$10000,0),3)&gt;0,INDEX('CAMD Facility Data 2023'!$AE$2:$AG$10000,MATCH(Z2592,'CAMD Facility Data 2023'!$AE$2:$AE$10000,0),3),"")</f>
        <v/>
      </c>
      <c r="AD2592" s="20">
        <f t="shared" si="121"/>
        <v>0.68089503293897125</v>
      </c>
      <c r="AE2592" s="25">
        <f t="shared" si="122"/>
        <v>0.19049428740547464</v>
      </c>
    </row>
    <row r="2593" spans="1:31" x14ac:dyDescent="0.2">
      <c r="A2593" s="1" t="s">
        <v>348</v>
      </c>
      <c r="B2593" s="1" t="s">
        <v>6026</v>
      </c>
      <c r="C2593" s="1">
        <v>55221</v>
      </c>
      <c r="D2593" s="1" t="s">
        <v>6038</v>
      </c>
      <c r="F2593" s="1">
        <v>2023</v>
      </c>
      <c r="G2593" s="5">
        <v>3147</v>
      </c>
      <c r="H2593" s="5">
        <v>2941.17</v>
      </c>
      <c r="I2593" s="5">
        <v>269689</v>
      </c>
      <c r="K2593" s="5">
        <v>0.72399999999999998</v>
      </c>
      <c r="L2593" s="5">
        <v>1E-3</v>
      </c>
      <c r="M2593" s="5">
        <v>143639.98699999999</v>
      </c>
      <c r="N2593" s="6">
        <v>5.91E-2</v>
      </c>
      <c r="O2593" s="5">
        <v>101.54</v>
      </c>
      <c r="P2593" s="6">
        <v>0.14460000000000001</v>
      </c>
      <c r="Q2593" s="5">
        <v>2414708.2080000001</v>
      </c>
      <c r="R2593" s="1" t="s">
        <v>44</v>
      </c>
      <c r="T2593" s="1" t="s">
        <v>71</v>
      </c>
      <c r="V2593" s="1" t="s">
        <v>140</v>
      </c>
      <c r="Y2593" s="1" t="s">
        <v>346</v>
      </c>
      <c r="Z2593" s="1" t="str">
        <f t="shared" si="120"/>
        <v>55221 G7</v>
      </c>
      <c r="AA2593" s="3">
        <f>IF(INDEX('CAMD Facility Data 2023'!$AA$2:$AE$10000,MATCH(Z2593,'CAMD Facility Data 2023'!$AE$2:$AE$10000,0),1)&gt;0,INDEX('CAMD Facility Data 2023'!$AA$2:$AE$10000,MATCH(Z2593,'CAMD Facility Data 2023'!$AE$2:$AE$10000,0),1),"")</f>
        <v>37364</v>
      </c>
      <c r="AB2593" s="5">
        <f>IF(INDEX('CAMD Facility Data 2023'!$AC$2:$AE$10000,MATCH(Z2593,'CAMD Facility Data 2023'!$AE$2:$AE$10000,0),1)&gt;0,INDEX('CAMD Facility Data 2023'!$AC$2:$AE$10000,MATCH(Z2593,'CAMD Facility Data 2023'!$AE$2:$AE$10000,0),1),"")</f>
        <v>1260</v>
      </c>
      <c r="AC2593" s="1" t="str">
        <f>IF(INDEX('CAMD Facility Data 2023'!$AE$2:$AG$10000,MATCH(Z2593,'CAMD Facility Data 2023'!$AE$2:$AE$10000,0),3)&gt;0,INDEX('CAMD Facility Data 2023'!$AE$2:$AG$10000,MATCH(Z2593,'CAMD Facility Data 2023'!$AE$2:$AE$10000,0),3),"")</f>
        <v/>
      </c>
      <c r="AD2593" s="20">
        <f t="shared" si="121"/>
        <v>0.75301551045834281</v>
      </c>
      <c r="AE2593" s="25">
        <f t="shared" si="122"/>
        <v>0.21877112850619701</v>
      </c>
    </row>
    <row r="2594" spans="1:31" x14ac:dyDescent="0.2">
      <c r="A2594" s="1" t="s">
        <v>458</v>
      </c>
      <c r="B2594" s="1" t="s">
        <v>6040</v>
      </c>
      <c r="C2594" s="1">
        <v>55222</v>
      </c>
      <c r="D2594" s="1" t="s">
        <v>5681</v>
      </c>
      <c r="F2594" s="1">
        <v>2023</v>
      </c>
      <c r="G2594" s="5">
        <v>38</v>
      </c>
      <c r="H2594" s="5">
        <v>30</v>
      </c>
      <c r="I2594" s="5">
        <v>1745.66</v>
      </c>
      <c r="K2594" s="5">
        <v>7.0000000000000001E-3</v>
      </c>
      <c r="L2594" s="5">
        <v>1E-3</v>
      </c>
      <c r="M2594" s="5">
        <v>1445.047</v>
      </c>
      <c r="N2594" s="6">
        <v>5.91E-2</v>
      </c>
      <c r="O2594" s="5">
        <v>0.32100000000000001</v>
      </c>
      <c r="P2594" s="6">
        <v>2.5399999999999999E-2</v>
      </c>
      <c r="Q2594" s="5">
        <v>24312.856</v>
      </c>
      <c r="R2594" s="1" t="s">
        <v>44</v>
      </c>
      <c r="T2594" s="1" t="s">
        <v>93</v>
      </c>
      <c r="V2594" s="1" t="s">
        <v>140</v>
      </c>
      <c r="Y2594" s="1" t="s">
        <v>461</v>
      </c>
      <c r="Z2594" s="1" t="str">
        <f t="shared" si="120"/>
        <v>55222 CTG-1</v>
      </c>
      <c r="AA2594" s="3">
        <f>IF(INDEX('CAMD Facility Data 2023'!$AA$2:$AE$10000,MATCH(Z2594,'CAMD Facility Data 2023'!$AE$2:$AE$10000,0),1)&gt;0,INDEX('CAMD Facility Data 2023'!$AA$2:$AE$10000,MATCH(Z2594,'CAMD Facility Data 2023'!$AE$2:$AE$10000,0),1),"")</f>
        <v>36677</v>
      </c>
      <c r="AB2594" s="5">
        <f>IF(INDEX('CAMD Facility Data 2023'!$AC$2:$AE$10000,MATCH(Z2594,'CAMD Facility Data 2023'!$AE$2:$AE$10000,0),1)&gt;0,INDEX('CAMD Facility Data 2023'!$AC$2:$AE$10000,MATCH(Z2594,'CAMD Facility Data 2023'!$AE$2:$AE$10000,0),1),"")</f>
        <v>1184</v>
      </c>
      <c r="AC2594" s="1" t="str">
        <f>IF(INDEX('CAMD Facility Data 2023'!$AE$2:$AG$10000,MATCH(Z2594,'CAMD Facility Data 2023'!$AE$2:$AE$10000,0),3)&gt;0,INDEX('CAMD Facility Data 2023'!$AE$2:$AG$10000,MATCH(Z2594,'CAMD Facility Data 2023'!$AE$2:$AE$10000,0),3),"")</f>
        <v/>
      </c>
      <c r="AD2594" s="20">
        <f t="shared" si="121"/>
        <v>0.36776921049918082</v>
      </c>
      <c r="AE2594" s="25">
        <f t="shared" si="122"/>
        <v>2.3441217758854746E-3</v>
      </c>
    </row>
    <row r="2595" spans="1:31" x14ac:dyDescent="0.2">
      <c r="A2595" s="1" t="s">
        <v>458</v>
      </c>
      <c r="B2595" s="1" t="s">
        <v>6040</v>
      </c>
      <c r="C2595" s="1">
        <v>55222</v>
      </c>
      <c r="D2595" s="1" t="s">
        <v>5684</v>
      </c>
      <c r="F2595" s="1">
        <v>2023</v>
      </c>
      <c r="G2595" s="5">
        <v>39</v>
      </c>
      <c r="H2595" s="5">
        <v>31.1</v>
      </c>
      <c r="I2595" s="5">
        <v>1835.89</v>
      </c>
      <c r="K2595" s="5">
        <v>8.0000000000000002E-3</v>
      </c>
      <c r="L2595" s="5">
        <v>1E-3</v>
      </c>
      <c r="M2595" s="5">
        <v>1524.778</v>
      </c>
      <c r="N2595" s="6">
        <v>5.91E-2</v>
      </c>
      <c r="O2595" s="5">
        <v>0.35499999999999998</v>
      </c>
      <c r="P2595" s="6">
        <v>2.6700000000000002E-2</v>
      </c>
      <c r="Q2595" s="5">
        <v>25663.222000000002</v>
      </c>
      <c r="R2595" s="1" t="s">
        <v>44</v>
      </c>
      <c r="T2595" s="1" t="s">
        <v>93</v>
      </c>
      <c r="V2595" s="1" t="s">
        <v>140</v>
      </c>
      <c r="Y2595" s="1" t="s">
        <v>461</v>
      </c>
      <c r="Z2595" s="1" t="str">
        <f t="shared" si="120"/>
        <v>55222 CTG-2</v>
      </c>
      <c r="AA2595" s="3">
        <f>IF(INDEX('CAMD Facility Data 2023'!$AA$2:$AE$10000,MATCH(Z2595,'CAMD Facility Data 2023'!$AE$2:$AE$10000,0),1)&gt;0,INDEX('CAMD Facility Data 2023'!$AA$2:$AE$10000,MATCH(Z2595,'CAMD Facility Data 2023'!$AE$2:$AE$10000,0),1),"")</f>
        <v>36677</v>
      </c>
      <c r="AB2595" s="5">
        <f>IF(INDEX('CAMD Facility Data 2023'!$AC$2:$AE$10000,MATCH(Z2595,'CAMD Facility Data 2023'!$AE$2:$AE$10000,0),1)&gt;0,INDEX('CAMD Facility Data 2023'!$AC$2:$AE$10000,MATCH(Z2595,'CAMD Facility Data 2023'!$AE$2:$AE$10000,0),1),"")</f>
        <v>1184</v>
      </c>
      <c r="AC2595" s="1" t="str">
        <f>IF(INDEX('CAMD Facility Data 2023'!$AE$2:$AG$10000,MATCH(Z2595,'CAMD Facility Data 2023'!$AE$2:$AE$10000,0),3)&gt;0,INDEX('CAMD Facility Data 2023'!$AE$2:$AG$10000,MATCH(Z2595,'CAMD Facility Data 2023'!$AE$2:$AE$10000,0),3),"")</f>
        <v/>
      </c>
      <c r="AD2595" s="20">
        <f t="shared" si="121"/>
        <v>0.38673340995375538</v>
      </c>
      <c r="AE2595" s="25">
        <f t="shared" si="122"/>
        <v>2.474317189621128E-3</v>
      </c>
    </row>
    <row r="2596" spans="1:31" x14ac:dyDescent="0.2">
      <c r="A2596" s="1" t="s">
        <v>458</v>
      </c>
      <c r="B2596" s="1" t="s">
        <v>6040</v>
      </c>
      <c r="C2596" s="1">
        <v>55222</v>
      </c>
      <c r="D2596" s="1" t="s">
        <v>5750</v>
      </c>
      <c r="F2596" s="1">
        <v>2023</v>
      </c>
      <c r="G2596" s="5">
        <v>31</v>
      </c>
      <c r="H2596" s="5">
        <v>26.05</v>
      </c>
      <c r="I2596" s="5">
        <v>1502.01</v>
      </c>
      <c r="K2596" s="5">
        <v>6.0000000000000001E-3</v>
      </c>
      <c r="L2596" s="5">
        <v>1E-3</v>
      </c>
      <c r="M2596" s="5">
        <v>1233.2929999999999</v>
      </c>
      <c r="N2596" s="6">
        <v>5.91E-2</v>
      </c>
      <c r="O2596" s="5">
        <v>0.28999999999999998</v>
      </c>
      <c r="P2596" s="6">
        <v>2.69E-2</v>
      </c>
      <c r="Q2596" s="5">
        <v>20755.985000000001</v>
      </c>
      <c r="R2596" s="1" t="s">
        <v>44</v>
      </c>
      <c r="T2596" s="1" t="s">
        <v>93</v>
      </c>
      <c r="V2596" s="1" t="s">
        <v>140</v>
      </c>
      <c r="Y2596" s="1" t="s">
        <v>461</v>
      </c>
      <c r="Z2596" s="1" t="str">
        <f t="shared" si="120"/>
        <v>55222 CTG-3</v>
      </c>
      <c r="AA2596" s="3">
        <f>IF(INDEX('CAMD Facility Data 2023'!$AA$2:$AE$10000,MATCH(Z2596,'CAMD Facility Data 2023'!$AE$2:$AE$10000,0),1)&gt;0,INDEX('CAMD Facility Data 2023'!$AA$2:$AE$10000,MATCH(Z2596,'CAMD Facility Data 2023'!$AE$2:$AE$10000,0),1),"")</f>
        <v>36677</v>
      </c>
      <c r="AB2596" s="5">
        <f>IF(INDEX('CAMD Facility Data 2023'!$AC$2:$AE$10000,MATCH(Z2596,'CAMD Facility Data 2023'!$AE$2:$AE$10000,0),1)&gt;0,INDEX('CAMD Facility Data 2023'!$AC$2:$AE$10000,MATCH(Z2596,'CAMD Facility Data 2023'!$AE$2:$AE$10000,0),1),"")</f>
        <v>1184</v>
      </c>
      <c r="AC2596" s="1" t="str">
        <f>IF(INDEX('CAMD Facility Data 2023'!$AE$2:$AG$10000,MATCH(Z2596,'CAMD Facility Data 2023'!$AE$2:$AE$10000,0),3)&gt;0,INDEX('CAMD Facility Data 2023'!$AE$2:$AG$10000,MATCH(Z2596,'CAMD Facility Data 2023'!$AE$2:$AE$10000,0),3),"")</f>
        <v/>
      </c>
      <c r="AD2596" s="20">
        <f t="shared" si="121"/>
        <v>0.38614922670288482</v>
      </c>
      <c r="AE2596" s="25">
        <f t="shared" si="122"/>
        <v>2.0011863854436629E-3</v>
      </c>
    </row>
    <row r="2597" spans="1:31" x14ac:dyDescent="0.2">
      <c r="A2597" s="1" t="s">
        <v>458</v>
      </c>
      <c r="B2597" s="1" t="s">
        <v>6040</v>
      </c>
      <c r="C2597" s="1">
        <v>55222</v>
      </c>
      <c r="D2597" s="1" t="s">
        <v>5799</v>
      </c>
      <c r="F2597" s="1">
        <v>2023</v>
      </c>
      <c r="G2597" s="5">
        <v>29</v>
      </c>
      <c r="H2597" s="5">
        <v>22.67</v>
      </c>
      <c r="I2597" s="5">
        <v>1222.69</v>
      </c>
      <c r="K2597" s="5">
        <v>5.0000000000000001E-3</v>
      </c>
      <c r="L2597" s="5">
        <v>1E-3</v>
      </c>
      <c r="M2597" s="5">
        <v>1035.345</v>
      </c>
      <c r="N2597" s="6">
        <v>5.8999999999999997E-2</v>
      </c>
      <c r="O2597" s="5">
        <v>0.22800000000000001</v>
      </c>
      <c r="P2597" s="6">
        <v>2.46E-2</v>
      </c>
      <c r="Q2597" s="5">
        <v>17423.651999999998</v>
      </c>
      <c r="R2597" s="1" t="s">
        <v>44</v>
      </c>
      <c r="T2597" s="1" t="s">
        <v>93</v>
      </c>
      <c r="V2597" s="1" t="s">
        <v>140</v>
      </c>
      <c r="Y2597" s="1" t="s">
        <v>461</v>
      </c>
      <c r="Z2597" s="1" t="str">
        <f t="shared" si="120"/>
        <v>55222 CTG-4</v>
      </c>
      <c r="AA2597" s="3">
        <f>IF(INDEX('CAMD Facility Data 2023'!$AA$2:$AE$10000,MATCH(Z2597,'CAMD Facility Data 2023'!$AE$2:$AE$10000,0),1)&gt;0,INDEX('CAMD Facility Data 2023'!$AA$2:$AE$10000,MATCH(Z2597,'CAMD Facility Data 2023'!$AE$2:$AE$10000,0),1),"")</f>
        <v>36677</v>
      </c>
      <c r="AB2597" s="5">
        <f>IF(INDEX('CAMD Facility Data 2023'!$AC$2:$AE$10000,MATCH(Z2597,'CAMD Facility Data 2023'!$AE$2:$AE$10000,0),1)&gt;0,INDEX('CAMD Facility Data 2023'!$AC$2:$AE$10000,MATCH(Z2597,'CAMD Facility Data 2023'!$AE$2:$AE$10000,0),1),"")</f>
        <v>1184</v>
      </c>
      <c r="AC2597" s="1" t="str">
        <f>IF(INDEX('CAMD Facility Data 2023'!$AE$2:$AG$10000,MATCH(Z2597,'CAMD Facility Data 2023'!$AE$2:$AE$10000,0),3)&gt;0,INDEX('CAMD Facility Data 2023'!$AE$2:$AG$10000,MATCH(Z2597,'CAMD Facility Data 2023'!$AE$2:$AE$10000,0),3),"")</f>
        <v/>
      </c>
      <c r="AD2597" s="20">
        <f t="shared" si="121"/>
        <v>0.37294817165430322</v>
      </c>
      <c r="AE2597" s="25">
        <f t="shared" si="122"/>
        <v>1.6798998056275452E-3</v>
      </c>
    </row>
    <row r="2598" spans="1:31" x14ac:dyDescent="0.2">
      <c r="A2598" s="1" t="s">
        <v>458</v>
      </c>
      <c r="B2598" s="1" t="s">
        <v>6040</v>
      </c>
      <c r="C2598" s="1">
        <v>55222</v>
      </c>
      <c r="D2598" s="1" t="s">
        <v>6046</v>
      </c>
      <c r="F2598" s="1">
        <v>2023</v>
      </c>
      <c r="G2598" s="5">
        <v>41</v>
      </c>
      <c r="H2598" s="5">
        <v>35.51</v>
      </c>
      <c r="I2598" s="5">
        <v>1888.12</v>
      </c>
      <c r="K2598" s="5">
        <v>8.0000000000000002E-3</v>
      </c>
      <c r="L2598" s="5">
        <v>1E-3</v>
      </c>
      <c r="M2598" s="5">
        <v>1603.268</v>
      </c>
      <c r="N2598" s="6">
        <v>5.8999999999999997E-2</v>
      </c>
      <c r="O2598" s="5">
        <v>0.33800000000000002</v>
      </c>
      <c r="P2598" s="6">
        <v>2.4500000000000001E-2</v>
      </c>
      <c r="Q2598" s="5">
        <v>26975.545999999998</v>
      </c>
      <c r="R2598" s="1" t="s">
        <v>44</v>
      </c>
      <c r="T2598" s="1" t="s">
        <v>93</v>
      </c>
      <c r="V2598" s="1" t="s">
        <v>140</v>
      </c>
      <c r="Y2598" s="1" t="s">
        <v>461</v>
      </c>
      <c r="Z2598" s="1" t="str">
        <f t="shared" si="120"/>
        <v>55222 CTG-5</v>
      </c>
      <c r="AA2598" s="3">
        <f>IF(INDEX('CAMD Facility Data 2023'!$AA$2:$AE$10000,MATCH(Z2598,'CAMD Facility Data 2023'!$AE$2:$AE$10000,0),1)&gt;0,INDEX('CAMD Facility Data 2023'!$AA$2:$AE$10000,MATCH(Z2598,'CAMD Facility Data 2023'!$AE$2:$AE$10000,0),1),"")</f>
        <v>36677</v>
      </c>
      <c r="AB2598" s="5">
        <f>IF(INDEX('CAMD Facility Data 2023'!$AC$2:$AE$10000,MATCH(Z2598,'CAMD Facility Data 2023'!$AE$2:$AE$10000,0),1)&gt;0,INDEX('CAMD Facility Data 2023'!$AC$2:$AE$10000,MATCH(Z2598,'CAMD Facility Data 2023'!$AE$2:$AE$10000,0),1),"")</f>
        <v>1184</v>
      </c>
      <c r="AC2598" s="1" t="str">
        <f>IF(INDEX('CAMD Facility Data 2023'!$AE$2:$AG$10000,MATCH(Z2598,'CAMD Facility Data 2023'!$AE$2:$AE$10000,0),3)&gt;0,INDEX('CAMD Facility Data 2023'!$AE$2:$AG$10000,MATCH(Z2598,'CAMD Facility Data 2023'!$AE$2:$AE$10000,0),3),"")</f>
        <v/>
      </c>
      <c r="AD2598" s="20">
        <f t="shared" si="121"/>
        <v>0.35802809143486647</v>
      </c>
      <c r="AE2598" s="25">
        <f t="shared" si="122"/>
        <v>2.6008447874244106E-3</v>
      </c>
    </row>
    <row r="2599" spans="1:31" x14ac:dyDescent="0.2">
      <c r="A2599" s="1" t="s">
        <v>458</v>
      </c>
      <c r="B2599" s="1" t="s">
        <v>6040</v>
      </c>
      <c r="C2599" s="1">
        <v>55222</v>
      </c>
      <c r="D2599" s="1" t="s">
        <v>6048</v>
      </c>
      <c r="F2599" s="1">
        <v>2023</v>
      </c>
      <c r="G2599" s="5">
        <v>44</v>
      </c>
      <c r="H2599" s="5">
        <v>37.96</v>
      </c>
      <c r="I2599" s="5">
        <v>2050.37</v>
      </c>
      <c r="K2599" s="5">
        <v>8.9999999999999993E-3</v>
      </c>
      <c r="L2599" s="5">
        <v>1E-3</v>
      </c>
      <c r="M2599" s="5">
        <v>1710.7950000000001</v>
      </c>
      <c r="N2599" s="6">
        <v>5.8999999999999997E-2</v>
      </c>
      <c r="O2599" s="5">
        <v>0.313</v>
      </c>
      <c r="P2599" s="6">
        <v>2.1600000000000001E-2</v>
      </c>
      <c r="Q2599" s="5">
        <v>28789.764999999999</v>
      </c>
      <c r="R2599" s="1" t="s">
        <v>44</v>
      </c>
      <c r="T2599" s="1" t="s">
        <v>93</v>
      </c>
      <c r="V2599" s="1" t="s">
        <v>140</v>
      </c>
      <c r="Y2599" s="1" t="s">
        <v>461</v>
      </c>
      <c r="Z2599" s="1" t="str">
        <f t="shared" si="120"/>
        <v>55222 CTG-6</v>
      </c>
      <c r="AA2599" s="3">
        <f>IF(INDEX('CAMD Facility Data 2023'!$AA$2:$AE$10000,MATCH(Z2599,'CAMD Facility Data 2023'!$AE$2:$AE$10000,0),1)&gt;0,INDEX('CAMD Facility Data 2023'!$AA$2:$AE$10000,MATCH(Z2599,'CAMD Facility Data 2023'!$AE$2:$AE$10000,0),1),"")</f>
        <v>36677</v>
      </c>
      <c r="AB2599" s="5">
        <f>IF(INDEX('CAMD Facility Data 2023'!$AC$2:$AE$10000,MATCH(Z2599,'CAMD Facility Data 2023'!$AE$2:$AE$10000,0),1)&gt;0,INDEX('CAMD Facility Data 2023'!$AC$2:$AE$10000,MATCH(Z2599,'CAMD Facility Data 2023'!$AE$2:$AE$10000,0),1),"")</f>
        <v>1184</v>
      </c>
      <c r="AC2599" s="1" t="str">
        <f>IF(INDEX('CAMD Facility Data 2023'!$AE$2:$AG$10000,MATCH(Z2599,'CAMD Facility Data 2023'!$AE$2:$AE$10000,0),3)&gt;0,INDEX('CAMD Facility Data 2023'!$AE$2:$AG$10000,MATCH(Z2599,'CAMD Facility Data 2023'!$AE$2:$AE$10000,0),3),"")</f>
        <v/>
      </c>
      <c r="AD2599" s="20">
        <f t="shared" si="121"/>
        <v>0.30531074879168152</v>
      </c>
      <c r="AE2599" s="25">
        <f t="shared" si="122"/>
        <v>2.7757625455078366E-3</v>
      </c>
    </row>
    <row r="2600" spans="1:31" x14ac:dyDescent="0.2">
      <c r="A2600" s="1" t="s">
        <v>458</v>
      </c>
      <c r="B2600" s="1" t="s">
        <v>6040</v>
      </c>
      <c r="C2600" s="1">
        <v>55222</v>
      </c>
      <c r="D2600" s="1" t="s">
        <v>6050</v>
      </c>
      <c r="F2600" s="1">
        <v>2023</v>
      </c>
      <c r="G2600" s="5">
        <v>20</v>
      </c>
      <c r="H2600" s="5">
        <v>16.7</v>
      </c>
      <c r="I2600" s="5">
        <v>923.96</v>
      </c>
      <c r="K2600" s="5">
        <v>4.0000000000000001E-3</v>
      </c>
      <c r="L2600" s="5">
        <v>1E-3</v>
      </c>
      <c r="M2600" s="5">
        <v>779.00599999999997</v>
      </c>
      <c r="N2600" s="6">
        <v>5.91E-2</v>
      </c>
      <c r="O2600" s="5">
        <v>0.14899999999999999</v>
      </c>
      <c r="P2600" s="6">
        <v>2.2700000000000001E-2</v>
      </c>
      <c r="Q2600" s="5">
        <v>13110.043</v>
      </c>
      <c r="R2600" s="1" t="s">
        <v>44</v>
      </c>
      <c r="T2600" s="1" t="s">
        <v>93</v>
      </c>
      <c r="V2600" s="1" t="s">
        <v>140</v>
      </c>
      <c r="Y2600" s="1" t="s">
        <v>461</v>
      </c>
      <c r="Z2600" s="1" t="str">
        <f t="shared" si="120"/>
        <v>55222 CTG-7</v>
      </c>
      <c r="AA2600" s="3">
        <f>IF(INDEX('CAMD Facility Data 2023'!$AA$2:$AE$10000,MATCH(Z2600,'CAMD Facility Data 2023'!$AE$2:$AE$10000,0),1)&gt;0,INDEX('CAMD Facility Data 2023'!$AA$2:$AE$10000,MATCH(Z2600,'CAMD Facility Data 2023'!$AE$2:$AE$10000,0),1),"")</f>
        <v>36677</v>
      </c>
      <c r="AB2600" s="5">
        <f>IF(INDEX('CAMD Facility Data 2023'!$AC$2:$AE$10000,MATCH(Z2600,'CAMD Facility Data 2023'!$AE$2:$AE$10000,0),1)&gt;0,INDEX('CAMD Facility Data 2023'!$AC$2:$AE$10000,MATCH(Z2600,'CAMD Facility Data 2023'!$AE$2:$AE$10000,0),1),"")</f>
        <v>1184</v>
      </c>
      <c r="AC2600" s="1" t="str">
        <f>IF(INDEX('CAMD Facility Data 2023'!$AE$2:$AG$10000,MATCH(Z2600,'CAMD Facility Data 2023'!$AE$2:$AE$10000,0),3)&gt;0,INDEX('CAMD Facility Data 2023'!$AE$2:$AG$10000,MATCH(Z2600,'CAMD Facility Data 2023'!$AE$2:$AE$10000,0),3),"")</f>
        <v/>
      </c>
      <c r="AD2600" s="20">
        <f t="shared" si="121"/>
        <v>0.32252478462271095</v>
      </c>
      <c r="AE2600" s="25">
        <f t="shared" si="122"/>
        <v>1.264003590491176E-3</v>
      </c>
    </row>
    <row r="2601" spans="1:31" x14ac:dyDescent="0.2">
      <c r="A2601" s="1" t="s">
        <v>458</v>
      </c>
      <c r="B2601" s="1" t="s">
        <v>6040</v>
      </c>
      <c r="C2601" s="1">
        <v>55222</v>
      </c>
      <c r="D2601" s="1" t="s">
        <v>6052</v>
      </c>
      <c r="F2601" s="1">
        <v>2023</v>
      </c>
      <c r="G2601" s="5">
        <v>25</v>
      </c>
      <c r="H2601" s="5">
        <v>19.309999999999999</v>
      </c>
      <c r="I2601" s="5">
        <v>1076.78</v>
      </c>
      <c r="K2601" s="5">
        <v>4.0000000000000001E-3</v>
      </c>
      <c r="L2601" s="5">
        <v>1E-3</v>
      </c>
      <c r="M2601" s="5">
        <v>890.524</v>
      </c>
      <c r="N2601" s="6">
        <v>5.8999999999999997E-2</v>
      </c>
      <c r="O2601" s="5">
        <v>0.185</v>
      </c>
      <c r="P2601" s="6">
        <v>2.4500000000000001E-2</v>
      </c>
      <c r="Q2601" s="5">
        <v>14983.407999999999</v>
      </c>
      <c r="R2601" s="1" t="s">
        <v>44</v>
      </c>
      <c r="T2601" s="1" t="s">
        <v>93</v>
      </c>
      <c r="V2601" s="1" t="s">
        <v>140</v>
      </c>
      <c r="Y2601" s="1" t="s">
        <v>461</v>
      </c>
      <c r="Z2601" s="1" t="str">
        <f t="shared" si="120"/>
        <v>55222 CTG-8</v>
      </c>
      <c r="AA2601" s="3">
        <f>IF(INDEX('CAMD Facility Data 2023'!$AA$2:$AE$10000,MATCH(Z2601,'CAMD Facility Data 2023'!$AE$2:$AE$10000,0),1)&gt;0,INDEX('CAMD Facility Data 2023'!$AA$2:$AE$10000,MATCH(Z2601,'CAMD Facility Data 2023'!$AE$2:$AE$10000,0),1),"")</f>
        <v>36677</v>
      </c>
      <c r="AB2601" s="5">
        <f>IF(INDEX('CAMD Facility Data 2023'!$AC$2:$AE$10000,MATCH(Z2601,'CAMD Facility Data 2023'!$AE$2:$AE$10000,0),1)&gt;0,INDEX('CAMD Facility Data 2023'!$AC$2:$AE$10000,MATCH(Z2601,'CAMD Facility Data 2023'!$AE$2:$AE$10000,0),1),"")</f>
        <v>1184</v>
      </c>
      <c r="AC2601" s="1" t="str">
        <f>IF(INDEX('CAMD Facility Data 2023'!$AE$2:$AG$10000,MATCH(Z2601,'CAMD Facility Data 2023'!$AE$2:$AE$10000,0),3)&gt;0,INDEX('CAMD Facility Data 2023'!$AE$2:$AG$10000,MATCH(Z2601,'CAMD Facility Data 2023'!$AE$2:$AE$10000,0),3),"")</f>
        <v/>
      </c>
      <c r="AD2601" s="20">
        <f t="shared" si="121"/>
        <v>0.34361708055498802</v>
      </c>
      <c r="AE2601" s="25">
        <f t="shared" si="122"/>
        <v>1.4446239047266444E-3</v>
      </c>
    </row>
    <row r="2602" spans="1:31" x14ac:dyDescent="0.2">
      <c r="A2602" s="1" t="s">
        <v>383</v>
      </c>
      <c r="B2602" s="1" t="s">
        <v>6054</v>
      </c>
      <c r="C2602" s="1">
        <v>55223</v>
      </c>
      <c r="D2602" s="1" t="s">
        <v>1155</v>
      </c>
      <c r="F2602" s="1">
        <v>2023</v>
      </c>
      <c r="G2602" s="5">
        <v>4881</v>
      </c>
      <c r="H2602" s="5">
        <v>4792.83</v>
      </c>
      <c r="I2602" s="5">
        <v>1475763.39</v>
      </c>
      <c r="K2602" s="5">
        <v>3.294</v>
      </c>
      <c r="L2602" s="5">
        <v>1E-3</v>
      </c>
      <c r="M2602" s="5">
        <v>652589.62399999995</v>
      </c>
      <c r="N2602" s="6">
        <v>5.8999999999999997E-2</v>
      </c>
      <c r="O2602" s="5">
        <v>154.74700000000001</v>
      </c>
      <c r="P2602" s="6">
        <v>3.1800000000000002E-2</v>
      </c>
      <c r="Q2602" s="5">
        <v>10981124.310000001</v>
      </c>
      <c r="R2602" s="1" t="s">
        <v>44</v>
      </c>
      <c r="T2602" s="1" t="s">
        <v>71</v>
      </c>
      <c r="V2602" s="1" t="s">
        <v>223</v>
      </c>
      <c r="Y2602" s="1" t="s">
        <v>346</v>
      </c>
      <c r="Z2602" s="1" t="str">
        <f t="shared" si="120"/>
        <v>55223 GT-1</v>
      </c>
      <c r="AA2602" s="3">
        <f>IF(INDEX('CAMD Facility Data 2023'!$AA$2:$AE$10000,MATCH(Z2602,'CAMD Facility Data 2023'!$AE$2:$AE$10000,0),1)&gt;0,INDEX('CAMD Facility Data 2023'!$AA$2:$AE$10000,MATCH(Z2602,'CAMD Facility Data 2023'!$AE$2:$AE$10000,0),1),"")</f>
        <v>37156</v>
      </c>
      <c r="AB2602" s="5">
        <f>IF(INDEX('CAMD Facility Data 2023'!$AC$2:$AE$10000,MATCH(Z2602,'CAMD Facility Data 2023'!$AE$2:$AE$10000,0),1)&gt;0,INDEX('CAMD Facility Data 2023'!$AC$2:$AE$10000,MATCH(Z2602,'CAMD Facility Data 2023'!$AE$2:$AE$10000,0),1),"")</f>
        <v>2797</v>
      </c>
      <c r="AC2602" s="1" t="str">
        <f>IF(INDEX('CAMD Facility Data 2023'!$AE$2:$AG$10000,MATCH(Z2602,'CAMD Facility Data 2023'!$AE$2:$AE$10000,0),3)&gt;0,INDEX('CAMD Facility Data 2023'!$AE$2:$AG$10000,MATCH(Z2602,'CAMD Facility Data 2023'!$AE$2:$AE$10000,0),3),"")</f>
        <v>Y</v>
      </c>
      <c r="AD2602" s="20">
        <f t="shared" si="121"/>
        <v>0.20971790064530604</v>
      </c>
      <c r="AE2602" s="25">
        <f t="shared" si="122"/>
        <v>0.44817769160695659</v>
      </c>
    </row>
    <row r="2603" spans="1:31" x14ac:dyDescent="0.2">
      <c r="A2603" s="1" t="s">
        <v>1071</v>
      </c>
      <c r="B2603" s="1" t="s">
        <v>6057</v>
      </c>
      <c r="C2603" s="1">
        <v>55224</v>
      </c>
      <c r="D2603" s="1" t="s">
        <v>6058</v>
      </c>
      <c r="F2603" s="1">
        <v>2023</v>
      </c>
      <c r="G2603" s="5">
        <v>302</v>
      </c>
      <c r="H2603" s="5">
        <v>273.47000000000003</v>
      </c>
      <c r="I2603" s="5">
        <v>25589.58</v>
      </c>
      <c r="K2603" s="5">
        <v>0.1</v>
      </c>
      <c r="L2603" s="5">
        <v>1E-3</v>
      </c>
      <c r="M2603" s="5">
        <v>19735.86</v>
      </c>
      <c r="N2603" s="6">
        <v>5.8999999999999997E-2</v>
      </c>
      <c r="O2603" s="5">
        <v>27.923999999999999</v>
      </c>
      <c r="P2603" s="6">
        <v>0.16800000000000001</v>
      </c>
      <c r="Q2603" s="5">
        <v>332089.31199999998</v>
      </c>
      <c r="R2603" s="1" t="s">
        <v>44</v>
      </c>
      <c r="T2603" s="1" t="s">
        <v>93</v>
      </c>
      <c r="V2603" s="1" t="s">
        <v>95</v>
      </c>
      <c r="Y2603" s="1" t="s">
        <v>461</v>
      </c>
      <c r="Z2603" s="1" t="str">
        <f t="shared" si="120"/>
        <v>55224 EU-01</v>
      </c>
      <c r="AA2603" s="3">
        <f>IF(INDEX('CAMD Facility Data 2023'!$AA$2:$AE$10000,MATCH(Z2603,'CAMD Facility Data 2023'!$AE$2:$AE$10000,0),1)&gt;0,INDEX('CAMD Facility Data 2023'!$AA$2:$AE$10000,MATCH(Z2603,'CAMD Facility Data 2023'!$AE$2:$AE$10000,0),1),"")</f>
        <v>36678</v>
      </c>
      <c r="AB2603" s="5">
        <f>IF(INDEX('CAMD Facility Data 2023'!$AC$2:$AE$10000,MATCH(Z2603,'CAMD Facility Data 2023'!$AE$2:$AE$10000,0),1)&gt;0,INDEX('CAMD Facility Data 2023'!$AC$2:$AE$10000,MATCH(Z2603,'CAMD Facility Data 2023'!$AE$2:$AE$10000,0),1),"")</f>
        <v>1600</v>
      </c>
      <c r="AC2603" s="1" t="str">
        <f>IF(INDEX('CAMD Facility Data 2023'!$AE$2:$AG$10000,MATCH(Z2603,'CAMD Facility Data 2023'!$AE$2:$AE$10000,0),3)&gt;0,INDEX('CAMD Facility Data 2023'!$AE$2:$AG$10000,MATCH(Z2603,'CAMD Facility Data 2023'!$AE$2:$AE$10000,0),3),"")</f>
        <v/>
      </c>
      <c r="AD2603" s="20">
        <f t="shared" si="121"/>
        <v>2.1824508256876429</v>
      </c>
      <c r="AE2603" s="25">
        <f t="shared" si="122"/>
        <v>2.3693586757990867E-2</v>
      </c>
    </row>
    <row r="2604" spans="1:31" x14ac:dyDescent="0.2">
      <c r="A2604" s="1" t="s">
        <v>1071</v>
      </c>
      <c r="B2604" s="1" t="s">
        <v>6057</v>
      </c>
      <c r="C2604" s="1">
        <v>55224</v>
      </c>
      <c r="D2604" s="1" t="s">
        <v>6060</v>
      </c>
      <c r="F2604" s="1">
        <v>2023</v>
      </c>
      <c r="G2604" s="5">
        <v>344</v>
      </c>
      <c r="H2604" s="5">
        <v>310.69</v>
      </c>
      <c r="I2604" s="5">
        <v>28651.69</v>
      </c>
      <c r="K2604" s="5">
        <v>0.113</v>
      </c>
      <c r="L2604" s="5">
        <v>1E-3</v>
      </c>
      <c r="M2604" s="5">
        <v>22366.710999999999</v>
      </c>
      <c r="N2604" s="6">
        <v>5.8999999999999997E-2</v>
      </c>
      <c r="O2604" s="5">
        <v>33.225999999999999</v>
      </c>
      <c r="P2604" s="6">
        <v>0.17799999999999999</v>
      </c>
      <c r="Q2604" s="5">
        <v>376364.55499999999</v>
      </c>
      <c r="R2604" s="1" t="s">
        <v>44</v>
      </c>
      <c r="T2604" s="1" t="s">
        <v>93</v>
      </c>
      <c r="V2604" s="1" t="s">
        <v>95</v>
      </c>
      <c r="Y2604" s="1" t="s">
        <v>461</v>
      </c>
      <c r="Z2604" s="1" t="str">
        <f t="shared" si="120"/>
        <v>55224 EU-02</v>
      </c>
      <c r="AA2604" s="3">
        <f>IF(INDEX('CAMD Facility Data 2023'!$AA$2:$AE$10000,MATCH(Z2604,'CAMD Facility Data 2023'!$AE$2:$AE$10000,0),1)&gt;0,INDEX('CAMD Facility Data 2023'!$AA$2:$AE$10000,MATCH(Z2604,'CAMD Facility Data 2023'!$AE$2:$AE$10000,0),1),"")</f>
        <v>36678</v>
      </c>
      <c r="AB2604" s="5">
        <f>IF(INDEX('CAMD Facility Data 2023'!$AC$2:$AE$10000,MATCH(Z2604,'CAMD Facility Data 2023'!$AE$2:$AE$10000,0),1)&gt;0,INDEX('CAMD Facility Data 2023'!$AC$2:$AE$10000,MATCH(Z2604,'CAMD Facility Data 2023'!$AE$2:$AE$10000,0),1),"")</f>
        <v>1600</v>
      </c>
      <c r="AC2604" s="1" t="str">
        <f>IF(INDEX('CAMD Facility Data 2023'!$AE$2:$AG$10000,MATCH(Z2604,'CAMD Facility Data 2023'!$AE$2:$AE$10000,0),3)&gt;0,INDEX('CAMD Facility Data 2023'!$AE$2:$AG$10000,MATCH(Z2604,'CAMD Facility Data 2023'!$AE$2:$AE$10000,0),3),"")</f>
        <v/>
      </c>
      <c r="AD2604" s="20">
        <f t="shared" si="121"/>
        <v>2.3193047251313974</v>
      </c>
      <c r="AE2604" s="25">
        <f t="shared" si="122"/>
        <v>2.6852493935502281E-2</v>
      </c>
    </row>
    <row r="2605" spans="1:31" x14ac:dyDescent="0.2">
      <c r="A2605" s="1" t="s">
        <v>1071</v>
      </c>
      <c r="B2605" s="1" t="s">
        <v>6057</v>
      </c>
      <c r="C2605" s="1">
        <v>55224</v>
      </c>
      <c r="D2605" s="1" t="s">
        <v>6062</v>
      </c>
      <c r="F2605" s="1">
        <v>2023</v>
      </c>
      <c r="G2605" s="5">
        <v>342</v>
      </c>
      <c r="H2605" s="5">
        <v>309.27</v>
      </c>
      <c r="I2605" s="5">
        <v>28551.41</v>
      </c>
      <c r="K2605" s="5">
        <v>0.114</v>
      </c>
      <c r="L2605" s="5">
        <v>1E-3</v>
      </c>
      <c r="M2605" s="5">
        <v>22543.251</v>
      </c>
      <c r="N2605" s="6">
        <v>5.8999999999999997E-2</v>
      </c>
      <c r="O2605" s="5">
        <v>34.606000000000002</v>
      </c>
      <c r="P2605" s="6">
        <v>0.1835</v>
      </c>
      <c r="Q2605" s="5">
        <v>379327.64399999997</v>
      </c>
      <c r="R2605" s="1" t="s">
        <v>44</v>
      </c>
      <c r="T2605" s="1" t="s">
        <v>93</v>
      </c>
      <c r="V2605" s="1" t="s">
        <v>95</v>
      </c>
      <c r="Y2605" s="1" t="s">
        <v>461</v>
      </c>
      <c r="Z2605" s="1" t="str">
        <f t="shared" si="120"/>
        <v>55224 EU-03</v>
      </c>
      <c r="AA2605" s="3">
        <f>IF(INDEX('CAMD Facility Data 2023'!$AA$2:$AE$10000,MATCH(Z2605,'CAMD Facility Data 2023'!$AE$2:$AE$10000,0),1)&gt;0,INDEX('CAMD Facility Data 2023'!$AA$2:$AE$10000,MATCH(Z2605,'CAMD Facility Data 2023'!$AE$2:$AE$10000,0),1),"")</f>
        <v>36678</v>
      </c>
      <c r="AB2605" s="5">
        <f>IF(INDEX('CAMD Facility Data 2023'!$AC$2:$AE$10000,MATCH(Z2605,'CAMD Facility Data 2023'!$AE$2:$AE$10000,0),1)&gt;0,INDEX('CAMD Facility Data 2023'!$AC$2:$AE$10000,MATCH(Z2605,'CAMD Facility Data 2023'!$AE$2:$AE$10000,0),1),"")</f>
        <v>1600</v>
      </c>
      <c r="AC2605" s="1" t="str">
        <f>IF(INDEX('CAMD Facility Data 2023'!$AE$2:$AG$10000,MATCH(Z2605,'CAMD Facility Data 2023'!$AE$2:$AE$10000,0),3)&gt;0,INDEX('CAMD Facility Data 2023'!$AE$2:$AG$10000,MATCH(Z2605,'CAMD Facility Data 2023'!$AE$2:$AE$10000,0),3),"")</f>
        <v/>
      </c>
      <c r="AD2605" s="20">
        <f t="shared" si="121"/>
        <v>2.4241184585980169</v>
      </c>
      <c r="AE2605" s="25">
        <f t="shared" si="122"/>
        <v>2.7063901541095888E-2</v>
      </c>
    </row>
    <row r="2606" spans="1:31" x14ac:dyDescent="0.2">
      <c r="A2606" s="1" t="s">
        <v>1071</v>
      </c>
      <c r="B2606" s="1" t="s">
        <v>6057</v>
      </c>
      <c r="C2606" s="1">
        <v>55224</v>
      </c>
      <c r="D2606" s="1" t="s">
        <v>6064</v>
      </c>
      <c r="F2606" s="1">
        <v>2023</v>
      </c>
      <c r="G2606" s="5">
        <v>101</v>
      </c>
      <c r="H2606" s="5">
        <v>88.16</v>
      </c>
      <c r="I2606" s="5">
        <v>7484.11</v>
      </c>
      <c r="K2606" s="5">
        <v>0.03</v>
      </c>
      <c r="L2606" s="5">
        <v>1E-3</v>
      </c>
      <c r="M2606" s="5">
        <v>6029.915</v>
      </c>
      <c r="N2606" s="6">
        <v>5.8999999999999997E-2</v>
      </c>
      <c r="O2606" s="5">
        <v>7.5250000000000004</v>
      </c>
      <c r="P2606" s="6">
        <v>0.15790000000000001</v>
      </c>
      <c r="Q2606" s="5">
        <v>101463.986</v>
      </c>
      <c r="R2606" s="1" t="s">
        <v>44</v>
      </c>
      <c r="T2606" s="1" t="s">
        <v>93</v>
      </c>
      <c r="V2606" s="1" t="s">
        <v>95</v>
      </c>
      <c r="Y2606" s="1" t="s">
        <v>461</v>
      </c>
      <c r="Z2606" s="1" t="str">
        <f t="shared" si="120"/>
        <v>55224 EU-04</v>
      </c>
      <c r="AA2606" s="3">
        <f>IF(INDEX('CAMD Facility Data 2023'!$AA$2:$AE$10000,MATCH(Z2606,'CAMD Facility Data 2023'!$AE$2:$AE$10000,0),1)&gt;0,INDEX('CAMD Facility Data 2023'!$AA$2:$AE$10000,MATCH(Z2606,'CAMD Facility Data 2023'!$AE$2:$AE$10000,0),1),"")</f>
        <v>36678</v>
      </c>
      <c r="AB2606" s="5">
        <f>IF(INDEX('CAMD Facility Data 2023'!$AC$2:$AE$10000,MATCH(Z2606,'CAMD Facility Data 2023'!$AE$2:$AE$10000,0),1)&gt;0,INDEX('CAMD Facility Data 2023'!$AC$2:$AE$10000,MATCH(Z2606,'CAMD Facility Data 2023'!$AE$2:$AE$10000,0),1),"")</f>
        <v>1600</v>
      </c>
      <c r="AC2606" s="1" t="str">
        <f>IF(INDEX('CAMD Facility Data 2023'!$AE$2:$AG$10000,MATCH(Z2606,'CAMD Facility Data 2023'!$AE$2:$AE$10000,0),3)&gt;0,INDEX('CAMD Facility Data 2023'!$AE$2:$AG$10000,MATCH(Z2606,'CAMD Facility Data 2023'!$AE$2:$AE$10000,0),3),"")</f>
        <v/>
      </c>
      <c r="AD2606" s="20">
        <f t="shared" si="121"/>
        <v>2.0109271509905655</v>
      </c>
      <c r="AE2606" s="25">
        <f t="shared" si="122"/>
        <v>7.2391542522831052E-3</v>
      </c>
    </row>
    <row r="2607" spans="1:31" x14ac:dyDescent="0.2">
      <c r="A2607" s="1" t="s">
        <v>335</v>
      </c>
      <c r="B2607" s="1" t="s">
        <v>6066</v>
      </c>
      <c r="C2607" s="1">
        <v>55225</v>
      </c>
      <c r="D2607" s="1" t="s">
        <v>5681</v>
      </c>
      <c r="F2607" s="1">
        <v>2023</v>
      </c>
      <c r="G2607" s="5">
        <v>6436</v>
      </c>
      <c r="H2607" s="5">
        <v>6186.14</v>
      </c>
      <c r="I2607" s="5">
        <v>1467160.73</v>
      </c>
      <c r="K2607" s="5">
        <v>3.2290000000000001</v>
      </c>
      <c r="L2607" s="5">
        <v>1E-3</v>
      </c>
      <c r="M2607" s="5">
        <v>639717.78</v>
      </c>
      <c r="N2607" s="6">
        <v>5.8999999999999997E-2</v>
      </c>
      <c r="O2607" s="5">
        <v>207.208</v>
      </c>
      <c r="P2607" s="6">
        <v>4.5900000000000003E-2</v>
      </c>
      <c r="Q2607" s="5">
        <v>10764444.875</v>
      </c>
      <c r="R2607" s="1" t="s">
        <v>44</v>
      </c>
      <c r="T2607" s="1" t="s">
        <v>71</v>
      </c>
      <c r="V2607" s="1" t="s">
        <v>140</v>
      </c>
      <c r="Y2607" s="1" t="s">
        <v>346</v>
      </c>
      <c r="Z2607" s="1" t="str">
        <f t="shared" si="120"/>
        <v>55225 CTG-1</v>
      </c>
      <c r="AA2607" s="3">
        <f>IF(INDEX('CAMD Facility Data 2023'!$AA$2:$AE$10000,MATCH(Z2607,'CAMD Facility Data 2023'!$AE$2:$AE$10000,0),1)&gt;0,INDEX('CAMD Facility Data 2023'!$AA$2:$AE$10000,MATCH(Z2607,'CAMD Facility Data 2023'!$AE$2:$AE$10000,0),1),"")</f>
        <v>37408</v>
      </c>
      <c r="AB2607" s="5">
        <f>IF(INDEX('CAMD Facility Data 2023'!$AC$2:$AE$10000,MATCH(Z2607,'CAMD Facility Data 2023'!$AE$2:$AE$10000,0),1)&gt;0,INDEX('CAMD Facility Data 2023'!$AC$2:$AE$10000,MATCH(Z2607,'CAMD Facility Data 2023'!$AE$2:$AE$10000,0),1),"")</f>
        <v>4585</v>
      </c>
      <c r="AC2607" s="1" t="str">
        <f>IF(INDEX('CAMD Facility Data 2023'!$AE$2:$AG$10000,MATCH(Z2607,'CAMD Facility Data 2023'!$AE$2:$AE$10000,0),3)&gt;0,INDEX('CAMD Facility Data 2023'!$AE$2:$AG$10000,MATCH(Z2607,'CAMD Facility Data 2023'!$AE$2:$AE$10000,0),3),"")</f>
        <v/>
      </c>
      <c r="AD2607" s="20">
        <f t="shared" si="121"/>
        <v>0.28246121336685448</v>
      </c>
      <c r="AE2607" s="25">
        <f t="shared" si="122"/>
        <v>0.26800826785278581</v>
      </c>
    </row>
    <row r="2608" spans="1:31" x14ac:dyDescent="0.2">
      <c r="A2608" s="1" t="s">
        <v>335</v>
      </c>
      <c r="B2608" s="1" t="s">
        <v>6066</v>
      </c>
      <c r="C2608" s="1">
        <v>55225</v>
      </c>
      <c r="D2608" s="1" t="s">
        <v>5684</v>
      </c>
      <c r="F2608" s="1">
        <v>2023</v>
      </c>
      <c r="G2608" s="5">
        <v>6575</v>
      </c>
      <c r="H2608" s="5">
        <v>6293.43</v>
      </c>
      <c r="I2608" s="5">
        <v>1502502.54</v>
      </c>
      <c r="K2608" s="5">
        <v>3.2480000000000002</v>
      </c>
      <c r="L2608" s="5">
        <v>1E-3</v>
      </c>
      <c r="M2608" s="5">
        <v>643382.39399999997</v>
      </c>
      <c r="N2608" s="6">
        <v>5.8999999999999997E-2</v>
      </c>
      <c r="O2608" s="5">
        <v>196.13200000000001</v>
      </c>
      <c r="P2608" s="6">
        <v>4.2200000000000001E-2</v>
      </c>
      <c r="Q2608" s="5">
        <v>10826163.811000001</v>
      </c>
      <c r="R2608" s="1" t="s">
        <v>44</v>
      </c>
      <c r="T2608" s="1" t="s">
        <v>71</v>
      </c>
      <c r="V2608" s="1" t="s">
        <v>140</v>
      </c>
      <c r="Y2608" s="1" t="s">
        <v>346</v>
      </c>
      <c r="Z2608" s="1" t="str">
        <f t="shared" si="120"/>
        <v>55225 CTG-2</v>
      </c>
      <c r="AA2608" s="3">
        <f>IF(INDEX('CAMD Facility Data 2023'!$AA$2:$AE$10000,MATCH(Z2608,'CAMD Facility Data 2023'!$AE$2:$AE$10000,0),1)&gt;0,INDEX('CAMD Facility Data 2023'!$AA$2:$AE$10000,MATCH(Z2608,'CAMD Facility Data 2023'!$AE$2:$AE$10000,0),1),"")</f>
        <v>37408</v>
      </c>
      <c r="AB2608" s="5">
        <f>IF(INDEX('CAMD Facility Data 2023'!$AC$2:$AE$10000,MATCH(Z2608,'CAMD Facility Data 2023'!$AE$2:$AE$10000,0),1)&gt;0,INDEX('CAMD Facility Data 2023'!$AC$2:$AE$10000,MATCH(Z2608,'CAMD Facility Data 2023'!$AE$2:$AE$10000,0),1),"")</f>
        <v>4585</v>
      </c>
      <c r="AC2608" s="1" t="str">
        <f>IF(INDEX('CAMD Facility Data 2023'!$AE$2:$AG$10000,MATCH(Z2608,'CAMD Facility Data 2023'!$AE$2:$AE$10000,0),3)&gt;0,INDEX('CAMD Facility Data 2023'!$AE$2:$AG$10000,MATCH(Z2608,'CAMD Facility Data 2023'!$AE$2:$AE$10000,0),3),"")</f>
        <v/>
      </c>
      <c r="AD2608" s="20">
        <f t="shared" si="121"/>
        <v>0.26107376830125023</v>
      </c>
      <c r="AE2608" s="25">
        <f t="shared" si="122"/>
        <v>0.26954491793768642</v>
      </c>
    </row>
    <row r="2609" spans="1:31" x14ac:dyDescent="0.2">
      <c r="A2609" s="1" t="s">
        <v>335</v>
      </c>
      <c r="B2609" s="1" t="s">
        <v>6066</v>
      </c>
      <c r="C2609" s="1">
        <v>55225</v>
      </c>
      <c r="D2609" s="1" t="s">
        <v>5750</v>
      </c>
      <c r="F2609" s="1">
        <v>2023</v>
      </c>
      <c r="G2609" s="5">
        <v>6008</v>
      </c>
      <c r="H2609" s="5">
        <v>5763.84</v>
      </c>
      <c r="I2609" s="5">
        <v>1385257.11</v>
      </c>
      <c r="K2609" s="5">
        <v>2.9950000000000001</v>
      </c>
      <c r="L2609" s="5">
        <v>1E-3</v>
      </c>
      <c r="M2609" s="5">
        <v>593295.67200000002</v>
      </c>
      <c r="N2609" s="6">
        <v>5.8999999999999997E-2</v>
      </c>
      <c r="O2609" s="5">
        <v>180.66200000000001</v>
      </c>
      <c r="P2609" s="6">
        <v>4.3200000000000002E-2</v>
      </c>
      <c r="Q2609" s="5">
        <v>9983279.3809999991</v>
      </c>
      <c r="R2609" s="1" t="s">
        <v>44</v>
      </c>
      <c r="T2609" s="1" t="s">
        <v>71</v>
      </c>
      <c r="V2609" s="1" t="s">
        <v>140</v>
      </c>
      <c r="Y2609" s="1" t="s">
        <v>346</v>
      </c>
      <c r="Z2609" s="1" t="str">
        <f t="shared" si="120"/>
        <v>55225 CTG-3</v>
      </c>
      <c r="AA2609" s="3">
        <f>IF(INDEX('CAMD Facility Data 2023'!$AA$2:$AE$10000,MATCH(Z2609,'CAMD Facility Data 2023'!$AE$2:$AE$10000,0),1)&gt;0,INDEX('CAMD Facility Data 2023'!$AA$2:$AE$10000,MATCH(Z2609,'CAMD Facility Data 2023'!$AE$2:$AE$10000,0),1),"")</f>
        <v>37561</v>
      </c>
      <c r="AB2609" s="5">
        <f>IF(INDEX('CAMD Facility Data 2023'!$AC$2:$AE$10000,MATCH(Z2609,'CAMD Facility Data 2023'!$AE$2:$AE$10000,0),1)&gt;0,INDEX('CAMD Facility Data 2023'!$AC$2:$AE$10000,MATCH(Z2609,'CAMD Facility Data 2023'!$AE$2:$AE$10000,0),1),"")</f>
        <v>4585</v>
      </c>
      <c r="AC2609" s="1" t="str">
        <f>IF(INDEX('CAMD Facility Data 2023'!$AE$2:$AG$10000,MATCH(Z2609,'CAMD Facility Data 2023'!$AE$2:$AE$10000,0),3)&gt;0,INDEX('CAMD Facility Data 2023'!$AE$2:$AG$10000,MATCH(Z2609,'CAMD Facility Data 2023'!$AE$2:$AE$10000,0),3),"")</f>
        <v/>
      </c>
      <c r="AD2609" s="20">
        <f t="shared" si="121"/>
        <v>0.2608353333050209</v>
      </c>
      <c r="AE2609" s="25">
        <f t="shared" si="122"/>
        <v>0.24855916356692209</v>
      </c>
    </row>
    <row r="2610" spans="1:31" x14ac:dyDescent="0.2">
      <c r="A2610" s="1" t="s">
        <v>335</v>
      </c>
      <c r="B2610" s="1" t="s">
        <v>6066</v>
      </c>
      <c r="C2610" s="1">
        <v>55225</v>
      </c>
      <c r="D2610" s="1" t="s">
        <v>5799</v>
      </c>
      <c r="F2610" s="1">
        <v>2023</v>
      </c>
      <c r="G2610" s="5">
        <v>6275</v>
      </c>
      <c r="H2610" s="5">
        <v>6037</v>
      </c>
      <c r="I2610" s="5">
        <v>1434222.33</v>
      </c>
      <c r="K2610" s="5">
        <v>3.1989999999999998</v>
      </c>
      <c r="L2610" s="5">
        <v>1E-3</v>
      </c>
      <c r="M2610" s="5">
        <v>633644.79099999997</v>
      </c>
      <c r="N2610" s="6">
        <v>5.8999999999999997E-2</v>
      </c>
      <c r="O2610" s="5">
        <v>177.79499999999999</v>
      </c>
      <c r="P2610" s="6">
        <v>4.0500000000000001E-2</v>
      </c>
      <c r="Q2610" s="5">
        <v>10662295.223999999</v>
      </c>
      <c r="R2610" s="1" t="s">
        <v>44</v>
      </c>
      <c r="T2610" s="1" t="s">
        <v>71</v>
      </c>
      <c r="V2610" s="1" t="s">
        <v>140</v>
      </c>
      <c r="Y2610" s="1" t="s">
        <v>346</v>
      </c>
      <c r="Z2610" s="1" t="str">
        <f t="shared" si="120"/>
        <v>55225 CTG-4</v>
      </c>
      <c r="AA2610" s="3">
        <f>IF(INDEX('CAMD Facility Data 2023'!$AA$2:$AE$10000,MATCH(Z2610,'CAMD Facility Data 2023'!$AE$2:$AE$10000,0),1)&gt;0,INDEX('CAMD Facility Data 2023'!$AA$2:$AE$10000,MATCH(Z2610,'CAMD Facility Data 2023'!$AE$2:$AE$10000,0),1),"")</f>
        <v>37567</v>
      </c>
      <c r="AB2610" s="5">
        <f>IF(INDEX('CAMD Facility Data 2023'!$AC$2:$AE$10000,MATCH(Z2610,'CAMD Facility Data 2023'!$AE$2:$AE$10000,0),1)&gt;0,INDEX('CAMD Facility Data 2023'!$AC$2:$AE$10000,MATCH(Z2610,'CAMD Facility Data 2023'!$AE$2:$AE$10000,0),1),"")</f>
        <v>4585</v>
      </c>
      <c r="AC2610" s="1" t="str">
        <f>IF(INDEX('CAMD Facility Data 2023'!$AE$2:$AG$10000,MATCH(Z2610,'CAMD Facility Data 2023'!$AE$2:$AE$10000,0),3)&gt;0,INDEX('CAMD Facility Data 2023'!$AE$2:$AG$10000,MATCH(Z2610,'CAMD Facility Data 2023'!$AE$2:$AE$10000,0),3),"")</f>
        <v/>
      </c>
      <c r="AD2610" s="20">
        <f t="shared" si="121"/>
        <v>0.24793227142126562</v>
      </c>
      <c r="AE2610" s="25">
        <f t="shared" si="122"/>
        <v>0.26546499215727282</v>
      </c>
    </row>
    <row r="2611" spans="1:31" x14ac:dyDescent="0.2">
      <c r="A2611" s="1" t="s">
        <v>383</v>
      </c>
      <c r="B2611" s="1" t="s">
        <v>6075</v>
      </c>
      <c r="C2611" s="1">
        <v>55226</v>
      </c>
      <c r="D2611" s="1" t="s">
        <v>280</v>
      </c>
      <c r="F2611" s="1">
        <v>2023</v>
      </c>
      <c r="G2611" s="5">
        <v>8046</v>
      </c>
      <c r="H2611" s="5">
        <v>8012.91</v>
      </c>
      <c r="I2611" s="5">
        <v>1957245.87</v>
      </c>
      <c r="K2611" s="5">
        <v>3.9740000000000002</v>
      </c>
      <c r="L2611" s="5">
        <v>1E-3</v>
      </c>
      <c r="M2611" s="5">
        <v>787234.47100000002</v>
      </c>
      <c r="N2611" s="6">
        <v>5.8999999999999997E-2</v>
      </c>
      <c r="O2611" s="5">
        <v>190.13900000000001</v>
      </c>
      <c r="P2611" s="6">
        <v>2.93E-2</v>
      </c>
      <c r="Q2611" s="5">
        <v>13246705.564999999</v>
      </c>
      <c r="R2611" s="1" t="s">
        <v>44</v>
      </c>
      <c r="T2611" s="1" t="s">
        <v>71</v>
      </c>
      <c r="V2611" s="1" t="s">
        <v>140</v>
      </c>
      <c r="Y2611" s="1" t="s">
        <v>346</v>
      </c>
      <c r="Z2611" s="1" t="str">
        <f t="shared" si="120"/>
        <v>55226 GT1</v>
      </c>
      <c r="AA2611" s="3">
        <f>IF(INDEX('CAMD Facility Data 2023'!$AA$2:$AE$10000,MATCH(Z2611,'CAMD Facility Data 2023'!$AE$2:$AE$10000,0),1)&gt;0,INDEX('CAMD Facility Data 2023'!$AA$2:$AE$10000,MATCH(Z2611,'CAMD Facility Data 2023'!$AE$2:$AE$10000,0),1),"")</f>
        <v>37345</v>
      </c>
      <c r="AB2611" s="5">
        <f>IF(INDEX('CAMD Facility Data 2023'!$AC$2:$AE$10000,MATCH(Z2611,'CAMD Facility Data 2023'!$AE$2:$AE$10000,0),1)&gt;0,INDEX('CAMD Facility Data 2023'!$AC$2:$AE$10000,MATCH(Z2611,'CAMD Facility Data 2023'!$AE$2:$AE$10000,0),1),"")</f>
        <v>2050</v>
      </c>
      <c r="AC2611" s="1" t="str">
        <f>IF(INDEX('CAMD Facility Data 2023'!$AE$2:$AG$10000,MATCH(Z2611,'CAMD Facility Data 2023'!$AE$2:$AE$10000,0),3)&gt;0,INDEX('CAMD Facility Data 2023'!$AE$2:$AG$10000,MATCH(Z2611,'CAMD Facility Data 2023'!$AE$2:$AE$10000,0),3),"")</f>
        <v/>
      </c>
      <c r="AD2611" s="20">
        <f t="shared" si="121"/>
        <v>0.19429240129141259</v>
      </c>
      <c r="AE2611" s="25">
        <f t="shared" si="122"/>
        <v>0.73764926857111035</v>
      </c>
    </row>
    <row r="2612" spans="1:31" x14ac:dyDescent="0.2">
      <c r="A2612" s="1" t="s">
        <v>383</v>
      </c>
      <c r="B2612" s="1" t="s">
        <v>6075</v>
      </c>
      <c r="C2612" s="1">
        <v>55226</v>
      </c>
      <c r="D2612" s="1" t="s">
        <v>1102</v>
      </c>
      <c r="F2612" s="1">
        <v>2023</v>
      </c>
      <c r="G2612" s="5">
        <v>7746</v>
      </c>
      <c r="H2612" s="5">
        <v>7699.29</v>
      </c>
      <c r="I2612" s="5">
        <v>1904859.12</v>
      </c>
      <c r="K2612" s="5">
        <v>3.903</v>
      </c>
      <c r="L2612" s="5">
        <v>1E-3</v>
      </c>
      <c r="M2612" s="5">
        <v>773050.46900000004</v>
      </c>
      <c r="N2612" s="6">
        <v>5.8999999999999997E-2</v>
      </c>
      <c r="O2612" s="5">
        <v>192.40299999999999</v>
      </c>
      <c r="P2612" s="6">
        <v>3.04E-2</v>
      </c>
      <c r="Q2612" s="5">
        <v>13008089.810000001</v>
      </c>
      <c r="R2612" s="1" t="s">
        <v>44</v>
      </c>
      <c r="T2612" s="1" t="s">
        <v>71</v>
      </c>
      <c r="V2612" s="1" t="s">
        <v>140</v>
      </c>
      <c r="Y2612" s="1" t="s">
        <v>346</v>
      </c>
      <c r="Z2612" s="1" t="str">
        <f t="shared" si="120"/>
        <v>55226 GT2</v>
      </c>
      <c r="AA2612" s="3">
        <f>IF(INDEX('CAMD Facility Data 2023'!$AA$2:$AE$10000,MATCH(Z2612,'CAMD Facility Data 2023'!$AE$2:$AE$10000,0),1)&gt;0,INDEX('CAMD Facility Data 2023'!$AA$2:$AE$10000,MATCH(Z2612,'CAMD Facility Data 2023'!$AE$2:$AE$10000,0),1),"")</f>
        <v>37345</v>
      </c>
      <c r="AB2612" s="5">
        <f>IF(INDEX('CAMD Facility Data 2023'!$AC$2:$AE$10000,MATCH(Z2612,'CAMD Facility Data 2023'!$AE$2:$AE$10000,0),1)&gt;0,INDEX('CAMD Facility Data 2023'!$AC$2:$AE$10000,MATCH(Z2612,'CAMD Facility Data 2023'!$AE$2:$AE$10000,0),1),"")</f>
        <v>2050</v>
      </c>
      <c r="AC2612" s="1" t="str">
        <f>IF(INDEX('CAMD Facility Data 2023'!$AE$2:$AG$10000,MATCH(Z2612,'CAMD Facility Data 2023'!$AE$2:$AE$10000,0),3)&gt;0,INDEX('CAMD Facility Data 2023'!$AE$2:$AG$10000,MATCH(Z2612,'CAMD Facility Data 2023'!$AE$2:$AE$10000,0),3),"")</f>
        <v/>
      </c>
      <c r="AD2612" s="20">
        <f t="shared" si="121"/>
        <v>0.20201283966868896</v>
      </c>
      <c r="AE2612" s="25">
        <f t="shared" si="122"/>
        <v>0.72436183372313179</v>
      </c>
    </row>
    <row r="2613" spans="1:31" x14ac:dyDescent="0.2">
      <c r="A2613" s="1" t="s">
        <v>383</v>
      </c>
      <c r="B2613" s="1" t="s">
        <v>6075</v>
      </c>
      <c r="C2613" s="1">
        <v>55226</v>
      </c>
      <c r="D2613" s="1" t="s">
        <v>246</v>
      </c>
      <c r="F2613" s="1">
        <v>2023</v>
      </c>
      <c r="G2613" s="5">
        <v>8239</v>
      </c>
      <c r="H2613" s="5">
        <v>8212.93</v>
      </c>
      <c r="I2613" s="5">
        <v>2058154.92</v>
      </c>
      <c r="K2613" s="5">
        <v>4.1630000000000003</v>
      </c>
      <c r="L2613" s="5">
        <v>1E-3</v>
      </c>
      <c r="M2613" s="5">
        <v>824703.19400000002</v>
      </c>
      <c r="N2613" s="6">
        <v>5.8999999999999997E-2</v>
      </c>
      <c r="O2613" s="5">
        <v>214.63499999999999</v>
      </c>
      <c r="P2613" s="6">
        <v>3.1300000000000001E-2</v>
      </c>
      <c r="Q2613" s="5">
        <v>13877267.778000001</v>
      </c>
      <c r="R2613" s="1" t="s">
        <v>44</v>
      </c>
      <c r="T2613" s="1" t="s">
        <v>71</v>
      </c>
      <c r="V2613" s="1" t="s">
        <v>140</v>
      </c>
      <c r="Y2613" s="1" t="s">
        <v>346</v>
      </c>
      <c r="Z2613" s="1" t="str">
        <f t="shared" si="120"/>
        <v>55226 GT3</v>
      </c>
      <c r="AA2613" s="3">
        <f>IF(INDEX('CAMD Facility Data 2023'!$AA$2:$AE$10000,MATCH(Z2613,'CAMD Facility Data 2023'!$AE$2:$AE$10000,0),1)&gt;0,INDEX('CAMD Facility Data 2023'!$AA$2:$AE$10000,MATCH(Z2613,'CAMD Facility Data 2023'!$AE$2:$AE$10000,0),1),"")</f>
        <v>37391</v>
      </c>
      <c r="AB2613" s="5">
        <f>IF(INDEX('CAMD Facility Data 2023'!$AC$2:$AE$10000,MATCH(Z2613,'CAMD Facility Data 2023'!$AE$2:$AE$10000,0),1)&gt;0,INDEX('CAMD Facility Data 2023'!$AC$2:$AE$10000,MATCH(Z2613,'CAMD Facility Data 2023'!$AE$2:$AE$10000,0),1),"")</f>
        <v>2050</v>
      </c>
      <c r="AC2613" s="1" t="str">
        <f>IF(INDEX('CAMD Facility Data 2023'!$AE$2:$AG$10000,MATCH(Z2613,'CAMD Facility Data 2023'!$AE$2:$AE$10000,0),3)&gt;0,INDEX('CAMD Facility Data 2023'!$AE$2:$AG$10000,MATCH(Z2613,'CAMD Facility Data 2023'!$AE$2:$AE$10000,0),3),"")</f>
        <v/>
      </c>
      <c r="AD2613" s="20">
        <f t="shared" si="121"/>
        <v>0.20857030529072126</v>
      </c>
      <c r="AE2613" s="25">
        <f t="shared" si="122"/>
        <v>0.77276243334447048</v>
      </c>
    </row>
    <row r="2614" spans="1:31" x14ac:dyDescent="0.2">
      <c r="A2614" s="1" t="s">
        <v>383</v>
      </c>
      <c r="B2614" s="1" t="s">
        <v>6075</v>
      </c>
      <c r="C2614" s="1">
        <v>55226</v>
      </c>
      <c r="D2614" s="1" t="s">
        <v>251</v>
      </c>
      <c r="F2614" s="1">
        <v>2023</v>
      </c>
      <c r="G2614" s="5">
        <v>7672</v>
      </c>
      <c r="H2614" s="5">
        <v>7619.42</v>
      </c>
      <c r="I2614" s="5">
        <v>1844781.33</v>
      </c>
      <c r="K2614" s="5">
        <v>3.827</v>
      </c>
      <c r="L2614" s="5">
        <v>1E-3</v>
      </c>
      <c r="M2614" s="5">
        <v>758019.35199999996</v>
      </c>
      <c r="N2614" s="6">
        <v>5.8999999999999997E-2</v>
      </c>
      <c r="O2614" s="5">
        <v>193.71199999999999</v>
      </c>
      <c r="P2614" s="6">
        <v>3.1099999999999999E-2</v>
      </c>
      <c r="Q2614" s="5">
        <v>12755211.265000001</v>
      </c>
      <c r="R2614" s="1" t="s">
        <v>44</v>
      </c>
      <c r="T2614" s="1" t="s">
        <v>71</v>
      </c>
      <c r="V2614" s="1" t="s">
        <v>140</v>
      </c>
      <c r="Y2614" s="1" t="s">
        <v>346</v>
      </c>
      <c r="Z2614" s="1" t="str">
        <f t="shared" si="120"/>
        <v>55226 GT4</v>
      </c>
      <c r="AA2614" s="3">
        <f>IF(INDEX('CAMD Facility Data 2023'!$AA$2:$AE$10000,MATCH(Z2614,'CAMD Facility Data 2023'!$AE$2:$AE$10000,0),1)&gt;0,INDEX('CAMD Facility Data 2023'!$AA$2:$AE$10000,MATCH(Z2614,'CAMD Facility Data 2023'!$AE$2:$AE$10000,0),1),"")</f>
        <v>37391</v>
      </c>
      <c r="AB2614" s="5">
        <f>IF(INDEX('CAMD Facility Data 2023'!$AC$2:$AE$10000,MATCH(Z2614,'CAMD Facility Data 2023'!$AE$2:$AE$10000,0),1)&gt;0,INDEX('CAMD Facility Data 2023'!$AC$2:$AE$10000,MATCH(Z2614,'CAMD Facility Data 2023'!$AE$2:$AE$10000,0),1),"")</f>
        <v>2050</v>
      </c>
      <c r="AC2614" s="1" t="str">
        <f>IF(INDEX('CAMD Facility Data 2023'!$AE$2:$AG$10000,MATCH(Z2614,'CAMD Facility Data 2023'!$AE$2:$AE$10000,0),3)&gt;0,INDEX('CAMD Facility Data 2023'!$AE$2:$AG$10000,MATCH(Z2614,'CAMD Facility Data 2023'!$AE$2:$AE$10000,0),3),"")</f>
        <v/>
      </c>
      <c r="AD2614" s="20">
        <f t="shared" si="121"/>
        <v>0.21001079840720199</v>
      </c>
      <c r="AE2614" s="25">
        <f t="shared" si="122"/>
        <v>0.71028016844860231</v>
      </c>
    </row>
    <row r="2615" spans="1:31" x14ac:dyDescent="0.2">
      <c r="A2615" s="1" t="s">
        <v>2430</v>
      </c>
      <c r="B2615" s="1" t="s">
        <v>6083</v>
      </c>
      <c r="C2615" s="1">
        <v>55228</v>
      </c>
      <c r="D2615" s="1" t="s">
        <v>6084</v>
      </c>
      <c r="F2615" s="1">
        <v>2023</v>
      </c>
      <c r="G2615" s="5">
        <v>704</v>
      </c>
      <c r="H2615" s="5">
        <v>544.16</v>
      </c>
      <c r="I2615" s="5">
        <v>8743.25</v>
      </c>
      <c r="K2615" s="5">
        <v>2.7E-2</v>
      </c>
      <c r="L2615" s="5">
        <v>8.0000000000000004E-4</v>
      </c>
      <c r="M2615" s="5">
        <v>5046</v>
      </c>
      <c r="N2615" s="6">
        <v>5.91E-2</v>
      </c>
      <c r="O2615" s="5">
        <v>3.7549999999999999</v>
      </c>
      <c r="P2615" s="6">
        <v>0.1177</v>
      </c>
      <c r="Q2615" s="5">
        <v>85407</v>
      </c>
      <c r="R2615" s="1" t="s">
        <v>44</v>
      </c>
      <c r="S2615" s="1" t="s">
        <v>94</v>
      </c>
      <c r="T2615" s="1" t="s">
        <v>93</v>
      </c>
      <c r="V2615" s="1" t="s">
        <v>95</v>
      </c>
      <c r="Y2615" s="1" t="s">
        <v>461</v>
      </c>
      <c r="Z2615" s="1" t="str">
        <f t="shared" si="120"/>
        <v>55228 G1CT1</v>
      </c>
      <c r="AA2615" s="3">
        <f>IF(INDEX('CAMD Facility Data 2023'!$AA$2:$AE$10000,MATCH(Z2615,'CAMD Facility Data 2023'!$AE$2:$AE$10000,0),1)&gt;0,INDEX('CAMD Facility Data 2023'!$AA$2:$AE$10000,MATCH(Z2615,'CAMD Facility Data 2023'!$AE$2:$AE$10000,0),1),"")</f>
        <v>36685</v>
      </c>
      <c r="AB2615" s="5">
        <f>IF(INDEX('CAMD Facility Data 2023'!$AC$2:$AE$10000,MATCH(Z2615,'CAMD Facility Data 2023'!$AE$2:$AE$10000,0),1)&gt;0,INDEX('CAMD Facility Data 2023'!$AC$2:$AE$10000,MATCH(Z2615,'CAMD Facility Data 2023'!$AE$2:$AE$10000,0),1),"")</f>
        <v>325</v>
      </c>
      <c r="AC2615" s="1" t="str">
        <f>IF(INDEX('CAMD Facility Data 2023'!$AE$2:$AG$10000,MATCH(Z2615,'CAMD Facility Data 2023'!$AE$2:$AE$10000,0),3)&gt;0,INDEX('CAMD Facility Data 2023'!$AE$2:$AG$10000,MATCH(Z2615,'CAMD Facility Data 2023'!$AE$2:$AE$10000,0),3),"")</f>
        <v/>
      </c>
      <c r="AD2615" s="20">
        <f t="shared" si="121"/>
        <v>0.85894833157006834</v>
      </c>
      <c r="AE2615" s="25">
        <f t="shared" si="122"/>
        <v>2.9998946259220231E-2</v>
      </c>
    </row>
    <row r="2616" spans="1:31" x14ac:dyDescent="0.2">
      <c r="A2616" s="1" t="s">
        <v>2430</v>
      </c>
      <c r="B2616" s="1" t="s">
        <v>6083</v>
      </c>
      <c r="C2616" s="1">
        <v>55228</v>
      </c>
      <c r="D2616" s="1" t="s">
        <v>6089</v>
      </c>
      <c r="F2616" s="1">
        <v>2023</v>
      </c>
      <c r="G2616" s="5">
        <v>698</v>
      </c>
      <c r="H2616" s="5">
        <v>539.87</v>
      </c>
      <c r="I2616" s="5">
        <v>8554.14</v>
      </c>
      <c r="K2616" s="5">
        <v>3.1E-2</v>
      </c>
      <c r="L2616" s="5">
        <v>8.0000000000000004E-4</v>
      </c>
      <c r="M2616" s="5">
        <v>6066</v>
      </c>
      <c r="N2616" s="6">
        <v>5.8799999999999998E-2</v>
      </c>
      <c r="O2616" s="5">
        <v>4.5449999999999999</v>
      </c>
      <c r="P2616" s="6">
        <v>0.1191</v>
      </c>
      <c r="Q2616" s="5">
        <v>102614.7</v>
      </c>
      <c r="R2616" s="1" t="s">
        <v>44</v>
      </c>
      <c r="S2616" s="1" t="s">
        <v>94</v>
      </c>
      <c r="T2616" s="1" t="s">
        <v>93</v>
      </c>
      <c r="V2616" s="1" t="s">
        <v>95</v>
      </c>
      <c r="Y2616" s="1" t="s">
        <v>461</v>
      </c>
      <c r="Z2616" s="1" t="str">
        <f t="shared" si="120"/>
        <v>55228 G1CT2</v>
      </c>
      <c r="AA2616" s="3">
        <f>IF(INDEX('CAMD Facility Data 2023'!$AA$2:$AE$10000,MATCH(Z2616,'CAMD Facility Data 2023'!$AE$2:$AE$10000,0),1)&gt;0,INDEX('CAMD Facility Data 2023'!$AA$2:$AE$10000,MATCH(Z2616,'CAMD Facility Data 2023'!$AE$2:$AE$10000,0),1),"")</f>
        <v>36685</v>
      </c>
      <c r="AB2616" s="5">
        <f>IF(INDEX('CAMD Facility Data 2023'!$AC$2:$AE$10000,MATCH(Z2616,'CAMD Facility Data 2023'!$AE$2:$AE$10000,0),1)&gt;0,INDEX('CAMD Facility Data 2023'!$AC$2:$AE$10000,MATCH(Z2616,'CAMD Facility Data 2023'!$AE$2:$AE$10000,0),1),"")</f>
        <v>325</v>
      </c>
      <c r="AC2616" s="1" t="str">
        <f>IF(INDEX('CAMD Facility Data 2023'!$AE$2:$AG$10000,MATCH(Z2616,'CAMD Facility Data 2023'!$AE$2:$AE$10000,0),3)&gt;0,INDEX('CAMD Facility Data 2023'!$AE$2:$AG$10000,MATCH(Z2616,'CAMD Facility Data 2023'!$AE$2:$AE$10000,0),3),"")</f>
        <v/>
      </c>
      <c r="AD2616" s="20">
        <f t="shared" si="121"/>
        <v>1.0626433516402585</v>
      </c>
      <c r="AE2616" s="25">
        <f t="shared" si="122"/>
        <v>3.6043097997892515E-2</v>
      </c>
    </row>
    <row r="2617" spans="1:31" x14ac:dyDescent="0.2">
      <c r="A2617" s="1" t="s">
        <v>2430</v>
      </c>
      <c r="B2617" s="1" t="s">
        <v>6083</v>
      </c>
      <c r="C2617" s="1">
        <v>55228</v>
      </c>
      <c r="D2617" s="1" t="s">
        <v>6090</v>
      </c>
      <c r="F2617" s="1">
        <v>2023</v>
      </c>
      <c r="G2617" s="5">
        <v>720</v>
      </c>
      <c r="H2617" s="5">
        <v>560.66999999999996</v>
      </c>
      <c r="I2617" s="5">
        <v>8901.99</v>
      </c>
      <c r="K2617" s="5">
        <v>3.3000000000000002E-2</v>
      </c>
      <c r="L2617" s="5">
        <v>8.9999999999999998E-4</v>
      </c>
      <c r="M2617" s="5">
        <v>5861.5</v>
      </c>
      <c r="N2617" s="6">
        <v>5.8999999999999997E-2</v>
      </c>
      <c r="O2617" s="5">
        <v>4.407</v>
      </c>
      <c r="P2617" s="6">
        <v>0.11840000000000001</v>
      </c>
      <c r="Q2617" s="5">
        <v>99343.4</v>
      </c>
      <c r="R2617" s="1" t="s">
        <v>44</v>
      </c>
      <c r="S2617" s="1" t="s">
        <v>94</v>
      </c>
      <c r="T2617" s="1" t="s">
        <v>93</v>
      </c>
      <c r="V2617" s="1" t="s">
        <v>95</v>
      </c>
      <c r="Y2617" s="1" t="s">
        <v>461</v>
      </c>
      <c r="Z2617" s="1" t="str">
        <f t="shared" si="120"/>
        <v>55228 G2CT1</v>
      </c>
      <c r="AA2617" s="3">
        <f>IF(INDEX('CAMD Facility Data 2023'!$AA$2:$AE$10000,MATCH(Z2617,'CAMD Facility Data 2023'!$AE$2:$AE$10000,0),1)&gt;0,INDEX('CAMD Facility Data 2023'!$AA$2:$AE$10000,MATCH(Z2617,'CAMD Facility Data 2023'!$AE$2:$AE$10000,0),1),"")</f>
        <v>36686</v>
      </c>
      <c r="AB2617" s="5">
        <f>IF(INDEX('CAMD Facility Data 2023'!$AC$2:$AE$10000,MATCH(Z2617,'CAMD Facility Data 2023'!$AE$2:$AE$10000,0),1)&gt;0,INDEX('CAMD Facility Data 2023'!$AC$2:$AE$10000,MATCH(Z2617,'CAMD Facility Data 2023'!$AE$2:$AE$10000,0),1),"")</f>
        <v>325</v>
      </c>
      <c r="AC2617" s="1" t="str">
        <f>IF(INDEX('CAMD Facility Data 2023'!$AE$2:$AG$10000,MATCH(Z2617,'CAMD Facility Data 2023'!$AE$2:$AE$10000,0),3)&gt;0,INDEX('CAMD Facility Data 2023'!$AE$2:$AG$10000,MATCH(Z2617,'CAMD Facility Data 2023'!$AE$2:$AE$10000,0),3),"")</f>
        <v/>
      </c>
      <c r="AD2617" s="20">
        <f t="shared" si="121"/>
        <v>0.99011569323263682</v>
      </c>
      <c r="AE2617" s="25">
        <f t="shared" si="122"/>
        <v>3.4894063926940638E-2</v>
      </c>
    </row>
    <row r="2618" spans="1:31" x14ac:dyDescent="0.2">
      <c r="A2618" s="1" t="s">
        <v>2430</v>
      </c>
      <c r="B2618" s="1" t="s">
        <v>6083</v>
      </c>
      <c r="C2618" s="1">
        <v>55228</v>
      </c>
      <c r="D2618" s="1" t="s">
        <v>6092</v>
      </c>
      <c r="F2618" s="1">
        <v>2023</v>
      </c>
      <c r="G2618" s="5">
        <v>722</v>
      </c>
      <c r="H2618" s="5">
        <v>564.07000000000005</v>
      </c>
      <c r="I2618" s="5">
        <v>9039.9599999999991</v>
      </c>
      <c r="K2618" s="5">
        <v>3.3000000000000002E-2</v>
      </c>
      <c r="L2618" s="5">
        <v>8.9999999999999998E-4</v>
      </c>
      <c r="M2618" s="5">
        <v>6035.5</v>
      </c>
      <c r="N2618" s="6">
        <v>5.8999999999999997E-2</v>
      </c>
      <c r="O2618" s="5">
        <v>4.5709999999999997</v>
      </c>
      <c r="P2618" s="6">
        <v>0.11260000000000001</v>
      </c>
      <c r="Q2618" s="5">
        <v>102220.4</v>
      </c>
      <c r="R2618" s="1" t="s">
        <v>44</v>
      </c>
      <c r="S2618" s="1" t="s">
        <v>94</v>
      </c>
      <c r="T2618" s="1" t="s">
        <v>93</v>
      </c>
      <c r="V2618" s="1" t="s">
        <v>95</v>
      </c>
      <c r="Y2618" s="1" t="s">
        <v>461</v>
      </c>
      <c r="Z2618" s="1" t="str">
        <f t="shared" si="120"/>
        <v>55228 G2CT2</v>
      </c>
      <c r="AA2618" s="3">
        <f>IF(INDEX('CAMD Facility Data 2023'!$AA$2:$AE$10000,MATCH(Z2618,'CAMD Facility Data 2023'!$AE$2:$AE$10000,0),1)&gt;0,INDEX('CAMD Facility Data 2023'!$AA$2:$AE$10000,MATCH(Z2618,'CAMD Facility Data 2023'!$AE$2:$AE$10000,0),1),"")</f>
        <v>36686</v>
      </c>
      <c r="AB2618" s="5">
        <f>IF(INDEX('CAMD Facility Data 2023'!$AC$2:$AE$10000,MATCH(Z2618,'CAMD Facility Data 2023'!$AE$2:$AE$10000,0),1)&gt;0,INDEX('CAMD Facility Data 2023'!$AC$2:$AE$10000,MATCH(Z2618,'CAMD Facility Data 2023'!$AE$2:$AE$10000,0),1),"")</f>
        <v>325</v>
      </c>
      <c r="AC2618" s="1" t="str">
        <f>IF(INDEX('CAMD Facility Data 2023'!$AE$2:$AG$10000,MATCH(Z2618,'CAMD Facility Data 2023'!$AE$2:$AE$10000,0),3)&gt;0,INDEX('CAMD Facility Data 2023'!$AE$2:$AG$10000,MATCH(Z2618,'CAMD Facility Data 2023'!$AE$2:$AE$10000,0),3),"")</f>
        <v/>
      </c>
      <c r="AD2618" s="20">
        <f t="shared" si="121"/>
        <v>1.01128766056487</v>
      </c>
      <c r="AE2618" s="25">
        <f t="shared" si="122"/>
        <v>3.5904601334738322E-2</v>
      </c>
    </row>
    <row r="2619" spans="1:31" x14ac:dyDescent="0.2">
      <c r="A2619" s="1" t="s">
        <v>2430</v>
      </c>
      <c r="B2619" s="1" t="s">
        <v>6083</v>
      </c>
      <c r="C2619" s="1">
        <v>55228</v>
      </c>
      <c r="D2619" s="1" t="s">
        <v>6093</v>
      </c>
      <c r="F2619" s="1">
        <v>2023</v>
      </c>
      <c r="G2619" s="5">
        <v>693</v>
      </c>
      <c r="H2619" s="5">
        <v>540.66999999999996</v>
      </c>
      <c r="I2619" s="5">
        <v>8632.3700000000008</v>
      </c>
      <c r="K2619" s="5">
        <v>0.03</v>
      </c>
      <c r="L2619" s="5">
        <v>8.9999999999999998E-4</v>
      </c>
      <c r="M2619" s="5">
        <v>5751.1</v>
      </c>
      <c r="N2619" s="6">
        <v>5.9299999999999999E-2</v>
      </c>
      <c r="O2619" s="5">
        <v>4.3049999999999997</v>
      </c>
      <c r="P2619" s="6">
        <v>0.1188</v>
      </c>
      <c r="Q2619" s="5">
        <v>97435</v>
      </c>
      <c r="R2619" s="1" t="s">
        <v>44</v>
      </c>
      <c r="S2619" s="1" t="s">
        <v>94</v>
      </c>
      <c r="T2619" s="1" t="s">
        <v>93</v>
      </c>
      <c r="V2619" s="1" t="s">
        <v>95</v>
      </c>
      <c r="Y2619" s="1" t="s">
        <v>461</v>
      </c>
      <c r="Z2619" s="1" t="str">
        <f t="shared" si="120"/>
        <v>55228 G3CT1</v>
      </c>
      <c r="AA2619" s="3">
        <f>IF(INDEX('CAMD Facility Data 2023'!$AA$2:$AE$10000,MATCH(Z2619,'CAMD Facility Data 2023'!$AE$2:$AE$10000,0),1)&gt;0,INDEX('CAMD Facility Data 2023'!$AA$2:$AE$10000,MATCH(Z2619,'CAMD Facility Data 2023'!$AE$2:$AE$10000,0),1),"")</f>
        <v>36688</v>
      </c>
      <c r="AB2619" s="5">
        <f>IF(INDEX('CAMD Facility Data 2023'!$AC$2:$AE$10000,MATCH(Z2619,'CAMD Facility Data 2023'!$AE$2:$AE$10000,0),1)&gt;0,INDEX('CAMD Facility Data 2023'!$AC$2:$AE$10000,MATCH(Z2619,'CAMD Facility Data 2023'!$AE$2:$AE$10000,0),1),"")</f>
        <v>325</v>
      </c>
      <c r="AC2619" s="1" t="str">
        <f>IF(INDEX('CAMD Facility Data 2023'!$AE$2:$AG$10000,MATCH(Z2619,'CAMD Facility Data 2023'!$AE$2:$AE$10000,0),3)&gt;0,INDEX('CAMD Facility Data 2023'!$AE$2:$AG$10000,MATCH(Z2619,'CAMD Facility Data 2023'!$AE$2:$AE$10000,0),3),"")</f>
        <v/>
      </c>
      <c r="AD2619" s="20">
        <f t="shared" si="121"/>
        <v>0.99740859115167668</v>
      </c>
      <c r="AE2619" s="25">
        <f t="shared" si="122"/>
        <v>3.4223744292237443E-2</v>
      </c>
    </row>
    <row r="2620" spans="1:31" x14ac:dyDescent="0.2">
      <c r="A2620" s="1" t="s">
        <v>2430</v>
      </c>
      <c r="B2620" s="1" t="s">
        <v>6083</v>
      </c>
      <c r="C2620" s="1">
        <v>55228</v>
      </c>
      <c r="D2620" s="1" t="s">
        <v>6095</v>
      </c>
      <c r="F2620" s="1">
        <v>2023</v>
      </c>
      <c r="G2620" s="5">
        <v>704</v>
      </c>
      <c r="H2620" s="5">
        <v>547.71</v>
      </c>
      <c r="I2620" s="5">
        <v>8998.94</v>
      </c>
      <c r="K2620" s="5">
        <v>3.3000000000000002E-2</v>
      </c>
      <c r="L2620" s="5">
        <v>8.9999999999999998E-4</v>
      </c>
      <c r="M2620" s="5">
        <v>5796.9</v>
      </c>
      <c r="N2620" s="6">
        <v>5.9200000000000003E-2</v>
      </c>
      <c r="O2620" s="5">
        <v>4.4020000000000001</v>
      </c>
      <c r="P2620" s="6">
        <v>0.1167</v>
      </c>
      <c r="Q2620" s="5">
        <v>98214.7</v>
      </c>
      <c r="R2620" s="1" t="s">
        <v>44</v>
      </c>
      <c r="S2620" s="1" t="s">
        <v>94</v>
      </c>
      <c r="T2620" s="1" t="s">
        <v>93</v>
      </c>
      <c r="V2620" s="1" t="s">
        <v>95</v>
      </c>
      <c r="Y2620" s="1" t="s">
        <v>461</v>
      </c>
      <c r="Z2620" s="1" t="str">
        <f t="shared" si="120"/>
        <v>55228 G3CT2</v>
      </c>
      <c r="AA2620" s="3">
        <f>IF(INDEX('CAMD Facility Data 2023'!$AA$2:$AE$10000,MATCH(Z2620,'CAMD Facility Data 2023'!$AE$2:$AE$10000,0),1)&gt;0,INDEX('CAMD Facility Data 2023'!$AA$2:$AE$10000,MATCH(Z2620,'CAMD Facility Data 2023'!$AE$2:$AE$10000,0),1),"")</f>
        <v>36688</v>
      </c>
      <c r="AB2620" s="5">
        <f>IF(INDEX('CAMD Facility Data 2023'!$AC$2:$AE$10000,MATCH(Z2620,'CAMD Facility Data 2023'!$AE$2:$AE$10000,0),1)&gt;0,INDEX('CAMD Facility Data 2023'!$AC$2:$AE$10000,MATCH(Z2620,'CAMD Facility Data 2023'!$AE$2:$AE$10000,0),1),"")</f>
        <v>325</v>
      </c>
      <c r="AC2620" s="1" t="str">
        <f>IF(INDEX('CAMD Facility Data 2023'!$AE$2:$AG$10000,MATCH(Z2620,'CAMD Facility Data 2023'!$AE$2:$AE$10000,0),3)&gt;0,INDEX('CAMD Facility Data 2023'!$AE$2:$AG$10000,MATCH(Z2620,'CAMD Facility Data 2023'!$AE$2:$AE$10000,0),3),"")</f>
        <v/>
      </c>
      <c r="AD2620" s="20">
        <f t="shared" si="121"/>
        <v>0.97833744863283889</v>
      </c>
      <c r="AE2620" s="25">
        <f t="shared" si="122"/>
        <v>3.4497611520899189E-2</v>
      </c>
    </row>
    <row r="2621" spans="1:31" x14ac:dyDescent="0.2">
      <c r="A2621" s="1" t="s">
        <v>2430</v>
      </c>
      <c r="B2621" s="1" t="s">
        <v>6083</v>
      </c>
      <c r="C2621" s="1">
        <v>55228</v>
      </c>
      <c r="D2621" s="1" t="s">
        <v>6096</v>
      </c>
      <c r="F2621" s="1">
        <v>2023</v>
      </c>
      <c r="G2621" s="5">
        <v>686</v>
      </c>
      <c r="H2621" s="5">
        <v>532.91999999999996</v>
      </c>
      <c r="I2621" s="5">
        <v>8334.2000000000007</v>
      </c>
      <c r="K2621" s="5">
        <v>0.03</v>
      </c>
      <c r="L2621" s="5">
        <v>8.0000000000000004E-4</v>
      </c>
      <c r="M2621" s="5">
        <v>5558.1</v>
      </c>
      <c r="N2621" s="6">
        <v>5.91E-2</v>
      </c>
      <c r="O2621" s="5">
        <v>4.085</v>
      </c>
      <c r="P2621" s="6">
        <v>0.1169</v>
      </c>
      <c r="Q2621" s="5">
        <v>94199.1</v>
      </c>
      <c r="R2621" s="1" t="s">
        <v>44</v>
      </c>
      <c r="S2621" s="1" t="s">
        <v>94</v>
      </c>
      <c r="T2621" s="1" t="s">
        <v>93</v>
      </c>
      <c r="V2621" s="1" t="s">
        <v>95</v>
      </c>
      <c r="Y2621" s="1" t="s">
        <v>461</v>
      </c>
      <c r="Z2621" s="1" t="str">
        <f t="shared" si="120"/>
        <v>55228 G4CT1</v>
      </c>
      <c r="AA2621" s="3">
        <f>IF(INDEX('CAMD Facility Data 2023'!$AA$2:$AE$10000,MATCH(Z2621,'CAMD Facility Data 2023'!$AE$2:$AE$10000,0),1)&gt;0,INDEX('CAMD Facility Data 2023'!$AA$2:$AE$10000,MATCH(Z2621,'CAMD Facility Data 2023'!$AE$2:$AE$10000,0),1),"")</f>
        <v>36696</v>
      </c>
      <c r="AB2621" s="5">
        <f>IF(INDEX('CAMD Facility Data 2023'!$AC$2:$AE$10000,MATCH(Z2621,'CAMD Facility Data 2023'!$AE$2:$AE$10000,0),1)&gt;0,INDEX('CAMD Facility Data 2023'!$AC$2:$AE$10000,MATCH(Z2621,'CAMD Facility Data 2023'!$AE$2:$AE$10000,0),1),"")</f>
        <v>325</v>
      </c>
      <c r="AC2621" s="1" t="str">
        <f>IF(INDEX('CAMD Facility Data 2023'!$AE$2:$AG$10000,MATCH(Z2621,'CAMD Facility Data 2023'!$AE$2:$AE$10000,0),3)&gt;0,INDEX('CAMD Facility Data 2023'!$AE$2:$AG$10000,MATCH(Z2621,'CAMD Facility Data 2023'!$AE$2:$AE$10000,0),3),"")</f>
        <v/>
      </c>
      <c r="AD2621" s="20">
        <f t="shared" si="121"/>
        <v>0.98029804900290363</v>
      </c>
      <c r="AE2621" s="25">
        <f t="shared" si="122"/>
        <v>3.3087144362486831E-2</v>
      </c>
    </row>
    <row r="2622" spans="1:31" x14ac:dyDescent="0.2">
      <c r="A2622" s="1" t="s">
        <v>2430</v>
      </c>
      <c r="B2622" s="1" t="s">
        <v>6083</v>
      </c>
      <c r="C2622" s="1">
        <v>55228</v>
      </c>
      <c r="D2622" s="1" t="s">
        <v>6097</v>
      </c>
      <c r="F2622" s="1">
        <v>2023</v>
      </c>
      <c r="G2622" s="5">
        <v>682</v>
      </c>
      <c r="H2622" s="5">
        <v>530.05999999999995</v>
      </c>
      <c r="I2622" s="5">
        <v>8619.7999999999993</v>
      </c>
      <c r="K2622" s="5">
        <v>0.03</v>
      </c>
      <c r="L2622" s="5">
        <v>8.0000000000000004E-4</v>
      </c>
      <c r="M2622" s="5">
        <v>5696</v>
      </c>
      <c r="N2622" s="6">
        <v>5.91E-2</v>
      </c>
      <c r="O2622" s="5">
        <v>4.2309999999999999</v>
      </c>
      <c r="P2622" s="6">
        <v>0.1147</v>
      </c>
      <c r="Q2622" s="5">
        <v>96496.6</v>
      </c>
      <c r="R2622" s="1" t="s">
        <v>44</v>
      </c>
      <c r="S2622" s="1" t="s">
        <v>94</v>
      </c>
      <c r="T2622" s="1" t="s">
        <v>93</v>
      </c>
      <c r="V2622" s="1" t="s">
        <v>95</v>
      </c>
      <c r="Y2622" s="1" t="s">
        <v>461</v>
      </c>
      <c r="Z2622" s="1" t="str">
        <f t="shared" si="120"/>
        <v>55228 G4CT2</v>
      </c>
      <c r="AA2622" s="3">
        <f>IF(INDEX('CAMD Facility Data 2023'!$AA$2:$AE$10000,MATCH(Z2622,'CAMD Facility Data 2023'!$AE$2:$AE$10000,0),1)&gt;0,INDEX('CAMD Facility Data 2023'!$AA$2:$AE$10000,MATCH(Z2622,'CAMD Facility Data 2023'!$AE$2:$AE$10000,0),1),"")</f>
        <v>36696</v>
      </c>
      <c r="AB2622" s="5">
        <f>IF(INDEX('CAMD Facility Data 2023'!$AC$2:$AE$10000,MATCH(Z2622,'CAMD Facility Data 2023'!$AE$2:$AE$10000,0),1)&gt;0,INDEX('CAMD Facility Data 2023'!$AC$2:$AE$10000,MATCH(Z2622,'CAMD Facility Data 2023'!$AE$2:$AE$10000,0),1),"")</f>
        <v>325</v>
      </c>
      <c r="AC2622" s="1" t="str">
        <f>IF(INDEX('CAMD Facility Data 2023'!$AE$2:$AG$10000,MATCH(Z2622,'CAMD Facility Data 2023'!$AE$2:$AE$10000,0),3)&gt;0,INDEX('CAMD Facility Data 2023'!$AE$2:$AG$10000,MATCH(Z2622,'CAMD Facility Data 2023'!$AE$2:$AE$10000,0),3),"")</f>
        <v/>
      </c>
      <c r="AD2622" s="20">
        <f t="shared" si="121"/>
        <v>0.98169331074966948</v>
      </c>
      <c r="AE2622" s="25">
        <f t="shared" si="122"/>
        <v>3.389413417632596E-2</v>
      </c>
    </row>
    <row r="2623" spans="1:31" x14ac:dyDescent="0.2">
      <c r="A2623" s="1" t="s">
        <v>1071</v>
      </c>
      <c r="B2623" s="1" t="s">
        <v>6098</v>
      </c>
      <c r="C2623" s="1">
        <v>55229</v>
      </c>
      <c r="D2623" s="1" t="s">
        <v>6084</v>
      </c>
      <c r="F2623" s="1">
        <v>2023</v>
      </c>
      <c r="G2623" s="5">
        <v>1259</v>
      </c>
      <c r="H2623" s="5">
        <v>1116.04</v>
      </c>
      <c r="I2623" s="5">
        <v>22279.73</v>
      </c>
      <c r="K2623" s="5">
        <v>0.28499999999999998</v>
      </c>
      <c r="L2623" s="5">
        <v>3.5999999999999999E-3</v>
      </c>
      <c r="M2623" s="5">
        <v>15060.5</v>
      </c>
      <c r="N2623" s="6">
        <v>5.8999999999999997E-2</v>
      </c>
      <c r="O2623" s="5">
        <v>19.762</v>
      </c>
      <c r="P2623" s="6">
        <v>0.22389999999999999</v>
      </c>
      <c r="Q2623" s="5">
        <v>254931.1</v>
      </c>
      <c r="R2623" s="1" t="s">
        <v>44</v>
      </c>
      <c r="S2623" s="1" t="s">
        <v>94</v>
      </c>
      <c r="T2623" s="1" t="s">
        <v>93</v>
      </c>
      <c r="V2623" s="1" t="s">
        <v>95</v>
      </c>
      <c r="Y2623" s="1" t="s">
        <v>461</v>
      </c>
      <c r="Z2623" s="1" t="str">
        <f t="shared" si="120"/>
        <v>55229 G1CT1</v>
      </c>
      <c r="AA2623" s="3">
        <f>IF(INDEX('CAMD Facility Data 2023'!$AA$2:$AE$10000,MATCH(Z2623,'CAMD Facility Data 2023'!$AE$2:$AE$10000,0),1)&gt;0,INDEX('CAMD Facility Data 2023'!$AA$2:$AE$10000,MATCH(Z2623,'CAMD Facility Data 2023'!$AE$2:$AE$10000,0),1),"")</f>
        <v>37043</v>
      </c>
      <c r="AB2623" s="5">
        <f>IF(INDEX('CAMD Facility Data 2023'!$AC$2:$AE$10000,MATCH(Z2623,'CAMD Facility Data 2023'!$AE$2:$AE$10000,0),1)&gt;0,INDEX('CAMD Facility Data 2023'!$AC$2:$AE$10000,MATCH(Z2623,'CAMD Facility Data 2023'!$AE$2:$AE$10000,0),1),"")</f>
        <v>305.7</v>
      </c>
      <c r="AC2623" s="1" t="str">
        <f>IF(INDEX('CAMD Facility Data 2023'!$AE$2:$AG$10000,MATCH(Z2623,'CAMD Facility Data 2023'!$AE$2:$AE$10000,0),3)&gt;0,INDEX('CAMD Facility Data 2023'!$AE$2:$AG$10000,MATCH(Z2623,'CAMD Facility Data 2023'!$AE$2:$AE$10000,0),3),"")</f>
        <v/>
      </c>
      <c r="AD2623" s="20">
        <f t="shared" si="121"/>
        <v>1.7739891820951152</v>
      </c>
      <c r="AE2623" s="25">
        <f t="shared" si="122"/>
        <v>9.5197002761832641E-2</v>
      </c>
    </row>
    <row r="2624" spans="1:31" x14ac:dyDescent="0.2">
      <c r="A2624" s="1" t="s">
        <v>1071</v>
      </c>
      <c r="B2624" s="1" t="s">
        <v>6098</v>
      </c>
      <c r="C2624" s="1">
        <v>55229</v>
      </c>
      <c r="D2624" s="1" t="s">
        <v>6089</v>
      </c>
      <c r="F2624" s="1">
        <v>2023</v>
      </c>
      <c r="G2624" s="5">
        <v>772</v>
      </c>
      <c r="H2624" s="5">
        <v>698.2</v>
      </c>
      <c r="I2624" s="5">
        <v>14556.21</v>
      </c>
      <c r="K2624" s="5">
        <v>0.37</v>
      </c>
      <c r="L2624" s="5">
        <v>5.3E-3</v>
      </c>
      <c r="M2624" s="5">
        <v>9268.1</v>
      </c>
      <c r="N2624" s="6">
        <v>5.91E-2</v>
      </c>
      <c r="O2624" s="5">
        <v>11.103999999999999</v>
      </c>
      <c r="P2624" s="6">
        <v>0.18809999999999999</v>
      </c>
      <c r="Q2624" s="5">
        <v>156587.1</v>
      </c>
      <c r="R2624" s="1" t="s">
        <v>44</v>
      </c>
      <c r="S2624" s="1" t="s">
        <v>94</v>
      </c>
      <c r="T2624" s="1" t="s">
        <v>93</v>
      </c>
      <c r="V2624" s="1" t="s">
        <v>95</v>
      </c>
      <c r="Y2624" s="1" t="s">
        <v>461</v>
      </c>
      <c r="Z2624" s="1" t="str">
        <f t="shared" si="120"/>
        <v>55229 G1CT2</v>
      </c>
      <c r="AA2624" s="3">
        <f>IF(INDEX('CAMD Facility Data 2023'!$AA$2:$AE$10000,MATCH(Z2624,'CAMD Facility Data 2023'!$AE$2:$AE$10000,0),1)&gt;0,INDEX('CAMD Facility Data 2023'!$AA$2:$AE$10000,MATCH(Z2624,'CAMD Facility Data 2023'!$AE$2:$AE$10000,0),1),"")</f>
        <v>37043</v>
      </c>
      <c r="AB2624" s="5">
        <f>IF(INDEX('CAMD Facility Data 2023'!$AC$2:$AE$10000,MATCH(Z2624,'CAMD Facility Data 2023'!$AE$2:$AE$10000,0),1)&gt;0,INDEX('CAMD Facility Data 2023'!$AC$2:$AE$10000,MATCH(Z2624,'CAMD Facility Data 2023'!$AE$2:$AE$10000,0),1),"")</f>
        <v>306.10000000000002</v>
      </c>
      <c r="AC2624" s="1" t="str">
        <f>IF(INDEX('CAMD Facility Data 2023'!$AE$2:$AG$10000,MATCH(Z2624,'CAMD Facility Data 2023'!$AE$2:$AE$10000,0),3)&gt;0,INDEX('CAMD Facility Data 2023'!$AE$2:$AG$10000,MATCH(Z2624,'CAMD Facility Data 2023'!$AE$2:$AE$10000,0),3),"")</f>
        <v/>
      </c>
      <c r="AD2624" s="20">
        <f t="shared" si="121"/>
        <v>1.525671861013272</v>
      </c>
      <c r="AE2624" s="25">
        <f t="shared" si="122"/>
        <v>5.8396732198717403E-2</v>
      </c>
    </row>
    <row r="2625" spans="1:31" x14ac:dyDescent="0.2">
      <c r="A2625" s="1" t="s">
        <v>1071</v>
      </c>
      <c r="B2625" s="1" t="s">
        <v>6098</v>
      </c>
      <c r="C2625" s="1">
        <v>55229</v>
      </c>
      <c r="D2625" s="1" t="s">
        <v>6090</v>
      </c>
      <c r="F2625" s="1">
        <v>2023</v>
      </c>
      <c r="G2625" s="5">
        <v>36</v>
      </c>
      <c r="H2625" s="5">
        <v>23.36</v>
      </c>
      <c r="I2625" s="5">
        <v>330.61</v>
      </c>
      <c r="K2625" s="5">
        <v>1E-3</v>
      </c>
      <c r="L2625" s="5">
        <v>5.0000000000000001E-4</v>
      </c>
      <c r="M2625" s="5">
        <v>238.7</v>
      </c>
      <c r="N2625" s="6">
        <v>6.0400000000000002E-2</v>
      </c>
      <c r="O2625" s="5">
        <v>0.45600000000000002</v>
      </c>
      <c r="P2625" s="6">
        <v>0.42530000000000001</v>
      </c>
      <c r="Q2625" s="5">
        <v>4050.8</v>
      </c>
      <c r="R2625" s="1" t="s">
        <v>44</v>
      </c>
      <c r="S2625" s="1" t="s">
        <v>94</v>
      </c>
      <c r="T2625" s="1" t="s">
        <v>93</v>
      </c>
      <c r="V2625" s="1" t="s">
        <v>95</v>
      </c>
      <c r="Y2625" s="1" t="s">
        <v>461</v>
      </c>
      <c r="Z2625" s="1" t="str">
        <f t="shared" si="120"/>
        <v>55229 G2CT1</v>
      </c>
      <c r="AA2625" s="3">
        <f>IF(INDEX('CAMD Facility Data 2023'!$AA$2:$AE$10000,MATCH(Z2625,'CAMD Facility Data 2023'!$AE$2:$AE$10000,0),1)&gt;0,INDEX('CAMD Facility Data 2023'!$AA$2:$AE$10000,MATCH(Z2625,'CAMD Facility Data 2023'!$AE$2:$AE$10000,0),1),"")</f>
        <v>37043</v>
      </c>
      <c r="AB2625" s="5">
        <f>IF(INDEX('CAMD Facility Data 2023'!$AC$2:$AE$10000,MATCH(Z2625,'CAMD Facility Data 2023'!$AE$2:$AE$10000,0),1)&gt;0,INDEX('CAMD Facility Data 2023'!$AC$2:$AE$10000,MATCH(Z2625,'CAMD Facility Data 2023'!$AE$2:$AE$10000,0),1),"")</f>
        <v>380.5</v>
      </c>
      <c r="AC2625" s="1" t="str">
        <f>IF(INDEX('CAMD Facility Data 2023'!$AE$2:$AG$10000,MATCH(Z2625,'CAMD Facility Data 2023'!$AE$2:$AE$10000,0),3)&gt;0,INDEX('CAMD Facility Data 2023'!$AE$2:$AG$10000,MATCH(Z2625,'CAMD Facility Data 2023'!$AE$2:$AE$10000,0),3),"")</f>
        <v/>
      </c>
      <c r="AD2625" s="20">
        <f t="shared" si="121"/>
        <v>2.7585372493270013</v>
      </c>
      <c r="AE2625" s="25">
        <f t="shared" si="122"/>
        <v>1.2152959036115661E-3</v>
      </c>
    </row>
    <row r="2626" spans="1:31" x14ac:dyDescent="0.2">
      <c r="A2626" s="1" t="s">
        <v>1071</v>
      </c>
      <c r="B2626" s="1" t="s">
        <v>6098</v>
      </c>
      <c r="C2626" s="1">
        <v>55229</v>
      </c>
      <c r="D2626" s="1" t="s">
        <v>6092</v>
      </c>
      <c r="F2626" s="1">
        <v>2023</v>
      </c>
      <c r="G2626" s="5">
        <v>1528</v>
      </c>
      <c r="H2626" s="5">
        <v>1356.67</v>
      </c>
      <c r="I2626" s="5">
        <v>31279.69</v>
      </c>
      <c r="K2626" s="5">
        <v>0.10100000000000001</v>
      </c>
      <c r="L2626" s="5">
        <v>1.1999999999999999E-3</v>
      </c>
      <c r="M2626" s="5">
        <v>19461.400000000001</v>
      </c>
      <c r="N2626" s="6">
        <v>5.8599999999999999E-2</v>
      </c>
      <c r="O2626" s="5">
        <v>25.202000000000002</v>
      </c>
      <c r="P2626" s="6">
        <v>0.22570000000000001</v>
      </c>
      <c r="Q2626" s="5">
        <v>329748.8</v>
      </c>
      <c r="R2626" s="1" t="s">
        <v>44</v>
      </c>
      <c r="S2626" s="1" t="s">
        <v>94</v>
      </c>
      <c r="T2626" s="1" t="s">
        <v>93</v>
      </c>
      <c r="V2626" s="1" t="s">
        <v>95</v>
      </c>
      <c r="Y2626" s="1" t="s">
        <v>461</v>
      </c>
      <c r="Z2626" s="1" t="str">
        <f t="shared" si="120"/>
        <v>55229 G2CT2</v>
      </c>
      <c r="AA2626" s="3">
        <f>IF(INDEX('CAMD Facility Data 2023'!$AA$2:$AE$10000,MATCH(Z2626,'CAMD Facility Data 2023'!$AE$2:$AE$10000,0),1)&gt;0,INDEX('CAMD Facility Data 2023'!$AA$2:$AE$10000,MATCH(Z2626,'CAMD Facility Data 2023'!$AE$2:$AE$10000,0),1),"")</f>
        <v>37043</v>
      </c>
      <c r="AB2626" s="5">
        <f>IF(INDEX('CAMD Facility Data 2023'!$AC$2:$AE$10000,MATCH(Z2626,'CAMD Facility Data 2023'!$AE$2:$AE$10000,0),1)&gt;0,INDEX('CAMD Facility Data 2023'!$AC$2:$AE$10000,MATCH(Z2626,'CAMD Facility Data 2023'!$AE$2:$AE$10000,0),1),"")</f>
        <v>381.1</v>
      </c>
      <c r="AC2626" s="1" t="str">
        <f>IF(INDEX('CAMD Facility Data 2023'!$AE$2:$AG$10000,MATCH(Z2626,'CAMD Facility Data 2023'!$AE$2:$AE$10000,0),3)&gt;0,INDEX('CAMD Facility Data 2023'!$AE$2:$AG$10000,MATCH(Z2626,'CAMD Facility Data 2023'!$AE$2:$AE$10000,0),3),"")</f>
        <v/>
      </c>
      <c r="AD2626" s="20">
        <f t="shared" si="121"/>
        <v>1.6113970438965348</v>
      </c>
      <c r="AE2626" s="25">
        <f t="shared" si="122"/>
        <v>9.877343762168872E-2</v>
      </c>
    </row>
    <row r="2627" spans="1:31" x14ac:dyDescent="0.2">
      <c r="A2627" s="1" t="s">
        <v>1071</v>
      </c>
      <c r="B2627" s="1" t="s">
        <v>6098</v>
      </c>
      <c r="C2627" s="1">
        <v>55229</v>
      </c>
      <c r="D2627" s="1" t="s">
        <v>6093</v>
      </c>
      <c r="F2627" s="1">
        <v>2023</v>
      </c>
      <c r="G2627" s="5">
        <v>1972</v>
      </c>
      <c r="H2627" s="5">
        <v>1746.19</v>
      </c>
      <c r="I2627" s="5">
        <v>35379.26</v>
      </c>
      <c r="K2627" s="5">
        <v>3.7290000000000001</v>
      </c>
      <c r="L2627" s="5">
        <v>1.7100000000000001E-2</v>
      </c>
      <c r="M2627" s="5">
        <v>23858.799999999999</v>
      </c>
      <c r="N2627" s="6">
        <v>5.9499999999999997E-2</v>
      </c>
      <c r="O2627" s="5">
        <v>46.662999999999997</v>
      </c>
      <c r="P2627" s="6">
        <v>0.3115</v>
      </c>
      <c r="Q2627" s="5">
        <v>398963.8</v>
      </c>
      <c r="R2627" s="1" t="s">
        <v>44</v>
      </c>
      <c r="S2627" s="1" t="s">
        <v>94</v>
      </c>
      <c r="T2627" s="1" t="s">
        <v>93</v>
      </c>
      <c r="V2627" s="1" t="s">
        <v>95</v>
      </c>
      <c r="Y2627" s="1" t="s">
        <v>461</v>
      </c>
      <c r="Z2627" s="1" t="str">
        <f t="shared" ref="Z2627:Z2690" si="123">C2627&amp;" "&amp;D2627</f>
        <v>55229 G3CT1</v>
      </c>
      <c r="AA2627" s="3">
        <f>IF(INDEX('CAMD Facility Data 2023'!$AA$2:$AE$10000,MATCH(Z2627,'CAMD Facility Data 2023'!$AE$2:$AE$10000,0),1)&gt;0,INDEX('CAMD Facility Data 2023'!$AA$2:$AE$10000,MATCH(Z2627,'CAMD Facility Data 2023'!$AE$2:$AE$10000,0),1),"")</f>
        <v>37043</v>
      </c>
      <c r="AB2627" s="5">
        <f>IF(INDEX('CAMD Facility Data 2023'!$AC$2:$AE$10000,MATCH(Z2627,'CAMD Facility Data 2023'!$AE$2:$AE$10000,0),1)&gt;0,INDEX('CAMD Facility Data 2023'!$AC$2:$AE$10000,MATCH(Z2627,'CAMD Facility Data 2023'!$AE$2:$AE$10000,0),1),"")</f>
        <v>305.5</v>
      </c>
      <c r="AC2627" s="1" t="str">
        <f>IF(INDEX('CAMD Facility Data 2023'!$AE$2:$AG$10000,MATCH(Z2627,'CAMD Facility Data 2023'!$AE$2:$AE$10000,0),3)&gt;0,INDEX('CAMD Facility Data 2023'!$AE$2:$AG$10000,MATCH(Z2627,'CAMD Facility Data 2023'!$AE$2:$AE$10000,0),3),"")</f>
        <v/>
      </c>
      <c r="AD2627" s="20">
        <f t="shared" ref="AD2627:AD2690" si="124">IF(ISNUMBER(O2627*2000/I2627),O2627*2000/I2627,"")</f>
        <v>2.6378731494101344</v>
      </c>
      <c r="AE2627" s="25">
        <f t="shared" ref="AE2627:AE2690" si="125">Q2627/(AB2627*8760)</f>
        <v>0.14907958358555851</v>
      </c>
    </row>
    <row r="2628" spans="1:31" x14ac:dyDescent="0.2">
      <c r="A2628" s="1" t="s">
        <v>1071</v>
      </c>
      <c r="B2628" s="1" t="s">
        <v>6098</v>
      </c>
      <c r="C2628" s="1">
        <v>55229</v>
      </c>
      <c r="D2628" s="1" t="s">
        <v>6095</v>
      </c>
      <c r="F2628" s="1">
        <v>2023</v>
      </c>
      <c r="G2628" s="5">
        <v>1850</v>
      </c>
      <c r="H2628" s="5">
        <v>1633.03</v>
      </c>
      <c r="I2628" s="5">
        <v>33302.61</v>
      </c>
      <c r="K2628" s="5">
        <v>0.49099999999999999</v>
      </c>
      <c r="L2628" s="5">
        <v>2.5999999999999999E-3</v>
      </c>
      <c r="M2628" s="5">
        <v>22714.799999999999</v>
      </c>
      <c r="N2628" s="6">
        <v>5.8999999999999997E-2</v>
      </c>
      <c r="O2628" s="5">
        <v>26.547000000000001</v>
      </c>
      <c r="P2628" s="6">
        <v>0.22159999999999999</v>
      </c>
      <c r="Q2628" s="5">
        <v>384604.7</v>
      </c>
      <c r="R2628" s="1" t="s">
        <v>44</v>
      </c>
      <c r="S2628" s="1" t="s">
        <v>94</v>
      </c>
      <c r="T2628" s="1" t="s">
        <v>93</v>
      </c>
      <c r="V2628" s="1" t="s">
        <v>95</v>
      </c>
      <c r="Y2628" s="1" t="s">
        <v>461</v>
      </c>
      <c r="Z2628" s="1" t="str">
        <f t="shared" si="123"/>
        <v>55229 G3CT2</v>
      </c>
      <c r="AA2628" s="3">
        <f>IF(INDEX('CAMD Facility Data 2023'!$AA$2:$AE$10000,MATCH(Z2628,'CAMD Facility Data 2023'!$AE$2:$AE$10000,0),1)&gt;0,INDEX('CAMD Facility Data 2023'!$AA$2:$AE$10000,MATCH(Z2628,'CAMD Facility Data 2023'!$AE$2:$AE$10000,0),1),"")</f>
        <v>37043</v>
      </c>
      <c r="AB2628" s="5">
        <f>IF(INDEX('CAMD Facility Data 2023'!$AC$2:$AE$10000,MATCH(Z2628,'CAMD Facility Data 2023'!$AE$2:$AE$10000,0),1)&gt;0,INDEX('CAMD Facility Data 2023'!$AC$2:$AE$10000,MATCH(Z2628,'CAMD Facility Data 2023'!$AE$2:$AE$10000,0),1),"")</f>
        <v>306.3</v>
      </c>
      <c r="AC2628" s="1" t="str">
        <f>IF(INDEX('CAMD Facility Data 2023'!$AE$2:$AG$10000,MATCH(Z2628,'CAMD Facility Data 2023'!$AE$2:$AE$10000,0),3)&gt;0,INDEX('CAMD Facility Data 2023'!$AE$2:$AG$10000,MATCH(Z2628,'CAMD Facility Data 2023'!$AE$2:$AE$10000,0),3),"")</f>
        <v/>
      </c>
      <c r="AD2628" s="20">
        <f t="shared" si="124"/>
        <v>1.5942894565921411</v>
      </c>
      <c r="AE2628" s="25">
        <f t="shared" si="125"/>
        <v>0.14333870753745173</v>
      </c>
    </row>
    <row r="2629" spans="1:31" x14ac:dyDescent="0.2">
      <c r="A2629" s="1" t="s">
        <v>1071</v>
      </c>
      <c r="B2629" s="1" t="s">
        <v>6098</v>
      </c>
      <c r="C2629" s="1">
        <v>55229</v>
      </c>
      <c r="D2629" s="1" t="s">
        <v>6096</v>
      </c>
      <c r="F2629" s="1">
        <v>2023</v>
      </c>
      <c r="G2629" s="5">
        <v>607</v>
      </c>
      <c r="H2629" s="5">
        <v>516.69000000000005</v>
      </c>
      <c r="I2629" s="5">
        <v>11476.64</v>
      </c>
      <c r="K2629" s="5">
        <v>1.9E-2</v>
      </c>
      <c r="L2629" s="5">
        <v>1.5E-3</v>
      </c>
      <c r="M2629" s="5">
        <v>4007.3</v>
      </c>
      <c r="N2629" s="6">
        <v>5.7000000000000002E-2</v>
      </c>
      <c r="O2629" s="5">
        <v>5.5579999999999998</v>
      </c>
      <c r="P2629" s="6">
        <v>0.26540000000000002</v>
      </c>
      <c r="Q2629" s="5">
        <v>68117.7</v>
      </c>
      <c r="R2629" s="1" t="s">
        <v>44</v>
      </c>
      <c r="S2629" s="1" t="s">
        <v>94</v>
      </c>
      <c r="T2629" s="1" t="s">
        <v>93</v>
      </c>
      <c r="V2629" s="1" t="s">
        <v>95</v>
      </c>
      <c r="Y2629" s="1" t="s">
        <v>461</v>
      </c>
      <c r="Z2629" s="1" t="str">
        <f t="shared" si="123"/>
        <v>55229 G4CT1</v>
      </c>
      <c r="AA2629" s="3">
        <f>IF(INDEX('CAMD Facility Data 2023'!$AA$2:$AE$10000,MATCH(Z2629,'CAMD Facility Data 2023'!$AE$2:$AE$10000,0),1)&gt;0,INDEX('CAMD Facility Data 2023'!$AA$2:$AE$10000,MATCH(Z2629,'CAMD Facility Data 2023'!$AE$2:$AE$10000,0),1),"")</f>
        <v>37043</v>
      </c>
      <c r="AB2629" s="5">
        <f>IF(INDEX('CAMD Facility Data 2023'!$AC$2:$AE$10000,MATCH(Z2629,'CAMD Facility Data 2023'!$AE$2:$AE$10000,0),1)&gt;0,INDEX('CAMD Facility Data 2023'!$AC$2:$AE$10000,MATCH(Z2629,'CAMD Facility Data 2023'!$AE$2:$AE$10000,0),1),"")</f>
        <v>305.2</v>
      </c>
      <c r="AC2629" s="1" t="str">
        <f>IF(INDEX('CAMD Facility Data 2023'!$AE$2:$AG$10000,MATCH(Z2629,'CAMD Facility Data 2023'!$AE$2:$AE$10000,0),3)&gt;0,INDEX('CAMD Facility Data 2023'!$AE$2:$AG$10000,MATCH(Z2629,'CAMD Facility Data 2023'!$AE$2:$AE$10000,0),3),"")</f>
        <v/>
      </c>
      <c r="AD2629" s="20">
        <f t="shared" si="124"/>
        <v>0.9685761686347224</v>
      </c>
      <c r="AE2629" s="25">
        <f t="shared" si="125"/>
        <v>2.5478352394118386E-2</v>
      </c>
    </row>
    <row r="2630" spans="1:31" x14ac:dyDescent="0.2">
      <c r="A2630" s="1" t="s">
        <v>1071</v>
      </c>
      <c r="B2630" s="1" t="s">
        <v>6098</v>
      </c>
      <c r="C2630" s="1">
        <v>55229</v>
      </c>
      <c r="D2630" s="1" t="s">
        <v>6097</v>
      </c>
      <c r="F2630" s="1">
        <v>2023</v>
      </c>
      <c r="G2630" s="5">
        <v>503</v>
      </c>
      <c r="H2630" s="5">
        <v>424.93</v>
      </c>
      <c r="I2630" s="5">
        <v>9949.75</v>
      </c>
      <c r="K2630" s="5">
        <v>3.2000000000000001E-2</v>
      </c>
      <c r="L2630" s="5">
        <v>5.9999999999999995E-4</v>
      </c>
      <c r="M2630" s="5">
        <v>6335.8</v>
      </c>
      <c r="N2630" s="6">
        <v>5.9200000000000003E-2</v>
      </c>
      <c r="O2630" s="5">
        <v>7.8970000000000002</v>
      </c>
      <c r="P2630" s="6">
        <v>0.25509999999999999</v>
      </c>
      <c r="Q2630" s="5">
        <v>107384.6</v>
      </c>
      <c r="R2630" s="1" t="s">
        <v>44</v>
      </c>
      <c r="S2630" s="1" t="s">
        <v>94</v>
      </c>
      <c r="T2630" s="1" t="s">
        <v>93</v>
      </c>
      <c r="V2630" s="1" t="s">
        <v>95</v>
      </c>
      <c r="Y2630" s="1" t="s">
        <v>461</v>
      </c>
      <c r="Z2630" s="1" t="str">
        <f t="shared" si="123"/>
        <v>55229 G4CT2</v>
      </c>
      <c r="AA2630" s="3">
        <f>IF(INDEX('CAMD Facility Data 2023'!$AA$2:$AE$10000,MATCH(Z2630,'CAMD Facility Data 2023'!$AE$2:$AE$10000,0),1)&gt;0,INDEX('CAMD Facility Data 2023'!$AA$2:$AE$10000,MATCH(Z2630,'CAMD Facility Data 2023'!$AE$2:$AE$10000,0),1),"")</f>
        <v>37043</v>
      </c>
      <c r="AB2630" s="5">
        <f>IF(INDEX('CAMD Facility Data 2023'!$AC$2:$AE$10000,MATCH(Z2630,'CAMD Facility Data 2023'!$AE$2:$AE$10000,0),1)&gt;0,INDEX('CAMD Facility Data 2023'!$AC$2:$AE$10000,MATCH(Z2630,'CAMD Facility Data 2023'!$AE$2:$AE$10000,0),1),"")</f>
        <v>306.89999999999998</v>
      </c>
      <c r="AC2630" s="1" t="str">
        <f>IF(INDEX('CAMD Facility Data 2023'!$AE$2:$AG$10000,MATCH(Z2630,'CAMD Facility Data 2023'!$AE$2:$AE$10000,0),3)&gt;0,INDEX('CAMD Facility Data 2023'!$AE$2:$AG$10000,MATCH(Z2630,'CAMD Facility Data 2023'!$AE$2:$AE$10000,0),3),"")</f>
        <v/>
      </c>
      <c r="AD2630" s="20">
        <f t="shared" si="124"/>
        <v>1.5873765672504334</v>
      </c>
      <c r="AE2630" s="25">
        <f t="shared" si="125"/>
        <v>3.994303024351633E-2</v>
      </c>
    </row>
    <row r="2631" spans="1:31" x14ac:dyDescent="0.2">
      <c r="A2631" s="1" t="s">
        <v>383</v>
      </c>
      <c r="B2631" s="1" t="s">
        <v>6106</v>
      </c>
      <c r="C2631" s="1">
        <v>55230</v>
      </c>
      <c r="D2631" s="1" t="s">
        <v>1296</v>
      </c>
      <c r="F2631" s="1">
        <v>2023</v>
      </c>
      <c r="G2631" s="5">
        <v>7014</v>
      </c>
      <c r="H2631" s="5">
        <v>6942.52</v>
      </c>
      <c r="I2631" s="5">
        <v>1587713.57</v>
      </c>
      <c r="K2631" s="5">
        <v>3.407</v>
      </c>
      <c r="L2631" s="5">
        <v>1E-3</v>
      </c>
      <c r="M2631" s="5">
        <v>674815.51399999997</v>
      </c>
      <c r="N2631" s="6">
        <v>5.8999999999999997E-2</v>
      </c>
      <c r="O2631" s="5">
        <v>91.192999999999998</v>
      </c>
      <c r="P2631" s="6">
        <v>1.77E-2</v>
      </c>
      <c r="Q2631" s="5">
        <v>11355104.189999999</v>
      </c>
      <c r="R2631" s="1" t="s">
        <v>44</v>
      </c>
      <c r="T2631" s="1" t="s">
        <v>71</v>
      </c>
      <c r="V2631" s="1" t="s">
        <v>442</v>
      </c>
      <c r="Y2631" s="1" t="s">
        <v>346</v>
      </c>
      <c r="Z2631" s="1" t="str">
        <f t="shared" si="123"/>
        <v>55230 CT-1</v>
      </c>
      <c r="AA2631" s="3">
        <f>IF(INDEX('CAMD Facility Data 2023'!$AA$2:$AE$10000,MATCH(Z2631,'CAMD Facility Data 2023'!$AE$2:$AE$10000,0),1)&gt;0,INDEX('CAMD Facility Data 2023'!$AA$2:$AE$10000,MATCH(Z2631,'CAMD Facility Data 2023'!$AE$2:$AE$10000,0),1),"")</f>
        <v>38626</v>
      </c>
      <c r="AB2631" s="5">
        <f>IF(INDEX('CAMD Facility Data 2023'!$AC$2:$AE$10000,MATCH(Z2631,'CAMD Facility Data 2023'!$AE$2:$AE$10000,0),1)&gt;0,INDEX('CAMD Facility Data 2023'!$AC$2:$AE$10000,MATCH(Z2631,'CAMD Facility Data 2023'!$AE$2:$AE$10000,0),1),"")</f>
        <v>2981</v>
      </c>
      <c r="AC2631" s="1" t="str">
        <f>IF(INDEX('CAMD Facility Data 2023'!$AE$2:$AG$10000,MATCH(Z2631,'CAMD Facility Data 2023'!$AE$2:$AE$10000,0),3)&gt;0,INDEX('CAMD Facility Data 2023'!$AE$2:$AG$10000,MATCH(Z2631,'CAMD Facility Data 2023'!$AE$2:$AE$10000,0),3),"")</f>
        <v>Y</v>
      </c>
      <c r="AD2631" s="20">
        <f t="shared" si="124"/>
        <v>0.11487336472157254</v>
      </c>
      <c r="AE2631" s="25">
        <f t="shared" si="125"/>
        <v>0.43483554865747909</v>
      </c>
    </row>
    <row r="2632" spans="1:31" x14ac:dyDescent="0.2">
      <c r="A2632" s="1" t="s">
        <v>383</v>
      </c>
      <c r="B2632" s="1" t="s">
        <v>6106</v>
      </c>
      <c r="C2632" s="1">
        <v>55230</v>
      </c>
      <c r="D2632" s="1" t="s">
        <v>1300</v>
      </c>
      <c r="F2632" s="1">
        <v>2023</v>
      </c>
      <c r="G2632" s="5">
        <v>7243</v>
      </c>
      <c r="H2632" s="5">
        <v>7201.54</v>
      </c>
      <c r="I2632" s="5">
        <v>1653951.19</v>
      </c>
      <c r="K2632" s="5">
        <v>3.5659999999999998</v>
      </c>
      <c r="L2632" s="5">
        <v>1E-3</v>
      </c>
      <c r="M2632" s="5">
        <v>706442.49600000004</v>
      </c>
      <c r="N2632" s="6">
        <v>5.8999999999999997E-2</v>
      </c>
      <c r="O2632" s="5">
        <v>96.888999999999996</v>
      </c>
      <c r="P2632" s="6">
        <v>1.78E-2</v>
      </c>
      <c r="Q2632" s="5">
        <v>11887267.821</v>
      </c>
      <c r="R2632" s="1" t="s">
        <v>44</v>
      </c>
      <c r="T2632" s="1" t="s">
        <v>71</v>
      </c>
      <c r="V2632" s="1" t="s">
        <v>442</v>
      </c>
      <c r="Y2632" s="1" t="s">
        <v>346</v>
      </c>
      <c r="Z2632" s="1" t="str">
        <f t="shared" si="123"/>
        <v>55230 CT-2</v>
      </c>
      <c r="AA2632" s="3">
        <f>IF(INDEX('CAMD Facility Data 2023'!$AA$2:$AE$10000,MATCH(Z2632,'CAMD Facility Data 2023'!$AE$2:$AE$10000,0),1)&gt;0,INDEX('CAMD Facility Data 2023'!$AA$2:$AE$10000,MATCH(Z2632,'CAMD Facility Data 2023'!$AE$2:$AE$10000,0),1),"")</f>
        <v>38626</v>
      </c>
      <c r="AB2632" s="5">
        <f>IF(INDEX('CAMD Facility Data 2023'!$AC$2:$AE$10000,MATCH(Z2632,'CAMD Facility Data 2023'!$AE$2:$AE$10000,0),1)&gt;0,INDEX('CAMD Facility Data 2023'!$AC$2:$AE$10000,MATCH(Z2632,'CAMD Facility Data 2023'!$AE$2:$AE$10000,0),1),"")</f>
        <v>2981</v>
      </c>
      <c r="AC2632" s="1" t="str">
        <f>IF(INDEX('CAMD Facility Data 2023'!$AE$2:$AG$10000,MATCH(Z2632,'CAMD Facility Data 2023'!$AE$2:$AE$10000,0),3)&gt;0,INDEX('CAMD Facility Data 2023'!$AE$2:$AG$10000,MATCH(Z2632,'CAMD Facility Data 2023'!$AE$2:$AE$10000,0),3),"")</f>
        <v>Y</v>
      </c>
      <c r="AD2632" s="20">
        <f t="shared" si="124"/>
        <v>0.11716065212299283</v>
      </c>
      <c r="AE2632" s="25">
        <f t="shared" si="125"/>
        <v>0.45521437218824246</v>
      </c>
    </row>
    <row r="2633" spans="1:31" x14ac:dyDescent="0.2">
      <c r="A2633" s="1" t="s">
        <v>383</v>
      </c>
      <c r="B2633" s="1" t="s">
        <v>6106</v>
      </c>
      <c r="C2633" s="1">
        <v>55230</v>
      </c>
      <c r="D2633" s="1" t="s">
        <v>1302</v>
      </c>
      <c r="F2633" s="1">
        <v>2023</v>
      </c>
      <c r="G2633" s="5">
        <v>7148</v>
      </c>
      <c r="H2633" s="5">
        <v>7120.87</v>
      </c>
      <c r="I2633" s="5">
        <v>1659349.56</v>
      </c>
      <c r="K2633" s="5">
        <v>3.3980000000000001</v>
      </c>
      <c r="L2633" s="5">
        <v>1E-3</v>
      </c>
      <c r="M2633" s="5">
        <v>673028.05099999998</v>
      </c>
      <c r="N2633" s="6">
        <v>5.8999999999999997E-2</v>
      </c>
      <c r="O2633" s="5">
        <v>33.200000000000003</v>
      </c>
      <c r="P2633" s="6">
        <v>6.8999999999999999E-3</v>
      </c>
      <c r="Q2633" s="5">
        <v>11324889.938999999</v>
      </c>
      <c r="R2633" s="1" t="s">
        <v>44</v>
      </c>
      <c r="T2633" s="1" t="s">
        <v>71</v>
      </c>
      <c r="V2633" s="1" t="s">
        <v>442</v>
      </c>
      <c r="Y2633" s="1" t="s">
        <v>346</v>
      </c>
      <c r="Z2633" s="1" t="str">
        <f t="shared" si="123"/>
        <v>55230 CT-3</v>
      </c>
      <c r="AA2633" s="3">
        <f>IF(INDEX('CAMD Facility Data 2023'!$AA$2:$AE$10000,MATCH(Z2633,'CAMD Facility Data 2023'!$AE$2:$AE$10000,0),1)&gt;0,INDEX('CAMD Facility Data 2023'!$AA$2:$AE$10000,MATCH(Z2633,'CAMD Facility Data 2023'!$AE$2:$AE$10000,0),1),"")</f>
        <v>40618</v>
      </c>
      <c r="AB2633" s="5">
        <f>IF(INDEX('CAMD Facility Data 2023'!$AC$2:$AE$10000,MATCH(Z2633,'CAMD Facility Data 2023'!$AE$2:$AE$10000,0),1)&gt;0,INDEX('CAMD Facility Data 2023'!$AC$2:$AE$10000,MATCH(Z2633,'CAMD Facility Data 2023'!$AE$2:$AE$10000,0),1),"")</f>
        <v>2600</v>
      </c>
      <c r="AC2633" s="1" t="str">
        <f>IF(INDEX('CAMD Facility Data 2023'!$AE$2:$AG$10000,MATCH(Z2633,'CAMD Facility Data 2023'!$AE$2:$AE$10000,0),3)&gt;0,INDEX('CAMD Facility Data 2023'!$AE$2:$AG$10000,MATCH(Z2633,'CAMD Facility Data 2023'!$AE$2:$AE$10000,0),3),"")</f>
        <v>Y</v>
      </c>
      <c r="AD2633" s="20">
        <f t="shared" si="124"/>
        <v>4.0015679396690831E-2</v>
      </c>
      <c r="AE2633" s="25">
        <f t="shared" si="125"/>
        <v>0.49722909812961008</v>
      </c>
    </row>
    <row r="2634" spans="1:31" x14ac:dyDescent="0.2">
      <c r="A2634" s="1" t="s">
        <v>383</v>
      </c>
      <c r="B2634" s="1" t="s">
        <v>6106</v>
      </c>
      <c r="C2634" s="1">
        <v>55230</v>
      </c>
      <c r="D2634" s="1" t="s">
        <v>1304</v>
      </c>
      <c r="F2634" s="1">
        <v>2023</v>
      </c>
      <c r="G2634" s="5">
        <v>6808</v>
      </c>
      <c r="H2634" s="5">
        <v>6729.72</v>
      </c>
      <c r="I2634" s="5">
        <v>1560089.45</v>
      </c>
      <c r="K2634" s="5">
        <v>3.1840000000000002</v>
      </c>
      <c r="L2634" s="5">
        <v>1E-3</v>
      </c>
      <c r="M2634" s="5">
        <v>630673.63100000005</v>
      </c>
      <c r="N2634" s="6">
        <v>5.8999999999999997E-2</v>
      </c>
      <c r="O2634" s="5">
        <v>32.777000000000001</v>
      </c>
      <c r="P2634" s="6">
        <v>7.7000000000000002E-3</v>
      </c>
      <c r="Q2634" s="5">
        <v>10612373.889</v>
      </c>
      <c r="R2634" s="1" t="s">
        <v>44</v>
      </c>
      <c r="T2634" s="1" t="s">
        <v>71</v>
      </c>
      <c r="V2634" s="1" t="s">
        <v>442</v>
      </c>
      <c r="Y2634" s="1" t="s">
        <v>346</v>
      </c>
      <c r="Z2634" s="1" t="str">
        <f t="shared" si="123"/>
        <v>55230 CT-4</v>
      </c>
      <c r="AA2634" s="3">
        <f>IF(INDEX('CAMD Facility Data 2023'!$AA$2:$AE$10000,MATCH(Z2634,'CAMD Facility Data 2023'!$AE$2:$AE$10000,0),1)&gt;0,INDEX('CAMD Facility Data 2023'!$AA$2:$AE$10000,MATCH(Z2634,'CAMD Facility Data 2023'!$AE$2:$AE$10000,0),1),"")</f>
        <v>40617</v>
      </c>
      <c r="AB2634" s="5">
        <f>IF(INDEX('CAMD Facility Data 2023'!$AC$2:$AE$10000,MATCH(Z2634,'CAMD Facility Data 2023'!$AE$2:$AE$10000,0),1)&gt;0,INDEX('CAMD Facility Data 2023'!$AC$2:$AE$10000,MATCH(Z2634,'CAMD Facility Data 2023'!$AE$2:$AE$10000,0),1),"")</f>
        <v>2500</v>
      </c>
      <c r="AC2634" s="1" t="str">
        <f>IF(INDEX('CAMD Facility Data 2023'!$AE$2:$AG$10000,MATCH(Z2634,'CAMD Facility Data 2023'!$AE$2:$AE$10000,0),3)&gt;0,INDEX('CAMD Facility Data 2023'!$AE$2:$AG$10000,MATCH(Z2634,'CAMD Facility Data 2023'!$AE$2:$AE$10000,0),3),"")</f>
        <v>Y</v>
      </c>
      <c r="AD2634" s="20">
        <f t="shared" si="124"/>
        <v>4.2019385491005021E-2</v>
      </c>
      <c r="AE2634" s="25">
        <f t="shared" si="125"/>
        <v>0.48458328260273975</v>
      </c>
    </row>
    <row r="2635" spans="1:31" x14ac:dyDescent="0.2">
      <c r="A2635" s="1" t="s">
        <v>2584</v>
      </c>
      <c r="B2635" s="1" t="s">
        <v>6113</v>
      </c>
      <c r="C2635" s="1">
        <v>55231</v>
      </c>
      <c r="D2635" s="1">
        <v>1</v>
      </c>
      <c r="F2635" s="1">
        <v>2023</v>
      </c>
      <c r="G2635" s="5">
        <v>7278</v>
      </c>
      <c r="H2635" s="5">
        <v>7257.67</v>
      </c>
      <c r="I2635" s="5">
        <v>1885842.56</v>
      </c>
      <c r="K2635" s="5">
        <v>4.1020000000000003</v>
      </c>
      <c r="L2635" s="5">
        <v>1E-3</v>
      </c>
      <c r="M2635" s="5">
        <v>812536.902</v>
      </c>
      <c r="N2635" s="6">
        <v>5.8999999999999997E-2</v>
      </c>
      <c r="O2635" s="5">
        <v>62.991</v>
      </c>
      <c r="P2635" s="6">
        <v>9.4999999999999998E-3</v>
      </c>
      <c r="Q2635" s="5">
        <v>13672616.897</v>
      </c>
      <c r="R2635" s="1" t="s">
        <v>44</v>
      </c>
      <c r="T2635" s="1" t="s">
        <v>71</v>
      </c>
      <c r="V2635" s="1" t="s">
        <v>64</v>
      </c>
      <c r="Y2635" s="1" t="s">
        <v>1515</v>
      </c>
      <c r="Z2635" s="1" t="str">
        <f t="shared" si="123"/>
        <v>55231 1</v>
      </c>
      <c r="AA2635" s="3">
        <f>IF(INDEX('CAMD Facility Data 2023'!$AA$2:$AE$10000,MATCH(Z2635,'CAMD Facility Data 2023'!$AE$2:$AE$10000,0),1)&gt;0,INDEX('CAMD Facility Data 2023'!$AA$2:$AE$10000,MATCH(Z2635,'CAMD Facility Data 2023'!$AE$2:$AE$10000,0),1),"")</f>
        <v>37342</v>
      </c>
      <c r="AB2635" s="5">
        <f>IF(INDEX('CAMD Facility Data 2023'!$AC$2:$AE$10000,MATCH(Z2635,'CAMD Facility Data 2023'!$AE$2:$AE$10000,0),1)&gt;0,INDEX('CAMD Facility Data 2023'!$AC$2:$AE$10000,MATCH(Z2635,'CAMD Facility Data 2023'!$AE$2:$AE$10000,0),1),"")</f>
        <v>2245</v>
      </c>
      <c r="AC2635" s="1" t="str">
        <f>IF(INDEX('CAMD Facility Data 2023'!$AE$2:$AG$10000,MATCH(Z2635,'CAMD Facility Data 2023'!$AE$2:$AE$10000,0),3)&gt;0,INDEX('CAMD Facility Data 2023'!$AE$2:$AG$10000,MATCH(Z2635,'CAMD Facility Data 2023'!$AE$2:$AE$10000,0),3),"")</f>
        <v>Y</v>
      </c>
      <c r="AD2635" s="20">
        <f t="shared" si="124"/>
        <v>6.6804092065882739E-2</v>
      </c>
      <c r="AE2635" s="25">
        <f t="shared" si="125"/>
        <v>0.69523430540724696</v>
      </c>
    </row>
    <row r="2636" spans="1:31" x14ac:dyDescent="0.2">
      <c r="A2636" s="1" t="s">
        <v>2584</v>
      </c>
      <c r="B2636" s="1" t="s">
        <v>6113</v>
      </c>
      <c r="C2636" s="1">
        <v>55231</v>
      </c>
      <c r="D2636" s="1">
        <v>2</v>
      </c>
      <c r="F2636" s="1">
        <v>2023</v>
      </c>
      <c r="G2636" s="5">
        <v>8379</v>
      </c>
      <c r="H2636" s="5">
        <v>8366.6299999999992</v>
      </c>
      <c r="I2636" s="5">
        <v>2197347.14</v>
      </c>
      <c r="K2636" s="5">
        <v>4.7450000000000001</v>
      </c>
      <c r="L2636" s="5">
        <v>1E-3</v>
      </c>
      <c r="M2636" s="5">
        <v>939842.67200000002</v>
      </c>
      <c r="N2636" s="6">
        <v>5.8999999999999997E-2</v>
      </c>
      <c r="O2636" s="5">
        <v>77.715999999999994</v>
      </c>
      <c r="P2636" s="6">
        <v>9.7999999999999997E-3</v>
      </c>
      <c r="Q2636" s="5">
        <v>15814891.751</v>
      </c>
      <c r="R2636" s="1" t="s">
        <v>44</v>
      </c>
      <c r="T2636" s="1" t="s">
        <v>71</v>
      </c>
      <c r="V2636" s="1" t="s">
        <v>64</v>
      </c>
      <c r="Y2636" s="1" t="s">
        <v>1515</v>
      </c>
      <c r="Z2636" s="1" t="str">
        <f t="shared" si="123"/>
        <v>55231 2</v>
      </c>
      <c r="AA2636" s="3">
        <f>IF(INDEX('CAMD Facility Data 2023'!$AA$2:$AE$10000,MATCH(Z2636,'CAMD Facility Data 2023'!$AE$2:$AE$10000,0),1)&gt;0,INDEX('CAMD Facility Data 2023'!$AA$2:$AE$10000,MATCH(Z2636,'CAMD Facility Data 2023'!$AE$2:$AE$10000,0),1),"")</f>
        <v>37363</v>
      </c>
      <c r="AB2636" s="5">
        <f>IF(INDEX('CAMD Facility Data 2023'!$AC$2:$AE$10000,MATCH(Z2636,'CAMD Facility Data 2023'!$AE$2:$AE$10000,0),1)&gt;0,INDEX('CAMD Facility Data 2023'!$AC$2:$AE$10000,MATCH(Z2636,'CAMD Facility Data 2023'!$AE$2:$AE$10000,0),1),"")</f>
        <v>2245</v>
      </c>
      <c r="AC2636" s="1" t="str">
        <f>IF(INDEX('CAMD Facility Data 2023'!$AE$2:$AG$10000,MATCH(Z2636,'CAMD Facility Data 2023'!$AE$2:$AE$10000,0),3)&gt;0,INDEX('CAMD Facility Data 2023'!$AE$2:$AG$10000,MATCH(Z2636,'CAMD Facility Data 2023'!$AE$2:$AE$10000,0),3),"")</f>
        <v>Y</v>
      </c>
      <c r="AD2636" s="20">
        <f t="shared" si="124"/>
        <v>7.0736206023414211E-2</v>
      </c>
      <c r="AE2636" s="25">
        <f t="shared" si="125"/>
        <v>0.80416612009437516</v>
      </c>
    </row>
    <row r="2637" spans="1:31" x14ac:dyDescent="0.2">
      <c r="A2637" s="1" t="s">
        <v>165</v>
      </c>
      <c r="B2637" s="1" t="s">
        <v>1196</v>
      </c>
      <c r="C2637" s="1">
        <v>55232</v>
      </c>
      <c r="D2637" s="1" t="s">
        <v>311</v>
      </c>
      <c r="F2637" s="1">
        <v>2023</v>
      </c>
      <c r="G2637" s="5">
        <v>283</v>
      </c>
      <c r="H2637" s="5">
        <v>241.4</v>
      </c>
      <c r="I2637" s="5">
        <v>16457.29</v>
      </c>
      <c r="K2637" s="5">
        <v>8.3000000000000004E-2</v>
      </c>
      <c r="L2637" s="5">
        <v>1.2999999999999999E-3</v>
      </c>
      <c r="M2637" s="5">
        <v>12065.01</v>
      </c>
      <c r="N2637" s="6">
        <v>5.9400000000000001E-2</v>
      </c>
      <c r="O2637" s="5">
        <v>2.6989999999999998</v>
      </c>
      <c r="P2637" s="6">
        <v>2.9700000000000001E-2</v>
      </c>
      <c r="Q2637" s="5">
        <v>202246.66899999999</v>
      </c>
      <c r="R2637" s="1" t="s">
        <v>44</v>
      </c>
      <c r="S2637" s="1" t="s">
        <v>94</v>
      </c>
      <c r="T2637" s="1" t="s">
        <v>93</v>
      </c>
      <c r="V2637" s="1" t="s">
        <v>3508</v>
      </c>
      <c r="Y2637" s="1" t="s">
        <v>168</v>
      </c>
      <c r="Z2637" s="1" t="str">
        <f t="shared" si="123"/>
        <v>55232 CT1</v>
      </c>
      <c r="AA2637" s="3">
        <f>IF(INDEX('CAMD Facility Data 2023'!$AA$2:$AE$10000,MATCH(Z2637,'CAMD Facility Data 2023'!$AE$2:$AE$10000,0),1)&gt;0,INDEX('CAMD Facility Data 2023'!$AA$2:$AE$10000,MATCH(Z2637,'CAMD Facility Data 2023'!$AE$2:$AE$10000,0),1),"")</f>
        <v>37396</v>
      </c>
      <c r="AB2637" s="5">
        <f>IF(INDEX('CAMD Facility Data 2023'!$AC$2:$AE$10000,MATCH(Z2637,'CAMD Facility Data 2023'!$AE$2:$AE$10000,0),1)&gt;0,INDEX('CAMD Facility Data 2023'!$AC$2:$AE$10000,MATCH(Z2637,'CAMD Facility Data 2023'!$AE$2:$AE$10000,0),1),"")</f>
        <v>1192</v>
      </c>
      <c r="AC2637" s="1" t="str">
        <f>IF(INDEX('CAMD Facility Data 2023'!$AE$2:$AG$10000,MATCH(Z2637,'CAMD Facility Data 2023'!$AE$2:$AE$10000,0),3)&gt;0,INDEX('CAMD Facility Data 2023'!$AE$2:$AG$10000,MATCH(Z2637,'CAMD Facility Data 2023'!$AE$2:$AE$10000,0),3),"")</f>
        <v/>
      </c>
      <c r="AD2637" s="20">
        <f t="shared" si="124"/>
        <v>0.32800053957850894</v>
      </c>
      <c r="AE2637" s="25">
        <f t="shared" si="125"/>
        <v>1.9368724238454229E-2</v>
      </c>
    </row>
    <row r="2638" spans="1:31" x14ac:dyDescent="0.2">
      <c r="A2638" s="1" t="s">
        <v>165</v>
      </c>
      <c r="B2638" s="1" t="s">
        <v>1196</v>
      </c>
      <c r="C2638" s="1">
        <v>55232</v>
      </c>
      <c r="D2638" s="1" t="s">
        <v>98</v>
      </c>
      <c r="F2638" s="1">
        <v>2023</v>
      </c>
      <c r="G2638" s="5">
        <v>283</v>
      </c>
      <c r="H2638" s="5">
        <v>243.4</v>
      </c>
      <c r="I2638" s="5">
        <v>16224.13</v>
      </c>
      <c r="K2638" s="5">
        <v>8.3000000000000004E-2</v>
      </c>
      <c r="L2638" s="5">
        <v>1.2999999999999999E-3</v>
      </c>
      <c r="M2638" s="5">
        <v>11922.486999999999</v>
      </c>
      <c r="N2638" s="6">
        <v>6.0400000000000002E-2</v>
      </c>
      <c r="O2638" s="5">
        <v>2.5779999999999998</v>
      </c>
      <c r="P2638" s="6">
        <v>2.9000000000000001E-2</v>
      </c>
      <c r="Q2638" s="5">
        <v>199789.603</v>
      </c>
      <c r="R2638" s="1" t="s">
        <v>44</v>
      </c>
      <c r="S2638" s="1" t="s">
        <v>94</v>
      </c>
      <c r="T2638" s="1" t="s">
        <v>93</v>
      </c>
      <c r="V2638" s="1" t="s">
        <v>3508</v>
      </c>
      <c r="Y2638" s="1" t="s">
        <v>168</v>
      </c>
      <c r="Z2638" s="1" t="str">
        <f t="shared" si="123"/>
        <v>55232 CT2</v>
      </c>
      <c r="AA2638" s="3">
        <f>IF(INDEX('CAMD Facility Data 2023'!$AA$2:$AE$10000,MATCH(Z2638,'CAMD Facility Data 2023'!$AE$2:$AE$10000,0),1)&gt;0,INDEX('CAMD Facility Data 2023'!$AA$2:$AE$10000,MATCH(Z2638,'CAMD Facility Data 2023'!$AE$2:$AE$10000,0),1),"")</f>
        <v>37393</v>
      </c>
      <c r="AB2638" s="5">
        <f>IF(INDEX('CAMD Facility Data 2023'!$AC$2:$AE$10000,MATCH(Z2638,'CAMD Facility Data 2023'!$AE$2:$AE$10000,0),1)&gt;0,INDEX('CAMD Facility Data 2023'!$AC$2:$AE$10000,MATCH(Z2638,'CAMD Facility Data 2023'!$AE$2:$AE$10000,0),1),"")</f>
        <v>1192</v>
      </c>
      <c r="AC2638" s="1" t="str">
        <f>IF(INDEX('CAMD Facility Data 2023'!$AE$2:$AG$10000,MATCH(Z2638,'CAMD Facility Data 2023'!$AE$2:$AE$10000,0),3)&gt;0,INDEX('CAMD Facility Data 2023'!$AE$2:$AG$10000,MATCH(Z2638,'CAMD Facility Data 2023'!$AE$2:$AE$10000,0),3),"")</f>
        <v/>
      </c>
      <c r="AD2638" s="20">
        <f t="shared" si="124"/>
        <v>0.31779824249435873</v>
      </c>
      <c r="AE2638" s="25">
        <f t="shared" si="125"/>
        <v>1.9133416364040329E-2</v>
      </c>
    </row>
    <row r="2639" spans="1:31" x14ac:dyDescent="0.2">
      <c r="A2639" s="1" t="s">
        <v>165</v>
      </c>
      <c r="B2639" s="1" t="s">
        <v>1196</v>
      </c>
      <c r="C2639" s="1">
        <v>55232</v>
      </c>
      <c r="D2639" s="1" t="s">
        <v>101</v>
      </c>
      <c r="F2639" s="1">
        <v>2023</v>
      </c>
      <c r="G2639" s="5">
        <v>296</v>
      </c>
      <c r="H2639" s="5">
        <v>254.03</v>
      </c>
      <c r="I2639" s="5">
        <v>17813.64</v>
      </c>
      <c r="K2639" s="5">
        <v>0.08</v>
      </c>
      <c r="L2639" s="5">
        <v>1.1999999999999999E-3</v>
      </c>
      <c r="M2639" s="5">
        <v>12871.392</v>
      </c>
      <c r="N2639" s="6">
        <v>5.9299999999999999E-2</v>
      </c>
      <c r="O2639" s="5">
        <v>2.7570000000000001</v>
      </c>
      <c r="P2639" s="6">
        <v>2.9100000000000001E-2</v>
      </c>
      <c r="Q2639" s="5">
        <v>216076.68700000001</v>
      </c>
      <c r="R2639" s="1" t="s">
        <v>44</v>
      </c>
      <c r="S2639" s="1" t="s">
        <v>94</v>
      </c>
      <c r="T2639" s="1" t="s">
        <v>93</v>
      </c>
      <c r="V2639" s="1" t="s">
        <v>3508</v>
      </c>
      <c r="Y2639" s="1" t="s">
        <v>168</v>
      </c>
      <c r="Z2639" s="1" t="str">
        <f t="shared" si="123"/>
        <v>55232 CT3</v>
      </c>
      <c r="AA2639" s="3">
        <f>IF(INDEX('CAMD Facility Data 2023'!$AA$2:$AE$10000,MATCH(Z2639,'CAMD Facility Data 2023'!$AE$2:$AE$10000,0),1)&gt;0,INDEX('CAMD Facility Data 2023'!$AA$2:$AE$10000,MATCH(Z2639,'CAMD Facility Data 2023'!$AE$2:$AE$10000,0),1),"")</f>
        <v>37401</v>
      </c>
      <c r="AB2639" s="5">
        <f>IF(INDEX('CAMD Facility Data 2023'!$AC$2:$AE$10000,MATCH(Z2639,'CAMD Facility Data 2023'!$AE$2:$AE$10000,0),1)&gt;0,INDEX('CAMD Facility Data 2023'!$AC$2:$AE$10000,MATCH(Z2639,'CAMD Facility Data 2023'!$AE$2:$AE$10000,0),1),"")</f>
        <v>1192</v>
      </c>
      <c r="AC2639" s="1" t="str">
        <f>IF(INDEX('CAMD Facility Data 2023'!$AE$2:$AG$10000,MATCH(Z2639,'CAMD Facility Data 2023'!$AE$2:$AE$10000,0),3)&gt;0,INDEX('CAMD Facility Data 2023'!$AE$2:$AG$10000,MATCH(Z2639,'CAMD Facility Data 2023'!$AE$2:$AE$10000,0),3),"")</f>
        <v/>
      </c>
      <c r="AD2639" s="20">
        <f t="shared" si="124"/>
        <v>0.30953808429944696</v>
      </c>
      <c r="AE2639" s="25">
        <f t="shared" si="125"/>
        <v>2.0693195025435936E-2</v>
      </c>
    </row>
    <row r="2640" spans="1:31" x14ac:dyDescent="0.2">
      <c r="A2640" s="1" t="s">
        <v>165</v>
      </c>
      <c r="B2640" s="1" t="s">
        <v>1196</v>
      </c>
      <c r="C2640" s="1">
        <v>55232</v>
      </c>
      <c r="D2640" s="1" t="s">
        <v>103</v>
      </c>
      <c r="F2640" s="1">
        <v>2023</v>
      </c>
      <c r="G2640" s="5">
        <v>302</v>
      </c>
      <c r="H2640" s="5">
        <v>261.25</v>
      </c>
      <c r="I2640" s="5">
        <v>17748.150000000001</v>
      </c>
      <c r="K2640" s="5">
        <v>8.5000000000000006E-2</v>
      </c>
      <c r="L2640" s="5">
        <v>1.1999999999999999E-3</v>
      </c>
      <c r="M2640" s="5">
        <v>13065.255999999999</v>
      </c>
      <c r="N2640" s="6">
        <v>5.96E-2</v>
      </c>
      <c r="O2640" s="5">
        <v>2.6709999999999998</v>
      </c>
      <c r="P2640" s="6">
        <v>2.8500000000000001E-2</v>
      </c>
      <c r="Q2640" s="5">
        <v>219163.73</v>
      </c>
      <c r="R2640" s="1" t="s">
        <v>44</v>
      </c>
      <c r="S2640" s="1" t="s">
        <v>94</v>
      </c>
      <c r="T2640" s="1" t="s">
        <v>93</v>
      </c>
      <c r="V2640" s="1" t="s">
        <v>3508</v>
      </c>
      <c r="Y2640" s="1" t="s">
        <v>168</v>
      </c>
      <c r="Z2640" s="1" t="str">
        <f t="shared" si="123"/>
        <v>55232 CT4</v>
      </c>
      <c r="AA2640" s="3">
        <f>IF(INDEX('CAMD Facility Data 2023'!$AA$2:$AE$10000,MATCH(Z2640,'CAMD Facility Data 2023'!$AE$2:$AE$10000,0),1)&gt;0,INDEX('CAMD Facility Data 2023'!$AA$2:$AE$10000,MATCH(Z2640,'CAMD Facility Data 2023'!$AE$2:$AE$10000,0),1),"")</f>
        <v>37401</v>
      </c>
      <c r="AB2640" s="5">
        <f>IF(INDEX('CAMD Facility Data 2023'!$AC$2:$AE$10000,MATCH(Z2640,'CAMD Facility Data 2023'!$AE$2:$AE$10000,0),1)&gt;0,INDEX('CAMD Facility Data 2023'!$AC$2:$AE$10000,MATCH(Z2640,'CAMD Facility Data 2023'!$AE$2:$AE$10000,0),1),"")</f>
        <v>1192</v>
      </c>
      <c r="AC2640" s="1" t="str">
        <f>IF(INDEX('CAMD Facility Data 2023'!$AE$2:$AG$10000,MATCH(Z2640,'CAMD Facility Data 2023'!$AE$2:$AE$10000,0),3)&gt;0,INDEX('CAMD Facility Data 2023'!$AE$2:$AG$10000,MATCH(Z2640,'CAMD Facility Data 2023'!$AE$2:$AE$10000,0),3),"")</f>
        <v/>
      </c>
      <c r="AD2640" s="20">
        <f t="shared" si="124"/>
        <v>0.3009891171755929</v>
      </c>
      <c r="AE2640" s="25">
        <f t="shared" si="125"/>
        <v>2.0988834428917288E-2</v>
      </c>
    </row>
    <row r="2641" spans="1:31" x14ac:dyDescent="0.2">
      <c r="A2641" s="1" t="s">
        <v>165</v>
      </c>
      <c r="B2641" s="1" t="s">
        <v>1196</v>
      </c>
      <c r="C2641" s="1">
        <v>55232</v>
      </c>
      <c r="D2641" s="1" t="s">
        <v>105</v>
      </c>
      <c r="F2641" s="1">
        <v>2023</v>
      </c>
      <c r="G2641" s="5">
        <v>308</v>
      </c>
      <c r="H2641" s="5">
        <v>269.18</v>
      </c>
      <c r="I2641" s="5">
        <v>18499.650000000001</v>
      </c>
      <c r="K2641" s="5">
        <v>9.0999999999999998E-2</v>
      </c>
      <c r="L2641" s="5">
        <v>1.4E-3</v>
      </c>
      <c r="M2641" s="5">
        <v>13315.307000000001</v>
      </c>
      <c r="N2641" s="6">
        <v>5.9700000000000003E-2</v>
      </c>
      <c r="O2641" s="5">
        <v>2.9140000000000001</v>
      </c>
      <c r="P2641" s="6">
        <v>0.03</v>
      </c>
      <c r="Q2641" s="5">
        <v>223180.16500000001</v>
      </c>
      <c r="R2641" s="1" t="s">
        <v>44</v>
      </c>
      <c r="S2641" s="1" t="s">
        <v>94</v>
      </c>
      <c r="T2641" s="1" t="s">
        <v>93</v>
      </c>
      <c r="V2641" s="1" t="s">
        <v>3508</v>
      </c>
      <c r="Y2641" s="1" t="s">
        <v>168</v>
      </c>
      <c r="Z2641" s="1" t="str">
        <f t="shared" si="123"/>
        <v>55232 CT5</v>
      </c>
      <c r="AA2641" s="3">
        <f>IF(INDEX('CAMD Facility Data 2023'!$AA$2:$AE$10000,MATCH(Z2641,'CAMD Facility Data 2023'!$AE$2:$AE$10000,0),1)&gt;0,INDEX('CAMD Facility Data 2023'!$AA$2:$AE$10000,MATCH(Z2641,'CAMD Facility Data 2023'!$AE$2:$AE$10000,0),1),"")</f>
        <v>37418</v>
      </c>
      <c r="AB2641" s="5">
        <f>IF(INDEX('CAMD Facility Data 2023'!$AC$2:$AE$10000,MATCH(Z2641,'CAMD Facility Data 2023'!$AE$2:$AE$10000,0),1)&gt;0,INDEX('CAMD Facility Data 2023'!$AC$2:$AE$10000,MATCH(Z2641,'CAMD Facility Data 2023'!$AE$2:$AE$10000,0),1),"")</f>
        <v>1192</v>
      </c>
      <c r="AC2641" s="1" t="str">
        <f>IF(INDEX('CAMD Facility Data 2023'!$AE$2:$AG$10000,MATCH(Z2641,'CAMD Facility Data 2023'!$AE$2:$AE$10000,0),3)&gt;0,INDEX('CAMD Facility Data 2023'!$AE$2:$AG$10000,MATCH(Z2641,'CAMD Facility Data 2023'!$AE$2:$AE$10000,0),3),"")</f>
        <v/>
      </c>
      <c r="AD2641" s="20">
        <f t="shared" si="124"/>
        <v>0.31503298711056693</v>
      </c>
      <c r="AE2641" s="25">
        <f t="shared" si="125"/>
        <v>2.1373479685728294E-2</v>
      </c>
    </row>
    <row r="2642" spans="1:31" x14ac:dyDescent="0.2">
      <c r="A2642" s="1" t="s">
        <v>165</v>
      </c>
      <c r="B2642" s="1" t="s">
        <v>1196</v>
      </c>
      <c r="C2642" s="1">
        <v>55232</v>
      </c>
      <c r="D2642" s="1" t="s">
        <v>107</v>
      </c>
      <c r="F2642" s="1">
        <v>2023</v>
      </c>
      <c r="G2642" s="5">
        <v>322</v>
      </c>
      <c r="H2642" s="5">
        <v>281.47000000000003</v>
      </c>
      <c r="I2642" s="5">
        <v>19417.23</v>
      </c>
      <c r="K2642" s="5">
        <v>0.10100000000000001</v>
      </c>
      <c r="L2642" s="5">
        <v>1.2999999999999999E-3</v>
      </c>
      <c r="M2642" s="5">
        <v>14108.209000000001</v>
      </c>
      <c r="N2642" s="6">
        <v>5.9799999999999999E-2</v>
      </c>
      <c r="O2642" s="5">
        <v>3.4209999999999998</v>
      </c>
      <c r="P2642" s="6">
        <v>3.2199999999999999E-2</v>
      </c>
      <c r="Q2642" s="5">
        <v>236324.48300000001</v>
      </c>
      <c r="R2642" s="1" t="s">
        <v>44</v>
      </c>
      <c r="S2642" s="1" t="s">
        <v>94</v>
      </c>
      <c r="T2642" s="1" t="s">
        <v>93</v>
      </c>
      <c r="V2642" s="1" t="s">
        <v>3508</v>
      </c>
      <c r="Y2642" s="1" t="s">
        <v>168</v>
      </c>
      <c r="Z2642" s="1" t="str">
        <f t="shared" si="123"/>
        <v>55232 CT6</v>
      </c>
      <c r="AA2642" s="3">
        <f>IF(INDEX('CAMD Facility Data 2023'!$AA$2:$AE$10000,MATCH(Z2642,'CAMD Facility Data 2023'!$AE$2:$AE$10000,0),1)&gt;0,INDEX('CAMD Facility Data 2023'!$AA$2:$AE$10000,MATCH(Z2642,'CAMD Facility Data 2023'!$AE$2:$AE$10000,0),1),"")</f>
        <v>37418</v>
      </c>
      <c r="AB2642" s="5">
        <f>IF(INDEX('CAMD Facility Data 2023'!$AC$2:$AE$10000,MATCH(Z2642,'CAMD Facility Data 2023'!$AE$2:$AE$10000,0),1)&gt;0,INDEX('CAMD Facility Data 2023'!$AC$2:$AE$10000,MATCH(Z2642,'CAMD Facility Data 2023'!$AE$2:$AE$10000,0),1),"")</f>
        <v>1192</v>
      </c>
      <c r="AC2642" s="1" t="str">
        <f>IF(INDEX('CAMD Facility Data 2023'!$AE$2:$AG$10000,MATCH(Z2642,'CAMD Facility Data 2023'!$AE$2:$AE$10000,0),3)&gt;0,INDEX('CAMD Facility Data 2023'!$AE$2:$AG$10000,MATCH(Z2642,'CAMD Facility Data 2023'!$AE$2:$AE$10000,0),3),"")</f>
        <v/>
      </c>
      <c r="AD2642" s="20">
        <f t="shared" si="124"/>
        <v>0.3523674592101963</v>
      </c>
      <c r="AE2642" s="25">
        <f t="shared" si="125"/>
        <v>2.2632282472955165E-2</v>
      </c>
    </row>
    <row r="2643" spans="1:31" x14ac:dyDescent="0.2">
      <c r="A2643" s="1" t="s">
        <v>165</v>
      </c>
      <c r="B2643" s="1" t="s">
        <v>1196</v>
      </c>
      <c r="C2643" s="1">
        <v>55232</v>
      </c>
      <c r="D2643" s="1" t="s">
        <v>109</v>
      </c>
      <c r="F2643" s="1">
        <v>2023</v>
      </c>
      <c r="G2643" s="5">
        <v>274</v>
      </c>
      <c r="H2643" s="5">
        <v>240.1</v>
      </c>
      <c r="I2643" s="5">
        <v>16647.16</v>
      </c>
      <c r="K2643" s="5">
        <v>8.6999999999999994E-2</v>
      </c>
      <c r="L2643" s="5">
        <v>1.2999999999999999E-3</v>
      </c>
      <c r="M2643" s="5">
        <v>12270.123</v>
      </c>
      <c r="N2643" s="6">
        <v>0.06</v>
      </c>
      <c r="O2643" s="5">
        <v>2.6579999999999999</v>
      </c>
      <c r="P2643" s="6">
        <v>2.98E-2</v>
      </c>
      <c r="Q2643" s="5">
        <v>205599.182</v>
      </c>
      <c r="R2643" s="1" t="s">
        <v>44</v>
      </c>
      <c r="S2643" s="1" t="s">
        <v>94</v>
      </c>
      <c r="T2643" s="1" t="s">
        <v>93</v>
      </c>
      <c r="V2643" s="1" t="s">
        <v>3508</v>
      </c>
      <c r="Y2643" s="1" t="s">
        <v>168</v>
      </c>
      <c r="Z2643" s="1" t="str">
        <f t="shared" si="123"/>
        <v>55232 CT7</v>
      </c>
      <c r="AA2643" s="3">
        <f>IF(INDEX('CAMD Facility Data 2023'!$AA$2:$AE$10000,MATCH(Z2643,'CAMD Facility Data 2023'!$AE$2:$AE$10000,0),1)&gt;0,INDEX('CAMD Facility Data 2023'!$AA$2:$AE$10000,MATCH(Z2643,'CAMD Facility Data 2023'!$AE$2:$AE$10000,0),1),"")</f>
        <v>37470</v>
      </c>
      <c r="AB2643" s="5">
        <f>IF(INDEX('CAMD Facility Data 2023'!$AC$2:$AE$10000,MATCH(Z2643,'CAMD Facility Data 2023'!$AE$2:$AE$10000,0),1)&gt;0,INDEX('CAMD Facility Data 2023'!$AC$2:$AE$10000,MATCH(Z2643,'CAMD Facility Data 2023'!$AE$2:$AE$10000,0),1),"")</f>
        <v>1192</v>
      </c>
      <c r="AC2643" s="1" t="str">
        <f>IF(INDEX('CAMD Facility Data 2023'!$AE$2:$AG$10000,MATCH(Z2643,'CAMD Facility Data 2023'!$AE$2:$AE$10000,0),3)&gt;0,INDEX('CAMD Facility Data 2023'!$AE$2:$AG$10000,MATCH(Z2643,'CAMD Facility Data 2023'!$AE$2:$AE$10000,0),3),"")</f>
        <v/>
      </c>
      <c r="AD2643" s="20">
        <f t="shared" si="124"/>
        <v>0.31933374821891541</v>
      </c>
      <c r="AE2643" s="25">
        <f t="shared" si="125"/>
        <v>1.9689787127271614E-2</v>
      </c>
    </row>
    <row r="2644" spans="1:31" x14ac:dyDescent="0.2">
      <c r="A2644" s="1" t="s">
        <v>165</v>
      </c>
      <c r="B2644" s="1" t="s">
        <v>1196</v>
      </c>
      <c r="C2644" s="1">
        <v>55232</v>
      </c>
      <c r="D2644" s="1" t="s">
        <v>111</v>
      </c>
      <c r="F2644" s="1">
        <v>2023</v>
      </c>
      <c r="G2644" s="5">
        <v>274</v>
      </c>
      <c r="H2644" s="5">
        <v>239.36</v>
      </c>
      <c r="I2644" s="5">
        <v>16825.740000000002</v>
      </c>
      <c r="K2644" s="5">
        <v>8.6999999999999994E-2</v>
      </c>
      <c r="L2644" s="5">
        <v>1.2999999999999999E-3</v>
      </c>
      <c r="M2644" s="5">
        <v>12539.213</v>
      </c>
      <c r="N2644" s="6">
        <v>5.9400000000000001E-2</v>
      </c>
      <c r="O2644" s="5">
        <v>2.7330000000000001</v>
      </c>
      <c r="P2644" s="6">
        <v>2.9700000000000001E-2</v>
      </c>
      <c r="Q2644" s="5">
        <v>210166.80300000001</v>
      </c>
      <c r="R2644" s="1" t="s">
        <v>44</v>
      </c>
      <c r="S2644" s="1" t="s">
        <v>94</v>
      </c>
      <c r="T2644" s="1" t="s">
        <v>93</v>
      </c>
      <c r="V2644" s="1" t="s">
        <v>3508</v>
      </c>
      <c r="Y2644" s="1" t="s">
        <v>168</v>
      </c>
      <c r="Z2644" s="1" t="str">
        <f t="shared" si="123"/>
        <v>55232 CT8</v>
      </c>
      <c r="AA2644" s="3">
        <f>IF(INDEX('CAMD Facility Data 2023'!$AA$2:$AE$10000,MATCH(Z2644,'CAMD Facility Data 2023'!$AE$2:$AE$10000,0),1)&gt;0,INDEX('CAMD Facility Data 2023'!$AA$2:$AE$10000,MATCH(Z2644,'CAMD Facility Data 2023'!$AE$2:$AE$10000,0),1),"")</f>
        <v>37475</v>
      </c>
      <c r="AB2644" s="5">
        <f>IF(INDEX('CAMD Facility Data 2023'!$AC$2:$AE$10000,MATCH(Z2644,'CAMD Facility Data 2023'!$AE$2:$AE$10000,0),1)&gt;0,INDEX('CAMD Facility Data 2023'!$AC$2:$AE$10000,MATCH(Z2644,'CAMD Facility Data 2023'!$AE$2:$AE$10000,0),1),"")</f>
        <v>1192</v>
      </c>
      <c r="AC2644" s="1" t="str">
        <f>IF(INDEX('CAMD Facility Data 2023'!$AE$2:$AG$10000,MATCH(Z2644,'CAMD Facility Data 2023'!$AE$2:$AE$10000,0),3)&gt;0,INDEX('CAMD Facility Data 2023'!$AE$2:$AG$10000,MATCH(Z2644,'CAMD Facility Data 2023'!$AE$2:$AE$10000,0),3),"")</f>
        <v/>
      </c>
      <c r="AD2644" s="20">
        <f t="shared" si="124"/>
        <v>0.32485941182973227</v>
      </c>
      <c r="AE2644" s="25">
        <f t="shared" si="125"/>
        <v>2.0127218270203182E-2</v>
      </c>
    </row>
    <row r="2645" spans="1:31" x14ac:dyDescent="0.2">
      <c r="A2645" s="1" t="s">
        <v>2584</v>
      </c>
      <c r="B2645" s="1" t="s">
        <v>6122</v>
      </c>
      <c r="C2645" s="1">
        <v>55233</v>
      </c>
      <c r="D2645" s="1" t="s">
        <v>6123</v>
      </c>
      <c r="E2645" s="1" t="s">
        <v>1881</v>
      </c>
      <c r="F2645" s="1">
        <v>2023</v>
      </c>
      <c r="G2645" s="5">
        <v>1034</v>
      </c>
      <c r="H2645" s="5">
        <v>908.1</v>
      </c>
      <c r="I2645" s="5">
        <v>15718.43</v>
      </c>
      <c r="K2645" s="5">
        <v>0.05</v>
      </c>
      <c r="L2645" s="5">
        <v>6.9999999999999999E-4</v>
      </c>
      <c r="M2645" s="5">
        <v>9067.5</v>
      </c>
      <c r="N2645" s="6">
        <v>5.8999999999999997E-2</v>
      </c>
      <c r="O2645" s="5">
        <v>14.23</v>
      </c>
      <c r="P2645" s="6">
        <v>0.24879999999999999</v>
      </c>
      <c r="Q2645" s="5">
        <v>153567.29999999999</v>
      </c>
      <c r="R2645" s="1" t="s">
        <v>44</v>
      </c>
      <c r="T2645" s="1" t="s">
        <v>93</v>
      </c>
      <c r="V2645" s="1" t="s">
        <v>95</v>
      </c>
      <c r="Y2645" s="1" t="s">
        <v>1515</v>
      </c>
      <c r="Z2645" s="1" t="str">
        <f t="shared" si="123"/>
        <v>55233 EU-1A</v>
      </c>
      <c r="AA2645" s="3">
        <f>IF(INDEX('CAMD Facility Data 2023'!$AA$2:$AE$10000,MATCH(Z2645,'CAMD Facility Data 2023'!$AE$2:$AE$10000,0),1)&gt;0,INDEX('CAMD Facility Data 2023'!$AA$2:$AE$10000,MATCH(Z2645,'CAMD Facility Data 2023'!$AE$2:$AE$10000,0),1),"")</f>
        <v>37097</v>
      </c>
      <c r="AB2645" s="5">
        <f>IF(INDEX('CAMD Facility Data 2023'!$AC$2:$AE$10000,MATCH(Z2645,'CAMD Facility Data 2023'!$AE$2:$AE$10000,0),1)&gt;0,INDEX('CAMD Facility Data 2023'!$AC$2:$AE$10000,MATCH(Z2645,'CAMD Facility Data 2023'!$AE$2:$AE$10000,0),1),"")</f>
        <v>260</v>
      </c>
      <c r="AC2645" s="1" t="str">
        <f>IF(INDEX('CAMD Facility Data 2023'!$AE$2:$AG$10000,MATCH(Z2645,'CAMD Facility Data 2023'!$AE$2:$AE$10000,0),3)&gt;0,INDEX('CAMD Facility Data 2023'!$AE$2:$AG$10000,MATCH(Z2645,'CAMD Facility Data 2023'!$AE$2:$AE$10000,0),3),"")</f>
        <v/>
      </c>
      <c r="AD2645" s="20">
        <f t="shared" si="124"/>
        <v>1.8106134009567112</v>
      </c>
      <c r="AE2645" s="25">
        <f t="shared" si="125"/>
        <v>6.742505268703898E-2</v>
      </c>
    </row>
    <row r="2646" spans="1:31" x14ac:dyDescent="0.2">
      <c r="A2646" s="1" t="s">
        <v>2584</v>
      </c>
      <c r="B2646" s="1" t="s">
        <v>6122</v>
      </c>
      <c r="C2646" s="1">
        <v>55233</v>
      </c>
      <c r="D2646" s="1" t="s">
        <v>6126</v>
      </c>
      <c r="E2646" s="1" t="s">
        <v>1881</v>
      </c>
      <c r="F2646" s="1">
        <v>2023</v>
      </c>
      <c r="G2646" s="5">
        <v>1035</v>
      </c>
      <c r="H2646" s="5">
        <v>904.62</v>
      </c>
      <c r="I2646" s="5">
        <v>15625.53</v>
      </c>
      <c r="K2646" s="5">
        <v>0.05</v>
      </c>
      <c r="L2646" s="5">
        <v>6.9999999999999999E-4</v>
      </c>
      <c r="M2646" s="5">
        <v>9005.7999999999993</v>
      </c>
      <c r="N2646" s="6">
        <v>5.8900000000000001E-2</v>
      </c>
      <c r="O2646" s="5">
        <v>13.943</v>
      </c>
      <c r="P2646" s="6">
        <v>0.24840000000000001</v>
      </c>
      <c r="Q2646" s="5">
        <v>152521.70000000001</v>
      </c>
      <c r="R2646" s="1" t="s">
        <v>44</v>
      </c>
      <c r="T2646" s="1" t="s">
        <v>93</v>
      </c>
      <c r="V2646" s="1" t="s">
        <v>95</v>
      </c>
      <c r="Y2646" s="1" t="s">
        <v>1515</v>
      </c>
      <c r="Z2646" s="1" t="str">
        <f t="shared" si="123"/>
        <v>55233 EU-1B</v>
      </c>
      <c r="AA2646" s="3">
        <f>IF(INDEX('CAMD Facility Data 2023'!$AA$2:$AE$10000,MATCH(Z2646,'CAMD Facility Data 2023'!$AE$2:$AE$10000,0),1)&gt;0,INDEX('CAMD Facility Data 2023'!$AA$2:$AE$10000,MATCH(Z2646,'CAMD Facility Data 2023'!$AE$2:$AE$10000,0),1),"")</f>
        <v>37097</v>
      </c>
      <c r="AB2646" s="5">
        <f>IF(INDEX('CAMD Facility Data 2023'!$AC$2:$AE$10000,MATCH(Z2646,'CAMD Facility Data 2023'!$AE$2:$AE$10000,0),1)&gt;0,INDEX('CAMD Facility Data 2023'!$AC$2:$AE$10000,MATCH(Z2646,'CAMD Facility Data 2023'!$AE$2:$AE$10000,0),1),"")</f>
        <v>260</v>
      </c>
      <c r="AC2646" s="1" t="str">
        <f>IF(INDEX('CAMD Facility Data 2023'!$AE$2:$AG$10000,MATCH(Z2646,'CAMD Facility Data 2023'!$AE$2:$AE$10000,0),3)&gt;0,INDEX('CAMD Facility Data 2023'!$AE$2:$AG$10000,MATCH(Z2646,'CAMD Facility Data 2023'!$AE$2:$AE$10000,0),3),"")</f>
        <v/>
      </c>
      <c r="AD2646" s="20">
        <f t="shared" si="124"/>
        <v>1.7846434648936707</v>
      </c>
      <c r="AE2646" s="25">
        <f t="shared" si="125"/>
        <v>6.6965972953986652E-2</v>
      </c>
    </row>
    <row r="2647" spans="1:31" x14ac:dyDescent="0.2">
      <c r="A2647" s="1" t="s">
        <v>2584</v>
      </c>
      <c r="B2647" s="1" t="s">
        <v>6122</v>
      </c>
      <c r="C2647" s="1">
        <v>55233</v>
      </c>
      <c r="D2647" s="1" t="s">
        <v>6127</v>
      </c>
      <c r="E2647" s="1" t="s">
        <v>1881</v>
      </c>
      <c r="F2647" s="1">
        <v>2023</v>
      </c>
      <c r="G2647" s="5">
        <v>924</v>
      </c>
      <c r="H2647" s="5">
        <v>793.71</v>
      </c>
      <c r="I2647" s="5">
        <v>13023.04</v>
      </c>
      <c r="K2647" s="5">
        <v>4.2000000000000003E-2</v>
      </c>
      <c r="L2647" s="5">
        <v>6.9999999999999999E-4</v>
      </c>
      <c r="M2647" s="5">
        <v>7474</v>
      </c>
      <c r="N2647" s="6">
        <v>5.8700000000000002E-2</v>
      </c>
      <c r="O2647" s="5">
        <v>12.346</v>
      </c>
      <c r="P2647" s="6">
        <v>0.26269999999999999</v>
      </c>
      <c r="Q2647" s="5">
        <v>126569.3</v>
      </c>
      <c r="R2647" s="1" t="s">
        <v>44</v>
      </c>
      <c r="T2647" s="1" t="s">
        <v>93</v>
      </c>
      <c r="V2647" s="1" t="s">
        <v>95</v>
      </c>
      <c r="Y2647" s="1" t="s">
        <v>1515</v>
      </c>
      <c r="Z2647" s="1" t="str">
        <f t="shared" si="123"/>
        <v>55233 EU-2A</v>
      </c>
      <c r="AA2647" s="3">
        <f>IF(INDEX('CAMD Facility Data 2023'!$AA$2:$AE$10000,MATCH(Z2647,'CAMD Facility Data 2023'!$AE$2:$AE$10000,0),1)&gt;0,INDEX('CAMD Facility Data 2023'!$AA$2:$AE$10000,MATCH(Z2647,'CAMD Facility Data 2023'!$AE$2:$AE$10000,0),1),"")</f>
        <v>37090</v>
      </c>
      <c r="AB2647" s="5">
        <f>IF(INDEX('CAMD Facility Data 2023'!$AC$2:$AE$10000,MATCH(Z2647,'CAMD Facility Data 2023'!$AE$2:$AE$10000,0),1)&gt;0,INDEX('CAMD Facility Data 2023'!$AC$2:$AE$10000,MATCH(Z2647,'CAMD Facility Data 2023'!$AE$2:$AE$10000,0),1),"")</f>
        <v>260</v>
      </c>
      <c r="AC2647" s="1" t="str">
        <f>IF(INDEX('CAMD Facility Data 2023'!$AE$2:$AG$10000,MATCH(Z2647,'CAMD Facility Data 2023'!$AE$2:$AE$10000,0),3)&gt;0,INDEX('CAMD Facility Data 2023'!$AE$2:$AG$10000,MATCH(Z2647,'CAMD Facility Data 2023'!$AE$2:$AE$10000,0),3),"")</f>
        <v/>
      </c>
      <c r="AD2647" s="20">
        <f t="shared" si="124"/>
        <v>1.8960242769737325</v>
      </c>
      <c r="AE2647" s="25">
        <f t="shared" si="125"/>
        <v>5.5571347031963474E-2</v>
      </c>
    </row>
    <row r="2648" spans="1:31" x14ac:dyDescent="0.2">
      <c r="A2648" s="1" t="s">
        <v>2584</v>
      </c>
      <c r="B2648" s="1" t="s">
        <v>6122</v>
      </c>
      <c r="C2648" s="1">
        <v>55233</v>
      </c>
      <c r="D2648" s="1" t="s">
        <v>6129</v>
      </c>
      <c r="E2648" s="1" t="s">
        <v>1881</v>
      </c>
      <c r="F2648" s="1">
        <v>2023</v>
      </c>
      <c r="G2648" s="5">
        <v>933</v>
      </c>
      <c r="H2648" s="5">
        <v>806.72</v>
      </c>
      <c r="I2648" s="5">
        <v>13332.35</v>
      </c>
      <c r="K2648" s="5">
        <v>4.2999999999999997E-2</v>
      </c>
      <c r="L2648" s="5">
        <v>6.9999999999999999E-4</v>
      </c>
      <c r="M2648" s="5">
        <v>7687.1</v>
      </c>
      <c r="N2648" s="6">
        <v>5.8700000000000002E-2</v>
      </c>
      <c r="O2648" s="5">
        <v>11.385</v>
      </c>
      <c r="P2648" s="6">
        <v>0.24610000000000001</v>
      </c>
      <c r="Q2648" s="5">
        <v>130193.3</v>
      </c>
      <c r="R2648" s="1" t="s">
        <v>44</v>
      </c>
      <c r="T2648" s="1" t="s">
        <v>93</v>
      </c>
      <c r="V2648" s="1" t="s">
        <v>95</v>
      </c>
      <c r="Y2648" s="1" t="s">
        <v>1515</v>
      </c>
      <c r="Z2648" s="1" t="str">
        <f t="shared" si="123"/>
        <v>55233 EU-2B</v>
      </c>
      <c r="AA2648" s="3">
        <f>IF(INDEX('CAMD Facility Data 2023'!$AA$2:$AE$10000,MATCH(Z2648,'CAMD Facility Data 2023'!$AE$2:$AE$10000,0),1)&gt;0,INDEX('CAMD Facility Data 2023'!$AA$2:$AE$10000,MATCH(Z2648,'CAMD Facility Data 2023'!$AE$2:$AE$10000,0),1),"")</f>
        <v>37090</v>
      </c>
      <c r="AB2648" s="5">
        <f>IF(INDEX('CAMD Facility Data 2023'!$AC$2:$AE$10000,MATCH(Z2648,'CAMD Facility Data 2023'!$AE$2:$AE$10000,0),1)&gt;0,INDEX('CAMD Facility Data 2023'!$AC$2:$AE$10000,MATCH(Z2648,'CAMD Facility Data 2023'!$AE$2:$AE$10000,0),1),"")</f>
        <v>260</v>
      </c>
      <c r="AC2648" s="1" t="str">
        <f>IF(INDEX('CAMD Facility Data 2023'!$AE$2:$AG$10000,MATCH(Z2648,'CAMD Facility Data 2023'!$AE$2:$AE$10000,0),3)&gt;0,INDEX('CAMD Facility Data 2023'!$AE$2:$AG$10000,MATCH(Z2648,'CAMD Facility Data 2023'!$AE$2:$AE$10000,0),3),"")</f>
        <v/>
      </c>
      <c r="AD2648" s="20">
        <f t="shared" si="124"/>
        <v>1.707875955851744</v>
      </c>
      <c r="AE2648" s="25">
        <f t="shared" si="125"/>
        <v>5.7162495609413416E-2</v>
      </c>
    </row>
    <row r="2649" spans="1:31" x14ac:dyDescent="0.2">
      <c r="A2649" s="1" t="s">
        <v>2584</v>
      </c>
      <c r="B2649" s="1" t="s">
        <v>6122</v>
      </c>
      <c r="C2649" s="1">
        <v>55233</v>
      </c>
      <c r="D2649" s="1" t="s">
        <v>6130</v>
      </c>
      <c r="E2649" s="1" t="s">
        <v>1881</v>
      </c>
      <c r="F2649" s="1">
        <v>2023</v>
      </c>
      <c r="G2649" s="5">
        <v>939</v>
      </c>
      <c r="H2649" s="5">
        <v>826.87</v>
      </c>
      <c r="I2649" s="5">
        <v>13945.9</v>
      </c>
      <c r="K2649" s="5">
        <v>4.4999999999999998E-2</v>
      </c>
      <c r="L2649" s="5">
        <v>6.9999999999999999E-4</v>
      </c>
      <c r="M2649" s="5">
        <v>8034.4</v>
      </c>
      <c r="N2649" s="6">
        <v>5.8799999999999998E-2</v>
      </c>
      <c r="O2649" s="5">
        <v>12.074</v>
      </c>
      <c r="P2649" s="6">
        <v>0.23960000000000001</v>
      </c>
      <c r="Q2649" s="5">
        <v>136085.5</v>
      </c>
      <c r="R2649" s="1" t="s">
        <v>44</v>
      </c>
      <c r="T2649" s="1" t="s">
        <v>93</v>
      </c>
      <c r="V2649" s="1" t="s">
        <v>95</v>
      </c>
      <c r="Y2649" s="1" t="s">
        <v>1515</v>
      </c>
      <c r="Z2649" s="1" t="str">
        <f t="shared" si="123"/>
        <v>55233 EU-3A</v>
      </c>
      <c r="AA2649" s="3">
        <f>IF(INDEX('CAMD Facility Data 2023'!$AA$2:$AE$10000,MATCH(Z2649,'CAMD Facility Data 2023'!$AE$2:$AE$10000,0),1)&gt;0,INDEX('CAMD Facility Data 2023'!$AA$2:$AE$10000,MATCH(Z2649,'CAMD Facility Data 2023'!$AE$2:$AE$10000,0),1),"")</f>
        <v>37083</v>
      </c>
      <c r="AB2649" s="5">
        <f>IF(INDEX('CAMD Facility Data 2023'!$AC$2:$AE$10000,MATCH(Z2649,'CAMD Facility Data 2023'!$AE$2:$AE$10000,0),1)&gt;0,INDEX('CAMD Facility Data 2023'!$AC$2:$AE$10000,MATCH(Z2649,'CAMD Facility Data 2023'!$AE$2:$AE$10000,0),1),"")</f>
        <v>260</v>
      </c>
      <c r="AC2649" s="1" t="str">
        <f>IF(INDEX('CAMD Facility Data 2023'!$AE$2:$AG$10000,MATCH(Z2649,'CAMD Facility Data 2023'!$AE$2:$AE$10000,0),3)&gt;0,INDEX('CAMD Facility Data 2023'!$AE$2:$AG$10000,MATCH(Z2649,'CAMD Facility Data 2023'!$AE$2:$AE$10000,0),3),"")</f>
        <v/>
      </c>
      <c r="AD2649" s="20">
        <f t="shared" si="124"/>
        <v>1.7315483403724392</v>
      </c>
      <c r="AE2649" s="25">
        <f t="shared" si="125"/>
        <v>5.9749517035475937E-2</v>
      </c>
    </row>
    <row r="2650" spans="1:31" x14ac:dyDescent="0.2">
      <c r="A2650" s="1" t="s">
        <v>2584</v>
      </c>
      <c r="B2650" s="1" t="s">
        <v>6122</v>
      </c>
      <c r="C2650" s="1">
        <v>55233</v>
      </c>
      <c r="D2650" s="1" t="s">
        <v>6132</v>
      </c>
      <c r="E2650" s="1" t="s">
        <v>1881</v>
      </c>
      <c r="F2650" s="1">
        <v>2023</v>
      </c>
      <c r="G2650" s="5">
        <v>940</v>
      </c>
      <c r="H2650" s="5">
        <v>826.68</v>
      </c>
      <c r="I2650" s="5">
        <v>13951.01</v>
      </c>
      <c r="K2650" s="5">
        <v>4.4999999999999998E-2</v>
      </c>
      <c r="L2650" s="5">
        <v>6.9999999999999999E-4</v>
      </c>
      <c r="M2650" s="5">
        <v>8038</v>
      </c>
      <c r="N2650" s="6">
        <v>5.8799999999999998E-2</v>
      </c>
      <c r="O2650" s="5">
        <v>11.912000000000001</v>
      </c>
      <c r="P2650" s="6">
        <v>0.2387</v>
      </c>
      <c r="Q2650" s="5">
        <v>136147.4</v>
      </c>
      <c r="R2650" s="1" t="s">
        <v>44</v>
      </c>
      <c r="T2650" s="1" t="s">
        <v>93</v>
      </c>
      <c r="V2650" s="1" t="s">
        <v>95</v>
      </c>
      <c r="Y2650" s="1" t="s">
        <v>1515</v>
      </c>
      <c r="Z2650" s="1" t="str">
        <f t="shared" si="123"/>
        <v>55233 EU-3B</v>
      </c>
      <c r="AA2650" s="3">
        <f>IF(INDEX('CAMD Facility Data 2023'!$AA$2:$AE$10000,MATCH(Z2650,'CAMD Facility Data 2023'!$AE$2:$AE$10000,0),1)&gt;0,INDEX('CAMD Facility Data 2023'!$AA$2:$AE$10000,MATCH(Z2650,'CAMD Facility Data 2023'!$AE$2:$AE$10000,0),1),"")</f>
        <v>37083</v>
      </c>
      <c r="AB2650" s="5">
        <f>IF(INDEX('CAMD Facility Data 2023'!$AC$2:$AE$10000,MATCH(Z2650,'CAMD Facility Data 2023'!$AE$2:$AE$10000,0),1)&gt;0,INDEX('CAMD Facility Data 2023'!$AC$2:$AE$10000,MATCH(Z2650,'CAMD Facility Data 2023'!$AE$2:$AE$10000,0),1),"")</f>
        <v>260</v>
      </c>
      <c r="AC2650" s="1" t="str">
        <f>IF(INDEX('CAMD Facility Data 2023'!$AE$2:$AG$10000,MATCH(Z2650,'CAMD Facility Data 2023'!$AE$2:$AE$10000,0),3)&gt;0,INDEX('CAMD Facility Data 2023'!$AE$2:$AG$10000,MATCH(Z2650,'CAMD Facility Data 2023'!$AE$2:$AE$10000,0),3),"")</f>
        <v/>
      </c>
      <c r="AD2650" s="20">
        <f t="shared" si="124"/>
        <v>1.7076899808687687</v>
      </c>
      <c r="AE2650" s="25">
        <f t="shared" si="125"/>
        <v>5.9776694766420793E-2</v>
      </c>
    </row>
    <row r="2651" spans="1:31" x14ac:dyDescent="0.2">
      <c r="A2651" s="1" t="s">
        <v>2584</v>
      </c>
      <c r="B2651" s="1" t="s">
        <v>6122</v>
      </c>
      <c r="C2651" s="1">
        <v>55233</v>
      </c>
      <c r="D2651" s="1" t="s">
        <v>6133</v>
      </c>
      <c r="E2651" s="1" t="s">
        <v>1881</v>
      </c>
      <c r="F2651" s="1">
        <v>2023</v>
      </c>
      <c r="G2651" s="5">
        <v>866</v>
      </c>
      <c r="H2651" s="5">
        <v>745.73</v>
      </c>
      <c r="I2651" s="5">
        <v>15049.55</v>
      </c>
      <c r="K2651" s="5">
        <v>4.5999999999999999E-2</v>
      </c>
      <c r="L2651" s="5">
        <v>6.9999999999999999E-4</v>
      </c>
      <c r="M2651" s="5">
        <v>8738.6</v>
      </c>
      <c r="N2651" s="6">
        <v>5.8900000000000001E-2</v>
      </c>
      <c r="O2651" s="5">
        <v>13.064</v>
      </c>
      <c r="P2651" s="6">
        <v>0.25480000000000003</v>
      </c>
      <c r="Q2651" s="5">
        <v>147998.9</v>
      </c>
      <c r="R2651" s="1" t="s">
        <v>44</v>
      </c>
      <c r="T2651" s="1" t="s">
        <v>93</v>
      </c>
      <c r="V2651" s="1" t="s">
        <v>95</v>
      </c>
      <c r="Y2651" s="1" t="s">
        <v>1515</v>
      </c>
      <c r="Z2651" s="1" t="str">
        <f t="shared" si="123"/>
        <v>55233 EU-4A</v>
      </c>
      <c r="AA2651" s="3">
        <f>IF(INDEX('CAMD Facility Data 2023'!$AA$2:$AE$10000,MATCH(Z2651,'CAMD Facility Data 2023'!$AE$2:$AE$10000,0),1)&gt;0,INDEX('CAMD Facility Data 2023'!$AA$2:$AE$10000,MATCH(Z2651,'CAMD Facility Data 2023'!$AE$2:$AE$10000,0),1),"")</f>
        <v>37074</v>
      </c>
      <c r="AB2651" s="5">
        <f>IF(INDEX('CAMD Facility Data 2023'!$AC$2:$AE$10000,MATCH(Z2651,'CAMD Facility Data 2023'!$AE$2:$AE$10000,0),1)&gt;0,INDEX('CAMD Facility Data 2023'!$AC$2:$AE$10000,MATCH(Z2651,'CAMD Facility Data 2023'!$AE$2:$AE$10000,0),1),"")</f>
        <v>260</v>
      </c>
      <c r="AC2651" s="1" t="str">
        <f>IF(INDEX('CAMD Facility Data 2023'!$AE$2:$AG$10000,MATCH(Z2651,'CAMD Facility Data 2023'!$AE$2:$AE$10000,0),3)&gt;0,INDEX('CAMD Facility Data 2023'!$AE$2:$AG$10000,MATCH(Z2651,'CAMD Facility Data 2023'!$AE$2:$AE$10000,0),3),"")</f>
        <v/>
      </c>
      <c r="AD2651" s="20">
        <f t="shared" si="124"/>
        <v>1.7361316451322466</v>
      </c>
      <c r="AE2651" s="25">
        <f t="shared" si="125"/>
        <v>6.4980198454513527E-2</v>
      </c>
    </row>
    <row r="2652" spans="1:31" x14ac:dyDescent="0.2">
      <c r="A2652" s="1" t="s">
        <v>2584</v>
      </c>
      <c r="B2652" s="1" t="s">
        <v>6122</v>
      </c>
      <c r="C2652" s="1">
        <v>55233</v>
      </c>
      <c r="D2652" s="1" t="s">
        <v>6135</v>
      </c>
      <c r="E2652" s="1" t="s">
        <v>1881</v>
      </c>
      <c r="F2652" s="1">
        <v>2023</v>
      </c>
      <c r="G2652" s="5">
        <v>684</v>
      </c>
      <c r="H2652" s="5">
        <v>579.41999999999996</v>
      </c>
      <c r="I2652" s="5">
        <v>11502.7</v>
      </c>
      <c r="K2652" s="5">
        <v>3.7999999999999999E-2</v>
      </c>
      <c r="L2652" s="5">
        <v>6.9999999999999999E-4</v>
      </c>
      <c r="M2652" s="5">
        <v>6906.4</v>
      </c>
      <c r="N2652" s="6">
        <v>5.8900000000000001E-2</v>
      </c>
      <c r="O2652" s="5">
        <v>10.96</v>
      </c>
      <c r="P2652" s="6">
        <v>0.27479999999999999</v>
      </c>
      <c r="Q2652" s="5">
        <v>116959.4</v>
      </c>
      <c r="R2652" s="1" t="s">
        <v>44</v>
      </c>
      <c r="T2652" s="1" t="s">
        <v>93</v>
      </c>
      <c r="V2652" s="1" t="s">
        <v>95</v>
      </c>
      <c r="Y2652" s="1" t="s">
        <v>1515</v>
      </c>
      <c r="Z2652" s="1" t="str">
        <f t="shared" si="123"/>
        <v>55233 EU-4B</v>
      </c>
      <c r="AA2652" s="3">
        <f>IF(INDEX('CAMD Facility Data 2023'!$AA$2:$AE$10000,MATCH(Z2652,'CAMD Facility Data 2023'!$AE$2:$AE$10000,0),1)&gt;0,INDEX('CAMD Facility Data 2023'!$AA$2:$AE$10000,MATCH(Z2652,'CAMD Facility Data 2023'!$AE$2:$AE$10000,0),1),"")</f>
        <v>37074</v>
      </c>
      <c r="AB2652" s="5">
        <f>IF(INDEX('CAMD Facility Data 2023'!$AC$2:$AE$10000,MATCH(Z2652,'CAMD Facility Data 2023'!$AE$2:$AE$10000,0),1)&gt;0,INDEX('CAMD Facility Data 2023'!$AC$2:$AE$10000,MATCH(Z2652,'CAMD Facility Data 2023'!$AE$2:$AE$10000,0),1),"")</f>
        <v>260</v>
      </c>
      <c r="AC2652" s="1" t="str">
        <f>IF(INDEX('CAMD Facility Data 2023'!$AE$2:$AG$10000,MATCH(Z2652,'CAMD Facility Data 2023'!$AE$2:$AE$10000,0),3)&gt;0,INDEX('CAMD Facility Data 2023'!$AE$2:$AG$10000,MATCH(Z2652,'CAMD Facility Data 2023'!$AE$2:$AE$10000,0),3),"")</f>
        <v/>
      </c>
      <c r="AD2652" s="20">
        <f t="shared" si="124"/>
        <v>1.9056395454980133</v>
      </c>
      <c r="AE2652" s="25">
        <f t="shared" si="125"/>
        <v>5.1352037232174214E-2</v>
      </c>
    </row>
    <row r="2653" spans="1:31" x14ac:dyDescent="0.2">
      <c r="A2653" s="1" t="s">
        <v>2584</v>
      </c>
      <c r="B2653" s="1" t="s">
        <v>6122</v>
      </c>
      <c r="C2653" s="1">
        <v>55233</v>
      </c>
      <c r="D2653" s="1" t="s">
        <v>6136</v>
      </c>
      <c r="E2653" s="1" t="s">
        <v>1881</v>
      </c>
      <c r="F2653" s="1">
        <v>2023</v>
      </c>
      <c r="G2653" s="5">
        <v>862</v>
      </c>
      <c r="H2653" s="5">
        <v>739.21</v>
      </c>
      <c r="I2653" s="5">
        <v>12044.66</v>
      </c>
      <c r="K2653" s="5">
        <v>3.9E-2</v>
      </c>
      <c r="L2653" s="5">
        <v>6.9999999999999999E-4</v>
      </c>
      <c r="M2653" s="5">
        <v>6981.5</v>
      </c>
      <c r="N2653" s="6">
        <v>5.8900000000000001E-2</v>
      </c>
      <c r="O2653" s="5">
        <v>10.462</v>
      </c>
      <c r="P2653" s="6">
        <v>0.24990000000000001</v>
      </c>
      <c r="Q2653" s="5">
        <v>118226.8</v>
      </c>
      <c r="R2653" s="1" t="s">
        <v>44</v>
      </c>
      <c r="T2653" s="1" t="s">
        <v>93</v>
      </c>
      <c r="V2653" s="1" t="s">
        <v>95</v>
      </c>
      <c r="Y2653" s="1" t="s">
        <v>1515</v>
      </c>
      <c r="Z2653" s="1" t="str">
        <f t="shared" si="123"/>
        <v>55233 EU-5A</v>
      </c>
      <c r="AA2653" s="3">
        <f>IF(INDEX('CAMD Facility Data 2023'!$AA$2:$AE$10000,MATCH(Z2653,'CAMD Facility Data 2023'!$AE$2:$AE$10000,0),1)&gt;0,INDEX('CAMD Facility Data 2023'!$AA$2:$AE$10000,MATCH(Z2653,'CAMD Facility Data 2023'!$AE$2:$AE$10000,0),1),"")</f>
        <v>37072</v>
      </c>
      <c r="AB2653" s="5">
        <f>IF(INDEX('CAMD Facility Data 2023'!$AC$2:$AE$10000,MATCH(Z2653,'CAMD Facility Data 2023'!$AE$2:$AE$10000,0),1)&gt;0,INDEX('CAMD Facility Data 2023'!$AC$2:$AE$10000,MATCH(Z2653,'CAMD Facility Data 2023'!$AE$2:$AE$10000,0),1),"")</f>
        <v>260</v>
      </c>
      <c r="AC2653" s="1" t="str">
        <f>IF(INDEX('CAMD Facility Data 2023'!$AE$2:$AG$10000,MATCH(Z2653,'CAMD Facility Data 2023'!$AE$2:$AE$10000,0),3)&gt;0,INDEX('CAMD Facility Data 2023'!$AE$2:$AG$10000,MATCH(Z2653,'CAMD Facility Data 2023'!$AE$2:$AE$10000,0),3),"")</f>
        <v/>
      </c>
      <c r="AD2653" s="20">
        <f t="shared" si="124"/>
        <v>1.7372013821892855</v>
      </c>
      <c r="AE2653" s="25">
        <f t="shared" si="125"/>
        <v>5.1908500175623463E-2</v>
      </c>
    </row>
    <row r="2654" spans="1:31" x14ac:dyDescent="0.2">
      <c r="A2654" s="1" t="s">
        <v>2584</v>
      </c>
      <c r="B2654" s="1" t="s">
        <v>6122</v>
      </c>
      <c r="C2654" s="1">
        <v>55233</v>
      </c>
      <c r="D2654" s="1" t="s">
        <v>6138</v>
      </c>
      <c r="E2654" s="1" t="s">
        <v>1881</v>
      </c>
      <c r="F2654" s="1">
        <v>2023</v>
      </c>
      <c r="G2654" s="5">
        <v>738</v>
      </c>
      <c r="H2654" s="5">
        <v>638.89</v>
      </c>
      <c r="I2654" s="5">
        <v>10117.66</v>
      </c>
      <c r="K2654" s="5">
        <v>3.5000000000000003E-2</v>
      </c>
      <c r="L2654" s="5">
        <v>6.9999999999999999E-4</v>
      </c>
      <c r="M2654" s="5">
        <v>6013.3</v>
      </c>
      <c r="N2654" s="6">
        <v>5.8900000000000001E-2</v>
      </c>
      <c r="O2654" s="5">
        <v>9.1590000000000007</v>
      </c>
      <c r="P2654" s="6">
        <v>0.24840000000000001</v>
      </c>
      <c r="Q2654" s="5">
        <v>101826</v>
      </c>
      <c r="R2654" s="1" t="s">
        <v>44</v>
      </c>
      <c r="T2654" s="1" t="s">
        <v>93</v>
      </c>
      <c r="V2654" s="1" t="s">
        <v>95</v>
      </c>
      <c r="Y2654" s="1" t="s">
        <v>1515</v>
      </c>
      <c r="Z2654" s="1" t="str">
        <f t="shared" si="123"/>
        <v>55233 EU-5B</v>
      </c>
      <c r="AA2654" s="3">
        <f>IF(INDEX('CAMD Facility Data 2023'!$AA$2:$AE$10000,MATCH(Z2654,'CAMD Facility Data 2023'!$AE$2:$AE$10000,0),1)&gt;0,INDEX('CAMD Facility Data 2023'!$AA$2:$AE$10000,MATCH(Z2654,'CAMD Facility Data 2023'!$AE$2:$AE$10000,0),1),"")</f>
        <v>37072</v>
      </c>
      <c r="AB2654" s="5">
        <f>IF(INDEX('CAMD Facility Data 2023'!$AC$2:$AE$10000,MATCH(Z2654,'CAMD Facility Data 2023'!$AE$2:$AE$10000,0),1)&gt;0,INDEX('CAMD Facility Data 2023'!$AC$2:$AE$10000,MATCH(Z2654,'CAMD Facility Data 2023'!$AE$2:$AE$10000,0),1),"")</f>
        <v>260</v>
      </c>
      <c r="AC2654" s="1" t="str">
        <f>IF(INDEX('CAMD Facility Data 2023'!$AE$2:$AG$10000,MATCH(Z2654,'CAMD Facility Data 2023'!$AE$2:$AE$10000,0),3)&gt;0,INDEX('CAMD Facility Data 2023'!$AE$2:$AG$10000,MATCH(Z2654,'CAMD Facility Data 2023'!$AE$2:$AE$10000,0),3),"")</f>
        <v/>
      </c>
      <c r="AD2654" s="20">
        <f t="shared" si="124"/>
        <v>1.8104976842471481</v>
      </c>
      <c r="AE2654" s="25">
        <f t="shared" si="125"/>
        <v>4.4707586933614332E-2</v>
      </c>
    </row>
    <row r="2655" spans="1:31" x14ac:dyDescent="0.2">
      <c r="A2655" s="1" t="s">
        <v>1755</v>
      </c>
      <c r="B2655" s="1" t="s">
        <v>6139</v>
      </c>
      <c r="C2655" s="1">
        <v>55234</v>
      </c>
      <c r="D2655" s="1" t="s">
        <v>311</v>
      </c>
      <c r="F2655" s="1">
        <v>2023</v>
      </c>
      <c r="G2655" s="5">
        <v>470</v>
      </c>
      <c r="H2655" s="5">
        <v>395.71</v>
      </c>
      <c r="I2655" s="5">
        <v>25093.19</v>
      </c>
      <c r="K2655" s="5">
        <v>8.8999999999999996E-2</v>
      </c>
      <c r="L2655" s="5">
        <v>1E-3</v>
      </c>
      <c r="M2655" s="5">
        <v>17573.929</v>
      </c>
      <c r="N2655" s="6">
        <v>5.8999999999999997E-2</v>
      </c>
      <c r="O2655" s="5">
        <v>3.42</v>
      </c>
      <c r="P2655" s="6">
        <v>2.3099999999999999E-2</v>
      </c>
      <c r="Q2655" s="5">
        <v>295721.73499999999</v>
      </c>
      <c r="R2655" s="1" t="s">
        <v>44</v>
      </c>
      <c r="T2655" s="1" t="s">
        <v>93</v>
      </c>
      <c r="V2655" s="1" t="s">
        <v>140</v>
      </c>
      <c r="Y2655" s="1" t="s">
        <v>1207</v>
      </c>
      <c r="Z2655" s="1" t="str">
        <f t="shared" si="123"/>
        <v>55234 CT1</v>
      </c>
      <c r="AA2655" s="3">
        <f>IF(INDEX('CAMD Facility Data 2023'!$AA$2:$AE$10000,MATCH(Z2655,'CAMD Facility Data 2023'!$AE$2:$AE$10000,0),1)&gt;0,INDEX('CAMD Facility Data 2023'!$AA$2:$AE$10000,MATCH(Z2655,'CAMD Facility Data 2023'!$AE$2:$AE$10000,0),1),"")</f>
        <v>36994</v>
      </c>
      <c r="AB2655" s="5">
        <f>IF(INDEX('CAMD Facility Data 2023'!$AC$2:$AE$10000,MATCH(Z2655,'CAMD Facility Data 2023'!$AE$2:$AE$10000,0),1)&gt;0,INDEX('CAMD Facility Data 2023'!$AC$2:$AE$10000,MATCH(Z2655,'CAMD Facility Data 2023'!$AE$2:$AE$10000,0),1),"")</f>
        <v>971</v>
      </c>
      <c r="AC2655" s="1" t="str">
        <f>IF(INDEX('CAMD Facility Data 2023'!$AE$2:$AG$10000,MATCH(Z2655,'CAMD Facility Data 2023'!$AE$2:$AE$10000,0),3)&gt;0,INDEX('CAMD Facility Data 2023'!$AE$2:$AG$10000,MATCH(Z2655,'CAMD Facility Data 2023'!$AE$2:$AE$10000,0),3),"")</f>
        <v/>
      </c>
      <c r="AD2655" s="20">
        <f t="shared" si="124"/>
        <v>0.2725839161939953</v>
      </c>
      <c r="AE2655" s="25">
        <f t="shared" si="125"/>
        <v>3.4766414960803953E-2</v>
      </c>
    </row>
    <row r="2656" spans="1:31" x14ac:dyDescent="0.2">
      <c r="A2656" s="1" t="s">
        <v>1755</v>
      </c>
      <c r="B2656" s="1" t="s">
        <v>6139</v>
      </c>
      <c r="C2656" s="1">
        <v>55234</v>
      </c>
      <c r="D2656" s="1" t="s">
        <v>98</v>
      </c>
      <c r="F2656" s="1">
        <v>2023</v>
      </c>
      <c r="G2656" s="5">
        <v>472</v>
      </c>
      <c r="H2656" s="5">
        <v>400.32</v>
      </c>
      <c r="I2656" s="5">
        <v>25303.67</v>
      </c>
      <c r="K2656" s="5">
        <v>0.09</v>
      </c>
      <c r="L2656" s="5">
        <v>1E-3</v>
      </c>
      <c r="M2656" s="5">
        <v>17790.598999999998</v>
      </c>
      <c r="N2656" s="6">
        <v>5.91E-2</v>
      </c>
      <c r="O2656" s="5">
        <v>3.823</v>
      </c>
      <c r="P2656" s="6">
        <v>2.52E-2</v>
      </c>
      <c r="Q2656" s="5">
        <v>299358.26400000002</v>
      </c>
      <c r="R2656" s="1" t="s">
        <v>44</v>
      </c>
      <c r="T2656" s="1" t="s">
        <v>93</v>
      </c>
      <c r="V2656" s="1" t="s">
        <v>140</v>
      </c>
      <c r="Y2656" s="1" t="s">
        <v>1207</v>
      </c>
      <c r="Z2656" s="1" t="str">
        <f t="shared" si="123"/>
        <v>55234 CT2</v>
      </c>
      <c r="AA2656" s="3">
        <f>IF(INDEX('CAMD Facility Data 2023'!$AA$2:$AE$10000,MATCH(Z2656,'CAMD Facility Data 2023'!$AE$2:$AE$10000,0),1)&gt;0,INDEX('CAMD Facility Data 2023'!$AA$2:$AE$10000,MATCH(Z2656,'CAMD Facility Data 2023'!$AE$2:$AE$10000,0),1),"")</f>
        <v>36991</v>
      </c>
      <c r="AB2656" s="5">
        <f>IF(INDEX('CAMD Facility Data 2023'!$AC$2:$AE$10000,MATCH(Z2656,'CAMD Facility Data 2023'!$AE$2:$AE$10000,0),1)&gt;0,INDEX('CAMD Facility Data 2023'!$AC$2:$AE$10000,MATCH(Z2656,'CAMD Facility Data 2023'!$AE$2:$AE$10000,0),1),"")</f>
        <v>971</v>
      </c>
      <c r="AC2656" s="1" t="str">
        <f>IF(INDEX('CAMD Facility Data 2023'!$AE$2:$AG$10000,MATCH(Z2656,'CAMD Facility Data 2023'!$AE$2:$AE$10000,0),3)&gt;0,INDEX('CAMD Facility Data 2023'!$AE$2:$AG$10000,MATCH(Z2656,'CAMD Facility Data 2023'!$AE$2:$AE$10000,0),3),"")</f>
        <v/>
      </c>
      <c r="AD2656" s="20">
        <f t="shared" si="124"/>
        <v>0.30216960622708089</v>
      </c>
      <c r="AE2656" s="25">
        <f t="shared" si="125"/>
        <v>3.5193942129988859E-2</v>
      </c>
    </row>
    <row r="2657" spans="1:31" x14ac:dyDescent="0.2">
      <c r="A2657" s="1" t="s">
        <v>1755</v>
      </c>
      <c r="B2657" s="1" t="s">
        <v>6139</v>
      </c>
      <c r="C2657" s="1">
        <v>55234</v>
      </c>
      <c r="D2657" s="1" t="s">
        <v>101</v>
      </c>
      <c r="F2657" s="1">
        <v>2023</v>
      </c>
      <c r="G2657" s="5">
        <v>488</v>
      </c>
      <c r="H2657" s="5">
        <v>413.04</v>
      </c>
      <c r="I2657" s="5">
        <v>26302.799999999999</v>
      </c>
      <c r="K2657" s="5">
        <v>9.2999999999999999E-2</v>
      </c>
      <c r="L2657" s="5">
        <v>1E-3</v>
      </c>
      <c r="M2657" s="5">
        <v>18491.848000000002</v>
      </c>
      <c r="N2657" s="6">
        <v>5.9200000000000003E-2</v>
      </c>
      <c r="O2657" s="5">
        <v>3.7309999999999999</v>
      </c>
      <c r="P2657" s="6">
        <v>2.3800000000000002E-2</v>
      </c>
      <c r="Q2657" s="5">
        <v>311173.3</v>
      </c>
      <c r="R2657" s="1" t="s">
        <v>44</v>
      </c>
      <c r="T2657" s="1" t="s">
        <v>93</v>
      </c>
      <c r="V2657" s="1" t="s">
        <v>140</v>
      </c>
      <c r="Y2657" s="1" t="s">
        <v>1207</v>
      </c>
      <c r="Z2657" s="1" t="str">
        <f t="shared" si="123"/>
        <v>55234 CT3</v>
      </c>
      <c r="AA2657" s="3">
        <f>IF(INDEX('CAMD Facility Data 2023'!$AA$2:$AE$10000,MATCH(Z2657,'CAMD Facility Data 2023'!$AE$2:$AE$10000,0),1)&gt;0,INDEX('CAMD Facility Data 2023'!$AA$2:$AE$10000,MATCH(Z2657,'CAMD Facility Data 2023'!$AE$2:$AE$10000,0),1),"")</f>
        <v>36985</v>
      </c>
      <c r="AB2657" s="5">
        <f>IF(INDEX('CAMD Facility Data 2023'!$AC$2:$AE$10000,MATCH(Z2657,'CAMD Facility Data 2023'!$AE$2:$AE$10000,0),1)&gt;0,INDEX('CAMD Facility Data 2023'!$AC$2:$AE$10000,MATCH(Z2657,'CAMD Facility Data 2023'!$AE$2:$AE$10000,0),1),"")</f>
        <v>971</v>
      </c>
      <c r="AC2657" s="1" t="str">
        <f>IF(INDEX('CAMD Facility Data 2023'!$AE$2:$AG$10000,MATCH(Z2657,'CAMD Facility Data 2023'!$AE$2:$AE$10000,0),3)&gt;0,INDEX('CAMD Facility Data 2023'!$AE$2:$AG$10000,MATCH(Z2657,'CAMD Facility Data 2023'!$AE$2:$AE$10000,0),3),"")</f>
        <v/>
      </c>
      <c r="AD2657" s="20">
        <f t="shared" si="124"/>
        <v>0.2836960323615737</v>
      </c>
      <c r="AE2657" s="25">
        <f t="shared" si="125"/>
        <v>3.6582972409933738E-2</v>
      </c>
    </row>
    <row r="2658" spans="1:31" x14ac:dyDescent="0.2">
      <c r="A2658" s="1" t="s">
        <v>1755</v>
      </c>
      <c r="B2658" s="1" t="s">
        <v>6139</v>
      </c>
      <c r="C2658" s="1">
        <v>55234</v>
      </c>
      <c r="D2658" s="1" t="s">
        <v>103</v>
      </c>
      <c r="F2658" s="1">
        <v>2023</v>
      </c>
      <c r="G2658" s="5">
        <v>442</v>
      </c>
      <c r="H2658" s="5">
        <v>375.02</v>
      </c>
      <c r="I2658" s="5">
        <v>23835.69</v>
      </c>
      <c r="K2658" s="5">
        <v>8.5000000000000006E-2</v>
      </c>
      <c r="L2658" s="5">
        <v>1E-3</v>
      </c>
      <c r="M2658" s="5">
        <v>16802.214</v>
      </c>
      <c r="N2658" s="6">
        <v>5.8999999999999997E-2</v>
      </c>
      <c r="O2658" s="5">
        <v>3.169</v>
      </c>
      <c r="P2658" s="6">
        <v>2.23E-2</v>
      </c>
      <c r="Q2658" s="5">
        <v>282734.27600000001</v>
      </c>
      <c r="R2658" s="1" t="s">
        <v>44</v>
      </c>
      <c r="T2658" s="1" t="s">
        <v>93</v>
      </c>
      <c r="V2658" s="1" t="s">
        <v>140</v>
      </c>
      <c r="Y2658" s="1" t="s">
        <v>1207</v>
      </c>
      <c r="Z2658" s="1" t="str">
        <f t="shared" si="123"/>
        <v>55234 CT4</v>
      </c>
      <c r="AA2658" s="3">
        <f>IF(INDEX('CAMD Facility Data 2023'!$AA$2:$AE$10000,MATCH(Z2658,'CAMD Facility Data 2023'!$AE$2:$AE$10000,0),1)&gt;0,INDEX('CAMD Facility Data 2023'!$AA$2:$AE$10000,MATCH(Z2658,'CAMD Facility Data 2023'!$AE$2:$AE$10000,0),1),"")</f>
        <v>36985</v>
      </c>
      <c r="AB2658" s="5">
        <f>IF(INDEX('CAMD Facility Data 2023'!$AC$2:$AE$10000,MATCH(Z2658,'CAMD Facility Data 2023'!$AE$2:$AE$10000,0),1)&gt;0,INDEX('CAMD Facility Data 2023'!$AC$2:$AE$10000,MATCH(Z2658,'CAMD Facility Data 2023'!$AE$2:$AE$10000,0),1),"")</f>
        <v>971</v>
      </c>
      <c r="AC2658" s="1" t="str">
        <f>IF(INDEX('CAMD Facility Data 2023'!$AE$2:$AG$10000,MATCH(Z2658,'CAMD Facility Data 2023'!$AE$2:$AE$10000,0),3)&gt;0,INDEX('CAMD Facility Data 2023'!$AE$2:$AG$10000,MATCH(Z2658,'CAMD Facility Data 2023'!$AE$2:$AE$10000,0),3),"")</f>
        <v/>
      </c>
      <c r="AD2658" s="20">
        <f t="shared" si="124"/>
        <v>0.26590377706707885</v>
      </c>
      <c r="AE2658" s="25">
        <f t="shared" si="125"/>
        <v>3.323954921020085E-2</v>
      </c>
    </row>
    <row r="2659" spans="1:31" x14ac:dyDescent="0.2">
      <c r="A2659" s="1" t="s">
        <v>1755</v>
      </c>
      <c r="B2659" s="1" t="s">
        <v>6139</v>
      </c>
      <c r="C2659" s="1">
        <v>55234</v>
      </c>
      <c r="D2659" s="1" t="s">
        <v>105</v>
      </c>
      <c r="F2659" s="1">
        <v>2023</v>
      </c>
      <c r="G2659" s="5">
        <v>483</v>
      </c>
      <c r="H2659" s="5">
        <v>412.8</v>
      </c>
      <c r="I2659" s="5">
        <v>26250.83</v>
      </c>
      <c r="K2659" s="5">
        <v>9.2999999999999999E-2</v>
      </c>
      <c r="L2659" s="5">
        <v>1E-3</v>
      </c>
      <c r="M2659" s="5">
        <v>18426.034</v>
      </c>
      <c r="N2659" s="6">
        <v>5.8999999999999997E-2</v>
      </c>
      <c r="O2659" s="5">
        <v>3.88</v>
      </c>
      <c r="P2659" s="6">
        <v>2.5000000000000001E-2</v>
      </c>
      <c r="Q2659" s="5">
        <v>310065.84499999997</v>
      </c>
      <c r="R2659" s="1" t="s">
        <v>44</v>
      </c>
      <c r="T2659" s="1" t="s">
        <v>93</v>
      </c>
      <c r="V2659" s="1" t="s">
        <v>140</v>
      </c>
      <c r="Y2659" s="1" t="s">
        <v>1207</v>
      </c>
      <c r="Z2659" s="1" t="str">
        <f t="shared" si="123"/>
        <v>55234 CT5</v>
      </c>
      <c r="AA2659" s="3">
        <f>IF(INDEX('CAMD Facility Data 2023'!$AA$2:$AE$10000,MATCH(Z2659,'CAMD Facility Data 2023'!$AE$2:$AE$10000,0),1)&gt;0,INDEX('CAMD Facility Data 2023'!$AA$2:$AE$10000,MATCH(Z2659,'CAMD Facility Data 2023'!$AE$2:$AE$10000,0),1),"")</f>
        <v>36988</v>
      </c>
      <c r="AB2659" s="5">
        <f>IF(INDEX('CAMD Facility Data 2023'!$AC$2:$AE$10000,MATCH(Z2659,'CAMD Facility Data 2023'!$AE$2:$AE$10000,0),1)&gt;0,INDEX('CAMD Facility Data 2023'!$AC$2:$AE$10000,MATCH(Z2659,'CAMD Facility Data 2023'!$AE$2:$AE$10000,0),1),"")</f>
        <v>971</v>
      </c>
      <c r="AC2659" s="1" t="str">
        <f>IF(INDEX('CAMD Facility Data 2023'!$AE$2:$AG$10000,MATCH(Z2659,'CAMD Facility Data 2023'!$AE$2:$AE$10000,0),3)&gt;0,INDEX('CAMD Facility Data 2023'!$AE$2:$AG$10000,MATCH(Z2659,'CAMD Facility Data 2023'!$AE$2:$AE$10000,0),3),"")</f>
        <v/>
      </c>
      <c r="AD2659" s="20">
        <f t="shared" si="124"/>
        <v>0.29560970072184384</v>
      </c>
      <c r="AE2659" s="25">
        <f t="shared" si="125"/>
        <v>3.6452774877850348E-2</v>
      </c>
    </row>
    <row r="2660" spans="1:31" x14ac:dyDescent="0.2">
      <c r="A2660" s="1" t="s">
        <v>1755</v>
      </c>
      <c r="B2660" s="1" t="s">
        <v>6139</v>
      </c>
      <c r="C2660" s="1">
        <v>55234</v>
      </c>
      <c r="D2660" s="1" t="s">
        <v>107</v>
      </c>
      <c r="F2660" s="1">
        <v>2023</v>
      </c>
      <c r="G2660" s="5">
        <v>434</v>
      </c>
      <c r="H2660" s="5">
        <v>369.68</v>
      </c>
      <c r="I2660" s="5">
        <v>23683.64</v>
      </c>
      <c r="K2660" s="5">
        <v>8.4000000000000005E-2</v>
      </c>
      <c r="L2660" s="5">
        <v>1E-3</v>
      </c>
      <c r="M2660" s="5">
        <v>16631.684000000001</v>
      </c>
      <c r="N2660" s="6">
        <v>5.8799999999999998E-2</v>
      </c>
      <c r="O2660" s="5">
        <v>3.8879999999999999</v>
      </c>
      <c r="P2660" s="6">
        <v>2.76E-2</v>
      </c>
      <c r="Q2660" s="5">
        <v>279860.772</v>
      </c>
      <c r="R2660" s="1" t="s">
        <v>44</v>
      </c>
      <c r="T2660" s="1" t="s">
        <v>93</v>
      </c>
      <c r="V2660" s="1" t="s">
        <v>140</v>
      </c>
      <c r="Y2660" s="1" t="s">
        <v>1207</v>
      </c>
      <c r="Z2660" s="1" t="str">
        <f t="shared" si="123"/>
        <v>55234 CT6</v>
      </c>
      <c r="AA2660" s="3">
        <f>IF(INDEX('CAMD Facility Data 2023'!$AA$2:$AE$10000,MATCH(Z2660,'CAMD Facility Data 2023'!$AE$2:$AE$10000,0),1)&gt;0,INDEX('CAMD Facility Data 2023'!$AA$2:$AE$10000,MATCH(Z2660,'CAMD Facility Data 2023'!$AE$2:$AE$10000,0),1),"")</f>
        <v>36994</v>
      </c>
      <c r="AB2660" s="5">
        <f>IF(INDEX('CAMD Facility Data 2023'!$AC$2:$AE$10000,MATCH(Z2660,'CAMD Facility Data 2023'!$AE$2:$AE$10000,0),1)&gt;0,INDEX('CAMD Facility Data 2023'!$AC$2:$AE$10000,MATCH(Z2660,'CAMD Facility Data 2023'!$AE$2:$AE$10000,0),1),"")</f>
        <v>971</v>
      </c>
      <c r="AC2660" s="1" t="str">
        <f>IF(INDEX('CAMD Facility Data 2023'!$AE$2:$AG$10000,MATCH(Z2660,'CAMD Facility Data 2023'!$AE$2:$AE$10000,0),3)&gt;0,INDEX('CAMD Facility Data 2023'!$AE$2:$AG$10000,MATCH(Z2660,'CAMD Facility Data 2023'!$AE$2:$AE$10000,0),3),"")</f>
        <v/>
      </c>
      <c r="AD2660" s="20">
        <f t="shared" si="124"/>
        <v>0.32832790905452036</v>
      </c>
      <c r="AE2660" s="25">
        <f t="shared" si="125"/>
        <v>3.2901726789216032E-2</v>
      </c>
    </row>
    <row r="2661" spans="1:31" x14ac:dyDescent="0.2">
      <c r="A2661" s="1" t="s">
        <v>1755</v>
      </c>
      <c r="B2661" s="1" t="s">
        <v>6139</v>
      </c>
      <c r="C2661" s="1">
        <v>55234</v>
      </c>
      <c r="D2661" s="1" t="s">
        <v>109</v>
      </c>
      <c r="F2661" s="1">
        <v>2023</v>
      </c>
      <c r="G2661" s="5">
        <v>467</v>
      </c>
      <c r="H2661" s="5">
        <v>401.39</v>
      </c>
      <c r="I2661" s="5">
        <v>25551.83</v>
      </c>
      <c r="K2661" s="5">
        <v>9.0999999999999998E-2</v>
      </c>
      <c r="L2661" s="5">
        <v>1E-3</v>
      </c>
      <c r="M2661" s="5">
        <v>18037.013999999999</v>
      </c>
      <c r="N2661" s="6">
        <v>5.8999999999999997E-2</v>
      </c>
      <c r="O2661" s="5">
        <v>4.1230000000000002</v>
      </c>
      <c r="P2661" s="6">
        <v>2.69E-2</v>
      </c>
      <c r="Q2661" s="5">
        <v>303520.17700000003</v>
      </c>
      <c r="R2661" s="1" t="s">
        <v>44</v>
      </c>
      <c r="T2661" s="1" t="s">
        <v>93</v>
      </c>
      <c r="V2661" s="1" t="s">
        <v>140</v>
      </c>
      <c r="Y2661" s="1" t="s">
        <v>1207</v>
      </c>
      <c r="Z2661" s="1" t="str">
        <f t="shared" si="123"/>
        <v>55234 CT7</v>
      </c>
      <c r="AA2661" s="3">
        <f>IF(INDEX('CAMD Facility Data 2023'!$AA$2:$AE$10000,MATCH(Z2661,'CAMD Facility Data 2023'!$AE$2:$AE$10000,0),1)&gt;0,INDEX('CAMD Facility Data 2023'!$AA$2:$AE$10000,MATCH(Z2661,'CAMD Facility Data 2023'!$AE$2:$AE$10000,0),1),"")</f>
        <v>37008</v>
      </c>
      <c r="AB2661" s="5">
        <f>IF(INDEX('CAMD Facility Data 2023'!$AC$2:$AE$10000,MATCH(Z2661,'CAMD Facility Data 2023'!$AE$2:$AE$10000,0),1)&gt;0,INDEX('CAMD Facility Data 2023'!$AC$2:$AE$10000,MATCH(Z2661,'CAMD Facility Data 2023'!$AE$2:$AE$10000,0),1),"")</f>
        <v>971</v>
      </c>
      <c r="AC2661" s="1" t="str">
        <f>IF(INDEX('CAMD Facility Data 2023'!$AE$2:$AG$10000,MATCH(Z2661,'CAMD Facility Data 2023'!$AE$2:$AE$10000,0),3)&gt;0,INDEX('CAMD Facility Data 2023'!$AE$2:$AG$10000,MATCH(Z2661,'CAMD Facility Data 2023'!$AE$2:$AE$10000,0),3),"")</f>
        <v/>
      </c>
      <c r="AD2661" s="20">
        <f t="shared" si="124"/>
        <v>0.3227166116869124</v>
      </c>
      <c r="AE2661" s="25">
        <f t="shared" si="125"/>
        <v>3.5683235872258981E-2</v>
      </c>
    </row>
    <row r="2662" spans="1:31" x14ac:dyDescent="0.2">
      <c r="A2662" s="1" t="s">
        <v>1755</v>
      </c>
      <c r="B2662" s="1" t="s">
        <v>6139</v>
      </c>
      <c r="C2662" s="1">
        <v>55234</v>
      </c>
      <c r="D2662" s="1" t="s">
        <v>111</v>
      </c>
      <c r="F2662" s="1">
        <v>2023</v>
      </c>
      <c r="G2662" s="5">
        <v>460</v>
      </c>
      <c r="H2662" s="5">
        <v>390.21</v>
      </c>
      <c r="I2662" s="5">
        <v>24973.439999999999</v>
      </c>
      <c r="K2662" s="5">
        <v>8.6999999999999994E-2</v>
      </c>
      <c r="L2662" s="5">
        <v>1E-3</v>
      </c>
      <c r="M2662" s="5">
        <v>17147.409</v>
      </c>
      <c r="N2662" s="6">
        <v>5.91E-2</v>
      </c>
      <c r="O2662" s="5">
        <v>3.4</v>
      </c>
      <c r="P2662" s="6">
        <v>2.3400000000000001E-2</v>
      </c>
      <c r="Q2662" s="5">
        <v>288553.69900000002</v>
      </c>
      <c r="R2662" s="1" t="s">
        <v>44</v>
      </c>
      <c r="T2662" s="1" t="s">
        <v>93</v>
      </c>
      <c r="V2662" s="1" t="s">
        <v>140</v>
      </c>
      <c r="Y2662" s="1" t="s">
        <v>1207</v>
      </c>
      <c r="Z2662" s="1" t="str">
        <f t="shared" si="123"/>
        <v>55234 CT8</v>
      </c>
      <c r="AA2662" s="3">
        <f>IF(INDEX('CAMD Facility Data 2023'!$AA$2:$AE$10000,MATCH(Z2662,'CAMD Facility Data 2023'!$AE$2:$AE$10000,0),1)&gt;0,INDEX('CAMD Facility Data 2023'!$AA$2:$AE$10000,MATCH(Z2662,'CAMD Facility Data 2023'!$AE$2:$AE$10000,0),1),"")</f>
        <v>37014</v>
      </c>
      <c r="AB2662" s="5">
        <f>IF(INDEX('CAMD Facility Data 2023'!$AC$2:$AE$10000,MATCH(Z2662,'CAMD Facility Data 2023'!$AE$2:$AE$10000,0),1)&gt;0,INDEX('CAMD Facility Data 2023'!$AC$2:$AE$10000,MATCH(Z2662,'CAMD Facility Data 2023'!$AE$2:$AE$10000,0),1),"")</f>
        <v>971</v>
      </c>
      <c r="AC2662" s="1" t="str">
        <f>IF(INDEX('CAMD Facility Data 2023'!$AE$2:$AG$10000,MATCH(Z2662,'CAMD Facility Data 2023'!$AE$2:$AE$10000,0),3)&gt;0,INDEX('CAMD Facility Data 2023'!$AE$2:$AG$10000,MATCH(Z2662,'CAMD Facility Data 2023'!$AE$2:$AE$10000,0),3),"")</f>
        <v/>
      </c>
      <c r="AD2662" s="20">
        <f t="shared" si="124"/>
        <v>0.2722892801312114</v>
      </c>
      <c r="AE2662" s="25">
        <f t="shared" si="125"/>
        <v>3.3923707494509736E-2</v>
      </c>
    </row>
    <row r="2663" spans="1:31" x14ac:dyDescent="0.2">
      <c r="A2663" s="1" t="s">
        <v>458</v>
      </c>
      <c r="B2663" s="1" t="s">
        <v>6140</v>
      </c>
      <c r="C2663" s="1">
        <v>55236</v>
      </c>
      <c r="D2663" s="1" t="s">
        <v>311</v>
      </c>
      <c r="F2663" s="1">
        <v>2023</v>
      </c>
      <c r="G2663" s="5">
        <v>198</v>
      </c>
      <c r="H2663" s="5">
        <v>154.88999999999999</v>
      </c>
      <c r="I2663" s="5">
        <v>7558.8</v>
      </c>
      <c r="K2663" s="5">
        <v>3.1E-2</v>
      </c>
      <c r="L2663" s="5">
        <v>1E-3</v>
      </c>
      <c r="M2663" s="5">
        <v>6236.915</v>
      </c>
      <c r="N2663" s="6">
        <v>5.9200000000000003E-2</v>
      </c>
      <c r="O2663" s="5">
        <v>1.589</v>
      </c>
      <c r="P2663" s="6">
        <v>3.7600000000000001E-2</v>
      </c>
      <c r="Q2663" s="5">
        <v>104941.068</v>
      </c>
      <c r="R2663" s="1" t="s">
        <v>44</v>
      </c>
      <c r="T2663" s="1" t="s">
        <v>93</v>
      </c>
      <c r="V2663" s="1" t="s">
        <v>140</v>
      </c>
      <c r="Y2663" s="1" t="s">
        <v>461</v>
      </c>
      <c r="Z2663" s="1" t="str">
        <f t="shared" si="123"/>
        <v>55236 CT1</v>
      </c>
      <c r="AA2663" s="3">
        <f>IF(INDEX('CAMD Facility Data 2023'!$AA$2:$AE$10000,MATCH(Z2663,'CAMD Facility Data 2023'!$AE$2:$AE$10000,0),1)&gt;0,INDEX('CAMD Facility Data 2023'!$AA$2:$AE$10000,MATCH(Z2663,'CAMD Facility Data 2023'!$AE$2:$AE$10000,0),1),"")</f>
        <v>36991</v>
      </c>
      <c r="AB2663" s="5">
        <f>IF(INDEX('CAMD Facility Data 2023'!$AC$2:$AE$10000,MATCH(Z2663,'CAMD Facility Data 2023'!$AE$2:$AE$10000,0),1)&gt;0,INDEX('CAMD Facility Data 2023'!$AC$2:$AE$10000,MATCH(Z2663,'CAMD Facility Data 2023'!$AE$2:$AE$10000,0),1),"")</f>
        <v>1200</v>
      </c>
      <c r="AC2663" s="1" t="str">
        <f>IF(INDEX('CAMD Facility Data 2023'!$AE$2:$AG$10000,MATCH(Z2663,'CAMD Facility Data 2023'!$AE$2:$AE$10000,0),3)&gt;0,INDEX('CAMD Facility Data 2023'!$AE$2:$AG$10000,MATCH(Z2663,'CAMD Facility Data 2023'!$AE$2:$AE$10000,0),3),"")</f>
        <v/>
      </c>
      <c r="AD2663" s="20">
        <f t="shared" si="124"/>
        <v>0.42043710641900828</v>
      </c>
      <c r="AE2663" s="25">
        <f t="shared" si="125"/>
        <v>9.9829783105022836E-3</v>
      </c>
    </row>
    <row r="2664" spans="1:31" x14ac:dyDescent="0.2">
      <c r="A2664" s="1" t="s">
        <v>458</v>
      </c>
      <c r="B2664" s="1" t="s">
        <v>6140</v>
      </c>
      <c r="C2664" s="1">
        <v>55236</v>
      </c>
      <c r="D2664" s="1" t="s">
        <v>98</v>
      </c>
      <c r="F2664" s="1">
        <v>2023</v>
      </c>
      <c r="G2664" s="5">
        <v>312</v>
      </c>
      <c r="H2664" s="5">
        <v>249.72</v>
      </c>
      <c r="I2664" s="5">
        <v>11713.92</v>
      </c>
      <c r="K2664" s="5">
        <v>4.9000000000000002E-2</v>
      </c>
      <c r="L2664" s="5">
        <v>1E-3</v>
      </c>
      <c r="M2664" s="5">
        <v>9752.99</v>
      </c>
      <c r="N2664" s="6">
        <v>5.9499999999999997E-2</v>
      </c>
      <c r="O2664" s="5">
        <v>2.6760000000000002</v>
      </c>
      <c r="P2664" s="6">
        <v>4.0399999999999998E-2</v>
      </c>
      <c r="Q2664" s="5">
        <v>164118.57199999999</v>
      </c>
      <c r="R2664" s="1" t="s">
        <v>44</v>
      </c>
      <c r="T2664" s="1" t="s">
        <v>93</v>
      </c>
      <c r="V2664" s="1" t="s">
        <v>140</v>
      </c>
      <c r="Y2664" s="1" t="s">
        <v>461</v>
      </c>
      <c r="Z2664" s="1" t="str">
        <f t="shared" si="123"/>
        <v>55236 CT2</v>
      </c>
      <c r="AA2664" s="3">
        <f>IF(INDEX('CAMD Facility Data 2023'!$AA$2:$AE$10000,MATCH(Z2664,'CAMD Facility Data 2023'!$AE$2:$AE$10000,0),1)&gt;0,INDEX('CAMD Facility Data 2023'!$AA$2:$AE$10000,MATCH(Z2664,'CAMD Facility Data 2023'!$AE$2:$AE$10000,0),1),"")</f>
        <v>36990</v>
      </c>
      <c r="AB2664" s="5">
        <f>IF(INDEX('CAMD Facility Data 2023'!$AC$2:$AE$10000,MATCH(Z2664,'CAMD Facility Data 2023'!$AE$2:$AE$10000,0),1)&gt;0,INDEX('CAMD Facility Data 2023'!$AC$2:$AE$10000,MATCH(Z2664,'CAMD Facility Data 2023'!$AE$2:$AE$10000,0),1),"")</f>
        <v>1200</v>
      </c>
      <c r="AC2664" s="1" t="str">
        <f>IF(INDEX('CAMD Facility Data 2023'!$AE$2:$AG$10000,MATCH(Z2664,'CAMD Facility Data 2023'!$AE$2:$AE$10000,0),3)&gt;0,INDEX('CAMD Facility Data 2023'!$AE$2:$AG$10000,MATCH(Z2664,'CAMD Facility Data 2023'!$AE$2:$AE$10000,0),3),"")</f>
        <v/>
      </c>
      <c r="AD2664" s="20">
        <f t="shared" si="124"/>
        <v>0.45689231273561709</v>
      </c>
      <c r="AE2664" s="25">
        <f t="shared" si="125"/>
        <v>1.5612497336377472E-2</v>
      </c>
    </row>
    <row r="2665" spans="1:31" x14ac:dyDescent="0.2">
      <c r="A2665" s="1" t="s">
        <v>458</v>
      </c>
      <c r="B2665" s="1" t="s">
        <v>6140</v>
      </c>
      <c r="C2665" s="1">
        <v>55236</v>
      </c>
      <c r="D2665" s="1" t="s">
        <v>101</v>
      </c>
      <c r="F2665" s="1">
        <v>2023</v>
      </c>
      <c r="G2665" s="5">
        <v>213</v>
      </c>
      <c r="H2665" s="5">
        <v>171.68</v>
      </c>
      <c r="I2665" s="5">
        <v>8297.01</v>
      </c>
      <c r="K2665" s="5">
        <v>3.5000000000000003E-2</v>
      </c>
      <c r="L2665" s="5">
        <v>1E-3</v>
      </c>
      <c r="M2665" s="5">
        <v>7000.6890000000003</v>
      </c>
      <c r="N2665" s="6">
        <v>5.91E-2</v>
      </c>
      <c r="O2665" s="5">
        <v>2.0019999999999998</v>
      </c>
      <c r="P2665" s="6">
        <v>4.1300000000000003E-2</v>
      </c>
      <c r="Q2665" s="5">
        <v>117803.541</v>
      </c>
      <c r="R2665" s="1" t="s">
        <v>44</v>
      </c>
      <c r="T2665" s="1" t="s">
        <v>93</v>
      </c>
      <c r="V2665" s="1" t="s">
        <v>140</v>
      </c>
      <c r="Y2665" s="1" t="s">
        <v>461</v>
      </c>
      <c r="Z2665" s="1" t="str">
        <f t="shared" si="123"/>
        <v>55236 CT3</v>
      </c>
      <c r="AA2665" s="3">
        <f>IF(INDEX('CAMD Facility Data 2023'!$AA$2:$AE$10000,MATCH(Z2665,'CAMD Facility Data 2023'!$AE$2:$AE$10000,0),1)&gt;0,INDEX('CAMD Facility Data 2023'!$AA$2:$AE$10000,MATCH(Z2665,'CAMD Facility Data 2023'!$AE$2:$AE$10000,0),1),"")</f>
        <v>37035</v>
      </c>
      <c r="AB2665" s="5">
        <f>IF(INDEX('CAMD Facility Data 2023'!$AC$2:$AE$10000,MATCH(Z2665,'CAMD Facility Data 2023'!$AE$2:$AE$10000,0),1)&gt;0,INDEX('CAMD Facility Data 2023'!$AC$2:$AE$10000,MATCH(Z2665,'CAMD Facility Data 2023'!$AE$2:$AE$10000,0),1),"")</f>
        <v>1200</v>
      </c>
      <c r="AC2665" s="1" t="str">
        <f>IF(INDEX('CAMD Facility Data 2023'!$AE$2:$AG$10000,MATCH(Z2665,'CAMD Facility Data 2023'!$AE$2:$AE$10000,0),3)&gt;0,INDEX('CAMD Facility Data 2023'!$AE$2:$AG$10000,MATCH(Z2665,'CAMD Facility Data 2023'!$AE$2:$AE$10000,0),3),"")</f>
        <v/>
      </c>
      <c r="AD2665" s="20">
        <f t="shared" si="124"/>
        <v>0.48258348489395569</v>
      </c>
      <c r="AE2665" s="25">
        <f t="shared" si="125"/>
        <v>1.1206577340182648E-2</v>
      </c>
    </row>
    <row r="2666" spans="1:31" x14ac:dyDescent="0.2">
      <c r="A2666" s="1" t="s">
        <v>458</v>
      </c>
      <c r="B2666" s="1" t="s">
        <v>6140</v>
      </c>
      <c r="C2666" s="1">
        <v>55236</v>
      </c>
      <c r="D2666" s="1" t="s">
        <v>103</v>
      </c>
      <c r="F2666" s="1">
        <v>2023</v>
      </c>
      <c r="G2666" s="5">
        <v>138</v>
      </c>
      <c r="H2666" s="5">
        <v>109.11</v>
      </c>
      <c r="I2666" s="5">
        <v>5027.8599999999997</v>
      </c>
      <c r="K2666" s="5">
        <v>2.1999999999999999E-2</v>
      </c>
      <c r="L2666" s="5">
        <v>1E-3</v>
      </c>
      <c r="M2666" s="5">
        <v>4277.4790000000003</v>
      </c>
      <c r="N2666" s="6">
        <v>5.91E-2</v>
      </c>
      <c r="O2666" s="5">
        <v>1.2609999999999999</v>
      </c>
      <c r="P2666" s="6">
        <v>4.0300000000000002E-2</v>
      </c>
      <c r="Q2666" s="5">
        <v>71978.86</v>
      </c>
      <c r="R2666" s="1" t="s">
        <v>44</v>
      </c>
      <c r="T2666" s="1" t="s">
        <v>93</v>
      </c>
      <c r="V2666" s="1" t="s">
        <v>140</v>
      </c>
      <c r="Y2666" s="1" t="s">
        <v>461</v>
      </c>
      <c r="Z2666" s="1" t="str">
        <f t="shared" si="123"/>
        <v>55236 CT4</v>
      </c>
      <c r="AA2666" s="3">
        <f>IF(INDEX('CAMD Facility Data 2023'!$AA$2:$AE$10000,MATCH(Z2666,'CAMD Facility Data 2023'!$AE$2:$AE$10000,0),1)&gt;0,INDEX('CAMD Facility Data 2023'!$AA$2:$AE$10000,MATCH(Z2666,'CAMD Facility Data 2023'!$AE$2:$AE$10000,0),1),"")</f>
        <v>37036</v>
      </c>
      <c r="AB2666" s="5">
        <f>IF(INDEX('CAMD Facility Data 2023'!$AC$2:$AE$10000,MATCH(Z2666,'CAMD Facility Data 2023'!$AE$2:$AE$10000,0),1)&gt;0,INDEX('CAMD Facility Data 2023'!$AC$2:$AE$10000,MATCH(Z2666,'CAMD Facility Data 2023'!$AE$2:$AE$10000,0),1),"")</f>
        <v>1200</v>
      </c>
      <c r="AC2666" s="1" t="str">
        <f>IF(INDEX('CAMD Facility Data 2023'!$AE$2:$AG$10000,MATCH(Z2666,'CAMD Facility Data 2023'!$AE$2:$AE$10000,0),3)&gt;0,INDEX('CAMD Facility Data 2023'!$AE$2:$AG$10000,MATCH(Z2666,'CAMD Facility Data 2023'!$AE$2:$AE$10000,0),3),"")</f>
        <v/>
      </c>
      <c r="AD2666" s="20">
        <f t="shared" si="124"/>
        <v>0.5016050566244884</v>
      </c>
      <c r="AE2666" s="25">
        <f t="shared" si="125"/>
        <v>6.8473040334855401E-3</v>
      </c>
    </row>
    <row r="2667" spans="1:31" x14ac:dyDescent="0.2">
      <c r="A2667" s="1" t="s">
        <v>458</v>
      </c>
      <c r="B2667" s="1" t="s">
        <v>6140</v>
      </c>
      <c r="C2667" s="1">
        <v>55236</v>
      </c>
      <c r="D2667" s="1" t="s">
        <v>105</v>
      </c>
      <c r="F2667" s="1">
        <v>2023</v>
      </c>
      <c r="G2667" s="5">
        <v>261</v>
      </c>
      <c r="H2667" s="5">
        <v>209.26</v>
      </c>
      <c r="I2667" s="5">
        <v>10187.040000000001</v>
      </c>
      <c r="K2667" s="5">
        <v>4.2999999999999997E-2</v>
      </c>
      <c r="L2667" s="5">
        <v>1E-3</v>
      </c>
      <c r="M2667" s="5">
        <v>8474.0470000000005</v>
      </c>
      <c r="N2667" s="6">
        <v>5.9299999999999999E-2</v>
      </c>
      <c r="O2667" s="5">
        <v>2.5579999999999998</v>
      </c>
      <c r="P2667" s="6">
        <v>4.5499999999999999E-2</v>
      </c>
      <c r="Q2667" s="5">
        <v>142596.821</v>
      </c>
      <c r="R2667" s="1" t="s">
        <v>44</v>
      </c>
      <c r="T2667" s="1" t="s">
        <v>93</v>
      </c>
      <c r="V2667" s="1" t="s">
        <v>140</v>
      </c>
      <c r="Y2667" s="1" t="s">
        <v>461</v>
      </c>
      <c r="Z2667" s="1" t="str">
        <f t="shared" si="123"/>
        <v>55236 CT5</v>
      </c>
      <c r="AA2667" s="3">
        <f>IF(INDEX('CAMD Facility Data 2023'!$AA$2:$AE$10000,MATCH(Z2667,'CAMD Facility Data 2023'!$AE$2:$AE$10000,0),1)&gt;0,INDEX('CAMD Facility Data 2023'!$AA$2:$AE$10000,MATCH(Z2667,'CAMD Facility Data 2023'!$AE$2:$AE$10000,0),1),"")</f>
        <v>36993</v>
      </c>
      <c r="AB2667" s="5">
        <f>IF(INDEX('CAMD Facility Data 2023'!$AC$2:$AE$10000,MATCH(Z2667,'CAMD Facility Data 2023'!$AE$2:$AE$10000,0),1)&gt;0,INDEX('CAMD Facility Data 2023'!$AC$2:$AE$10000,MATCH(Z2667,'CAMD Facility Data 2023'!$AE$2:$AE$10000,0),1),"")</f>
        <v>1200</v>
      </c>
      <c r="AC2667" s="1" t="str">
        <f>IF(INDEX('CAMD Facility Data 2023'!$AE$2:$AG$10000,MATCH(Z2667,'CAMD Facility Data 2023'!$AE$2:$AE$10000,0),3)&gt;0,INDEX('CAMD Facility Data 2023'!$AE$2:$AG$10000,MATCH(Z2667,'CAMD Facility Data 2023'!$AE$2:$AE$10000,0),3),"")</f>
        <v/>
      </c>
      <c r="AD2667" s="20">
        <f t="shared" si="124"/>
        <v>0.50220672540796929</v>
      </c>
      <c r="AE2667" s="25">
        <f t="shared" si="125"/>
        <v>1.3565146594368341E-2</v>
      </c>
    </row>
    <row r="2668" spans="1:31" x14ac:dyDescent="0.2">
      <c r="A2668" s="1" t="s">
        <v>458</v>
      </c>
      <c r="B2668" s="1" t="s">
        <v>6140</v>
      </c>
      <c r="C2668" s="1">
        <v>55236</v>
      </c>
      <c r="D2668" s="1" t="s">
        <v>107</v>
      </c>
      <c r="F2668" s="1">
        <v>2023</v>
      </c>
      <c r="G2668" s="5">
        <v>252</v>
      </c>
      <c r="H2668" s="5">
        <v>199.38</v>
      </c>
      <c r="I2668" s="5">
        <v>9647.9599999999991</v>
      </c>
      <c r="K2668" s="5">
        <v>0.04</v>
      </c>
      <c r="L2668" s="5">
        <v>1E-3</v>
      </c>
      <c r="M2668" s="5">
        <v>7968.9610000000002</v>
      </c>
      <c r="N2668" s="6">
        <v>5.8999999999999997E-2</v>
      </c>
      <c r="O2668" s="5">
        <v>2.0179999999999998</v>
      </c>
      <c r="P2668" s="6">
        <v>3.6999999999999998E-2</v>
      </c>
      <c r="Q2668" s="5">
        <v>134099.5</v>
      </c>
      <c r="R2668" s="1" t="s">
        <v>44</v>
      </c>
      <c r="T2668" s="1" t="s">
        <v>93</v>
      </c>
      <c r="V2668" s="1" t="s">
        <v>140</v>
      </c>
      <c r="Y2668" s="1" t="s">
        <v>461</v>
      </c>
      <c r="Z2668" s="1" t="str">
        <f t="shared" si="123"/>
        <v>55236 CT6</v>
      </c>
      <c r="AA2668" s="3">
        <f>IF(INDEX('CAMD Facility Data 2023'!$AA$2:$AE$10000,MATCH(Z2668,'CAMD Facility Data 2023'!$AE$2:$AE$10000,0),1)&gt;0,INDEX('CAMD Facility Data 2023'!$AA$2:$AE$10000,MATCH(Z2668,'CAMD Facility Data 2023'!$AE$2:$AE$10000,0),1),"")</f>
        <v>36997</v>
      </c>
      <c r="AB2668" s="5">
        <f>IF(INDEX('CAMD Facility Data 2023'!$AC$2:$AE$10000,MATCH(Z2668,'CAMD Facility Data 2023'!$AE$2:$AE$10000,0),1)&gt;0,INDEX('CAMD Facility Data 2023'!$AC$2:$AE$10000,MATCH(Z2668,'CAMD Facility Data 2023'!$AE$2:$AE$10000,0),1),"")</f>
        <v>1200</v>
      </c>
      <c r="AC2668" s="1" t="str">
        <f>IF(INDEX('CAMD Facility Data 2023'!$AE$2:$AG$10000,MATCH(Z2668,'CAMD Facility Data 2023'!$AE$2:$AE$10000,0),3)&gt;0,INDEX('CAMD Facility Data 2023'!$AE$2:$AG$10000,MATCH(Z2668,'CAMD Facility Data 2023'!$AE$2:$AE$10000,0),3),"")</f>
        <v/>
      </c>
      <c r="AD2668" s="20">
        <f t="shared" si="124"/>
        <v>0.41832677581582012</v>
      </c>
      <c r="AE2668" s="25">
        <f t="shared" si="125"/>
        <v>1.2756801750380518E-2</v>
      </c>
    </row>
    <row r="2669" spans="1:31" x14ac:dyDescent="0.2">
      <c r="A2669" s="1" t="s">
        <v>458</v>
      </c>
      <c r="B2669" s="1" t="s">
        <v>6140</v>
      </c>
      <c r="C2669" s="1">
        <v>55236</v>
      </c>
      <c r="D2669" s="1" t="s">
        <v>109</v>
      </c>
      <c r="F2669" s="1">
        <v>2023</v>
      </c>
      <c r="G2669" s="5">
        <v>194</v>
      </c>
      <c r="H2669" s="5">
        <v>150.15</v>
      </c>
      <c r="I2669" s="5">
        <v>7373.16</v>
      </c>
      <c r="K2669" s="5">
        <v>3.1E-2</v>
      </c>
      <c r="L2669" s="5">
        <v>1E-3</v>
      </c>
      <c r="M2669" s="5">
        <v>6061.6360000000004</v>
      </c>
      <c r="N2669" s="6">
        <v>5.8400000000000001E-2</v>
      </c>
      <c r="O2669" s="5">
        <v>1.792</v>
      </c>
      <c r="P2669" s="6">
        <v>4.3400000000000001E-2</v>
      </c>
      <c r="Q2669" s="5">
        <v>102007.95600000001</v>
      </c>
      <c r="R2669" s="1" t="s">
        <v>44</v>
      </c>
      <c r="T2669" s="1" t="s">
        <v>93</v>
      </c>
      <c r="V2669" s="1" t="s">
        <v>140</v>
      </c>
      <c r="Y2669" s="1" t="s">
        <v>461</v>
      </c>
      <c r="Z2669" s="1" t="str">
        <f t="shared" si="123"/>
        <v>55236 CT7</v>
      </c>
      <c r="AA2669" s="3">
        <f>IF(INDEX('CAMD Facility Data 2023'!$AA$2:$AE$10000,MATCH(Z2669,'CAMD Facility Data 2023'!$AE$2:$AE$10000,0),1)&gt;0,INDEX('CAMD Facility Data 2023'!$AA$2:$AE$10000,MATCH(Z2669,'CAMD Facility Data 2023'!$AE$2:$AE$10000,0),1),"")</f>
        <v>36998</v>
      </c>
      <c r="AB2669" s="5">
        <f>IF(INDEX('CAMD Facility Data 2023'!$AC$2:$AE$10000,MATCH(Z2669,'CAMD Facility Data 2023'!$AE$2:$AE$10000,0),1)&gt;0,INDEX('CAMD Facility Data 2023'!$AC$2:$AE$10000,MATCH(Z2669,'CAMD Facility Data 2023'!$AE$2:$AE$10000,0),1),"")</f>
        <v>1200</v>
      </c>
      <c r="AC2669" s="1" t="str">
        <f>IF(INDEX('CAMD Facility Data 2023'!$AE$2:$AG$10000,MATCH(Z2669,'CAMD Facility Data 2023'!$AE$2:$AE$10000,0),3)&gt;0,INDEX('CAMD Facility Data 2023'!$AE$2:$AG$10000,MATCH(Z2669,'CAMD Facility Data 2023'!$AE$2:$AE$10000,0),3),"")</f>
        <v/>
      </c>
      <c r="AD2669" s="20">
        <f t="shared" si="124"/>
        <v>0.48608737637593652</v>
      </c>
      <c r="AE2669" s="25">
        <f t="shared" si="125"/>
        <v>9.7039531963470319E-3</v>
      </c>
    </row>
    <row r="2670" spans="1:31" x14ac:dyDescent="0.2">
      <c r="A2670" s="1" t="s">
        <v>458</v>
      </c>
      <c r="B2670" s="1" t="s">
        <v>6140</v>
      </c>
      <c r="C2670" s="1">
        <v>55236</v>
      </c>
      <c r="D2670" s="1" t="s">
        <v>111</v>
      </c>
      <c r="F2670" s="1">
        <v>2023</v>
      </c>
      <c r="G2670" s="5">
        <v>215</v>
      </c>
      <c r="H2670" s="5">
        <v>169.22</v>
      </c>
      <c r="I2670" s="5">
        <v>8030.54</v>
      </c>
      <c r="K2670" s="5">
        <v>3.4000000000000002E-2</v>
      </c>
      <c r="L2670" s="5">
        <v>1E-3</v>
      </c>
      <c r="M2670" s="5">
        <v>6729.1989999999996</v>
      </c>
      <c r="N2670" s="6">
        <v>5.91E-2</v>
      </c>
      <c r="O2670" s="5">
        <v>1.966</v>
      </c>
      <c r="P2670" s="6">
        <v>4.3400000000000001E-2</v>
      </c>
      <c r="Q2670" s="5">
        <v>113227.514</v>
      </c>
      <c r="R2670" s="1" t="s">
        <v>44</v>
      </c>
      <c r="T2670" s="1" t="s">
        <v>93</v>
      </c>
      <c r="V2670" s="1" t="s">
        <v>140</v>
      </c>
      <c r="Y2670" s="1" t="s">
        <v>461</v>
      </c>
      <c r="Z2670" s="1" t="str">
        <f t="shared" si="123"/>
        <v>55236 CT8</v>
      </c>
      <c r="AA2670" s="3">
        <f>IF(INDEX('CAMD Facility Data 2023'!$AA$2:$AE$10000,MATCH(Z2670,'CAMD Facility Data 2023'!$AE$2:$AE$10000,0),1)&gt;0,INDEX('CAMD Facility Data 2023'!$AA$2:$AE$10000,MATCH(Z2670,'CAMD Facility Data 2023'!$AE$2:$AE$10000,0),1),"")</f>
        <v>36999</v>
      </c>
      <c r="AB2670" s="5">
        <f>IF(INDEX('CAMD Facility Data 2023'!$AC$2:$AE$10000,MATCH(Z2670,'CAMD Facility Data 2023'!$AE$2:$AE$10000,0),1)&gt;0,INDEX('CAMD Facility Data 2023'!$AC$2:$AE$10000,MATCH(Z2670,'CAMD Facility Data 2023'!$AE$2:$AE$10000,0),1),"")</f>
        <v>1200</v>
      </c>
      <c r="AC2670" s="1" t="str">
        <f>IF(INDEX('CAMD Facility Data 2023'!$AE$2:$AG$10000,MATCH(Z2670,'CAMD Facility Data 2023'!$AE$2:$AE$10000,0),3)&gt;0,INDEX('CAMD Facility Data 2023'!$AE$2:$AG$10000,MATCH(Z2670,'CAMD Facility Data 2023'!$AE$2:$AE$10000,0),3),"")</f>
        <v/>
      </c>
      <c r="AD2670" s="20">
        <f t="shared" si="124"/>
        <v>0.48963083429009757</v>
      </c>
      <c r="AE2670" s="25">
        <f t="shared" si="125"/>
        <v>1.0771262747336377E-2</v>
      </c>
    </row>
    <row r="2671" spans="1:31" x14ac:dyDescent="0.2">
      <c r="A2671" s="1" t="s">
        <v>458</v>
      </c>
      <c r="B2671" s="1" t="s">
        <v>117</v>
      </c>
      <c r="C2671" s="1">
        <v>55237</v>
      </c>
      <c r="D2671" s="1" t="s">
        <v>6150</v>
      </c>
      <c r="E2671" s="1" t="s">
        <v>1881</v>
      </c>
      <c r="F2671" s="1">
        <v>2023</v>
      </c>
      <c r="G2671" s="5">
        <v>505</v>
      </c>
      <c r="H2671" s="5">
        <v>387.98</v>
      </c>
      <c r="I2671" s="5">
        <v>16675.68</v>
      </c>
      <c r="K2671" s="5">
        <v>5.2999999999999999E-2</v>
      </c>
      <c r="L2671" s="5">
        <v>6.9999999999999999E-4</v>
      </c>
      <c r="M2671" s="5">
        <v>9781.9</v>
      </c>
      <c r="N2671" s="6">
        <v>5.7799999999999997E-2</v>
      </c>
      <c r="O2671" s="5">
        <v>9.9870000000000001</v>
      </c>
      <c r="P2671" s="6">
        <v>0.28449999999999998</v>
      </c>
      <c r="Q2671" s="5">
        <v>165712.9</v>
      </c>
      <c r="R2671" s="1" t="s">
        <v>44</v>
      </c>
      <c r="T2671" s="1" t="s">
        <v>93</v>
      </c>
      <c r="V2671" s="1" t="s">
        <v>95</v>
      </c>
      <c r="Y2671" s="1" t="s">
        <v>461</v>
      </c>
      <c r="Z2671" s="1" t="str">
        <f t="shared" si="123"/>
        <v>55237 SCE1</v>
      </c>
      <c r="AA2671" s="3">
        <f>IF(INDEX('CAMD Facility Data 2023'!$AA$2:$AE$10000,MATCH(Z2671,'CAMD Facility Data 2023'!$AE$2:$AE$10000,0),1)&gt;0,INDEX('CAMD Facility Data 2023'!$AA$2:$AE$10000,MATCH(Z2671,'CAMD Facility Data 2023'!$AE$2:$AE$10000,0),1),"")</f>
        <v>36708</v>
      </c>
      <c r="AB2671" s="5">
        <f>IF(INDEX('CAMD Facility Data 2023'!$AC$2:$AE$10000,MATCH(Z2671,'CAMD Facility Data 2023'!$AE$2:$AE$10000,0),1)&gt;0,INDEX('CAMD Facility Data 2023'!$AC$2:$AE$10000,MATCH(Z2671,'CAMD Facility Data 2023'!$AE$2:$AE$10000,0),1),"")</f>
        <v>444</v>
      </c>
      <c r="AC2671" s="1" t="str">
        <f>IF(INDEX('CAMD Facility Data 2023'!$AE$2:$AG$10000,MATCH(Z2671,'CAMD Facility Data 2023'!$AE$2:$AE$10000,0),3)&gt;0,INDEX('CAMD Facility Data 2023'!$AE$2:$AG$10000,MATCH(Z2671,'CAMD Facility Data 2023'!$AE$2:$AE$10000,0),3),"")</f>
        <v/>
      </c>
      <c r="AD2671" s="20">
        <f t="shared" si="124"/>
        <v>1.1977922339598746</v>
      </c>
      <c r="AE2671" s="25">
        <f t="shared" si="125"/>
        <v>4.2605850713727425E-2</v>
      </c>
    </row>
    <row r="2672" spans="1:31" x14ac:dyDescent="0.2">
      <c r="A2672" s="1" t="s">
        <v>458</v>
      </c>
      <c r="B2672" s="1" t="s">
        <v>117</v>
      </c>
      <c r="C2672" s="1">
        <v>55237</v>
      </c>
      <c r="D2672" s="1" t="s">
        <v>6154</v>
      </c>
      <c r="E2672" s="1" t="s">
        <v>1881</v>
      </c>
      <c r="F2672" s="1">
        <v>2023</v>
      </c>
      <c r="G2672" s="5">
        <v>773</v>
      </c>
      <c r="H2672" s="5">
        <v>612.14</v>
      </c>
      <c r="I2672" s="5">
        <v>25758.400000000001</v>
      </c>
      <c r="K2672" s="5">
        <v>8.1000000000000003E-2</v>
      </c>
      <c r="L2672" s="5">
        <v>6.9999999999999999E-4</v>
      </c>
      <c r="M2672" s="5">
        <v>15160.8</v>
      </c>
      <c r="N2672" s="6">
        <v>5.8799999999999998E-2</v>
      </c>
      <c r="O2672" s="5">
        <v>15.582000000000001</v>
      </c>
      <c r="P2672" s="6">
        <v>0.27279999999999999</v>
      </c>
      <c r="Q2672" s="5">
        <v>256838.5</v>
      </c>
      <c r="R2672" s="1" t="s">
        <v>44</v>
      </c>
      <c r="T2672" s="1" t="s">
        <v>93</v>
      </c>
      <c r="V2672" s="1" t="s">
        <v>95</v>
      </c>
      <c r="Y2672" s="1" t="s">
        <v>461</v>
      </c>
      <c r="Z2672" s="1" t="str">
        <f t="shared" si="123"/>
        <v>55237 SCE2</v>
      </c>
      <c r="AA2672" s="3">
        <f>IF(INDEX('CAMD Facility Data 2023'!$AA$2:$AE$10000,MATCH(Z2672,'CAMD Facility Data 2023'!$AE$2:$AE$10000,0),1)&gt;0,INDEX('CAMD Facility Data 2023'!$AA$2:$AE$10000,MATCH(Z2672,'CAMD Facility Data 2023'!$AE$2:$AE$10000,0),1),"")</f>
        <v>36708</v>
      </c>
      <c r="AB2672" s="5">
        <f>IF(INDEX('CAMD Facility Data 2023'!$AC$2:$AE$10000,MATCH(Z2672,'CAMD Facility Data 2023'!$AE$2:$AE$10000,0),1)&gt;0,INDEX('CAMD Facility Data 2023'!$AC$2:$AE$10000,MATCH(Z2672,'CAMD Facility Data 2023'!$AE$2:$AE$10000,0),1),"")</f>
        <v>444</v>
      </c>
      <c r="AC2672" s="1" t="str">
        <f>IF(INDEX('CAMD Facility Data 2023'!$AE$2:$AG$10000,MATCH(Z2672,'CAMD Facility Data 2023'!$AE$2:$AE$10000,0),3)&gt;0,INDEX('CAMD Facility Data 2023'!$AE$2:$AG$10000,MATCH(Z2672,'CAMD Facility Data 2023'!$AE$2:$AE$10000,0),3),"")</f>
        <v/>
      </c>
      <c r="AD2672" s="20">
        <f t="shared" si="124"/>
        <v>1.2098577551400707</v>
      </c>
      <c r="AE2672" s="25">
        <f t="shared" si="125"/>
        <v>6.603482763585504E-2</v>
      </c>
    </row>
    <row r="2673" spans="1:31" x14ac:dyDescent="0.2">
      <c r="A2673" s="1" t="s">
        <v>458</v>
      </c>
      <c r="B2673" s="1" t="s">
        <v>117</v>
      </c>
      <c r="C2673" s="1">
        <v>55237</v>
      </c>
      <c r="D2673" s="1" t="s">
        <v>6156</v>
      </c>
      <c r="E2673" s="1" t="s">
        <v>1881</v>
      </c>
      <c r="F2673" s="1">
        <v>2023</v>
      </c>
      <c r="G2673" s="5">
        <v>565</v>
      </c>
      <c r="H2673" s="5">
        <v>436.1</v>
      </c>
      <c r="I2673" s="5">
        <v>18059.330000000002</v>
      </c>
      <c r="K2673" s="5">
        <v>5.8000000000000003E-2</v>
      </c>
      <c r="L2673" s="5">
        <v>6.9999999999999999E-4</v>
      </c>
      <c r="M2673" s="5">
        <v>10588.7</v>
      </c>
      <c r="N2673" s="6">
        <v>5.8799999999999998E-2</v>
      </c>
      <c r="O2673" s="5">
        <v>11.545999999999999</v>
      </c>
      <c r="P2673" s="6">
        <v>0.29110000000000003</v>
      </c>
      <c r="Q2673" s="5">
        <v>179455.5</v>
      </c>
      <c r="R2673" s="1" t="s">
        <v>44</v>
      </c>
      <c r="T2673" s="1" t="s">
        <v>93</v>
      </c>
      <c r="V2673" s="1" t="s">
        <v>95</v>
      </c>
      <c r="Y2673" s="1" t="s">
        <v>461</v>
      </c>
      <c r="Z2673" s="1" t="str">
        <f t="shared" si="123"/>
        <v>55237 SCE3</v>
      </c>
      <c r="AA2673" s="3">
        <f>IF(INDEX('CAMD Facility Data 2023'!$AA$2:$AE$10000,MATCH(Z2673,'CAMD Facility Data 2023'!$AE$2:$AE$10000,0),1)&gt;0,INDEX('CAMD Facility Data 2023'!$AA$2:$AE$10000,MATCH(Z2673,'CAMD Facility Data 2023'!$AE$2:$AE$10000,0),1),"")</f>
        <v>36708</v>
      </c>
      <c r="AB2673" s="5">
        <f>IF(INDEX('CAMD Facility Data 2023'!$AC$2:$AE$10000,MATCH(Z2673,'CAMD Facility Data 2023'!$AE$2:$AE$10000,0),1)&gt;0,INDEX('CAMD Facility Data 2023'!$AC$2:$AE$10000,MATCH(Z2673,'CAMD Facility Data 2023'!$AE$2:$AE$10000,0),1),"")</f>
        <v>444</v>
      </c>
      <c r="AC2673" s="1" t="str">
        <f>IF(INDEX('CAMD Facility Data 2023'!$AE$2:$AG$10000,MATCH(Z2673,'CAMD Facility Data 2023'!$AE$2:$AE$10000,0),3)&gt;0,INDEX('CAMD Facility Data 2023'!$AE$2:$AG$10000,MATCH(Z2673,'CAMD Facility Data 2023'!$AE$2:$AE$10000,0),3),"")</f>
        <v/>
      </c>
      <c r="AD2673" s="20">
        <f t="shared" si="124"/>
        <v>1.2786742365303696</v>
      </c>
      <c r="AE2673" s="25">
        <f t="shared" si="125"/>
        <v>4.6139161421695669E-2</v>
      </c>
    </row>
    <row r="2674" spans="1:31" x14ac:dyDescent="0.2">
      <c r="A2674" s="1" t="s">
        <v>458</v>
      </c>
      <c r="B2674" s="1" t="s">
        <v>117</v>
      </c>
      <c r="C2674" s="1">
        <v>55237</v>
      </c>
      <c r="D2674" s="1" t="s">
        <v>6158</v>
      </c>
      <c r="E2674" s="1" t="s">
        <v>1881</v>
      </c>
      <c r="F2674" s="1">
        <v>2023</v>
      </c>
      <c r="G2674" s="5">
        <v>805</v>
      </c>
      <c r="H2674" s="5">
        <v>650.41999999999996</v>
      </c>
      <c r="I2674" s="5">
        <v>27393.79</v>
      </c>
      <c r="K2674" s="5">
        <v>8.5000000000000006E-2</v>
      </c>
      <c r="L2674" s="5">
        <v>6.9999999999999999E-4</v>
      </c>
      <c r="M2674" s="5">
        <v>16145.5</v>
      </c>
      <c r="N2674" s="6">
        <v>5.8900000000000001E-2</v>
      </c>
      <c r="O2674" s="5">
        <v>16.018999999999998</v>
      </c>
      <c r="P2674" s="6">
        <v>0.25619999999999998</v>
      </c>
      <c r="Q2674" s="5">
        <v>273510.7</v>
      </c>
      <c r="R2674" s="1" t="s">
        <v>44</v>
      </c>
      <c r="T2674" s="1" t="s">
        <v>93</v>
      </c>
      <c r="V2674" s="1" t="s">
        <v>95</v>
      </c>
      <c r="Y2674" s="1" t="s">
        <v>461</v>
      </c>
      <c r="Z2674" s="1" t="str">
        <f t="shared" si="123"/>
        <v>55237 SCE4</v>
      </c>
      <c r="AA2674" s="3">
        <f>IF(INDEX('CAMD Facility Data 2023'!$AA$2:$AE$10000,MATCH(Z2674,'CAMD Facility Data 2023'!$AE$2:$AE$10000,0),1)&gt;0,INDEX('CAMD Facility Data 2023'!$AA$2:$AE$10000,MATCH(Z2674,'CAMD Facility Data 2023'!$AE$2:$AE$10000,0),1),"")</f>
        <v>36708</v>
      </c>
      <c r="AB2674" s="5">
        <f>IF(INDEX('CAMD Facility Data 2023'!$AC$2:$AE$10000,MATCH(Z2674,'CAMD Facility Data 2023'!$AE$2:$AE$10000,0),1)&gt;0,INDEX('CAMD Facility Data 2023'!$AC$2:$AE$10000,MATCH(Z2674,'CAMD Facility Data 2023'!$AE$2:$AE$10000,0),1),"")</f>
        <v>444</v>
      </c>
      <c r="AC2674" s="1" t="str">
        <f>IF(INDEX('CAMD Facility Data 2023'!$AE$2:$AG$10000,MATCH(Z2674,'CAMD Facility Data 2023'!$AE$2:$AE$10000,0),3)&gt;0,INDEX('CAMD Facility Data 2023'!$AE$2:$AG$10000,MATCH(Z2674,'CAMD Facility Data 2023'!$AE$2:$AE$10000,0),3),"")</f>
        <v/>
      </c>
      <c r="AD2674" s="20">
        <f t="shared" si="124"/>
        <v>1.1695351391684026</v>
      </c>
      <c r="AE2674" s="25">
        <f t="shared" si="125"/>
        <v>7.0321357316220329E-2</v>
      </c>
    </row>
    <row r="2675" spans="1:31" x14ac:dyDescent="0.2">
      <c r="A2675" s="1" t="s">
        <v>458</v>
      </c>
      <c r="B2675" s="1" t="s">
        <v>117</v>
      </c>
      <c r="C2675" s="1">
        <v>55237</v>
      </c>
      <c r="D2675" s="1" t="s">
        <v>6160</v>
      </c>
      <c r="E2675" s="1" t="s">
        <v>1881</v>
      </c>
      <c r="F2675" s="1">
        <v>2023</v>
      </c>
      <c r="G2675" s="5">
        <v>543</v>
      </c>
      <c r="H2675" s="5">
        <v>434.87</v>
      </c>
      <c r="I2675" s="5">
        <v>18275.41</v>
      </c>
      <c r="K2675" s="5">
        <v>5.8999999999999997E-2</v>
      </c>
      <c r="L2675" s="5">
        <v>6.9999999999999999E-4</v>
      </c>
      <c r="M2675" s="5">
        <v>10758</v>
      </c>
      <c r="N2675" s="6">
        <v>5.8799999999999998E-2</v>
      </c>
      <c r="O2675" s="5">
        <v>11.098000000000001</v>
      </c>
      <c r="P2675" s="6">
        <v>0.2661</v>
      </c>
      <c r="Q2675" s="5">
        <v>182269.6</v>
      </c>
      <c r="R2675" s="1" t="s">
        <v>44</v>
      </c>
      <c r="T2675" s="1" t="s">
        <v>93</v>
      </c>
      <c r="V2675" s="1" t="s">
        <v>95</v>
      </c>
      <c r="Y2675" s="1" t="s">
        <v>461</v>
      </c>
      <c r="Z2675" s="1" t="str">
        <f t="shared" si="123"/>
        <v>55237 SCE5</v>
      </c>
      <c r="AA2675" s="3">
        <f>IF(INDEX('CAMD Facility Data 2023'!$AA$2:$AE$10000,MATCH(Z2675,'CAMD Facility Data 2023'!$AE$2:$AE$10000,0),1)&gt;0,INDEX('CAMD Facility Data 2023'!$AA$2:$AE$10000,MATCH(Z2675,'CAMD Facility Data 2023'!$AE$2:$AE$10000,0),1),"")</f>
        <v>36708</v>
      </c>
      <c r="AB2675" s="5">
        <f>IF(INDEX('CAMD Facility Data 2023'!$AC$2:$AE$10000,MATCH(Z2675,'CAMD Facility Data 2023'!$AE$2:$AE$10000,0),1)&gt;0,INDEX('CAMD Facility Data 2023'!$AC$2:$AE$10000,MATCH(Z2675,'CAMD Facility Data 2023'!$AE$2:$AE$10000,0),1),"")</f>
        <v>444</v>
      </c>
      <c r="AC2675" s="1" t="str">
        <f>IF(INDEX('CAMD Facility Data 2023'!$AE$2:$AG$10000,MATCH(Z2675,'CAMD Facility Data 2023'!$AE$2:$AE$10000,0),3)&gt;0,INDEX('CAMD Facility Data 2023'!$AE$2:$AG$10000,MATCH(Z2675,'CAMD Facility Data 2023'!$AE$2:$AE$10000,0),3),"")</f>
        <v/>
      </c>
      <c r="AD2675" s="20">
        <f t="shared" si="124"/>
        <v>1.214528155592679</v>
      </c>
      <c r="AE2675" s="25">
        <f t="shared" si="125"/>
        <v>4.686268460241063E-2</v>
      </c>
    </row>
    <row r="2676" spans="1:31" x14ac:dyDescent="0.2">
      <c r="A2676" s="1" t="s">
        <v>458</v>
      </c>
      <c r="B2676" s="1" t="s">
        <v>117</v>
      </c>
      <c r="C2676" s="1">
        <v>55237</v>
      </c>
      <c r="D2676" s="1" t="s">
        <v>6162</v>
      </c>
      <c r="E2676" s="1" t="s">
        <v>1881</v>
      </c>
      <c r="F2676" s="1">
        <v>2023</v>
      </c>
      <c r="G2676" s="5">
        <v>537</v>
      </c>
      <c r="H2676" s="5">
        <v>423.82</v>
      </c>
      <c r="I2676" s="5">
        <v>18082.59</v>
      </c>
      <c r="K2676" s="5">
        <v>5.7000000000000002E-2</v>
      </c>
      <c r="L2676" s="5">
        <v>6.9999999999999999E-4</v>
      </c>
      <c r="M2676" s="5">
        <v>10621.9</v>
      </c>
      <c r="N2676" s="6">
        <v>5.8599999999999999E-2</v>
      </c>
      <c r="O2676" s="5">
        <v>10.577</v>
      </c>
      <c r="P2676" s="6">
        <v>0.27060000000000001</v>
      </c>
      <c r="Q2676" s="5">
        <v>179975.6</v>
      </c>
      <c r="R2676" s="1" t="s">
        <v>44</v>
      </c>
      <c r="T2676" s="1" t="s">
        <v>93</v>
      </c>
      <c r="V2676" s="1" t="s">
        <v>95</v>
      </c>
      <c r="Y2676" s="1" t="s">
        <v>461</v>
      </c>
      <c r="Z2676" s="1" t="str">
        <f t="shared" si="123"/>
        <v>55237 SCE6</v>
      </c>
      <c r="AA2676" s="3">
        <f>IF(INDEX('CAMD Facility Data 2023'!$AA$2:$AE$10000,MATCH(Z2676,'CAMD Facility Data 2023'!$AE$2:$AE$10000,0),1)&gt;0,INDEX('CAMD Facility Data 2023'!$AA$2:$AE$10000,MATCH(Z2676,'CAMD Facility Data 2023'!$AE$2:$AE$10000,0),1),"")</f>
        <v>36784</v>
      </c>
      <c r="AB2676" s="5">
        <f>IF(INDEX('CAMD Facility Data 2023'!$AC$2:$AE$10000,MATCH(Z2676,'CAMD Facility Data 2023'!$AE$2:$AE$10000,0),1)&gt;0,INDEX('CAMD Facility Data 2023'!$AC$2:$AE$10000,MATCH(Z2676,'CAMD Facility Data 2023'!$AE$2:$AE$10000,0),1),"")</f>
        <v>444</v>
      </c>
      <c r="AC2676" s="1" t="str">
        <f>IF(INDEX('CAMD Facility Data 2023'!$AE$2:$AG$10000,MATCH(Z2676,'CAMD Facility Data 2023'!$AE$2:$AE$10000,0),3)&gt;0,INDEX('CAMD Facility Data 2023'!$AE$2:$AG$10000,MATCH(Z2676,'CAMD Facility Data 2023'!$AE$2:$AE$10000,0),3),"")</f>
        <v/>
      </c>
      <c r="AD2676" s="20">
        <f t="shared" si="124"/>
        <v>1.1698545396428277</v>
      </c>
      <c r="AE2676" s="25">
        <f t="shared" si="125"/>
        <v>4.6272882471512608E-2</v>
      </c>
    </row>
    <row r="2677" spans="1:31" x14ac:dyDescent="0.2">
      <c r="A2677" s="1" t="s">
        <v>458</v>
      </c>
      <c r="B2677" s="1" t="s">
        <v>117</v>
      </c>
      <c r="C2677" s="1">
        <v>55237</v>
      </c>
      <c r="D2677" s="1" t="s">
        <v>6164</v>
      </c>
      <c r="E2677" s="1" t="s">
        <v>1881</v>
      </c>
      <c r="F2677" s="1">
        <v>2023</v>
      </c>
      <c r="G2677" s="5">
        <v>806</v>
      </c>
      <c r="H2677" s="5">
        <v>654.09</v>
      </c>
      <c r="I2677" s="5">
        <v>27961.67</v>
      </c>
      <c r="K2677" s="5">
        <v>0.09</v>
      </c>
      <c r="L2677" s="5">
        <v>8.0000000000000004E-4</v>
      </c>
      <c r="M2677" s="5">
        <v>16591.3</v>
      </c>
      <c r="N2677" s="6">
        <v>5.8700000000000002E-2</v>
      </c>
      <c r="O2677" s="5">
        <v>15.727</v>
      </c>
      <c r="P2677" s="6">
        <v>0.249</v>
      </c>
      <c r="Q2677" s="5">
        <v>281042.7</v>
      </c>
      <c r="R2677" s="1" t="s">
        <v>44</v>
      </c>
      <c r="T2677" s="1" t="s">
        <v>93</v>
      </c>
      <c r="V2677" s="1" t="s">
        <v>95</v>
      </c>
      <c r="Y2677" s="1" t="s">
        <v>461</v>
      </c>
      <c r="Z2677" s="1" t="str">
        <f t="shared" si="123"/>
        <v>55237 SCE7</v>
      </c>
      <c r="AA2677" s="3">
        <f>IF(INDEX('CAMD Facility Data 2023'!$AA$2:$AE$10000,MATCH(Z2677,'CAMD Facility Data 2023'!$AE$2:$AE$10000,0),1)&gt;0,INDEX('CAMD Facility Data 2023'!$AA$2:$AE$10000,MATCH(Z2677,'CAMD Facility Data 2023'!$AE$2:$AE$10000,0),1),"")</f>
        <v>36892</v>
      </c>
      <c r="AB2677" s="5">
        <f>IF(INDEX('CAMD Facility Data 2023'!$AC$2:$AE$10000,MATCH(Z2677,'CAMD Facility Data 2023'!$AE$2:$AE$10000,0),1)&gt;0,INDEX('CAMD Facility Data 2023'!$AC$2:$AE$10000,MATCH(Z2677,'CAMD Facility Data 2023'!$AE$2:$AE$10000,0),1),"")</f>
        <v>444</v>
      </c>
      <c r="AC2677" s="1" t="str">
        <f>IF(INDEX('CAMD Facility Data 2023'!$AE$2:$AG$10000,MATCH(Z2677,'CAMD Facility Data 2023'!$AE$2:$AE$10000,0),3)&gt;0,INDEX('CAMD Facility Data 2023'!$AE$2:$AG$10000,MATCH(Z2677,'CAMD Facility Data 2023'!$AE$2:$AE$10000,0),3),"")</f>
        <v/>
      </c>
      <c r="AD2677" s="20">
        <f t="shared" si="124"/>
        <v>1.1248970465641002</v>
      </c>
      <c r="AE2677" s="25">
        <f t="shared" si="125"/>
        <v>7.2257882882882887E-2</v>
      </c>
    </row>
    <row r="2678" spans="1:31" x14ac:dyDescent="0.2">
      <c r="A2678" s="1" t="s">
        <v>458</v>
      </c>
      <c r="B2678" s="1" t="s">
        <v>117</v>
      </c>
      <c r="C2678" s="1">
        <v>55237</v>
      </c>
      <c r="D2678" s="1" t="s">
        <v>6166</v>
      </c>
      <c r="E2678" s="1" t="s">
        <v>1881</v>
      </c>
      <c r="F2678" s="1">
        <v>2023</v>
      </c>
      <c r="G2678" s="5">
        <v>650</v>
      </c>
      <c r="H2678" s="5">
        <v>514.14</v>
      </c>
      <c r="I2678" s="5">
        <v>21984.83</v>
      </c>
      <c r="K2678" s="5">
        <v>7.0000000000000007E-2</v>
      </c>
      <c r="L2678" s="5">
        <v>6.9999999999999999E-4</v>
      </c>
      <c r="M2678" s="5">
        <v>12972.2</v>
      </c>
      <c r="N2678" s="6">
        <v>5.8799999999999998E-2</v>
      </c>
      <c r="O2678" s="5">
        <v>14.624000000000001</v>
      </c>
      <c r="P2678" s="6">
        <v>0.28089999999999998</v>
      </c>
      <c r="Q2678" s="5">
        <v>219770.7</v>
      </c>
      <c r="R2678" s="1" t="s">
        <v>44</v>
      </c>
      <c r="T2678" s="1" t="s">
        <v>93</v>
      </c>
      <c r="V2678" s="1" t="s">
        <v>95</v>
      </c>
      <c r="Y2678" s="1" t="s">
        <v>461</v>
      </c>
      <c r="Z2678" s="1" t="str">
        <f t="shared" si="123"/>
        <v>55237 SCE8</v>
      </c>
      <c r="AA2678" s="3">
        <f>IF(INDEX('CAMD Facility Data 2023'!$AA$2:$AE$10000,MATCH(Z2678,'CAMD Facility Data 2023'!$AE$2:$AE$10000,0),1)&gt;0,INDEX('CAMD Facility Data 2023'!$AA$2:$AE$10000,MATCH(Z2678,'CAMD Facility Data 2023'!$AE$2:$AE$10000,0),1),"")</f>
        <v>36892</v>
      </c>
      <c r="AB2678" s="5">
        <f>IF(INDEX('CAMD Facility Data 2023'!$AC$2:$AE$10000,MATCH(Z2678,'CAMD Facility Data 2023'!$AE$2:$AE$10000,0),1)&gt;0,INDEX('CAMD Facility Data 2023'!$AC$2:$AE$10000,MATCH(Z2678,'CAMD Facility Data 2023'!$AE$2:$AE$10000,0),1),"")</f>
        <v>444</v>
      </c>
      <c r="AC2678" s="1" t="str">
        <f>IF(INDEX('CAMD Facility Data 2023'!$AE$2:$AG$10000,MATCH(Z2678,'CAMD Facility Data 2023'!$AE$2:$AE$10000,0),3)&gt;0,INDEX('CAMD Facility Data 2023'!$AE$2:$AG$10000,MATCH(Z2678,'CAMD Facility Data 2023'!$AE$2:$AE$10000,0),3),"")</f>
        <v/>
      </c>
      <c r="AD2678" s="20">
        <f t="shared" si="124"/>
        <v>1.3303718973492176</v>
      </c>
      <c r="AE2678" s="25">
        <f t="shared" si="125"/>
        <v>5.6504458225348636E-2</v>
      </c>
    </row>
    <row r="2679" spans="1:31" x14ac:dyDescent="0.2">
      <c r="A2679" s="1" t="s">
        <v>458</v>
      </c>
      <c r="B2679" s="1" t="s">
        <v>6168</v>
      </c>
      <c r="C2679" s="1">
        <v>55238</v>
      </c>
      <c r="D2679" s="1">
        <v>1</v>
      </c>
      <c r="F2679" s="1">
        <v>2023</v>
      </c>
      <c r="G2679" s="5">
        <v>333</v>
      </c>
      <c r="H2679" s="5">
        <v>297.61</v>
      </c>
      <c r="I2679" s="5">
        <v>45831.4</v>
      </c>
      <c r="K2679" s="5">
        <v>0.14299999999999999</v>
      </c>
      <c r="L2679" s="5">
        <v>1E-3</v>
      </c>
      <c r="M2679" s="5">
        <v>27969.675999999999</v>
      </c>
      <c r="N2679" s="6">
        <v>5.8799999999999998E-2</v>
      </c>
      <c r="O2679" s="5">
        <v>9.1560000000000006</v>
      </c>
      <c r="P2679" s="6">
        <v>4.4600000000000001E-2</v>
      </c>
      <c r="Q2679" s="5">
        <v>470635.54499999998</v>
      </c>
      <c r="R2679" s="1" t="s">
        <v>44</v>
      </c>
      <c r="T2679" s="1" t="s">
        <v>93</v>
      </c>
      <c r="V2679" s="1" t="s">
        <v>140</v>
      </c>
      <c r="Y2679" s="1" t="s">
        <v>461</v>
      </c>
      <c r="Z2679" s="1" t="str">
        <f t="shared" si="123"/>
        <v>55238 1</v>
      </c>
      <c r="AA2679" s="3">
        <f>IF(INDEX('CAMD Facility Data 2023'!$AA$2:$AE$10000,MATCH(Z2679,'CAMD Facility Data 2023'!$AE$2:$AE$10000,0),1)&gt;0,INDEX('CAMD Facility Data 2023'!$AA$2:$AE$10000,MATCH(Z2679,'CAMD Facility Data 2023'!$AE$2:$AE$10000,0),1),"")</f>
        <v>36734</v>
      </c>
      <c r="AB2679" s="5">
        <f>IF(INDEX('CAMD Facility Data 2023'!$AC$2:$AE$10000,MATCH(Z2679,'CAMD Facility Data 2023'!$AE$2:$AE$10000,0),1)&gt;0,INDEX('CAMD Facility Data 2023'!$AC$2:$AE$10000,MATCH(Z2679,'CAMD Facility Data 2023'!$AE$2:$AE$10000,0),1),"")</f>
        <v>1800</v>
      </c>
      <c r="AC2679" s="1" t="str">
        <f>IF(INDEX('CAMD Facility Data 2023'!$AE$2:$AG$10000,MATCH(Z2679,'CAMD Facility Data 2023'!$AE$2:$AE$10000,0),3)&gt;0,INDEX('CAMD Facility Data 2023'!$AE$2:$AG$10000,MATCH(Z2679,'CAMD Facility Data 2023'!$AE$2:$AE$10000,0),3),"")</f>
        <v/>
      </c>
      <c r="AD2679" s="20">
        <f t="shared" si="124"/>
        <v>0.39955139925902328</v>
      </c>
      <c r="AE2679" s="25">
        <f t="shared" si="125"/>
        <v>2.9847510464231352E-2</v>
      </c>
    </row>
    <row r="2680" spans="1:31" x14ac:dyDescent="0.2">
      <c r="A2680" s="1" t="s">
        <v>458</v>
      </c>
      <c r="B2680" s="1" t="s">
        <v>6168</v>
      </c>
      <c r="C2680" s="1">
        <v>55238</v>
      </c>
      <c r="D2680" s="1">
        <v>2</v>
      </c>
      <c r="F2680" s="1">
        <v>2023</v>
      </c>
      <c r="G2680" s="5">
        <v>452</v>
      </c>
      <c r="H2680" s="5">
        <v>401.06</v>
      </c>
      <c r="I2680" s="5">
        <v>62302.7</v>
      </c>
      <c r="K2680" s="5">
        <v>0.19400000000000001</v>
      </c>
      <c r="L2680" s="5">
        <v>1E-3</v>
      </c>
      <c r="M2680" s="5">
        <v>38136.004999999997</v>
      </c>
      <c r="N2680" s="6">
        <v>5.8999999999999997E-2</v>
      </c>
      <c r="O2680" s="5">
        <v>12.711</v>
      </c>
      <c r="P2680" s="6">
        <v>4.5600000000000002E-2</v>
      </c>
      <c r="Q2680" s="5">
        <v>641708.26</v>
      </c>
      <c r="R2680" s="1" t="s">
        <v>44</v>
      </c>
      <c r="T2680" s="1" t="s">
        <v>93</v>
      </c>
      <c r="V2680" s="1" t="s">
        <v>140</v>
      </c>
      <c r="Y2680" s="1" t="s">
        <v>461</v>
      </c>
      <c r="Z2680" s="1" t="str">
        <f t="shared" si="123"/>
        <v>55238 2</v>
      </c>
      <c r="AA2680" s="3">
        <f>IF(INDEX('CAMD Facility Data 2023'!$AA$2:$AE$10000,MATCH(Z2680,'CAMD Facility Data 2023'!$AE$2:$AE$10000,0),1)&gt;0,INDEX('CAMD Facility Data 2023'!$AA$2:$AE$10000,MATCH(Z2680,'CAMD Facility Data 2023'!$AE$2:$AE$10000,0),1),"")</f>
        <v>36707</v>
      </c>
      <c r="AB2680" s="5">
        <f>IF(INDEX('CAMD Facility Data 2023'!$AC$2:$AE$10000,MATCH(Z2680,'CAMD Facility Data 2023'!$AE$2:$AE$10000,0),1)&gt;0,INDEX('CAMD Facility Data 2023'!$AC$2:$AE$10000,MATCH(Z2680,'CAMD Facility Data 2023'!$AE$2:$AE$10000,0),1),"")</f>
        <v>1760</v>
      </c>
      <c r="AC2680" s="1" t="str">
        <f>IF(INDEX('CAMD Facility Data 2023'!$AE$2:$AG$10000,MATCH(Z2680,'CAMD Facility Data 2023'!$AE$2:$AE$10000,0),3)&gt;0,INDEX('CAMD Facility Data 2023'!$AE$2:$AG$10000,MATCH(Z2680,'CAMD Facility Data 2023'!$AE$2:$AE$10000,0),3),"")</f>
        <v/>
      </c>
      <c r="AD2680" s="20">
        <f t="shared" si="124"/>
        <v>0.40804010099080779</v>
      </c>
      <c r="AE2680" s="25">
        <f t="shared" si="125"/>
        <v>4.1621799761311751E-2</v>
      </c>
    </row>
    <row r="2681" spans="1:31" x14ac:dyDescent="0.2">
      <c r="A2681" s="1" t="s">
        <v>1980</v>
      </c>
      <c r="B2681" s="1" t="s">
        <v>6173</v>
      </c>
      <c r="C2681" s="1">
        <v>55239</v>
      </c>
      <c r="D2681" s="1">
        <v>1</v>
      </c>
      <c r="F2681" s="1">
        <v>2023</v>
      </c>
      <c r="G2681" s="5">
        <v>4432</v>
      </c>
      <c r="H2681" s="5">
        <v>4393.41</v>
      </c>
      <c r="I2681" s="5">
        <v>874961.87</v>
      </c>
      <c r="K2681" s="5">
        <v>2.234</v>
      </c>
      <c r="L2681" s="5">
        <v>1E-3</v>
      </c>
      <c r="M2681" s="5">
        <v>442606.04</v>
      </c>
      <c r="N2681" s="6">
        <v>5.8999999999999997E-2</v>
      </c>
      <c r="O2681" s="5">
        <v>39.188000000000002</v>
      </c>
      <c r="P2681" s="6">
        <v>1.12E-2</v>
      </c>
      <c r="Q2681" s="5">
        <v>7447691.0420000004</v>
      </c>
      <c r="R2681" s="1" t="s">
        <v>44</v>
      </c>
      <c r="T2681" s="1" t="s">
        <v>71</v>
      </c>
      <c r="V2681" s="1" t="s">
        <v>442</v>
      </c>
      <c r="Y2681" s="1" t="s">
        <v>1515</v>
      </c>
      <c r="Z2681" s="1" t="str">
        <f t="shared" si="123"/>
        <v>55239 1</v>
      </c>
      <c r="AA2681" s="3">
        <f>IF(INDEX('CAMD Facility Data 2023'!$AA$2:$AE$10000,MATCH(Z2681,'CAMD Facility Data 2023'!$AE$2:$AE$10000,0),1)&gt;0,INDEX('CAMD Facility Data 2023'!$AA$2:$AE$10000,MATCH(Z2681,'CAMD Facility Data 2023'!$AE$2:$AE$10000,0),1),"")</f>
        <v>37422</v>
      </c>
      <c r="AB2681" s="5">
        <f>IF(INDEX('CAMD Facility Data 2023'!$AC$2:$AE$10000,MATCH(Z2681,'CAMD Facility Data 2023'!$AE$2:$AE$10000,0),1)&gt;0,INDEX('CAMD Facility Data 2023'!$AC$2:$AE$10000,MATCH(Z2681,'CAMD Facility Data 2023'!$AE$2:$AE$10000,0),1),"")</f>
        <v>2180</v>
      </c>
      <c r="AC2681" s="1" t="str">
        <f>IF(INDEX('CAMD Facility Data 2023'!$AE$2:$AG$10000,MATCH(Z2681,'CAMD Facility Data 2023'!$AE$2:$AE$10000,0),3)&gt;0,INDEX('CAMD Facility Data 2023'!$AE$2:$AG$10000,MATCH(Z2681,'CAMD Facility Data 2023'!$AE$2:$AE$10000,0),3),"")</f>
        <v>Y</v>
      </c>
      <c r="AD2681" s="20">
        <f t="shared" si="124"/>
        <v>8.9576474915415455E-2</v>
      </c>
      <c r="AE2681" s="25">
        <f t="shared" si="125"/>
        <v>0.38999680794688119</v>
      </c>
    </row>
    <row r="2682" spans="1:31" x14ac:dyDescent="0.2">
      <c r="A2682" s="1" t="s">
        <v>1980</v>
      </c>
      <c r="B2682" s="1" t="s">
        <v>6173</v>
      </c>
      <c r="C2682" s="1">
        <v>55239</v>
      </c>
      <c r="D2682" s="1">
        <v>2</v>
      </c>
      <c r="F2682" s="1">
        <v>2023</v>
      </c>
      <c r="G2682" s="5">
        <v>4423</v>
      </c>
      <c r="H2682" s="5">
        <v>4407.8900000000003</v>
      </c>
      <c r="I2682" s="5">
        <v>868572.66</v>
      </c>
      <c r="K2682" s="5">
        <v>2.238</v>
      </c>
      <c r="L2682" s="5">
        <v>1E-3</v>
      </c>
      <c r="M2682" s="5">
        <v>443266</v>
      </c>
      <c r="N2682" s="6">
        <v>5.8999999999999997E-2</v>
      </c>
      <c r="O2682" s="5">
        <v>38.581000000000003</v>
      </c>
      <c r="P2682" s="6">
        <v>1.0800000000000001E-2</v>
      </c>
      <c r="Q2682" s="5">
        <v>7458818.0650000004</v>
      </c>
      <c r="R2682" s="1" t="s">
        <v>44</v>
      </c>
      <c r="T2682" s="1" t="s">
        <v>71</v>
      </c>
      <c r="V2682" s="1" t="s">
        <v>442</v>
      </c>
      <c r="Y2682" s="1" t="s">
        <v>1515</v>
      </c>
      <c r="Z2682" s="1" t="str">
        <f t="shared" si="123"/>
        <v>55239 2</v>
      </c>
      <c r="AA2682" s="3">
        <f>IF(INDEX('CAMD Facility Data 2023'!$AA$2:$AE$10000,MATCH(Z2682,'CAMD Facility Data 2023'!$AE$2:$AE$10000,0),1)&gt;0,INDEX('CAMD Facility Data 2023'!$AA$2:$AE$10000,MATCH(Z2682,'CAMD Facility Data 2023'!$AE$2:$AE$10000,0),1),"")</f>
        <v>37422</v>
      </c>
      <c r="AB2682" s="5">
        <f>IF(INDEX('CAMD Facility Data 2023'!$AC$2:$AE$10000,MATCH(Z2682,'CAMD Facility Data 2023'!$AE$2:$AE$10000,0),1)&gt;0,INDEX('CAMD Facility Data 2023'!$AC$2:$AE$10000,MATCH(Z2682,'CAMD Facility Data 2023'!$AE$2:$AE$10000,0),1),"")</f>
        <v>2180</v>
      </c>
      <c r="AC2682" s="1" t="str">
        <f>IF(INDEX('CAMD Facility Data 2023'!$AE$2:$AG$10000,MATCH(Z2682,'CAMD Facility Data 2023'!$AE$2:$AE$10000,0),3)&gt;0,INDEX('CAMD Facility Data 2023'!$AE$2:$AG$10000,MATCH(Z2682,'CAMD Facility Data 2023'!$AE$2:$AE$10000,0),3),"")</f>
        <v>Y</v>
      </c>
      <c r="AD2682" s="20">
        <f t="shared" si="124"/>
        <v>8.8837702996546072E-2</v>
      </c>
      <c r="AE2682" s="25">
        <f t="shared" si="125"/>
        <v>0.39057947221524025</v>
      </c>
    </row>
    <row r="2683" spans="1:31" x14ac:dyDescent="0.2">
      <c r="A2683" s="1" t="s">
        <v>1980</v>
      </c>
      <c r="B2683" s="1" t="s">
        <v>6173</v>
      </c>
      <c r="C2683" s="1">
        <v>55239</v>
      </c>
      <c r="D2683" s="1">
        <v>3</v>
      </c>
      <c r="F2683" s="1">
        <v>2023</v>
      </c>
      <c r="G2683" s="5">
        <v>4664</v>
      </c>
      <c r="H2683" s="5">
        <v>4634.91</v>
      </c>
      <c r="I2683" s="5">
        <v>910315.61</v>
      </c>
      <c r="K2683" s="5">
        <v>2.3559999999999999</v>
      </c>
      <c r="L2683" s="5">
        <v>1E-3</v>
      </c>
      <c r="M2683" s="5">
        <v>466784.10800000001</v>
      </c>
      <c r="N2683" s="6">
        <v>5.8999999999999997E-2</v>
      </c>
      <c r="O2683" s="5">
        <v>40.593000000000004</v>
      </c>
      <c r="P2683" s="6">
        <v>1.0800000000000001E-2</v>
      </c>
      <c r="Q2683" s="5">
        <v>7854489.1449999996</v>
      </c>
      <c r="R2683" s="1" t="s">
        <v>44</v>
      </c>
      <c r="T2683" s="1" t="s">
        <v>71</v>
      </c>
      <c r="V2683" s="1" t="s">
        <v>442</v>
      </c>
      <c r="Y2683" s="1" t="s">
        <v>1515</v>
      </c>
      <c r="Z2683" s="1" t="str">
        <f t="shared" si="123"/>
        <v>55239 3</v>
      </c>
      <c r="AA2683" s="3">
        <f>IF(INDEX('CAMD Facility Data 2023'!$AA$2:$AE$10000,MATCH(Z2683,'CAMD Facility Data 2023'!$AE$2:$AE$10000,0),1)&gt;0,INDEX('CAMD Facility Data 2023'!$AA$2:$AE$10000,MATCH(Z2683,'CAMD Facility Data 2023'!$AE$2:$AE$10000,0),1),"")</f>
        <v>37422</v>
      </c>
      <c r="AB2683" s="5">
        <f>IF(INDEX('CAMD Facility Data 2023'!$AC$2:$AE$10000,MATCH(Z2683,'CAMD Facility Data 2023'!$AE$2:$AE$10000,0),1)&gt;0,INDEX('CAMD Facility Data 2023'!$AC$2:$AE$10000,MATCH(Z2683,'CAMD Facility Data 2023'!$AE$2:$AE$10000,0),1),"")</f>
        <v>2180</v>
      </c>
      <c r="AC2683" s="1" t="str">
        <f>IF(INDEX('CAMD Facility Data 2023'!$AE$2:$AG$10000,MATCH(Z2683,'CAMD Facility Data 2023'!$AE$2:$AE$10000,0),3)&gt;0,INDEX('CAMD Facility Data 2023'!$AE$2:$AG$10000,MATCH(Z2683,'CAMD Facility Data 2023'!$AE$2:$AE$10000,0),3),"")</f>
        <v>Y</v>
      </c>
      <c r="AD2683" s="20">
        <f t="shared" si="124"/>
        <v>8.9184453290875682E-2</v>
      </c>
      <c r="AE2683" s="25">
        <f t="shared" si="125"/>
        <v>0.41129870685140962</v>
      </c>
    </row>
    <row r="2684" spans="1:31" x14ac:dyDescent="0.2">
      <c r="A2684" s="1" t="s">
        <v>32</v>
      </c>
      <c r="B2684" s="1" t="s">
        <v>6178</v>
      </c>
      <c r="C2684" s="1">
        <v>55241</v>
      </c>
      <c r="D2684" s="1" t="s">
        <v>6179</v>
      </c>
      <c r="F2684" s="1">
        <v>2023</v>
      </c>
      <c r="G2684" s="5">
        <v>7233</v>
      </c>
      <c r="H2684" s="5">
        <v>7218.11</v>
      </c>
      <c r="I2684" s="5">
        <v>1526383.04</v>
      </c>
      <c r="K2684" s="5">
        <v>3.4239999999999999</v>
      </c>
      <c r="L2684" s="5">
        <v>1E-3</v>
      </c>
      <c r="M2684" s="5">
        <v>678208.51699999999</v>
      </c>
      <c r="N2684" s="6">
        <v>5.8999999999999997E-2</v>
      </c>
      <c r="O2684" s="5">
        <v>54.543999999999997</v>
      </c>
      <c r="P2684" s="6">
        <v>0.01</v>
      </c>
      <c r="Q2684" s="5">
        <v>11412176.299000001</v>
      </c>
      <c r="R2684" s="1" t="s">
        <v>44</v>
      </c>
      <c r="T2684" s="1" t="s">
        <v>71</v>
      </c>
      <c r="V2684" s="1" t="s">
        <v>643</v>
      </c>
      <c r="Y2684" s="1" t="s">
        <v>35</v>
      </c>
      <c r="Z2684" s="1" t="str">
        <f t="shared" si="123"/>
        <v>55241 COG01</v>
      </c>
      <c r="AA2684" s="3">
        <f>IF(INDEX('CAMD Facility Data 2023'!$AA$2:$AE$10000,MATCH(Z2684,'CAMD Facility Data 2023'!$AE$2:$AE$10000,0),1)&gt;0,INDEX('CAMD Facility Data 2023'!$AA$2:$AE$10000,MATCH(Z2684,'CAMD Facility Data 2023'!$AE$2:$AE$10000,0),1),"")</f>
        <v>36957</v>
      </c>
      <c r="AB2684" s="5">
        <f>IF(INDEX('CAMD Facility Data 2023'!$AC$2:$AE$10000,MATCH(Z2684,'CAMD Facility Data 2023'!$AE$2:$AE$10000,0),1)&gt;0,INDEX('CAMD Facility Data 2023'!$AC$2:$AE$10000,MATCH(Z2684,'CAMD Facility Data 2023'!$AE$2:$AE$10000,0),1),"")</f>
        <v>2493</v>
      </c>
      <c r="AC2684" s="1" t="str">
        <f>IF(INDEX('CAMD Facility Data 2023'!$AE$2:$AG$10000,MATCH(Z2684,'CAMD Facility Data 2023'!$AE$2:$AE$10000,0),3)&gt;0,INDEX('CAMD Facility Data 2023'!$AE$2:$AG$10000,MATCH(Z2684,'CAMD Facility Data 2023'!$AE$2:$AE$10000,0),3),"")</f>
        <v>Y</v>
      </c>
      <c r="AD2684" s="20">
        <f t="shared" si="124"/>
        <v>7.1468299333304966E-2</v>
      </c>
      <c r="AE2684" s="25">
        <f t="shared" si="125"/>
        <v>0.52256712855355725</v>
      </c>
    </row>
    <row r="2685" spans="1:31" x14ac:dyDescent="0.2">
      <c r="A2685" s="1" t="s">
        <v>304</v>
      </c>
      <c r="B2685" s="1" t="s">
        <v>6182</v>
      </c>
      <c r="C2685" s="1">
        <v>55242</v>
      </c>
      <c r="D2685" s="1" t="s">
        <v>1296</v>
      </c>
      <c r="F2685" s="1">
        <v>2023</v>
      </c>
      <c r="G2685" s="5">
        <v>5502</v>
      </c>
      <c r="H2685" s="5">
        <v>5465.39</v>
      </c>
      <c r="I2685" s="5">
        <v>1171577.99</v>
      </c>
      <c r="K2685" s="5">
        <v>2.57</v>
      </c>
      <c r="L2685" s="5">
        <v>1E-3</v>
      </c>
      <c r="M2685" s="5">
        <v>509127.09499999997</v>
      </c>
      <c r="N2685" s="6">
        <v>5.8999999999999997E-2</v>
      </c>
      <c r="O2685" s="5">
        <v>135.45400000000001</v>
      </c>
      <c r="P2685" s="6">
        <v>3.4299999999999997E-2</v>
      </c>
      <c r="Q2685" s="5">
        <v>8567098.2960000001</v>
      </c>
      <c r="R2685" s="1" t="s">
        <v>44</v>
      </c>
      <c r="T2685" s="1" t="s">
        <v>71</v>
      </c>
      <c r="V2685" s="1" t="s">
        <v>140</v>
      </c>
      <c r="Y2685" s="1" t="s">
        <v>247</v>
      </c>
      <c r="Z2685" s="1" t="str">
        <f t="shared" si="123"/>
        <v>55242 CT-1</v>
      </c>
      <c r="AA2685" s="3">
        <f>IF(INDEX('CAMD Facility Data 2023'!$AA$2:$AE$10000,MATCH(Z2685,'CAMD Facility Data 2023'!$AE$2:$AE$10000,0),1)&gt;0,INDEX('CAMD Facility Data 2023'!$AA$2:$AE$10000,MATCH(Z2685,'CAMD Facility Data 2023'!$AE$2:$AE$10000,0),1),"")</f>
        <v>37387</v>
      </c>
      <c r="AB2685" s="5">
        <f>IF(INDEX('CAMD Facility Data 2023'!$AC$2:$AE$10000,MATCH(Z2685,'CAMD Facility Data 2023'!$AE$2:$AE$10000,0),1)&gt;0,INDEX('CAMD Facility Data 2023'!$AC$2:$AE$10000,MATCH(Z2685,'CAMD Facility Data 2023'!$AE$2:$AE$10000,0),1),"")</f>
        <v>1958</v>
      </c>
      <c r="AC2685" s="1" t="str">
        <f>IF(INDEX('CAMD Facility Data 2023'!$AE$2:$AG$10000,MATCH(Z2685,'CAMD Facility Data 2023'!$AE$2:$AE$10000,0),3)&gt;0,INDEX('CAMD Facility Data 2023'!$AE$2:$AG$10000,MATCH(Z2685,'CAMD Facility Data 2023'!$AE$2:$AE$10000,0),3),"")</f>
        <v/>
      </c>
      <c r="AD2685" s="20">
        <f t="shared" si="124"/>
        <v>0.23123343244097647</v>
      </c>
      <c r="AE2685" s="25">
        <f t="shared" si="125"/>
        <v>0.4994786810695846</v>
      </c>
    </row>
    <row r="2686" spans="1:31" x14ac:dyDescent="0.2">
      <c r="A2686" s="1" t="s">
        <v>2089</v>
      </c>
      <c r="B2686" s="1" t="s">
        <v>6187</v>
      </c>
      <c r="C2686" s="1">
        <v>55243</v>
      </c>
      <c r="D2686" s="1" t="s">
        <v>6188</v>
      </c>
      <c r="E2686" s="1" t="s">
        <v>6189</v>
      </c>
      <c r="F2686" s="1">
        <v>2023</v>
      </c>
      <c r="G2686" s="5">
        <v>27</v>
      </c>
      <c r="H2686" s="5">
        <v>13.95</v>
      </c>
      <c r="I2686" s="5">
        <v>279</v>
      </c>
      <c r="K2686" s="5">
        <v>0.03</v>
      </c>
      <c r="L2686" s="5">
        <v>3.7600000000000001E-2</v>
      </c>
      <c r="M2686" s="5">
        <v>223.5</v>
      </c>
      <c r="N2686" s="6">
        <v>6.0600000000000001E-2</v>
      </c>
      <c r="O2686" s="5">
        <v>0.79200000000000004</v>
      </c>
      <c r="P2686" s="6">
        <v>0.44409999999999999</v>
      </c>
      <c r="Q2686" s="5">
        <v>3745.6</v>
      </c>
      <c r="R2686" s="1" t="s">
        <v>44</v>
      </c>
      <c r="S2686" s="1" t="s">
        <v>94</v>
      </c>
      <c r="T2686" s="1" t="s">
        <v>93</v>
      </c>
      <c r="Y2686" s="1" t="s">
        <v>6190</v>
      </c>
      <c r="Z2686" s="1" t="str">
        <f t="shared" si="123"/>
        <v>55243 CT2-1A</v>
      </c>
      <c r="AA2686" s="3">
        <f>IF(INDEX('CAMD Facility Data 2023'!$AA$2:$AE$10000,MATCH(Z2686,'CAMD Facility Data 2023'!$AE$2:$AE$10000,0),1)&gt;0,INDEX('CAMD Facility Data 2023'!$AA$2:$AE$10000,MATCH(Z2686,'CAMD Facility Data 2023'!$AE$2:$AE$10000,0),1),"")</f>
        <v>25720</v>
      </c>
      <c r="AB2686" s="5">
        <f>IF(INDEX('CAMD Facility Data 2023'!$AC$2:$AE$10000,MATCH(Z2686,'CAMD Facility Data 2023'!$AE$2:$AE$10000,0),1)&gt;0,INDEX('CAMD Facility Data 2023'!$AC$2:$AE$10000,MATCH(Z2686,'CAMD Facility Data 2023'!$AE$2:$AE$10000,0),1),"")</f>
        <v>255</v>
      </c>
      <c r="AC2686" s="1" t="str">
        <f>IF(INDEX('CAMD Facility Data 2023'!$AE$2:$AG$10000,MATCH(Z2686,'CAMD Facility Data 2023'!$AE$2:$AE$10000,0),3)&gt;0,INDEX('CAMD Facility Data 2023'!$AE$2:$AG$10000,MATCH(Z2686,'CAMD Facility Data 2023'!$AE$2:$AE$10000,0),3),"")</f>
        <v/>
      </c>
      <c r="AD2686" s="20">
        <f t="shared" si="124"/>
        <v>5.67741935483871</v>
      </c>
      <c r="AE2686" s="25">
        <f t="shared" si="125"/>
        <v>1.6767839555913689E-3</v>
      </c>
    </row>
    <row r="2687" spans="1:31" x14ac:dyDescent="0.2">
      <c r="A2687" s="1" t="s">
        <v>2089</v>
      </c>
      <c r="B2687" s="1" t="s">
        <v>6187</v>
      </c>
      <c r="C2687" s="1">
        <v>55243</v>
      </c>
      <c r="D2687" s="1" t="s">
        <v>6195</v>
      </c>
      <c r="E2687" s="1" t="s">
        <v>6189</v>
      </c>
      <c r="F2687" s="1">
        <v>2023</v>
      </c>
      <c r="G2687" s="5">
        <v>27</v>
      </c>
      <c r="H2687" s="5">
        <v>13.95</v>
      </c>
      <c r="I2687" s="5">
        <v>279</v>
      </c>
      <c r="K2687" s="5">
        <v>0.03</v>
      </c>
      <c r="L2687" s="5">
        <v>3.7600000000000001E-2</v>
      </c>
      <c r="M2687" s="5">
        <v>223.5</v>
      </c>
      <c r="N2687" s="6">
        <v>6.0600000000000001E-2</v>
      </c>
      <c r="O2687" s="5">
        <v>0.77100000000000002</v>
      </c>
      <c r="P2687" s="6">
        <v>0.43690000000000001</v>
      </c>
      <c r="Q2687" s="5">
        <v>3745.6</v>
      </c>
      <c r="R2687" s="1" t="s">
        <v>44</v>
      </c>
      <c r="S2687" s="1" t="s">
        <v>94</v>
      </c>
      <c r="T2687" s="1" t="s">
        <v>93</v>
      </c>
      <c r="Y2687" s="1" t="s">
        <v>6190</v>
      </c>
      <c r="Z2687" s="1" t="str">
        <f t="shared" si="123"/>
        <v>55243 CT2-1B</v>
      </c>
      <c r="AA2687" s="3">
        <f>IF(INDEX('CAMD Facility Data 2023'!$AA$2:$AE$10000,MATCH(Z2687,'CAMD Facility Data 2023'!$AE$2:$AE$10000,0),1)&gt;0,INDEX('CAMD Facility Data 2023'!$AA$2:$AE$10000,MATCH(Z2687,'CAMD Facility Data 2023'!$AE$2:$AE$10000,0),1),"")</f>
        <v>25720</v>
      </c>
      <c r="AB2687" s="5">
        <f>IF(INDEX('CAMD Facility Data 2023'!$AC$2:$AE$10000,MATCH(Z2687,'CAMD Facility Data 2023'!$AE$2:$AE$10000,0),1)&gt;0,INDEX('CAMD Facility Data 2023'!$AC$2:$AE$10000,MATCH(Z2687,'CAMD Facility Data 2023'!$AE$2:$AE$10000,0),1),"")</f>
        <v>255</v>
      </c>
      <c r="AC2687" s="1" t="str">
        <f>IF(INDEX('CAMD Facility Data 2023'!$AE$2:$AG$10000,MATCH(Z2687,'CAMD Facility Data 2023'!$AE$2:$AE$10000,0),3)&gt;0,INDEX('CAMD Facility Data 2023'!$AE$2:$AG$10000,MATCH(Z2687,'CAMD Facility Data 2023'!$AE$2:$AE$10000,0),3),"")</f>
        <v/>
      </c>
      <c r="AD2687" s="20">
        <f t="shared" si="124"/>
        <v>5.5268817204301079</v>
      </c>
      <c r="AE2687" s="25">
        <f t="shared" si="125"/>
        <v>1.6767839555913689E-3</v>
      </c>
    </row>
    <row r="2688" spans="1:31" x14ac:dyDescent="0.2">
      <c r="A2688" s="1" t="s">
        <v>2089</v>
      </c>
      <c r="B2688" s="1" t="s">
        <v>6187</v>
      </c>
      <c r="C2688" s="1">
        <v>55243</v>
      </c>
      <c r="D2688" s="1" t="s">
        <v>6196</v>
      </c>
      <c r="E2688" s="1" t="s">
        <v>6189</v>
      </c>
      <c r="F2688" s="1">
        <v>2023</v>
      </c>
      <c r="G2688" s="5">
        <v>17</v>
      </c>
      <c r="H2688" s="5">
        <v>7.12</v>
      </c>
      <c r="I2688" s="5">
        <v>141.9</v>
      </c>
      <c r="K2688" s="5">
        <v>3.3000000000000002E-2</v>
      </c>
      <c r="L2688" s="5">
        <v>5.9200000000000003E-2</v>
      </c>
      <c r="M2688" s="5">
        <v>118.4</v>
      </c>
      <c r="N2688" s="6">
        <v>6.0999999999999999E-2</v>
      </c>
      <c r="O2688" s="5">
        <v>0.43099999999999999</v>
      </c>
      <c r="P2688" s="6">
        <v>0.46639999999999998</v>
      </c>
      <c r="Q2688" s="5">
        <v>1955.7</v>
      </c>
      <c r="R2688" s="1" t="s">
        <v>44</v>
      </c>
      <c r="S2688" s="1" t="s">
        <v>94</v>
      </c>
      <c r="T2688" s="1" t="s">
        <v>93</v>
      </c>
      <c r="Y2688" s="1" t="s">
        <v>6190</v>
      </c>
      <c r="Z2688" s="1" t="str">
        <f t="shared" si="123"/>
        <v>55243 CT2-2A</v>
      </c>
      <c r="AA2688" s="3">
        <f>IF(INDEX('CAMD Facility Data 2023'!$AA$2:$AE$10000,MATCH(Z2688,'CAMD Facility Data 2023'!$AE$2:$AE$10000,0),1)&gt;0,INDEX('CAMD Facility Data 2023'!$AA$2:$AE$10000,MATCH(Z2688,'CAMD Facility Data 2023'!$AE$2:$AE$10000,0),1),"")</f>
        <v>25720</v>
      </c>
      <c r="AB2688" s="5">
        <f>IF(INDEX('CAMD Facility Data 2023'!$AC$2:$AE$10000,MATCH(Z2688,'CAMD Facility Data 2023'!$AE$2:$AE$10000,0),1)&gt;0,INDEX('CAMD Facility Data 2023'!$AC$2:$AE$10000,MATCH(Z2688,'CAMD Facility Data 2023'!$AE$2:$AE$10000,0),1),"")</f>
        <v>255</v>
      </c>
      <c r="AC2688" s="1" t="str">
        <f>IF(INDEX('CAMD Facility Data 2023'!$AE$2:$AG$10000,MATCH(Z2688,'CAMD Facility Data 2023'!$AE$2:$AE$10000,0),3)&gt;0,INDEX('CAMD Facility Data 2023'!$AE$2:$AG$10000,MATCH(Z2688,'CAMD Facility Data 2023'!$AE$2:$AE$10000,0),3),"")</f>
        <v/>
      </c>
      <c r="AD2688" s="20">
        <f t="shared" si="124"/>
        <v>6.0747004933051443</v>
      </c>
      <c r="AE2688" s="25">
        <f t="shared" si="125"/>
        <v>8.7550362610797744E-4</v>
      </c>
    </row>
    <row r="2689" spans="1:31" x14ac:dyDescent="0.2">
      <c r="A2689" s="1" t="s">
        <v>2089</v>
      </c>
      <c r="B2689" s="1" t="s">
        <v>6187</v>
      </c>
      <c r="C2689" s="1">
        <v>55243</v>
      </c>
      <c r="D2689" s="1" t="s">
        <v>6198</v>
      </c>
      <c r="E2689" s="1" t="s">
        <v>6189</v>
      </c>
      <c r="F2689" s="1">
        <v>2023</v>
      </c>
      <c r="G2689" s="5">
        <v>17</v>
      </c>
      <c r="H2689" s="5">
        <v>7.12</v>
      </c>
      <c r="I2689" s="5">
        <v>141.9</v>
      </c>
      <c r="K2689" s="5">
        <v>3.3000000000000002E-2</v>
      </c>
      <c r="L2689" s="5">
        <v>5.9200000000000003E-2</v>
      </c>
      <c r="M2689" s="5">
        <v>118.4</v>
      </c>
      <c r="N2689" s="6">
        <v>6.0999999999999999E-2</v>
      </c>
      <c r="O2689" s="5">
        <v>0.42399999999999999</v>
      </c>
      <c r="P2689" s="6">
        <v>0.46310000000000001</v>
      </c>
      <c r="Q2689" s="5">
        <v>1955.7</v>
      </c>
      <c r="R2689" s="1" t="s">
        <v>44</v>
      </c>
      <c r="S2689" s="1" t="s">
        <v>94</v>
      </c>
      <c r="T2689" s="1" t="s">
        <v>93</v>
      </c>
      <c r="Y2689" s="1" t="s">
        <v>6190</v>
      </c>
      <c r="Z2689" s="1" t="str">
        <f t="shared" si="123"/>
        <v>55243 CT2-2B</v>
      </c>
      <c r="AA2689" s="3">
        <f>IF(INDEX('CAMD Facility Data 2023'!$AA$2:$AE$10000,MATCH(Z2689,'CAMD Facility Data 2023'!$AE$2:$AE$10000,0),1)&gt;0,INDEX('CAMD Facility Data 2023'!$AA$2:$AE$10000,MATCH(Z2689,'CAMD Facility Data 2023'!$AE$2:$AE$10000,0),1),"")</f>
        <v>25720</v>
      </c>
      <c r="AB2689" s="5">
        <f>IF(INDEX('CAMD Facility Data 2023'!$AC$2:$AE$10000,MATCH(Z2689,'CAMD Facility Data 2023'!$AE$2:$AE$10000,0),1)&gt;0,INDEX('CAMD Facility Data 2023'!$AC$2:$AE$10000,MATCH(Z2689,'CAMD Facility Data 2023'!$AE$2:$AE$10000,0),1),"")</f>
        <v>255</v>
      </c>
      <c r="AC2689" s="1" t="str">
        <f>IF(INDEX('CAMD Facility Data 2023'!$AE$2:$AG$10000,MATCH(Z2689,'CAMD Facility Data 2023'!$AE$2:$AE$10000,0),3)&gt;0,INDEX('CAMD Facility Data 2023'!$AE$2:$AG$10000,MATCH(Z2689,'CAMD Facility Data 2023'!$AE$2:$AE$10000,0),3),"")</f>
        <v/>
      </c>
      <c r="AD2689" s="20">
        <f t="shared" si="124"/>
        <v>5.9760394644115573</v>
      </c>
      <c r="AE2689" s="25">
        <f t="shared" si="125"/>
        <v>8.7550362610797744E-4</v>
      </c>
    </row>
    <row r="2690" spans="1:31" x14ac:dyDescent="0.2">
      <c r="A2690" s="1" t="s">
        <v>2089</v>
      </c>
      <c r="B2690" s="1" t="s">
        <v>6187</v>
      </c>
      <c r="C2690" s="1">
        <v>55243</v>
      </c>
      <c r="D2690" s="1" t="s">
        <v>6199</v>
      </c>
      <c r="E2690" s="1" t="s">
        <v>6189</v>
      </c>
      <c r="F2690" s="1">
        <v>2023</v>
      </c>
      <c r="G2690" s="5">
        <v>23</v>
      </c>
      <c r="H2690" s="5">
        <v>12.07</v>
      </c>
      <c r="I2690" s="5">
        <v>240.9</v>
      </c>
      <c r="K2690" s="5">
        <v>2.1000000000000001E-2</v>
      </c>
      <c r="L2690" s="5">
        <v>2.2200000000000001E-2</v>
      </c>
      <c r="M2690" s="5">
        <v>207.5</v>
      </c>
      <c r="N2690" s="6">
        <v>5.9900000000000002E-2</v>
      </c>
      <c r="O2690" s="5">
        <v>0.72899999999999998</v>
      </c>
      <c r="P2690" s="6">
        <v>0.42899999999999999</v>
      </c>
      <c r="Q2690" s="5">
        <v>3486</v>
      </c>
      <c r="R2690" s="1" t="s">
        <v>44</v>
      </c>
      <c r="S2690" s="1" t="s">
        <v>94</v>
      </c>
      <c r="T2690" s="1" t="s">
        <v>93</v>
      </c>
      <c r="Y2690" s="1" t="s">
        <v>6190</v>
      </c>
      <c r="Z2690" s="1" t="str">
        <f t="shared" si="123"/>
        <v>55243 CT2-3A</v>
      </c>
      <c r="AA2690" s="3">
        <f>IF(INDEX('CAMD Facility Data 2023'!$AA$2:$AE$10000,MATCH(Z2690,'CAMD Facility Data 2023'!$AE$2:$AE$10000,0),1)&gt;0,INDEX('CAMD Facility Data 2023'!$AA$2:$AE$10000,MATCH(Z2690,'CAMD Facility Data 2023'!$AE$2:$AE$10000,0),1),"")</f>
        <v>25720</v>
      </c>
      <c r="AB2690" s="5">
        <f>IF(INDEX('CAMD Facility Data 2023'!$AC$2:$AE$10000,MATCH(Z2690,'CAMD Facility Data 2023'!$AE$2:$AE$10000,0),1)&gt;0,INDEX('CAMD Facility Data 2023'!$AC$2:$AE$10000,MATCH(Z2690,'CAMD Facility Data 2023'!$AE$2:$AE$10000,0),1),"")</f>
        <v>255</v>
      </c>
      <c r="AC2690" s="1" t="str">
        <f>IF(INDEX('CAMD Facility Data 2023'!$AE$2:$AG$10000,MATCH(Z2690,'CAMD Facility Data 2023'!$AE$2:$AE$10000,0),3)&gt;0,INDEX('CAMD Facility Data 2023'!$AE$2:$AG$10000,MATCH(Z2690,'CAMD Facility Data 2023'!$AE$2:$AE$10000,0),3),"")</f>
        <v/>
      </c>
      <c r="AD2690" s="20">
        <f t="shared" si="124"/>
        <v>6.0523038605230388</v>
      </c>
      <c r="AE2690" s="25">
        <f t="shared" si="125"/>
        <v>1.5605694332527531E-3</v>
      </c>
    </row>
    <row r="2691" spans="1:31" x14ac:dyDescent="0.2">
      <c r="A2691" s="1" t="s">
        <v>2089</v>
      </c>
      <c r="B2691" s="1" t="s">
        <v>6187</v>
      </c>
      <c r="C2691" s="1">
        <v>55243</v>
      </c>
      <c r="D2691" s="1" t="s">
        <v>6201</v>
      </c>
      <c r="E2691" s="1" t="s">
        <v>6189</v>
      </c>
      <c r="F2691" s="1">
        <v>2023</v>
      </c>
      <c r="G2691" s="5">
        <v>23</v>
      </c>
      <c r="H2691" s="5">
        <v>12.07</v>
      </c>
      <c r="I2691" s="5">
        <v>240.9</v>
      </c>
      <c r="K2691" s="5">
        <v>2.1000000000000001E-2</v>
      </c>
      <c r="L2691" s="5">
        <v>2.2200000000000001E-2</v>
      </c>
      <c r="M2691" s="5">
        <v>207.5</v>
      </c>
      <c r="N2691" s="6">
        <v>5.9900000000000002E-2</v>
      </c>
      <c r="O2691" s="5">
        <v>0.70899999999999996</v>
      </c>
      <c r="P2691" s="6">
        <v>0.41899999999999998</v>
      </c>
      <c r="Q2691" s="5">
        <v>3486</v>
      </c>
      <c r="R2691" s="1" t="s">
        <v>44</v>
      </c>
      <c r="S2691" s="1" t="s">
        <v>94</v>
      </c>
      <c r="T2691" s="1" t="s">
        <v>93</v>
      </c>
      <c r="Y2691" s="1" t="s">
        <v>6190</v>
      </c>
      <c r="Z2691" s="1" t="str">
        <f t="shared" ref="Z2691:Z2754" si="126">C2691&amp;" "&amp;D2691</f>
        <v>55243 CT2-3B</v>
      </c>
      <c r="AA2691" s="3">
        <f>IF(INDEX('CAMD Facility Data 2023'!$AA$2:$AE$10000,MATCH(Z2691,'CAMD Facility Data 2023'!$AE$2:$AE$10000,0),1)&gt;0,INDEX('CAMD Facility Data 2023'!$AA$2:$AE$10000,MATCH(Z2691,'CAMD Facility Data 2023'!$AE$2:$AE$10000,0),1),"")</f>
        <v>25720</v>
      </c>
      <c r="AB2691" s="5">
        <f>IF(INDEX('CAMD Facility Data 2023'!$AC$2:$AE$10000,MATCH(Z2691,'CAMD Facility Data 2023'!$AE$2:$AE$10000,0),1)&gt;0,INDEX('CAMD Facility Data 2023'!$AC$2:$AE$10000,MATCH(Z2691,'CAMD Facility Data 2023'!$AE$2:$AE$10000,0),1),"")</f>
        <v>255</v>
      </c>
      <c r="AC2691" s="1" t="str">
        <f>IF(INDEX('CAMD Facility Data 2023'!$AE$2:$AG$10000,MATCH(Z2691,'CAMD Facility Data 2023'!$AE$2:$AE$10000,0),3)&gt;0,INDEX('CAMD Facility Data 2023'!$AE$2:$AG$10000,MATCH(Z2691,'CAMD Facility Data 2023'!$AE$2:$AE$10000,0),3),"")</f>
        <v/>
      </c>
      <c r="AD2691" s="20">
        <f t="shared" ref="AD2691:AD2754" si="127">IF(ISNUMBER(O2691*2000/I2691),O2691*2000/I2691,"")</f>
        <v>5.8862598588625987</v>
      </c>
      <c r="AE2691" s="25">
        <f t="shared" ref="AE2691:AE2754" si="128">Q2691/(AB2691*8760)</f>
        <v>1.5605694332527531E-3</v>
      </c>
    </row>
    <row r="2692" spans="1:31" x14ac:dyDescent="0.2">
      <c r="A2692" s="1" t="s">
        <v>2089</v>
      </c>
      <c r="B2692" s="1" t="s">
        <v>6187</v>
      </c>
      <c r="C2692" s="1">
        <v>55243</v>
      </c>
      <c r="D2692" s="1" t="s">
        <v>6202</v>
      </c>
      <c r="E2692" s="1" t="s">
        <v>6189</v>
      </c>
      <c r="F2692" s="1">
        <v>2023</v>
      </c>
      <c r="G2692" s="5">
        <v>24</v>
      </c>
      <c r="H2692" s="5">
        <v>11.99</v>
      </c>
      <c r="I2692" s="5">
        <v>239</v>
      </c>
      <c r="K2692" s="5">
        <v>3.2000000000000001E-2</v>
      </c>
      <c r="L2692" s="5">
        <v>2.1299999999999999E-2</v>
      </c>
      <c r="M2692" s="5">
        <v>207</v>
      </c>
      <c r="N2692" s="6">
        <v>6.0100000000000001E-2</v>
      </c>
      <c r="O2692" s="5">
        <v>0.73499999999999999</v>
      </c>
      <c r="P2692" s="6">
        <v>0.42799999999999999</v>
      </c>
      <c r="Q2692" s="5">
        <v>3461.3</v>
      </c>
      <c r="R2692" s="1" t="s">
        <v>44</v>
      </c>
      <c r="S2692" s="1" t="s">
        <v>94</v>
      </c>
      <c r="T2692" s="1" t="s">
        <v>93</v>
      </c>
      <c r="Y2692" s="1" t="s">
        <v>6190</v>
      </c>
      <c r="Z2692" s="1" t="str">
        <f t="shared" si="126"/>
        <v>55243 CT2-4A</v>
      </c>
      <c r="AA2692" s="3">
        <f>IF(INDEX('CAMD Facility Data 2023'!$AA$2:$AE$10000,MATCH(Z2692,'CAMD Facility Data 2023'!$AE$2:$AE$10000,0),1)&gt;0,INDEX('CAMD Facility Data 2023'!$AA$2:$AE$10000,MATCH(Z2692,'CAMD Facility Data 2023'!$AE$2:$AE$10000,0),1),"")</f>
        <v>25720</v>
      </c>
      <c r="AB2692" s="5">
        <f>IF(INDEX('CAMD Facility Data 2023'!$AC$2:$AE$10000,MATCH(Z2692,'CAMD Facility Data 2023'!$AE$2:$AE$10000,0),1)&gt;0,INDEX('CAMD Facility Data 2023'!$AC$2:$AE$10000,MATCH(Z2692,'CAMD Facility Data 2023'!$AE$2:$AE$10000,0),1),"")</f>
        <v>255</v>
      </c>
      <c r="AC2692" s="1" t="str">
        <f>IF(INDEX('CAMD Facility Data 2023'!$AE$2:$AG$10000,MATCH(Z2692,'CAMD Facility Data 2023'!$AE$2:$AE$10000,0),3)&gt;0,INDEX('CAMD Facility Data 2023'!$AE$2:$AG$10000,MATCH(Z2692,'CAMD Facility Data 2023'!$AE$2:$AE$10000,0),3),"")</f>
        <v/>
      </c>
      <c r="AD2692" s="20">
        <f t="shared" si="127"/>
        <v>6.1506276150627617</v>
      </c>
      <c r="AE2692" s="25">
        <f t="shared" si="128"/>
        <v>1.5495120422598263E-3</v>
      </c>
    </row>
    <row r="2693" spans="1:31" x14ac:dyDescent="0.2">
      <c r="A2693" s="1" t="s">
        <v>2089</v>
      </c>
      <c r="B2693" s="1" t="s">
        <v>6187</v>
      </c>
      <c r="C2693" s="1">
        <v>55243</v>
      </c>
      <c r="D2693" s="1" t="s">
        <v>6204</v>
      </c>
      <c r="E2693" s="1" t="s">
        <v>6189</v>
      </c>
      <c r="F2693" s="1">
        <v>2023</v>
      </c>
      <c r="G2693" s="5">
        <v>24</v>
      </c>
      <c r="H2693" s="5">
        <v>11.99</v>
      </c>
      <c r="I2693" s="5">
        <v>239</v>
      </c>
      <c r="K2693" s="5">
        <v>3.2000000000000001E-2</v>
      </c>
      <c r="L2693" s="5">
        <v>2.1299999999999999E-2</v>
      </c>
      <c r="M2693" s="5">
        <v>207</v>
      </c>
      <c r="N2693" s="6">
        <v>6.0100000000000001E-2</v>
      </c>
      <c r="O2693" s="5">
        <v>0.71699999999999997</v>
      </c>
      <c r="P2693" s="6">
        <v>0.41770000000000002</v>
      </c>
      <c r="Q2693" s="5">
        <v>3461.3</v>
      </c>
      <c r="R2693" s="1" t="s">
        <v>44</v>
      </c>
      <c r="S2693" s="1" t="s">
        <v>94</v>
      </c>
      <c r="T2693" s="1" t="s">
        <v>93</v>
      </c>
      <c r="Y2693" s="1" t="s">
        <v>6190</v>
      </c>
      <c r="Z2693" s="1" t="str">
        <f t="shared" si="126"/>
        <v>55243 CT2-4B</v>
      </c>
      <c r="AA2693" s="3">
        <f>IF(INDEX('CAMD Facility Data 2023'!$AA$2:$AE$10000,MATCH(Z2693,'CAMD Facility Data 2023'!$AE$2:$AE$10000,0),1)&gt;0,INDEX('CAMD Facility Data 2023'!$AA$2:$AE$10000,MATCH(Z2693,'CAMD Facility Data 2023'!$AE$2:$AE$10000,0),1),"")</f>
        <v>25720</v>
      </c>
      <c r="AB2693" s="5">
        <f>IF(INDEX('CAMD Facility Data 2023'!$AC$2:$AE$10000,MATCH(Z2693,'CAMD Facility Data 2023'!$AE$2:$AE$10000,0),1)&gt;0,INDEX('CAMD Facility Data 2023'!$AC$2:$AE$10000,MATCH(Z2693,'CAMD Facility Data 2023'!$AE$2:$AE$10000,0),1),"")</f>
        <v>255</v>
      </c>
      <c r="AC2693" s="1" t="str">
        <f>IF(INDEX('CAMD Facility Data 2023'!$AE$2:$AG$10000,MATCH(Z2693,'CAMD Facility Data 2023'!$AE$2:$AE$10000,0),3)&gt;0,INDEX('CAMD Facility Data 2023'!$AE$2:$AG$10000,MATCH(Z2693,'CAMD Facility Data 2023'!$AE$2:$AE$10000,0),3),"")</f>
        <v/>
      </c>
      <c r="AD2693" s="20">
        <f t="shared" si="127"/>
        <v>6</v>
      </c>
      <c r="AE2693" s="25">
        <f t="shared" si="128"/>
        <v>1.5495120422598263E-3</v>
      </c>
    </row>
    <row r="2694" spans="1:31" x14ac:dyDescent="0.2">
      <c r="A2694" s="1" t="s">
        <v>2089</v>
      </c>
      <c r="B2694" s="1" t="s">
        <v>6187</v>
      </c>
      <c r="C2694" s="1">
        <v>55243</v>
      </c>
      <c r="D2694" s="1" t="s">
        <v>6205</v>
      </c>
      <c r="E2694" s="1" t="s">
        <v>6206</v>
      </c>
      <c r="F2694" s="1">
        <v>2023</v>
      </c>
      <c r="G2694" s="5">
        <v>8</v>
      </c>
      <c r="H2694" s="5">
        <v>2.96</v>
      </c>
      <c r="I2694" s="5">
        <v>58.5</v>
      </c>
      <c r="K2694" s="5">
        <v>1.7999999999999999E-2</v>
      </c>
      <c r="L2694" s="5">
        <v>6.3E-2</v>
      </c>
      <c r="M2694" s="5">
        <v>56</v>
      </c>
      <c r="N2694" s="6">
        <v>6.2100000000000002E-2</v>
      </c>
      <c r="O2694" s="5">
        <v>0.20599999999999999</v>
      </c>
      <c r="P2694" s="6">
        <v>0.47139999999999999</v>
      </c>
      <c r="Q2694" s="5">
        <v>923.8</v>
      </c>
      <c r="R2694" s="1" t="s">
        <v>44</v>
      </c>
      <c r="S2694" s="1" t="s">
        <v>94</v>
      </c>
      <c r="T2694" s="1" t="s">
        <v>93</v>
      </c>
      <c r="Y2694" s="1" t="s">
        <v>6190</v>
      </c>
      <c r="Z2694" s="1" t="str">
        <f t="shared" si="126"/>
        <v>55243 CT3-1A</v>
      </c>
      <c r="AA2694" s="3">
        <f>IF(INDEX('CAMD Facility Data 2023'!$AA$2:$AE$10000,MATCH(Z2694,'CAMD Facility Data 2023'!$AE$2:$AE$10000,0),1)&gt;0,INDEX('CAMD Facility Data 2023'!$AA$2:$AE$10000,MATCH(Z2694,'CAMD Facility Data 2023'!$AE$2:$AE$10000,0),1),"")</f>
        <v>25720</v>
      </c>
      <c r="AB2694" s="5">
        <f>IF(INDEX('CAMD Facility Data 2023'!$AC$2:$AE$10000,MATCH(Z2694,'CAMD Facility Data 2023'!$AE$2:$AE$10000,0),1)&gt;0,INDEX('CAMD Facility Data 2023'!$AC$2:$AE$10000,MATCH(Z2694,'CAMD Facility Data 2023'!$AE$2:$AE$10000,0),1),"")</f>
        <v>255</v>
      </c>
      <c r="AC2694" s="1" t="str">
        <f>IF(INDEX('CAMD Facility Data 2023'!$AE$2:$AG$10000,MATCH(Z2694,'CAMD Facility Data 2023'!$AE$2:$AE$10000,0),3)&gt;0,INDEX('CAMD Facility Data 2023'!$AE$2:$AG$10000,MATCH(Z2694,'CAMD Facility Data 2023'!$AE$2:$AE$10000,0),3),"")</f>
        <v/>
      </c>
      <c r="AD2694" s="20">
        <f t="shared" si="127"/>
        <v>7.0427350427350426</v>
      </c>
      <c r="AE2694" s="25">
        <f t="shared" si="128"/>
        <v>4.1355537648849491E-4</v>
      </c>
    </row>
    <row r="2695" spans="1:31" x14ac:dyDescent="0.2">
      <c r="A2695" s="1" t="s">
        <v>2089</v>
      </c>
      <c r="B2695" s="1" t="s">
        <v>6187</v>
      </c>
      <c r="C2695" s="1">
        <v>55243</v>
      </c>
      <c r="D2695" s="1" t="s">
        <v>6208</v>
      </c>
      <c r="E2695" s="1" t="s">
        <v>6206</v>
      </c>
      <c r="F2695" s="1">
        <v>2023</v>
      </c>
      <c r="G2695" s="5">
        <v>8</v>
      </c>
      <c r="H2695" s="5">
        <v>2.96</v>
      </c>
      <c r="I2695" s="5">
        <v>58.5</v>
      </c>
      <c r="K2695" s="5">
        <v>1.7999999999999999E-2</v>
      </c>
      <c r="L2695" s="5">
        <v>6.3E-2</v>
      </c>
      <c r="M2695" s="5">
        <v>56</v>
      </c>
      <c r="N2695" s="6">
        <v>6.2100000000000002E-2</v>
      </c>
      <c r="O2695" s="5">
        <v>0.20300000000000001</v>
      </c>
      <c r="P2695" s="6">
        <v>0.46800000000000003</v>
      </c>
      <c r="Q2695" s="5">
        <v>923.8</v>
      </c>
      <c r="R2695" s="1" t="s">
        <v>44</v>
      </c>
      <c r="S2695" s="1" t="s">
        <v>94</v>
      </c>
      <c r="T2695" s="1" t="s">
        <v>93</v>
      </c>
      <c r="Y2695" s="1" t="s">
        <v>6190</v>
      </c>
      <c r="Z2695" s="1" t="str">
        <f t="shared" si="126"/>
        <v>55243 CT3-1B</v>
      </c>
      <c r="AA2695" s="3">
        <f>IF(INDEX('CAMD Facility Data 2023'!$AA$2:$AE$10000,MATCH(Z2695,'CAMD Facility Data 2023'!$AE$2:$AE$10000,0),1)&gt;0,INDEX('CAMD Facility Data 2023'!$AA$2:$AE$10000,MATCH(Z2695,'CAMD Facility Data 2023'!$AE$2:$AE$10000,0),1),"")</f>
        <v>25720</v>
      </c>
      <c r="AB2695" s="5">
        <f>IF(INDEX('CAMD Facility Data 2023'!$AC$2:$AE$10000,MATCH(Z2695,'CAMD Facility Data 2023'!$AE$2:$AE$10000,0),1)&gt;0,INDEX('CAMD Facility Data 2023'!$AC$2:$AE$10000,MATCH(Z2695,'CAMD Facility Data 2023'!$AE$2:$AE$10000,0),1),"")</f>
        <v>255</v>
      </c>
      <c r="AC2695" s="1" t="str">
        <f>IF(INDEX('CAMD Facility Data 2023'!$AE$2:$AG$10000,MATCH(Z2695,'CAMD Facility Data 2023'!$AE$2:$AE$10000,0),3)&gt;0,INDEX('CAMD Facility Data 2023'!$AE$2:$AG$10000,MATCH(Z2695,'CAMD Facility Data 2023'!$AE$2:$AE$10000,0),3),"")</f>
        <v/>
      </c>
      <c r="AD2695" s="20">
        <f t="shared" si="127"/>
        <v>6.9401709401709404</v>
      </c>
      <c r="AE2695" s="25">
        <f t="shared" si="128"/>
        <v>4.1355537648849491E-4</v>
      </c>
    </row>
    <row r="2696" spans="1:31" x14ac:dyDescent="0.2">
      <c r="A2696" s="1" t="s">
        <v>2089</v>
      </c>
      <c r="B2696" s="1" t="s">
        <v>6187</v>
      </c>
      <c r="C2696" s="1">
        <v>55243</v>
      </c>
      <c r="D2696" s="1" t="s">
        <v>6209</v>
      </c>
      <c r="E2696" s="1" t="s">
        <v>6206</v>
      </c>
      <c r="F2696" s="1">
        <v>2023</v>
      </c>
      <c r="G2696" s="5">
        <v>17</v>
      </c>
      <c r="H2696" s="5">
        <v>6.86</v>
      </c>
      <c r="I2696" s="5">
        <v>136.5</v>
      </c>
      <c r="K2696" s="5">
        <v>0.14899999999999999</v>
      </c>
      <c r="L2696" s="5">
        <v>8.8499999999999995E-2</v>
      </c>
      <c r="M2696" s="5">
        <v>137.6</v>
      </c>
      <c r="N2696" s="6">
        <v>6.3100000000000003E-2</v>
      </c>
      <c r="O2696" s="5">
        <v>0.57899999999999996</v>
      </c>
      <c r="P2696" s="6">
        <v>0.49630000000000002</v>
      </c>
      <c r="Q2696" s="5">
        <v>2109.4</v>
      </c>
      <c r="R2696" s="1" t="s">
        <v>44</v>
      </c>
      <c r="S2696" s="1" t="s">
        <v>94</v>
      </c>
      <c r="T2696" s="1" t="s">
        <v>93</v>
      </c>
      <c r="Y2696" s="1" t="s">
        <v>6190</v>
      </c>
      <c r="Z2696" s="1" t="str">
        <f t="shared" si="126"/>
        <v>55243 CT3-2A</v>
      </c>
      <c r="AA2696" s="3">
        <f>IF(INDEX('CAMD Facility Data 2023'!$AA$2:$AE$10000,MATCH(Z2696,'CAMD Facility Data 2023'!$AE$2:$AE$10000,0),1)&gt;0,INDEX('CAMD Facility Data 2023'!$AA$2:$AE$10000,MATCH(Z2696,'CAMD Facility Data 2023'!$AE$2:$AE$10000,0),1),"")</f>
        <v>25720</v>
      </c>
      <c r="AB2696" s="5">
        <f>IF(INDEX('CAMD Facility Data 2023'!$AC$2:$AE$10000,MATCH(Z2696,'CAMD Facility Data 2023'!$AE$2:$AE$10000,0),1)&gt;0,INDEX('CAMD Facility Data 2023'!$AC$2:$AE$10000,MATCH(Z2696,'CAMD Facility Data 2023'!$AE$2:$AE$10000,0),1),"")</f>
        <v>255</v>
      </c>
      <c r="AC2696" s="1" t="str">
        <f>IF(INDEX('CAMD Facility Data 2023'!$AE$2:$AG$10000,MATCH(Z2696,'CAMD Facility Data 2023'!$AE$2:$AE$10000,0),3)&gt;0,INDEX('CAMD Facility Data 2023'!$AE$2:$AG$10000,MATCH(Z2696,'CAMD Facility Data 2023'!$AE$2:$AE$10000,0),3),"")</f>
        <v/>
      </c>
      <c r="AD2696" s="20">
        <f t="shared" si="127"/>
        <v>8.4835164835164836</v>
      </c>
      <c r="AE2696" s="25">
        <f t="shared" si="128"/>
        <v>9.4431014414898384E-4</v>
      </c>
    </row>
    <row r="2697" spans="1:31" x14ac:dyDescent="0.2">
      <c r="A2697" s="1" t="s">
        <v>2089</v>
      </c>
      <c r="B2697" s="1" t="s">
        <v>6187</v>
      </c>
      <c r="C2697" s="1">
        <v>55243</v>
      </c>
      <c r="D2697" s="1" t="s">
        <v>6211</v>
      </c>
      <c r="E2697" s="1" t="s">
        <v>6206</v>
      </c>
      <c r="F2697" s="1">
        <v>2023</v>
      </c>
      <c r="G2697" s="5">
        <v>17</v>
      </c>
      <c r="H2697" s="5">
        <v>6.86</v>
      </c>
      <c r="I2697" s="5">
        <v>136.5</v>
      </c>
      <c r="K2697" s="5">
        <v>0.14899999999999999</v>
      </c>
      <c r="L2697" s="5">
        <v>8.8499999999999995E-2</v>
      </c>
      <c r="M2697" s="5">
        <v>137.6</v>
      </c>
      <c r="N2697" s="6">
        <v>6.3100000000000003E-2</v>
      </c>
      <c r="O2697" s="5">
        <v>0.59099999999999997</v>
      </c>
      <c r="P2697" s="6">
        <v>0.4985</v>
      </c>
      <c r="Q2697" s="5">
        <v>2109.4</v>
      </c>
      <c r="R2697" s="1" t="s">
        <v>44</v>
      </c>
      <c r="S2697" s="1" t="s">
        <v>94</v>
      </c>
      <c r="T2697" s="1" t="s">
        <v>93</v>
      </c>
      <c r="Y2697" s="1" t="s">
        <v>6190</v>
      </c>
      <c r="Z2697" s="1" t="str">
        <f t="shared" si="126"/>
        <v>55243 CT3-2B</v>
      </c>
      <c r="AA2697" s="3">
        <f>IF(INDEX('CAMD Facility Data 2023'!$AA$2:$AE$10000,MATCH(Z2697,'CAMD Facility Data 2023'!$AE$2:$AE$10000,0),1)&gt;0,INDEX('CAMD Facility Data 2023'!$AA$2:$AE$10000,MATCH(Z2697,'CAMD Facility Data 2023'!$AE$2:$AE$10000,0),1),"")</f>
        <v>25720</v>
      </c>
      <c r="AB2697" s="5">
        <f>IF(INDEX('CAMD Facility Data 2023'!$AC$2:$AE$10000,MATCH(Z2697,'CAMD Facility Data 2023'!$AE$2:$AE$10000,0),1)&gt;0,INDEX('CAMD Facility Data 2023'!$AC$2:$AE$10000,MATCH(Z2697,'CAMD Facility Data 2023'!$AE$2:$AE$10000,0),1),"")</f>
        <v>255</v>
      </c>
      <c r="AC2697" s="1" t="str">
        <f>IF(INDEX('CAMD Facility Data 2023'!$AE$2:$AG$10000,MATCH(Z2697,'CAMD Facility Data 2023'!$AE$2:$AE$10000,0),3)&gt;0,INDEX('CAMD Facility Data 2023'!$AE$2:$AG$10000,MATCH(Z2697,'CAMD Facility Data 2023'!$AE$2:$AE$10000,0),3),"")</f>
        <v/>
      </c>
      <c r="AD2697" s="20">
        <f t="shared" si="127"/>
        <v>8.6593406593406588</v>
      </c>
      <c r="AE2697" s="25">
        <f t="shared" si="128"/>
        <v>9.4431014414898384E-4</v>
      </c>
    </row>
    <row r="2698" spans="1:31" x14ac:dyDescent="0.2">
      <c r="A2698" s="1" t="s">
        <v>2089</v>
      </c>
      <c r="B2698" s="1" t="s">
        <v>6187</v>
      </c>
      <c r="C2698" s="1">
        <v>55243</v>
      </c>
      <c r="D2698" s="1" t="s">
        <v>6212</v>
      </c>
      <c r="E2698" s="1" t="s">
        <v>6206</v>
      </c>
      <c r="F2698" s="1">
        <v>2023</v>
      </c>
      <c r="G2698" s="5">
        <v>28</v>
      </c>
      <c r="H2698" s="5">
        <v>14.57</v>
      </c>
      <c r="I2698" s="5">
        <v>291.05</v>
      </c>
      <c r="K2698" s="5">
        <v>1.7000000000000001E-2</v>
      </c>
      <c r="L2698" s="5">
        <v>3.6299999999999999E-2</v>
      </c>
      <c r="M2698" s="5">
        <v>261.2</v>
      </c>
      <c r="N2698" s="6">
        <v>6.0600000000000001E-2</v>
      </c>
      <c r="O2698" s="5">
        <v>0.86199999999999999</v>
      </c>
      <c r="P2698" s="6">
        <v>0.42109999999999997</v>
      </c>
      <c r="Q2698" s="5">
        <v>4403.8999999999996</v>
      </c>
      <c r="R2698" s="1" t="s">
        <v>44</v>
      </c>
      <c r="S2698" s="1" t="s">
        <v>94</v>
      </c>
      <c r="T2698" s="1" t="s">
        <v>93</v>
      </c>
      <c r="Y2698" s="1" t="s">
        <v>6190</v>
      </c>
      <c r="Z2698" s="1" t="str">
        <f t="shared" si="126"/>
        <v>55243 CT3-3A</v>
      </c>
      <c r="AA2698" s="3">
        <f>IF(INDEX('CAMD Facility Data 2023'!$AA$2:$AE$10000,MATCH(Z2698,'CAMD Facility Data 2023'!$AE$2:$AE$10000,0),1)&gt;0,INDEX('CAMD Facility Data 2023'!$AA$2:$AE$10000,MATCH(Z2698,'CAMD Facility Data 2023'!$AE$2:$AE$10000,0),1),"")</f>
        <v>25720</v>
      </c>
      <c r="AB2698" s="5">
        <f>IF(INDEX('CAMD Facility Data 2023'!$AC$2:$AE$10000,MATCH(Z2698,'CAMD Facility Data 2023'!$AE$2:$AE$10000,0),1)&gt;0,INDEX('CAMD Facility Data 2023'!$AC$2:$AE$10000,MATCH(Z2698,'CAMD Facility Data 2023'!$AE$2:$AE$10000,0),1),"")</f>
        <v>255</v>
      </c>
      <c r="AC2698" s="1" t="str">
        <f>IF(INDEX('CAMD Facility Data 2023'!$AE$2:$AG$10000,MATCH(Z2698,'CAMD Facility Data 2023'!$AE$2:$AE$10000,0),3)&gt;0,INDEX('CAMD Facility Data 2023'!$AE$2:$AG$10000,MATCH(Z2698,'CAMD Facility Data 2023'!$AE$2:$AE$10000,0),3),"")</f>
        <v/>
      </c>
      <c r="AD2698" s="20">
        <f t="shared" si="127"/>
        <v>5.9233808623947777</v>
      </c>
      <c r="AE2698" s="25">
        <f t="shared" si="128"/>
        <v>1.9714835705971884E-3</v>
      </c>
    </row>
    <row r="2699" spans="1:31" x14ac:dyDescent="0.2">
      <c r="A2699" s="1" t="s">
        <v>2089</v>
      </c>
      <c r="B2699" s="1" t="s">
        <v>6187</v>
      </c>
      <c r="C2699" s="1">
        <v>55243</v>
      </c>
      <c r="D2699" s="1" t="s">
        <v>6214</v>
      </c>
      <c r="E2699" s="1" t="s">
        <v>6206</v>
      </c>
      <c r="F2699" s="1">
        <v>2023</v>
      </c>
      <c r="G2699" s="5">
        <v>28</v>
      </c>
      <c r="H2699" s="5">
        <v>14.57</v>
      </c>
      <c r="I2699" s="5">
        <v>291.05</v>
      </c>
      <c r="K2699" s="5">
        <v>1.7000000000000001E-2</v>
      </c>
      <c r="L2699" s="5">
        <v>3.6299999999999999E-2</v>
      </c>
      <c r="M2699" s="5">
        <v>261.2</v>
      </c>
      <c r="N2699" s="6">
        <v>6.0600000000000001E-2</v>
      </c>
      <c r="O2699" s="5">
        <v>0.81</v>
      </c>
      <c r="P2699" s="6">
        <v>0.40150000000000002</v>
      </c>
      <c r="Q2699" s="5">
        <v>4403.8999999999996</v>
      </c>
      <c r="R2699" s="1" t="s">
        <v>44</v>
      </c>
      <c r="S2699" s="1" t="s">
        <v>94</v>
      </c>
      <c r="T2699" s="1" t="s">
        <v>93</v>
      </c>
      <c r="Y2699" s="1" t="s">
        <v>6190</v>
      </c>
      <c r="Z2699" s="1" t="str">
        <f t="shared" si="126"/>
        <v>55243 CT3-3B</v>
      </c>
      <c r="AA2699" s="3">
        <f>IF(INDEX('CAMD Facility Data 2023'!$AA$2:$AE$10000,MATCH(Z2699,'CAMD Facility Data 2023'!$AE$2:$AE$10000,0),1)&gt;0,INDEX('CAMD Facility Data 2023'!$AA$2:$AE$10000,MATCH(Z2699,'CAMD Facility Data 2023'!$AE$2:$AE$10000,0),1),"")</f>
        <v>25720</v>
      </c>
      <c r="AB2699" s="5">
        <f>IF(INDEX('CAMD Facility Data 2023'!$AC$2:$AE$10000,MATCH(Z2699,'CAMD Facility Data 2023'!$AE$2:$AE$10000,0),1)&gt;0,INDEX('CAMD Facility Data 2023'!$AC$2:$AE$10000,MATCH(Z2699,'CAMD Facility Data 2023'!$AE$2:$AE$10000,0),1),"")</f>
        <v>255</v>
      </c>
      <c r="AC2699" s="1" t="str">
        <f>IF(INDEX('CAMD Facility Data 2023'!$AE$2:$AG$10000,MATCH(Z2699,'CAMD Facility Data 2023'!$AE$2:$AE$10000,0),3)&gt;0,INDEX('CAMD Facility Data 2023'!$AE$2:$AG$10000,MATCH(Z2699,'CAMD Facility Data 2023'!$AE$2:$AE$10000,0),3),"")</f>
        <v/>
      </c>
      <c r="AD2699" s="20">
        <f t="shared" si="127"/>
        <v>5.5660539426215427</v>
      </c>
      <c r="AE2699" s="25">
        <f t="shared" si="128"/>
        <v>1.9714835705971884E-3</v>
      </c>
    </row>
    <row r="2700" spans="1:31" x14ac:dyDescent="0.2">
      <c r="A2700" s="1" t="s">
        <v>2089</v>
      </c>
      <c r="B2700" s="1" t="s">
        <v>6187</v>
      </c>
      <c r="C2700" s="1">
        <v>55243</v>
      </c>
      <c r="D2700" s="1" t="s">
        <v>6215</v>
      </c>
      <c r="E2700" s="1" t="s">
        <v>6206</v>
      </c>
      <c r="F2700" s="1">
        <v>2023</v>
      </c>
      <c r="G2700" s="5">
        <v>18</v>
      </c>
      <c r="H2700" s="5">
        <v>9.65</v>
      </c>
      <c r="I2700" s="5">
        <v>192.5</v>
      </c>
      <c r="K2700" s="5">
        <v>1.6E-2</v>
      </c>
      <c r="L2700" s="5">
        <v>2.8199999999999999E-2</v>
      </c>
      <c r="M2700" s="5">
        <v>175</v>
      </c>
      <c r="N2700" s="6">
        <v>6.0400000000000002E-2</v>
      </c>
      <c r="O2700" s="5">
        <v>0.60299999999999998</v>
      </c>
      <c r="P2700" s="6">
        <v>0.42749999999999999</v>
      </c>
      <c r="Q2700" s="5">
        <v>2943.3</v>
      </c>
      <c r="R2700" s="1" t="s">
        <v>44</v>
      </c>
      <c r="S2700" s="1" t="s">
        <v>94</v>
      </c>
      <c r="T2700" s="1" t="s">
        <v>93</v>
      </c>
      <c r="Y2700" s="1" t="s">
        <v>6190</v>
      </c>
      <c r="Z2700" s="1" t="str">
        <f t="shared" si="126"/>
        <v>55243 CT3-4A</v>
      </c>
      <c r="AA2700" s="3">
        <f>IF(INDEX('CAMD Facility Data 2023'!$AA$2:$AE$10000,MATCH(Z2700,'CAMD Facility Data 2023'!$AE$2:$AE$10000,0),1)&gt;0,INDEX('CAMD Facility Data 2023'!$AA$2:$AE$10000,MATCH(Z2700,'CAMD Facility Data 2023'!$AE$2:$AE$10000,0),1),"")</f>
        <v>25720</v>
      </c>
      <c r="AB2700" s="5">
        <f>IF(INDEX('CAMD Facility Data 2023'!$AC$2:$AE$10000,MATCH(Z2700,'CAMD Facility Data 2023'!$AE$2:$AE$10000,0),1)&gt;0,INDEX('CAMD Facility Data 2023'!$AC$2:$AE$10000,MATCH(Z2700,'CAMD Facility Data 2023'!$AE$2:$AE$10000,0),1),"")</f>
        <v>255</v>
      </c>
      <c r="AC2700" s="1" t="str">
        <f>IF(INDEX('CAMD Facility Data 2023'!$AE$2:$AG$10000,MATCH(Z2700,'CAMD Facility Data 2023'!$AE$2:$AE$10000,0),3)&gt;0,INDEX('CAMD Facility Data 2023'!$AE$2:$AG$10000,MATCH(Z2700,'CAMD Facility Data 2023'!$AE$2:$AE$10000,0),3),"")</f>
        <v/>
      </c>
      <c r="AD2700" s="20">
        <f t="shared" si="127"/>
        <v>6.2649350649350648</v>
      </c>
      <c r="AE2700" s="25">
        <f t="shared" si="128"/>
        <v>1.3176201987644375E-3</v>
      </c>
    </row>
    <row r="2701" spans="1:31" x14ac:dyDescent="0.2">
      <c r="A2701" s="1" t="s">
        <v>2089</v>
      </c>
      <c r="B2701" s="1" t="s">
        <v>6187</v>
      </c>
      <c r="C2701" s="1">
        <v>55243</v>
      </c>
      <c r="D2701" s="1" t="s">
        <v>6217</v>
      </c>
      <c r="E2701" s="1" t="s">
        <v>6206</v>
      </c>
      <c r="F2701" s="1">
        <v>2023</v>
      </c>
      <c r="G2701" s="5">
        <v>18</v>
      </c>
      <c r="H2701" s="5">
        <v>9.65</v>
      </c>
      <c r="I2701" s="5">
        <v>192.5</v>
      </c>
      <c r="K2701" s="5">
        <v>1.6E-2</v>
      </c>
      <c r="L2701" s="5">
        <v>2.8199999999999999E-2</v>
      </c>
      <c r="M2701" s="5">
        <v>175</v>
      </c>
      <c r="N2701" s="6">
        <v>6.0400000000000002E-2</v>
      </c>
      <c r="O2701" s="5">
        <v>0.59499999999999997</v>
      </c>
      <c r="P2701" s="6">
        <v>0.42520000000000002</v>
      </c>
      <c r="Q2701" s="5">
        <v>2943.3</v>
      </c>
      <c r="R2701" s="1" t="s">
        <v>44</v>
      </c>
      <c r="S2701" s="1" t="s">
        <v>94</v>
      </c>
      <c r="T2701" s="1" t="s">
        <v>93</v>
      </c>
      <c r="Y2701" s="1" t="s">
        <v>6190</v>
      </c>
      <c r="Z2701" s="1" t="str">
        <f t="shared" si="126"/>
        <v>55243 CT3-4B</v>
      </c>
      <c r="AA2701" s="3">
        <f>IF(INDEX('CAMD Facility Data 2023'!$AA$2:$AE$10000,MATCH(Z2701,'CAMD Facility Data 2023'!$AE$2:$AE$10000,0),1)&gt;0,INDEX('CAMD Facility Data 2023'!$AA$2:$AE$10000,MATCH(Z2701,'CAMD Facility Data 2023'!$AE$2:$AE$10000,0),1),"")</f>
        <v>25720</v>
      </c>
      <c r="AB2701" s="5">
        <f>IF(INDEX('CAMD Facility Data 2023'!$AC$2:$AE$10000,MATCH(Z2701,'CAMD Facility Data 2023'!$AE$2:$AE$10000,0),1)&gt;0,INDEX('CAMD Facility Data 2023'!$AC$2:$AE$10000,MATCH(Z2701,'CAMD Facility Data 2023'!$AE$2:$AE$10000,0),1),"")</f>
        <v>255</v>
      </c>
      <c r="AC2701" s="1" t="str">
        <f>IF(INDEX('CAMD Facility Data 2023'!$AE$2:$AG$10000,MATCH(Z2701,'CAMD Facility Data 2023'!$AE$2:$AE$10000,0),3)&gt;0,INDEX('CAMD Facility Data 2023'!$AE$2:$AG$10000,MATCH(Z2701,'CAMD Facility Data 2023'!$AE$2:$AE$10000,0),3),"")</f>
        <v/>
      </c>
      <c r="AD2701" s="20">
        <f t="shared" si="127"/>
        <v>6.1818181818181817</v>
      </c>
      <c r="AE2701" s="25">
        <f t="shared" si="128"/>
        <v>1.3176201987644375E-3</v>
      </c>
    </row>
    <row r="2702" spans="1:31" x14ac:dyDescent="0.2">
      <c r="A2702" s="1" t="s">
        <v>2089</v>
      </c>
      <c r="B2702" s="1" t="s">
        <v>6187</v>
      </c>
      <c r="C2702" s="1">
        <v>55243</v>
      </c>
      <c r="D2702" s="1" t="s">
        <v>6218</v>
      </c>
      <c r="E2702" s="1" t="s">
        <v>6219</v>
      </c>
      <c r="F2702" s="1">
        <v>2023</v>
      </c>
      <c r="G2702" s="5">
        <v>24</v>
      </c>
      <c r="H2702" s="5">
        <v>12.6</v>
      </c>
      <c r="I2702" s="5">
        <v>250.2</v>
      </c>
      <c r="K2702" s="5">
        <v>1.4E-2</v>
      </c>
      <c r="L2702" s="5">
        <v>4.2299999999999997E-2</v>
      </c>
      <c r="M2702" s="5">
        <v>207.3</v>
      </c>
      <c r="N2702" s="6">
        <v>6.1100000000000002E-2</v>
      </c>
      <c r="O2702" s="5">
        <v>0.72399999999999998</v>
      </c>
      <c r="P2702" s="6">
        <v>0.44850000000000001</v>
      </c>
      <c r="Q2702" s="5">
        <v>3494.2</v>
      </c>
      <c r="R2702" s="1" t="s">
        <v>44</v>
      </c>
      <c r="S2702" s="1" t="s">
        <v>94</v>
      </c>
      <c r="T2702" s="1" t="s">
        <v>93</v>
      </c>
      <c r="Y2702" s="1" t="s">
        <v>6190</v>
      </c>
      <c r="Z2702" s="1" t="str">
        <f t="shared" si="126"/>
        <v>55243 CT4-1A</v>
      </c>
      <c r="AA2702" s="3">
        <f>IF(INDEX('CAMD Facility Data 2023'!$AA$2:$AE$10000,MATCH(Z2702,'CAMD Facility Data 2023'!$AE$2:$AE$10000,0),1)&gt;0,INDEX('CAMD Facility Data 2023'!$AA$2:$AE$10000,MATCH(Z2702,'CAMD Facility Data 2023'!$AE$2:$AE$10000,0),1),"")</f>
        <v>25720</v>
      </c>
      <c r="AB2702" s="5">
        <f>IF(INDEX('CAMD Facility Data 2023'!$AC$2:$AE$10000,MATCH(Z2702,'CAMD Facility Data 2023'!$AE$2:$AE$10000,0),1)&gt;0,INDEX('CAMD Facility Data 2023'!$AC$2:$AE$10000,MATCH(Z2702,'CAMD Facility Data 2023'!$AE$2:$AE$10000,0),1),"")</f>
        <v>255</v>
      </c>
      <c r="AC2702" s="1" t="str">
        <f>IF(INDEX('CAMD Facility Data 2023'!$AE$2:$AG$10000,MATCH(Z2702,'CAMD Facility Data 2023'!$AE$2:$AE$10000,0),3)&gt;0,INDEX('CAMD Facility Data 2023'!$AE$2:$AG$10000,MATCH(Z2702,'CAMD Facility Data 2023'!$AE$2:$AE$10000,0),3),"")</f>
        <v/>
      </c>
      <c r="AD2702" s="20">
        <f t="shared" si="127"/>
        <v>5.7873701039168663</v>
      </c>
      <c r="AE2702" s="25">
        <f t="shared" si="128"/>
        <v>1.5642403079953442E-3</v>
      </c>
    </row>
    <row r="2703" spans="1:31" x14ac:dyDescent="0.2">
      <c r="A2703" s="1" t="s">
        <v>2089</v>
      </c>
      <c r="B2703" s="1" t="s">
        <v>6187</v>
      </c>
      <c r="C2703" s="1">
        <v>55243</v>
      </c>
      <c r="D2703" s="1" t="s">
        <v>6221</v>
      </c>
      <c r="E2703" s="1" t="s">
        <v>6219</v>
      </c>
      <c r="F2703" s="1">
        <v>2023</v>
      </c>
      <c r="G2703" s="5">
        <v>24</v>
      </c>
      <c r="H2703" s="5">
        <v>12.6</v>
      </c>
      <c r="I2703" s="5">
        <v>250.2</v>
      </c>
      <c r="K2703" s="5">
        <v>1.4E-2</v>
      </c>
      <c r="L2703" s="5">
        <v>4.2299999999999997E-2</v>
      </c>
      <c r="M2703" s="5">
        <v>207.3</v>
      </c>
      <c r="N2703" s="6">
        <v>6.1100000000000002E-2</v>
      </c>
      <c r="O2703" s="5">
        <v>0.64100000000000001</v>
      </c>
      <c r="P2703" s="6">
        <v>0.40689999999999998</v>
      </c>
      <c r="Q2703" s="5">
        <v>3494.2</v>
      </c>
      <c r="R2703" s="1" t="s">
        <v>44</v>
      </c>
      <c r="S2703" s="1" t="s">
        <v>94</v>
      </c>
      <c r="T2703" s="1" t="s">
        <v>93</v>
      </c>
      <c r="Y2703" s="1" t="s">
        <v>6190</v>
      </c>
      <c r="Z2703" s="1" t="str">
        <f t="shared" si="126"/>
        <v>55243 CT4-1B</v>
      </c>
      <c r="AA2703" s="3">
        <f>IF(INDEX('CAMD Facility Data 2023'!$AA$2:$AE$10000,MATCH(Z2703,'CAMD Facility Data 2023'!$AE$2:$AE$10000,0),1)&gt;0,INDEX('CAMD Facility Data 2023'!$AA$2:$AE$10000,MATCH(Z2703,'CAMD Facility Data 2023'!$AE$2:$AE$10000,0),1),"")</f>
        <v>25720</v>
      </c>
      <c r="AB2703" s="5">
        <f>IF(INDEX('CAMD Facility Data 2023'!$AC$2:$AE$10000,MATCH(Z2703,'CAMD Facility Data 2023'!$AE$2:$AE$10000,0),1)&gt;0,INDEX('CAMD Facility Data 2023'!$AC$2:$AE$10000,MATCH(Z2703,'CAMD Facility Data 2023'!$AE$2:$AE$10000,0),1),"")</f>
        <v>255</v>
      </c>
      <c r="AC2703" s="1" t="str">
        <f>IF(INDEX('CAMD Facility Data 2023'!$AE$2:$AG$10000,MATCH(Z2703,'CAMD Facility Data 2023'!$AE$2:$AE$10000,0),3)&gt;0,INDEX('CAMD Facility Data 2023'!$AE$2:$AG$10000,MATCH(Z2703,'CAMD Facility Data 2023'!$AE$2:$AE$10000,0),3),"")</f>
        <v/>
      </c>
      <c r="AD2703" s="20">
        <f t="shared" si="127"/>
        <v>5.1239008792965626</v>
      </c>
      <c r="AE2703" s="25">
        <f t="shared" si="128"/>
        <v>1.5642403079953442E-3</v>
      </c>
    </row>
    <row r="2704" spans="1:31" x14ac:dyDescent="0.2">
      <c r="A2704" s="1" t="s">
        <v>2089</v>
      </c>
      <c r="B2704" s="1" t="s">
        <v>6187</v>
      </c>
      <c r="C2704" s="1">
        <v>55243</v>
      </c>
      <c r="D2704" s="1" t="s">
        <v>6222</v>
      </c>
      <c r="E2704" s="1" t="s">
        <v>6219</v>
      </c>
      <c r="F2704" s="1">
        <v>2023</v>
      </c>
      <c r="G2704" s="5">
        <v>21</v>
      </c>
      <c r="H2704" s="5">
        <v>11.36</v>
      </c>
      <c r="I2704" s="5">
        <v>225.9</v>
      </c>
      <c r="K2704" s="5">
        <v>1.6E-2</v>
      </c>
      <c r="L2704" s="5">
        <v>2.4199999999999999E-2</v>
      </c>
      <c r="M2704" s="5">
        <v>185.4</v>
      </c>
      <c r="N2704" s="6">
        <v>5.9700000000000003E-2</v>
      </c>
      <c r="O2704" s="5">
        <v>0.59799999999999998</v>
      </c>
      <c r="P2704" s="6">
        <v>0.39739999999999998</v>
      </c>
      <c r="Q2704" s="5">
        <v>3120.6</v>
      </c>
      <c r="R2704" s="1" t="s">
        <v>44</v>
      </c>
      <c r="S2704" s="1" t="s">
        <v>94</v>
      </c>
      <c r="T2704" s="1" t="s">
        <v>93</v>
      </c>
      <c r="Y2704" s="1" t="s">
        <v>6190</v>
      </c>
      <c r="Z2704" s="1" t="str">
        <f t="shared" si="126"/>
        <v>55243 CT4-2A</v>
      </c>
      <c r="AA2704" s="3">
        <f>IF(INDEX('CAMD Facility Data 2023'!$AA$2:$AE$10000,MATCH(Z2704,'CAMD Facility Data 2023'!$AE$2:$AE$10000,0),1)&gt;0,INDEX('CAMD Facility Data 2023'!$AA$2:$AE$10000,MATCH(Z2704,'CAMD Facility Data 2023'!$AE$2:$AE$10000,0),1),"")</f>
        <v>25720</v>
      </c>
      <c r="AB2704" s="5">
        <f>IF(INDEX('CAMD Facility Data 2023'!$AC$2:$AE$10000,MATCH(Z2704,'CAMD Facility Data 2023'!$AE$2:$AE$10000,0),1)&gt;0,INDEX('CAMD Facility Data 2023'!$AC$2:$AE$10000,MATCH(Z2704,'CAMD Facility Data 2023'!$AE$2:$AE$10000,0),1),"")</f>
        <v>255</v>
      </c>
      <c r="AC2704" s="1" t="str">
        <f>IF(INDEX('CAMD Facility Data 2023'!$AE$2:$AG$10000,MATCH(Z2704,'CAMD Facility Data 2023'!$AE$2:$AE$10000,0),3)&gt;0,INDEX('CAMD Facility Data 2023'!$AE$2:$AG$10000,MATCH(Z2704,'CAMD Facility Data 2023'!$AE$2:$AE$10000,0),3),"")</f>
        <v/>
      </c>
      <c r="AD2704" s="20">
        <f t="shared" si="127"/>
        <v>5.2943780433820269</v>
      </c>
      <c r="AE2704" s="25">
        <f t="shared" si="128"/>
        <v>1.3969916733816813E-3</v>
      </c>
    </row>
    <row r="2705" spans="1:31" x14ac:dyDescent="0.2">
      <c r="A2705" s="1" t="s">
        <v>2089</v>
      </c>
      <c r="B2705" s="1" t="s">
        <v>6187</v>
      </c>
      <c r="C2705" s="1">
        <v>55243</v>
      </c>
      <c r="D2705" s="1" t="s">
        <v>6224</v>
      </c>
      <c r="E2705" s="1" t="s">
        <v>6219</v>
      </c>
      <c r="F2705" s="1">
        <v>2023</v>
      </c>
      <c r="G2705" s="5">
        <v>21</v>
      </c>
      <c r="H2705" s="5">
        <v>11.36</v>
      </c>
      <c r="I2705" s="5">
        <v>225.9</v>
      </c>
      <c r="K2705" s="5">
        <v>1.6E-2</v>
      </c>
      <c r="L2705" s="5">
        <v>2.4199999999999999E-2</v>
      </c>
      <c r="M2705" s="5">
        <v>185.4</v>
      </c>
      <c r="N2705" s="6">
        <v>5.9700000000000003E-2</v>
      </c>
      <c r="O2705" s="5">
        <v>0.627</v>
      </c>
      <c r="P2705" s="6">
        <v>0.41930000000000001</v>
      </c>
      <c r="Q2705" s="5">
        <v>3120.6</v>
      </c>
      <c r="R2705" s="1" t="s">
        <v>44</v>
      </c>
      <c r="S2705" s="1" t="s">
        <v>94</v>
      </c>
      <c r="T2705" s="1" t="s">
        <v>93</v>
      </c>
      <c r="Y2705" s="1" t="s">
        <v>6190</v>
      </c>
      <c r="Z2705" s="1" t="str">
        <f t="shared" si="126"/>
        <v>55243 CT4-2B</v>
      </c>
      <c r="AA2705" s="3">
        <f>IF(INDEX('CAMD Facility Data 2023'!$AA$2:$AE$10000,MATCH(Z2705,'CAMD Facility Data 2023'!$AE$2:$AE$10000,0),1)&gt;0,INDEX('CAMD Facility Data 2023'!$AA$2:$AE$10000,MATCH(Z2705,'CAMD Facility Data 2023'!$AE$2:$AE$10000,0),1),"")</f>
        <v>25720</v>
      </c>
      <c r="AB2705" s="5">
        <f>IF(INDEX('CAMD Facility Data 2023'!$AC$2:$AE$10000,MATCH(Z2705,'CAMD Facility Data 2023'!$AE$2:$AE$10000,0),1)&gt;0,INDEX('CAMD Facility Data 2023'!$AC$2:$AE$10000,MATCH(Z2705,'CAMD Facility Data 2023'!$AE$2:$AE$10000,0),1),"")</f>
        <v>255</v>
      </c>
      <c r="AC2705" s="1" t="str">
        <f>IF(INDEX('CAMD Facility Data 2023'!$AE$2:$AG$10000,MATCH(Z2705,'CAMD Facility Data 2023'!$AE$2:$AE$10000,0),3)&gt;0,INDEX('CAMD Facility Data 2023'!$AE$2:$AG$10000,MATCH(Z2705,'CAMD Facility Data 2023'!$AE$2:$AE$10000,0),3),"")</f>
        <v/>
      </c>
      <c r="AD2705" s="20">
        <f t="shared" si="127"/>
        <v>5.5511288180610885</v>
      </c>
      <c r="AE2705" s="25">
        <f t="shared" si="128"/>
        <v>1.3969916733816813E-3</v>
      </c>
    </row>
    <row r="2706" spans="1:31" x14ac:dyDescent="0.2">
      <c r="A2706" s="1" t="s">
        <v>2089</v>
      </c>
      <c r="B2706" s="1" t="s">
        <v>6187</v>
      </c>
      <c r="C2706" s="1">
        <v>55243</v>
      </c>
      <c r="D2706" s="1" t="s">
        <v>6225</v>
      </c>
      <c r="E2706" s="1" t="s">
        <v>6219</v>
      </c>
      <c r="F2706" s="1">
        <v>2023</v>
      </c>
      <c r="G2706" s="5">
        <v>17</v>
      </c>
      <c r="H2706" s="5">
        <v>8.94</v>
      </c>
      <c r="I2706" s="5">
        <v>177.7</v>
      </c>
      <c r="K2706" s="5">
        <v>1.9E-2</v>
      </c>
      <c r="L2706" s="5">
        <v>2.9899999999999999E-2</v>
      </c>
      <c r="M2706" s="5">
        <v>146.6</v>
      </c>
      <c r="N2706" s="6">
        <v>6.0600000000000001E-2</v>
      </c>
      <c r="O2706" s="5">
        <v>0.51900000000000002</v>
      </c>
      <c r="P2706" s="6">
        <v>0.43669999999999998</v>
      </c>
      <c r="Q2706" s="5">
        <v>2460.1</v>
      </c>
      <c r="R2706" s="1" t="s">
        <v>44</v>
      </c>
      <c r="S2706" s="1" t="s">
        <v>94</v>
      </c>
      <c r="T2706" s="1" t="s">
        <v>93</v>
      </c>
      <c r="Y2706" s="1" t="s">
        <v>6190</v>
      </c>
      <c r="Z2706" s="1" t="str">
        <f t="shared" si="126"/>
        <v>55243 CT4-3A</v>
      </c>
      <c r="AA2706" s="3">
        <f>IF(INDEX('CAMD Facility Data 2023'!$AA$2:$AE$10000,MATCH(Z2706,'CAMD Facility Data 2023'!$AE$2:$AE$10000,0),1)&gt;0,INDEX('CAMD Facility Data 2023'!$AA$2:$AE$10000,MATCH(Z2706,'CAMD Facility Data 2023'!$AE$2:$AE$10000,0),1),"")</f>
        <v>25720</v>
      </c>
      <c r="AB2706" s="5">
        <f>IF(INDEX('CAMD Facility Data 2023'!$AC$2:$AE$10000,MATCH(Z2706,'CAMD Facility Data 2023'!$AE$2:$AE$10000,0),1)&gt;0,INDEX('CAMD Facility Data 2023'!$AC$2:$AE$10000,MATCH(Z2706,'CAMD Facility Data 2023'!$AE$2:$AE$10000,0),1),"")</f>
        <v>255</v>
      </c>
      <c r="AC2706" s="1" t="str">
        <f>IF(INDEX('CAMD Facility Data 2023'!$AE$2:$AG$10000,MATCH(Z2706,'CAMD Facility Data 2023'!$AE$2:$AE$10000,0),3)&gt;0,INDEX('CAMD Facility Data 2023'!$AE$2:$AG$10000,MATCH(Z2706,'CAMD Facility Data 2023'!$AE$2:$AE$10000,0),3),"")</f>
        <v/>
      </c>
      <c r="AD2706" s="20">
        <f t="shared" si="127"/>
        <v>5.8413055711873945</v>
      </c>
      <c r="AE2706" s="25">
        <f t="shared" si="128"/>
        <v>1.1013071895424836E-3</v>
      </c>
    </row>
    <row r="2707" spans="1:31" x14ac:dyDescent="0.2">
      <c r="A2707" s="1" t="s">
        <v>2089</v>
      </c>
      <c r="B2707" s="1" t="s">
        <v>6187</v>
      </c>
      <c r="C2707" s="1">
        <v>55243</v>
      </c>
      <c r="D2707" s="1" t="s">
        <v>6227</v>
      </c>
      <c r="E2707" s="1" t="s">
        <v>6219</v>
      </c>
      <c r="F2707" s="1">
        <v>2023</v>
      </c>
      <c r="G2707" s="5">
        <v>17</v>
      </c>
      <c r="H2707" s="5">
        <v>8.94</v>
      </c>
      <c r="I2707" s="5">
        <v>177.7</v>
      </c>
      <c r="K2707" s="5">
        <v>1.9E-2</v>
      </c>
      <c r="L2707" s="5">
        <v>2.9899999999999999E-2</v>
      </c>
      <c r="M2707" s="5">
        <v>146.6</v>
      </c>
      <c r="N2707" s="6">
        <v>6.0600000000000001E-2</v>
      </c>
      <c r="O2707" s="5">
        <v>0.505</v>
      </c>
      <c r="P2707" s="6">
        <v>0.4274</v>
      </c>
      <c r="Q2707" s="5">
        <v>2460.1</v>
      </c>
      <c r="R2707" s="1" t="s">
        <v>44</v>
      </c>
      <c r="S2707" s="1" t="s">
        <v>94</v>
      </c>
      <c r="T2707" s="1" t="s">
        <v>93</v>
      </c>
      <c r="Y2707" s="1" t="s">
        <v>6190</v>
      </c>
      <c r="Z2707" s="1" t="str">
        <f t="shared" si="126"/>
        <v>55243 CT4-3B</v>
      </c>
      <c r="AA2707" s="3">
        <f>IF(INDEX('CAMD Facility Data 2023'!$AA$2:$AE$10000,MATCH(Z2707,'CAMD Facility Data 2023'!$AE$2:$AE$10000,0),1)&gt;0,INDEX('CAMD Facility Data 2023'!$AA$2:$AE$10000,MATCH(Z2707,'CAMD Facility Data 2023'!$AE$2:$AE$10000,0),1),"")</f>
        <v>25720</v>
      </c>
      <c r="AB2707" s="5">
        <f>IF(INDEX('CAMD Facility Data 2023'!$AC$2:$AE$10000,MATCH(Z2707,'CAMD Facility Data 2023'!$AE$2:$AE$10000,0),1)&gt;0,INDEX('CAMD Facility Data 2023'!$AC$2:$AE$10000,MATCH(Z2707,'CAMD Facility Data 2023'!$AE$2:$AE$10000,0),1),"")</f>
        <v>255</v>
      </c>
      <c r="AC2707" s="1" t="str">
        <f>IF(INDEX('CAMD Facility Data 2023'!$AE$2:$AG$10000,MATCH(Z2707,'CAMD Facility Data 2023'!$AE$2:$AE$10000,0),3)&gt;0,INDEX('CAMD Facility Data 2023'!$AE$2:$AG$10000,MATCH(Z2707,'CAMD Facility Data 2023'!$AE$2:$AE$10000,0),3),"")</f>
        <v/>
      </c>
      <c r="AD2707" s="20">
        <f t="shared" si="127"/>
        <v>5.6837366347777154</v>
      </c>
      <c r="AE2707" s="25">
        <f t="shared" si="128"/>
        <v>1.1013071895424836E-3</v>
      </c>
    </row>
    <row r="2708" spans="1:31" x14ac:dyDescent="0.2">
      <c r="A2708" s="1" t="s">
        <v>2089</v>
      </c>
      <c r="B2708" s="1" t="s">
        <v>6187</v>
      </c>
      <c r="C2708" s="1">
        <v>55243</v>
      </c>
      <c r="D2708" s="1" t="s">
        <v>6228</v>
      </c>
      <c r="E2708" s="1" t="s">
        <v>6219</v>
      </c>
      <c r="F2708" s="1">
        <v>2023</v>
      </c>
      <c r="G2708" s="5">
        <v>22</v>
      </c>
      <c r="H2708" s="5">
        <v>11.48</v>
      </c>
      <c r="I2708" s="5">
        <v>227.7</v>
      </c>
      <c r="K2708" s="5">
        <v>1.6E-2</v>
      </c>
      <c r="L2708" s="5">
        <v>2.3099999999999999E-2</v>
      </c>
      <c r="M2708" s="5">
        <v>187.9</v>
      </c>
      <c r="N2708" s="6">
        <v>5.91E-2</v>
      </c>
      <c r="O2708" s="5">
        <v>0.65900000000000003</v>
      </c>
      <c r="P2708" s="6">
        <v>0.43030000000000002</v>
      </c>
      <c r="Q2708" s="5">
        <v>3166.3</v>
      </c>
      <c r="R2708" s="1" t="s">
        <v>44</v>
      </c>
      <c r="S2708" s="1" t="s">
        <v>94</v>
      </c>
      <c r="T2708" s="1" t="s">
        <v>93</v>
      </c>
      <c r="Y2708" s="1" t="s">
        <v>6190</v>
      </c>
      <c r="Z2708" s="1" t="str">
        <f t="shared" si="126"/>
        <v>55243 CT4-4A</v>
      </c>
      <c r="AA2708" s="3">
        <f>IF(INDEX('CAMD Facility Data 2023'!$AA$2:$AE$10000,MATCH(Z2708,'CAMD Facility Data 2023'!$AE$2:$AE$10000,0),1)&gt;0,INDEX('CAMD Facility Data 2023'!$AA$2:$AE$10000,MATCH(Z2708,'CAMD Facility Data 2023'!$AE$2:$AE$10000,0),1),"")</f>
        <v>25720</v>
      </c>
      <c r="AB2708" s="5">
        <f>IF(INDEX('CAMD Facility Data 2023'!$AC$2:$AE$10000,MATCH(Z2708,'CAMD Facility Data 2023'!$AE$2:$AE$10000,0),1)&gt;0,INDEX('CAMD Facility Data 2023'!$AC$2:$AE$10000,MATCH(Z2708,'CAMD Facility Data 2023'!$AE$2:$AE$10000,0),1),"")</f>
        <v>255</v>
      </c>
      <c r="AC2708" s="1" t="str">
        <f>IF(INDEX('CAMD Facility Data 2023'!$AE$2:$AG$10000,MATCH(Z2708,'CAMD Facility Data 2023'!$AE$2:$AE$10000,0),3)&gt;0,INDEX('CAMD Facility Data 2023'!$AE$2:$AG$10000,MATCH(Z2708,'CAMD Facility Data 2023'!$AE$2:$AE$10000,0),3),"")</f>
        <v/>
      </c>
      <c r="AD2708" s="20">
        <f t="shared" si="127"/>
        <v>5.7883179622310061</v>
      </c>
      <c r="AE2708" s="25">
        <f t="shared" si="128"/>
        <v>1.4174500850568539E-3</v>
      </c>
    </row>
    <row r="2709" spans="1:31" x14ac:dyDescent="0.2">
      <c r="A2709" s="1" t="s">
        <v>2089</v>
      </c>
      <c r="B2709" s="1" t="s">
        <v>6187</v>
      </c>
      <c r="C2709" s="1">
        <v>55243</v>
      </c>
      <c r="D2709" s="1" t="s">
        <v>6230</v>
      </c>
      <c r="E2709" s="1" t="s">
        <v>6219</v>
      </c>
      <c r="F2709" s="1">
        <v>2023</v>
      </c>
      <c r="G2709" s="5">
        <v>22</v>
      </c>
      <c r="H2709" s="5">
        <v>11.48</v>
      </c>
      <c r="I2709" s="5">
        <v>227.7</v>
      </c>
      <c r="K2709" s="5">
        <v>1.6E-2</v>
      </c>
      <c r="L2709" s="5">
        <v>2.3099999999999999E-2</v>
      </c>
      <c r="M2709" s="5">
        <v>187.9</v>
      </c>
      <c r="N2709" s="6">
        <v>5.91E-2</v>
      </c>
      <c r="O2709" s="5">
        <v>0.64</v>
      </c>
      <c r="P2709" s="6">
        <v>0.41959999999999997</v>
      </c>
      <c r="Q2709" s="5">
        <v>3166.3</v>
      </c>
      <c r="R2709" s="1" t="s">
        <v>44</v>
      </c>
      <c r="S2709" s="1" t="s">
        <v>94</v>
      </c>
      <c r="T2709" s="1" t="s">
        <v>93</v>
      </c>
      <c r="Y2709" s="1" t="s">
        <v>6190</v>
      </c>
      <c r="Z2709" s="1" t="str">
        <f t="shared" si="126"/>
        <v>55243 CT4-4B</v>
      </c>
      <c r="AA2709" s="3">
        <f>IF(INDEX('CAMD Facility Data 2023'!$AA$2:$AE$10000,MATCH(Z2709,'CAMD Facility Data 2023'!$AE$2:$AE$10000,0),1)&gt;0,INDEX('CAMD Facility Data 2023'!$AA$2:$AE$10000,MATCH(Z2709,'CAMD Facility Data 2023'!$AE$2:$AE$10000,0),1),"")</f>
        <v>25720</v>
      </c>
      <c r="AB2709" s="5">
        <f>IF(INDEX('CAMD Facility Data 2023'!$AC$2:$AE$10000,MATCH(Z2709,'CAMD Facility Data 2023'!$AE$2:$AE$10000,0),1)&gt;0,INDEX('CAMD Facility Data 2023'!$AC$2:$AE$10000,MATCH(Z2709,'CAMD Facility Data 2023'!$AE$2:$AE$10000,0),1),"")</f>
        <v>255</v>
      </c>
      <c r="AC2709" s="1" t="str">
        <f>IF(INDEX('CAMD Facility Data 2023'!$AE$2:$AG$10000,MATCH(Z2709,'CAMD Facility Data 2023'!$AE$2:$AE$10000,0),3)&gt;0,INDEX('CAMD Facility Data 2023'!$AE$2:$AG$10000,MATCH(Z2709,'CAMD Facility Data 2023'!$AE$2:$AE$10000,0),3),"")</f>
        <v/>
      </c>
      <c r="AD2709" s="20">
        <f t="shared" si="127"/>
        <v>5.6214317083882301</v>
      </c>
      <c r="AE2709" s="25">
        <f t="shared" si="128"/>
        <v>1.4174500850568539E-3</v>
      </c>
    </row>
    <row r="2710" spans="1:31" x14ac:dyDescent="0.2">
      <c r="A2710" s="1" t="s">
        <v>921</v>
      </c>
      <c r="B2710" s="1" t="s">
        <v>6231</v>
      </c>
      <c r="C2710" s="1">
        <v>55244</v>
      </c>
      <c r="D2710" s="1" t="s">
        <v>5684</v>
      </c>
      <c r="F2710" s="1">
        <v>2023</v>
      </c>
      <c r="G2710" s="5">
        <v>166</v>
      </c>
      <c r="H2710" s="5">
        <v>134.68</v>
      </c>
      <c r="I2710" s="5">
        <v>7565.34</v>
      </c>
      <c r="K2710" s="5">
        <v>2.9000000000000001E-2</v>
      </c>
      <c r="L2710" s="5">
        <v>1E-3</v>
      </c>
      <c r="M2710" s="5">
        <v>5801.5820000000003</v>
      </c>
      <c r="N2710" s="6">
        <v>5.8700000000000002E-2</v>
      </c>
      <c r="O2710" s="5">
        <v>4.3689999999999998</v>
      </c>
      <c r="P2710" s="6">
        <v>9.35E-2</v>
      </c>
      <c r="Q2710" s="5">
        <v>97625.747000000003</v>
      </c>
      <c r="R2710" s="1" t="s">
        <v>44</v>
      </c>
      <c r="T2710" s="1" t="s">
        <v>93</v>
      </c>
      <c r="V2710" s="1" t="s">
        <v>140</v>
      </c>
      <c r="Y2710" s="1" t="s">
        <v>952</v>
      </c>
      <c r="Z2710" s="1" t="str">
        <f t="shared" si="126"/>
        <v>55244 CTG-2</v>
      </c>
      <c r="AA2710" s="3">
        <f>IF(INDEX('CAMD Facility Data 2023'!$AA$2:$AE$10000,MATCH(Z2710,'CAMD Facility Data 2023'!$AE$2:$AE$10000,0),1)&gt;0,INDEX('CAMD Facility Data 2023'!$AA$2:$AE$10000,MATCH(Z2710,'CAMD Facility Data 2023'!$AE$2:$AE$10000,0),1),"")</f>
        <v>36621</v>
      </c>
      <c r="AB2710" s="5">
        <f>IF(INDEX('CAMD Facility Data 2023'!$AC$2:$AE$10000,MATCH(Z2710,'CAMD Facility Data 2023'!$AE$2:$AE$10000,0),1)&gt;0,INDEX('CAMD Facility Data 2023'!$AC$2:$AE$10000,MATCH(Z2710,'CAMD Facility Data 2023'!$AE$2:$AE$10000,0),1),"")</f>
        <v>890</v>
      </c>
      <c r="AC2710" s="1" t="str">
        <f>IF(INDEX('CAMD Facility Data 2023'!$AE$2:$AG$10000,MATCH(Z2710,'CAMD Facility Data 2023'!$AE$2:$AE$10000,0),3)&gt;0,INDEX('CAMD Facility Data 2023'!$AE$2:$AG$10000,MATCH(Z2710,'CAMD Facility Data 2023'!$AE$2:$AE$10000,0),3),"")</f>
        <v/>
      </c>
      <c r="AD2710" s="20">
        <f t="shared" si="127"/>
        <v>1.155004269471035</v>
      </c>
      <c r="AE2710" s="25">
        <f t="shared" si="128"/>
        <v>1.2521900749063671E-2</v>
      </c>
    </row>
    <row r="2711" spans="1:31" x14ac:dyDescent="0.2">
      <c r="A2711" s="1" t="s">
        <v>921</v>
      </c>
      <c r="B2711" s="1" t="s">
        <v>6231</v>
      </c>
      <c r="C2711" s="1">
        <v>55244</v>
      </c>
      <c r="D2711" s="1" t="s">
        <v>5750</v>
      </c>
      <c r="F2711" s="1">
        <v>2023</v>
      </c>
      <c r="G2711" s="5">
        <v>213</v>
      </c>
      <c r="H2711" s="5">
        <v>176.99</v>
      </c>
      <c r="I2711" s="5">
        <v>10004.08</v>
      </c>
      <c r="K2711" s="5">
        <v>0.04</v>
      </c>
      <c r="L2711" s="5">
        <v>1E-3</v>
      </c>
      <c r="M2711" s="5">
        <v>7919.4229999999998</v>
      </c>
      <c r="N2711" s="6">
        <v>5.9299999999999999E-2</v>
      </c>
      <c r="O2711" s="5">
        <v>6.7149999999999999</v>
      </c>
      <c r="P2711" s="6">
        <v>0.1041</v>
      </c>
      <c r="Q2711" s="5">
        <v>133252.769</v>
      </c>
      <c r="R2711" s="1" t="s">
        <v>44</v>
      </c>
      <c r="T2711" s="1" t="s">
        <v>93</v>
      </c>
      <c r="V2711" s="1" t="s">
        <v>140</v>
      </c>
      <c r="Y2711" s="1" t="s">
        <v>952</v>
      </c>
      <c r="Z2711" s="1" t="str">
        <f t="shared" si="126"/>
        <v>55244 CTG-3</v>
      </c>
      <c r="AA2711" s="3">
        <f>IF(INDEX('CAMD Facility Data 2023'!$AA$2:$AE$10000,MATCH(Z2711,'CAMD Facility Data 2023'!$AE$2:$AE$10000,0),1)&gt;0,INDEX('CAMD Facility Data 2023'!$AA$2:$AE$10000,MATCH(Z2711,'CAMD Facility Data 2023'!$AE$2:$AE$10000,0),1),"")</f>
        <v>36653</v>
      </c>
      <c r="AB2711" s="5">
        <f>IF(INDEX('CAMD Facility Data 2023'!$AC$2:$AE$10000,MATCH(Z2711,'CAMD Facility Data 2023'!$AE$2:$AE$10000,0),1)&gt;0,INDEX('CAMD Facility Data 2023'!$AC$2:$AE$10000,MATCH(Z2711,'CAMD Facility Data 2023'!$AE$2:$AE$10000,0),1),"")</f>
        <v>907</v>
      </c>
      <c r="AC2711" s="1" t="str">
        <f>IF(INDEX('CAMD Facility Data 2023'!$AE$2:$AG$10000,MATCH(Z2711,'CAMD Facility Data 2023'!$AE$2:$AE$10000,0),3)&gt;0,INDEX('CAMD Facility Data 2023'!$AE$2:$AG$10000,MATCH(Z2711,'CAMD Facility Data 2023'!$AE$2:$AE$10000,0),3),"")</f>
        <v/>
      </c>
      <c r="AD2711" s="20">
        <f t="shared" si="127"/>
        <v>1.3424522794699763</v>
      </c>
      <c r="AE2711" s="25">
        <f t="shared" si="128"/>
        <v>1.6771227464721372E-2</v>
      </c>
    </row>
    <row r="2712" spans="1:31" x14ac:dyDescent="0.2">
      <c r="A2712" s="1" t="s">
        <v>921</v>
      </c>
      <c r="B2712" s="1" t="s">
        <v>6231</v>
      </c>
      <c r="C2712" s="1">
        <v>55244</v>
      </c>
      <c r="D2712" s="1" t="s">
        <v>5799</v>
      </c>
      <c r="F2712" s="1">
        <v>2023</v>
      </c>
      <c r="G2712" s="5">
        <v>336</v>
      </c>
      <c r="H2712" s="5">
        <v>281.69</v>
      </c>
      <c r="I2712" s="5">
        <v>19551.55</v>
      </c>
      <c r="K2712" s="5">
        <v>6.9000000000000006E-2</v>
      </c>
      <c r="L2712" s="5">
        <v>1E-3</v>
      </c>
      <c r="M2712" s="5">
        <v>13697.044</v>
      </c>
      <c r="N2712" s="6">
        <v>5.91E-2</v>
      </c>
      <c r="O2712" s="5">
        <v>6.226</v>
      </c>
      <c r="P2712" s="6">
        <v>5.9299999999999999E-2</v>
      </c>
      <c r="Q2712" s="5">
        <v>230474.633</v>
      </c>
      <c r="R2712" s="1" t="s">
        <v>44</v>
      </c>
      <c r="T2712" s="1" t="s">
        <v>93</v>
      </c>
      <c r="V2712" s="1" t="s">
        <v>140</v>
      </c>
      <c r="Y2712" s="1" t="s">
        <v>952</v>
      </c>
      <c r="Z2712" s="1" t="str">
        <f t="shared" si="126"/>
        <v>55244 CTG-4</v>
      </c>
      <c r="AA2712" s="3">
        <f>IF(INDEX('CAMD Facility Data 2023'!$AA$2:$AE$10000,MATCH(Z2712,'CAMD Facility Data 2023'!$AE$2:$AE$10000,0),1)&gt;0,INDEX('CAMD Facility Data 2023'!$AA$2:$AE$10000,MATCH(Z2712,'CAMD Facility Data 2023'!$AE$2:$AE$10000,0),1),"")</f>
        <v>36686</v>
      </c>
      <c r="AB2712" s="5">
        <f>IF(INDEX('CAMD Facility Data 2023'!$AC$2:$AE$10000,MATCH(Z2712,'CAMD Facility Data 2023'!$AE$2:$AE$10000,0),1)&gt;0,INDEX('CAMD Facility Data 2023'!$AC$2:$AE$10000,MATCH(Z2712,'CAMD Facility Data 2023'!$AE$2:$AE$10000,0),1),"")</f>
        <v>1090</v>
      </c>
      <c r="AC2712" s="1" t="str">
        <f>IF(INDEX('CAMD Facility Data 2023'!$AE$2:$AG$10000,MATCH(Z2712,'CAMD Facility Data 2023'!$AE$2:$AE$10000,0),3)&gt;0,INDEX('CAMD Facility Data 2023'!$AE$2:$AG$10000,MATCH(Z2712,'CAMD Facility Data 2023'!$AE$2:$AE$10000,0),3),"")</f>
        <v/>
      </c>
      <c r="AD2712" s="20">
        <f t="shared" si="127"/>
        <v>0.63688045193347842</v>
      </c>
      <c r="AE2712" s="25">
        <f t="shared" si="128"/>
        <v>2.4137513405387289E-2</v>
      </c>
    </row>
    <row r="2713" spans="1:31" x14ac:dyDescent="0.2">
      <c r="A2713" s="1" t="s">
        <v>921</v>
      </c>
      <c r="B2713" s="1" t="s">
        <v>6231</v>
      </c>
      <c r="C2713" s="1">
        <v>55244</v>
      </c>
      <c r="D2713" s="1" t="s">
        <v>6046</v>
      </c>
      <c r="F2713" s="1">
        <v>2023</v>
      </c>
      <c r="G2713" s="5">
        <v>322</v>
      </c>
      <c r="H2713" s="5">
        <v>268.81</v>
      </c>
      <c r="I2713" s="5">
        <v>17702.86</v>
      </c>
      <c r="K2713" s="5">
        <v>6.3E-2</v>
      </c>
      <c r="L2713" s="5">
        <v>1E-3</v>
      </c>
      <c r="M2713" s="5">
        <v>12505.679</v>
      </c>
      <c r="N2713" s="6">
        <v>5.8999999999999997E-2</v>
      </c>
      <c r="O2713" s="5">
        <v>5.7919999999999998</v>
      </c>
      <c r="P2713" s="6">
        <v>5.9400000000000001E-2</v>
      </c>
      <c r="Q2713" s="5">
        <v>210441.78400000001</v>
      </c>
      <c r="R2713" s="1" t="s">
        <v>44</v>
      </c>
      <c r="T2713" s="1" t="s">
        <v>93</v>
      </c>
      <c r="V2713" s="1" t="s">
        <v>140</v>
      </c>
      <c r="Y2713" s="1" t="s">
        <v>952</v>
      </c>
      <c r="Z2713" s="1" t="str">
        <f t="shared" si="126"/>
        <v>55244 CTG-5</v>
      </c>
      <c r="AA2713" s="3">
        <f>IF(INDEX('CAMD Facility Data 2023'!$AA$2:$AE$10000,MATCH(Z2713,'CAMD Facility Data 2023'!$AE$2:$AE$10000,0),1)&gt;0,INDEX('CAMD Facility Data 2023'!$AA$2:$AE$10000,MATCH(Z2713,'CAMD Facility Data 2023'!$AE$2:$AE$10000,0),1),"")</f>
        <v>36693</v>
      </c>
      <c r="AB2713" s="5">
        <f>IF(INDEX('CAMD Facility Data 2023'!$AC$2:$AE$10000,MATCH(Z2713,'CAMD Facility Data 2023'!$AE$2:$AE$10000,0),1)&gt;0,INDEX('CAMD Facility Data 2023'!$AC$2:$AE$10000,MATCH(Z2713,'CAMD Facility Data 2023'!$AE$2:$AE$10000,0),1),"")</f>
        <v>1090</v>
      </c>
      <c r="AC2713" s="1" t="str">
        <f>IF(INDEX('CAMD Facility Data 2023'!$AE$2:$AG$10000,MATCH(Z2713,'CAMD Facility Data 2023'!$AE$2:$AE$10000,0),3)&gt;0,INDEX('CAMD Facility Data 2023'!$AE$2:$AG$10000,MATCH(Z2713,'CAMD Facility Data 2023'!$AE$2:$AE$10000,0),3),"")</f>
        <v/>
      </c>
      <c r="AD2713" s="20">
        <f t="shared" si="127"/>
        <v>0.65435754448716199</v>
      </c>
      <c r="AE2713" s="25">
        <f t="shared" si="128"/>
        <v>2.2039481379079219E-2</v>
      </c>
    </row>
    <row r="2714" spans="1:31" x14ac:dyDescent="0.2">
      <c r="A2714" s="1" t="s">
        <v>2430</v>
      </c>
      <c r="B2714" s="1" t="s">
        <v>6236</v>
      </c>
      <c r="C2714" s="1">
        <v>55247</v>
      </c>
      <c r="D2714" s="1" t="s">
        <v>311</v>
      </c>
      <c r="F2714" s="1">
        <v>2023</v>
      </c>
      <c r="G2714" s="5">
        <v>1465</v>
      </c>
      <c r="H2714" s="5">
        <v>1294.25</v>
      </c>
      <c r="I2714" s="5">
        <v>94986.35</v>
      </c>
      <c r="K2714" s="5">
        <v>0.22</v>
      </c>
      <c r="L2714" s="5">
        <v>5.9999999999999995E-4</v>
      </c>
      <c r="M2714" s="5">
        <v>43293.396000000001</v>
      </c>
      <c r="N2714" s="6">
        <v>5.8999999999999997E-2</v>
      </c>
      <c r="O2714" s="5">
        <v>17.196999999999999</v>
      </c>
      <c r="P2714" s="6">
        <v>0.109</v>
      </c>
      <c r="Q2714" s="5">
        <v>727657.94400000002</v>
      </c>
      <c r="R2714" s="1" t="s">
        <v>44</v>
      </c>
      <c r="S2714" s="1" t="s">
        <v>94</v>
      </c>
      <c r="T2714" s="1" t="s">
        <v>93</v>
      </c>
      <c r="V2714" s="1" t="s">
        <v>183</v>
      </c>
      <c r="Y2714" s="1" t="s">
        <v>461</v>
      </c>
      <c r="Z2714" s="1" t="str">
        <f t="shared" si="126"/>
        <v>55247 CT1</v>
      </c>
      <c r="AA2714" s="3">
        <f>IF(INDEX('CAMD Facility Data 2023'!$AA$2:$AE$10000,MATCH(Z2714,'CAMD Facility Data 2023'!$AE$2:$AE$10000,0),1)&gt;0,INDEX('CAMD Facility Data 2023'!$AA$2:$AE$10000,MATCH(Z2714,'CAMD Facility Data 2023'!$AE$2:$AE$10000,0),1),"")</f>
        <v>37015</v>
      </c>
      <c r="AB2714" s="5">
        <f>IF(INDEX('CAMD Facility Data 2023'!$AC$2:$AE$10000,MATCH(Z2714,'CAMD Facility Data 2023'!$AE$2:$AE$10000,0),1)&gt;0,INDEX('CAMD Facility Data 2023'!$AC$2:$AE$10000,MATCH(Z2714,'CAMD Facility Data 2023'!$AE$2:$AE$10000,0),1),"")</f>
        <v>1115</v>
      </c>
      <c r="AC2714" s="1" t="str">
        <f>IF(INDEX('CAMD Facility Data 2023'!$AE$2:$AG$10000,MATCH(Z2714,'CAMD Facility Data 2023'!$AE$2:$AE$10000,0),3)&gt;0,INDEX('CAMD Facility Data 2023'!$AE$2:$AG$10000,MATCH(Z2714,'CAMD Facility Data 2023'!$AE$2:$AE$10000,0),3),"")</f>
        <v/>
      </c>
      <c r="AD2714" s="20">
        <f t="shared" si="127"/>
        <v>0.36209413247271843</v>
      </c>
      <c r="AE2714" s="25">
        <f t="shared" si="128"/>
        <v>7.4498632594139691E-2</v>
      </c>
    </row>
    <row r="2715" spans="1:31" x14ac:dyDescent="0.2">
      <c r="A2715" s="1" t="s">
        <v>2430</v>
      </c>
      <c r="B2715" s="1" t="s">
        <v>6236</v>
      </c>
      <c r="C2715" s="1">
        <v>55247</v>
      </c>
      <c r="D2715" s="1" t="s">
        <v>98</v>
      </c>
      <c r="F2715" s="1">
        <v>2023</v>
      </c>
      <c r="G2715" s="5">
        <v>1608</v>
      </c>
      <c r="H2715" s="5">
        <v>1417.26</v>
      </c>
      <c r="I2715" s="5">
        <v>102803.92</v>
      </c>
      <c r="K2715" s="5">
        <v>0.22600000000000001</v>
      </c>
      <c r="L2715" s="5">
        <v>5.9999999999999995E-4</v>
      </c>
      <c r="M2715" s="5">
        <v>45436.57</v>
      </c>
      <c r="N2715" s="6">
        <v>5.8400000000000001E-2</v>
      </c>
      <c r="O2715" s="5">
        <v>14.532999999999999</v>
      </c>
      <c r="P2715" s="6">
        <v>9.6299999999999997E-2</v>
      </c>
      <c r="Q2715" s="5">
        <v>764160.67599999998</v>
      </c>
      <c r="R2715" s="1" t="s">
        <v>44</v>
      </c>
      <c r="S2715" s="1" t="s">
        <v>94</v>
      </c>
      <c r="T2715" s="1" t="s">
        <v>93</v>
      </c>
      <c r="V2715" s="1" t="s">
        <v>183</v>
      </c>
      <c r="Y2715" s="1" t="s">
        <v>461</v>
      </c>
      <c r="Z2715" s="1" t="str">
        <f t="shared" si="126"/>
        <v>55247 CT2</v>
      </c>
      <c r="AA2715" s="3">
        <f>IF(INDEX('CAMD Facility Data 2023'!$AA$2:$AE$10000,MATCH(Z2715,'CAMD Facility Data 2023'!$AE$2:$AE$10000,0),1)&gt;0,INDEX('CAMD Facility Data 2023'!$AA$2:$AE$10000,MATCH(Z2715,'CAMD Facility Data 2023'!$AE$2:$AE$10000,0),1),"")</f>
        <v>37020</v>
      </c>
      <c r="AB2715" s="5">
        <f>IF(INDEX('CAMD Facility Data 2023'!$AC$2:$AE$10000,MATCH(Z2715,'CAMD Facility Data 2023'!$AE$2:$AE$10000,0),1)&gt;0,INDEX('CAMD Facility Data 2023'!$AC$2:$AE$10000,MATCH(Z2715,'CAMD Facility Data 2023'!$AE$2:$AE$10000,0),1),"")</f>
        <v>1115</v>
      </c>
      <c r="AC2715" s="1" t="str">
        <f>IF(INDEX('CAMD Facility Data 2023'!$AE$2:$AG$10000,MATCH(Z2715,'CAMD Facility Data 2023'!$AE$2:$AE$10000,0),3)&gt;0,INDEX('CAMD Facility Data 2023'!$AE$2:$AG$10000,MATCH(Z2715,'CAMD Facility Data 2023'!$AE$2:$AE$10000,0),3),"")</f>
        <v/>
      </c>
      <c r="AD2715" s="20">
        <f t="shared" si="127"/>
        <v>0.28273240942563282</v>
      </c>
      <c r="AE2715" s="25">
        <f t="shared" si="128"/>
        <v>7.8235833077379857E-2</v>
      </c>
    </row>
    <row r="2716" spans="1:31" x14ac:dyDescent="0.2">
      <c r="A2716" s="1" t="s">
        <v>2430</v>
      </c>
      <c r="B2716" s="1" t="s">
        <v>6236</v>
      </c>
      <c r="C2716" s="1">
        <v>55247</v>
      </c>
      <c r="D2716" s="1" t="s">
        <v>101</v>
      </c>
      <c r="F2716" s="1">
        <v>2023</v>
      </c>
      <c r="G2716" s="5">
        <v>1649</v>
      </c>
      <c r="H2716" s="5">
        <v>1442.83</v>
      </c>
      <c r="I2716" s="5">
        <v>103074.27</v>
      </c>
      <c r="K2716" s="5">
        <v>0.19900000000000001</v>
      </c>
      <c r="L2716" s="5">
        <v>5.0000000000000001E-4</v>
      </c>
      <c r="M2716" s="5">
        <v>40062.021000000001</v>
      </c>
      <c r="N2716" s="6">
        <v>5.79E-2</v>
      </c>
      <c r="O2716" s="5">
        <v>12.289</v>
      </c>
      <c r="P2716" s="6">
        <v>0.1105</v>
      </c>
      <c r="Q2716" s="5">
        <v>673691.67700000003</v>
      </c>
      <c r="R2716" s="1" t="s">
        <v>44</v>
      </c>
      <c r="S2716" s="1" t="s">
        <v>94</v>
      </c>
      <c r="T2716" s="1" t="s">
        <v>93</v>
      </c>
      <c r="V2716" s="1" t="s">
        <v>183</v>
      </c>
      <c r="Y2716" s="1" t="s">
        <v>461</v>
      </c>
      <c r="Z2716" s="1" t="str">
        <f t="shared" si="126"/>
        <v>55247 CT3</v>
      </c>
      <c r="AA2716" s="3">
        <f>IF(INDEX('CAMD Facility Data 2023'!$AA$2:$AE$10000,MATCH(Z2716,'CAMD Facility Data 2023'!$AE$2:$AE$10000,0),1)&gt;0,INDEX('CAMD Facility Data 2023'!$AA$2:$AE$10000,MATCH(Z2716,'CAMD Facility Data 2023'!$AE$2:$AE$10000,0),1),"")</f>
        <v>37033</v>
      </c>
      <c r="AB2716" s="5">
        <f>IF(INDEX('CAMD Facility Data 2023'!$AC$2:$AE$10000,MATCH(Z2716,'CAMD Facility Data 2023'!$AE$2:$AE$10000,0),1)&gt;0,INDEX('CAMD Facility Data 2023'!$AC$2:$AE$10000,MATCH(Z2716,'CAMD Facility Data 2023'!$AE$2:$AE$10000,0),1),"")</f>
        <v>1115</v>
      </c>
      <c r="AC2716" s="1" t="str">
        <f>IF(INDEX('CAMD Facility Data 2023'!$AE$2:$AG$10000,MATCH(Z2716,'CAMD Facility Data 2023'!$AE$2:$AE$10000,0),3)&gt;0,INDEX('CAMD Facility Data 2023'!$AE$2:$AG$10000,MATCH(Z2716,'CAMD Facility Data 2023'!$AE$2:$AE$10000,0),3),"")</f>
        <v/>
      </c>
      <c r="AD2716" s="20">
        <f t="shared" si="127"/>
        <v>0.23844942098546998</v>
      </c>
      <c r="AE2716" s="25">
        <f t="shared" si="128"/>
        <v>6.8973491103057116E-2</v>
      </c>
    </row>
    <row r="2717" spans="1:31" x14ac:dyDescent="0.2">
      <c r="A2717" s="1" t="s">
        <v>2430</v>
      </c>
      <c r="B2717" s="1" t="s">
        <v>6236</v>
      </c>
      <c r="C2717" s="1">
        <v>55247</v>
      </c>
      <c r="D2717" s="1" t="s">
        <v>103</v>
      </c>
      <c r="F2717" s="1">
        <v>2023</v>
      </c>
      <c r="G2717" s="5">
        <v>1374</v>
      </c>
      <c r="H2717" s="5">
        <v>1218.56</v>
      </c>
      <c r="I2717" s="5">
        <v>86978.85</v>
      </c>
      <c r="K2717" s="5">
        <v>0.122</v>
      </c>
      <c r="L2717" s="5">
        <v>4.0000000000000002E-4</v>
      </c>
      <c r="M2717" s="5">
        <v>25218.393</v>
      </c>
      <c r="N2717" s="6">
        <v>5.79E-2</v>
      </c>
      <c r="O2717" s="5">
        <v>9.8179999999999996</v>
      </c>
      <c r="P2717" s="6">
        <v>0.13159999999999999</v>
      </c>
      <c r="Q2717" s="5">
        <v>422129.73700000002</v>
      </c>
      <c r="R2717" s="1" t="s">
        <v>44</v>
      </c>
      <c r="S2717" s="1" t="s">
        <v>94</v>
      </c>
      <c r="T2717" s="1" t="s">
        <v>93</v>
      </c>
      <c r="V2717" s="1" t="s">
        <v>183</v>
      </c>
      <c r="Y2717" s="1" t="s">
        <v>461</v>
      </c>
      <c r="Z2717" s="1" t="str">
        <f t="shared" si="126"/>
        <v>55247 CT4</v>
      </c>
      <c r="AA2717" s="3">
        <f>IF(INDEX('CAMD Facility Data 2023'!$AA$2:$AE$10000,MATCH(Z2717,'CAMD Facility Data 2023'!$AE$2:$AE$10000,0),1)&gt;0,INDEX('CAMD Facility Data 2023'!$AA$2:$AE$10000,MATCH(Z2717,'CAMD Facility Data 2023'!$AE$2:$AE$10000,0),1),"")</f>
        <v>37033</v>
      </c>
      <c r="AB2717" s="5">
        <f>IF(INDEX('CAMD Facility Data 2023'!$AC$2:$AE$10000,MATCH(Z2717,'CAMD Facility Data 2023'!$AE$2:$AE$10000,0),1)&gt;0,INDEX('CAMD Facility Data 2023'!$AC$2:$AE$10000,MATCH(Z2717,'CAMD Facility Data 2023'!$AE$2:$AE$10000,0),1),"")</f>
        <v>1115</v>
      </c>
      <c r="AC2717" s="1" t="str">
        <f>IF(INDEX('CAMD Facility Data 2023'!$AE$2:$AG$10000,MATCH(Z2717,'CAMD Facility Data 2023'!$AE$2:$AE$10000,0),3)&gt;0,INDEX('CAMD Facility Data 2023'!$AE$2:$AG$10000,MATCH(Z2717,'CAMD Facility Data 2023'!$AE$2:$AE$10000,0),3),"")</f>
        <v/>
      </c>
      <c r="AD2717" s="20">
        <f t="shared" si="127"/>
        <v>0.22575603149501286</v>
      </c>
      <c r="AE2717" s="25">
        <f t="shared" si="128"/>
        <v>4.3218229723365482E-2</v>
      </c>
    </row>
    <row r="2718" spans="1:31" x14ac:dyDescent="0.2">
      <c r="A2718" s="1" t="s">
        <v>2430</v>
      </c>
      <c r="B2718" s="1" t="s">
        <v>6236</v>
      </c>
      <c r="C2718" s="1">
        <v>55247</v>
      </c>
      <c r="D2718" s="1" t="s">
        <v>105</v>
      </c>
      <c r="F2718" s="1">
        <v>2023</v>
      </c>
      <c r="G2718" s="5">
        <v>1414</v>
      </c>
      <c r="H2718" s="5">
        <v>1253.3900000000001</v>
      </c>
      <c r="I2718" s="5">
        <v>89936.66</v>
      </c>
      <c r="K2718" s="5">
        <v>0.16300000000000001</v>
      </c>
      <c r="L2718" s="5">
        <v>5.0000000000000001E-4</v>
      </c>
      <c r="M2718" s="5">
        <v>33556.205999999998</v>
      </c>
      <c r="N2718" s="6">
        <v>5.7500000000000002E-2</v>
      </c>
      <c r="O2718" s="5">
        <v>11.27</v>
      </c>
      <c r="P2718" s="6">
        <v>0.1105</v>
      </c>
      <c r="Q2718" s="5">
        <v>564566.00800000003</v>
      </c>
      <c r="R2718" s="1" t="s">
        <v>44</v>
      </c>
      <c r="S2718" s="1" t="s">
        <v>94</v>
      </c>
      <c r="T2718" s="1" t="s">
        <v>93</v>
      </c>
      <c r="V2718" s="1" t="s">
        <v>183</v>
      </c>
      <c r="Y2718" s="1" t="s">
        <v>461</v>
      </c>
      <c r="Z2718" s="1" t="str">
        <f t="shared" si="126"/>
        <v>55247 CT5</v>
      </c>
      <c r="AA2718" s="3">
        <f>IF(INDEX('CAMD Facility Data 2023'!$AA$2:$AE$10000,MATCH(Z2718,'CAMD Facility Data 2023'!$AE$2:$AE$10000,0),1)&gt;0,INDEX('CAMD Facility Data 2023'!$AA$2:$AE$10000,MATCH(Z2718,'CAMD Facility Data 2023'!$AE$2:$AE$10000,0),1),"")</f>
        <v>37400</v>
      </c>
      <c r="AB2718" s="5">
        <f>IF(INDEX('CAMD Facility Data 2023'!$AC$2:$AE$10000,MATCH(Z2718,'CAMD Facility Data 2023'!$AE$2:$AE$10000,0),1)&gt;0,INDEX('CAMD Facility Data 2023'!$AC$2:$AE$10000,MATCH(Z2718,'CAMD Facility Data 2023'!$AE$2:$AE$10000,0),1),"")</f>
        <v>1115</v>
      </c>
      <c r="AC2718" s="1" t="str">
        <f>IF(INDEX('CAMD Facility Data 2023'!$AE$2:$AG$10000,MATCH(Z2718,'CAMD Facility Data 2023'!$AE$2:$AE$10000,0),3)&gt;0,INDEX('CAMD Facility Data 2023'!$AE$2:$AG$10000,MATCH(Z2718,'CAMD Facility Data 2023'!$AE$2:$AE$10000,0),3),"")</f>
        <v/>
      </c>
      <c r="AD2718" s="20">
        <f t="shared" si="127"/>
        <v>0.25062082581229944</v>
      </c>
      <c r="AE2718" s="25">
        <f t="shared" si="128"/>
        <v>5.7801053299752242E-2</v>
      </c>
    </row>
    <row r="2719" spans="1:31" x14ac:dyDescent="0.2">
      <c r="A2719" s="1" t="s">
        <v>2430</v>
      </c>
      <c r="B2719" s="1" t="s">
        <v>6236</v>
      </c>
      <c r="C2719" s="1">
        <v>55247</v>
      </c>
      <c r="D2719" s="1" t="s">
        <v>107</v>
      </c>
      <c r="F2719" s="1">
        <v>2023</v>
      </c>
      <c r="G2719" s="5">
        <v>1407</v>
      </c>
      <c r="H2719" s="5">
        <v>1247.08</v>
      </c>
      <c r="I2719" s="5">
        <v>88225.71</v>
      </c>
      <c r="K2719" s="5">
        <v>0.16</v>
      </c>
      <c r="L2719" s="5">
        <v>5.0000000000000001E-4</v>
      </c>
      <c r="M2719" s="5">
        <v>33010.294000000002</v>
      </c>
      <c r="N2719" s="6">
        <v>5.7500000000000002E-2</v>
      </c>
      <c r="O2719" s="5">
        <v>11.388999999999999</v>
      </c>
      <c r="P2719" s="6">
        <v>0.1132</v>
      </c>
      <c r="Q2719" s="5">
        <v>555093.00899999996</v>
      </c>
      <c r="R2719" s="1" t="s">
        <v>44</v>
      </c>
      <c r="S2719" s="1" t="s">
        <v>94</v>
      </c>
      <c r="T2719" s="1" t="s">
        <v>93</v>
      </c>
      <c r="V2719" s="1" t="s">
        <v>183</v>
      </c>
      <c r="Y2719" s="1" t="s">
        <v>461</v>
      </c>
      <c r="Z2719" s="1" t="str">
        <f t="shared" si="126"/>
        <v>55247 CT6</v>
      </c>
      <c r="AA2719" s="3">
        <f>IF(INDEX('CAMD Facility Data 2023'!$AA$2:$AE$10000,MATCH(Z2719,'CAMD Facility Data 2023'!$AE$2:$AE$10000,0),1)&gt;0,INDEX('CAMD Facility Data 2023'!$AA$2:$AE$10000,MATCH(Z2719,'CAMD Facility Data 2023'!$AE$2:$AE$10000,0),1),"")</f>
        <v>37398</v>
      </c>
      <c r="AB2719" s="5">
        <f>IF(INDEX('CAMD Facility Data 2023'!$AC$2:$AE$10000,MATCH(Z2719,'CAMD Facility Data 2023'!$AE$2:$AE$10000,0),1)&gt;0,INDEX('CAMD Facility Data 2023'!$AC$2:$AE$10000,MATCH(Z2719,'CAMD Facility Data 2023'!$AE$2:$AE$10000,0),1),"")</f>
        <v>1115</v>
      </c>
      <c r="AC2719" s="1" t="str">
        <f>IF(INDEX('CAMD Facility Data 2023'!$AE$2:$AG$10000,MATCH(Z2719,'CAMD Facility Data 2023'!$AE$2:$AE$10000,0),3)&gt;0,INDEX('CAMD Facility Data 2023'!$AE$2:$AG$10000,MATCH(Z2719,'CAMD Facility Data 2023'!$AE$2:$AE$10000,0),3),"")</f>
        <v/>
      </c>
      <c r="AD2719" s="20">
        <f t="shared" si="127"/>
        <v>0.25817871003815102</v>
      </c>
      <c r="AE2719" s="25">
        <f t="shared" si="128"/>
        <v>5.6831194483690638E-2</v>
      </c>
    </row>
    <row r="2720" spans="1:31" x14ac:dyDescent="0.2">
      <c r="A2720" s="1" t="s">
        <v>2430</v>
      </c>
      <c r="B2720" s="1" t="s">
        <v>6246</v>
      </c>
      <c r="C2720" s="1">
        <v>55248</v>
      </c>
      <c r="D2720" s="1" t="s">
        <v>103</v>
      </c>
      <c r="F2720" s="1">
        <v>2023</v>
      </c>
      <c r="G2720" s="5">
        <v>3551</v>
      </c>
      <c r="H2720" s="5">
        <v>3193.24</v>
      </c>
      <c r="I2720" s="5">
        <v>212897.66</v>
      </c>
      <c r="K2720" s="5">
        <v>0.93799999999999994</v>
      </c>
      <c r="L2720" s="5">
        <v>1.6000000000000001E-3</v>
      </c>
      <c r="M2720" s="5">
        <v>159891.6</v>
      </c>
      <c r="N2720" s="6">
        <v>5.91E-2</v>
      </c>
      <c r="O2720" s="5">
        <v>86.825000000000003</v>
      </c>
      <c r="P2720" s="6">
        <v>0.15640000000000001</v>
      </c>
      <c r="Q2720" s="5">
        <v>2710187.8</v>
      </c>
      <c r="R2720" s="1" t="s">
        <v>44</v>
      </c>
      <c r="S2720" s="1" t="s">
        <v>94</v>
      </c>
      <c r="T2720" s="1" t="s">
        <v>93</v>
      </c>
      <c r="V2720" s="1" t="s">
        <v>3508</v>
      </c>
      <c r="Y2720" s="1" t="s">
        <v>461</v>
      </c>
      <c r="Z2720" s="1" t="str">
        <f t="shared" si="126"/>
        <v>55248 CT4</v>
      </c>
      <c r="AA2720" s="3">
        <f>IF(INDEX('CAMD Facility Data 2023'!$AA$2:$AE$10000,MATCH(Z2720,'CAMD Facility Data 2023'!$AE$2:$AE$10000,0),1)&gt;0,INDEX('CAMD Facility Data 2023'!$AA$2:$AE$10000,MATCH(Z2720,'CAMD Facility Data 2023'!$AE$2:$AE$10000,0),1),"")</f>
        <v>37385</v>
      </c>
      <c r="AB2720" s="5">
        <f>IF(INDEX('CAMD Facility Data 2023'!$AC$2:$AE$10000,MATCH(Z2720,'CAMD Facility Data 2023'!$AE$2:$AE$10000,0),1)&gt;0,INDEX('CAMD Facility Data 2023'!$AC$2:$AE$10000,MATCH(Z2720,'CAMD Facility Data 2023'!$AE$2:$AE$10000,0),1),"")</f>
        <v>1160</v>
      </c>
      <c r="AC2720" s="1" t="str">
        <f>IF(INDEX('CAMD Facility Data 2023'!$AE$2:$AG$10000,MATCH(Z2720,'CAMD Facility Data 2023'!$AE$2:$AE$10000,0),3)&gt;0,INDEX('CAMD Facility Data 2023'!$AE$2:$AG$10000,MATCH(Z2720,'CAMD Facility Data 2023'!$AE$2:$AE$10000,0),3),"")</f>
        <v/>
      </c>
      <c r="AD2720" s="20">
        <f t="shared" si="127"/>
        <v>0.81565011095002171</v>
      </c>
      <c r="AE2720" s="25">
        <f t="shared" si="128"/>
        <v>0.26670876633601004</v>
      </c>
    </row>
    <row r="2721" spans="1:31" x14ac:dyDescent="0.2">
      <c r="A2721" s="1" t="s">
        <v>2430</v>
      </c>
      <c r="B2721" s="1" t="s">
        <v>6246</v>
      </c>
      <c r="C2721" s="1">
        <v>55248</v>
      </c>
      <c r="D2721" s="1" t="s">
        <v>105</v>
      </c>
      <c r="F2721" s="1">
        <v>2023</v>
      </c>
      <c r="G2721" s="5">
        <v>3599</v>
      </c>
      <c r="H2721" s="5">
        <v>3240.92</v>
      </c>
      <c r="I2721" s="5">
        <v>222400.79</v>
      </c>
      <c r="K2721" s="5">
        <v>2.9809999999999999</v>
      </c>
      <c r="L2721" s="5">
        <v>2.5999999999999999E-3</v>
      </c>
      <c r="M2721" s="5">
        <v>169157.3</v>
      </c>
      <c r="N2721" s="6">
        <v>5.8999999999999997E-2</v>
      </c>
      <c r="O2721" s="5">
        <v>95.356999999999999</v>
      </c>
      <c r="P2721" s="6">
        <v>0.15609999999999999</v>
      </c>
      <c r="Q2721" s="5">
        <v>2864074.7</v>
      </c>
      <c r="R2721" s="1" t="s">
        <v>44</v>
      </c>
      <c r="S2721" s="1" t="s">
        <v>94</v>
      </c>
      <c r="T2721" s="1" t="s">
        <v>93</v>
      </c>
      <c r="V2721" s="1" t="s">
        <v>3508</v>
      </c>
      <c r="Y2721" s="1" t="s">
        <v>461</v>
      </c>
      <c r="Z2721" s="1" t="str">
        <f t="shared" si="126"/>
        <v>55248 CT5</v>
      </c>
      <c r="AA2721" s="3">
        <f>IF(INDEX('CAMD Facility Data 2023'!$AA$2:$AE$10000,MATCH(Z2721,'CAMD Facility Data 2023'!$AE$2:$AE$10000,0),1)&gt;0,INDEX('CAMD Facility Data 2023'!$AA$2:$AE$10000,MATCH(Z2721,'CAMD Facility Data 2023'!$AE$2:$AE$10000,0),1),"")</f>
        <v>37377</v>
      </c>
      <c r="AB2721" s="5">
        <f>IF(INDEX('CAMD Facility Data 2023'!$AC$2:$AE$10000,MATCH(Z2721,'CAMD Facility Data 2023'!$AE$2:$AE$10000,0),1)&gt;0,INDEX('CAMD Facility Data 2023'!$AC$2:$AE$10000,MATCH(Z2721,'CAMD Facility Data 2023'!$AE$2:$AE$10000,0),1),"")</f>
        <v>1160</v>
      </c>
      <c r="AC2721" s="1" t="str">
        <f>IF(INDEX('CAMD Facility Data 2023'!$AE$2:$AG$10000,MATCH(Z2721,'CAMD Facility Data 2023'!$AE$2:$AE$10000,0),3)&gt;0,INDEX('CAMD Facility Data 2023'!$AE$2:$AG$10000,MATCH(Z2721,'CAMD Facility Data 2023'!$AE$2:$AE$10000,0),3),"")</f>
        <v/>
      </c>
      <c r="AD2721" s="20">
        <f t="shared" si="127"/>
        <v>0.85752393235653523</v>
      </c>
      <c r="AE2721" s="25">
        <f t="shared" si="128"/>
        <v>0.2818527298850575</v>
      </c>
    </row>
    <row r="2722" spans="1:31" x14ac:dyDescent="0.2">
      <c r="A2722" s="1" t="s">
        <v>2430</v>
      </c>
      <c r="B2722" s="1" t="s">
        <v>6246</v>
      </c>
      <c r="C2722" s="1">
        <v>55248</v>
      </c>
      <c r="D2722" s="1" t="s">
        <v>107</v>
      </c>
      <c r="F2722" s="1">
        <v>2023</v>
      </c>
      <c r="G2722" s="5">
        <v>3913</v>
      </c>
      <c r="H2722" s="5">
        <v>3520.03</v>
      </c>
      <c r="I2722" s="5">
        <v>237069.34</v>
      </c>
      <c r="K2722" s="5">
        <v>1.002</v>
      </c>
      <c r="L2722" s="5">
        <v>1E-3</v>
      </c>
      <c r="M2722" s="5">
        <v>179788.2</v>
      </c>
      <c r="N2722" s="6">
        <v>5.8999999999999997E-2</v>
      </c>
      <c r="O2722" s="5">
        <v>115.486</v>
      </c>
      <c r="P2722" s="6">
        <v>0.16550000000000001</v>
      </c>
      <c r="Q2722" s="5">
        <v>3047335.1</v>
      </c>
      <c r="R2722" s="1" t="s">
        <v>44</v>
      </c>
      <c r="S2722" s="1" t="s">
        <v>94</v>
      </c>
      <c r="T2722" s="1" t="s">
        <v>93</v>
      </c>
      <c r="V2722" s="1" t="s">
        <v>3508</v>
      </c>
      <c r="Y2722" s="1" t="s">
        <v>461</v>
      </c>
      <c r="Z2722" s="1" t="str">
        <f t="shared" si="126"/>
        <v>55248 CT6</v>
      </c>
      <c r="AA2722" s="3">
        <f>IF(INDEX('CAMD Facility Data 2023'!$AA$2:$AE$10000,MATCH(Z2722,'CAMD Facility Data 2023'!$AE$2:$AE$10000,0),1)&gt;0,INDEX('CAMD Facility Data 2023'!$AA$2:$AE$10000,MATCH(Z2722,'CAMD Facility Data 2023'!$AE$2:$AE$10000,0),1),"")</f>
        <v>37370</v>
      </c>
      <c r="AB2722" s="5">
        <f>IF(INDEX('CAMD Facility Data 2023'!$AC$2:$AE$10000,MATCH(Z2722,'CAMD Facility Data 2023'!$AE$2:$AE$10000,0),1)&gt;0,INDEX('CAMD Facility Data 2023'!$AC$2:$AE$10000,MATCH(Z2722,'CAMD Facility Data 2023'!$AE$2:$AE$10000,0),1),"")</f>
        <v>1160</v>
      </c>
      <c r="AC2722" s="1" t="str">
        <f>IF(INDEX('CAMD Facility Data 2023'!$AE$2:$AG$10000,MATCH(Z2722,'CAMD Facility Data 2023'!$AE$2:$AE$10000,0),3)&gt;0,INDEX('CAMD Facility Data 2023'!$AE$2:$AG$10000,MATCH(Z2722,'CAMD Facility Data 2023'!$AE$2:$AE$10000,0),3),"")</f>
        <v/>
      </c>
      <c r="AD2722" s="20">
        <f t="shared" si="127"/>
        <v>0.97428035190041873</v>
      </c>
      <c r="AE2722" s="25">
        <f t="shared" si="128"/>
        <v>0.29988733073531726</v>
      </c>
    </row>
    <row r="2723" spans="1:31" x14ac:dyDescent="0.2">
      <c r="A2723" s="1" t="s">
        <v>2430</v>
      </c>
      <c r="B2723" s="1" t="s">
        <v>6246</v>
      </c>
      <c r="C2723" s="1">
        <v>55248</v>
      </c>
      <c r="D2723" s="1" t="s">
        <v>109</v>
      </c>
      <c r="F2723" s="1">
        <v>2023</v>
      </c>
      <c r="G2723" s="5">
        <v>3866</v>
      </c>
      <c r="H2723" s="5">
        <v>3482.84</v>
      </c>
      <c r="I2723" s="5">
        <v>231641.58</v>
      </c>
      <c r="K2723" s="5">
        <v>0.89700000000000002</v>
      </c>
      <c r="L2723" s="5">
        <v>1E-3</v>
      </c>
      <c r="M2723" s="5">
        <v>168368.5</v>
      </c>
      <c r="N2723" s="6">
        <v>5.8999999999999997E-2</v>
      </c>
      <c r="O2723" s="5">
        <v>91.947000000000003</v>
      </c>
      <c r="P2723" s="6">
        <v>0.15229999999999999</v>
      </c>
      <c r="Q2723" s="5">
        <v>2852796.3</v>
      </c>
      <c r="R2723" s="1" t="s">
        <v>44</v>
      </c>
      <c r="S2723" s="1" t="s">
        <v>94</v>
      </c>
      <c r="T2723" s="1" t="s">
        <v>93</v>
      </c>
      <c r="V2723" s="1" t="s">
        <v>3508</v>
      </c>
      <c r="Y2723" s="1" t="s">
        <v>461</v>
      </c>
      <c r="Z2723" s="1" t="str">
        <f t="shared" si="126"/>
        <v>55248 CT7</v>
      </c>
      <c r="AA2723" s="3">
        <f>IF(INDEX('CAMD Facility Data 2023'!$AA$2:$AE$10000,MATCH(Z2723,'CAMD Facility Data 2023'!$AE$2:$AE$10000,0),1)&gt;0,INDEX('CAMD Facility Data 2023'!$AA$2:$AE$10000,MATCH(Z2723,'CAMD Facility Data 2023'!$AE$2:$AE$10000,0),1),"")</f>
        <v>37363</v>
      </c>
      <c r="AB2723" s="5">
        <f>IF(INDEX('CAMD Facility Data 2023'!$AC$2:$AE$10000,MATCH(Z2723,'CAMD Facility Data 2023'!$AE$2:$AE$10000,0),1)&gt;0,INDEX('CAMD Facility Data 2023'!$AC$2:$AE$10000,MATCH(Z2723,'CAMD Facility Data 2023'!$AE$2:$AE$10000,0),1),"")</f>
        <v>1160</v>
      </c>
      <c r="AC2723" s="1" t="str">
        <f>IF(INDEX('CAMD Facility Data 2023'!$AE$2:$AG$10000,MATCH(Z2723,'CAMD Facility Data 2023'!$AE$2:$AE$10000,0),3)&gt;0,INDEX('CAMD Facility Data 2023'!$AE$2:$AG$10000,MATCH(Z2723,'CAMD Facility Data 2023'!$AE$2:$AE$10000,0),3),"")</f>
        <v/>
      </c>
      <c r="AD2723" s="20">
        <f t="shared" si="127"/>
        <v>0.79387301709822566</v>
      </c>
      <c r="AE2723" s="25">
        <f t="shared" si="128"/>
        <v>0.28074282593292393</v>
      </c>
    </row>
    <row r="2724" spans="1:31" x14ac:dyDescent="0.2">
      <c r="A2724" s="1" t="s">
        <v>458</v>
      </c>
      <c r="B2724" s="1" t="s">
        <v>6248</v>
      </c>
      <c r="C2724" s="1">
        <v>55250</v>
      </c>
      <c r="D2724" s="1" t="s">
        <v>6249</v>
      </c>
      <c r="E2724" s="1" t="s">
        <v>1881</v>
      </c>
      <c r="F2724" s="1">
        <v>2023</v>
      </c>
      <c r="G2724" s="5">
        <v>208</v>
      </c>
      <c r="H2724" s="5">
        <v>185.69</v>
      </c>
      <c r="I2724" s="5">
        <v>4590.17</v>
      </c>
      <c r="K2724" s="5">
        <v>1.6E-2</v>
      </c>
      <c r="L2724" s="5">
        <v>8.9999999999999998E-4</v>
      </c>
      <c r="M2724" s="5">
        <v>2712.92</v>
      </c>
      <c r="N2724" s="6">
        <v>5.9299999999999999E-2</v>
      </c>
      <c r="O2724" s="5">
        <v>3.5670000000000002</v>
      </c>
      <c r="P2724" s="6">
        <v>0.2268</v>
      </c>
      <c r="Q2724" s="5">
        <v>45669.591999999997</v>
      </c>
      <c r="R2724" s="1" t="s">
        <v>44</v>
      </c>
      <c r="T2724" s="1" t="s">
        <v>93</v>
      </c>
      <c r="V2724" s="1" t="s">
        <v>95</v>
      </c>
      <c r="Y2724" s="1" t="s">
        <v>461</v>
      </c>
      <c r="Z2724" s="1" t="str">
        <f t="shared" si="126"/>
        <v>55250 UP1</v>
      </c>
      <c r="AA2724" s="3">
        <f>IF(INDEX('CAMD Facility Data 2023'!$AA$2:$AE$10000,MATCH(Z2724,'CAMD Facility Data 2023'!$AE$2:$AE$10000,0),1)&gt;0,INDEX('CAMD Facility Data 2023'!$AA$2:$AE$10000,MATCH(Z2724,'CAMD Facility Data 2023'!$AE$2:$AE$10000,0),1),"")</f>
        <v>37025</v>
      </c>
      <c r="AB2724" s="5">
        <f>IF(INDEX('CAMD Facility Data 2023'!$AC$2:$AE$10000,MATCH(Z2724,'CAMD Facility Data 2023'!$AE$2:$AE$10000,0),1)&gt;0,INDEX('CAMD Facility Data 2023'!$AC$2:$AE$10000,MATCH(Z2724,'CAMD Facility Data 2023'!$AE$2:$AE$10000,0),1),"")</f>
        <v>300</v>
      </c>
      <c r="AC2724" s="1" t="str">
        <f>IF(INDEX('CAMD Facility Data 2023'!$AE$2:$AG$10000,MATCH(Z2724,'CAMD Facility Data 2023'!$AE$2:$AE$10000,0),3)&gt;0,INDEX('CAMD Facility Data 2023'!$AE$2:$AG$10000,MATCH(Z2724,'CAMD Facility Data 2023'!$AE$2:$AE$10000,0),3),"")</f>
        <v/>
      </c>
      <c r="AD2724" s="20">
        <f t="shared" si="127"/>
        <v>1.5541908033907241</v>
      </c>
      <c r="AE2724" s="25">
        <f t="shared" si="128"/>
        <v>1.737807914764079E-2</v>
      </c>
    </row>
    <row r="2725" spans="1:31" x14ac:dyDescent="0.2">
      <c r="A2725" s="1" t="s">
        <v>458</v>
      </c>
      <c r="B2725" s="1" t="s">
        <v>6248</v>
      </c>
      <c r="C2725" s="1">
        <v>55250</v>
      </c>
      <c r="D2725" s="1" t="s">
        <v>6252</v>
      </c>
      <c r="E2725" s="1" t="s">
        <v>1881</v>
      </c>
      <c r="F2725" s="1">
        <v>2023</v>
      </c>
      <c r="G2725" s="5">
        <v>260</v>
      </c>
      <c r="H2725" s="5">
        <v>227.25</v>
      </c>
      <c r="I2725" s="5">
        <v>5519.5</v>
      </c>
      <c r="K2725" s="5">
        <v>0.02</v>
      </c>
      <c r="L2725" s="5">
        <v>8.0000000000000004E-4</v>
      </c>
      <c r="M2725" s="5">
        <v>3316.433</v>
      </c>
      <c r="N2725" s="6">
        <v>5.9299999999999999E-2</v>
      </c>
      <c r="O2725" s="5">
        <v>4.9000000000000004</v>
      </c>
      <c r="P2725" s="6">
        <v>0.25590000000000002</v>
      </c>
      <c r="Q2725" s="5">
        <v>55822.124000000003</v>
      </c>
      <c r="R2725" s="1" t="s">
        <v>44</v>
      </c>
      <c r="T2725" s="1" t="s">
        <v>93</v>
      </c>
      <c r="V2725" s="1" t="s">
        <v>95</v>
      </c>
      <c r="Y2725" s="1" t="s">
        <v>461</v>
      </c>
      <c r="Z2725" s="1" t="str">
        <f t="shared" si="126"/>
        <v>55250 UP10</v>
      </c>
      <c r="AA2725" s="3">
        <f>IF(INDEX('CAMD Facility Data 2023'!$AA$2:$AE$10000,MATCH(Z2725,'CAMD Facility Data 2023'!$AE$2:$AE$10000,0),1)&gt;0,INDEX('CAMD Facility Data 2023'!$AA$2:$AE$10000,MATCH(Z2725,'CAMD Facility Data 2023'!$AE$2:$AE$10000,0),1),"")</f>
        <v>37036</v>
      </c>
      <c r="AB2725" s="5">
        <f>IF(INDEX('CAMD Facility Data 2023'!$AC$2:$AE$10000,MATCH(Z2725,'CAMD Facility Data 2023'!$AE$2:$AE$10000,0),1)&gt;0,INDEX('CAMD Facility Data 2023'!$AC$2:$AE$10000,MATCH(Z2725,'CAMD Facility Data 2023'!$AE$2:$AE$10000,0),1),"")</f>
        <v>300</v>
      </c>
      <c r="AC2725" s="1" t="str">
        <f>IF(INDEX('CAMD Facility Data 2023'!$AE$2:$AG$10000,MATCH(Z2725,'CAMD Facility Data 2023'!$AE$2:$AE$10000,0),3)&gt;0,INDEX('CAMD Facility Data 2023'!$AE$2:$AG$10000,MATCH(Z2725,'CAMD Facility Data 2023'!$AE$2:$AE$10000,0),3),"")</f>
        <v/>
      </c>
      <c r="AD2725" s="20">
        <f t="shared" si="127"/>
        <v>1.7755231452124287</v>
      </c>
      <c r="AE2725" s="25">
        <f t="shared" si="128"/>
        <v>2.1241295281582955E-2</v>
      </c>
    </row>
    <row r="2726" spans="1:31" x14ac:dyDescent="0.2">
      <c r="A2726" s="1" t="s">
        <v>458</v>
      </c>
      <c r="B2726" s="1" t="s">
        <v>6248</v>
      </c>
      <c r="C2726" s="1">
        <v>55250</v>
      </c>
      <c r="D2726" s="1" t="s">
        <v>6254</v>
      </c>
      <c r="E2726" s="1" t="s">
        <v>1881</v>
      </c>
      <c r="F2726" s="1">
        <v>2023</v>
      </c>
      <c r="G2726" s="5">
        <v>308</v>
      </c>
      <c r="H2726" s="5">
        <v>273.49</v>
      </c>
      <c r="I2726" s="5">
        <v>7032.74</v>
      </c>
      <c r="K2726" s="5">
        <v>2.5000000000000001E-2</v>
      </c>
      <c r="L2726" s="5">
        <v>8.0000000000000004E-4</v>
      </c>
      <c r="M2726" s="5">
        <v>4228.18</v>
      </c>
      <c r="N2726" s="6">
        <v>5.9299999999999999E-2</v>
      </c>
      <c r="O2726" s="5">
        <v>5.875</v>
      </c>
      <c r="P2726" s="6">
        <v>0.24060000000000001</v>
      </c>
      <c r="Q2726" s="5">
        <v>71153.884000000005</v>
      </c>
      <c r="R2726" s="1" t="s">
        <v>44</v>
      </c>
      <c r="T2726" s="1" t="s">
        <v>93</v>
      </c>
      <c r="V2726" s="1" t="s">
        <v>95</v>
      </c>
      <c r="Y2726" s="1" t="s">
        <v>461</v>
      </c>
      <c r="Z2726" s="1" t="str">
        <f t="shared" si="126"/>
        <v>55250 UP11</v>
      </c>
      <c r="AA2726" s="3">
        <f>IF(INDEX('CAMD Facility Data 2023'!$AA$2:$AE$10000,MATCH(Z2726,'CAMD Facility Data 2023'!$AE$2:$AE$10000,0),1)&gt;0,INDEX('CAMD Facility Data 2023'!$AA$2:$AE$10000,MATCH(Z2726,'CAMD Facility Data 2023'!$AE$2:$AE$10000,0),1),"")</f>
        <v>37086</v>
      </c>
      <c r="AB2726" s="5">
        <f>IF(INDEX('CAMD Facility Data 2023'!$AC$2:$AE$10000,MATCH(Z2726,'CAMD Facility Data 2023'!$AE$2:$AE$10000,0),1)&gt;0,INDEX('CAMD Facility Data 2023'!$AC$2:$AE$10000,MATCH(Z2726,'CAMD Facility Data 2023'!$AE$2:$AE$10000,0),1),"")</f>
        <v>300</v>
      </c>
      <c r="AC2726" s="1" t="str">
        <f>IF(INDEX('CAMD Facility Data 2023'!$AE$2:$AG$10000,MATCH(Z2726,'CAMD Facility Data 2023'!$AE$2:$AE$10000,0),3)&gt;0,INDEX('CAMD Facility Data 2023'!$AE$2:$AG$10000,MATCH(Z2726,'CAMD Facility Data 2023'!$AE$2:$AE$10000,0),3),"")</f>
        <v/>
      </c>
      <c r="AD2726" s="20">
        <f t="shared" si="127"/>
        <v>1.670757059126315</v>
      </c>
      <c r="AE2726" s="25">
        <f t="shared" si="128"/>
        <v>2.7075298325722984E-2</v>
      </c>
    </row>
    <row r="2727" spans="1:31" x14ac:dyDescent="0.2">
      <c r="A2727" s="1" t="s">
        <v>458</v>
      </c>
      <c r="B2727" s="1" t="s">
        <v>6248</v>
      </c>
      <c r="C2727" s="1">
        <v>55250</v>
      </c>
      <c r="D2727" s="1" t="s">
        <v>6256</v>
      </c>
      <c r="E2727" s="1" t="s">
        <v>1881</v>
      </c>
      <c r="F2727" s="1">
        <v>2023</v>
      </c>
      <c r="G2727" s="5">
        <v>313</v>
      </c>
      <c r="H2727" s="5">
        <v>279.33999999999997</v>
      </c>
      <c r="I2727" s="5">
        <v>6779.44</v>
      </c>
      <c r="K2727" s="5">
        <v>2.4E-2</v>
      </c>
      <c r="L2727" s="5">
        <v>8.0000000000000004E-4</v>
      </c>
      <c r="M2727" s="5">
        <v>4078.9859999999999</v>
      </c>
      <c r="N2727" s="6">
        <v>5.8999999999999997E-2</v>
      </c>
      <c r="O2727" s="5">
        <v>6.7750000000000004</v>
      </c>
      <c r="P2727" s="6">
        <v>0.2621</v>
      </c>
      <c r="Q2727" s="5">
        <v>68641.241999999998</v>
      </c>
      <c r="R2727" s="1" t="s">
        <v>44</v>
      </c>
      <c r="T2727" s="1" t="s">
        <v>93</v>
      </c>
      <c r="V2727" s="1" t="s">
        <v>95</v>
      </c>
      <c r="Y2727" s="1" t="s">
        <v>461</v>
      </c>
      <c r="Z2727" s="1" t="str">
        <f t="shared" si="126"/>
        <v>55250 UP12</v>
      </c>
      <c r="AA2727" s="3">
        <f>IF(INDEX('CAMD Facility Data 2023'!$AA$2:$AE$10000,MATCH(Z2727,'CAMD Facility Data 2023'!$AE$2:$AE$10000,0),1)&gt;0,INDEX('CAMD Facility Data 2023'!$AA$2:$AE$10000,MATCH(Z2727,'CAMD Facility Data 2023'!$AE$2:$AE$10000,0),1),"")</f>
        <v>37086</v>
      </c>
      <c r="AB2727" s="5">
        <f>IF(INDEX('CAMD Facility Data 2023'!$AC$2:$AE$10000,MATCH(Z2727,'CAMD Facility Data 2023'!$AE$2:$AE$10000,0),1)&gt;0,INDEX('CAMD Facility Data 2023'!$AC$2:$AE$10000,MATCH(Z2727,'CAMD Facility Data 2023'!$AE$2:$AE$10000,0),1),"")</f>
        <v>300</v>
      </c>
      <c r="AC2727" s="1" t="str">
        <f>IF(INDEX('CAMD Facility Data 2023'!$AE$2:$AG$10000,MATCH(Z2727,'CAMD Facility Data 2023'!$AE$2:$AE$10000,0),3)&gt;0,INDEX('CAMD Facility Data 2023'!$AE$2:$AG$10000,MATCH(Z2727,'CAMD Facility Data 2023'!$AE$2:$AE$10000,0),3),"")</f>
        <v/>
      </c>
      <c r="AD2727" s="20">
        <f t="shared" si="127"/>
        <v>1.998690157299128</v>
      </c>
      <c r="AE2727" s="25">
        <f t="shared" si="128"/>
        <v>2.6119194063926938E-2</v>
      </c>
    </row>
    <row r="2728" spans="1:31" x14ac:dyDescent="0.2">
      <c r="A2728" s="1" t="s">
        <v>458</v>
      </c>
      <c r="B2728" s="1" t="s">
        <v>6248</v>
      </c>
      <c r="C2728" s="1">
        <v>55250</v>
      </c>
      <c r="D2728" s="1" t="s">
        <v>6257</v>
      </c>
      <c r="E2728" s="1" t="s">
        <v>1881</v>
      </c>
      <c r="F2728" s="1">
        <v>2023</v>
      </c>
      <c r="G2728" s="5">
        <v>208</v>
      </c>
      <c r="H2728" s="5">
        <v>183.49</v>
      </c>
      <c r="I2728" s="5">
        <v>4462.8100000000004</v>
      </c>
      <c r="K2728" s="5">
        <v>1.6E-2</v>
      </c>
      <c r="L2728" s="5">
        <v>8.9999999999999998E-4</v>
      </c>
      <c r="M2728" s="5">
        <v>2634.3330000000001</v>
      </c>
      <c r="N2728" s="6">
        <v>5.9299999999999999E-2</v>
      </c>
      <c r="O2728" s="5">
        <v>4.57</v>
      </c>
      <c r="P2728" s="6">
        <v>0.27200000000000002</v>
      </c>
      <c r="Q2728" s="5">
        <v>44327.976000000002</v>
      </c>
      <c r="R2728" s="1" t="s">
        <v>44</v>
      </c>
      <c r="T2728" s="1" t="s">
        <v>93</v>
      </c>
      <c r="V2728" s="1" t="s">
        <v>95</v>
      </c>
      <c r="Y2728" s="1" t="s">
        <v>461</v>
      </c>
      <c r="Z2728" s="1" t="str">
        <f t="shared" si="126"/>
        <v>55250 UP2</v>
      </c>
      <c r="AA2728" s="3">
        <f>IF(INDEX('CAMD Facility Data 2023'!$AA$2:$AE$10000,MATCH(Z2728,'CAMD Facility Data 2023'!$AE$2:$AE$10000,0),1)&gt;0,INDEX('CAMD Facility Data 2023'!$AA$2:$AE$10000,MATCH(Z2728,'CAMD Facility Data 2023'!$AE$2:$AE$10000,0),1),"")</f>
        <v>37025</v>
      </c>
      <c r="AB2728" s="5">
        <f>IF(INDEX('CAMD Facility Data 2023'!$AC$2:$AE$10000,MATCH(Z2728,'CAMD Facility Data 2023'!$AE$2:$AE$10000,0),1)&gt;0,INDEX('CAMD Facility Data 2023'!$AC$2:$AE$10000,MATCH(Z2728,'CAMD Facility Data 2023'!$AE$2:$AE$10000,0),1),"")</f>
        <v>300</v>
      </c>
      <c r="AC2728" s="1" t="str">
        <f>IF(INDEX('CAMD Facility Data 2023'!$AE$2:$AG$10000,MATCH(Z2728,'CAMD Facility Data 2023'!$AE$2:$AE$10000,0),3)&gt;0,INDEX('CAMD Facility Data 2023'!$AE$2:$AG$10000,MATCH(Z2728,'CAMD Facility Data 2023'!$AE$2:$AE$10000,0),3),"")</f>
        <v/>
      </c>
      <c r="AD2728" s="20">
        <f t="shared" si="127"/>
        <v>2.0480369991104257</v>
      </c>
      <c r="AE2728" s="25">
        <f t="shared" si="128"/>
        <v>1.6867570776255707E-2</v>
      </c>
    </row>
    <row r="2729" spans="1:31" x14ac:dyDescent="0.2">
      <c r="A2729" s="1" t="s">
        <v>458</v>
      </c>
      <c r="B2729" s="1" t="s">
        <v>6248</v>
      </c>
      <c r="C2729" s="1">
        <v>55250</v>
      </c>
      <c r="D2729" s="1" t="s">
        <v>6258</v>
      </c>
      <c r="E2729" s="1" t="s">
        <v>1881</v>
      </c>
      <c r="F2729" s="1">
        <v>2023</v>
      </c>
      <c r="G2729" s="5">
        <v>373</v>
      </c>
      <c r="H2729" s="5">
        <v>331.25</v>
      </c>
      <c r="I2729" s="5">
        <v>8224.0300000000007</v>
      </c>
      <c r="K2729" s="5">
        <v>0.03</v>
      </c>
      <c r="L2729" s="5">
        <v>8.0000000000000004E-4</v>
      </c>
      <c r="M2729" s="5">
        <v>4959.5879999999997</v>
      </c>
      <c r="N2729" s="6">
        <v>5.9299999999999999E-2</v>
      </c>
      <c r="O2729" s="5">
        <v>6.7610000000000001</v>
      </c>
      <c r="P2729" s="6">
        <v>0.23549999999999999</v>
      </c>
      <c r="Q2729" s="5">
        <v>83470.381999999998</v>
      </c>
      <c r="R2729" s="1" t="s">
        <v>44</v>
      </c>
      <c r="T2729" s="1" t="s">
        <v>93</v>
      </c>
      <c r="V2729" s="1" t="s">
        <v>95</v>
      </c>
      <c r="Y2729" s="1" t="s">
        <v>461</v>
      </c>
      <c r="Z2729" s="1" t="str">
        <f t="shared" si="126"/>
        <v>55250 UP3</v>
      </c>
      <c r="AA2729" s="3">
        <f>IF(INDEX('CAMD Facility Data 2023'!$AA$2:$AE$10000,MATCH(Z2729,'CAMD Facility Data 2023'!$AE$2:$AE$10000,0),1)&gt;0,INDEX('CAMD Facility Data 2023'!$AA$2:$AE$10000,MATCH(Z2729,'CAMD Facility Data 2023'!$AE$2:$AE$10000,0),1),"")</f>
        <v>37016</v>
      </c>
      <c r="AB2729" s="5">
        <f>IF(INDEX('CAMD Facility Data 2023'!$AC$2:$AE$10000,MATCH(Z2729,'CAMD Facility Data 2023'!$AE$2:$AE$10000,0),1)&gt;0,INDEX('CAMD Facility Data 2023'!$AC$2:$AE$10000,MATCH(Z2729,'CAMD Facility Data 2023'!$AE$2:$AE$10000,0),1),"")</f>
        <v>300</v>
      </c>
      <c r="AC2729" s="1" t="str">
        <f>IF(INDEX('CAMD Facility Data 2023'!$AE$2:$AG$10000,MATCH(Z2729,'CAMD Facility Data 2023'!$AE$2:$AE$10000,0),3)&gt;0,INDEX('CAMD Facility Data 2023'!$AE$2:$AG$10000,MATCH(Z2729,'CAMD Facility Data 2023'!$AE$2:$AE$10000,0),3),"")</f>
        <v/>
      </c>
      <c r="AD2729" s="20">
        <f t="shared" si="127"/>
        <v>1.6442060644234029</v>
      </c>
      <c r="AE2729" s="25">
        <f t="shared" si="128"/>
        <v>3.1761941400304416E-2</v>
      </c>
    </row>
    <row r="2730" spans="1:31" x14ac:dyDescent="0.2">
      <c r="A2730" s="1" t="s">
        <v>458</v>
      </c>
      <c r="B2730" s="1" t="s">
        <v>6248</v>
      </c>
      <c r="C2730" s="1">
        <v>55250</v>
      </c>
      <c r="D2730" s="1" t="s">
        <v>6260</v>
      </c>
      <c r="E2730" s="1" t="s">
        <v>1881</v>
      </c>
      <c r="F2730" s="1">
        <v>2023</v>
      </c>
      <c r="G2730" s="5">
        <v>366</v>
      </c>
      <c r="H2730" s="5">
        <v>327.97</v>
      </c>
      <c r="I2730" s="5">
        <v>8054.76</v>
      </c>
      <c r="K2730" s="5">
        <v>2.9000000000000001E-2</v>
      </c>
      <c r="L2730" s="5">
        <v>8.0000000000000004E-4</v>
      </c>
      <c r="M2730" s="5">
        <v>4856.4939999999997</v>
      </c>
      <c r="N2730" s="6">
        <v>5.9299999999999999E-2</v>
      </c>
      <c r="O2730" s="5">
        <v>7.069</v>
      </c>
      <c r="P2730" s="6">
        <v>0.23849999999999999</v>
      </c>
      <c r="Q2730" s="5">
        <v>81735.788</v>
      </c>
      <c r="R2730" s="1" t="s">
        <v>44</v>
      </c>
      <c r="T2730" s="1" t="s">
        <v>93</v>
      </c>
      <c r="V2730" s="1" t="s">
        <v>95</v>
      </c>
      <c r="Y2730" s="1" t="s">
        <v>461</v>
      </c>
      <c r="Z2730" s="1" t="str">
        <f t="shared" si="126"/>
        <v>55250 UP4</v>
      </c>
      <c r="AA2730" s="3">
        <f>IF(INDEX('CAMD Facility Data 2023'!$AA$2:$AE$10000,MATCH(Z2730,'CAMD Facility Data 2023'!$AE$2:$AE$10000,0),1)&gt;0,INDEX('CAMD Facility Data 2023'!$AA$2:$AE$10000,MATCH(Z2730,'CAMD Facility Data 2023'!$AE$2:$AE$10000,0),1),"")</f>
        <v>37016</v>
      </c>
      <c r="AB2730" s="5">
        <f>IF(INDEX('CAMD Facility Data 2023'!$AC$2:$AE$10000,MATCH(Z2730,'CAMD Facility Data 2023'!$AE$2:$AE$10000,0),1)&gt;0,INDEX('CAMD Facility Data 2023'!$AC$2:$AE$10000,MATCH(Z2730,'CAMD Facility Data 2023'!$AE$2:$AE$10000,0),1),"")</f>
        <v>300</v>
      </c>
      <c r="AC2730" s="1" t="str">
        <f>IF(INDEX('CAMD Facility Data 2023'!$AE$2:$AG$10000,MATCH(Z2730,'CAMD Facility Data 2023'!$AE$2:$AE$10000,0),3)&gt;0,INDEX('CAMD Facility Data 2023'!$AE$2:$AG$10000,MATCH(Z2730,'CAMD Facility Data 2023'!$AE$2:$AE$10000,0),3),"")</f>
        <v/>
      </c>
      <c r="AD2730" s="20">
        <f t="shared" si="127"/>
        <v>1.7552354135939494</v>
      </c>
      <c r="AE2730" s="25">
        <f t="shared" si="128"/>
        <v>3.1101898021308982E-2</v>
      </c>
    </row>
    <row r="2731" spans="1:31" x14ac:dyDescent="0.2">
      <c r="A2731" s="1" t="s">
        <v>458</v>
      </c>
      <c r="B2731" s="1" t="s">
        <v>6248</v>
      </c>
      <c r="C2731" s="1">
        <v>55250</v>
      </c>
      <c r="D2731" s="1" t="s">
        <v>6261</v>
      </c>
      <c r="E2731" s="1" t="s">
        <v>1881</v>
      </c>
      <c r="F2731" s="1">
        <v>2023</v>
      </c>
      <c r="G2731" s="5">
        <v>438</v>
      </c>
      <c r="H2731" s="5">
        <v>399.67</v>
      </c>
      <c r="I2731" s="5">
        <v>10509.62</v>
      </c>
      <c r="K2731" s="5">
        <v>3.6999999999999998E-2</v>
      </c>
      <c r="L2731" s="5">
        <v>8.9999999999999998E-4</v>
      </c>
      <c r="M2731" s="5">
        <v>6238.2110000000002</v>
      </c>
      <c r="N2731" s="6">
        <v>5.9299999999999999E-2</v>
      </c>
      <c r="O2731" s="5">
        <v>9.048</v>
      </c>
      <c r="P2731" s="6">
        <v>0.2283</v>
      </c>
      <c r="Q2731" s="5">
        <v>105001.93799999999</v>
      </c>
      <c r="R2731" s="1" t="s">
        <v>44</v>
      </c>
      <c r="T2731" s="1" t="s">
        <v>93</v>
      </c>
      <c r="V2731" s="1" t="s">
        <v>95</v>
      </c>
      <c r="Y2731" s="1" t="s">
        <v>461</v>
      </c>
      <c r="Z2731" s="1" t="str">
        <f t="shared" si="126"/>
        <v>55250 UP5</v>
      </c>
      <c r="AA2731" s="3">
        <f>IF(INDEX('CAMD Facility Data 2023'!$AA$2:$AE$10000,MATCH(Z2731,'CAMD Facility Data 2023'!$AE$2:$AE$10000,0),1)&gt;0,INDEX('CAMD Facility Data 2023'!$AA$2:$AE$10000,MATCH(Z2731,'CAMD Facility Data 2023'!$AE$2:$AE$10000,0),1),"")</f>
        <v>37022</v>
      </c>
      <c r="AB2731" s="5">
        <f>IF(INDEX('CAMD Facility Data 2023'!$AC$2:$AE$10000,MATCH(Z2731,'CAMD Facility Data 2023'!$AE$2:$AE$10000,0),1)&gt;0,INDEX('CAMD Facility Data 2023'!$AC$2:$AE$10000,MATCH(Z2731,'CAMD Facility Data 2023'!$AE$2:$AE$10000,0),1),"")</f>
        <v>300</v>
      </c>
      <c r="AC2731" s="1" t="str">
        <f>IF(INDEX('CAMD Facility Data 2023'!$AE$2:$AG$10000,MATCH(Z2731,'CAMD Facility Data 2023'!$AE$2:$AE$10000,0),3)&gt;0,INDEX('CAMD Facility Data 2023'!$AE$2:$AG$10000,MATCH(Z2731,'CAMD Facility Data 2023'!$AE$2:$AE$10000,0),3),"")</f>
        <v/>
      </c>
      <c r="AD2731" s="20">
        <f t="shared" si="127"/>
        <v>1.7218510279153765</v>
      </c>
      <c r="AE2731" s="25">
        <f t="shared" si="128"/>
        <v>3.995507534246575E-2</v>
      </c>
    </row>
    <row r="2732" spans="1:31" x14ac:dyDescent="0.2">
      <c r="A2732" s="1" t="s">
        <v>458</v>
      </c>
      <c r="B2732" s="1" t="s">
        <v>6248</v>
      </c>
      <c r="C2732" s="1">
        <v>55250</v>
      </c>
      <c r="D2732" s="1" t="s">
        <v>6263</v>
      </c>
      <c r="E2732" s="1" t="s">
        <v>1881</v>
      </c>
      <c r="F2732" s="1">
        <v>2023</v>
      </c>
      <c r="G2732" s="5">
        <v>440</v>
      </c>
      <c r="H2732" s="5">
        <v>401.64</v>
      </c>
      <c r="I2732" s="5">
        <v>9963.64</v>
      </c>
      <c r="K2732" s="5">
        <v>3.5999999999999997E-2</v>
      </c>
      <c r="L2732" s="5">
        <v>8.9999999999999998E-4</v>
      </c>
      <c r="M2732" s="5">
        <v>5928.6970000000001</v>
      </c>
      <c r="N2732" s="6">
        <v>5.9299999999999999E-2</v>
      </c>
      <c r="O2732" s="5">
        <v>9.5079999999999991</v>
      </c>
      <c r="P2732" s="6">
        <v>0.24179999999999999</v>
      </c>
      <c r="Q2732" s="5">
        <v>99785.994000000006</v>
      </c>
      <c r="R2732" s="1" t="s">
        <v>44</v>
      </c>
      <c r="T2732" s="1" t="s">
        <v>93</v>
      </c>
      <c r="V2732" s="1" t="s">
        <v>95</v>
      </c>
      <c r="Y2732" s="1" t="s">
        <v>461</v>
      </c>
      <c r="Z2732" s="1" t="str">
        <f t="shared" si="126"/>
        <v>55250 UP6</v>
      </c>
      <c r="AA2732" s="3">
        <f>IF(INDEX('CAMD Facility Data 2023'!$AA$2:$AE$10000,MATCH(Z2732,'CAMD Facility Data 2023'!$AE$2:$AE$10000,0),1)&gt;0,INDEX('CAMD Facility Data 2023'!$AA$2:$AE$10000,MATCH(Z2732,'CAMD Facility Data 2023'!$AE$2:$AE$10000,0),1),"")</f>
        <v>37022</v>
      </c>
      <c r="AB2732" s="5">
        <f>IF(INDEX('CAMD Facility Data 2023'!$AC$2:$AE$10000,MATCH(Z2732,'CAMD Facility Data 2023'!$AE$2:$AE$10000,0),1)&gt;0,INDEX('CAMD Facility Data 2023'!$AC$2:$AE$10000,MATCH(Z2732,'CAMD Facility Data 2023'!$AE$2:$AE$10000,0),1),"")</f>
        <v>300</v>
      </c>
      <c r="AC2732" s="1" t="str">
        <f>IF(INDEX('CAMD Facility Data 2023'!$AE$2:$AG$10000,MATCH(Z2732,'CAMD Facility Data 2023'!$AE$2:$AE$10000,0),3)&gt;0,INDEX('CAMD Facility Data 2023'!$AE$2:$AG$10000,MATCH(Z2732,'CAMD Facility Data 2023'!$AE$2:$AE$10000,0),3),"")</f>
        <v/>
      </c>
      <c r="AD2732" s="20">
        <f t="shared" si="127"/>
        <v>1.9085394494381573</v>
      </c>
      <c r="AE2732" s="25">
        <f t="shared" si="128"/>
        <v>3.7970317351598178E-2</v>
      </c>
    </row>
    <row r="2733" spans="1:31" x14ac:dyDescent="0.2">
      <c r="A2733" s="1" t="s">
        <v>458</v>
      </c>
      <c r="B2733" s="1" t="s">
        <v>6248</v>
      </c>
      <c r="C2733" s="1">
        <v>55250</v>
      </c>
      <c r="D2733" s="1" t="s">
        <v>6264</v>
      </c>
      <c r="E2733" s="1" t="s">
        <v>1881</v>
      </c>
      <c r="F2733" s="1">
        <v>2023</v>
      </c>
      <c r="G2733" s="5">
        <v>321</v>
      </c>
      <c r="H2733" s="5">
        <v>286.85000000000002</v>
      </c>
      <c r="I2733" s="5">
        <v>7246.53</v>
      </c>
      <c r="K2733" s="5">
        <v>2.5000000000000001E-2</v>
      </c>
      <c r="L2733" s="5">
        <v>8.0000000000000004E-4</v>
      </c>
      <c r="M2733" s="5">
        <v>4291.8810000000003</v>
      </c>
      <c r="N2733" s="6">
        <v>5.8900000000000001E-2</v>
      </c>
      <c r="O2733" s="5">
        <v>6.0250000000000004</v>
      </c>
      <c r="P2733" s="6">
        <v>0.2354</v>
      </c>
      <c r="Q2733" s="5">
        <v>72246.665999999997</v>
      </c>
      <c r="R2733" s="1" t="s">
        <v>44</v>
      </c>
      <c r="T2733" s="1" t="s">
        <v>93</v>
      </c>
      <c r="V2733" s="1" t="s">
        <v>95</v>
      </c>
      <c r="Y2733" s="1" t="s">
        <v>461</v>
      </c>
      <c r="Z2733" s="1" t="str">
        <f t="shared" si="126"/>
        <v>55250 UP7</v>
      </c>
      <c r="AA2733" s="3">
        <f>IF(INDEX('CAMD Facility Data 2023'!$AA$2:$AE$10000,MATCH(Z2733,'CAMD Facility Data 2023'!$AE$2:$AE$10000,0),1)&gt;0,INDEX('CAMD Facility Data 2023'!$AA$2:$AE$10000,MATCH(Z2733,'CAMD Facility Data 2023'!$AE$2:$AE$10000,0),1),"")</f>
        <v>37023</v>
      </c>
      <c r="AB2733" s="5">
        <f>IF(INDEX('CAMD Facility Data 2023'!$AC$2:$AE$10000,MATCH(Z2733,'CAMD Facility Data 2023'!$AE$2:$AE$10000,0),1)&gt;0,INDEX('CAMD Facility Data 2023'!$AC$2:$AE$10000,MATCH(Z2733,'CAMD Facility Data 2023'!$AE$2:$AE$10000,0),1),"")</f>
        <v>300</v>
      </c>
      <c r="AC2733" s="1" t="str">
        <f>IF(INDEX('CAMD Facility Data 2023'!$AE$2:$AG$10000,MATCH(Z2733,'CAMD Facility Data 2023'!$AE$2:$AE$10000,0),3)&gt;0,INDEX('CAMD Facility Data 2023'!$AE$2:$AG$10000,MATCH(Z2733,'CAMD Facility Data 2023'!$AE$2:$AE$10000,0),3),"")</f>
        <v/>
      </c>
      <c r="AD2733" s="20">
        <f t="shared" si="127"/>
        <v>1.6628648470371337</v>
      </c>
      <c r="AE2733" s="25">
        <f t="shared" si="128"/>
        <v>2.7491121004566209E-2</v>
      </c>
    </row>
    <row r="2734" spans="1:31" x14ac:dyDescent="0.2">
      <c r="A2734" s="1" t="s">
        <v>458</v>
      </c>
      <c r="B2734" s="1" t="s">
        <v>6248</v>
      </c>
      <c r="C2734" s="1">
        <v>55250</v>
      </c>
      <c r="D2734" s="1" t="s">
        <v>6266</v>
      </c>
      <c r="E2734" s="1" t="s">
        <v>1881</v>
      </c>
      <c r="F2734" s="1">
        <v>2023</v>
      </c>
      <c r="G2734" s="5">
        <v>316</v>
      </c>
      <c r="H2734" s="5">
        <v>285.27</v>
      </c>
      <c r="I2734" s="5">
        <v>6876.99</v>
      </c>
      <c r="K2734" s="5">
        <v>2.5000000000000001E-2</v>
      </c>
      <c r="L2734" s="5">
        <v>8.0000000000000004E-4</v>
      </c>
      <c r="M2734" s="5">
        <v>4076.3910000000001</v>
      </c>
      <c r="N2734" s="6">
        <v>5.9299999999999999E-2</v>
      </c>
      <c r="O2734" s="5">
        <v>6.5540000000000003</v>
      </c>
      <c r="P2734" s="6">
        <v>0.25130000000000002</v>
      </c>
      <c r="Q2734" s="5">
        <v>68632.358999999997</v>
      </c>
      <c r="R2734" s="1" t="s">
        <v>44</v>
      </c>
      <c r="T2734" s="1" t="s">
        <v>93</v>
      </c>
      <c r="V2734" s="1" t="s">
        <v>95</v>
      </c>
      <c r="Y2734" s="1" t="s">
        <v>461</v>
      </c>
      <c r="Z2734" s="1" t="str">
        <f t="shared" si="126"/>
        <v>55250 UP8</v>
      </c>
      <c r="AA2734" s="3">
        <f>IF(INDEX('CAMD Facility Data 2023'!$AA$2:$AE$10000,MATCH(Z2734,'CAMD Facility Data 2023'!$AE$2:$AE$10000,0),1)&gt;0,INDEX('CAMD Facility Data 2023'!$AA$2:$AE$10000,MATCH(Z2734,'CAMD Facility Data 2023'!$AE$2:$AE$10000,0),1),"")</f>
        <v>37023</v>
      </c>
      <c r="AB2734" s="5">
        <f>IF(INDEX('CAMD Facility Data 2023'!$AC$2:$AE$10000,MATCH(Z2734,'CAMD Facility Data 2023'!$AE$2:$AE$10000,0),1)&gt;0,INDEX('CAMD Facility Data 2023'!$AC$2:$AE$10000,MATCH(Z2734,'CAMD Facility Data 2023'!$AE$2:$AE$10000,0),1),"")</f>
        <v>300</v>
      </c>
      <c r="AC2734" s="1" t="str">
        <f>IF(INDEX('CAMD Facility Data 2023'!$AE$2:$AG$10000,MATCH(Z2734,'CAMD Facility Data 2023'!$AE$2:$AE$10000,0),3)&gt;0,INDEX('CAMD Facility Data 2023'!$AE$2:$AG$10000,MATCH(Z2734,'CAMD Facility Data 2023'!$AE$2:$AE$10000,0),3),"")</f>
        <v/>
      </c>
      <c r="AD2734" s="20">
        <f t="shared" si="127"/>
        <v>1.9060664622167547</v>
      </c>
      <c r="AE2734" s="25">
        <f t="shared" si="128"/>
        <v>2.6115813926940637E-2</v>
      </c>
    </row>
    <row r="2735" spans="1:31" x14ac:dyDescent="0.2">
      <c r="A2735" s="1" t="s">
        <v>458</v>
      </c>
      <c r="B2735" s="1" t="s">
        <v>6248</v>
      </c>
      <c r="C2735" s="1">
        <v>55250</v>
      </c>
      <c r="D2735" s="1" t="s">
        <v>6267</v>
      </c>
      <c r="E2735" s="1" t="s">
        <v>1881</v>
      </c>
      <c r="F2735" s="1">
        <v>2023</v>
      </c>
      <c r="G2735" s="5">
        <v>253</v>
      </c>
      <c r="H2735" s="5">
        <v>224</v>
      </c>
      <c r="I2735" s="5">
        <v>5537.87</v>
      </c>
      <c r="K2735" s="5">
        <v>0.02</v>
      </c>
      <c r="L2735" s="5">
        <v>8.0000000000000004E-4</v>
      </c>
      <c r="M2735" s="5">
        <v>3329.7959999999998</v>
      </c>
      <c r="N2735" s="6">
        <v>5.9299999999999999E-2</v>
      </c>
      <c r="O2735" s="5">
        <v>6.7329999999999997</v>
      </c>
      <c r="P2735" s="6">
        <v>0.30890000000000001</v>
      </c>
      <c r="Q2735" s="5">
        <v>56053.972000000002</v>
      </c>
      <c r="R2735" s="1" t="s">
        <v>44</v>
      </c>
      <c r="T2735" s="1" t="s">
        <v>93</v>
      </c>
      <c r="V2735" s="1" t="s">
        <v>95</v>
      </c>
      <c r="Y2735" s="1" t="s">
        <v>461</v>
      </c>
      <c r="Z2735" s="1" t="str">
        <f t="shared" si="126"/>
        <v>55250 UP9</v>
      </c>
      <c r="AA2735" s="3">
        <f>IF(INDEX('CAMD Facility Data 2023'!$AA$2:$AE$10000,MATCH(Z2735,'CAMD Facility Data 2023'!$AE$2:$AE$10000,0),1)&gt;0,INDEX('CAMD Facility Data 2023'!$AA$2:$AE$10000,MATCH(Z2735,'CAMD Facility Data 2023'!$AE$2:$AE$10000,0),1),"")</f>
        <v>37036</v>
      </c>
      <c r="AB2735" s="5">
        <f>IF(INDEX('CAMD Facility Data 2023'!$AC$2:$AE$10000,MATCH(Z2735,'CAMD Facility Data 2023'!$AE$2:$AE$10000,0),1)&gt;0,INDEX('CAMD Facility Data 2023'!$AC$2:$AE$10000,MATCH(Z2735,'CAMD Facility Data 2023'!$AE$2:$AE$10000,0),1),"")</f>
        <v>300</v>
      </c>
      <c r="AC2735" s="1" t="str">
        <f>IF(INDEX('CAMD Facility Data 2023'!$AE$2:$AG$10000,MATCH(Z2735,'CAMD Facility Data 2023'!$AE$2:$AE$10000,0),3)&gt;0,INDEX('CAMD Facility Data 2023'!$AE$2:$AG$10000,MATCH(Z2735,'CAMD Facility Data 2023'!$AE$2:$AE$10000,0),3),"")</f>
        <v/>
      </c>
      <c r="AD2735" s="20">
        <f t="shared" si="127"/>
        <v>2.4316208217238757</v>
      </c>
      <c r="AE2735" s="25">
        <f t="shared" si="128"/>
        <v>2.1329517503805177E-2</v>
      </c>
    </row>
    <row r="2736" spans="1:31" x14ac:dyDescent="0.2">
      <c r="A2736" s="1" t="s">
        <v>2762</v>
      </c>
      <c r="B2736" s="1" t="s">
        <v>6268</v>
      </c>
      <c r="C2736" s="1">
        <v>55251</v>
      </c>
      <c r="D2736" s="1" t="s">
        <v>5681</v>
      </c>
      <c r="F2736" s="1">
        <v>2023</v>
      </c>
      <c r="G2736" s="5">
        <v>833</v>
      </c>
      <c r="H2736" s="5">
        <v>757.1</v>
      </c>
      <c r="I2736" s="5">
        <v>124367.94</v>
      </c>
      <c r="K2736" s="5">
        <v>0.40500000000000003</v>
      </c>
      <c r="L2736" s="5">
        <v>1E-3</v>
      </c>
      <c r="M2736" s="5">
        <v>80206.172999999995</v>
      </c>
      <c r="N2736" s="6">
        <v>5.8999999999999997E-2</v>
      </c>
      <c r="O2736" s="5">
        <v>49.831000000000003</v>
      </c>
      <c r="P2736" s="6">
        <v>7.46E-2</v>
      </c>
      <c r="Q2736" s="5">
        <v>1349620.787</v>
      </c>
      <c r="R2736" s="1" t="s">
        <v>44</v>
      </c>
      <c r="T2736" s="1" t="s">
        <v>93</v>
      </c>
      <c r="V2736" s="1" t="s">
        <v>140</v>
      </c>
      <c r="Y2736" s="1" t="s">
        <v>1207</v>
      </c>
      <c r="Z2736" s="1" t="str">
        <f t="shared" si="126"/>
        <v>55251 CTG-1</v>
      </c>
      <c r="AA2736" s="3">
        <f>IF(INDEX('CAMD Facility Data 2023'!$AA$2:$AE$10000,MATCH(Z2736,'CAMD Facility Data 2023'!$AE$2:$AE$10000,0),1)&gt;0,INDEX('CAMD Facility Data 2023'!$AA$2:$AE$10000,MATCH(Z2736,'CAMD Facility Data 2023'!$AE$2:$AE$10000,0),1),"")</f>
        <v>36683</v>
      </c>
      <c r="AB2736" s="5">
        <f>IF(INDEX('CAMD Facility Data 2023'!$AC$2:$AE$10000,MATCH(Z2736,'CAMD Facility Data 2023'!$AE$2:$AE$10000,0),1)&gt;0,INDEX('CAMD Facility Data 2023'!$AC$2:$AE$10000,MATCH(Z2736,'CAMD Facility Data 2023'!$AE$2:$AE$10000,0),1),"")</f>
        <v>2110</v>
      </c>
      <c r="AC2736" s="1" t="str">
        <f>IF(INDEX('CAMD Facility Data 2023'!$AE$2:$AG$10000,MATCH(Z2736,'CAMD Facility Data 2023'!$AE$2:$AE$10000,0),3)&gt;0,INDEX('CAMD Facility Data 2023'!$AE$2:$AG$10000,MATCH(Z2736,'CAMD Facility Data 2023'!$AE$2:$AE$10000,0),3),"")</f>
        <v/>
      </c>
      <c r="AD2736" s="20">
        <f t="shared" si="127"/>
        <v>0.80134800013572627</v>
      </c>
      <c r="AE2736" s="25">
        <f t="shared" si="128"/>
        <v>7.3017203737367184E-2</v>
      </c>
    </row>
    <row r="2737" spans="1:31" x14ac:dyDescent="0.2">
      <c r="A2737" s="1" t="s">
        <v>2762</v>
      </c>
      <c r="B2737" s="1" t="s">
        <v>6268</v>
      </c>
      <c r="C2737" s="1">
        <v>55251</v>
      </c>
      <c r="D2737" s="1" t="s">
        <v>5684</v>
      </c>
      <c r="F2737" s="1">
        <v>2023</v>
      </c>
      <c r="G2737" s="5">
        <v>825</v>
      </c>
      <c r="H2737" s="5">
        <v>745.48</v>
      </c>
      <c r="I2737" s="5">
        <v>121881.44</v>
      </c>
      <c r="K2737" s="5">
        <v>0.39700000000000002</v>
      </c>
      <c r="L2737" s="5">
        <v>1E-3</v>
      </c>
      <c r="M2737" s="5">
        <v>78661.953999999998</v>
      </c>
      <c r="N2737" s="6">
        <v>5.8999999999999997E-2</v>
      </c>
      <c r="O2737" s="5">
        <v>51.625</v>
      </c>
      <c r="P2737" s="6">
        <v>7.6399999999999996E-2</v>
      </c>
      <c r="Q2737" s="5">
        <v>1323661.0619999999</v>
      </c>
      <c r="R2737" s="1" t="s">
        <v>44</v>
      </c>
      <c r="T2737" s="1" t="s">
        <v>93</v>
      </c>
      <c r="V2737" s="1" t="s">
        <v>140</v>
      </c>
      <c r="Y2737" s="1" t="s">
        <v>1207</v>
      </c>
      <c r="Z2737" s="1" t="str">
        <f t="shared" si="126"/>
        <v>55251 CTG-2</v>
      </c>
      <c r="AA2737" s="3">
        <f>IF(INDEX('CAMD Facility Data 2023'!$AA$2:$AE$10000,MATCH(Z2737,'CAMD Facility Data 2023'!$AE$2:$AE$10000,0),1)&gt;0,INDEX('CAMD Facility Data 2023'!$AA$2:$AE$10000,MATCH(Z2737,'CAMD Facility Data 2023'!$AE$2:$AE$10000,0),1),"")</f>
        <v>36670</v>
      </c>
      <c r="AB2737" s="5">
        <f>IF(INDEX('CAMD Facility Data 2023'!$AC$2:$AE$10000,MATCH(Z2737,'CAMD Facility Data 2023'!$AE$2:$AE$10000,0),1)&gt;0,INDEX('CAMD Facility Data 2023'!$AC$2:$AE$10000,MATCH(Z2737,'CAMD Facility Data 2023'!$AE$2:$AE$10000,0),1),"")</f>
        <v>2110</v>
      </c>
      <c r="AC2737" s="1" t="str">
        <f>IF(INDEX('CAMD Facility Data 2023'!$AE$2:$AG$10000,MATCH(Z2737,'CAMD Facility Data 2023'!$AE$2:$AE$10000,0),3)&gt;0,INDEX('CAMD Facility Data 2023'!$AE$2:$AG$10000,MATCH(Z2737,'CAMD Facility Data 2023'!$AE$2:$AE$10000,0),3),"")</f>
        <v/>
      </c>
      <c r="AD2737" s="20">
        <f t="shared" si="127"/>
        <v>0.84713472371183007</v>
      </c>
      <c r="AE2737" s="25">
        <f t="shared" si="128"/>
        <v>7.1612730312276829E-2</v>
      </c>
    </row>
    <row r="2738" spans="1:31" x14ac:dyDescent="0.2">
      <c r="A2738" s="1" t="s">
        <v>2762</v>
      </c>
      <c r="B2738" s="1" t="s">
        <v>6268</v>
      </c>
      <c r="C2738" s="1">
        <v>55251</v>
      </c>
      <c r="D2738" s="1" t="s">
        <v>5750</v>
      </c>
      <c r="F2738" s="1">
        <v>2023</v>
      </c>
      <c r="G2738" s="5">
        <v>556</v>
      </c>
      <c r="H2738" s="5">
        <v>510.08</v>
      </c>
      <c r="I2738" s="5">
        <v>77949.75</v>
      </c>
      <c r="K2738" s="5">
        <v>0.25900000000000001</v>
      </c>
      <c r="L2738" s="5">
        <v>1E-3</v>
      </c>
      <c r="M2738" s="5">
        <v>51311.453000000001</v>
      </c>
      <c r="N2738" s="6">
        <v>5.8999999999999997E-2</v>
      </c>
      <c r="O2738" s="5">
        <v>28.41</v>
      </c>
      <c r="P2738" s="6">
        <v>6.6400000000000001E-2</v>
      </c>
      <c r="Q2738" s="5">
        <v>863414.18400000001</v>
      </c>
      <c r="R2738" s="1" t="s">
        <v>44</v>
      </c>
      <c r="T2738" s="1" t="s">
        <v>93</v>
      </c>
      <c r="V2738" s="1" t="s">
        <v>140</v>
      </c>
      <c r="Y2738" s="1" t="s">
        <v>1207</v>
      </c>
      <c r="Z2738" s="1" t="str">
        <f t="shared" si="126"/>
        <v>55251 CTG-3</v>
      </c>
      <c r="AA2738" s="3">
        <f>IF(INDEX('CAMD Facility Data 2023'!$AA$2:$AE$10000,MATCH(Z2738,'CAMD Facility Data 2023'!$AE$2:$AE$10000,0),1)&gt;0,INDEX('CAMD Facility Data 2023'!$AA$2:$AE$10000,MATCH(Z2738,'CAMD Facility Data 2023'!$AE$2:$AE$10000,0),1),"")</f>
        <v>36664</v>
      </c>
      <c r="AB2738" s="5">
        <f>IF(INDEX('CAMD Facility Data 2023'!$AC$2:$AE$10000,MATCH(Z2738,'CAMD Facility Data 2023'!$AE$2:$AE$10000,0),1)&gt;0,INDEX('CAMD Facility Data 2023'!$AC$2:$AE$10000,MATCH(Z2738,'CAMD Facility Data 2023'!$AE$2:$AE$10000,0),1),"")</f>
        <v>2100</v>
      </c>
      <c r="AC2738" s="1" t="str">
        <f>IF(INDEX('CAMD Facility Data 2023'!$AE$2:$AG$10000,MATCH(Z2738,'CAMD Facility Data 2023'!$AE$2:$AE$10000,0),3)&gt;0,INDEX('CAMD Facility Data 2023'!$AE$2:$AG$10000,MATCH(Z2738,'CAMD Facility Data 2023'!$AE$2:$AE$10000,0),3),"")</f>
        <v/>
      </c>
      <c r="AD2738" s="20">
        <f t="shared" si="127"/>
        <v>0.72893113832950074</v>
      </c>
      <c r="AE2738" s="25">
        <f t="shared" si="128"/>
        <v>4.6934887149380301E-2</v>
      </c>
    </row>
    <row r="2739" spans="1:31" x14ac:dyDescent="0.2">
      <c r="A2739" s="1" t="s">
        <v>458</v>
      </c>
      <c r="B2739" s="1" t="s">
        <v>6274</v>
      </c>
      <c r="C2739" s="1">
        <v>55253</v>
      </c>
      <c r="D2739" s="1" t="s">
        <v>280</v>
      </c>
      <c r="F2739" s="1">
        <v>2023</v>
      </c>
      <c r="G2739" s="5">
        <v>303</v>
      </c>
      <c r="H2739" s="5">
        <v>252.12</v>
      </c>
      <c r="I2739" s="5">
        <v>13586.36</v>
      </c>
      <c r="K2739" s="5">
        <v>5.6000000000000001E-2</v>
      </c>
      <c r="L2739" s="5">
        <v>1E-3</v>
      </c>
      <c r="M2739" s="5">
        <v>11091.954</v>
      </c>
      <c r="N2739" s="6">
        <v>5.8999999999999997E-2</v>
      </c>
      <c r="O2739" s="5">
        <v>2.2970000000000002</v>
      </c>
      <c r="P2739" s="6">
        <v>2.4199999999999999E-2</v>
      </c>
      <c r="Q2739" s="5">
        <v>186630.31</v>
      </c>
      <c r="R2739" s="1" t="s">
        <v>44</v>
      </c>
      <c r="T2739" s="1" t="s">
        <v>93</v>
      </c>
      <c r="V2739" s="1" t="s">
        <v>140</v>
      </c>
      <c r="Y2739" s="1" t="s">
        <v>461</v>
      </c>
      <c r="Z2739" s="1" t="str">
        <f t="shared" si="126"/>
        <v>55253 GT1</v>
      </c>
      <c r="AA2739" s="3">
        <f>IF(INDEX('CAMD Facility Data 2023'!$AA$2:$AE$10000,MATCH(Z2739,'CAMD Facility Data 2023'!$AE$2:$AE$10000,0),1)&gt;0,INDEX('CAMD Facility Data 2023'!$AA$2:$AE$10000,MATCH(Z2739,'CAMD Facility Data 2023'!$AE$2:$AE$10000,0),1),"")</f>
        <v>37357</v>
      </c>
      <c r="AB2739" s="5">
        <f>IF(INDEX('CAMD Facility Data 2023'!$AC$2:$AE$10000,MATCH(Z2739,'CAMD Facility Data 2023'!$AE$2:$AE$10000,0),1)&gt;0,INDEX('CAMD Facility Data 2023'!$AC$2:$AE$10000,MATCH(Z2739,'CAMD Facility Data 2023'!$AE$2:$AE$10000,0),1),"")</f>
        <v>1100</v>
      </c>
      <c r="AC2739" s="1" t="str">
        <f>IF(INDEX('CAMD Facility Data 2023'!$AE$2:$AG$10000,MATCH(Z2739,'CAMD Facility Data 2023'!$AE$2:$AE$10000,0),3)&gt;0,INDEX('CAMD Facility Data 2023'!$AE$2:$AG$10000,MATCH(Z2739,'CAMD Facility Data 2023'!$AE$2:$AE$10000,0),3),"")</f>
        <v/>
      </c>
      <c r="AD2739" s="20">
        <f t="shared" si="127"/>
        <v>0.33813324540200612</v>
      </c>
      <c r="AE2739" s="25">
        <f t="shared" si="128"/>
        <v>1.9368027189705272E-2</v>
      </c>
    </row>
    <row r="2740" spans="1:31" x14ac:dyDescent="0.2">
      <c r="A2740" s="1" t="s">
        <v>458</v>
      </c>
      <c r="B2740" s="1" t="s">
        <v>6274</v>
      </c>
      <c r="C2740" s="1">
        <v>55253</v>
      </c>
      <c r="D2740" s="1" t="s">
        <v>1102</v>
      </c>
      <c r="F2740" s="1">
        <v>2023</v>
      </c>
      <c r="G2740" s="5">
        <v>373</v>
      </c>
      <c r="H2740" s="5">
        <v>315.08</v>
      </c>
      <c r="I2740" s="5">
        <v>17177.82</v>
      </c>
      <c r="K2740" s="5">
        <v>7.0000000000000007E-2</v>
      </c>
      <c r="L2740" s="5">
        <v>1E-3</v>
      </c>
      <c r="M2740" s="5">
        <v>13792.459000000001</v>
      </c>
      <c r="N2740" s="6">
        <v>5.8999999999999997E-2</v>
      </c>
      <c r="O2740" s="5">
        <v>2.8460000000000001</v>
      </c>
      <c r="P2740" s="6">
        <v>2.4199999999999999E-2</v>
      </c>
      <c r="Q2740" s="5">
        <v>232072.90299999999</v>
      </c>
      <c r="R2740" s="1" t="s">
        <v>44</v>
      </c>
      <c r="T2740" s="1" t="s">
        <v>93</v>
      </c>
      <c r="V2740" s="1" t="s">
        <v>140</v>
      </c>
      <c r="Y2740" s="1" t="s">
        <v>461</v>
      </c>
      <c r="Z2740" s="1" t="str">
        <f t="shared" si="126"/>
        <v>55253 GT2</v>
      </c>
      <c r="AA2740" s="3">
        <f>IF(INDEX('CAMD Facility Data 2023'!$AA$2:$AE$10000,MATCH(Z2740,'CAMD Facility Data 2023'!$AE$2:$AE$10000,0),1)&gt;0,INDEX('CAMD Facility Data 2023'!$AA$2:$AE$10000,MATCH(Z2740,'CAMD Facility Data 2023'!$AE$2:$AE$10000,0),1),"")</f>
        <v>37352</v>
      </c>
      <c r="AB2740" s="5">
        <f>IF(INDEX('CAMD Facility Data 2023'!$AC$2:$AE$10000,MATCH(Z2740,'CAMD Facility Data 2023'!$AE$2:$AE$10000,0),1)&gt;0,INDEX('CAMD Facility Data 2023'!$AC$2:$AE$10000,MATCH(Z2740,'CAMD Facility Data 2023'!$AE$2:$AE$10000,0),1),"")</f>
        <v>1100</v>
      </c>
      <c r="AC2740" s="1" t="str">
        <f>IF(INDEX('CAMD Facility Data 2023'!$AE$2:$AG$10000,MATCH(Z2740,'CAMD Facility Data 2023'!$AE$2:$AE$10000,0),3)&gt;0,INDEX('CAMD Facility Data 2023'!$AE$2:$AG$10000,MATCH(Z2740,'CAMD Facility Data 2023'!$AE$2:$AE$10000,0),3),"")</f>
        <v/>
      </c>
      <c r="AD2740" s="20">
        <f t="shared" si="127"/>
        <v>0.33135752965160886</v>
      </c>
      <c r="AE2740" s="25">
        <f t="shared" si="128"/>
        <v>2.4083945931921959E-2</v>
      </c>
    </row>
    <row r="2741" spans="1:31" x14ac:dyDescent="0.2">
      <c r="A2741" s="1" t="s">
        <v>458</v>
      </c>
      <c r="B2741" s="1" t="s">
        <v>6274</v>
      </c>
      <c r="C2741" s="1">
        <v>55253</v>
      </c>
      <c r="D2741" s="1" t="s">
        <v>246</v>
      </c>
      <c r="F2741" s="1">
        <v>2023</v>
      </c>
      <c r="G2741" s="5">
        <v>272</v>
      </c>
      <c r="H2741" s="5">
        <v>223.9</v>
      </c>
      <c r="I2741" s="5">
        <v>12325.7</v>
      </c>
      <c r="K2741" s="5">
        <v>0.05</v>
      </c>
      <c r="L2741" s="5">
        <v>1E-3</v>
      </c>
      <c r="M2741" s="5">
        <v>9850.7289999999994</v>
      </c>
      <c r="N2741" s="6">
        <v>5.91E-2</v>
      </c>
      <c r="O2741" s="5">
        <v>2.2400000000000002</v>
      </c>
      <c r="P2741" s="6">
        <v>2.6599999999999999E-2</v>
      </c>
      <c r="Q2741" s="5">
        <v>165759.326</v>
      </c>
      <c r="R2741" s="1" t="s">
        <v>44</v>
      </c>
      <c r="T2741" s="1" t="s">
        <v>93</v>
      </c>
      <c r="V2741" s="1" t="s">
        <v>140</v>
      </c>
      <c r="Y2741" s="1" t="s">
        <v>461</v>
      </c>
      <c r="Z2741" s="1" t="str">
        <f t="shared" si="126"/>
        <v>55253 GT3</v>
      </c>
      <c r="AA2741" s="3">
        <f>IF(INDEX('CAMD Facility Data 2023'!$AA$2:$AE$10000,MATCH(Z2741,'CAMD Facility Data 2023'!$AE$2:$AE$10000,0),1)&gt;0,INDEX('CAMD Facility Data 2023'!$AA$2:$AE$10000,MATCH(Z2741,'CAMD Facility Data 2023'!$AE$2:$AE$10000,0),1),"")</f>
        <v>37343</v>
      </c>
      <c r="AB2741" s="5">
        <f>IF(INDEX('CAMD Facility Data 2023'!$AC$2:$AE$10000,MATCH(Z2741,'CAMD Facility Data 2023'!$AE$2:$AE$10000,0),1)&gt;0,INDEX('CAMD Facility Data 2023'!$AC$2:$AE$10000,MATCH(Z2741,'CAMD Facility Data 2023'!$AE$2:$AE$10000,0),1),"")</f>
        <v>1100</v>
      </c>
      <c r="AC2741" s="1" t="str">
        <f>IF(INDEX('CAMD Facility Data 2023'!$AE$2:$AG$10000,MATCH(Z2741,'CAMD Facility Data 2023'!$AE$2:$AE$10000,0),3)&gt;0,INDEX('CAMD Facility Data 2023'!$AE$2:$AG$10000,MATCH(Z2741,'CAMD Facility Data 2023'!$AE$2:$AE$10000,0),3),"")</f>
        <v/>
      </c>
      <c r="AD2741" s="20">
        <f t="shared" si="127"/>
        <v>0.36346820058901319</v>
      </c>
      <c r="AE2741" s="25">
        <f t="shared" si="128"/>
        <v>1.7202088625985885E-2</v>
      </c>
    </row>
    <row r="2742" spans="1:31" x14ac:dyDescent="0.2">
      <c r="A2742" s="1" t="s">
        <v>458</v>
      </c>
      <c r="B2742" s="1" t="s">
        <v>6274</v>
      </c>
      <c r="C2742" s="1">
        <v>55253</v>
      </c>
      <c r="D2742" s="1" t="s">
        <v>251</v>
      </c>
      <c r="F2742" s="1">
        <v>2023</v>
      </c>
      <c r="G2742" s="5">
        <v>251</v>
      </c>
      <c r="H2742" s="5">
        <v>209.5</v>
      </c>
      <c r="I2742" s="5">
        <v>11014.03</v>
      </c>
      <c r="K2742" s="5">
        <v>4.8000000000000001E-2</v>
      </c>
      <c r="L2742" s="5">
        <v>1E-3</v>
      </c>
      <c r="M2742" s="5">
        <v>9465.5560000000005</v>
      </c>
      <c r="N2742" s="6">
        <v>5.8999999999999997E-2</v>
      </c>
      <c r="O2742" s="5">
        <v>2.2189999999999999</v>
      </c>
      <c r="P2742" s="6">
        <v>2.75E-2</v>
      </c>
      <c r="Q2742" s="5">
        <v>159275.57500000001</v>
      </c>
      <c r="R2742" s="1" t="s">
        <v>44</v>
      </c>
      <c r="T2742" s="1" t="s">
        <v>93</v>
      </c>
      <c r="V2742" s="1" t="s">
        <v>140</v>
      </c>
      <c r="Y2742" s="1" t="s">
        <v>461</v>
      </c>
      <c r="Z2742" s="1" t="str">
        <f t="shared" si="126"/>
        <v>55253 GT4</v>
      </c>
      <c r="AA2742" s="3">
        <f>IF(INDEX('CAMD Facility Data 2023'!$AA$2:$AE$10000,MATCH(Z2742,'CAMD Facility Data 2023'!$AE$2:$AE$10000,0),1)&gt;0,INDEX('CAMD Facility Data 2023'!$AA$2:$AE$10000,MATCH(Z2742,'CAMD Facility Data 2023'!$AE$2:$AE$10000,0),1),"")</f>
        <v>37341</v>
      </c>
      <c r="AB2742" s="5">
        <f>IF(INDEX('CAMD Facility Data 2023'!$AC$2:$AE$10000,MATCH(Z2742,'CAMD Facility Data 2023'!$AE$2:$AE$10000,0),1)&gt;0,INDEX('CAMD Facility Data 2023'!$AC$2:$AE$10000,MATCH(Z2742,'CAMD Facility Data 2023'!$AE$2:$AE$10000,0),1),"")</f>
        <v>1100</v>
      </c>
      <c r="AC2742" s="1" t="str">
        <f>IF(INDEX('CAMD Facility Data 2023'!$AE$2:$AG$10000,MATCH(Z2742,'CAMD Facility Data 2023'!$AE$2:$AE$10000,0),3)&gt;0,INDEX('CAMD Facility Data 2023'!$AE$2:$AG$10000,MATCH(Z2742,'CAMD Facility Data 2023'!$AE$2:$AE$10000,0),3),"")</f>
        <v/>
      </c>
      <c r="AD2742" s="20">
        <f t="shared" si="127"/>
        <v>0.40294061301812323</v>
      </c>
      <c r="AE2742" s="25">
        <f t="shared" si="128"/>
        <v>1.6529221149854712E-2</v>
      </c>
    </row>
    <row r="2743" spans="1:31" x14ac:dyDescent="0.2">
      <c r="A2743" s="1" t="s">
        <v>1071</v>
      </c>
      <c r="B2743" s="1" t="s">
        <v>6280</v>
      </c>
      <c r="C2743" s="1">
        <v>55259</v>
      </c>
      <c r="D2743" s="1" t="s">
        <v>311</v>
      </c>
      <c r="F2743" s="1">
        <v>2023</v>
      </c>
      <c r="G2743" s="5">
        <v>8112</v>
      </c>
      <c r="H2743" s="5">
        <v>8109.96</v>
      </c>
      <c r="I2743" s="5">
        <v>1131585.43</v>
      </c>
      <c r="K2743" s="5">
        <v>4.0519999999999996</v>
      </c>
      <c r="L2743" s="5">
        <v>1E-3</v>
      </c>
      <c r="M2743" s="5">
        <v>802554.13699999999</v>
      </c>
      <c r="N2743" s="6">
        <v>5.8999999999999997E-2</v>
      </c>
      <c r="O2743" s="5">
        <v>54.228000000000002</v>
      </c>
      <c r="P2743" s="6">
        <v>8.0999999999999996E-3</v>
      </c>
      <c r="Q2743" s="5">
        <v>13504441.947000001</v>
      </c>
      <c r="R2743" s="1" t="s">
        <v>44</v>
      </c>
      <c r="T2743" s="1" t="s">
        <v>71</v>
      </c>
      <c r="V2743" s="1" t="s">
        <v>64</v>
      </c>
      <c r="Y2743" s="1" t="s">
        <v>461</v>
      </c>
      <c r="Z2743" s="1" t="str">
        <f t="shared" si="126"/>
        <v>55259 CT1</v>
      </c>
      <c r="AA2743" s="3">
        <f>IF(INDEX('CAMD Facility Data 2023'!$AA$2:$AE$10000,MATCH(Z2743,'CAMD Facility Data 2023'!$AE$2:$AE$10000,0),1)&gt;0,INDEX('CAMD Facility Data 2023'!$AA$2:$AE$10000,MATCH(Z2743,'CAMD Facility Data 2023'!$AE$2:$AE$10000,0),1),"")</f>
        <v>37093</v>
      </c>
      <c r="AB2743" s="5">
        <f>IF(INDEX('CAMD Facility Data 2023'!$AC$2:$AE$10000,MATCH(Z2743,'CAMD Facility Data 2023'!$AE$2:$AE$10000,0),1)&gt;0,INDEX('CAMD Facility Data 2023'!$AC$2:$AE$10000,MATCH(Z2743,'CAMD Facility Data 2023'!$AE$2:$AE$10000,0),1),"")</f>
        <v>2994</v>
      </c>
      <c r="AC2743" s="1" t="str">
        <f>IF(INDEX('CAMD Facility Data 2023'!$AE$2:$AG$10000,MATCH(Z2743,'CAMD Facility Data 2023'!$AE$2:$AE$10000,0),3)&gt;0,INDEX('CAMD Facility Data 2023'!$AE$2:$AG$10000,MATCH(Z2743,'CAMD Facility Data 2023'!$AE$2:$AE$10000,0),3),"")</f>
        <v>Y</v>
      </c>
      <c r="AD2743" s="20">
        <f t="shared" si="127"/>
        <v>9.584428813297817E-2</v>
      </c>
      <c r="AE2743" s="25">
        <f t="shared" si="128"/>
        <v>0.5148974488932202</v>
      </c>
    </row>
    <row r="2744" spans="1:31" x14ac:dyDescent="0.2">
      <c r="A2744" s="1" t="s">
        <v>1071</v>
      </c>
      <c r="B2744" s="1" t="s">
        <v>6280</v>
      </c>
      <c r="C2744" s="1">
        <v>55259</v>
      </c>
      <c r="D2744" s="1" t="s">
        <v>98</v>
      </c>
      <c r="F2744" s="1">
        <v>2023</v>
      </c>
      <c r="G2744" s="5">
        <v>7913</v>
      </c>
      <c r="H2744" s="5">
        <v>7911.35</v>
      </c>
      <c r="I2744" s="5">
        <v>1135842.77</v>
      </c>
      <c r="K2744" s="5">
        <v>3.91</v>
      </c>
      <c r="L2744" s="5">
        <v>1E-3</v>
      </c>
      <c r="M2744" s="5">
        <v>774508.53399999999</v>
      </c>
      <c r="N2744" s="6">
        <v>5.8999999999999997E-2</v>
      </c>
      <c r="O2744" s="5">
        <v>52.284999999999997</v>
      </c>
      <c r="P2744" s="6">
        <v>8.0999999999999996E-3</v>
      </c>
      <c r="Q2744" s="5">
        <v>13032657.77</v>
      </c>
      <c r="R2744" s="1" t="s">
        <v>44</v>
      </c>
      <c r="T2744" s="1" t="s">
        <v>71</v>
      </c>
      <c r="V2744" s="1" t="s">
        <v>64</v>
      </c>
      <c r="Y2744" s="1" t="s">
        <v>461</v>
      </c>
      <c r="Z2744" s="1" t="str">
        <f t="shared" si="126"/>
        <v>55259 CT2</v>
      </c>
      <c r="AA2744" s="3">
        <f>IF(INDEX('CAMD Facility Data 2023'!$AA$2:$AE$10000,MATCH(Z2744,'CAMD Facility Data 2023'!$AE$2:$AE$10000,0),1)&gt;0,INDEX('CAMD Facility Data 2023'!$AA$2:$AE$10000,MATCH(Z2744,'CAMD Facility Data 2023'!$AE$2:$AE$10000,0),1),"")</f>
        <v>37085</v>
      </c>
      <c r="AB2744" s="5">
        <f>IF(INDEX('CAMD Facility Data 2023'!$AC$2:$AE$10000,MATCH(Z2744,'CAMD Facility Data 2023'!$AE$2:$AE$10000,0),1)&gt;0,INDEX('CAMD Facility Data 2023'!$AC$2:$AE$10000,MATCH(Z2744,'CAMD Facility Data 2023'!$AE$2:$AE$10000,0),1),"")</f>
        <v>2994</v>
      </c>
      <c r="AC2744" s="1" t="str">
        <f>IF(INDEX('CAMD Facility Data 2023'!$AE$2:$AG$10000,MATCH(Z2744,'CAMD Facility Data 2023'!$AE$2:$AE$10000,0),3)&gt;0,INDEX('CAMD Facility Data 2023'!$AE$2:$AG$10000,MATCH(Z2744,'CAMD Facility Data 2023'!$AE$2:$AE$10000,0),3),"")</f>
        <v>Y</v>
      </c>
      <c r="AD2744" s="20">
        <f t="shared" si="127"/>
        <v>9.2063798583671932E-2</v>
      </c>
      <c r="AE2744" s="25">
        <f t="shared" si="128"/>
        <v>0.49690925877630449</v>
      </c>
    </row>
    <row r="2745" spans="1:31" x14ac:dyDescent="0.2">
      <c r="A2745" s="1" t="s">
        <v>2430</v>
      </c>
      <c r="B2745" s="1" t="s">
        <v>6285</v>
      </c>
      <c r="C2745" s="1">
        <v>55262</v>
      </c>
      <c r="D2745" s="1" t="s">
        <v>311</v>
      </c>
      <c r="F2745" s="1">
        <v>2023</v>
      </c>
      <c r="G2745" s="5">
        <v>75</v>
      </c>
      <c r="H2745" s="5">
        <v>50.25</v>
      </c>
      <c r="I2745" s="5">
        <v>1003.69</v>
      </c>
      <c r="K2745" s="5">
        <v>7.0000000000000001E-3</v>
      </c>
      <c r="L2745" s="5">
        <v>8.0000000000000004E-4</v>
      </c>
      <c r="M2745" s="5">
        <v>1447.2</v>
      </c>
      <c r="N2745" s="6">
        <v>5.8900000000000001E-2</v>
      </c>
      <c r="O2745" s="5">
        <v>1.841</v>
      </c>
      <c r="P2745" s="6">
        <v>0.14990000000000001</v>
      </c>
      <c r="Q2745" s="5">
        <v>24540</v>
      </c>
      <c r="R2745" s="1" t="s">
        <v>44</v>
      </c>
      <c r="T2745" s="1" t="s">
        <v>93</v>
      </c>
      <c r="V2745" s="1" t="s">
        <v>223</v>
      </c>
      <c r="Y2745" s="1" t="s">
        <v>461</v>
      </c>
      <c r="Z2745" s="1" t="str">
        <f t="shared" si="126"/>
        <v>55262 CT1</v>
      </c>
      <c r="AA2745" s="3">
        <f>IF(INDEX('CAMD Facility Data 2023'!$AA$2:$AE$10000,MATCH(Z2745,'CAMD Facility Data 2023'!$AE$2:$AE$10000,0),1)&gt;0,INDEX('CAMD Facility Data 2023'!$AA$2:$AE$10000,MATCH(Z2745,'CAMD Facility Data 2023'!$AE$2:$AE$10000,0),1),"")</f>
        <v>36930</v>
      </c>
      <c r="AB2745" s="5">
        <f>IF(INDEX('CAMD Facility Data 2023'!$AC$2:$AE$10000,MATCH(Z2745,'CAMD Facility Data 2023'!$AE$2:$AE$10000,0),1)&gt;0,INDEX('CAMD Facility Data 2023'!$AC$2:$AE$10000,MATCH(Z2745,'CAMD Facility Data 2023'!$AE$2:$AE$10000,0),1),"")</f>
        <v>507</v>
      </c>
      <c r="AC2745" s="1" t="str">
        <f>IF(INDEX('CAMD Facility Data 2023'!$AE$2:$AG$10000,MATCH(Z2745,'CAMD Facility Data 2023'!$AE$2:$AE$10000,0),3)&gt;0,INDEX('CAMD Facility Data 2023'!$AE$2:$AG$10000,MATCH(Z2745,'CAMD Facility Data 2023'!$AE$2:$AE$10000,0),3),"")</f>
        <v>Y</v>
      </c>
      <c r="AD2745" s="20">
        <f t="shared" si="127"/>
        <v>3.6684633701640941</v>
      </c>
      <c r="AE2745" s="25">
        <f t="shared" si="128"/>
        <v>5.5253843451946718E-3</v>
      </c>
    </row>
    <row r="2746" spans="1:31" x14ac:dyDescent="0.2">
      <c r="A2746" s="1" t="s">
        <v>2430</v>
      </c>
      <c r="B2746" s="1" t="s">
        <v>6288</v>
      </c>
      <c r="C2746" s="1">
        <v>55263</v>
      </c>
      <c r="D2746" s="1" t="s">
        <v>311</v>
      </c>
      <c r="F2746" s="1">
        <v>2023</v>
      </c>
      <c r="G2746" s="5">
        <v>54</v>
      </c>
      <c r="H2746" s="5">
        <v>39.340000000000003</v>
      </c>
      <c r="I2746" s="5">
        <v>703.22</v>
      </c>
      <c r="K2746" s="5">
        <v>7.0000000000000001E-3</v>
      </c>
      <c r="L2746" s="5">
        <v>8.0000000000000004E-4</v>
      </c>
      <c r="M2746" s="5">
        <v>1477.7</v>
      </c>
      <c r="N2746" s="6">
        <v>5.8999999999999997E-2</v>
      </c>
      <c r="O2746" s="5">
        <v>1.8779999999999999</v>
      </c>
      <c r="P2746" s="6">
        <v>0.15</v>
      </c>
      <c r="Q2746" s="5">
        <v>25040.400000000001</v>
      </c>
      <c r="R2746" s="1" t="s">
        <v>44</v>
      </c>
      <c r="T2746" s="1" t="s">
        <v>93</v>
      </c>
      <c r="V2746" s="1" t="s">
        <v>223</v>
      </c>
      <c r="Y2746" s="1" t="s">
        <v>461</v>
      </c>
      <c r="Z2746" s="1" t="str">
        <f t="shared" si="126"/>
        <v>55263 CT1</v>
      </c>
      <c r="AA2746" s="3">
        <f>IF(INDEX('CAMD Facility Data 2023'!$AA$2:$AE$10000,MATCH(Z2746,'CAMD Facility Data 2023'!$AE$2:$AE$10000,0),1)&gt;0,INDEX('CAMD Facility Data 2023'!$AA$2:$AE$10000,MATCH(Z2746,'CAMD Facility Data 2023'!$AE$2:$AE$10000,0),1),"")</f>
        <v>37049</v>
      </c>
      <c r="AB2746" s="5">
        <f>IF(INDEX('CAMD Facility Data 2023'!$AC$2:$AE$10000,MATCH(Z2746,'CAMD Facility Data 2023'!$AE$2:$AE$10000,0),1)&gt;0,INDEX('CAMD Facility Data 2023'!$AC$2:$AE$10000,MATCH(Z2746,'CAMD Facility Data 2023'!$AE$2:$AE$10000,0),1),"")</f>
        <v>507</v>
      </c>
      <c r="AC2746" s="1" t="str">
        <f>IF(INDEX('CAMD Facility Data 2023'!$AE$2:$AG$10000,MATCH(Z2746,'CAMD Facility Data 2023'!$AE$2:$AE$10000,0),3)&gt;0,INDEX('CAMD Facility Data 2023'!$AE$2:$AG$10000,MATCH(Z2746,'CAMD Facility Data 2023'!$AE$2:$AE$10000,0),3),"")</f>
        <v>Y</v>
      </c>
      <c r="AD2746" s="20">
        <f t="shared" si="127"/>
        <v>5.3411450186285938</v>
      </c>
      <c r="AE2746" s="25">
        <f t="shared" si="128"/>
        <v>5.6380535516468077E-3</v>
      </c>
    </row>
    <row r="2747" spans="1:31" x14ac:dyDescent="0.2">
      <c r="A2747" s="1" t="s">
        <v>2430</v>
      </c>
      <c r="B2747" s="1" t="s">
        <v>6290</v>
      </c>
      <c r="C2747" s="1">
        <v>55264</v>
      </c>
      <c r="D2747" s="1" t="s">
        <v>311</v>
      </c>
      <c r="F2747" s="1">
        <v>2023</v>
      </c>
      <c r="G2747" s="5">
        <v>75</v>
      </c>
      <c r="H2747" s="5">
        <v>56.18</v>
      </c>
      <c r="I2747" s="5">
        <v>1124.1400000000001</v>
      </c>
      <c r="K2747" s="5">
        <v>8.0000000000000002E-3</v>
      </c>
      <c r="L2747" s="5">
        <v>8.9999999999999998E-4</v>
      </c>
      <c r="M2747" s="5">
        <v>1524.6</v>
      </c>
      <c r="N2747" s="6">
        <v>5.8999999999999997E-2</v>
      </c>
      <c r="O2747" s="5">
        <v>1.9390000000000001</v>
      </c>
      <c r="P2747" s="6">
        <v>0.15</v>
      </c>
      <c r="Q2747" s="5">
        <v>25850.799999999999</v>
      </c>
      <c r="R2747" s="1" t="s">
        <v>44</v>
      </c>
      <c r="T2747" s="1" t="s">
        <v>93</v>
      </c>
      <c r="V2747" s="1" t="s">
        <v>223</v>
      </c>
      <c r="Y2747" s="1" t="s">
        <v>461</v>
      </c>
      <c r="Z2747" s="1" t="str">
        <f t="shared" si="126"/>
        <v>55264 CT1</v>
      </c>
      <c r="AA2747" s="3">
        <f>IF(INDEX('CAMD Facility Data 2023'!$AA$2:$AE$10000,MATCH(Z2747,'CAMD Facility Data 2023'!$AE$2:$AE$10000,0),1)&gt;0,INDEX('CAMD Facility Data 2023'!$AA$2:$AE$10000,MATCH(Z2747,'CAMD Facility Data 2023'!$AE$2:$AE$10000,0),1),"")</f>
        <v>36956</v>
      </c>
      <c r="AB2747" s="5">
        <f>IF(INDEX('CAMD Facility Data 2023'!$AC$2:$AE$10000,MATCH(Z2747,'CAMD Facility Data 2023'!$AE$2:$AE$10000,0),1)&gt;0,INDEX('CAMD Facility Data 2023'!$AC$2:$AE$10000,MATCH(Z2747,'CAMD Facility Data 2023'!$AE$2:$AE$10000,0),1),"")</f>
        <v>507</v>
      </c>
      <c r="AC2747" s="1" t="str">
        <f>IF(INDEX('CAMD Facility Data 2023'!$AE$2:$AG$10000,MATCH(Z2747,'CAMD Facility Data 2023'!$AE$2:$AE$10000,0),3)&gt;0,INDEX('CAMD Facility Data 2023'!$AE$2:$AG$10000,MATCH(Z2747,'CAMD Facility Data 2023'!$AE$2:$AE$10000,0),3),"")</f>
        <v>Y</v>
      </c>
      <c r="AD2747" s="20">
        <f t="shared" si="127"/>
        <v>3.4497482519970819</v>
      </c>
      <c r="AE2747" s="25">
        <f t="shared" si="128"/>
        <v>5.8205218268442714E-3</v>
      </c>
    </row>
    <row r="2748" spans="1:31" x14ac:dyDescent="0.2">
      <c r="A2748" s="1" t="s">
        <v>921</v>
      </c>
      <c r="B2748" s="1" t="s">
        <v>6292</v>
      </c>
      <c r="C2748" s="1">
        <v>55267</v>
      </c>
      <c r="D2748" s="1">
        <v>1</v>
      </c>
      <c r="F2748" s="1">
        <v>2023</v>
      </c>
      <c r="G2748" s="5">
        <v>128</v>
      </c>
      <c r="H2748" s="5">
        <v>101.09</v>
      </c>
      <c r="I2748" s="5">
        <v>13559.56</v>
      </c>
      <c r="K2748" s="5">
        <v>5.3999999999999999E-2</v>
      </c>
      <c r="L2748" s="5">
        <v>1E-3</v>
      </c>
      <c r="M2748" s="5">
        <v>9505.1589999999997</v>
      </c>
      <c r="N2748" s="6">
        <v>6.1899999999999997E-2</v>
      </c>
      <c r="O2748" s="5">
        <v>4.2889999999999997</v>
      </c>
      <c r="P2748" s="6">
        <v>6.4699999999999994E-2</v>
      </c>
      <c r="Q2748" s="5">
        <v>152037.26300000001</v>
      </c>
      <c r="R2748" s="1" t="s">
        <v>44</v>
      </c>
      <c r="S2748" s="1" t="s">
        <v>94</v>
      </c>
      <c r="T2748" s="1" t="s">
        <v>93</v>
      </c>
      <c r="V2748" s="1" t="s">
        <v>140</v>
      </c>
      <c r="Y2748" s="1" t="s">
        <v>952</v>
      </c>
      <c r="Z2748" s="1" t="str">
        <f t="shared" si="126"/>
        <v>55267 1</v>
      </c>
      <c r="AA2748" s="3">
        <f>IF(INDEX('CAMD Facility Data 2023'!$AA$2:$AE$10000,MATCH(Z2748,'CAMD Facility Data 2023'!$AE$2:$AE$10000,0),1)&gt;0,INDEX('CAMD Facility Data 2023'!$AA$2:$AE$10000,MATCH(Z2748,'CAMD Facility Data 2023'!$AE$2:$AE$10000,0),1),"")</f>
        <v>36601</v>
      </c>
      <c r="AB2748" s="5">
        <f>IF(INDEX('CAMD Facility Data 2023'!$AC$2:$AE$10000,MATCH(Z2748,'CAMD Facility Data 2023'!$AE$2:$AE$10000,0),1)&gt;0,INDEX('CAMD Facility Data 2023'!$AC$2:$AE$10000,MATCH(Z2748,'CAMD Facility Data 2023'!$AE$2:$AE$10000,0),1),"")</f>
        <v>1923</v>
      </c>
      <c r="AC2748" s="1" t="str">
        <f>IF(INDEX('CAMD Facility Data 2023'!$AE$2:$AG$10000,MATCH(Z2748,'CAMD Facility Data 2023'!$AE$2:$AE$10000,0),3)&gt;0,INDEX('CAMD Facility Data 2023'!$AE$2:$AG$10000,MATCH(Z2748,'CAMD Facility Data 2023'!$AE$2:$AE$10000,0),3),"")</f>
        <v/>
      </c>
      <c r="AD2748" s="20">
        <f t="shared" si="127"/>
        <v>0.63261639758222243</v>
      </c>
      <c r="AE2748" s="25">
        <f t="shared" si="128"/>
        <v>9.025404025293433E-3</v>
      </c>
    </row>
    <row r="2749" spans="1:31" x14ac:dyDescent="0.2">
      <c r="A2749" s="1" t="s">
        <v>921</v>
      </c>
      <c r="B2749" s="1" t="s">
        <v>6292</v>
      </c>
      <c r="C2749" s="1">
        <v>55267</v>
      </c>
      <c r="D2749" s="1">
        <v>2</v>
      </c>
      <c r="F2749" s="1">
        <v>2023</v>
      </c>
      <c r="G2749" s="5">
        <v>774</v>
      </c>
      <c r="H2749" s="5">
        <v>656.31</v>
      </c>
      <c r="I2749" s="5">
        <v>91053.78</v>
      </c>
      <c r="K2749" s="5">
        <v>0.30599999999999999</v>
      </c>
      <c r="L2749" s="5">
        <v>1E-3</v>
      </c>
      <c r="M2749" s="5">
        <v>59541.101999999999</v>
      </c>
      <c r="N2749" s="6">
        <v>5.9499999999999997E-2</v>
      </c>
      <c r="O2749" s="5">
        <v>19.791</v>
      </c>
      <c r="P2749" s="6">
        <v>5.2299999999999999E-2</v>
      </c>
      <c r="Q2749" s="5">
        <v>997592.96299999999</v>
      </c>
      <c r="R2749" s="1" t="s">
        <v>44</v>
      </c>
      <c r="S2749" s="1" t="s">
        <v>94</v>
      </c>
      <c r="T2749" s="1" t="s">
        <v>93</v>
      </c>
      <c r="V2749" s="1" t="s">
        <v>140</v>
      </c>
      <c r="Y2749" s="1" t="s">
        <v>952</v>
      </c>
      <c r="Z2749" s="1" t="str">
        <f t="shared" si="126"/>
        <v>55267 2</v>
      </c>
      <c r="AA2749" s="3">
        <f>IF(INDEX('CAMD Facility Data 2023'!$AA$2:$AE$10000,MATCH(Z2749,'CAMD Facility Data 2023'!$AE$2:$AE$10000,0),1)&gt;0,INDEX('CAMD Facility Data 2023'!$AA$2:$AE$10000,MATCH(Z2749,'CAMD Facility Data 2023'!$AE$2:$AE$10000,0),1),"")</f>
        <v>36647</v>
      </c>
      <c r="AB2749" s="5">
        <f>IF(INDEX('CAMD Facility Data 2023'!$AC$2:$AE$10000,MATCH(Z2749,'CAMD Facility Data 2023'!$AE$2:$AE$10000,0),1)&gt;0,INDEX('CAMD Facility Data 2023'!$AC$2:$AE$10000,MATCH(Z2749,'CAMD Facility Data 2023'!$AE$2:$AE$10000,0),1),"")</f>
        <v>1922</v>
      </c>
      <c r="AC2749" s="1" t="str">
        <f>IF(INDEX('CAMD Facility Data 2023'!$AE$2:$AG$10000,MATCH(Z2749,'CAMD Facility Data 2023'!$AE$2:$AE$10000,0),3)&gt;0,INDEX('CAMD Facility Data 2023'!$AE$2:$AG$10000,MATCH(Z2749,'CAMD Facility Data 2023'!$AE$2:$AE$10000,0),3),"")</f>
        <v/>
      </c>
      <c r="AD2749" s="20">
        <f t="shared" si="127"/>
        <v>0.43471012406074738</v>
      </c>
      <c r="AE2749" s="25">
        <f t="shared" si="128"/>
        <v>5.9251027694230227E-2</v>
      </c>
    </row>
    <row r="2750" spans="1:31" x14ac:dyDescent="0.2">
      <c r="A2750" s="1" t="s">
        <v>921</v>
      </c>
      <c r="B2750" s="1" t="s">
        <v>6292</v>
      </c>
      <c r="C2750" s="1">
        <v>55267</v>
      </c>
      <c r="D2750" s="1">
        <v>3</v>
      </c>
      <c r="F2750" s="1">
        <v>2023</v>
      </c>
      <c r="G2750" s="5">
        <v>127</v>
      </c>
      <c r="H2750" s="5">
        <v>104.61</v>
      </c>
      <c r="I2750" s="5">
        <v>14235.38</v>
      </c>
      <c r="K2750" s="5">
        <v>5.0999999999999997E-2</v>
      </c>
      <c r="L2750" s="5">
        <v>1E-3</v>
      </c>
      <c r="M2750" s="5">
        <v>9546.9060000000009</v>
      </c>
      <c r="N2750" s="6">
        <v>6.1100000000000002E-2</v>
      </c>
      <c r="O2750" s="5">
        <v>3.57</v>
      </c>
      <c r="P2750" s="6">
        <v>5.79E-2</v>
      </c>
      <c r="Q2750" s="5">
        <v>156831.22200000001</v>
      </c>
      <c r="R2750" s="1" t="s">
        <v>44</v>
      </c>
      <c r="S2750" s="1" t="s">
        <v>94</v>
      </c>
      <c r="T2750" s="1" t="s">
        <v>93</v>
      </c>
      <c r="V2750" s="1" t="s">
        <v>140</v>
      </c>
      <c r="Y2750" s="1" t="s">
        <v>952</v>
      </c>
      <c r="Z2750" s="1" t="str">
        <f t="shared" si="126"/>
        <v>55267 3</v>
      </c>
      <c r="AA2750" s="3">
        <f>IF(INDEX('CAMD Facility Data 2023'!$AA$2:$AE$10000,MATCH(Z2750,'CAMD Facility Data 2023'!$AE$2:$AE$10000,0),1)&gt;0,INDEX('CAMD Facility Data 2023'!$AA$2:$AE$10000,MATCH(Z2750,'CAMD Facility Data 2023'!$AE$2:$AE$10000,0),1),"")</f>
        <v>36626</v>
      </c>
      <c r="AB2750" s="5">
        <f>IF(INDEX('CAMD Facility Data 2023'!$AC$2:$AE$10000,MATCH(Z2750,'CAMD Facility Data 2023'!$AE$2:$AE$10000,0),1)&gt;0,INDEX('CAMD Facility Data 2023'!$AC$2:$AE$10000,MATCH(Z2750,'CAMD Facility Data 2023'!$AE$2:$AE$10000,0),1),"")</f>
        <v>1855</v>
      </c>
      <c r="AC2750" s="1" t="str">
        <f>IF(INDEX('CAMD Facility Data 2023'!$AE$2:$AG$10000,MATCH(Z2750,'CAMD Facility Data 2023'!$AE$2:$AE$10000,0),3)&gt;0,INDEX('CAMD Facility Data 2023'!$AE$2:$AG$10000,MATCH(Z2750,'CAMD Facility Data 2023'!$AE$2:$AE$10000,0),3),"")</f>
        <v/>
      </c>
      <c r="AD2750" s="20">
        <f t="shared" si="127"/>
        <v>0.50156722194981807</v>
      </c>
      <c r="AE2750" s="25">
        <f t="shared" si="128"/>
        <v>9.6512709079496373E-3</v>
      </c>
    </row>
    <row r="2751" spans="1:31" x14ac:dyDescent="0.2">
      <c r="A2751" s="1" t="s">
        <v>921</v>
      </c>
      <c r="B2751" s="1" t="s">
        <v>6292</v>
      </c>
      <c r="C2751" s="1">
        <v>55267</v>
      </c>
      <c r="D2751" s="1">
        <v>4</v>
      </c>
      <c r="F2751" s="1">
        <v>2023</v>
      </c>
      <c r="G2751" s="5">
        <v>738</v>
      </c>
      <c r="H2751" s="5">
        <v>617.41</v>
      </c>
      <c r="I2751" s="5">
        <v>84281.99</v>
      </c>
      <c r="K2751" s="5">
        <v>0.28899999999999998</v>
      </c>
      <c r="L2751" s="5">
        <v>1E-3</v>
      </c>
      <c r="M2751" s="5">
        <v>55945.059000000001</v>
      </c>
      <c r="N2751" s="6">
        <v>5.9900000000000002E-2</v>
      </c>
      <c r="O2751" s="5">
        <v>19.510000000000002</v>
      </c>
      <c r="P2751" s="6">
        <v>5.5500000000000001E-2</v>
      </c>
      <c r="Q2751" s="5">
        <v>935018.48899999994</v>
      </c>
      <c r="R2751" s="1" t="s">
        <v>44</v>
      </c>
      <c r="S2751" s="1" t="s">
        <v>94</v>
      </c>
      <c r="T2751" s="1" t="s">
        <v>93</v>
      </c>
      <c r="V2751" s="1" t="s">
        <v>140</v>
      </c>
      <c r="Y2751" s="1" t="s">
        <v>952</v>
      </c>
      <c r="Z2751" s="1" t="str">
        <f t="shared" si="126"/>
        <v>55267 4</v>
      </c>
      <c r="AA2751" s="3">
        <f>IF(INDEX('CAMD Facility Data 2023'!$AA$2:$AE$10000,MATCH(Z2751,'CAMD Facility Data 2023'!$AE$2:$AE$10000,0),1)&gt;0,INDEX('CAMD Facility Data 2023'!$AA$2:$AE$10000,MATCH(Z2751,'CAMD Facility Data 2023'!$AE$2:$AE$10000,0),1),"")</f>
        <v>36645</v>
      </c>
      <c r="AB2751" s="5">
        <f>IF(INDEX('CAMD Facility Data 2023'!$AC$2:$AE$10000,MATCH(Z2751,'CAMD Facility Data 2023'!$AE$2:$AE$10000,0),1)&gt;0,INDEX('CAMD Facility Data 2023'!$AC$2:$AE$10000,MATCH(Z2751,'CAMD Facility Data 2023'!$AE$2:$AE$10000,0),1),"")</f>
        <v>1831</v>
      </c>
      <c r="AC2751" s="1" t="str">
        <f>IF(INDEX('CAMD Facility Data 2023'!$AE$2:$AG$10000,MATCH(Z2751,'CAMD Facility Data 2023'!$AE$2:$AE$10000,0),3)&gt;0,INDEX('CAMD Facility Data 2023'!$AE$2:$AG$10000,MATCH(Z2751,'CAMD Facility Data 2023'!$AE$2:$AE$10000,0),3),"")</f>
        <v/>
      </c>
      <c r="AD2751" s="20">
        <f t="shared" si="127"/>
        <v>0.46296960952155969</v>
      </c>
      <c r="AE2751" s="25">
        <f t="shared" si="128"/>
        <v>5.8294522355974848E-2</v>
      </c>
    </row>
    <row r="2752" spans="1:31" x14ac:dyDescent="0.2">
      <c r="A2752" s="1" t="s">
        <v>1732</v>
      </c>
      <c r="B2752" s="1" t="s">
        <v>6300</v>
      </c>
      <c r="C2752" s="1">
        <v>55269</v>
      </c>
      <c r="D2752" s="1" t="s">
        <v>5546</v>
      </c>
      <c r="F2752" s="1">
        <v>2023</v>
      </c>
      <c r="G2752" s="5">
        <v>7179</v>
      </c>
      <c r="H2752" s="5">
        <v>7149.34</v>
      </c>
      <c r="I2752" s="5">
        <v>1703487.52</v>
      </c>
      <c r="K2752" s="5">
        <v>3.48</v>
      </c>
      <c r="L2752" s="5">
        <v>1E-3</v>
      </c>
      <c r="M2752" s="5">
        <v>689240.44400000002</v>
      </c>
      <c r="N2752" s="6">
        <v>5.8999999999999997E-2</v>
      </c>
      <c r="O2752" s="5">
        <v>66.561000000000007</v>
      </c>
      <c r="P2752" s="6">
        <v>1.24E-2</v>
      </c>
      <c r="Q2752" s="5">
        <v>11597854.293</v>
      </c>
      <c r="R2752" s="1" t="s">
        <v>44</v>
      </c>
      <c r="T2752" s="1" t="s">
        <v>71</v>
      </c>
      <c r="V2752" s="1" t="s">
        <v>64</v>
      </c>
      <c r="Y2752" s="1" t="s">
        <v>346</v>
      </c>
      <c r="Z2752" s="1" t="str">
        <f t="shared" si="126"/>
        <v>55269 AA-001</v>
      </c>
      <c r="AA2752" s="3">
        <f>IF(INDEX('CAMD Facility Data 2023'!$AA$2:$AE$10000,MATCH(Z2752,'CAMD Facility Data 2023'!$AE$2:$AE$10000,0),1)&gt;0,INDEX('CAMD Facility Data 2023'!$AA$2:$AE$10000,MATCH(Z2752,'CAMD Facility Data 2023'!$AE$2:$AE$10000,0),1),"")</f>
        <v>37694</v>
      </c>
      <c r="AB2752" s="5">
        <f>IF(INDEX('CAMD Facility Data 2023'!$AC$2:$AE$10000,MATCH(Z2752,'CAMD Facility Data 2023'!$AE$2:$AE$10000,0),1)&gt;0,INDEX('CAMD Facility Data 2023'!$AC$2:$AE$10000,MATCH(Z2752,'CAMD Facility Data 2023'!$AE$2:$AE$10000,0),1),"")</f>
        <v>3630</v>
      </c>
      <c r="AC2752" s="1" t="str">
        <f>IF(INDEX('CAMD Facility Data 2023'!$AE$2:$AG$10000,MATCH(Z2752,'CAMD Facility Data 2023'!$AE$2:$AE$10000,0),3)&gt;0,INDEX('CAMD Facility Data 2023'!$AE$2:$AG$10000,MATCH(Z2752,'CAMD Facility Data 2023'!$AE$2:$AE$10000,0),3),"")</f>
        <v>Y</v>
      </c>
      <c r="AD2752" s="20">
        <f t="shared" si="127"/>
        <v>7.8146742161046182E-2</v>
      </c>
      <c r="AE2752" s="25">
        <f t="shared" si="128"/>
        <v>0.36472616240235478</v>
      </c>
    </row>
    <row r="2753" spans="1:31" x14ac:dyDescent="0.2">
      <c r="A2753" s="1" t="s">
        <v>1732</v>
      </c>
      <c r="B2753" s="1" t="s">
        <v>6300</v>
      </c>
      <c r="C2753" s="1">
        <v>55269</v>
      </c>
      <c r="D2753" s="1" t="s">
        <v>5548</v>
      </c>
      <c r="F2753" s="1">
        <v>2023</v>
      </c>
      <c r="G2753" s="5">
        <v>5745</v>
      </c>
      <c r="H2753" s="5">
        <v>5654.62</v>
      </c>
      <c r="I2753" s="5">
        <v>1326003.1299999999</v>
      </c>
      <c r="K2753" s="5">
        <v>2.7629999999999999</v>
      </c>
      <c r="L2753" s="5">
        <v>1E-3</v>
      </c>
      <c r="M2753" s="5">
        <v>547405.71</v>
      </c>
      <c r="N2753" s="6">
        <v>5.8999999999999997E-2</v>
      </c>
      <c r="O2753" s="5">
        <v>54.250999999999998</v>
      </c>
      <c r="P2753" s="6">
        <v>1.3899999999999999E-2</v>
      </c>
      <c r="Q2753" s="5">
        <v>9211165.3709999993</v>
      </c>
      <c r="R2753" s="1" t="s">
        <v>44</v>
      </c>
      <c r="T2753" s="1" t="s">
        <v>71</v>
      </c>
      <c r="V2753" s="1" t="s">
        <v>64</v>
      </c>
      <c r="Y2753" s="1" t="s">
        <v>346</v>
      </c>
      <c r="Z2753" s="1" t="str">
        <f t="shared" si="126"/>
        <v>55269 AA-002</v>
      </c>
      <c r="AA2753" s="3">
        <f>IF(INDEX('CAMD Facility Data 2023'!$AA$2:$AE$10000,MATCH(Z2753,'CAMD Facility Data 2023'!$AE$2:$AE$10000,0),1)&gt;0,INDEX('CAMD Facility Data 2023'!$AA$2:$AE$10000,MATCH(Z2753,'CAMD Facility Data 2023'!$AE$2:$AE$10000,0),1),"")</f>
        <v>37709</v>
      </c>
      <c r="AB2753" s="5">
        <f>IF(INDEX('CAMD Facility Data 2023'!$AC$2:$AE$10000,MATCH(Z2753,'CAMD Facility Data 2023'!$AE$2:$AE$10000,0),1)&gt;0,INDEX('CAMD Facility Data 2023'!$AC$2:$AE$10000,MATCH(Z2753,'CAMD Facility Data 2023'!$AE$2:$AE$10000,0),1),"")</f>
        <v>3630</v>
      </c>
      <c r="AC2753" s="1" t="str">
        <f>IF(INDEX('CAMD Facility Data 2023'!$AE$2:$AG$10000,MATCH(Z2753,'CAMD Facility Data 2023'!$AE$2:$AE$10000,0),3)&gt;0,INDEX('CAMD Facility Data 2023'!$AE$2:$AG$10000,MATCH(Z2753,'CAMD Facility Data 2023'!$AE$2:$AE$10000,0),3),"")</f>
        <v>Y</v>
      </c>
      <c r="AD2753" s="20">
        <f t="shared" si="127"/>
        <v>8.1826352853329995E-2</v>
      </c>
      <c r="AE2753" s="25">
        <f t="shared" si="128"/>
        <v>0.28967021934789988</v>
      </c>
    </row>
    <row r="2754" spans="1:31" x14ac:dyDescent="0.2">
      <c r="A2754" s="1" t="s">
        <v>1732</v>
      </c>
      <c r="B2754" s="1" t="s">
        <v>6300</v>
      </c>
      <c r="C2754" s="1">
        <v>55269</v>
      </c>
      <c r="D2754" s="1" t="s">
        <v>5550</v>
      </c>
      <c r="F2754" s="1">
        <v>2023</v>
      </c>
      <c r="G2754" s="5">
        <v>6753</v>
      </c>
      <c r="H2754" s="5">
        <v>6659.53</v>
      </c>
      <c r="I2754" s="5">
        <v>1579824.88</v>
      </c>
      <c r="K2754" s="5">
        <v>3.0939999999999999</v>
      </c>
      <c r="L2754" s="5">
        <v>1E-3</v>
      </c>
      <c r="M2754" s="5">
        <v>612962.402</v>
      </c>
      <c r="N2754" s="6">
        <v>5.8999999999999997E-2</v>
      </c>
      <c r="O2754" s="5">
        <v>65.379000000000005</v>
      </c>
      <c r="P2754" s="6">
        <v>1.4800000000000001E-2</v>
      </c>
      <c r="Q2754" s="5">
        <v>10314306.887</v>
      </c>
      <c r="R2754" s="1" t="s">
        <v>44</v>
      </c>
      <c r="T2754" s="1" t="s">
        <v>71</v>
      </c>
      <c r="V2754" s="1" t="s">
        <v>64</v>
      </c>
      <c r="Y2754" s="1" t="s">
        <v>346</v>
      </c>
      <c r="Z2754" s="1" t="str">
        <f t="shared" si="126"/>
        <v>55269 AA-003</v>
      </c>
      <c r="AA2754" s="3">
        <f>IF(INDEX('CAMD Facility Data 2023'!$AA$2:$AE$10000,MATCH(Z2754,'CAMD Facility Data 2023'!$AE$2:$AE$10000,0),1)&gt;0,INDEX('CAMD Facility Data 2023'!$AA$2:$AE$10000,MATCH(Z2754,'CAMD Facility Data 2023'!$AE$2:$AE$10000,0),1),"")</f>
        <v>37744</v>
      </c>
      <c r="AB2754" s="5">
        <f>IF(INDEX('CAMD Facility Data 2023'!$AC$2:$AE$10000,MATCH(Z2754,'CAMD Facility Data 2023'!$AE$2:$AE$10000,0),1)&gt;0,INDEX('CAMD Facility Data 2023'!$AC$2:$AE$10000,MATCH(Z2754,'CAMD Facility Data 2023'!$AE$2:$AE$10000,0),1),"")</f>
        <v>3630</v>
      </c>
      <c r="AC2754" s="1" t="str">
        <f>IF(INDEX('CAMD Facility Data 2023'!$AE$2:$AG$10000,MATCH(Z2754,'CAMD Facility Data 2023'!$AE$2:$AE$10000,0),3)&gt;0,INDEX('CAMD Facility Data 2023'!$AE$2:$AG$10000,MATCH(Z2754,'CAMD Facility Data 2023'!$AE$2:$AE$10000,0),3),"")</f>
        <v>Y</v>
      </c>
      <c r="AD2754" s="20">
        <f t="shared" si="127"/>
        <v>8.2767401409705621E-2</v>
      </c>
      <c r="AE2754" s="25">
        <f t="shared" si="128"/>
        <v>0.32436151323320378</v>
      </c>
    </row>
    <row r="2755" spans="1:31" x14ac:dyDescent="0.2">
      <c r="A2755" s="1" t="s">
        <v>1621</v>
      </c>
      <c r="B2755" s="1" t="s">
        <v>6306</v>
      </c>
      <c r="C2755" s="1">
        <v>55270</v>
      </c>
      <c r="D2755" s="1" t="s">
        <v>6307</v>
      </c>
      <c r="F2755" s="1">
        <v>2023</v>
      </c>
      <c r="G2755" s="5">
        <v>4691</v>
      </c>
      <c r="H2755" s="5">
        <v>4517.6099999999997</v>
      </c>
      <c r="I2755" s="5">
        <v>552533.75</v>
      </c>
      <c r="K2755" s="5">
        <v>1.272</v>
      </c>
      <c r="L2755" s="5">
        <v>1E-3</v>
      </c>
      <c r="M2755" s="5">
        <v>251891.16399999999</v>
      </c>
      <c r="N2755" s="6">
        <v>5.8999999999999997E-2</v>
      </c>
      <c r="O2755" s="5">
        <v>60.042000000000002</v>
      </c>
      <c r="P2755" s="6">
        <v>3.27E-2</v>
      </c>
      <c r="Q2755" s="5">
        <v>4238519.4079999998</v>
      </c>
      <c r="R2755" s="1" t="s">
        <v>44</v>
      </c>
      <c r="T2755" s="1" t="s">
        <v>71</v>
      </c>
      <c r="V2755" s="1" t="s">
        <v>140</v>
      </c>
      <c r="Y2755" s="1" t="s">
        <v>461</v>
      </c>
      <c r="Z2755" s="1" t="str">
        <f t="shared" ref="Z2755:Z2818" si="129">C2755&amp;" "&amp;D2755</f>
        <v>55270 7EA</v>
      </c>
      <c r="AA2755" s="3">
        <f>IF(INDEX('CAMD Facility Data 2023'!$AA$2:$AE$10000,MATCH(Z2755,'CAMD Facility Data 2023'!$AE$2:$AE$10000,0),1)&gt;0,INDEX('CAMD Facility Data 2023'!$AA$2:$AE$10000,MATCH(Z2755,'CAMD Facility Data 2023'!$AE$2:$AE$10000,0),1),"")</f>
        <v>37383</v>
      </c>
      <c r="AB2755" s="5">
        <f>IF(INDEX('CAMD Facility Data 2023'!$AC$2:$AE$10000,MATCH(Z2755,'CAMD Facility Data 2023'!$AE$2:$AE$10000,0),1)&gt;0,INDEX('CAMD Facility Data 2023'!$AC$2:$AE$10000,MATCH(Z2755,'CAMD Facility Data 2023'!$AE$2:$AE$10000,0),1),"")</f>
        <v>1300</v>
      </c>
      <c r="AC2755" s="1" t="str">
        <f>IF(INDEX('CAMD Facility Data 2023'!$AE$2:$AG$10000,MATCH(Z2755,'CAMD Facility Data 2023'!$AE$2:$AE$10000,0),3)&gt;0,INDEX('CAMD Facility Data 2023'!$AE$2:$AG$10000,MATCH(Z2755,'CAMD Facility Data 2023'!$AE$2:$AE$10000,0),3),"")</f>
        <v/>
      </c>
      <c r="AD2755" s="20">
        <f t="shared" ref="AD2755:AD2818" si="130">IF(ISNUMBER(O2755*2000/I2755),O2755*2000/I2755,"")</f>
        <v>0.21733333031692634</v>
      </c>
      <c r="AE2755" s="25">
        <f t="shared" ref="AE2755:AE2818" si="131">Q2755/(AB2755*8760)</f>
        <v>0.37219172883737267</v>
      </c>
    </row>
    <row r="2756" spans="1:31" x14ac:dyDescent="0.2">
      <c r="A2756" s="1" t="s">
        <v>1621</v>
      </c>
      <c r="B2756" s="1" t="s">
        <v>6306</v>
      </c>
      <c r="C2756" s="1">
        <v>55270</v>
      </c>
      <c r="D2756" s="1" t="s">
        <v>6310</v>
      </c>
      <c r="F2756" s="1">
        <v>2023</v>
      </c>
      <c r="G2756" s="5">
        <v>4783</v>
      </c>
      <c r="H2756" s="5">
        <v>4544.62</v>
      </c>
      <c r="I2756" s="5">
        <v>244513.19</v>
      </c>
      <c r="K2756" s="5">
        <v>0.60699999999999998</v>
      </c>
      <c r="L2756" s="5">
        <v>1E-3</v>
      </c>
      <c r="M2756" s="5">
        <v>120135.234</v>
      </c>
      <c r="N2756" s="6">
        <v>5.9200000000000003E-2</v>
      </c>
      <c r="O2756" s="5">
        <v>79.462999999999994</v>
      </c>
      <c r="P2756" s="6">
        <v>8.8700000000000001E-2</v>
      </c>
      <c r="Q2756" s="5">
        <v>2021408.226</v>
      </c>
      <c r="R2756" s="1" t="s">
        <v>44</v>
      </c>
      <c r="T2756" s="1" t="s">
        <v>71</v>
      </c>
      <c r="V2756" s="1" t="s">
        <v>1606</v>
      </c>
      <c r="Y2756" s="1" t="s">
        <v>461</v>
      </c>
      <c r="Z2756" s="1" t="str">
        <f t="shared" si="129"/>
        <v>55270 LM1</v>
      </c>
      <c r="AA2756" s="3">
        <f>IF(INDEX('CAMD Facility Data 2023'!$AA$2:$AE$10000,MATCH(Z2756,'CAMD Facility Data 2023'!$AE$2:$AE$10000,0),1)&gt;0,INDEX('CAMD Facility Data 2023'!$AA$2:$AE$10000,MATCH(Z2756,'CAMD Facility Data 2023'!$AE$2:$AE$10000,0),1),"")</f>
        <v>37373</v>
      </c>
      <c r="AB2756" s="5">
        <f>IF(INDEX('CAMD Facility Data 2023'!$AC$2:$AE$10000,MATCH(Z2756,'CAMD Facility Data 2023'!$AE$2:$AE$10000,0),1)&gt;0,INDEX('CAMD Facility Data 2023'!$AC$2:$AE$10000,MATCH(Z2756,'CAMD Facility Data 2023'!$AE$2:$AE$10000,0),1),"")</f>
        <v>650</v>
      </c>
      <c r="AC2756" s="1" t="str">
        <f>IF(INDEX('CAMD Facility Data 2023'!$AE$2:$AG$10000,MATCH(Z2756,'CAMD Facility Data 2023'!$AE$2:$AE$10000,0),3)&gt;0,INDEX('CAMD Facility Data 2023'!$AE$2:$AG$10000,MATCH(Z2756,'CAMD Facility Data 2023'!$AE$2:$AE$10000,0),3),"")</f>
        <v/>
      </c>
      <c r="AD2756" s="20">
        <f t="shared" si="130"/>
        <v>0.64996902621081509</v>
      </c>
      <c r="AE2756" s="25">
        <f t="shared" si="131"/>
        <v>0.35500671338250789</v>
      </c>
    </row>
    <row r="2757" spans="1:31" x14ac:dyDescent="0.2">
      <c r="A2757" s="1" t="s">
        <v>1621</v>
      </c>
      <c r="B2757" s="1" t="s">
        <v>6306</v>
      </c>
      <c r="C2757" s="1">
        <v>55270</v>
      </c>
      <c r="D2757" s="1" t="s">
        <v>6312</v>
      </c>
      <c r="F2757" s="1">
        <v>2023</v>
      </c>
      <c r="G2757" s="5">
        <v>4781</v>
      </c>
      <c r="H2757" s="5">
        <v>4547.5600000000004</v>
      </c>
      <c r="I2757" s="5">
        <v>239932.87</v>
      </c>
      <c r="K2757" s="5">
        <v>0.59099999999999997</v>
      </c>
      <c r="L2757" s="5">
        <v>1E-3</v>
      </c>
      <c r="M2757" s="5">
        <v>116985.63400000001</v>
      </c>
      <c r="N2757" s="6">
        <v>5.9200000000000003E-2</v>
      </c>
      <c r="O2757" s="5">
        <v>77.114000000000004</v>
      </c>
      <c r="P2757" s="6">
        <v>8.4199999999999997E-2</v>
      </c>
      <c r="Q2757" s="5">
        <v>1968466.736</v>
      </c>
      <c r="R2757" s="1" t="s">
        <v>44</v>
      </c>
      <c r="T2757" s="1" t="s">
        <v>71</v>
      </c>
      <c r="V2757" s="1" t="s">
        <v>1606</v>
      </c>
      <c r="Y2757" s="1" t="s">
        <v>461</v>
      </c>
      <c r="Z2757" s="1" t="str">
        <f t="shared" si="129"/>
        <v>55270 LM2</v>
      </c>
      <c r="AA2757" s="3">
        <f>IF(INDEX('CAMD Facility Data 2023'!$AA$2:$AE$10000,MATCH(Z2757,'CAMD Facility Data 2023'!$AE$2:$AE$10000,0),1)&gt;0,INDEX('CAMD Facility Data 2023'!$AA$2:$AE$10000,MATCH(Z2757,'CAMD Facility Data 2023'!$AE$2:$AE$10000,0),1),"")</f>
        <v>37375</v>
      </c>
      <c r="AB2757" s="5">
        <f>IF(INDEX('CAMD Facility Data 2023'!$AC$2:$AE$10000,MATCH(Z2757,'CAMD Facility Data 2023'!$AE$2:$AE$10000,0),1)&gt;0,INDEX('CAMD Facility Data 2023'!$AC$2:$AE$10000,MATCH(Z2757,'CAMD Facility Data 2023'!$AE$2:$AE$10000,0),1),"")</f>
        <v>650</v>
      </c>
      <c r="AC2757" s="1" t="str">
        <f>IF(INDEX('CAMD Facility Data 2023'!$AE$2:$AG$10000,MATCH(Z2757,'CAMD Facility Data 2023'!$AE$2:$AE$10000,0),3)&gt;0,INDEX('CAMD Facility Data 2023'!$AE$2:$AG$10000,MATCH(Z2757,'CAMD Facility Data 2023'!$AE$2:$AE$10000,0),3),"")</f>
        <v/>
      </c>
      <c r="AD2757" s="20">
        <f t="shared" si="130"/>
        <v>0.64279646219377951</v>
      </c>
      <c r="AE2757" s="25">
        <f t="shared" si="131"/>
        <v>0.34570894555672638</v>
      </c>
    </row>
    <row r="2758" spans="1:31" x14ac:dyDescent="0.2">
      <c r="A2758" s="1" t="s">
        <v>1621</v>
      </c>
      <c r="B2758" s="1" t="s">
        <v>6306</v>
      </c>
      <c r="C2758" s="1">
        <v>55270</v>
      </c>
      <c r="D2758" s="1" t="s">
        <v>6314</v>
      </c>
      <c r="F2758" s="1">
        <v>2023</v>
      </c>
      <c r="G2758" s="5">
        <v>4882</v>
      </c>
      <c r="H2758" s="5">
        <v>4639.0600000000004</v>
      </c>
      <c r="I2758" s="5">
        <v>249196.1</v>
      </c>
      <c r="K2758" s="5">
        <v>0.624</v>
      </c>
      <c r="L2758" s="5">
        <v>1E-3</v>
      </c>
      <c r="M2758" s="5">
        <v>123545.776</v>
      </c>
      <c r="N2758" s="6">
        <v>5.9200000000000003E-2</v>
      </c>
      <c r="O2758" s="5">
        <v>82.153999999999996</v>
      </c>
      <c r="P2758" s="6">
        <v>8.8300000000000003E-2</v>
      </c>
      <c r="Q2758" s="5">
        <v>2078899.3810000001</v>
      </c>
      <c r="R2758" s="1" t="s">
        <v>44</v>
      </c>
      <c r="T2758" s="1" t="s">
        <v>71</v>
      </c>
      <c r="V2758" s="1" t="s">
        <v>1606</v>
      </c>
      <c r="Y2758" s="1" t="s">
        <v>461</v>
      </c>
      <c r="Z2758" s="1" t="str">
        <f t="shared" si="129"/>
        <v>55270 LM3</v>
      </c>
      <c r="AA2758" s="3">
        <f>IF(INDEX('CAMD Facility Data 2023'!$AA$2:$AE$10000,MATCH(Z2758,'CAMD Facility Data 2023'!$AE$2:$AE$10000,0),1)&gt;0,INDEX('CAMD Facility Data 2023'!$AA$2:$AE$10000,MATCH(Z2758,'CAMD Facility Data 2023'!$AE$2:$AE$10000,0),1),"")</f>
        <v>37376</v>
      </c>
      <c r="AB2758" s="5">
        <f>IF(INDEX('CAMD Facility Data 2023'!$AC$2:$AE$10000,MATCH(Z2758,'CAMD Facility Data 2023'!$AE$2:$AE$10000,0),1)&gt;0,INDEX('CAMD Facility Data 2023'!$AC$2:$AE$10000,MATCH(Z2758,'CAMD Facility Data 2023'!$AE$2:$AE$10000,0),1),"")</f>
        <v>650</v>
      </c>
      <c r="AC2758" s="1" t="str">
        <f>IF(INDEX('CAMD Facility Data 2023'!$AE$2:$AG$10000,MATCH(Z2758,'CAMD Facility Data 2023'!$AE$2:$AE$10000,0),3)&gt;0,INDEX('CAMD Facility Data 2023'!$AE$2:$AG$10000,MATCH(Z2758,'CAMD Facility Data 2023'!$AE$2:$AE$10000,0),3),"")</f>
        <v/>
      </c>
      <c r="AD2758" s="20">
        <f t="shared" si="130"/>
        <v>0.65935221297604574</v>
      </c>
      <c r="AE2758" s="25">
        <f t="shared" si="131"/>
        <v>0.36510350913242012</v>
      </c>
    </row>
    <row r="2759" spans="1:31" x14ac:dyDescent="0.2">
      <c r="A2759" s="1" t="s">
        <v>1621</v>
      </c>
      <c r="B2759" s="1" t="s">
        <v>6306</v>
      </c>
      <c r="C2759" s="1">
        <v>55270</v>
      </c>
      <c r="D2759" s="1" t="s">
        <v>6316</v>
      </c>
      <c r="F2759" s="1">
        <v>2023</v>
      </c>
      <c r="G2759" s="5">
        <v>4823</v>
      </c>
      <c r="H2759" s="5">
        <v>4593.9399999999996</v>
      </c>
      <c r="I2759" s="5">
        <v>252458.11</v>
      </c>
      <c r="K2759" s="5">
        <v>0.65100000000000002</v>
      </c>
      <c r="L2759" s="5">
        <v>1E-3</v>
      </c>
      <c r="M2759" s="5">
        <v>128944.519</v>
      </c>
      <c r="N2759" s="6">
        <v>5.9200000000000003E-2</v>
      </c>
      <c r="O2759" s="5">
        <v>82.271000000000001</v>
      </c>
      <c r="P2759" s="6">
        <v>8.2799999999999999E-2</v>
      </c>
      <c r="Q2759" s="5">
        <v>2169750.898</v>
      </c>
      <c r="R2759" s="1" t="s">
        <v>44</v>
      </c>
      <c r="T2759" s="1" t="s">
        <v>71</v>
      </c>
      <c r="V2759" s="1" t="s">
        <v>1606</v>
      </c>
      <c r="Y2759" s="1" t="s">
        <v>461</v>
      </c>
      <c r="Z2759" s="1" t="str">
        <f t="shared" si="129"/>
        <v>55270 LM4</v>
      </c>
      <c r="AA2759" s="3">
        <f>IF(INDEX('CAMD Facility Data 2023'!$AA$2:$AE$10000,MATCH(Z2759,'CAMD Facility Data 2023'!$AE$2:$AE$10000,0),1)&gt;0,INDEX('CAMD Facility Data 2023'!$AA$2:$AE$10000,MATCH(Z2759,'CAMD Facility Data 2023'!$AE$2:$AE$10000,0),1),"")</f>
        <v>37380</v>
      </c>
      <c r="AB2759" s="5">
        <f>IF(INDEX('CAMD Facility Data 2023'!$AC$2:$AE$10000,MATCH(Z2759,'CAMD Facility Data 2023'!$AE$2:$AE$10000,0),1)&gt;0,INDEX('CAMD Facility Data 2023'!$AC$2:$AE$10000,MATCH(Z2759,'CAMD Facility Data 2023'!$AE$2:$AE$10000,0),1),"")</f>
        <v>672</v>
      </c>
      <c r="AC2759" s="1" t="str">
        <f>IF(INDEX('CAMD Facility Data 2023'!$AE$2:$AG$10000,MATCH(Z2759,'CAMD Facility Data 2023'!$AE$2:$AE$10000,0),3)&gt;0,INDEX('CAMD Facility Data 2023'!$AE$2:$AG$10000,MATCH(Z2759,'CAMD Facility Data 2023'!$AE$2:$AE$10000,0),3),"")</f>
        <v/>
      </c>
      <c r="AD2759" s="20">
        <f t="shared" si="130"/>
        <v>0.65175961271357064</v>
      </c>
      <c r="AE2759" s="25">
        <f t="shared" si="131"/>
        <v>0.36858401588660578</v>
      </c>
    </row>
    <row r="2760" spans="1:31" x14ac:dyDescent="0.2">
      <c r="A2760" s="1" t="s">
        <v>1621</v>
      </c>
      <c r="B2760" s="1" t="s">
        <v>6306</v>
      </c>
      <c r="C2760" s="1">
        <v>55270</v>
      </c>
      <c r="D2760" s="1" t="s">
        <v>6318</v>
      </c>
      <c r="F2760" s="1">
        <v>2023</v>
      </c>
      <c r="G2760" s="5">
        <v>4471</v>
      </c>
      <c r="H2760" s="5">
        <v>4233.04</v>
      </c>
      <c r="I2760" s="5">
        <v>230744.61</v>
      </c>
      <c r="K2760" s="5">
        <v>0.58399999999999996</v>
      </c>
      <c r="L2760" s="5">
        <v>1E-3</v>
      </c>
      <c r="M2760" s="5">
        <v>115581.598</v>
      </c>
      <c r="N2760" s="6">
        <v>5.9200000000000003E-2</v>
      </c>
      <c r="O2760" s="5">
        <v>75.096999999999994</v>
      </c>
      <c r="P2760" s="6">
        <v>8.72E-2</v>
      </c>
      <c r="Q2760" s="5">
        <v>1944851.24</v>
      </c>
      <c r="R2760" s="1" t="s">
        <v>44</v>
      </c>
      <c r="T2760" s="1" t="s">
        <v>71</v>
      </c>
      <c r="V2760" s="1" t="s">
        <v>1606</v>
      </c>
      <c r="Y2760" s="1" t="s">
        <v>461</v>
      </c>
      <c r="Z2760" s="1" t="str">
        <f t="shared" si="129"/>
        <v>55270 LM5</v>
      </c>
      <c r="AA2760" s="3">
        <f>IF(INDEX('CAMD Facility Data 2023'!$AA$2:$AE$10000,MATCH(Z2760,'CAMD Facility Data 2023'!$AE$2:$AE$10000,0),1)&gt;0,INDEX('CAMD Facility Data 2023'!$AA$2:$AE$10000,MATCH(Z2760,'CAMD Facility Data 2023'!$AE$2:$AE$10000,0),1),"")</f>
        <v>37384</v>
      </c>
      <c r="AB2760" s="5">
        <f>IF(INDEX('CAMD Facility Data 2023'!$AC$2:$AE$10000,MATCH(Z2760,'CAMD Facility Data 2023'!$AE$2:$AE$10000,0),1)&gt;0,INDEX('CAMD Facility Data 2023'!$AC$2:$AE$10000,MATCH(Z2760,'CAMD Facility Data 2023'!$AE$2:$AE$10000,0),1),"")</f>
        <v>650</v>
      </c>
      <c r="AC2760" s="1" t="str">
        <f>IF(INDEX('CAMD Facility Data 2023'!$AE$2:$AG$10000,MATCH(Z2760,'CAMD Facility Data 2023'!$AE$2:$AE$10000,0),3)&gt;0,INDEX('CAMD Facility Data 2023'!$AE$2:$AG$10000,MATCH(Z2760,'CAMD Facility Data 2023'!$AE$2:$AE$10000,0),3),"")</f>
        <v/>
      </c>
      <c r="AD2760" s="20">
        <f t="shared" si="130"/>
        <v>0.65091011226654438</v>
      </c>
      <c r="AE2760" s="25">
        <f t="shared" si="131"/>
        <v>0.34156151036178434</v>
      </c>
    </row>
    <row r="2761" spans="1:31" x14ac:dyDescent="0.2">
      <c r="A2761" s="1" t="s">
        <v>1621</v>
      </c>
      <c r="B2761" s="1" t="s">
        <v>6306</v>
      </c>
      <c r="C2761" s="1">
        <v>55270</v>
      </c>
      <c r="D2761" s="1" t="s">
        <v>6320</v>
      </c>
      <c r="F2761" s="1">
        <v>2023</v>
      </c>
      <c r="G2761" s="5">
        <v>4815</v>
      </c>
      <c r="H2761" s="5">
        <v>4575.75</v>
      </c>
      <c r="I2761" s="5">
        <v>250426.74</v>
      </c>
      <c r="K2761" s="5">
        <v>0.63100000000000001</v>
      </c>
      <c r="L2761" s="5">
        <v>1E-3</v>
      </c>
      <c r="M2761" s="5">
        <v>125047.93</v>
      </c>
      <c r="N2761" s="6">
        <v>5.9200000000000003E-2</v>
      </c>
      <c r="O2761" s="5">
        <v>79.024000000000001</v>
      </c>
      <c r="P2761" s="6">
        <v>8.1500000000000003E-2</v>
      </c>
      <c r="Q2761" s="5">
        <v>2104185.736</v>
      </c>
      <c r="R2761" s="1" t="s">
        <v>44</v>
      </c>
      <c r="T2761" s="1" t="s">
        <v>71</v>
      </c>
      <c r="V2761" s="1" t="s">
        <v>1606</v>
      </c>
      <c r="Y2761" s="1" t="s">
        <v>461</v>
      </c>
      <c r="Z2761" s="1" t="str">
        <f t="shared" si="129"/>
        <v>55270 LM6</v>
      </c>
      <c r="AA2761" s="3">
        <f>IF(INDEX('CAMD Facility Data 2023'!$AA$2:$AE$10000,MATCH(Z2761,'CAMD Facility Data 2023'!$AE$2:$AE$10000,0),1)&gt;0,INDEX('CAMD Facility Data 2023'!$AA$2:$AE$10000,MATCH(Z2761,'CAMD Facility Data 2023'!$AE$2:$AE$10000,0),1),"")</f>
        <v>37386</v>
      </c>
      <c r="AB2761" s="5">
        <f>IF(INDEX('CAMD Facility Data 2023'!$AC$2:$AE$10000,MATCH(Z2761,'CAMD Facility Data 2023'!$AE$2:$AE$10000,0),1)&gt;0,INDEX('CAMD Facility Data 2023'!$AC$2:$AE$10000,MATCH(Z2761,'CAMD Facility Data 2023'!$AE$2:$AE$10000,0),1),"")</f>
        <v>672</v>
      </c>
      <c r="AC2761" s="1" t="str">
        <f>IF(INDEX('CAMD Facility Data 2023'!$AE$2:$AG$10000,MATCH(Z2761,'CAMD Facility Data 2023'!$AE$2:$AE$10000,0),3)&gt;0,INDEX('CAMD Facility Data 2023'!$AE$2:$AG$10000,MATCH(Z2761,'CAMD Facility Data 2023'!$AE$2:$AE$10000,0),3),"")</f>
        <v/>
      </c>
      <c r="AD2761" s="20">
        <f t="shared" si="130"/>
        <v>0.63111471243046968</v>
      </c>
      <c r="AE2761" s="25">
        <f t="shared" si="131"/>
        <v>0.3574462070558817</v>
      </c>
    </row>
    <row r="2762" spans="1:31" x14ac:dyDescent="0.2">
      <c r="A2762" s="1" t="s">
        <v>32</v>
      </c>
      <c r="B2762" s="1" t="s">
        <v>6322</v>
      </c>
      <c r="C2762" s="1">
        <v>55271</v>
      </c>
      <c r="D2762" s="1" t="s">
        <v>311</v>
      </c>
      <c r="F2762" s="1">
        <v>2023</v>
      </c>
      <c r="G2762" s="5">
        <v>5275</v>
      </c>
      <c r="H2762" s="5">
        <v>5206.66</v>
      </c>
      <c r="I2762" s="5">
        <v>1154604.76</v>
      </c>
      <c r="K2762" s="5">
        <v>2.4710000000000001</v>
      </c>
      <c r="L2762" s="5">
        <v>1E-3</v>
      </c>
      <c r="M2762" s="5">
        <v>489447.826</v>
      </c>
      <c r="N2762" s="6">
        <v>5.8999999999999997E-2</v>
      </c>
      <c r="O2762" s="5">
        <v>33.844999999999999</v>
      </c>
      <c r="P2762" s="6">
        <v>9.9000000000000008E-3</v>
      </c>
      <c r="Q2762" s="5">
        <v>8235788.1430000002</v>
      </c>
      <c r="R2762" s="1" t="s">
        <v>44</v>
      </c>
      <c r="S2762" s="1" t="s">
        <v>94</v>
      </c>
      <c r="T2762" s="1" t="s">
        <v>71</v>
      </c>
      <c r="V2762" s="1" t="s">
        <v>643</v>
      </c>
      <c r="Y2762" s="1" t="s">
        <v>35</v>
      </c>
      <c r="Z2762" s="1" t="str">
        <f t="shared" si="129"/>
        <v>55271 CT1</v>
      </c>
      <c r="AA2762" s="3">
        <f>IF(INDEX('CAMD Facility Data 2023'!$AA$2:$AE$10000,MATCH(Z2762,'CAMD Facility Data 2023'!$AE$2:$AE$10000,0),1)&gt;0,INDEX('CAMD Facility Data 2023'!$AA$2:$AE$10000,MATCH(Z2762,'CAMD Facility Data 2023'!$AE$2:$AE$10000,0),1),"")</f>
        <v>37271</v>
      </c>
      <c r="AB2762" s="5">
        <f>IF(INDEX('CAMD Facility Data 2023'!$AC$2:$AE$10000,MATCH(Z2762,'CAMD Facility Data 2023'!$AE$2:$AE$10000,0),1)&gt;0,INDEX('CAMD Facility Data 2023'!$AC$2:$AE$10000,MATCH(Z2762,'CAMD Facility Data 2023'!$AE$2:$AE$10000,0),1),"")</f>
        <v>2543.1999999999998</v>
      </c>
      <c r="AC2762" s="1" t="str">
        <f>IF(INDEX('CAMD Facility Data 2023'!$AE$2:$AG$10000,MATCH(Z2762,'CAMD Facility Data 2023'!$AE$2:$AE$10000,0),3)&gt;0,INDEX('CAMD Facility Data 2023'!$AE$2:$AG$10000,MATCH(Z2762,'CAMD Facility Data 2023'!$AE$2:$AE$10000,0),3),"")</f>
        <v>Y</v>
      </c>
      <c r="AD2762" s="20">
        <f t="shared" si="130"/>
        <v>5.8626122414392266E-2</v>
      </c>
      <c r="AE2762" s="25">
        <f t="shared" si="131"/>
        <v>0.36967539470461835</v>
      </c>
    </row>
    <row r="2763" spans="1:31" x14ac:dyDescent="0.2">
      <c r="A2763" s="1" t="s">
        <v>32</v>
      </c>
      <c r="B2763" s="1" t="s">
        <v>6322</v>
      </c>
      <c r="C2763" s="1">
        <v>55271</v>
      </c>
      <c r="D2763" s="1" t="s">
        <v>98</v>
      </c>
      <c r="F2763" s="1">
        <v>2023</v>
      </c>
      <c r="G2763" s="5">
        <v>4422</v>
      </c>
      <c r="H2763" s="5">
        <v>4342.05</v>
      </c>
      <c r="I2763" s="5">
        <v>973753.34</v>
      </c>
      <c r="K2763" s="5">
        <v>2.109</v>
      </c>
      <c r="L2763" s="5">
        <v>1E-3</v>
      </c>
      <c r="M2763" s="5">
        <v>417832.842</v>
      </c>
      <c r="N2763" s="6">
        <v>5.8999999999999997E-2</v>
      </c>
      <c r="O2763" s="5">
        <v>27.318000000000001</v>
      </c>
      <c r="P2763" s="6">
        <v>1.03E-2</v>
      </c>
      <c r="Q2763" s="5">
        <v>7030690.4139999999</v>
      </c>
      <c r="R2763" s="1" t="s">
        <v>44</v>
      </c>
      <c r="S2763" s="1" t="s">
        <v>94</v>
      </c>
      <c r="T2763" s="1" t="s">
        <v>71</v>
      </c>
      <c r="V2763" s="1" t="s">
        <v>643</v>
      </c>
      <c r="Y2763" s="1" t="s">
        <v>35</v>
      </c>
      <c r="Z2763" s="1" t="str">
        <f t="shared" si="129"/>
        <v>55271 CT2</v>
      </c>
      <c r="AA2763" s="3">
        <f>IF(INDEX('CAMD Facility Data 2023'!$AA$2:$AE$10000,MATCH(Z2763,'CAMD Facility Data 2023'!$AE$2:$AE$10000,0),1)&gt;0,INDEX('CAMD Facility Data 2023'!$AA$2:$AE$10000,MATCH(Z2763,'CAMD Facility Data 2023'!$AE$2:$AE$10000,0),1),"")</f>
        <v>37279</v>
      </c>
      <c r="AB2763" s="5">
        <f>IF(INDEX('CAMD Facility Data 2023'!$AC$2:$AE$10000,MATCH(Z2763,'CAMD Facility Data 2023'!$AE$2:$AE$10000,0),1)&gt;0,INDEX('CAMD Facility Data 2023'!$AC$2:$AE$10000,MATCH(Z2763,'CAMD Facility Data 2023'!$AE$2:$AE$10000,0),1),"")</f>
        <v>2551</v>
      </c>
      <c r="AC2763" s="1" t="str">
        <f>IF(INDEX('CAMD Facility Data 2023'!$AE$2:$AG$10000,MATCH(Z2763,'CAMD Facility Data 2023'!$AE$2:$AE$10000,0),3)&gt;0,INDEX('CAMD Facility Data 2023'!$AE$2:$AG$10000,MATCH(Z2763,'CAMD Facility Data 2023'!$AE$2:$AE$10000,0),3),"")</f>
        <v>Y</v>
      </c>
      <c r="AD2763" s="20">
        <f t="shared" si="130"/>
        <v>5.6108665054745793E-2</v>
      </c>
      <c r="AE2763" s="25">
        <f t="shared" si="131"/>
        <v>0.31461788706729743</v>
      </c>
    </row>
    <row r="2764" spans="1:31" x14ac:dyDescent="0.2">
      <c r="A2764" s="1" t="s">
        <v>32</v>
      </c>
      <c r="B2764" s="1" t="s">
        <v>6322</v>
      </c>
      <c r="C2764" s="1">
        <v>55271</v>
      </c>
      <c r="D2764" s="1" t="s">
        <v>101</v>
      </c>
      <c r="F2764" s="1">
        <v>2023</v>
      </c>
      <c r="G2764" s="5">
        <v>2863</v>
      </c>
      <c r="H2764" s="5">
        <v>2823.44</v>
      </c>
      <c r="I2764" s="5">
        <v>639222.55000000005</v>
      </c>
      <c r="K2764" s="5">
        <v>1.363</v>
      </c>
      <c r="L2764" s="5">
        <v>1E-3</v>
      </c>
      <c r="M2764" s="5">
        <v>269975.467</v>
      </c>
      <c r="N2764" s="6">
        <v>5.8999999999999997E-2</v>
      </c>
      <c r="O2764" s="5">
        <v>17.815000000000001</v>
      </c>
      <c r="P2764" s="6">
        <v>0.01</v>
      </c>
      <c r="Q2764" s="5">
        <v>4542700.7429999998</v>
      </c>
      <c r="R2764" s="1" t="s">
        <v>44</v>
      </c>
      <c r="S2764" s="1" t="s">
        <v>94</v>
      </c>
      <c r="T2764" s="1" t="s">
        <v>71</v>
      </c>
      <c r="V2764" s="1" t="s">
        <v>643</v>
      </c>
      <c r="Y2764" s="1" t="s">
        <v>35</v>
      </c>
      <c r="Z2764" s="1" t="str">
        <f t="shared" si="129"/>
        <v>55271 CT3</v>
      </c>
      <c r="AA2764" s="3">
        <f>IF(INDEX('CAMD Facility Data 2023'!$AA$2:$AE$10000,MATCH(Z2764,'CAMD Facility Data 2023'!$AE$2:$AE$10000,0),1)&gt;0,INDEX('CAMD Facility Data 2023'!$AA$2:$AE$10000,MATCH(Z2764,'CAMD Facility Data 2023'!$AE$2:$AE$10000,0),1),"")</f>
        <v>37284</v>
      </c>
      <c r="AB2764" s="5">
        <f>IF(INDEX('CAMD Facility Data 2023'!$AC$2:$AE$10000,MATCH(Z2764,'CAMD Facility Data 2023'!$AE$2:$AE$10000,0),1)&gt;0,INDEX('CAMD Facility Data 2023'!$AC$2:$AE$10000,MATCH(Z2764,'CAMD Facility Data 2023'!$AE$2:$AE$10000,0),1),"")</f>
        <v>2405</v>
      </c>
      <c r="AC2764" s="1" t="str">
        <f>IF(INDEX('CAMD Facility Data 2023'!$AE$2:$AG$10000,MATCH(Z2764,'CAMD Facility Data 2023'!$AE$2:$AE$10000,0),3)&gt;0,INDEX('CAMD Facility Data 2023'!$AE$2:$AG$10000,MATCH(Z2764,'CAMD Facility Data 2023'!$AE$2:$AE$10000,0),3),"")</f>
        <v>Y</v>
      </c>
      <c r="AD2764" s="20">
        <f t="shared" si="130"/>
        <v>5.5739585532456573E-2</v>
      </c>
      <c r="AE2764" s="25">
        <f t="shared" si="131"/>
        <v>0.21562292897217553</v>
      </c>
    </row>
    <row r="2765" spans="1:31" x14ac:dyDescent="0.2">
      <c r="A2765" s="1" t="s">
        <v>3140</v>
      </c>
      <c r="B2765" s="1" t="s">
        <v>6327</v>
      </c>
      <c r="C2765" s="1">
        <v>55276</v>
      </c>
      <c r="D2765" s="1">
        <v>1</v>
      </c>
      <c r="E2765" s="1" t="s">
        <v>3061</v>
      </c>
      <c r="F2765" s="1">
        <v>2023</v>
      </c>
      <c r="G2765" s="5">
        <v>1158</v>
      </c>
      <c r="H2765" s="5">
        <v>1045.42</v>
      </c>
      <c r="I2765" s="5">
        <v>71339.429999999993</v>
      </c>
      <c r="K2765" s="5">
        <v>0.27100000000000002</v>
      </c>
      <c r="L2765" s="5">
        <v>8.9999999999999998E-4</v>
      </c>
      <c r="M2765" s="5">
        <v>52848.800000000003</v>
      </c>
      <c r="N2765" s="6">
        <v>5.8500000000000003E-2</v>
      </c>
      <c r="O2765" s="5">
        <v>38.375999999999998</v>
      </c>
      <c r="P2765" s="6">
        <v>0.1671</v>
      </c>
      <c r="Q2765" s="5">
        <v>895763.2</v>
      </c>
      <c r="R2765" s="1" t="s">
        <v>44</v>
      </c>
      <c r="T2765" s="1" t="s">
        <v>93</v>
      </c>
      <c r="V2765" s="1" t="s">
        <v>1460</v>
      </c>
      <c r="Y2765" s="1" t="s">
        <v>168</v>
      </c>
      <c r="Z2765" s="1" t="str">
        <f t="shared" si="129"/>
        <v>55276 1</v>
      </c>
      <c r="AA2765" s="3">
        <f>IF(INDEX('CAMD Facility Data 2023'!$AA$2:$AE$10000,MATCH(Z2765,'CAMD Facility Data 2023'!$AE$2:$AE$10000,0),1)&gt;0,INDEX('CAMD Facility Data 2023'!$AA$2:$AE$10000,MATCH(Z2765,'CAMD Facility Data 2023'!$AE$2:$AE$10000,0),1),"")</f>
        <v>36988</v>
      </c>
      <c r="AB2765" s="5">
        <f>IF(INDEX('CAMD Facility Data 2023'!$AC$2:$AE$10000,MATCH(Z2765,'CAMD Facility Data 2023'!$AE$2:$AE$10000,0),1)&gt;0,INDEX('CAMD Facility Data 2023'!$AC$2:$AE$10000,MATCH(Z2765,'CAMD Facility Data 2023'!$AE$2:$AE$10000,0),1),"")</f>
        <v>1114</v>
      </c>
      <c r="AC2765" s="1" t="str">
        <f>IF(INDEX('CAMD Facility Data 2023'!$AE$2:$AG$10000,MATCH(Z2765,'CAMD Facility Data 2023'!$AE$2:$AE$10000,0),3)&gt;0,INDEX('CAMD Facility Data 2023'!$AE$2:$AG$10000,MATCH(Z2765,'CAMD Facility Data 2023'!$AE$2:$AE$10000,0),3),"")</f>
        <v/>
      </c>
      <c r="AD2765" s="20">
        <f t="shared" si="130"/>
        <v>1.0758706650725973</v>
      </c>
      <c r="AE2765" s="25">
        <f t="shared" si="131"/>
        <v>9.1791807055081442E-2</v>
      </c>
    </row>
    <row r="2766" spans="1:31" x14ac:dyDescent="0.2">
      <c r="A2766" s="1" t="s">
        <v>3140</v>
      </c>
      <c r="B2766" s="1" t="s">
        <v>6327</v>
      </c>
      <c r="C2766" s="1">
        <v>55276</v>
      </c>
      <c r="D2766" s="1">
        <v>2</v>
      </c>
      <c r="E2766" s="1" t="s">
        <v>3061</v>
      </c>
      <c r="F2766" s="1">
        <v>2023</v>
      </c>
      <c r="G2766" s="5">
        <v>1291</v>
      </c>
      <c r="H2766" s="5">
        <v>1161.4100000000001</v>
      </c>
      <c r="I2766" s="5">
        <v>79036.17</v>
      </c>
      <c r="K2766" s="5">
        <v>0.30499999999999999</v>
      </c>
      <c r="L2766" s="5">
        <v>8.9999999999999998E-4</v>
      </c>
      <c r="M2766" s="5">
        <v>58510.7</v>
      </c>
      <c r="N2766" s="6">
        <v>5.8000000000000003E-2</v>
      </c>
      <c r="O2766" s="5">
        <v>39.015999999999998</v>
      </c>
      <c r="P2766" s="6">
        <v>0.1598</v>
      </c>
      <c r="Q2766" s="5">
        <v>991735.4</v>
      </c>
      <c r="R2766" s="1" t="s">
        <v>44</v>
      </c>
      <c r="T2766" s="1" t="s">
        <v>93</v>
      </c>
      <c r="V2766" s="1" t="s">
        <v>1460</v>
      </c>
      <c r="Y2766" s="1" t="s">
        <v>168</v>
      </c>
      <c r="Z2766" s="1" t="str">
        <f t="shared" si="129"/>
        <v>55276 2</v>
      </c>
      <c r="AA2766" s="3">
        <f>IF(INDEX('CAMD Facility Data 2023'!$AA$2:$AE$10000,MATCH(Z2766,'CAMD Facility Data 2023'!$AE$2:$AE$10000,0),1)&gt;0,INDEX('CAMD Facility Data 2023'!$AA$2:$AE$10000,MATCH(Z2766,'CAMD Facility Data 2023'!$AE$2:$AE$10000,0),1),"")</f>
        <v>36989</v>
      </c>
      <c r="AB2766" s="5">
        <f>IF(INDEX('CAMD Facility Data 2023'!$AC$2:$AE$10000,MATCH(Z2766,'CAMD Facility Data 2023'!$AE$2:$AE$10000,0),1)&gt;0,INDEX('CAMD Facility Data 2023'!$AC$2:$AE$10000,MATCH(Z2766,'CAMD Facility Data 2023'!$AE$2:$AE$10000,0),1),"")</f>
        <v>1114</v>
      </c>
      <c r="AC2766" s="1" t="str">
        <f>IF(INDEX('CAMD Facility Data 2023'!$AE$2:$AG$10000,MATCH(Z2766,'CAMD Facility Data 2023'!$AE$2:$AE$10000,0),3)&gt;0,INDEX('CAMD Facility Data 2023'!$AE$2:$AG$10000,MATCH(Z2766,'CAMD Facility Data 2023'!$AE$2:$AE$10000,0),3),"")</f>
        <v/>
      </c>
      <c r="AD2766" s="20">
        <f t="shared" si="130"/>
        <v>0.98729480439145778</v>
      </c>
      <c r="AE2766" s="25">
        <f t="shared" si="131"/>
        <v>0.1016263946615512</v>
      </c>
    </row>
    <row r="2767" spans="1:31" x14ac:dyDescent="0.2">
      <c r="A2767" s="1" t="s">
        <v>3140</v>
      </c>
      <c r="B2767" s="1" t="s">
        <v>6327</v>
      </c>
      <c r="C2767" s="1">
        <v>55276</v>
      </c>
      <c r="D2767" s="1">
        <v>3</v>
      </c>
      <c r="E2767" s="1" t="s">
        <v>3061</v>
      </c>
      <c r="F2767" s="1">
        <v>2023</v>
      </c>
      <c r="G2767" s="5">
        <v>1243</v>
      </c>
      <c r="H2767" s="5">
        <v>1120.44</v>
      </c>
      <c r="I2767" s="5">
        <v>77532.09</v>
      </c>
      <c r="K2767" s="5">
        <v>0.29899999999999999</v>
      </c>
      <c r="L2767" s="5">
        <v>8.9999999999999998E-4</v>
      </c>
      <c r="M2767" s="5">
        <v>57384.7</v>
      </c>
      <c r="N2767" s="6">
        <v>5.8400000000000001E-2</v>
      </c>
      <c r="O2767" s="5">
        <v>38.741</v>
      </c>
      <c r="P2767" s="6">
        <v>0.1583</v>
      </c>
      <c r="Q2767" s="5">
        <v>972636.6</v>
      </c>
      <c r="R2767" s="1" t="s">
        <v>44</v>
      </c>
      <c r="T2767" s="1" t="s">
        <v>93</v>
      </c>
      <c r="V2767" s="1" t="s">
        <v>1460</v>
      </c>
      <c r="Y2767" s="1" t="s">
        <v>168</v>
      </c>
      <c r="Z2767" s="1" t="str">
        <f t="shared" si="129"/>
        <v>55276 3</v>
      </c>
      <c r="AA2767" s="3">
        <f>IF(INDEX('CAMD Facility Data 2023'!$AA$2:$AE$10000,MATCH(Z2767,'CAMD Facility Data 2023'!$AE$2:$AE$10000,0),1)&gt;0,INDEX('CAMD Facility Data 2023'!$AA$2:$AE$10000,MATCH(Z2767,'CAMD Facility Data 2023'!$AE$2:$AE$10000,0),1),"")</f>
        <v>36992</v>
      </c>
      <c r="AB2767" s="5">
        <f>IF(INDEX('CAMD Facility Data 2023'!$AC$2:$AE$10000,MATCH(Z2767,'CAMD Facility Data 2023'!$AE$2:$AE$10000,0),1)&gt;0,INDEX('CAMD Facility Data 2023'!$AC$2:$AE$10000,MATCH(Z2767,'CAMD Facility Data 2023'!$AE$2:$AE$10000,0),1),"")</f>
        <v>1114</v>
      </c>
      <c r="AC2767" s="1" t="str">
        <f>IF(INDEX('CAMD Facility Data 2023'!$AE$2:$AG$10000,MATCH(Z2767,'CAMD Facility Data 2023'!$AE$2:$AE$10000,0),3)&gt;0,INDEX('CAMD Facility Data 2023'!$AE$2:$AG$10000,MATCH(Z2767,'CAMD Facility Data 2023'!$AE$2:$AE$10000,0),3),"")</f>
        <v/>
      </c>
      <c r="AD2767" s="20">
        <f t="shared" si="130"/>
        <v>0.99935394492783569</v>
      </c>
      <c r="AE2767" s="25">
        <f t="shared" si="131"/>
        <v>9.9669277686234958E-2</v>
      </c>
    </row>
    <row r="2768" spans="1:31" x14ac:dyDescent="0.2">
      <c r="A2768" s="1" t="s">
        <v>3140</v>
      </c>
      <c r="B2768" s="1" t="s">
        <v>6327</v>
      </c>
      <c r="C2768" s="1">
        <v>55276</v>
      </c>
      <c r="D2768" s="1">
        <v>4</v>
      </c>
      <c r="E2768" s="1" t="s">
        <v>3061</v>
      </c>
      <c r="F2768" s="1">
        <v>2023</v>
      </c>
      <c r="G2768" s="5">
        <v>1290</v>
      </c>
      <c r="H2768" s="5">
        <v>1158.99</v>
      </c>
      <c r="I2768" s="5">
        <v>78882.75</v>
      </c>
      <c r="K2768" s="5">
        <v>0.30399999999999999</v>
      </c>
      <c r="L2768" s="5">
        <v>8.9999999999999998E-4</v>
      </c>
      <c r="M2768" s="5">
        <v>58382.400000000001</v>
      </c>
      <c r="N2768" s="6">
        <v>5.8500000000000003E-2</v>
      </c>
      <c r="O2768" s="5">
        <v>38.835000000000001</v>
      </c>
      <c r="P2768" s="6">
        <v>0.1585</v>
      </c>
      <c r="Q2768" s="5">
        <v>989608.9</v>
      </c>
      <c r="R2768" s="1" t="s">
        <v>44</v>
      </c>
      <c r="T2768" s="1" t="s">
        <v>93</v>
      </c>
      <c r="V2768" s="1" t="s">
        <v>1460</v>
      </c>
      <c r="Y2768" s="1" t="s">
        <v>168</v>
      </c>
      <c r="Z2768" s="1" t="str">
        <f t="shared" si="129"/>
        <v>55276 4</v>
      </c>
      <c r="AA2768" s="3">
        <f>IF(INDEX('CAMD Facility Data 2023'!$AA$2:$AE$10000,MATCH(Z2768,'CAMD Facility Data 2023'!$AE$2:$AE$10000,0),1)&gt;0,INDEX('CAMD Facility Data 2023'!$AA$2:$AE$10000,MATCH(Z2768,'CAMD Facility Data 2023'!$AE$2:$AE$10000,0),1),"")</f>
        <v>36994</v>
      </c>
      <c r="AB2768" s="5">
        <f>IF(INDEX('CAMD Facility Data 2023'!$AC$2:$AE$10000,MATCH(Z2768,'CAMD Facility Data 2023'!$AE$2:$AE$10000,0),1)&gt;0,INDEX('CAMD Facility Data 2023'!$AC$2:$AE$10000,MATCH(Z2768,'CAMD Facility Data 2023'!$AE$2:$AE$10000,0),1),"")</f>
        <v>1114</v>
      </c>
      <c r="AC2768" s="1" t="str">
        <f>IF(INDEX('CAMD Facility Data 2023'!$AE$2:$AG$10000,MATCH(Z2768,'CAMD Facility Data 2023'!$AE$2:$AE$10000,0),3)&gt;0,INDEX('CAMD Facility Data 2023'!$AE$2:$AG$10000,MATCH(Z2768,'CAMD Facility Data 2023'!$AE$2:$AE$10000,0),3),"")</f>
        <v/>
      </c>
      <c r="AD2768" s="20">
        <f t="shared" si="130"/>
        <v>0.98462591631250174</v>
      </c>
      <c r="AE2768" s="25">
        <f t="shared" si="131"/>
        <v>0.10140848519875721</v>
      </c>
    </row>
    <row r="2769" spans="1:31" x14ac:dyDescent="0.2">
      <c r="A2769" s="1" t="s">
        <v>3140</v>
      </c>
      <c r="B2769" s="1" t="s">
        <v>6327</v>
      </c>
      <c r="C2769" s="1">
        <v>55276</v>
      </c>
      <c r="D2769" s="1">
        <v>5</v>
      </c>
      <c r="E2769" s="1" t="s">
        <v>3061</v>
      </c>
      <c r="F2769" s="1">
        <v>2023</v>
      </c>
      <c r="G2769" s="5">
        <v>1223</v>
      </c>
      <c r="H2769" s="5">
        <v>1098.22</v>
      </c>
      <c r="I2769" s="5">
        <v>75236.25</v>
      </c>
      <c r="K2769" s="5">
        <v>0.29099999999999998</v>
      </c>
      <c r="L2769" s="5">
        <v>8.9999999999999998E-4</v>
      </c>
      <c r="M2769" s="5">
        <v>55680.5</v>
      </c>
      <c r="N2769" s="6">
        <v>5.8400000000000001E-2</v>
      </c>
      <c r="O2769" s="5">
        <v>36.003999999999998</v>
      </c>
      <c r="P2769" s="6">
        <v>0.15679999999999999</v>
      </c>
      <c r="Q2769" s="5">
        <v>943807</v>
      </c>
      <c r="R2769" s="1" t="s">
        <v>44</v>
      </c>
      <c r="T2769" s="1" t="s">
        <v>93</v>
      </c>
      <c r="V2769" s="1" t="s">
        <v>1460</v>
      </c>
      <c r="Y2769" s="1" t="s">
        <v>168</v>
      </c>
      <c r="Z2769" s="1" t="str">
        <f t="shared" si="129"/>
        <v>55276 5</v>
      </c>
      <c r="AA2769" s="3">
        <f>IF(INDEX('CAMD Facility Data 2023'!$AA$2:$AE$10000,MATCH(Z2769,'CAMD Facility Data 2023'!$AE$2:$AE$10000,0),1)&gt;0,INDEX('CAMD Facility Data 2023'!$AA$2:$AE$10000,MATCH(Z2769,'CAMD Facility Data 2023'!$AE$2:$AE$10000,0),1),"")</f>
        <v>37007</v>
      </c>
      <c r="AB2769" s="5">
        <f>IF(INDEX('CAMD Facility Data 2023'!$AC$2:$AE$10000,MATCH(Z2769,'CAMD Facility Data 2023'!$AE$2:$AE$10000,0),1)&gt;0,INDEX('CAMD Facility Data 2023'!$AC$2:$AE$10000,MATCH(Z2769,'CAMD Facility Data 2023'!$AE$2:$AE$10000,0),1),"")</f>
        <v>1114</v>
      </c>
      <c r="AC2769" s="1" t="str">
        <f>IF(INDEX('CAMD Facility Data 2023'!$AE$2:$AG$10000,MATCH(Z2769,'CAMD Facility Data 2023'!$AE$2:$AE$10000,0),3)&gt;0,INDEX('CAMD Facility Data 2023'!$AE$2:$AG$10000,MATCH(Z2769,'CAMD Facility Data 2023'!$AE$2:$AE$10000,0),3),"")</f>
        <v/>
      </c>
      <c r="AD2769" s="20">
        <f t="shared" si="130"/>
        <v>0.95709182741032417</v>
      </c>
      <c r="AE2769" s="25">
        <f t="shared" si="131"/>
        <v>9.6715013567464314E-2</v>
      </c>
    </row>
    <row r="2770" spans="1:31" x14ac:dyDescent="0.2">
      <c r="A2770" s="1" t="s">
        <v>3140</v>
      </c>
      <c r="B2770" s="1" t="s">
        <v>6327</v>
      </c>
      <c r="C2770" s="1">
        <v>55276</v>
      </c>
      <c r="D2770" s="1">
        <v>6</v>
      </c>
      <c r="E2770" s="1" t="s">
        <v>3061</v>
      </c>
      <c r="F2770" s="1">
        <v>2023</v>
      </c>
      <c r="G2770" s="5">
        <v>1292</v>
      </c>
      <c r="H2770" s="5">
        <v>1159.79</v>
      </c>
      <c r="I2770" s="5">
        <v>79713.52</v>
      </c>
      <c r="K2770" s="5">
        <v>0.308</v>
      </c>
      <c r="L2770" s="5">
        <v>8.9999999999999998E-4</v>
      </c>
      <c r="M2770" s="5">
        <v>58994.7</v>
      </c>
      <c r="N2770" s="6">
        <v>5.8099999999999999E-2</v>
      </c>
      <c r="O2770" s="5">
        <v>38.496000000000002</v>
      </c>
      <c r="P2770" s="6">
        <v>0.15770000000000001</v>
      </c>
      <c r="Q2770" s="5">
        <v>999918.8</v>
      </c>
      <c r="R2770" s="1" t="s">
        <v>44</v>
      </c>
      <c r="T2770" s="1" t="s">
        <v>93</v>
      </c>
      <c r="V2770" s="1" t="s">
        <v>1460</v>
      </c>
      <c r="Y2770" s="1" t="s">
        <v>168</v>
      </c>
      <c r="Z2770" s="1" t="str">
        <f t="shared" si="129"/>
        <v>55276 6</v>
      </c>
      <c r="AA2770" s="3">
        <f>IF(INDEX('CAMD Facility Data 2023'!$AA$2:$AE$10000,MATCH(Z2770,'CAMD Facility Data 2023'!$AE$2:$AE$10000,0),1)&gt;0,INDEX('CAMD Facility Data 2023'!$AA$2:$AE$10000,MATCH(Z2770,'CAMD Facility Data 2023'!$AE$2:$AE$10000,0),1),"")</f>
        <v>37010</v>
      </c>
      <c r="AB2770" s="5">
        <f>IF(INDEX('CAMD Facility Data 2023'!$AC$2:$AE$10000,MATCH(Z2770,'CAMD Facility Data 2023'!$AE$2:$AE$10000,0),1)&gt;0,INDEX('CAMD Facility Data 2023'!$AC$2:$AE$10000,MATCH(Z2770,'CAMD Facility Data 2023'!$AE$2:$AE$10000,0),1),"")</f>
        <v>1114</v>
      </c>
      <c r="AC2770" s="1" t="str">
        <f>IF(INDEX('CAMD Facility Data 2023'!$AE$2:$AG$10000,MATCH(Z2770,'CAMD Facility Data 2023'!$AE$2:$AE$10000,0),3)&gt;0,INDEX('CAMD Facility Data 2023'!$AE$2:$AG$10000,MATCH(Z2770,'CAMD Facility Data 2023'!$AE$2:$AE$10000,0),3),"")</f>
        <v/>
      </c>
      <c r="AD2770" s="20">
        <f t="shared" si="130"/>
        <v>0.96585874014847162</v>
      </c>
      <c r="AE2770" s="25">
        <f t="shared" si="131"/>
        <v>0.10246497462761205</v>
      </c>
    </row>
    <row r="2771" spans="1:31" x14ac:dyDescent="0.2">
      <c r="A2771" s="1" t="s">
        <v>458</v>
      </c>
      <c r="B2771" s="1" t="s">
        <v>6335</v>
      </c>
      <c r="C2771" s="1">
        <v>55279</v>
      </c>
      <c r="D2771" s="1" t="s">
        <v>6336</v>
      </c>
      <c r="F2771" s="1">
        <v>2023</v>
      </c>
      <c r="G2771" s="5">
        <v>442</v>
      </c>
      <c r="H2771" s="5">
        <v>392.63</v>
      </c>
      <c r="I2771" s="5">
        <v>54145.4</v>
      </c>
      <c r="K2771" s="5">
        <v>0.18099999999999999</v>
      </c>
      <c r="L2771" s="5">
        <v>1E-3</v>
      </c>
      <c r="M2771" s="5">
        <v>35813.084000000003</v>
      </c>
      <c r="N2771" s="6">
        <v>5.8999999999999997E-2</v>
      </c>
      <c r="O2771" s="5">
        <v>12.476000000000001</v>
      </c>
      <c r="P2771" s="6">
        <v>4.9500000000000002E-2</v>
      </c>
      <c r="Q2771" s="5">
        <v>602621.14899999998</v>
      </c>
      <c r="R2771" s="1" t="s">
        <v>44</v>
      </c>
      <c r="T2771" s="1" t="s">
        <v>93</v>
      </c>
      <c r="V2771" s="1" t="s">
        <v>140</v>
      </c>
      <c r="Y2771" s="1" t="s">
        <v>461</v>
      </c>
      <c r="Z2771" s="1" t="str">
        <f t="shared" si="129"/>
        <v>55279 AGS01</v>
      </c>
      <c r="AA2771" s="3">
        <f>IF(INDEX('CAMD Facility Data 2023'!$AA$2:$AE$10000,MATCH(Z2771,'CAMD Facility Data 2023'!$AE$2:$AE$10000,0),1)&gt;0,INDEX('CAMD Facility Data 2023'!$AA$2:$AE$10000,MATCH(Z2771,'CAMD Facility Data 2023'!$AE$2:$AE$10000,0),1),"")</f>
        <v>37368</v>
      </c>
      <c r="AB2771" s="5">
        <f>IF(INDEX('CAMD Facility Data 2023'!$AC$2:$AE$10000,MATCH(Z2771,'CAMD Facility Data 2023'!$AE$2:$AE$10000,0),1)&gt;0,INDEX('CAMD Facility Data 2023'!$AC$2:$AE$10000,MATCH(Z2771,'CAMD Facility Data 2023'!$AE$2:$AE$10000,0),1),"")</f>
        <v>2050</v>
      </c>
      <c r="AC2771" s="1" t="str">
        <f>IF(INDEX('CAMD Facility Data 2023'!$AE$2:$AG$10000,MATCH(Z2771,'CAMD Facility Data 2023'!$AE$2:$AE$10000,0),3)&gt;0,INDEX('CAMD Facility Data 2023'!$AE$2:$AG$10000,MATCH(Z2771,'CAMD Facility Data 2023'!$AE$2:$AE$10000,0),3),"")</f>
        <v/>
      </c>
      <c r="AD2771" s="20">
        <f t="shared" si="130"/>
        <v>0.46083323791125375</v>
      </c>
      <c r="AE2771" s="25">
        <f t="shared" si="131"/>
        <v>3.3557252979173627E-2</v>
      </c>
    </row>
    <row r="2772" spans="1:31" x14ac:dyDescent="0.2">
      <c r="A2772" s="1" t="s">
        <v>458</v>
      </c>
      <c r="B2772" s="1" t="s">
        <v>6335</v>
      </c>
      <c r="C2772" s="1">
        <v>55279</v>
      </c>
      <c r="D2772" s="1" t="s">
        <v>6341</v>
      </c>
      <c r="F2772" s="1">
        <v>2023</v>
      </c>
      <c r="G2772" s="5">
        <v>670</v>
      </c>
      <c r="H2772" s="5">
        <v>600.28</v>
      </c>
      <c r="I2772" s="5">
        <v>84653.78</v>
      </c>
      <c r="K2772" s="5">
        <v>0.24199999999999999</v>
      </c>
      <c r="L2772" s="5">
        <v>1E-3</v>
      </c>
      <c r="M2772" s="5">
        <v>48031.487000000001</v>
      </c>
      <c r="N2772" s="6">
        <v>5.8999999999999997E-2</v>
      </c>
      <c r="O2772" s="5">
        <v>13.752000000000001</v>
      </c>
      <c r="P2772" s="6">
        <v>4.2299999999999997E-2</v>
      </c>
      <c r="Q2772" s="5">
        <v>808220.18500000006</v>
      </c>
      <c r="R2772" s="1" t="s">
        <v>44</v>
      </c>
      <c r="T2772" s="1" t="s">
        <v>93</v>
      </c>
      <c r="V2772" s="1" t="s">
        <v>140</v>
      </c>
      <c r="Y2772" s="1" t="s">
        <v>461</v>
      </c>
      <c r="Z2772" s="1" t="str">
        <f t="shared" si="129"/>
        <v>55279 AGS02</v>
      </c>
      <c r="AA2772" s="3">
        <f>IF(INDEX('CAMD Facility Data 2023'!$AA$2:$AE$10000,MATCH(Z2772,'CAMD Facility Data 2023'!$AE$2:$AE$10000,0),1)&gt;0,INDEX('CAMD Facility Data 2023'!$AA$2:$AE$10000,MATCH(Z2772,'CAMD Facility Data 2023'!$AE$2:$AE$10000,0),1),"")</f>
        <v>37012</v>
      </c>
      <c r="AB2772" s="5">
        <f>IF(INDEX('CAMD Facility Data 2023'!$AC$2:$AE$10000,MATCH(Z2772,'CAMD Facility Data 2023'!$AE$2:$AE$10000,0),1)&gt;0,INDEX('CAMD Facility Data 2023'!$AC$2:$AE$10000,MATCH(Z2772,'CAMD Facility Data 2023'!$AE$2:$AE$10000,0),1),"")</f>
        <v>2050</v>
      </c>
      <c r="AC2772" s="1" t="str">
        <f>IF(INDEX('CAMD Facility Data 2023'!$AE$2:$AG$10000,MATCH(Z2772,'CAMD Facility Data 2023'!$AE$2:$AE$10000,0),3)&gt;0,INDEX('CAMD Facility Data 2023'!$AE$2:$AG$10000,MATCH(Z2772,'CAMD Facility Data 2023'!$AE$2:$AE$10000,0),3),"")</f>
        <v/>
      </c>
      <c r="AD2772" s="20">
        <f t="shared" si="130"/>
        <v>0.32489984499215513</v>
      </c>
      <c r="AE2772" s="25">
        <f t="shared" si="131"/>
        <v>4.500613570553514E-2</v>
      </c>
    </row>
    <row r="2773" spans="1:31" x14ac:dyDescent="0.2">
      <c r="A2773" s="1" t="s">
        <v>458</v>
      </c>
      <c r="B2773" s="1" t="s">
        <v>6335</v>
      </c>
      <c r="C2773" s="1">
        <v>55279</v>
      </c>
      <c r="D2773" s="1" t="s">
        <v>6343</v>
      </c>
      <c r="F2773" s="1">
        <v>2023</v>
      </c>
      <c r="G2773" s="5">
        <v>599</v>
      </c>
      <c r="H2773" s="5">
        <v>543.84</v>
      </c>
      <c r="I2773" s="5">
        <v>79007.47</v>
      </c>
      <c r="K2773" s="5">
        <v>0.215</v>
      </c>
      <c r="L2773" s="5">
        <v>1E-3</v>
      </c>
      <c r="M2773" s="5">
        <v>42609.495000000003</v>
      </c>
      <c r="N2773" s="6">
        <v>5.8999999999999997E-2</v>
      </c>
      <c r="O2773" s="5">
        <v>15.901</v>
      </c>
      <c r="P2773" s="6">
        <v>5.0500000000000003E-2</v>
      </c>
      <c r="Q2773" s="5">
        <v>716983.49600000004</v>
      </c>
      <c r="R2773" s="1" t="s">
        <v>44</v>
      </c>
      <c r="T2773" s="1" t="s">
        <v>93</v>
      </c>
      <c r="V2773" s="1" t="s">
        <v>140</v>
      </c>
      <c r="Y2773" s="1" t="s">
        <v>461</v>
      </c>
      <c r="Z2773" s="1" t="str">
        <f t="shared" si="129"/>
        <v>55279 AGS03</v>
      </c>
      <c r="AA2773" s="3">
        <f>IF(INDEX('CAMD Facility Data 2023'!$AA$2:$AE$10000,MATCH(Z2773,'CAMD Facility Data 2023'!$AE$2:$AE$10000,0),1)&gt;0,INDEX('CAMD Facility Data 2023'!$AA$2:$AE$10000,MATCH(Z2773,'CAMD Facility Data 2023'!$AE$2:$AE$10000,0),1),"")</f>
        <v>37012</v>
      </c>
      <c r="AB2773" s="5">
        <f>IF(INDEX('CAMD Facility Data 2023'!$AC$2:$AE$10000,MATCH(Z2773,'CAMD Facility Data 2023'!$AE$2:$AE$10000,0),1)&gt;0,INDEX('CAMD Facility Data 2023'!$AC$2:$AE$10000,MATCH(Z2773,'CAMD Facility Data 2023'!$AE$2:$AE$10000,0),1),"")</f>
        <v>2050</v>
      </c>
      <c r="AC2773" s="1" t="str">
        <f>IF(INDEX('CAMD Facility Data 2023'!$AE$2:$AG$10000,MATCH(Z2773,'CAMD Facility Data 2023'!$AE$2:$AE$10000,0),3)&gt;0,INDEX('CAMD Facility Data 2023'!$AE$2:$AG$10000,MATCH(Z2773,'CAMD Facility Data 2023'!$AE$2:$AE$10000,0),3),"")</f>
        <v/>
      </c>
      <c r="AD2773" s="20">
        <f t="shared" si="130"/>
        <v>0.40251890106087435</v>
      </c>
      <c r="AE2773" s="25">
        <f t="shared" si="131"/>
        <v>3.9925576122062593E-2</v>
      </c>
    </row>
    <row r="2774" spans="1:31" x14ac:dyDescent="0.2">
      <c r="A2774" s="1" t="s">
        <v>458</v>
      </c>
      <c r="B2774" s="1" t="s">
        <v>6335</v>
      </c>
      <c r="C2774" s="1">
        <v>55279</v>
      </c>
      <c r="D2774" s="1" t="s">
        <v>6345</v>
      </c>
      <c r="F2774" s="1">
        <v>2023</v>
      </c>
      <c r="G2774" s="5">
        <v>455</v>
      </c>
      <c r="H2774" s="5">
        <v>408</v>
      </c>
      <c r="I2774" s="5">
        <v>56078.22</v>
      </c>
      <c r="K2774" s="5">
        <v>0.159</v>
      </c>
      <c r="L2774" s="5">
        <v>1E-3</v>
      </c>
      <c r="M2774" s="5">
        <v>31530.006000000001</v>
      </c>
      <c r="N2774" s="6">
        <v>5.8999999999999997E-2</v>
      </c>
      <c r="O2774" s="5">
        <v>10.538</v>
      </c>
      <c r="P2774" s="6">
        <v>4.7E-2</v>
      </c>
      <c r="Q2774" s="5">
        <v>530558.46699999995</v>
      </c>
      <c r="R2774" s="1" t="s">
        <v>44</v>
      </c>
      <c r="T2774" s="1" t="s">
        <v>93</v>
      </c>
      <c r="V2774" s="1" t="s">
        <v>140</v>
      </c>
      <c r="Y2774" s="1" t="s">
        <v>461</v>
      </c>
      <c r="Z2774" s="1" t="str">
        <f t="shared" si="129"/>
        <v>55279 AGS04</v>
      </c>
      <c r="AA2774" s="3">
        <f>IF(INDEX('CAMD Facility Data 2023'!$AA$2:$AE$10000,MATCH(Z2774,'CAMD Facility Data 2023'!$AE$2:$AE$10000,0),1)&gt;0,INDEX('CAMD Facility Data 2023'!$AA$2:$AE$10000,MATCH(Z2774,'CAMD Facility Data 2023'!$AE$2:$AE$10000,0),1),"")</f>
        <v>36988</v>
      </c>
      <c r="AB2774" s="5">
        <f>IF(INDEX('CAMD Facility Data 2023'!$AC$2:$AE$10000,MATCH(Z2774,'CAMD Facility Data 2023'!$AE$2:$AE$10000,0),1)&gt;0,INDEX('CAMD Facility Data 2023'!$AC$2:$AE$10000,MATCH(Z2774,'CAMD Facility Data 2023'!$AE$2:$AE$10000,0),1),"")</f>
        <v>2050</v>
      </c>
      <c r="AC2774" s="1" t="str">
        <f>IF(INDEX('CAMD Facility Data 2023'!$AE$2:$AG$10000,MATCH(Z2774,'CAMD Facility Data 2023'!$AE$2:$AE$10000,0),3)&gt;0,INDEX('CAMD Facility Data 2023'!$AE$2:$AG$10000,MATCH(Z2774,'CAMD Facility Data 2023'!$AE$2:$AE$10000,0),3),"")</f>
        <v/>
      </c>
      <c r="AD2774" s="20">
        <f t="shared" si="130"/>
        <v>0.37583218582900813</v>
      </c>
      <c r="AE2774" s="25">
        <f t="shared" si="131"/>
        <v>2.9544407339347364E-2</v>
      </c>
    </row>
    <row r="2775" spans="1:31" x14ac:dyDescent="0.2">
      <c r="A2775" s="1" t="s">
        <v>458</v>
      </c>
      <c r="B2775" s="1" t="s">
        <v>6335</v>
      </c>
      <c r="C2775" s="1">
        <v>55279</v>
      </c>
      <c r="D2775" s="1" t="s">
        <v>6347</v>
      </c>
      <c r="F2775" s="1">
        <v>2023</v>
      </c>
      <c r="G2775" s="5">
        <v>301</v>
      </c>
      <c r="H2775" s="5">
        <v>261.81</v>
      </c>
      <c r="I2775" s="5">
        <v>11431.06</v>
      </c>
      <c r="K2775" s="5">
        <v>3.2000000000000001E-2</v>
      </c>
      <c r="L2775" s="5">
        <v>1E-3</v>
      </c>
      <c r="M2775" s="5">
        <v>6271.2160000000003</v>
      </c>
      <c r="N2775" s="6">
        <v>5.9200000000000003E-2</v>
      </c>
      <c r="O2775" s="5">
        <v>3.9609999999999999</v>
      </c>
      <c r="P2775" s="6">
        <v>8.5999999999999993E-2</v>
      </c>
      <c r="Q2775" s="5">
        <v>105531.63800000001</v>
      </c>
      <c r="R2775" s="1" t="s">
        <v>44</v>
      </c>
      <c r="T2775" s="1" t="s">
        <v>93</v>
      </c>
      <c r="V2775" s="1" t="s">
        <v>95</v>
      </c>
      <c r="Y2775" s="1" t="s">
        <v>461</v>
      </c>
      <c r="Z2775" s="1" t="str">
        <f t="shared" si="129"/>
        <v>55279 AGS05</v>
      </c>
      <c r="AA2775" s="3">
        <f>IF(INDEX('CAMD Facility Data 2023'!$AA$2:$AE$10000,MATCH(Z2775,'CAMD Facility Data 2023'!$AE$2:$AE$10000,0),1)&gt;0,INDEX('CAMD Facility Data 2023'!$AA$2:$AE$10000,MATCH(Z2775,'CAMD Facility Data 2023'!$AE$2:$AE$10000,0),1),"")</f>
        <v>37002</v>
      </c>
      <c r="AB2775" s="5">
        <f>IF(INDEX('CAMD Facility Data 2023'!$AC$2:$AE$10000,MATCH(Z2775,'CAMD Facility Data 2023'!$AE$2:$AE$10000,0),1)&gt;0,INDEX('CAMD Facility Data 2023'!$AC$2:$AE$10000,MATCH(Z2775,'CAMD Facility Data 2023'!$AE$2:$AE$10000,0),1),"")</f>
        <v>510</v>
      </c>
      <c r="AC2775" s="1" t="str">
        <f>IF(INDEX('CAMD Facility Data 2023'!$AE$2:$AG$10000,MATCH(Z2775,'CAMD Facility Data 2023'!$AE$2:$AE$10000,0),3)&gt;0,INDEX('CAMD Facility Data 2023'!$AE$2:$AG$10000,MATCH(Z2775,'CAMD Facility Data 2023'!$AE$2:$AE$10000,0),3),"")</f>
        <v/>
      </c>
      <c r="AD2775" s="20">
        <f t="shared" si="130"/>
        <v>0.69302409400353071</v>
      </c>
      <c r="AE2775" s="25">
        <f t="shared" si="131"/>
        <v>2.3621550273077267E-2</v>
      </c>
    </row>
    <row r="2776" spans="1:31" x14ac:dyDescent="0.2">
      <c r="A2776" s="1" t="s">
        <v>458</v>
      </c>
      <c r="B2776" s="1" t="s">
        <v>6335</v>
      </c>
      <c r="C2776" s="1">
        <v>55279</v>
      </c>
      <c r="D2776" s="1" t="s">
        <v>6349</v>
      </c>
      <c r="F2776" s="1">
        <v>2023</v>
      </c>
      <c r="G2776" s="5">
        <v>773</v>
      </c>
      <c r="H2776" s="5">
        <v>694.77</v>
      </c>
      <c r="I2776" s="5">
        <v>30570.51</v>
      </c>
      <c r="K2776" s="5">
        <v>8.4000000000000005E-2</v>
      </c>
      <c r="L2776" s="5">
        <v>1E-3</v>
      </c>
      <c r="M2776" s="5">
        <v>16592.550999999999</v>
      </c>
      <c r="N2776" s="6">
        <v>5.9200000000000003E-2</v>
      </c>
      <c r="O2776" s="5">
        <v>10.622</v>
      </c>
      <c r="P2776" s="6">
        <v>8.4500000000000006E-2</v>
      </c>
      <c r="Q2776" s="5">
        <v>279205.42200000002</v>
      </c>
      <c r="R2776" s="1" t="s">
        <v>44</v>
      </c>
      <c r="T2776" s="1" t="s">
        <v>93</v>
      </c>
      <c r="V2776" s="1" t="s">
        <v>95</v>
      </c>
      <c r="Y2776" s="1" t="s">
        <v>461</v>
      </c>
      <c r="Z2776" s="1" t="str">
        <f t="shared" si="129"/>
        <v>55279 AGS06</v>
      </c>
      <c r="AA2776" s="3">
        <f>IF(INDEX('CAMD Facility Data 2023'!$AA$2:$AE$10000,MATCH(Z2776,'CAMD Facility Data 2023'!$AE$2:$AE$10000,0),1)&gt;0,INDEX('CAMD Facility Data 2023'!$AA$2:$AE$10000,MATCH(Z2776,'CAMD Facility Data 2023'!$AE$2:$AE$10000,0),1),"")</f>
        <v>37002</v>
      </c>
      <c r="AB2776" s="5">
        <f>IF(INDEX('CAMD Facility Data 2023'!$AC$2:$AE$10000,MATCH(Z2776,'CAMD Facility Data 2023'!$AE$2:$AE$10000,0),1)&gt;0,INDEX('CAMD Facility Data 2023'!$AC$2:$AE$10000,MATCH(Z2776,'CAMD Facility Data 2023'!$AE$2:$AE$10000,0),1),"")</f>
        <v>510</v>
      </c>
      <c r="AC2776" s="1" t="str">
        <f>IF(INDEX('CAMD Facility Data 2023'!$AE$2:$AG$10000,MATCH(Z2776,'CAMD Facility Data 2023'!$AE$2:$AE$10000,0),3)&gt;0,INDEX('CAMD Facility Data 2023'!$AE$2:$AG$10000,MATCH(Z2776,'CAMD Facility Data 2023'!$AE$2:$AE$10000,0),3),"")</f>
        <v/>
      </c>
      <c r="AD2776" s="20">
        <f t="shared" si="130"/>
        <v>0.69491807627677793</v>
      </c>
      <c r="AE2776" s="25">
        <f t="shared" si="131"/>
        <v>6.2495617781359127E-2</v>
      </c>
    </row>
    <row r="2777" spans="1:31" x14ac:dyDescent="0.2">
      <c r="A2777" s="1" t="s">
        <v>458</v>
      </c>
      <c r="B2777" s="1" t="s">
        <v>6335</v>
      </c>
      <c r="C2777" s="1">
        <v>55279</v>
      </c>
      <c r="D2777" s="1" t="s">
        <v>6351</v>
      </c>
      <c r="F2777" s="1">
        <v>2023</v>
      </c>
      <c r="G2777" s="5">
        <v>757</v>
      </c>
      <c r="H2777" s="5">
        <v>675.29</v>
      </c>
      <c r="I2777" s="5">
        <v>29521.08</v>
      </c>
      <c r="K2777" s="5">
        <v>8.1000000000000003E-2</v>
      </c>
      <c r="L2777" s="5">
        <v>1E-3</v>
      </c>
      <c r="M2777" s="5">
        <v>16139.607</v>
      </c>
      <c r="N2777" s="6">
        <v>5.9200000000000003E-2</v>
      </c>
      <c r="O2777" s="5">
        <v>10.39</v>
      </c>
      <c r="P2777" s="6">
        <v>8.4500000000000006E-2</v>
      </c>
      <c r="Q2777" s="5">
        <v>271584.79200000002</v>
      </c>
      <c r="R2777" s="1" t="s">
        <v>44</v>
      </c>
      <c r="T2777" s="1" t="s">
        <v>93</v>
      </c>
      <c r="V2777" s="1" t="s">
        <v>95</v>
      </c>
      <c r="Y2777" s="1" t="s">
        <v>461</v>
      </c>
      <c r="Z2777" s="1" t="str">
        <f t="shared" si="129"/>
        <v>55279 AGS07</v>
      </c>
      <c r="AA2777" s="3">
        <f>IF(INDEX('CAMD Facility Data 2023'!$AA$2:$AE$10000,MATCH(Z2777,'CAMD Facility Data 2023'!$AE$2:$AE$10000,0),1)&gt;0,INDEX('CAMD Facility Data 2023'!$AA$2:$AE$10000,MATCH(Z2777,'CAMD Facility Data 2023'!$AE$2:$AE$10000,0),1),"")</f>
        <v>37007</v>
      </c>
      <c r="AB2777" s="5">
        <f>IF(INDEX('CAMD Facility Data 2023'!$AC$2:$AE$10000,MATCH(Z2777,'CAMD Facility Data 2023'!$AE$2:$AE$10000,0),1)&gt;0,INDEX('CAMD Facility Data 2023'!$AC$2:$AE$10000,MATCH(Z2777,'CAMD Facility Data 2023'!$AE$2:$AE$10000,0),1),"")</f>
        <v>510</v>
      </c>
      <c r="AC2777" s="1" t="str">
        <f>IF(INDEX('CAMD Facility Data 2023'!$AE$2:$AG$10000,MATCH(Z2777,'CAMD Facility Data 2023'!$AE$2:$AE$10000,0),3)&gt;0,INDEX('CAMD Facility Data 2023'!$AE$2:$AG$10000,MATCH(Z2777,'CAMD Facility Data 2023'!$AE$2:$AE$10000,0),3),"")</f>
        <v/>
      </c>
      <c r="AD2777" s="20">
        <f t="shared" si="130"/>
        <v>0.70390378671783005</v>
      </c>
      <c r="AE2777" s="25">
        <f t="shared" si="131"/>
        <v>6.0789863013698632E-2</v>
      </c>
    </row>
    <row r="2778" spans="1:31" x14ac:dyDescent="0.2">
      <c r="A2778" s="1" t="s">
        <v>458</v>
      </c>
      <c r="B2778" s="1" t="s">
        <v>6335</v>
      </c>
      <c r="C2778" s="1">
        <v>55279</v>
      </c>
      <c r="D2778" s="1" t="s">
        <v>6353</v>
      </c>
      <c r="F2778" s="1">
        <v>2023</v>
      </c>
      <c r="G2778" s="5">
        <v>542</v>
      </c>
      <c r="H2778" s="5">
        <v>479.49</v>
      </c>
      <c r="I2778" s="5">
        <v>21015.94</v>
      </c>
      <c r="K2778" s="5">
        <v>5.8999999999999997E-2</v>
      </c>
      <c r="L2778" s="5">
        <v>1E-3</v>
      </c>
      <c r="M2778" s="5">
        <v>11678.919</v>
      </c>
      <c r="N2778" s="6">
        <v>5.9299999999999999E-2</v>
      </c>
      <c r="O2778" s="5">
        <v>7.4539999999999997</v>
      </c>
      <c r="P2778" s="6">
        <v>8.3599999999999994E-2</v>
      </c>
      <c r="Q2778" s="5">
        <v>196514.57500000001</v>
      </c>
      <c r="R2778" s="1" t="s">
        <v>44</v>
      </c>
      <c r="T2778" s="1" t="s">
        <v>93</v>
      </c>
      <c r="V2778" s="1" t="s">
        <v>95</v>
      </c>
      <c r="Y2778" s="1" t="s">
        <v>461</v>
      </c>
      <c r="Z2778" s="1" t="str">
        <f t="shared" si="129"/>
        <v>55279 AGS08</v>
      </c>
      <c r="AA2778" s="3">
        <f>IF(INDEX('CAMD Facility Data 2023'!$AA$2:$AE$10000,MATCH(Z2778,'CAMD Facility Data 2023'!$AE$2:$AE$10000,0),1)&gt;0,INDEX('CAMD Facility Data 2023'!$AA$2:$AE$10000,MATCH(Z2778,'CAMD Facility Data 2023'!$AE$2:$AE$10000,0),1),"")</f>
        <v>37015</v>
      </c>
      <c r="AB2778" s="5">
        <f>IF(INDEX('CAMD Facility Data 2023'!$AC$2:$AE$10000,MATCH(Z2778,'CAMD Facility Data 2023'!$AE$2:$AE$10000,0),1)&gt;0,INDEX('CAMD Facility Data 2023'!$AC$2:$AE$10000,MATCH(Z2778,'CAMD Facility Data 2023'!$AE$2:$AE$10000,0),1),"")</f>
        <v>510</v>
      </c>
      <c r="AC2778" s="1" t="str">
        <f>IF(INDEX('CAMD Facility Data 2023'!$AE$2:$AG$10000,MATCH(Z2778,'CAMD Facility Data 2023'!$AE$2:$AE$10000,0),3)&gt;0,INDEX('CAMD Facility Data 2023'!$AE$2:$AG$10000,MATCH(Z2778,'CAMD Facility Data 2023'!$AE$2:$AE$10000,0),3),"")</f>
        <v/>
      </c>
      <c r="AD2778" s="20">
        <f t="shared" si="130"/>
        <v>0.70936631908922465</v>
      </c>
      <c r="AE2778" s="25">
        <f t="shared" si="131"/>
        <v>4.3986609141373444E-2</v>
      </c>
    </row>
    <row r="2779" spans="1:31" x14ac:dyDescent="0.2">
      <c r="A2779" s="1" t="s">
        <v>458</v>
      </c>
      <c r="B2779" s="1" t="s">
        <v>6335</v>
      </c>
      <c r="C2779" s="1">
        <v>55279</v>
      </c>
      <c r="D2779" s="1" t="s">
        <v>6355</v>
      </c>
      <c r="F2779" s="1">
        <v>2023</v>
      </c>
      <c r="G2779" s="5">
        <v>761</v>
      </c>
      <c r="H2779" s="5">
        <v>684.03</v>
      </c>
      <c r="I2779" s="5">
        <v>30132.86</v>
      </c>
      <c r="K2779" s="5">
        <v>8.4000000000000005E-2</v>
      </c>
      <c r="L2779" s="5">
        <v>1E-3</v>
      </c>
      <c r="M2779" s="5">
        <v>16700.508999999998</v>
      </c>
      <c r="N2779" s="6">
        <v>5.9200000000000003E-2</v>
      </c>
      <c r="O2779" s="5">
        <v>10.596</v>
      </c>
      <c r="P2779" s="6">
        <v>8.3099999999999993E-2</v>
      </c>
      <c r="Q2779" s="5">
        <v>280996.88699999999</v>
      </c>
      <c r="R2779" s="1" t="s">
        <v>44</v>
      </c>
      <c r="T2779" s="1" t="s">
        <v>93</v>
      </c>
      <c r="V2779" s="1" t="s">
        <v>95</v>
      </c>
      <c r="Y2779" s="1" t="s">
        <v>461</v>
      </c>
      <c r="Z2779" s="1" t="str">
        <f t="shared" si="129"/>
        <v>55279 AGS09</v>
      </c>
      <c r="AA2779" s="3">
        <f>IF(INDEX('CAMD Facility Data 2023'!$AA$2:$AE$10000,MATCH(Z2779,'CAMD Facility Data 2023'!$AE$2:$AE$10000,0),1)&gt;0,INDEX('CAMD Facility Data 2023'!$AA$2:$AE$10000,MATCH(Z2779,'CAMD Facility Data 2023'!$AE$2:$AE$10000,0),1),"")</f>
        <v>37025</v>
      </c>
      <c r="AB2779" s="5">
        <f>IF(INDEX('CAMD Facility Data 2023'!$AC$2:$AE$10000,MATCH(Z2779,'CAMD Facility Data 2023'!$AE$2:$AE$10000,0),1)&gt;0,INDEX('CAMD Facility Data 2023'!$AC$2:$AE$10000,MATCH(Z2779,'CAMD Facility Data 2023'!$AE$2:$AE$10000,0),1),"")</f>
        <v>510</v>
      </c>
      <c r="AC2779" s="1" t="str">
        <f>IF(INDEX('CAMD Facility Data 2023'!$AE$2:$AG$10000,MATCH(Z2779,'CAMD Facility Data 2023'!$AE$2:$AE$10000,0),3)&gt;0,INDEX('CAMD Facility Data 2023'!$AE$2:$AG$10000,MATCH(Z2779,'CAMD Facility Data 2023'!$AE$2:$AE$10000,0),3),"")</f>
        <v/>
      </c>
      <c r="AD2779" s="20">
        <f t="shared" si="130"/>
        <v>0.70328538346509428</v>
      </c>
      <c r="AE2779" s="25">
        <f t="shared" si="131"/>
        <v>6.2896608246038141E-2</v>
      </c>
    </row>
    <row r="2780" spans="1:31" x14ac:dyDescent="0.2">
      <c r="A2780" s="1" t="s">
        <v>458</v>
      </c>
      <c r="B2780" s="1" t="s">
        <v>6335</v>
      </c>
      <c r="C2780" s="1">
        <v>55279</v>
      </c>
      <c r="D2780" s="1" t="s">
        <v>6357</v>
      </c>
      <c r="F2780" s="1">
        <v>2023</v>
      </c>
      <c r="G2780" s="5">
        <v>649</v>
      </c>
      <c r="H2780" s="5">
        <v>583.51</v>
      </c>
      <c r="I2780" s="5">
        <v>25655.57</v>
      </c>
      <c r="K2780" s="5">
        <v>7.2999999999999995E-2</v>
      </c>
      <c r="L2780" s="5">
        <v>1E-3</v>
      </c>
      <c r="M2780" s="5">
        <v>14433.351000000001</v>
      </c>
      <c r="N2780" s="6">
        <v>5.9200000000000003E-2</v>
      </c>
      <c r="O2780" s="5">
        <v>8.6859999999999999</v>
      </c>
      <c r="P2780" s="6">
        <v>7.8200000000000006E-2</v>
      </c>
      <c r="Q2780" s="5">
        <v>242884.27100000001</v>
      </c>
      <c r="R2780" s="1" t="s">
        <v>44</v>
      </c>
      <c r="T2780" s="1" t="s">
        <v>93</v>
      </c>
      <c r="V2780" s="1" t="s">
        <v>95</v>
      </c>
      <c r="Y2780" s="1" t="s">
        <v>461</v>
      </c>
      <c r="Z2780" s="1" t="str">
        <f t="shared" si="129"/>
        <v>55279 AGS10</v>
      </c>
      <c r="AA2780" s="3">
        <f>IF(INDEX('CAMD Facility Data 2023'!$AA$2:$AE$10000,MATCH(Z2780,'CAMD Facility Data 2023'!$AE$2:$AE$10000,0),1)&gt;0,INDEX('CAMD Facility Data 2023'!$AA$2:$AE$10000,MATCH(Z2780,'CAMD Facility Data 2023'!$AE$2:$AE$10000,0),1),"")</f>
        <v>37034</v>
      </c>
      <c r="AB2780" s="5">
        <f>IF(INDEX('CAMD Facility Data 2023'!$AC$2:$AE$10000,MATCH(Z2780,'CAMD Facility Data 2023'!$AE$2:$AE$10000,0),1)&gt;0,INDEX('CAMD Facility Data 2023'!$AC$2:$AE$10000,MATCH(Z2780,'CAMD Facility Data 2023'!$AE$2:$AE$10000,0),1),"")</f>
        <v>510</v>
      </c>
      <c r="AC2780" s="1" t="str">
        <f>IF(INDEX('CAMD Facility Data 2023'!$AE$2:$AG$10000,MATCH(Z2780,'CAMD Facility Data 2023'!$AE$2:$AE$10000,0),3)&gt;0,INDEX('CAMD Facility Data 2023'!$AE$2:$AG$10000,MATCH(Z2780,'CAMD Facility Data 2023'!$AE$2:$AE$10000,0),3),"")</f>
        <v/>
      </c>
      <c r="AD2780" s="20">
        <f t="shared" si="130"/>
        <v>0.67712391500169355</v>
      </c>
      <c r="AE2780" s="25">
        <f t="shared" si="131"/>
        <v>5.4365715596740978E-2</v>
      </c>
    </row>
    <row r="2781" spans="1:31" x14ac:dyDescent="0.2">
      <c r="A2781" s="1" t="s">
        <v>458</v>
      </c>
      <c r="B2781" s="1" t="s">
        <v>6359</v>
      </c>
      <c r="C2781" s="1">
        <v>55281</v>
      </c>
      <c r="D2781" s="1" t="s">
        <v>6360</v>
      </c>
      <c r="E2781" s="1" t="s">
        <v>1156</v>
      </c>
      <c r="F2781" s="1">
        <v>2023</v>
      </c>
      <c r="G2781" s="5">
        <v>0</v>
      </c>
      <c r="H2781" s="5">
        <v>0</v>
      </c>
      <c r="R2781" s="1" t="s">
        <v>44</v>
      </c>
      <c r="T2781" s="1" t="s">
        <v>93</v>
      </c>
      <c r="V2781" s="1" t="s">
        <v>140</v>
      </c>
      <c r="Y2781" s="1" t="s">
        <v>461</v>
      </c>
      <c r="Z2781" s="1" t="str">
        <f t="shared" si="129"/>
        <v>55281 CTG10</v>
      </c>
      <c r="AA2781" s="3">
        <f>IF(INDEX('CAMD Facility Data 2023'!$AA$2:$AE$10000,MATCH(Z2781,'CAMD Facility Data 2023'!$AE$2:$AE$10000,0),1)&gt;0,INDEX('CAMD Facility Data 2023'!$AA$2:$AE$10000,MATCH(Z2781,'CAMD Facility Data 2023'!$AE$2:$AE$10000,0),1),"")</f>
        <v>37438</v>
      </c>
      <c r="AB2781" s="5">
        <f>IF(INDEX('CAMD Facility Data 2023'!$AC$2:$AE$10000,MATCH(Z2781,'CAMD Facility Data 2023'!$AE$2:$AE$10000,0),1)&gt;0,INDEX('CAMD Facility Data 2023'!$AC$2:$AE$10000,MATCH(Z2781,'CAMD Facility Data 2023'!$AE$2:$AE$10000,0),1),"")</f>
        <v>500.1</v>
      </c>
      <c r="AC2781" s="1" t="str">
        <f>IF(INDEX('CAMD Facility Data 2023'!$AE$2:$AG$10000,MATCH(Z2781,'CAMD Facility Data 2023'!$AE$2:$AE$10000,0),3)&gt;0,INDEX('CAMD Facility Data 2023'!$AE$2:$AG$10000,MATCH(Z2781,'CAMD Facility Data 2023'!$AE$2:$AE$10000,0),3),"")</f>
        <v/>
      </c>
      <c r="AD2781" s="20" t="str">
        <f t="shared" si="130"/>
        <v/>
      </c>
      <c r="AE2781" s="25">
        <f t="shared" si="131"/>
        <v>0</v>
      </c>
    </row>
    <row r="2782" spans="1:31" x14ac:dyDescent="0.2">
      <c r="A2782" s="1" t="s">
        <v>458</v>
      </c>
      <c r="B2782" s="1" t="s">
        <v>6359</v>
      </c>
      <c r="C2782" s="1">
        <v>55281</v>
      </c>
      <c r="D2782" s="1" t="s">
        <v>6362</v>
      </c>
      <c r="E2782" s="1" t="s">
        <v>1156</v>
      </c>
      <c r="F2782" s="1">
        <v>2023</v>
      </c>
      <c r="G2782" s="5">
        <v>0</v>
      </c>
      <c r="H2782" s="5">
        <v>0</v>
      </c>
      <c r="R2782" s="1" t="s">
        <v>44</v>
      </c>
      <c r="T2782" s="1" t="s">
        <v>93</v>
      </c>
      <c r="V2782" s="1" t="s">
        <v>140</v>
      </c>
      <c r="Y2782" s="1" t="s">
        <v>461</v>
      </c>
      <c r="Z2782" s="1" t="str">
        <f t="shared" si="129"/>
        <v>55281 CTG11</v>
      </c>
      <c r="AA2782" s="3">
        <f>IF(INDEX('CAMD Facility Data 2023'!$AA$2:$AE$10000,MATCH(Z2782,'CAMD Facility Data 2023'!$AE$2:$AE$10000,0),1)&gt;0,INDEX('CAMD Facility Data 2023'!$AA$2:$AE$10000,MATCH(Z2782,'CAMD Facility Data 2023'!$AE$2:$AE$10000,0),1),"")</f>
        <v>37438</v>
      </c>
      <c r="AB2782" s="5">
        <f>IF(INDEX('CAMD Facility Data 2023'!$AC$2:$AE$10000,MATCH(Z2782,'CAMD Facility Data 2023'!$AE$2:$AE$10000,0),1)&gt;0,INDEX('CAMD Facility Data 2023'!$AC$2:$AE$10000,MATCH(Z2782,'CAMD Facility Data 2023'!$AE$2:$AE$10000,0),1),"")</f>
        <v>500.1</v>
      </c>
      <c r="AC2782" s="1" t="str">
        <f>IF(INDEX('CAMD Facility Data 2023'!$AE$2:$AG$10000,MATCH(Z2782,'CAMD Facility Data 2023'!$AE$2:$AE$10000,0),3)&gt;0,INDEX('CAMD Facility Data 2023'!$AE$2:$AG$10000,MATCH(Z2782,'CAMD Facility Data 2023'!$AE$2:$AE$10000,0),3),"")</f>
        <v/>
      </c>
      <c r="AD2782" s="20" t="str">
        <f t="shared" si="130"/>
        <v/>
      </c>
      <c r="AE2782" s="25">
        <f t="shared" si="131"/>
        <v>0</v>
      </c>
    </row>
    <row r="2783" spans="1:31" x14ac:dyDescent="0.2">
      <c r="A2783" s="1" t="s">
        <v>458</v>
      </c>
      <c r="B2783" s="1" t="s">
        <v>6359</v>
      </c>
      <c r="C2783" s="1">
        <v>55281</v>
      </c>
      <c r="D2783" s="1" t="s">
        <v>6364</v>
      </c>
      <c r="E2783" s="1" t="s">
        <v>1156</v>
      </c>
      <c r="F2783" s="1">
        <v>2023</v>
      </c>
      <c r="G2783" s="5">
        <v>0</v>
      </c>
      <c r="H2783" s="5">
        <v>0</v>
      </c>
      <c r="R2783" s="1" t="s">
        <v>44</v>
      </c>
      <c r="T2783" s="1" t="s">
        <v>93</v>
      </c>
      <c r="V2783" s="1" t="s">
        <v>140</v>
      </c>
      <c r="Y2783" s="1" t="s">
        <v>461</v>
      </c>
      <c r="Z2783" s="1" t="str">
        <f t="shared" si="129"/>
        <v>55281 CTG12</v>
      </c>
      <c r="AA2783" s="3">
        <f>IF(INDEX('CAMD Facility Data 2023'!$AA$2:$AE$10000,MATCH(Z2783,'CAMD Facility Data 2023'!$AE$2:$AE$10000,0),1)&gt;0,INDEX('CAMD Facility Data 2023'!$AA$2:$AE$10000,MATCH(Z2783,'CAMD Facility Data 2023'!$AE$2:$AE$10000,0),1),"")</f>
        <v>37438</v>
      </c>
      <c r="AB2783" s="5">
        <f>IF(INDEX('CAMD Facility Data 2023'!$AC$2:$AE$10000,MATCH(Z2783,'CAMD Facility Data 2023'!$AE$2:$AE$10000,0),1)&gt;0,INDEX('CAMD Facility Data 2023'!$AC$2:$AE$10000,MATCH(Z2783,'CAMD Facility Data 2023'!$AE$2:$AE$10000,0),1),"")</f>
        <v>500.1</v>
      </c>
      <c r="AC2783" s="1" t="str">
        <f>IF(INDEX('CAMD Facility Data 2023'!$AE$2:$AG$10000,MATCH(Z2783,'CAMD Facility Data 2023'!$AE$2:$AE$10000,0),3)&gt;0,INDEX('CAMD Facility Data 2023'!$AE$2:$AG$10000,MATCH(Z2783,'CAMD Facility Data 2023'!$AE$2:$AE$10000,0),3),"")</f>
        <v/>
      </c>
      <c r="AD2783" s="20" t="str">
        <f t="shared" si="130"/>
        <v/>
      </c>
      <c r="AE2783" s="25">
        <f t="shared" si="131"/>
        <v>0</v>
      </c>
    </row>
    <row r="2784" spans="1:31" x14ac:dyDescent="0.2">
      <c r="A2784" s="1" t="s">
        <v>458</v>
      </c>
      <c r="B2784" s="1" t="s">
        <v>6359</v>
      </c>
      <c r="C2784" s="1">
        <v>55281</v>
      </c>
      <c r="D2784" s="1" t="s">
        <v>2500</v>
      </c>
      <c r="E2784" s="1" t="s">
        <v>1156</v>
      </c>
      <c r="F2784" s="1">
        <v>2023</v>
      </c>
      <c r="G2784" s="5">
        <v>0</v>
      </c>
      <c r="H2784" s="5">
        <v>0</v>
      </c>
      <c r="R2784" s="1" t="s">
        <v>44</v>
      </c>
      <c r="T2784" s="1" t="s">
        <v>93</v>
      </c>
      <c r="V2784" s="1" t="s">
        <v>140</v>
      </c>
      <c r="Y2784" s="1" t="s">
        <v>461</v>
      </c>
      <c r="Z2784" s="1" t="str">
        <f t="shared" si="129"/>
        <v>55281 CTG5</v>
      </c>
      <c r="AA2784" s="3">
        <f>IF(INDEX('CAMD Facility Data 2023'!$AA$2:$AE$10000,MATCH(Z2784,'CAMD Facility Data 2023'!$AE$2:$AE$10000,0),1)&gt;0,INDEX('CAMD Facility Data 2023'!$AA$2:$AE$10000,MATCH(Z2784,'CAMD Facility Data 2023'!$AE$2:$AE$10000,0),1),"")</f>
        <v>37438</v>
      </c>
      <c r="AB2784" s="5">
        <f>IF(INDEX('CAMD Facility Data 2023'!$AC$2:$AE$10000,MATCH(Z2784,'CAMD Facility Data 2023'!$AE$2:$AE$10000,0),1)&gt;0,INDEX('CAMD Facility Data 2023'!$AC$2:$AE$10000,MATCH(Z2784,'CAMD Facility Data 2023'!$AE$2:$AE$10000,0),1),"")</f>
        <v>500.1</v>
      </c>
      <c r="AC2784" s="1" t="str">
        <f>IF(INDEX('CAMD Facility Data 2023'!$AE$2:$AG$10000,MATCH(Z2784,'CAMD Facility Data 2023'!$AE$2:$AE$10000,0),3)&gt;0,INDEX('CAMD Facility Data 2023'!$AE$2:$AG$10000,MATCH(Z2784,'CAMD Facility Data 2023'!$AE$2:$AE$10000,0),3),"")</f>
        <v/>
      </c>
      <c r="AD2784" s="20" t="str">
        <f t="shared" si="130"/>
        <v/>
      </c>
      <c r="AE2784" s="25">
        <f t="shared" si="131"/>
        <v>0</v>
      </c>
    </row>
    <row r="2785" spans="1:31" x14ac:dyDescent="0.2">
      <c r="A2785" s="1" t="s">
        <v>458</v>
      </c>
      <c r="B2785" s="1" t="s">
        <v>6359</v>
      </c>
      <c r="C2785" s="1">
        <v>55281</v>
      </c>
      <c r="D2785" s="1" t="s">
        <v>2502</v>
      </c>
      <c r="E2785" s="1" t="s">
        <v>1156</v>
      </c>
      <c r="F2785" s="1">
        <v>2023</v>
      </c>
      <c r="G2785" s="5">
        <v>0</v>
      </c>
      <c r="H2785" s="5">
        <v>0</v>
      </c>
      <c r="R2785" s="1" t="s">
        <v>44</v>
      </c>
      <c r="T2785" s="1" t="s">
        <v>93</v>
      </c>
      <c r="V2785" s="1" t="s">
        <v>140</v>
      </c>
      <c r="Y2785" s="1" t="s">
        <v>461</v>
      </c>
      <c r="Z2785" s="1" t="str">
        <f t="shared" si="129"/>
        <v>55281 CTG6</v>
      </c>
      <c r="AA2785" s="3">
        <f>IF(INDEX('CAMD Facility Data 2023'!$AA$2:$AE$10000,MATCH(Z2785,'CAMD Facility Data 2023'!$AE$2:$AE$10000,0),1)&gt;0,INDEX('CAMD Facility Data 2023'!$AA$2:$AE$10000,MATCH(Z2785,'CAMD Facility Data 2023'!$AE$2:$AE$10000,0),1),"")</f>
        <v>37438</v>
      </c>
      <c r="AB2785" s="5">
        <f>IF(INDEX('CAMD Facility Data 2023'!$AC$2:$AE$10000,MATCH(Z2785,'CAMD Facility Data 2023'!$AE$2:$AE$10000,0),1)&gt;0,INDEX('CAMD Facility Data 2023'!$AC$2:$AE$10000,MATCH(Z2785,'CAMD Facility Data 2023'!$AE$2:$AE$10000,0),1),"")</f>
        <v>500.1</v>
      </c>
      <c r="AC2785" s="1" t="str">
        <f>IF(INDEX('CAMD Facility Data 2023'!$AE$2:$AG$10000,MATCH(Z2785,'CAMD Facility Data 2023'!$AE$2:$AE$10000,0),3)&gt;0,INDEX('CAMD Facility Data 2023'!$AE$2:$AG$10000,MATCH(Z2785,'CAMD Facility Data 2023'!$AE$2:$AE$10000,0),3),"")</f>
        <v/>
      </c>
      <c r="AD2785" s="20" t="str">
        <f t="shared" si="130"/>
        <v/>
      </c>
      <c r="AE2785" s="25">
        <f t="shared" si="131"/>
        <v>0</v>
      </c>
    </row>
    <row r="2786" spans="1:31" x14ac:dyDescent="0.2">
      <c r="A2786" s="1" t="s">
        <v>458</v>
      </c>
      <c r="B2786" s="1" t="s">
        <v>6359</v>
      </c>
      <c r="C2786" s="1">
        <v>55281</v>
      </c>
      <c r="D2786" s="1" t="s">
        <v>6368</v>
      </c>
      <c r="E2786" s="1" t="s">
        <v>1156</v>
      </c>
      <c r="F2786" s="1">
        <v>2023</v>
      </c>
      <c r="G2786" s="5">
        <v>0</v>
      </c>
      <c r="H2786" s="5">
        <v>0</v>
      </c>
      <c r="R2786" s="1" t="s">
        <v>44</v>
      </c>
      <c r="T2786" s="1" t="s">
        <v>93</v>
      </c>
      <c r="V2786" s="1" t="s">
        <v>140</v>
      </c>
      <c r="Y2786" s="1" t="s">
        <v>461</v>
      </c>
      <c r="Z2786" s="1" t="str">
        <f t="shared" si="129"/>
        <v>55281 CTG7</v>
      </c>
      <c r="AA2786" s="3">
        <f>IF(INDEX('CAMD Facility Data 2023'!$AA$2:$AE$10000,MATCH(Z2786,'CAMD Facility Data 2023'!$AE$2:$AE$10000,0),1)&gt;0,INDEX('CAMD Facility Data 2023'!$AA$2:$AE$10000,MATCH(Z2786,'CAMD Facility Data 2023'!$AE$2:$AE$10000,0),1),"")</f>
        <v>37438</v>
      </c>
      <c r="AB2786" s="5">
        <f>IF(INDEX('CAMD Facility Data 2023'!$AC$2:$AE$10000,MATCH(Z2786,'CAMD Facility Data 2023'!$AE$2:$AE$10000,0),1)&gt;0,INDEX('CAMD Facility Data 2023'!$AC$2:$AE$10000,MATCH(Z2786,'CAMD Facility Data 2023'!$AE$2:$AE$10000,0),1),"")</f>
        <v>500.1</v>
      </c>
      <c r="AC2786" s="1" t="str">
        <f>IF(INDEX('CAMD Facility Data 2023'!$AE$2:$AG$10000,MATCH(Z2786,'CAMD Facility Data 2023'!$AE$2:$AE$10000,0),3)&gt;0,INDEX('CAMD Facility Data 2023'!$AE$2:$AG$10000,MATCH(Z2786,'CAMD Facility Data 2023'!$AE$2:$AE$10000,0),3),"")</f>
        <v/>
      </c>
      <c r="AD2786" s="20" t="str">
        <f t="shared" si="130"/>
        <v/>
      </c>
      <c r="AE2786" s="25">
        <f t="shared" si="131"/>
        <v>0</v>
      </c>
    </row>
    <row r="2787" spans="1:31" x14ac:dyDescent="0.2">
      <c r="A2787" s="1" t="s">
        <v>458</v>
      </c>
      <c r="B2787" s="1" t="s">
        <v>6359</v>
      </c>
      <c r="C2787" s="1">
        <v>55281</v>
      </c>
      <c r="D2787" s="1" t="s">
        <v>6370</v>
      </c>
      <c r="E2787" s="1" t="s">
        <v>1156</v>
      </c>
      <c r="F2787" s="1">
        <v>2023</v>
      </c>
      <c r="G2787" s="5">
        <v>0</v>
      </c>
      <c r="H2787" s="5">
        <v>0</v>
      </c>
      <c r="R2787" s="1" t="s">
        <v>44</v>
      </c>
      <c r="T2787" s="1" t="s">
        <v>93</v>
      </c>
      <c r="V2787" s="1" t="s">
        <v>140</v>
      </c>
      <c r="Y2787" s="1" t="s">
        <v>461</v>
      </c>
      <c r="Z2787" s="1" t="str">
        <f t="shared" si="129"/>
        <v>55281 CTG8</v>
      </c>
      <c r="AA2787" s="3">
        <f>IF(INDEX('CAMD Facility Data 2023'!$AA$2:$AE$10000,MATCH(Z2787,'CAMD Facility Data 2023'!$AE$2:$AE$10000,0),1)&gt;0,INDEX('CAMD Facility Data 2023'!$AA$2:$AE$10000,MATCH(Z2787,'CAMD Facility Data 2023'!$AE$2:$AE$10000,0),1),"")</f>
        <v>37438</v>
      </c>
      <c r="AB2787" s="5">
        <f>IF(INDEX('CAMD Facility Data 2023'!$AC$2:$AE$10000,MATCH(Z2787,'CAMD Facility Data 2023'!$AE$2:$AE$10000,0),1)&gt;0,INDEX('CAMD Facility Data 2023'!$AC$2:$AE$10000,MATCH(Z2787,'CAMD Facility Data 2023'!$AE$2:$AE$10000,0),1),"")</f>
        <v>500.1</v>
      </c>
      <c r="AC2787" s="1" t="str">
        <f>IF(INDEX('CAMD Facility Data 2023'!$AE$2:$AG$10000,MATCH(Z2787,'CAMD Facility Data 2023'!$AE$2:$AE$10000,0),3)&gt;0,INDEX('CAMD Facility Data 2023'!$AE$2:$AG$10000,MATCH(Z2787,'CAMD Facility Data 2023'!$AE$2:$AE$10000,0),3),"")</f>
        <v/>
      </c>
      <c r="AD2787" s="20" t="str">
        <f t="shared" si="130"/>
        <v/>
      </c>
      <c r="AE2787" s="25">
        <f t="shared" si="131"/>
        <v>0</v>
      </c>
    </row>
    <row r="2788" spans="1:31" x14ac:dyDescent="0.2">
      <c r="A2788" s="1" t="s">
        <v>458</v>
      </c>
      <c r="B2788" s="1" t="s">
        <v>6359</v>
      </c>
      <c r="C2788" s="1">
        <v>55281</v>
      </c>
      <c r="D2788" s="1" t="s">
        <v>6372</v>
      </c>
      <c r="E2788" s="1" t="s">
        <v>1156</v>
      </c>
      <c r="F2788" s="1">
        <v>2023</v>
      </c>
      <c r="G2788" s="5">
        <v>0</v>
      </c>
      <c r="H2788" s="5">
        <v>0</v>
      </c>
      <c r="R2788" s="1" t="s">
        <v>44</v>
      </c>
      <c r="T2788" s="1" t="s">
        <v>93</v>
      </c>
      <c r="V2788" s="1" t="s">
        <v>140</v>
      </c>
      <c r="Y2788" s="1" t="s">
        <v>461</v>
      </c>
      <c r="Z2788" s="1" t="str">
        <f t="shared" si="129"/>
        <v>55281 CTG9</v>
      </c>
      <c r="AA2788" s="3">
        <f>IF(INDEX('CAMD Facility Data 2023'!$AA$2:$AE$10000,MATCH(Z2788,'CAMD Facility Data 2023'!$AE$2:$AE$10000,0),1)&gt;0,INDEX('CAMD Facility Data 2023'!$AA$2:$AE$10000,MATCH(Z2788,'CAMD Facility Data 2023'!$AE$2:$AE$10000,0),1),"")</f>
        <v>37438</v>
      </c>
      <c r="AB2788" s="5">
        <f>IF(INDEX('CAMD Facility Data 2023'!$AC$2:$AE$10000,MATCH(Z2788,'CAMD Facility Data 2023'!$AE$2:$AE$10000,0),1)&gt;0,INDEX('CAMD Facility Data 2023'!$AC$2:$AE$10000,MATCH(Z2788,'CAMD Facility Data 2023'!$AE$2:$AE$10000,0),1),"")</f>
        <v>500.1</v>
      </c>
      <c r="AC2788" s="1" t="str">
        <f>IF(INDEX('CAMD Facility Data 2023'!$AE$2:$AG$10000,MATCH(Z2788,'CAMD Facility Data 2023'!$AE$2:$AE$10000,0),3)&gt;0,INDEX('CAMD Facility Data 2023'!$AE$2:$AG$10000,MATCH(Z2788,'CAMD Facility Data 2023'!$AE$2:$AE$10000,0),3),"")</f>
        <v/>
      </c>
      <c r="AD2788" s="20" t="str">
        <f t="shared" si="130"/>
        <v/>
      </c>
      <c r="AE2788" s="25">
        <f t="shared" si="131"/>
        <v>0</v>
      </c>
    </row>
    <row r="2789" spans="1:31" x14ac:dyDescent="0.2">
      <c r="A2789" s="1" t="s">
        <v>234</v>
      </c>
      <c r="B2789" s="1" t="s">
        <v>6374</v>
      </c>
      <c r="C2789" s="1">
        <v>55282</v>
      </c>
      <c r="D2789" s="1" t="s">
        <v>1129</v>
      </c>
      <c r="F2789" s="1">
        <v>2023</v>
      </c>
      <c r="G2789" s="5">
        <v>7295</v>
      </c>
      <c r="H2789" s="5">
        <v>7257.16</v>
      </c>
      <c r="I2789" s="5">
        <v>1806747.41</v>
      </c>
      <c r="K2789" s="5">
        <v>3.8479999999999999</v>
      </c>
      <c r="L2789" s="5">
        <v>1E-3</v>
      </c>
      <c r="M2789" s="5">
        <v>762140.51500000001</v>
      </c>
      <c r="N2789" s="6">
        <v>5.8999999999999997E-2</v>
      </c>
      <c r="O2789" s="5">
        <v>55.408000000000001</v>
      </c>
      <c r="P2789" s="6">
        <v>9.5999999999999992E-3</v>
      </c>
      <c r="Q2789" s="5">
        <v>12824480.503</v>
      </c>
      <c r="R2789" s="1" t="s">
        <v>44</v>
      </c>
      <c r="T2789" s="1" t="s">
        <v>71</v>
      </c>
      <c r="V2789" s="1" t="s">
        <v>64</v>
      </c>
      <c r="Y2789" s="1" t="s">
        <v>247</v>
      </c>
      <c r="Z2789" s="1" t="str">
        <f t="shared" si="129"/>
        <v>55282 CTG1</v>
      </c>
      <c r="AA2789" s="3">
        <f>IF(INDEX('CAMD Facility Data 2023'!$AA$2:$AE$10000,MATCH(Z2789,'CAMD Facility Data 2023'!$AE$2:$AE$10000,0),1)&gt;0,INDEX('CAMD Facility Data 2023'!$AA$2:$AE$10000,MATCH(Z2789,'CAMD Facility Data 2023'!$AE$2:$AE$10000,0),1),"")</f>
        <v>37334</v>
      </c>
      <c r="AB2789" s="5">
        <f>IF(INDEX('CAMD Facility Data 2023'!$AC$2:$AE$10000,MATCH(Z2789,'CAMD Facility Data 2023'!$AE$2:$AE$10000,0),1)&gt;0,INDEX('CAMD Facility Data 2023'!$AC$2:$AE$10000,MATCH(Z2789,'CAMD Facility Data 2023'!$AE$2:$AE$10000,0),1),"")</f>
        <v>2195</v>
      </c>
      <c r="AC2789" s="1" t="str">
        <f>IF(INDEX('CAMD Facility Data 2023'!$AE$2:$AG$10000,MATCH(Z2789,'CAMD Facility Data 2023'!$AE$2:$AE$10000,0),3)&gt;0,INDEX('CAMD Facility Data 2023'!$AE$2:$AG$10000,MATCH(Z2789,'CAMD Facility Data 2023'!$AE$2:$AE$10000,0),3),"")</f>
        <v>Y</v>
      </c>
      <c r="AD2789" s="20">
        <f t="shared" si="130"/>
        <v>6.1334528217201104E-2</v>
      </c>
      <c r="AE2789" s="25">
        <f t="shared" si="131"/>
        <v>0.66696209229153014</v>
      </c>
    </row>
    <row r="2790" spans="1:31" x14ac:dyDescent="0.2">
      <c r="A2790" s="1" t="s">
        <v>234</v>
      </c>
      <c r="B2790" s="1" t="s">
        <v>6374</v>
      </c>
      <c r="C2790" s="1">
        <v>55282</v>
      </c>
      <c r="D2790" s="1" t="s">
        <v>1135</v>
      </c>
      <c r="F2790" s="1">
        <v>2023</v>
      </c>
      <c r="G2790" s="5">
        <v>7304</v>
      </c>
      <c r="H2790" s="5">
        <v>7269.67</v>
      </c>
      <c r="I2790" s="5">
        <v>1809949.22</v>
      </c>
      <c r="K2790" s="5">
        <v>3.8580000000000001</v>
      </c>
      <c r="L2790" s="5">
        <v>1E-3</v>
      </c>
      <c r="M2790" s="5">
        <v>764262.91200000001</v>
      </c>
      <c r="N2790" s="6">
        <v>5.8999999999999997E-2</v>
      </c>
      <c r="O2790" s="5">
        <v>48.942</v>
      </c>
      <c r="P2790" s="6">
        <v>8.3000000000000001E-3</v>
      </c>
      <c r="Q2790" s="5">
        <v>12860257.923</v>
      </c>
      <c r="R2790" s="1" t="s">
        <v>44</v>
      </c>
      <c r="T2790" s="1" t="s">
        <v>71</v>
      </c>
      <c r="V2790" s="1" t="s">
        <v>64</v>
      </c>
      <c r="Y2790" s="1" t="s">
        <v>247</v>
      </c>
      <c r="Z2790" s="1" t="str">
        <f t="shared" si="129"/>
        <v>55282 CTG2</v>
      </c>
      <c r="AA2790" s="3">
        <f>IF(INDEX('CAMD Facility Data 2023'!$AA$2:$AE$10000,MATCH(Z2790,'CAMD Facility Data 2023'!$AE$2:$AE$10000,0),1)&gt;0,INDEX('CAMD Facility Data 2023'!$AA$2:$AE$10000,MATCH(Z2790,'CAMD Facility Data 2023'!$AE$2:$AE$10000,0),1),"")</f>
        <v>37350</v>
      </c>
      <c r="AB2790" s="5">
        <f>IF(INDEX('CAMD Facility Data 2023'!$AC$2:$AE$10000,MATCH(Z2790,'CAMD Facility Data 2023'!$AE$2:$AE$10000,0),1)&gt;0,INDEX('CAMD Facility Data 2023'!$AC$2:$AE$10000,MATCH(Z2790,'CAMD Facility Data 2023'!$AE$2:$AE$10000,0),1),"")</f>
        <v>2575</v>
      </c>
      <c r="AC2790" s="1" t="str">
        <f>IF(INDEX('CAMD Facility Data 2023'!$AE$2:$AG$10000,MATCH(Z2790,'CAMD Facility Data 2023'!$AE$2:$AE$10000,0),3)&gt;0,INDEX('CAMD Facility Data 2023'!$AE$2:$AG$10000,MATCH(Z2790,'CAMD Facility Data 2023'!$AE$2:$AE$10000,0),3),"")</f>
        <v>Y</v>
      </c>
      <c r="AD2790" s="20">
        <f t="shared" si="130"/>
        <v>5.4081075269061966E-2</v>
      </c>
      <c r="AE2790" s="25">
        <f t="shared" si="131"/>
        <v>0.57012270793988562</v>
      </c>
    </row>
    <row r="2791" spans="1:31" x14ac:dyDescent="0.2">
      <c r="A2791" s="1" t="s">
        <v>516</v>
      </c>
      <c r="B2791" s="1" t="s">
        <v>6378</v>
      </c>
      <c r="C2791" s="1">
        <v>55283</v>
      </c>
      <c r="D2791" s="1">
        <v>1</v>
      </c>
      <c r="F2791" s="1">
        <v>2023</v>
      </c>
      <c r="G2791" s="5">
        <v>6697</v>
      </c>
      <c r="H2791" s="5">
        <v>6687.29</v>
      </c>
      <c r="I2791" s="5">
        <v>1027517.65</v>
      </c>
      <c r="K2791" s="5">
        <v>2.3969999999999998</v>
      </c>
      <c r="L2791" s="5">
        <v>1E-3</v>
      </c>
      <c r="M2791" s="5">
        <v>474871.33600000001</v>
      </c>
      <c r="N2791" s="6">
        <v>5.8999999999999997E-2</v>
      </c>
      <c r="O2791" s="5">
        <v>119.23399999999999</v>
      </c>
      <c r="P2791" s="6">
        <v>2.9600000000000001E-2</v>
      </c>
      <c r="Q2791" s="5">
        <v>7990651.2479999997</v>
      </c>
      <c r="R2791" s="1" t="s">
        <v>44</v>
      </c>
      <c r="T2791" s="1" t="s">
        <v>71</v>
      </c>
      <c r="V2791" s="1" t="s">
        <v>140</v>
      </c>
      <c r="Y2791" s="1" t="s">
        <v>247</v>
      </c>
      <c r="Z2791" s="1" t="str">
        <f t="shared" si="129"/>
        <v>55283 1</v>
      </c>
      <c r="AA2791" s="3">
        <f>IF(INDEX('CAMD Facility Data 2023'!$AA$2:$AE$10000,MATCH(Z2791,'CAMD Facility Data 2023'!$AE$2:$AE$10000,0),1)&gt;0,INDEX('CAMD Facility Data 2023'!$AA$2:$AE$10000,MATCH(Z2791,'CAMD Facility Data 2023'!$AE$2:$AE$10000,0),1),"")</f>
        <v>37596</v>
      </c>
      <c r="AB2791" s="5">
        <f>IF(INDEX('CAMD Facility Data 2023'!$AC$2:$AE$10000,MATCH(Z2791,'CAMD Facility Data 2023'!$AE$2:$AE$10000,0),1)&gt;0,INDEX('CAMD Facility Data 2023'!$AC$2:$AE$10000,MATCH(Z2791,'CAMD Facility Data 2023'!$AE$2:$AE$10000,0),1),"")</f>
        <v>2100</v>
      </c>
      <c r="AC2791" s="1" t="str">
        <f>IF(INDEX('CAMD Facility Data 2023'!$AE$2:$AG$10000,MATCH(Z2791,'CAMD Facility Data 2023'!$AE$2:$AE$10000,0),3)&gt;0,INDEX('CAMD Facility Data 2023'!$AE$2:$AG$10000,MATCH(Z2791,'CAMD Facility Data 2023'!$AE$2:$AE$10000,0),3),"")</f>
        <v/>
      </c>
      <c r="AD2791" s="20">
        <f t="shared" si="130"/>
        <v>0.23208165815935133</v>
      </c>
      <c r="AE2791" s="25">
        <f t="shared" si="131"/>
        <v>0.43436895238095236</v>
      </c>
    </row>
    <row r="2792" spans="1:31" x14ac:dyDescent="0.2">
      <c r="A2792" s="1" t="s">
        <v>516</v>
      </c>
      <c r="B2792" s="1" t="s">
        <v>6378</v>
      </c>
      <c r="C2792" s="1">
        <v>55283</v>
      </c>
      <c r="D2792" s="1">
        <v>2</v>
      </c>
      <c r="F2792" s="1">
        <v>2023</v>
      </c>
      <c r="G2792" s="5">
        <v>6896</v>
      </c>
      <c r="H2792" s="5">
        <v>6880.72</v>
      </c>
      <c r="I2792" s="5">
        <v>1063537.6200000001</v>
      </c>
      <c r="K2792" s="5">
        <v>2.444</v>
      </c>
      <c r="L2792" s="5">
        <v>1E-3</v>
      </c>
      <c r="M2792" s="5">
        <v>484134.61200000002</v>
      </c>
      <c r="N2792" s="6">
        <v>5.8999999999999997E-2</v>
      </c>
      <c r="O2792" s="5">
        <v>132.84200000000001</v>
      </c>
      <c r="P2792" s="6">
        <v>3.3000000000000002E-2</v>
      </c>
      <c r="Q2792" s="5">
        <v>8146462.0959999999</v>
      </c>
      <c r="R2792" s="1" t="s">
        <v>44</v>
      </c>
      <c r="T2792" s="1" t="s">
        <v>71</v>
      </c>
      <c r="V2792" s="1" t="s">
        <v>140</v>
      </c>
      <c r="Y2792" s="1" t="s">
        <v>247</v>
      </c>
      <c r="Z2792" s="1" t="str">
        <f t="shared" si="129"/>
        <v>55283 2</v>
      </c>
      <c r="AA2792" s="3">
        <f>IF(INDEX('CAMD Facility Data 2023'!$AA$2:$AE$10000,MATCH(Z2792,'CAMD Facility Data 2023'!$AE$2:$AE$10000,0),1)&gt;0,INDEX('CAMD Facility Data 2023'!$AA$2:$AE$10000,MATCH(Z2792,'CAMD Facility Data 2023'!$AE$2:$AE$10000,0),1),"")</f>
        <v>37598</v>
      </c>
      <c r="AB2792" s="5">
        <f>IF(INDEX('CAMD Facility Data 2023'!$AC$2:$AE$10000,MATCH(Z2792,'CAMD Facility Data 2023'!$AE$2:$AE$10000,0),1)&gt;0,INDEX('CAMD Facility Data 2023'!$AC$2:$AE$10000,MATCH(Z2792,'CAMD Facility Data 2023'!$AE$2:$AE$10000,0),1),"")</f>
        <v>2100</v>
      </c>
      <c r="AC2792" s="1" t="str">
        <f>IF(INDEX('CAMD Facility Data 2023'!$AE$2:$AG$10000,MATCH(Z2792,'CAMD Facility Data 2023'!$AE$2:$AE$10000,0),3)&gt;0,INDEX('CAMD Facility Data 2023'!$AE$2:$AG$10000,MATCH(Z2792,'CAMD Facility Data 2023'!$AE$2:$AE$10000,0),3),"")</f>
        <v/>
      </c>
      <c r="AD2792" s="20">
        <f t="shared" si="130"/>
        <v>0.24981156754943937</v>
      </c>
      <c r="AE2792" s="25">
        <f t="shared" si="131"/>
        <v>0.44283877451619919</v>
      </c>
    </row>
    <row r="2793" spans="1:31" x14ac:dyDescent="0.2">
      <c r="A2793" s="1" t="s">
        <v>3140</v>
      </c>
      <c r="B2793" s="1" t="s">
        <v>6381</v>
      </c>
      <c r="C2793" s="1">
        <v>55284</v>
      </c>
      <c r="D2793" s="1" t="s">
        <v>6382</v>
      </c>
      <c r="E2793" s="1" t="s">
        <v>6383</v>
      </c>
      <c r="F2793" s="1">
        <v>2023</v>
      </c>
      <c r="G2793" s="5">
        <v>1935</v>
      </c>
      <c r="H2793" s="5">
        <v>1547.89</v>
      </c>
      <c r="I2793" s="5">
        <v>28633.35</v>
      </c>
      <c r="K2793" s="5">
        <v>9.6000000000000002E-2</v>
      </c>
      <c r="L2793" s="5">
        <v>8.9999999999999998E-4</v>
      </c>
      <c r="M2793" s="5">
        <v>19037.363000000001</v>
      </c>
      <c r="N2793" s="6">
        <v>5.8599999999999999E-2</v>
      </c>
      <c r="O2793" s="5">
        <v>16.742999999999999</v>
      </c>
      <c r="P2793" s="6">
        <v>0.1452</v>
      </c>
      <c r="Q2793" s="5">
        <v>320592.88699999999</v>
      </c>
      <c r="R2793" s="1" t="s">
        <v>44</v>
      </c>
      <c r="T2793" s="1" t="s">
        <v>93</v>
      </c>
      <c r="V2793" s="1" t="s">
        <v>95</v>
      </c>
      <c r="Y2793" s="1" t="s">
        <v>168</v>
      </c>
      <c r="Z2793" s="1" t="str">
        <f t="shared" si="129"/>
        <v>55284 GS01</v>
      </c>
      <c r="AA2793" s="3">
        <f>IF(INDEX('CAMD Facility Data 2023'!$AA$2:$AE$10000,MATCH(Z2793,'CAMD Facility Data 2023'!$AE$2:$AE$10000,0),1)&gt;0,INDEX('CAMD Facility Data 2023'!$AA$2:$AE$10000,MATCH(Z2793,'CAMD Facility Data 2023'!$AE$2:$AE$10000,0),1),"")</f>
        <v>37048</v>
      </c>
      <c r="AB2793" s="5">
        <f>IF(INDEX('CAMD Facility Data 2023'!$AC$2:$AE$10000,MATCH(Z2793,'CAMD Facility Data 2023'!$AE$2:$AE$10000,0),1)&gt;0,INDEX('CAMD Facility Data 2023'!$AC$2:$AE$10000,MATCH(Z2793,'CAMD Facility Data 2023'!$AE$2:$AE$10000,0),1),"")</f>
        <v>300</v>
      </c>
      <c r="AC2793" s="1" t="str">
        <f>IF(INDEX('CAMD Facility Data 2023'!$AE$2:$AG$10000,MATCH(Z2793,'CAMD Facility Data 2023'!$AE$2:$AE$10000,0),3)&gt;0,INDEX('CAMD Facility Data 2023'!$AE$2:$AG$10000,MATCH(Z2793,'CAMD Facility Data 2023'!$AE$2:$AE$10000,0),3),"")</f>
        <v/>
      </c>
      <c r="AD2793" s="20">
        <f t="shared" si="130"/>
        <v>1.1694754543216215</v>
      </c>
      <c r="AE2793" s="25">
        <f t="shared" si="131"/>
        <v>0.12199120509893455</v>
      </c>
    </row>
    <row r="2794" spans="1:31" x14ac:dyDescent="0.2">
      <c r="A2794" s="1" t="s">
        <v>3140</v>
      </c>
      <c r="B2794" s="1" t="s">
        <v>6381</v>
      </c>
      <c r="C2794" s="1">
        <v>55284</v>
      </c>
      <c r="D2794" s="1" t="s">
        <v>6386</v>
      </c>
      <c r="E2794" s="1" t="s">
        <v>6383</v>
      </c>
      <c r="F2794" s="1">
        <v>2023</v>
      </c>
      <c r="G2794" s="5">
        <v>1794</v>
      </c>
      <c r="H2794" s="5">
        <v>1423.43</v>
      </c>
      <c r="I2794" s="5">
        <v>28309.200000000001</v>
      </c>
      <c r="K2794" s="5">
        <v>9.6000000000000002E-2</v>
      </c>
      <c r="L2794" s="5">
        <v>8.9999999999999998E-4</v>
      </c>
      <c r="M2794" s="5">
        <v>19040.256000000001</v>
      </c>
      <c r="N2794" s="6">
        <v>5.8700000000000002E-2</v>
      </c>
      <c r="O2794" s="5">
        <v>18.276</v>
      </c>
      <c r="P2794" s="6">
        <v>0.1578</v>
      </c>
      <c r="Q2794" s="5">
        <v>320642.90700000001</v>
      </c>
      <c r="R2794" s="1" t="s">
        <v>44</v>
      </c>
      <c r="T2794" s="1" t="s">
        <v>93</v>
      </c>
      <c r="V2794" s="1" t="s">
        <v>95</v>
      </c>
      <c r="Y2794" s="1" t="s">
        <v>168</v>
      </c>
      <c r="Z2794" s="1" t="str">
        <f t="shared" si="129"/>
        <v>55284 GS02</v>
      </c>
      <c r="AA2794" s="3">
        <f>IF(INDEX('CAMD Facility Data 2023'!$AA$2:$AE$10000,MATCH(Z2794,'CAMD Facility Data 2023'!$AE$2:$AE$10000,0),1)&gt;0,INDEX('CAMD Facility Data 2023'!$AA$2:$AE$10000,MATCH(Z2794,'CAMD Facility Data 2023'!$AE$2:$AE$10000,0),1),"")</f>
        <v>37048</v>
      </c>
      <c r="AB2794" s="5">
        <f>IF(INDEX('CAMD Facility Data 2023'!$AC$2:$AE$10000,MATCH(Z2794,'CAMD Facility Data 2023'!$AE$2:$AE$10000,0),1)&gt;0,INDEX('CAMD Facility Data 2023'!$AC$2:$AE$10000,MATCH(Z2794,'CAMD Facility Data 2023'!$AE$2:$AE$10000,0),1),"")</f>
        <v>300</v>
      </c>
      <c r="AC2794" s="1" t="str">
        <f>IF(INDEX('CAMD Facility Data 2023'!$AE$2:$AG$10000,MATCH(Z2794,'CAMD Facility Data 2023'!$AE$2:$AE$10000,0),3)&gt;0,INDEX('CAMD Facility Data 2023'!$AE$2:$AG$10000,MATCH(Z2794,'CAMD Facility Data 2023'!$AE$2:$AE$10000,0),3),"")</f>
        <v/>
      </c>
      <c r="AD2794" s="20">
        <f t="shared" si="130"/>
        <v>1.2911703615785681</v>
      </c>
      <c r="AE2794" s="25">
        <f t="shared" si="131"/>
        <v>0.12201023858447489</v>
      </c>
    </row>
    <row r="2795" spans="1:31" x14ac:dyDescent="0.2">
      <c r="A2795" s="1" t="s">
        <v>3140</v>
      </c>
      <c r="B2795" s="1" t="s">
        <v>6381</v>
      </c>
      <c r="C2795" s="1">
        <v>55284</v>
      </c>
      <c r="D2795" s="1" t="s">
        <v>6387</v>
      </c>
      <c r="E2795" s="1" t="s">
        <v>6383</v>
      </c>
      <c r="F2795" s="1">
        <v>2023</v>
      </c>
      <c r="G2795" s="5">
        <v>2008</v>
      </c>
      <c r="H2795" s="5">
        <v>1607.48</v>
      </c>
      <c r="I2795" s="5">
        <v>30509.22</v>
      </c>
      <c r="K2795" s="5">
        <v>0.10299999999999999</v>
      </c>
      <c r="L2795" s="5">
        <v>8.9999999999999998E-4</v>
      </c>
      <c r="M2795" s="5">
        <v>20362.27</v>
      </c>
      <c r="N2795" s="6">
        <v>5.8599999999999999E-2</v>
      </c>
      <c r="O2795" s="5">
        <v>17.763000000000002</v>
      </c>
      <c r="P2795" s="6">
        <v>0.13880000000000001</v>
      </c>
      <c r="Q2795" s="5">
        <v>342837.00699999998</v>
      </c>
      <c r="R2795" s="1" t="s">
        <v>44</v>
      </c>
      <c r="T2795" s="1" t="s">
        <v>93</v>
      </c>
      <c r="V2795" s="1" t="s">
        <v>95</v>
      </c>
      <c r="Y2795" s="1" t="s">
        <v>168</v>
      </c>
      <c r="Z2795" s="1" t="str">
        <f t="shared" si="129"/>
        <v>55284 GS03</v>
      </c>
      <c r="AA2795" s="3">
        <f>IF(INDEX('CAMD Facility Data 2023'!$AA$2:$AE$10000,MATCH(Z2795,'CAMD Facility Data 2023'!$AE$2:$AE$10000,0),1)&gt;0,INDEX('CAMD Facility Data 2023'!$AA$2:$AE$10000,MATCH(Z2795,'CAMD Facility Data 2023'!$AE$2:$AE$10000,0),1),"")</f>
        <v>37066</v>
      </c>
      <c r="AB2795" s="5">
        <f>IF(INDEX('CAMD Facility Data 2023'!$AC$2:$AE$10000,MATCH(Z2795,'CAMD Facility Data 2023'!$AE$2:$AE$10000,0),1)&gt;0,INDEX('CAMD Facility Data 2023'!$AC$2:$AE$10000,MATCH(Z2795,'CAMD Facility Data 2023'!$AE$2:$AE$10000,0),1),"")</f>
        <v>300</v>
      </c>
      <c r="AC2795" s="1" t="str">
        <f>IF(INDEX('CAMD Facility Data 2023'!$AE$2:$AG$10000,MATCH(Z2795,'CAMD Facility Data 2023'!$AE$2:$AE$10000,0),3)&gt;0,INDEX('CAMD Facility Data 2023'!$AE$2:$AG$10000,MATCH(Z2795,'CAMD Facility Data 2023'!$AE$2:$AE$10000,0),3),"")</f>
        <v/>
      </c>
      <c r="AD2795" s="20">
        <f t="shared" si="130"/>
        <v>1.1644348823077089</v>
      </c>
      <c r="AE2795" s="25">
        <f t="shared" si="131"/>
        <v>0.13045548211567731</v>
      </c>
    </row>
    <row r="2796" spans="1:31" x14ac:dyDescent="0.2">
      <c r="A2796" s="1" t="s">
        <v>3140</v>
      </c>
      <c r="B2796" s="1" t="s">
        <v>6381</v>
      </c>
      <c r="C2796" s="1">
        <v>55284</v>
      </c>
      <c r="D2796" s="1" t="s">
        <v>6389</v>
      </c>
      <c r="E2796" s="1" t="s">
        <v>6383</v>
      </c>
      <c r="F2796" s="1">
        <v>2023</v>
      </c>
      <c r="G2796" s="5">
        <v>1972</v>
      </c>
      <c r="H2796" s="5">
        <v>1572.2</v>
      </c>
      <c r="I2796" s="5">
        <v>29978.69</v>
      </c>
      <c r="K2796" s="5">
        <v>0.10199999999999999</v>
      </c>
      <c r="L2796" s="5">
        <v>8.9999999999999998E-4</v>
      </c>
      <c r="M2796" s="5">
        <v>20212.150000000001</v>
      </c>
      <c r="N2796" s="6">
        <v>5.8799999999999998E-2</v>
      </c>
      <c r="O2796" s="5">
        <v>17.59</v>
      </c>
      <c r="P2796" s="6">
        <v>0.1376</v>
      </c>
      <c r="Q2796" s="5">
        <v>340287.40700000001</v>
      </c>
      <c r="R2796" s="1" t="s">
        <v>44</v>
      </c>
      <c r="T2796" s="1" t="s">
        <v>93</v>
      </c>
      <c r="V2796" s="1" t="s">
        <v>95</v>
      </c>
      <c r="Y2796" s="1" t="s">
        <v>168</v>
      </c>
      <c r="Z2796" s="1" t="str">
        <f t="shared" si="129"/>
        <v>55284 GS04</v>
      </c>
      <c r="AA2796" s="3">
        <f>IF(INDEX('CAMD Facility Data 2023'!$AA$2:$AE$10000,MATCH(Z2796,'CAMD Facility Data 2023'!$AE$2:$AE$10000,0),1)&gt;0,INDEX('CAMD Facility Data 2023'!$AA$2:$AE$10000,MATCH(Z2796,'CAMD Facility Data 2023'!$AE$2:$AE$10000,0),1),"")</f>
        <v>37066</v>
      </c>
      <c r="AB2796" s="5">
        <f>IF(INDEX('CAMD Facility Data 2023'!$AC$2:$AE$10000,MATCH(Z2796,'CAMD Facility Data 2023'!$AE$2:$AE$10000,0),1)&gt;0,INDEX('CAMD Facility Data 2023'!$AC$2:$AE$10000,MATCH(Z2796,'CAMD Facility Data 2023'!$AE$2:$AE$10000,0),1),"")</f>
        <v>300</v>
      </c>
      <c r="AC2796" s="1" t="str">
        <f>IF(INDEX('CAMD Facility Data 2023'!$AE$2:$AG$10000,MATCH(Z2796,'CAMD Facility Data 2023'!$AE$2:$AE$10000,0),3)&gt;0,INDEX('CAMD Facility Data 2023'!$AE$2:$AG$10000,MATCH(Z2796,'CAMD Facility Data 2023'!$AE$2:$AE$10000,0),3),"")</f>
        <v/>
      </c>
      <c r="AD2796" s="20">
        <f t="shared" si="130"/>
        <v>1.1735002430059487</v>
      </c>
      <c r="AE2796" s="25">
        <f t="shared" si="131"/>
        <v>0.12948531468797564</v>
      </c>
    </row>
    <row r="2797" spans="1:31" x14ac:dyDescent="0.2">
      <c r="A2797" s="1" t="s">
        <v>3140</v>
      </c>
      <c r="B2797" s="1" t="s">
        <v>6381</v>
      </c>
      <c r="C2797" s="1">
        <v>55284</v>
      </c>
      <c r="D2797" s="1" t="s">
        <v>6390</v>
      </c>
      <c r="E2797" s="1" t="s">
        <v>6383</v>
      </c>
      <c r="F2797" s="1">
        <v>2023</v>
      </c>
      <c r="G2797" s="5">
        <v>1923</v>
      </c>
      <c r="H2797" s="5">
        <v>1533.89</v>
      </c>
      <c r="I2797" s="5">
        <v>30394.09</v>
      </c>
      <c r="K2797" s="5">
        <v>0.10299999999999999</v>
      </c>
      <c r="L2797" s="5">
        <v>8.9999999999999998E-4</v>
      </c>
      <c r="M2797" s="5">
        <v>20275.932000000001</v>
      </c>
      <c r="N2797" s="6">
        <v>5.8599999999999999E-2</v>
      </c>
      <c r="O2797" s="5">
        <v>18.466999999999999</v>
      </c>
      <c r="P2797" s="6">
        <v>0.1482</v>
      </c>
      <c r="Q2797" s="5">
        <v>341405.712</v>
      </c>
      <c r="R2797" s="1" t="s">
        <v>44</v>
      </c>
      <c r="T2797" s="1" t="s">
        <v>93</v>
      </c>
      <c r="V2797" s="1" t="s">
        <v>95</v>
      </c>
      <c r="Y2797" s="1" t="s">
        <v>168</v>
      </c>
      <c r="Z2797" s="1" t="str">
        <f t="shared" si="129"/>
        <v>55284 GS05</v>
      </c>
      <c r="AA2797" s="3">
        <f>IF(INDEX('CAMD Facility Data 2023'!$AA$2:$AE$10000,MATCH(Z2797,'CAMD Facility Data 2023'!$AE$2:$AE$10000,0),1)&gt;0,INDEX('CAMD Facility Data 2023'!$AA$2:$AE$10000,MATCH(Z2797,'CAMD Facility Data 2023'!$AE$2:$AE$10000,0),1),"")</f>
        <v>37076</v>
      </c>
      <c r="AB2797" s="5">
        <f>IF(INDEX('CAMD Facility Data 2023'!$AC$2:$AE$10000,MATCH(Z2797,'CAMD Facility Data 2023'!$AE$2:$AE$10000,0),1)&gt;0,INDEX('CAMD Facility Data 2023'!$AC$2:$AE$10000,MATCH(Z2797,'CAMD Facility Data 2023'!$AE$2:$AE$10000,0),1),"")</f>
        <v>300</v>
      </c>
      <c r="AC2797" s="1" t="str">
        <f>IF(INDEX('CAMD Facility Data 2023'!$AE$2:$AG$10000,MATCH(Z2797,'CAMD Facility Data 2023'!$AE$2:$AE$10000,0),3)&gt;0,INDEX('CAMD Facility Data 2023'!$AE$2:$AG$10000,MATCH(Z2797,'CAMD Facility Data 2023'!$AE$2:$AE$10000,0),3),"")</f>
        <v/>
      </c>
      <c r="AD2797" s="20">
        <f t="shared" si="130"/>
        <v>1.2151704492551019</v>
      </c>
      <c r="AE2797" s="25">
        <f t="shared" si="131"/>
        <v>0.12991084931506849</v>
      </c>
    </row>
    <row r="2798" spans="1:31" x14ac:dyDescent="0.2">
      <c r="A2798" s="1" t="s">
        <v>3140</v>
      </c>
      <c r="B2798" s="1" t="s">
        <v>6381</v>
      </c>
      <c r="C2798" s="1">
        <v>55284</v>
      </c>
      <c r="D2798" s="1" t="s">
        <v>6392</v>
      </c>
      <c r="E2798" s="1" t="s">
        <v>6383</v>
      </c>
      <c r="F2798" s="1">
        <v>2023</v>
      </c>
      <c r="G2798" s="5">
        <v>1856</v>
      </c>
      <c r="H2798" s="5">
        <v>1478.13</v>
      </c>
      <c r="I2798" s="5">
        <v>26917.61</v>
      </c>
      <c r="K2798" s="5">
        <v>9.0999999999999998E-2</v>
      </c>
      <c r="L2798" s="5">
        <v>8.9999999999999998E-4</v>
      </c>
      <c r="M2798" s="5">
        <v>17932.09</v>
      </c>
      <c r="N2798" s="6">
        <v>5.8900000000000001E-2</v>
      </c>
      <c r="O2798" s="5">
        <v>17.501000000000001</v>
      </c>
      <c r="P2798" s="6">
        <v>0.14699999999999999</v>
      </c>
      <c r="Q2798" s="5">
        <v>301886.39600000001</v>
      </c>
      <c r="R2798" s="1" t="s">
        <v>44</v>
      </c>
      <c r="T2798" s="1" t="s">
        <v>93</v>
      </c>
      <c r="V2798" s="1" t="s">
        <v>95</v>
      </c>
      <c r="Y2798" s="1" t="s">
        <v>168</v>
      </c>
      <c r="Z2798" s="1" t="str">
        <f t="shared" si="129"/>
        <v>55284 GS06</v>
      </c>
      <c r="AA2798" s="3">
        <f>IF(INDEX('CAMD Facility Data 2023'!$AA$2:$AE$10000,MATCH(Z2798,'CAMD Facility Data 2023'!$AE$2:$AE$10000,0),1)&gt;0,INDEX('CAMD Facility Data 2023'!$AA$2:$AE$10000,MATCH(Z2798,'CAMD Facility Data 2023'!$AE$2:$AE$10000,0),1),"")</f>
        <v>37076</v>
      </c>
      <c r="AB2798" s="5">
        <f>IF(INDEX('CAMD Facility Data 2023'!$AC$2:$AE$10000,MATCH(Z2798,'CAMD Facility Data 2023'!$AE$2:$AE$10000,0),1)&gt;0,INDEX('CAMD Facility Data 2023'!$AC$2:$AE$10000,MATCH(Z2798,'CAMD Facility Data 2023'!$AE$2:$AE$10000,0),1),"")</f>
        <v>300</v>
      </c>
      <c r="AC2798" s="1" t="str">
        <f>IF(INDEX('CAMD Facility Data 2023'!$AE$2:$AG$10000,MATCH(Z2798,'CAMD Facility Data 2023'!$AE$2:$AE$10000,0),3)&gt;0,INDEX('CAMD Facility Data 2023'!$AE$2:$AG$10000,MATCH(Z2798,'CAMD Facility Data 2023'!$AE$2:$AE$10000,0),3),"")</f>
        <v/>
      </c>
      <c r="AD2798" s="20">
        <f t="shared" si="130"/>
        <v>1.3003383287000592</v>
      </c>
      <c r="AE2798" s="25">
        <f t="shared" si="131"/>
        <v>0.11487305783866059</v>
      </c>
    </row>
    <row r="2799" spans="1:31" x14ac:dyDescent="0.2">
      <c r="A2799" s="1" t="s">
        <v>3140</v>
      </c>
      <c r="B2799" s="1" t="s">
        <v>6381</v>
      </c>
      <c r="C2799" s="1">
        <v>55284</v>
      </c>
      <c r="D2799" s="1" t="s">
        <v>6393</v>
      </c>
      <c r="E2799" s="1" t="s">
        <v>6383</v>
      </c>
      <c r="F2799" s="1">
        <v>2023</v>
      </c>
      <c r="G2799" s="5">
        <v>1512</v>
      </c>
      <c r="H2799" s="5">
        <v>1238.72</v>
      </c>
      <c r="I2799" s="5">
        <v>24819.85</v>
      </c>
      <c r="K2799" s="5">
        <v>8.2000000000000003E-2</v>
      </c>
      <c r="L2799" s="5">
        <v>1E-3</v>
      </c>
      <c r="M2799" s="5">
        <v>16215.335999999999</v>
      </c>
      <c r="N2799" s="6">
        <v>5.8999999999999997E-2</v>
      </c>
      <c r="O2799" s="5">
        <v>11.926</v>
      </c>
      <c r="P2799" s="6">
        <v>9.8400000000000001E-2</v>
      </c>
      <c r="Q2799" s="5">
        <v>272851.53200000001</v>
      </c>
      <c r="R2799" s="1" t="s">
        <v>44</v>
      </c>
      <c r="T2799" s="1" t="s">
        <v>93</v>
      </c>
      <c r="V2799" s="1" t="s">
        <v>95</v>
      </c>
      <c r="Y2799" s="1" t="s">
        <v>168</v>
      </c>
      <c r="Z2799" s="1" t="str">
        <f t="shared" si="129"/>
        <v>55284 GS07</v>
      </c>
      <c r="AA2799" s="3">
        <f>IF(INDEX('CAMD Facility Data 2023'!$AA$2:$AE$10000,MATCH(Z2799,'CAMD Facility Data 2023'!$AE$2:$AE$10000,0),1)&gt;0,INDEX('CAMD Facility Data 2023'!$AA$2:$AE$10000,MATCH(Z2799,'CAMD Facility Data 2023'!$AE$2:$AE$10000,0),1),"")</f>
        <v>37076</v>
      </c>
      <c r="AB2799" s="5">
        <f>IF(INDEX('CAMD Facility Data 2023'!$AC$2:$AE$10000,MATCH(Z2799,'CAMD Facility Data 2023'!$AE$2:$AE$10000,0),1)&gt;0,INDEX('CAMD Facility Data 2023'!$AC$2:$AE$10000,MATCH(Z2799,'CAMD Facility Data 2023'!$AE$2:$AE$10000,0),1),"")</f>
        <v>300</v>
      </c>
      <c r="AC2799" s="1" t="str">
        <f>IF(INDEX('CAMD Facility Data 2023'!$AE$2:$AG$10000,MATCH(Z2799,'CAMD Facility Data 2023'!$AE$2:$AE$10000,0),3)&gt;0,INDEX('CAMD Facility Data 2023'!$AE$2:$AG$10000,MATCH(Z2799,'CAMD Facility Data 2023'!$AE$2:$AE$10000,0),3),"")</f>
        <v/>
      </c>
      <c r="AD2799" s="20">
        <f t="shared" si="130"/>
        <v>0.96100500204473438</v>
      </c>
      <c r="AE2799" s="25">
        <f t="shared" si="131"/>
        <v>0.10382478386605784</v>
      </c>
    </row>
    <row r="2800" spans="1:31" x14ac:dyDescent="0.2">
      <c r="A2800" s="1" t="s">
        <v>3140</v>
      </c>
      <c r="B2800" s="1" t="s">
        <v>6381</v>
      </c>
      <c r="C2800" s="1">
        <v>55284</v>
      </c>
      <c r="D2800" s="1" t="s">
        <v>6395</v>
      </c>
      <c r="E2800" s="1" t="s">
        <v>6383</v>
      </c>
      <c r="F2800" s="1">
        <v>2023</v>
      </c>
      <c r="G2800" s="5">
        <v>1812</v>
      </c>
      <c r="H2800" s="5">
        <v>1466.82</v>
      </c>
      <c r="I2800" s="5">
        <v>28508.73</v>
      </c>
      <c r="K2800" s="5">
        <v>9.6000000000000002E-2</v>
      </c>
      <c r="L2800" s="5">
        <v>1E-3</v>
      </c>
      <c r="M2800" s="5">
        <v>18994.396000000001</v>
      </c>
      <c r="N2800" s="6">
        <v>5.8700000000000002E-2</v>
      </c>
      <c r="O2800" s="5">
        <v>18.172000000000001</v>
      </c>
      <c r="P2800" s="6">
        <v>0.1464</v>
      </c>
      <c r="Q2800" s="5">
        <v>319801.78600000002</v>
      </c>
      <c r="R2800" s="1" t="s">
        <v>44</v>
      </c>
      <c r="T2800" s="1" t="s">
        <v>93</v>
      </c>
      <c r="V2800" s="1" t="s">
        <v>95</v>
      </c>
      <c r="Y2800" s="1" t="s">
        <v>168</v>
      </c>
      <c r="Z2800" s="1" t="str">
        <f t="shared" si="129"/>
        <v>55284 GS08</v>
      </c>
      <c r="AA2800" s="3">
        <f>IF(INDEX('CAMD Facility Data 2023'!$AA$2:$AE$10000,MATCH(Z2800,'CAMD Facility Data 2023'!$AE$2:$AE$10000,0),1)&gt;0,INDEX('CAMD Facility Data 2023'!$AA$2:$AE$10000,MATCH(Z2800,'CAMD Facility Data 2023'!$AE$2:$AE$10000,0),1),"")</f>
        <v>37076</v>
      </c>
      <c r="AB2800" s="5">
        <f>IF(INDEX('CAMD Facility Data 2023'!$AC$2:$AE$10000,MATCH(Z2800,'CAMD Facility Data 2023'!$AE$2:$AE$10000,0),1)&gt;0,INDEX('CAMD Facility Data 2023'!$AC$2:$AE$10000,MATCH(Z2800,'CAMD Facility Data 2023'!$AE$2:$AE$10000,0),1),"")</f>
        <v>300</v>
      </c>
      <c r="AC2800" s="1" t="str">
        <f>IF(INDEX('CAMD Facility Data 2023'!$AE$2:$AG$10000,MATCH(Z2800,'CAMD Facility Data 2023'!$AE$2:$AE$10000,0),3)&gt;0,INDEX('CAMD Facility Data 2023'!$AE$2:$AG$10000,MATCH(Z2800,'CAMD Facility Data 2023'!$AE$2:$AE$10000,0),3),"")</f>
        <v/>
      </c>
      <c r="AD2800" s="20">
        <f t="shared" si="130"/>
        <v>1.2748375672995604</v>
      </c>
      <c r="AE2800" s="25">
        <f t="shared" si="131"/>
        <v>0.12169017732115678</v>
      </c>
    </row>
    <row r="2801" spans="1:31" x14ac:dyDescent="0.2">
      <c r="A2801" s="1" t="s">
        <v>3140</v>
      </c>
      <c r="B2801" s="1" t="s">
        <v>6381</v>
      </c>
      <c r="C2801" s="1">
        <v>55284</v>
      </c>
      <c r="D2801" s="1" t="s">
        <v>6396</v>
      </c>
      <c r="E2801" s="1" t="s">
        <v>6383</v>
      </c>
      <c r="F2801" s="1">
        <v>2023</v>
      </c>
      <c r="G2801" s="5">
        <v>1677</v>
      </c>
      <c r="H2801" s="5">
        <v>1341.35</v>
      </c>
      <c r="I2801" s="5">
        <v>25394.63</v>
      </c>
      <c r="K2801" s="5">
        <v>8.5000000000000006E-2</v>
      </c>
      <c r="L2801" s="5">
        <v>8.9999999999999998E-4</v>
      </c>
      <c r="M2801" s="5">
        <v>16799.933000000001</v>
      </c>
      <c r="N2801" s="6">
        <v>5.8400000000000001E-2</v>
      </c>
      <c r="O2801" s="5">
        <v>15.651</v>
      </c>
      <c r="P2801" s="6">
        <v>0.15409999999999999</v>
      </c>
      <c r="Q2801" s="5">
        <v>282898.23200000002</v>
      </c>
      <c r="R2801" s="1" t="s">
        <v>44</v>
      </c>
      <c r="T2801" s="1" t="s">
        <v>93</v>
      </c>
      <c r="V2801" s="1" t="s">
        <v>95</v>
      </c>
      <c r="Y2801" s="1" t="s">
        <v>168</v>
      </c>
      <c r="Z2801" s="1" t="str">
        <f t="shared" si="129"/>
        <v>55284 GS09</v>
      </c>
      <c r="AA2801" s="3">
        <f>IF(INDEX('CAMD Facility Data 2023'!$AA$2:$AE$10000,MATCH(Z2801,'CAMD Facility Data 2023'!$AE$2:$AE$10000,0),1)&gt;0,INDEX('CAMD Facility Data 2023'!$AA$2:$AE$10000,MATCH(Z2801,'CAMD Facility Data 2023'!$AE$2:$AE$10000,0),1),"")</f>
        <v>37089</v>
      </c>
      <c r="AB2801" s="5">
        <f>IF(INDEX('CAMD Facility Data 2023'!$AC$2:$AE$10000,MATCH(Z2801,'CAMD Facility Data 2023'!$AE$2:$AE$10000,0),1)&gt;0,INDEX('CAMD Facility Data 2023'!$AC$2:$AE$10000,MATCH(Z2801,'CAMD Facility Data 2023'!$AE$2:$AE$10000,0),1),"")</f>
        <v>300</v>
      </c>
      <c r="AC2801" s="1" t="str">
        <f>IF(INDEX('CAMD Facility Data 2023'!$AE$2:$AG$10000,MATCH(Z2801,'CAMD Facility Data 2023'!$AE$2:$AE$10000,0),3)&gt;0,INDEX('CAMD Facility Data 2023'!$AE$2:$AG$10000,MATCH(Z2801,'CAMD Facility Data 2023'!$AE$2:$AE$10000,0),3),"")</f>
        <v/>
      </c>
      <c r="AD2801" s="20">
        <f t="shared" si="130"/>
        <v>1.2326228025373869</v>
      </c>
      <c r="AE2801" s="25">
        <f t="shared" si="131"/>
        <v>0.1076477290715373</v>
      </c>
    </row>
    <row r="2802" spans="1:31" x14ac:dyDescent="0.2">
      <c r="A2802" s="1" t="s">
        <v>3140</v>
      </c>
      <c r="B2802" s="1" t="s">
        <v>6381</v>
      </c>
      <c r="C2802" s="1">
        <v>55284</v>
      </c>
      <c r="D2802" s="1" t="s">
        <v>6398</v>
      </c>
      <c r="E2802" s="1" t="s">
        <v>6383</v>
      </c>
      <c r="F2802" s="1">
        <v>2023</v>
      </c>
      <c r="G2802" s="5">
        <v>1495</v>
      </c>
      <c r="H2802" s="5">
        <v>1197.3399999999999</v>
      </c>
      <c r="I2802" s="5">
        <v>23785.98</v>
      </c>
      <c r="K2802" s="5">
        <v>0.08</v>
      </c>
      <c r="L2802" s="5">
        <v>8.9999999999999998E-4</v>
      </c>
      <c r="M2802" s="5">
        <v>15774.609</v>
      </c>
      <c r="N2802" s="6">
        <v>5.8700000000000002E-2</v>
      </c>
      <c r="O2802" s="5">
        <v>14.653</v>
      </c>
      <c r="P2802" s="6">
        <v>0.1444</v>
      </c>
      <c r="Q2802" s="5">
        <v>265632.06900000002</v>
      </c>
      <c r="R2802" s="1" t="s">
        <v>44</v>
      </c>
      <c r="T2802" s="1" t="s">
        <v>93</v>
      </c>
      <c r="V2802" s="1" t="s">
        <v>95</v>
      </c>
      <c r="Y2802" s="1" t="s">
        <v>168</v>
      </c>
      <c r="Z2802" s="1" t="str">
        <f t="shared" si="129"/>
        <v>55284 GS10</v>
      </c>
      <c r="AA2802" s="3">
        <f>IF(INDEX('CAMD Facility Data 2023'!$AA$2:$AE$10000,MATCH(Z2802,'CAMD Facility Data 2023'!$AE$2:$AE$10000,0),1)&gt;0,INDEX('CAMD Facility Data 2023'!$AA$2:$AE$10000,MATCH(Z2802,'CAMD Facility Data 2023'!$AE$2:$AE$10000,0),1),"")</f>
        <v>37089</v>
      </c>
      <c r="AB2802" s="5">
        <f>IF(INDEX('CAMD Facility Data 2023'!$AC$2:$AE$10000,MATCH(Z2802,'CAMD Facility Data 2023'!$AE$2:$AE$10000,0),1)&gt;0,INDEX('CAMD Facility Data 2023'!$AC$2:$AE$10000,MATCH(Z2802,'CAMD Facility Data 2023'!$AE$2:$AE$10000,0),1),"")</f>
        <v>300</v>
      </c>
      <c r="AC2802" s="1" t="str">
        <f>IF(INDEX('CAMD Facility Data 2023'!$AE$2:$AG$10000,MATCH(Z2802,'CAMD Facility Data 2023'!$AE$2:$AE$10000,0),3)&gt;0,INDEX('CAMD Facility Data 2023'!$AE$2:$AG$10000,MATCH(Z2802,'CAMD Facility Data 2023'!$AE$2:$AE$10000,0),3),"")</f>
        <v/>
      </c>
      <c r="AD2802" s="20">
        <f t="shared" si="130"/>
        <v>1.2320703204156398</v>
      </c>
      <c r="AE2802" s="25">
        <f t="shared" si="131"/>
        <v>0.10107765182648402</v>
      </c>
    </row>
    <row r="2803" spans="1:31" x14ac:dyDescent="0.2">
      <c r="A2803" s="1" t="s">
        <v>3140</v>
      </c>
      <c r="B2803" s="1" t="s">
        <v>6381</v>
      </c>
      <c r="C2803" s="1">
        <v>55284</v>
      </c>
      <c r="D2803" s="1" t="s">
        <v>6399</v>
      </c>
      <c r="E2803" s="1" t="s">
        <v>6383</v>
      </c>
      <c r="F2803" s="1">
        <v>2023</v>
      </c>
      <c r="G2803" s="5">
        <v>1856</v>
      </c>
      <c r="H2803" s="5">
        <v>1491.02</v>
      </c>
      <c r="I2803" s="5">
        <v>27646.43</v>
      </c>
      <c r="K2803" s="5">
        <v>9.2999999999999999E-2</v>
      </c>
      <c r="L2803" s="5">
        <v>8.9999999999999998E-4</v>
      </c>
      <c r="M2803" s="5">
        <v>18346.814999999999</v>
      </c>
      <c r="N2803" s="6">
        <v>5.8500000000000003E-2</v>
      </c>
      <c r="O2803" s="5">
        <v>18.834</v>
      </c>
      <c r="P2803" s="6">
        <v>0.1653</v>
      </c>
      <c r="Q2803" s="5">
        <v>308948.924</v>
      </c>
      <c r="R2803" s="1" t="s">
        <v>44</v>
      </c>
      <c r="T2803" s="1" t="s">
        <v>93</v>
      </c>
      <c r="V2803" s="1" t="s">
        <v>95</v>
      </c>
      <c r="Y2803" s="1" t="s">
        <v>168</v>
      </c>
      <c r="Z2803" s="1" t="str">
        <f t="shared" si="129"/>
        <v>55284 GS11</v>
      </c>
      <c r="AA2803" s="3">
        <f>IF(INDEX('CAMD Facility Data 2023'!$AA$2:$AE$10000,MATCH(Z2803,'CAMD Facility Data 2023'!$AE$2:$AE$10000,0),1)&gt;0,INDEX('CAMD Facility Data 2023'!$AA$2:$AE$10000,MATCH(Z2803,'CAMD Facility Data 2023'!$AE$2:$AE$10000,0),1),"")</f>
        <v>37102</v>
      </c>
      <c r="AB2803" s="5">
        <f>IF(INDEX('CAMD Facility Data 2023'!$AC$2:$AE$10000,MATCH(Z2803,'CAMD Facility Data 2023'!$AE$2:$AE$10000,0),1)&gt;0,INDEX('CAMD Facility Data 2023'!$AC$2:$AE$10000,MATCH(Z2803,'CAMD Facility Data 2023'!$AE$2:$AE$10000,0),1),"")</f>
        <v>300</v>
      </c>
      <c r="AC2803" s="1" t="str">
        <f>IF(INDEX('CAMD Facility Data 2023'!$AE$2:$AG$10000,MATCH(Z2803,'CAMD Facility Data 2023'!$AE$2:$AE$10000,0),3)&gt;0,INDEX('CAMD Facility Data 2023'!$AE$2:$AG$10000,MATCH(Z2803,'CAMD Facility Data 2023'!$AE$2:$AE$10000,0),3),"")</f>
        <v/>
      </c>
      <c r="AD2803" s="20">
        <f t="shared" si="130"/>
        <v>1.3624905638811231</v>
      </c>
      <c r="AE2803" s="25">
        <f t="shared" si="131"/>
        <v>0.11756047336377473</v>
      </c>
    </row>
    <row r="2804" spans="1:31" x14ac:dyDescent="0.2">
      <c r="A2804" s="1" t="s">
        <v>3140</v>
      </c>
      <c r="B2804" s="1" t="s">
        <v>6381</v>
      </c>
      <c r="C2804" s="1">
        <v>55284</v>
      </c>
      <c r="D2804" s="1" t="s">
        <v>6401</v>
      </c>
      <c r="E2804" s="1" t="s">
        <v>6383</v>
      </c>
      <c r="F2804" s="1">
        <v>2023</v>
      </c>
      <c r="G2804" s="5">
        <v>1038</v>
      </c>
      <c r="H2804" s="5">
        <v>832.94</v>
      </c>
      <c r="I2804" s="5">
        <v>19116.669999999998</v>
      </c>
      <c r="K2804" s="5">
        <v>6.3E-2</v>
      </c>
      <c r="L2804" s="5">
        <v>8.9999999999999998E-4</v>
      </c>
      <c r="M2804" s="5">
        <v>12397.359</v>
      </c>
      <c r="N2804" s="6">
        <v>5.8700000000000002E-2</v>
      </c>
      <c r="O2804" s="5">
        <v>13.587</v>
      </c>
      <c r="P2804" s="6">
        <v>0.18590000000000001</v>
      </c>
      <c r="Q2804" s="5">
        <v>208833.861</v>
      </c>
      <c r="R2804" s="1" t="s">
        <v>44</v>
      </c>
      <c r="T2804" s="1" t="s">
        <v>93</v>
      </c>
      <c r="V2804" s="1" t="s">
        <v>95</v>
      </c>
      <c r="Y2804" s="1" t="s">
        <v>168</v>
      </c>
      <c r="Z2804" s="1" t="str">
        <f t="shared" si="129"/>
        <v>55284 GS12</v>
      </c>
      <c r="AA2804" s="3">
        <f>IF(INDEX('CAMD Facility Data 2023'!$AA$2:$AE$10000,MATCH(Z2804,'CAMD Facility Data 2023'!$AE$2:$AE$10000,0),1)&gt;0,INDEX('CAMD Facility Data 2023'!$AA$2:$AE$10000,MATCH(Z2804,'CAMD Facility Data 2023'!$AE$2:$AE$10000,0),1),"")</f>
        <v>37102</v>
      </c>
      <c r="AB2804" s="5">
        <f>IF(INDEX('CAMD Facility Data 2023'!$AC$2:$AE$10000,MATCH(Z2804,'CAMD Facility Data 2023'!$AE$2:$AE$10000,0),1)&gt;0,INDEX('CAMD Facility Data 2023'!$AC$2:$AE$10000,MATCH(Z2804,'CAMD Facility Data 2023'!$AE$2:$AE$10000,0),1),"")</f>
        <v>300</v>
      </c>
      <c r="AC2804" s="1" t="str">
        <f>IF(INDEX('CAMD Facility Data 2023'!$AE$2:$AG$10000,MATCH(Z2804,'CAMD Facility Data 2023'!$AE$2:$AE$10000,0),3)&gt;0,INDEX('CAMD Facility Data 2023'!$AE$2:$AG$10000,MATCH(Z2804,'CAMD Facility Data 2023'!$AE$2:$AE$10000,0),3),"")</f>
        <v/>
      </c>
      <c r="AD2804" s="20">
        <f t="shared" si="130"/>
        <v>1.4214818794277457</v>
      </c>
      <c r="AE2804" s="25">
        <f t="shared" si="131"/>
        <v>7.9464939497716894E-2</v>
      </c>
    </row>
    <row r="2805" spans="1:31" x14ac:dyDescent="0.2">
      <c r="A2805" s="1" t="s">
        <v>3095</v>
      </c>
      <c r="B2805" s="1" t="s">
        <v>6402</v>
      </c>
      <c r="C2805" s="1">
        <v>55285</v>
      </c>
      <c r="D2805" s="1" t="s">
        <v>6403</v>
      </c>
      <c r="E2805" s="1" t="s">
        <v>6383</v>
      </c>
      <c r="F2805" s="1">
        <v>2023</v>
      </c>
      <c r="G2805" s="5">
        <v>407</v>
      </c>
      <c r="H2805" s="5">
        <v>300.02</v>
      </c>
      <c r="I2805" s="5">
        <v>6807.87</v>
      </c>
      <c r="K2805" s="5">
        <v>2.1000000000000001E-2</v>
      </c>
      <c r="L2805" s="5">
        <v>8.9999999999999998E-4</v>
      </c>
      <c r="M2805" s="5">
        <v>4172.1390000000001</v>
      </c>
      <c r="N2805" s="6">
        <v>5.8299999999999998E-2</v>
      </c>
      <c r="O2805" s="5">
        <v>4.6840000000000002</v>
      </c>
      <c r="P2805" s="6">
        <v>0.2099</v>
      </c>
      <c r="Q2805" s="5">
        <v>70258.149999999994</v>
      </c>
      <c r="R2805" s="1" t="s">
        <v>44</v>
      </c>
      <c r="T2805" s="1" t="s">
        <v>93</v>
      </c>
      <c r="V2805" s="1" t="s">
        <v>95</v>
      </c>
      <c r="Y2805" s="1" t="s">
        <v>1515</v>
      </c>
      <c r="Z2805" s="1" t="str">
        <f t="shared" si="129"/>
        <v>55285 WH01</v>
      </c>
      <c r="AA2805" s="3">
        <f>IF(INDEX('CAMD Facility Data 2023'!$AA$2:$AE$10000,MATCH(Z2805,'CAMD Facility Data 2023'!$AE$2:$AE$10000,0),1)&gt;0,INDEX('CAMD Facility Data 2023'!$AA$2:$AE$10000,MATCH(Z2805,'CAMD Facility Data 2023'!$AE$2:$AE$10000,0),1),"")</f>
        <v>37054</v>
      </c>
      <c r="AB2805" s="5">
        <f>IF(INDEX('CAMD Facility Data 2023'!$AC$2:$AE$10000,MATCH(Z2805,'CAMD Facility Data 2023'!$AE$2:$AE$10000,0),1)&gt;0,INDEX('CAMD Facility Data 2023'!$AC$2:$AE$10000,MATCH(Z2805,'CAMD Facility Data 2023'!$AE$2:$AE$10000,0),1),"")</f>
        <v>300</v>
      </c>
      <c r="AC2805" s="1" t="str">
        <f>IF(INDEX('CAMD Facility Data 2023'!$AE$2:$AG$10000,MATCH(Z2805,'CAMD Facility Data 2023'!$AE$2:$AE$10000,0),3)&gt;0,INDEX('CAMD Facility Data 2023'!$AE$2:$AG$10000,MATCH(Z2805,'CAMD Facility Data 2023'!$AE$2:$AE$10000,0),3),"")</f>
        <v/>
      </c>
      <c r="AD2805" s="20">
        <f t="shared" si="130"/>
        <v>1.3760544781260513</v>
      </c>
      <c r="AE2805" s="25">
        <f t="shared" si="131"/>
        <v>2.6734455859969558E-2</v>
      </c>
    </row>
    <row r="2806" spans="1:31" x14ac:dyDescent="0.2">
      <c r="A2806" s="1" t="s">
        <v>3095</v>
      </c>
      <c r="B2806" s="1" t="s">
        <v>6402</v>
      </c>
      <c r="C2806" s="1">
        <v>55285</v>
      </c>
      <c r="D2806" s="1" t="s">
        <v>6407</v>
      </c>
      <c r="E2806" s="1" t="s">
        <v>6383</v>
      </c>
      <c r="F2806" s="1">
        <v>2023</v>
      </c>
      <c r="G2806" s="5">
        <v>120</v>
      </c>
      <c r="H2806" s="5">
        <v>72.14</v>
      </c>
      <c r="I2806" s="5">
        <v>1528.48</v>
      </c>
      <c r="K2806" s="5">
        <v>5.0000000000000001E-3</v>
      </c>
      <c r="L2806" s="5">
        <v>6.9999999999999999E-4</v>
      </c>
      <c r="M2806" s="5">
        <v>969.58399999999995</v>
      </c>
      <c r="N2806" s="6">
        <v>5.7299999999999997E-2</v>
      </c>
      <c r="O2806" s="5">
        <v>1.905</v>
      </c>
      <c r="P2806" s="6">
        <v>0.37459999999999999</v>
      </c>
      <c r="Q2806" s="5">
        <v>16357.686</v>
      </c>
      <c r="R2806" s="1" t="s">
        <v>44</v>
      </c>
      <c r="T2806" s="1" t="s">
        <v>93</v>
      </c>
      <c r="V2806" s="1" t="s">
        <v>95</v>
      </c>
      <c r="Y2806" s="1" t="s">
        <v>1515</v>
      </c>
      <c r="Z2806" s="1" t="str">
        <f t="shared" si="129"/>
        <v>55285 WH02</v>
      </c>
      <c r="AA2806" s="3">
        <f>IF(INDEX('CAMD Facility Data 2023'!$AA$2:$AE$10000,MATCH(Z2806,'CAMD Facility Data 2023'!$AE$2:$AE$10000,0),1)&gt;0,INDEX('CAMD Facility Data 2023'!$AA$2:$AE$10000,MATCH(Z2806,'CAMD Facility Data 2023'!$AE$2:$AE$10000,0),1),"")</f>
        <v>37054</v>
      </c>
      <c r="AB2806" s="5">
        <f>IF(INDEX('CAMD Facility Data 2023'!$AC$2:$AE$10000,MATCH(Z2806,'CAMD Facility Data 2023'!$AE$2:$AE$10000,0),1)&gt;0,INDEX('CAMD Facility Data 2023'!$AC$2:$AE$10000,MATCH(Z2806,'CAMD Facility Data 2023'!$AE$2:$AE$10000,0),1),"")</f>
        <v>300</v>
      </c>
      <c r="AC2806" s="1" t="str">
        <f>IF(INDEX('CAMD Facility Data 2023'!$AE$2:$AG$10000,MATCH(Z2806,'CAMD Facility Data 2023'!$AE$2:$AE$10000,0),3)&gt;0,INDEX('CAMD Facility Data 2023'!$AE$2:$AG$10000,MATCH(Z2806,'CAMD Facility Data 2023'!$AE$2:$AE$10000,0),3),"")</f>
        <v/>
      </c>
      <c r="AD2806" s="20">
        <f t="shared" si="130"/>
        <v>2.4926724589134301</v>
      </c>
      <c r="AE2806" s="25">
        <f t="shared" si="131"/>
        <v>6.2243858447488584E-3</v>
      </c>
    </row>
    <row r="2807" spans="1:31" x14ac:dyDescent="0.2">
      <c r="A2807" s="1" t="s">
        <v>3095</v>
      </c>
      <c r="B2807" s="1" t="s">
        <v>6402</v>
      </c>
      <c r="C2807" s="1">
        <v>55285</v>
      </c>
      <c r="D2807" s="1" t="s">
        <v>6408</v>
      </c>
      <c r="E2807" s="1" t="s">
        <v>6409</v>
      </c>
      <c r="F2807" s="1">
        <v>2023</v>
      </c>
      <c r="G2807" s="5">
        <v>692</v>
      </c>
      <c r="H2807" s="5">
        <v>555.72</v>
      </c>
      <c r="I2807" s="5">
        <v>12672.13</v>
      </c>
      <c r="K2807" s="5">
        <v>3.9E-2</v>
      </c>
      <c r="L2807" s="5">
        <v>8.9999999999999998E-4</v>
      </c>
      <c r="M2807" s="5">
        <v>7742.1009999999997</v>
      </c>
      <c r="N2807" s="6">
        <v>5.8700000000000002E-2</v>
      </c>
      <c r="O2807" s="5">
        <v>6.8819999999999997</v>
      </c>
      <c r="P2807" s="6">
        <v>0.16339999999999999</v>
      </c>
      <c r="Q2807" s="5">
        <v>130343.753</v>
      </c>
      <c r="R2807" s="1" t="s">
        <v>44</v>
      </c>
      <c r="T2807" s="1" t="s">
        <v>93</v>
      </c>
      <c r="V2807" s="1" t="s">
        <v>95</v>
      </c>
      <c r="Y2807" s="1" t="s">
        <v>1515</v>
      </c>
      <c r="Z2807" s="1" t="str">
        <f t="shared" si="129"/>
        <v>55285 WH03</v>
      </c>
      <c r="AA2807" s="3">
        <f>IF(INDEX('CAMD Facility Data 2023'!$AA$2:$AE$10000,MATCH(Z2807,'CAMD Facility Data 2023'!$AE$2:$AE$10000,0),1)&gt;0,INDEX('CAMD Facility Data 2023'!$AA$2:$AE$10000,MATCH(Z2807,'CAMD Facility Data 2023'!$AE$2:$AE$10000,0),1),"")</f>
        <v>37028</v>
      </c>
      <c r="AB2807" s="5">
        <f>IF(INDEX('CAMD Facility Data 2023'!$AC$2:$AE$10000,MATCH(Z2807,'CAMD Facility Data 2023'!$AE$2:$AE$10000,0),1)&gt;0,INDEX('CAMD Facility Data 2023'!$AC$2:$AE$10000,MATCH(Z2807,'CAMD Facility Data 2023'!$AE$2:$AE$10000,0),1),"")</f>
        <v>300</v>
      </c>
      <c r="AC2807" s="1" t="str">
        <f>IF(INDEX('CAMD Facility Data 2023'!$AE$2:$AG$10000,MATCH(Z2807,'CAMD Facility Data 2023'!$AE$2:$AE$10000,0),3)&gt;0,INDEX('CAMD Facility Data 2023'!$AE$2:$AG$10000,MATCH(Z2807,'CAMD Facility Data 2023'!$AE$2:$AE$10000,0),3),"")</f>
        <v/>
      </c>
      <c r="AD2807" s="20">
        <f t="shared" si="130"/>
        <v>1.0861630996525447</v>
      </c>
      <c r="AE2807" s="25">
        <f t="shared" si="131"/>
        <v>4.9598079528158291E-2</v>
      </c>
    </row>
    <row r="2808" spans="1:31" x14ac:dyDescent="0.2">
      <c r="A2808" s="1" t="s">
        <v>3095</v>
      </c>
      <c r="B2808" s="1" t="s">
        <v>6402</v>
      </c>
      <c r="C2808" s="1">
        <v>55285</v>
      </c>
      <c r="D2808" s="1" t="s">
        <v>6411</v>
      </c>
      <c r="E2808" s="1" t="s">
        <v>6409</v>
      </c>
      <c r="F2808" s="1">
        <v>2023</v>
      </c>
      <c r="G2808" s="5">
        <v>676</v>
      </c>
      <c r="H2808" s="5">
        <v>543.74</v>
      </c>
      <c r="I2808" s="5">
        <v>12707.84</v>
      </c>
      <c r="K2808" s="5">
        <v>3.9E-2</v>
      </c>
      <c r="L2808" s="5">
        <v>8.9999999999999998E-4</v>
      </c>
      <c r="M2808" s="5">
        <v>7744.1809999999996</v>
      </c>
      <c r="N2808" s="6">
        <v>5.8900000000000001E-2</v>
      </c>
      <c r="O2808" s="5">
        <v>5.8330000000000002</v>
      </c>
      <c r="P2808" s="6">
        <v>0.13919999999999999</v>
      </c>
      <c r="Q2808" s="5">
        <v>130353.13499999999</v>
      </c>
      <c r="R2808" s="1" t="s">
        <v>44</v>
      </c>
      <c r="T2808" s="1" t="s">
        <v>93</v>
      </c>
      <c r="V2808" s="1" t="s">
        <v>95</v>
      </c>
      <c r="Y2808" s="1" t="s">
        <v>1515</v>
      </c>
      <c r="Z2808" s="1" t="str">
        <f t="shared" si="129"/>
        <v>55285 WH04</v>
      </c>
      <c r="AA2808" s="3">
        <f>IF(INDEX('CAMD Facility Data 2023'!$AA$2:$AE$10000,MATCH(Z2808,'CAMD Facility Data 2023'!$AE$2:$AE$10000,0),1)&gt;0,INDEX('CAMD Facility Data 2023'!$AA$2:$AE$10000,MATCH(Z2808,'CAMD Facility Data 2023'!$AE$2:$AE$10000,0),1),"")</f>
        <v>37028</v>
      </c>
      <c r="AB2808" s="5">
        <f>IF(INDEX('CAMD Facility Data 2023'!$AC$2:$AE$10000,MATCH(Z2808,'CAMD Facility Data 2023'!$AE$2:$AE$10000,0),1)&gt;0,INDEX('CAMD Facility Data 2023'!$AC$2:$AE$10000,MATCH(Z2808,'CAMD Facility Data 2023'!$AE$2:$AE$10000,0),1),"")</f>
        <v>300</v>
      </c>
      <c r="AC2808" s="1" t="str">
        <f>IF(INDEX('CAMD Facility Data 2023'!$AE$2:$AG$10000,MATCH(Z2808,'CAMD Facility Data 2023'!$AE$2:$AE$10000,0),3)&gt;0,INDEX('CAMD Facility Data 2023'!$AE$2:$AG$10000,MATCH(Z2808,'CAMD Facility Data 2023'!$AE$2:$AE$10000,0),3),"")</f>
        <v/>
      </c>
      <c r="AD2808" s="20">
        <f t="shared" si="130"/>
        <v>0.91801596494762283</v>
      </c>
      <c r="AE2808" s="25">
        <f t="shared" si="131"/>
        <v>4.9601649543378992E-2</v>
      </c>
    </row>
    <row r="2809" spans="1:31" x14ac:dyDescent="0.2">
      <c r="A2809" s="1" t="s">
        <v>3095</v>
      </c>
      <c r="B2809" s="1" t="s">
        <v>6402</v>
      </c>
      <c r="C2809" s="1">
        <v>55285</v>
      </c>
      <c r="D2809" s="1" t="s">
        <v>6412</v>
      </c>
      <c r="E2809" s="1" t="s">
        <v>6413</v>
      </c>
      <c r="F2809" s="1">
        <v>2023</v>
      </c>
      <c r="G2809" s="5">
        <v>612</v>
      </c>
      <c r="H2809" s="5">
        <v>441.57</v>
      </c>
      <c r="I2809" s="5">
        <v>8675.93</v>
      </c>
      <c r="K2809" s="5">
        <v>2.8000000000000001E-2</v>
      </c>
      <c r="L2809" s="5">
        <v>8.9999999999999998E-4</v>
      </c>
      <c r="M2809" s="5">
        <v>5496.8710000000001</v>
      </c>
      <c r="N2809" s="6">
        <v>5.8799999999999998E-2</v>
      </c>
      <c r="O2809" s="5">
        <v>6.1059999999999999</v>
      </c>
      <c r="P2809" s="6">
        <v>0.2074</v>
      </c>
      <c r="Q2809" s="5">
        <v>92538.684999999998</v>
      </c>
      <c r="R2809" s="1" t="s">
        <v>44</v>
      </c>
      <c r="T2809" s="1" t="s">
        <v>93</v>
      </c>
      <c r="V2809" s="1" t="s">
        <v>95</v>
      </c>
      <c r="Y2809" s="1" t="s">
        <v>1515</v>
      </c>
      <c r="Z2809" s="1" t="str">
        <f t="shared" si="129"/>
        <v>55285 WH05</v>
      </c>
      <c r="AA2809" s="3">
        <f>IF(INDEX('CAMD Facility Data 2023'!$AA$2:$AE$10000,MATCH(Z2809,'CAMD Facility Data 2023'!$AE$2:$AE$10000,0),1)&gt;0,INDEX('CAMD Facility Data 2023'!$AA$2:$AE$10000,MATCH(Z2809,'CAMD Facility Data 2023'!$AE$2:$AE$10000,0),1),"")</f>
        <v>37023</v>
      </c>
      <c r="AB2809" s="5">
        <f>IF(INDEX('CAMD Facility Data 2023'!$AC$2:$AE$10000,MATCH(Z2809,'CAMD Facility Data 2023'!$AE$2:$AE$10000,0),1)&gt;0,INDEX('CAMD Facility Data 2023'!$AC$2:$AE$10000,MATCH(Z2809,'CAMD Facility Data 2023'!$AE$2:$AE$10000,0),1),"")</f>
        <v>300</v>
      </c>
      <c r="AC2809" s="1" t="str">
        <f>IF(INDEX('CAMD Facility Data 2023'!$AE$2:$AG$10000,MATCH(Z2809,'CAMD Facility Data 2023'!$AE$2:$AE$10000,0),3)&gt;0,INDEX('CAMD Facility Data 2023'!$AE$2:$AG$10000,MATCH(Z2809,'CAMD Facility Data 2023'!$AE$2:$AE$10000,0),3),"")</f>
        <v/>
      </c>
      <c r="AD2809" s="20">
        <f t="shared" si="130"/>
        <v>1.4075724446831637</v>
      </c>
      <c r="AE2809" s="25">
        <f t="shared" si="131"/>
        <v>3.5212589421613393E-2</v>
      </c>
    </row>
    <row r="2810" spans="1:31" x14ac:dyDescent="0.2">
      <c r="A2810" s="1" t="s">
        <v>3095</v>
      </c>
      <c r="B2810" s="1" t="s">
        <v>6402</v>
      </c>
      <c r="C2810" s="1">
        <v>55285</v>
      </c>
      <c r="D2810" s="1" t="s">
        <v>6415</v>
      </c>
      <c r="E2810" s="1" t="s">
        <v>6413</v>
      </c>
      <c r="F2810" s="1">
        <v>2023</v>
      </c>
      <c r="G2810" s="5">
        <v>603</v>
      </c>
      <c r="H2810" s="5">
        <v>439.87</v>
      </c>
      <c r="I2810" s="5">
        <v>8360.15</v>
      </c>
      <c r="K2810" s="5">
        <v>2.7E-2</v>
      </c>
      <c r="L2810" s="5">
        <v>8.9999999999999998E-4</v>
      </c>
      <c r="M2810" s="5">
        <v>5355.0439999999999</v>
      </c>
      <c r="N2810" s="6">
        <v>5.8900000000000001E-2</v>
      </c>
      <c r="O2810" s="5">
        <v>5.7210000000000001</v>
      </c>
      <c r="P2810" s="6">
        <v>0.19239999999999999</v>
      </c>
      <c r="Q2810" s="5">
        <v>90147.528000000006</v>
      </c>
      <c r="R2810" s="1" t="s">
        <v>44</v>
      </c>
      <c r="T2810" s="1" t="s">
        <v>93</v>
      </c>
      <c r="V2810" s="1" t="s">
        <v>95</v>
      </c>
      <c r="Y2810" s="1" t="s">
        <v>1515</v>
      </c>
      <c r="Z2810" s="1" t="str">
        <f t="shared" si="129"/>
        <v>55285 WH06</v>
      </c>
      <c r="AA2810" s="3">
        <f>IF(INDEX('CAMD Facility Data 2023'!$AA$2:$AE$10000,MATCH(Z2810,'CAMD Facility Data 2023'!$AE$2:$AE$10000,0),1)&gt;0,INDEX('CAMD Facility Data 2023'!$AA$2:$AE$10000,MATCH(Z2810,'CAMD Facility Data 2023'!$AE$2:$AE$10000,0),1),"")</f>
        <v>37023</v>
      </c>
      <c r="AB2810" s="5">
        <f>IF(INDEX('CAMD Facility Data 2023'!$AC$2:$AE$10000,MATCH(Z2810,'CAMD Facility Data 2023'!$AE$2:$AE$10000,0),1)&gt;0,INDEX('CAMD Facility Data 2023'!$AC$2:$AE$10000,MATCH(Z2810,'CAMD Facility Data 2023'!$AE$2:$AE$10000,0),1),"")</f>
        <v>300</v>
      </c>
      <c r="AC2810" s="1" t="str">
        <f>IF(INDEX('CAMD Facility Data 2023'!$AE$2:$AG$10000,MATCH(Z2810,'CAMD Facility Data 2023'!$AE$2:$AE$10000,0),3)&gt;0,INDEX('CAMD Facility Data 2023'!$AE$2:$AG$10000,MATCH(Z2810,'CAMD Facility Data 2023'!$AE$2:$AE$10000,0),3),"")</f>
        <v/>
      </c>
      <c r="AD2810" s="20">
        <f t="shared" si="130"/>
        <v>1.3686357302201515</v>
      </c>
      <c r="AE2810" s="25">
        <f t="shared" si="131"/>
        <v>3.4302712328767124E-2</v>
      </c>
    </row>
    <row r="2811" spans="1:31" x14ac:dyDescent="0.2">
      <c r="A2811" s="1" t="s">
        <v>3095</v>
      </c>
      <c r="B2811" s="1" t="s">
        <v>6402</v>
      </c>
      <c r="C2811" s="1">
        <v>55285</v>
      </c>
      <c r="D2811" s="1" t="s">
        <v>6416</v>
      </c>
      <c r="E2811" s="1" t="s">
        <v>6417</v>
      </c>
      <c r="F2811" s="1">
        <v>2023</v>
      </c>
      <c r="G2811" s="5">
        <v>649</v>
      </c>
      <c r="H2811" s="5">
        <v>462.31</v>
      </c>
      <c r="I2811" s="5">
        <v>9389.0400000000009</v>
      </c>
      <c r="K2811" s="5">
        <v>0.03</v>
      </c>
      <c r="L2811" s="5">
        <v>8.9999999999999998E-4</v>
      </c>
      <c r="M2811" s="5">
        <v>5964.3029999999999</v>
      </c>
      <c r="N2811" s="6">
        <v>5.8599999999999999E-2</v>
      </c>
      <c r="O2811" s="5">
        <v>6.0060000000000002</v>
      </c>
      <c r="P2811" s="6">
        <v>0.18279999999999999</v>
      </c>
      <c r="Q2811" s="5">
        <v>100420.95600000001</v>
      </c>
      <c r="R2811" s="1" t="s">
        <v>44</v>
      </c>
      <c r="T2811" s="1" t="s">
        <v>93</v>
      </c>
      <c r="V2811" s="1" t="s">
        <v>95</v>
      </c>
      <c r="Y2811" s="1" t="s">
        <v>1515</v>
      </c>
      <c r="Z2811" s="1" t="str">
        <f t="shared" si="129"/>
        <v>55285 WH07</v>
      </c>
      <c r="AA2811" s="3">
        <f>IF(INDEX('CAMD Facility Data 2023'!$AA$2:$AE$10000,MATCH(Z2811,'CAMD Facility Data 2023'!$AE$2:$AE$10000,0),1)&gt;0,INDEX('CAMD Facility Data 2023'!$AA$2:$AE$10000,MATCH(Z2811,'CAMD Facility Data 2023'!$AE$2:$AE$10000,0),1),"")</f>
        <v>37016</v>
      </c>
      <c r="AB2811" s="5">
        <f>IF(INDEX('CAMD Facility Data 2023'!$AC$2:$AE$10000,MATCH(Z2811,'CAMD Facility Data 2023'!$AE$2:$AE$10000,0),1)&gt;0,INDEX('CAMD Facility Data 2023'!$AC$2:$AE$10000,MATCH(Z2811,'CAMD Facility Data 2023'!$AE$2:$AE$10000,0),1),"")</f>
        <v>300</v>
      </c>
      <c r="AC2811" s="1" t="str">
        <f>IF(INDEX('CAMD Facility Data 2023'!$AE$2:$AG$10000,MATCH(Z2811,'CAMD Facility Data 2023'!$AE$2:$AE$10000,0),3)&gt;0,INDEX('CAMD Facility Data 2023'!$AE$2:$AG$10000,MATCH(Z2811,'CAMD Facility Data 2023'!$AE$2:$AE$10000,0),3),"")</f>
        <v/>
      </c>
      <c r="AD2811" s="20">
        <f t="shared" si="130"/>
        <v>1.279364024437003</v>
      </c>
      <c r="AE2811" s="25">
        <f t="shared" si="131"/>
        <v>3.8211931506849317E-2</v>
      </c>
    </row>
    <row r="2812" spans="1:31" x14ac:dyDescent="0.2">
      <c r="A2812" s="1" t="s">
        <v>3095</v>
      </c>
      <c r="B2812" s="1" t="s">
        <v>6402</v>
      </c>
      <c r="C2812" s="1">
        <v>55285</v>
      </c>
      <c r="D2812" s="1" t="s">
        <v>6419</v>
      </c>
      <c r="E2812" s="1" t="s">
        <v>6417</v>
      </c>
      <c r="F2812" s="1">
        <v>2023</v>
      </c>
      <c r="G2812" s="5">
        <v>628</v>
      </c>
      <c r="H2812" s="5">
        <v>455.93</v>
      </c>
      <c r="I2812" s="5">
        <v>8209.7199999999993</v>
      </c>
      <c r="K2812" s="5">
        <v>2.7E-2</v>
      </c>
      <c r="L2812" s="5">
        <v>8.9999999999999998E-4</v>
      </c>
      <c r="M2812" s="5">
        <v>5242.2659999999996</v>
      </c>
      <c r="N2812" s="6">
        <v>5.8799999999999998E-2</v>
      </c>
      <c r="O2812" s="5">
        <v>5.1379999999999999</v>
      </c>
      <c r="P2812" s="6">
        <v>0.1754</v>
      </c>
      <c r="Q2812" s="5">
        <v>88256.02</v>
      </c>
      <c r="R2812" s="1" t="s">
        <v>44</v>
      </c>
      <c r="T2812" s="1" t="s">
        <v>93</v>
      </c>
      <c r="V2812" s="1" t="s">
        <v>95</v>
      </c>
      <c r="Y2812" s="1" t="s">
        <v>1515</v>
      </c>
      <c r="Z2812" s="1" t="str">
        <f t="shared" si="129"/>
        <v>55285 WH08</v>
      </c>
      <c r="AA2812" s="3">
        <f>IF(INDEX('CAMD Facility Data 2023'!$AA$2:$AE$10000,MATCH(Z2812,'CAMD Facility Data 2023'!$AE$2:$AE$10000,0),1)&gt;0,INDEX('CAMD Facility Data 2023'!$AA$2:$AE$10000,MATCH(Z2812,'CAMD Facility Data 2023'!$AE$2:$AE$10000,0),1),"")</f>
        <v>37016</v>
      </c>
      <c r="AB2812" s="5">
        <f>IF(INDEX('CAMD Facility Data 2023'!$AC$2:$AE$10000,MATCH(Z2812,'CAMD Facility Data 2023'!$AE$2:$AE$10000,0),1)&gt;0,INDEX('CAMD Facility Data 2023'!$AC$2:$AE$10000,MATCH(Z2812,'CAMD Facility Data 2023'!$AE$2:$AE$10000,0),1),"")</f>
        <v>300</v>
      </c>
      <c r="AC2812" s="1" t="str">
        <f>IF(INDEX('CAMD Facility Data 2023'!$AE$2:$AG$10000,MATCH(Z2812,'CAMD Facility Data 2023'!$AE$2:$AE$10000,0),3)&gt;0,INDEX('CAMD Facility Data 2023'!$AE$2:$AG$10000,MATCH(Z2812,'CAMD Facility Data 2023'!$AE$2:$AE$10000,0),3),"")</f>
        <v/>
      </c>
      <c r="AD2812" s="20">
        <f t="shared" si="130"/>
        <v>1.251687024648831</v>
      </c>
      <c r="AE2812" s="25">
        <f t="shared" si="131"/>
        <v>3.3582960426179607E-2</v>
      </c>
    </row>
    <row r="2813" spans="1:31" x14ac:dyDescent="0.2">
      <c r="A2813" s="1" t="s">
        <v>3095</v>
      </c>
      <c r="B2813" s="1" t="s">
        <v>6402</v>
      </c>
      <c r="C2813" s="1">
        <v>55285</v>
      </c>
      <c r="D2813" s="1" t="s">
        <v>6420</v>
      </c>
      <c r="E2813" s="1" t="s">
        <v>6421</v>
      </c>
      <c r="F2813" s="1">
        <v>2023</v>
      </c>
      <c r="G2813" s="5">
        <v>588</v>
      </c>
      <c r="H2813" s="5">
        <v>425.75</v>
      </c>
      <c r="I2813" s="5">
        <v>8182.44</v>
      </c>
      <c r="K2813" s="5">
        <v>2.7E-2</v>
      </c>
      <c r="L2813" s="5">
        <v>8.9999999999999998E-4</v>
      </c>
      <c r="M2813" s="5">
        <v>5184.4939999999997</v>
      </c>
      <c r="N2813" s="6">
        <v>5.8400000000000001E-2</v>
      </c>
      <c r="O2813" s="5">
        <v>6.9690000000000003</v>
      </c>
      <c r="P2813" s="6">
        <v>0.2059</v>
      </c>
      <c r="Q2813" s="5">
        <v>87287.947</v>
      </c>
      <c r="R2813" s="1" t="s">
        <v>44</v>
      </c>
      <c r="T2813" s="1" t="s">
        <v>93</v>
      </c>
      <c r="V2813" s="1" t="s">
        <v>95</v>
      </c>
      <c r="Y2813" s="1" t="s">
        <v>1515</v>
      </c>
      <c r="Z2813" s="1" t="str">
        <f t="shared" si="129"/>
        <v>55285 WH09</v>
      </c>
      <c r="AA2813" s="3">
        <f>IF(INDEX('CAMD Facility Data 2023'!$AA$2:$AE$10000,MATCH(Z2813,'CAMD Facility Data 2023'!$AE$2:$AE$10000,0),1)&gt;0,INDEX('CAMD Facility Data 2023'!$AA$2:$AE$10000,MATCH(Z2813,'CAMD Facility Data 2023'!$AE$2:$AE$10000,0),1),"")</f>
        <v>37013</v>
      </c>
      <c r="AB2813" s="5">
        <f>IF(INDEX('CAMD Facility Data 2023'!$AC$2:$AE$10000,MATCH(Z2813,'CAMD Facility Data 2023'!$AE$2:$AE$10000,0),1)&gt;0,INDEX('CAMD Facility Data 2023'!$AC$2:$AE$10000,MATCH(Z2813,'CAMD Facility Data 2023'!$AE$2:$AE$10000,0),1),"")</f>
        <v>300</v>
      </c>
      <c r="AC2813" s="1" t="str">
        <f>IF(INDEX('CAMD Facility Data 2023'!$AE$2:$AG$10000,MATCH(Z2813,'CAMD Facility Data 2023'!$AE$2:$AE$10000,0),3)&gt;0,INDEX('CAMD Facility Data 2023'!$AE$2:$AG$10000,MATCH(Z2813,'CAMD Facility Data 2023'!$AE$2:$AE$10000,0),3),"")</f>
        <v/>
      </c>
      <c r="AD2813" s="20">
        <f t="shared" si="130"/>
        <v>1.7034038746388609</v>
      </c>
      <c r="AE2813" s="25">
        <f t="shared" si="131"/>
        <v>3.3214591704718417E-2</v>
      </c>
    </row>
    <row r="2814" spans="1:31" x14ac:dyDescent="0.2">
      <c r="A2814" s="1" t="s">
        <v>3095</v>
      </c>
      <c r="B2814" s="1" t="s">
        <v>6402</v>
      </c>
      <c r="C2814" s="1">
        <v>55285</v>
      </c>
      <c r="D2814" s="1" t="s">
        <v>6423</v>
      </c>
      <c r="E2814" s="1" t="s">
        <v>6421</v>
      </c>
      <c r="F2814" s="1">
        <v>2023</v>
      </c>
      <c r="G2814" s="5">
        <v>337</v>
      </c>
      <c r="H2814" s="5">
        <v>240.49</v>
      </c>
      <c r="I2814" s="5">
        <v>3624.37</v>
      </c>
      <c r="K2814" s="5">
        <v>1.2999999999999999E-2</v>
      </c>
      <c r="L2814" s="5">
        <v>8.9999999999999998E-4</v>
      </c>
      <c r="M2814" s="5">
        <v>2474.1460000000002</v>
      </c>
      <c r="N2814" s="6">
        <v>5.7000000000000002E-2</v>
      </c>
      <c r="O2814" s="5">
        <v>3.6440000000000001</v>
      </c>
      <c r="P2814" s="6">
        <v>0.2505</v>
      </c>
      <c r="Q2814" s="5">
        <v>41690.625</v>
      </c>
      <c r="R2814" s="1" t="s">
        <v>44</v>
      </c>
      <c r="T2814" s="1" t="s">
        <v>93</v>
      </c>
      <c r="V2814" s="1" t="s">
        <v>95</v>
      </c>
      <c r="Y2814" s="1" t="s">
        <v>1515</v>
      </c>
      <c r="Z2814" s="1" t="str">
        <f t="shared" si="129"/>
        <v>55285 WH10</v>
      </c>
      <c r="AA2814" s="3">
        <f>IF(INDEX('CAMD Facility Data 2023'!$AA$2:$AE$10000,MATCH(Z2814,'CAMD Facility Data 2023'!$AE$2:$AE$10000,0),1)&gt;0,INDEX('CAMD Facility Data 2023'!$AA$2:$AE$10000,MATCH(Z2814,'CAMD Facility Data 2023'!$AE$2:$AE$10000,0),1),"")</f>
        <v>37013</v>
      </c>
      <c r="AB2814" s="5">
        <f>IF(INDEX('CAMD Facility Data 2023'!$AC$2:$AE$10000,MATCH(Z2814,'CAMD Facility Data 2023'!$AE$2:$AE$10000,0),1)&gt;0,INDEX('CAMD Facility Data 2023'!$AC$2:$AE$10000,MATCH(Z2814,'CAMD Facility Data 2023'!$AE$2:$AE$10000,0),1),"")</f>
        <v>300</v>
      </c>
      <c r="AC2814" s="1" t="str">
        <f>IF(INDEX('CAMD Facility Data 2023'!$AE$2:$AG$10000,MATCH(Z2814,'CAMD Facility Data 2023'!$AE$2:$AE$10000,0),3)&gt;0,INDEX('CAMD Facility Data 2023'!$AE$2:$AG$10000,MATCH(Z2814,'CAMD Facility Data 2023'!$AE$2:$AE$10000,0),3),"")</f>
        <v/>
      </c>
      <c r="AD2814" s="20">
        <f t="shared" si="130"/>
        <v>2.0108322273940025</v>
      </c>
      <c r="AE2814" s="25">
        <f t="shared" si="131"/>
        <v>1.5864012557077624E-2</v>
      </c>
    </row>
    <row r="2815" spans="1:31" x14ac:dyDescent="0.2">
      <c r="A2815" s="1" t="s">
        <v>304</v>
      </c>
      <c r="B2815" s="1" t="s">
        <v>6424</v>
      </c>
      <c r="C2815" s="1">
        <v>55286</v>
      </c>
      <c r="D2815" s="1" t="s">
        <v>6425</v>
      </c>
      <c r="F2815" s="1">
        <v>2023</v>
      </c>
      <c r="G2815" s="5">
        <v>746</v>
      </c>
      <c r="H2815" s="5">
        <v>686.28</v>
      </c>
      <c r="I2815" s="5">
        <v>103868.24</v>
      </c>
      <c r="K2815" s="5">
        <v>0.32</v>
      </c>
      <c r="L2815" s="5">
        <v>1E-3</v>
      </c>
      <c r="M2815" s="5">
        <v>63342.822999999997</v>
      </c>
      <c r="N2815" s="6">
        <v>5.8999999999999997E-2</v>
      </c>
      <c r="O2815" s="5">
        <v>13.973000000000001</v>
      </c>
      <c r="P2815" s="6">
        <v>2.63E-2</v>
      </c>
      <c r="Q2815" s="5">
        <v>1065891.2069999999</v>
      </c>
      <c r="R2815" s="1" t="s">
        <v>44</v>
      </c>
      <c r="T2815" s="1" t="s">
        <v>93</v>
      </c>
      <c r="V2815" s="1" t="s">
        <v>183</v>
      </c>
      <c r="Y2815" s="1" t="s">
        <v>247</v>
      </c>
      <c r="Z2815" s="1" t="str">
        <f t="shared" si="129"/>
        <v>55286 O-1</v>
      </c>
      <c r="AA2815" s="3">
        <f>IF(INDEX('CAMD Facility Data 2023'!$AA$2:$AE$10000,MATCH(Z2815,'CAMD Facility Data 2023'!$AE$2:$AE$10000,0),1)&gt;0,INDEX('CAMD Facility Data 2023'!$AA$2:$AE$10000,MATCH(Z2815,'CAMD Facility Data 2023'!$AE$2:$AE$10000,0),1),"")</f>
        <v>37408</v>
      </c>
      <c r="AB2815" s="5">
        <f>IF(INDEX('CAMD Facility Data 2023'!$AC$2:$AE$10000,MATCH(Z2815,'CAMD Facility Data 2023'!$AE$2:$AE$10000,0),1)&gt;0,INDEX('CAMD Facility Data 2023'!$AC$2:$AE$10000,MATCH(Z2815,'CAMD Facility Data 2023'!$AE$2:$AE$10000,0),1),"")</f>
        <v>1919</v>
      </c>
      <c r="AC2815" s="1" t="str">
        <f>IF(INDEX('CAMD Facility Data 2023'!$AE$2:$AG$10000,MATCH(Z2815,'CAMD Facility Data 2023'!$AE$2:$AE$10000,0),3)&gt;0,INDEX('CAMD Facility Data 2023'!$AE$2:$AG$10000,MATCH(Z2815,'CAMD Facility Data 2023'!$AE$2:$AE$10000,0),3),"")</f>
        <v/>
      </c>
      <c r="AD2815" s="20">
        <f t="shared" si="130"/>
        <v>0.26905240716507761</v>
      </c>
      <c r="AE2815" s="25">
        <f t="shared" si="131"/>
        <v>6.3406502566262388E-2</v>
      </c>
    </row>
    <row r="2816" spans="1:31" x14ac:dyDescent="0.2">
      <c r="A2816" s="1" t="s">
        <v>304</v>
      </c>
      <c r="B2816" s="1" t="s">
        <v>6424</v>
      </c>
      <c r="C2816" s="1">
        <v>55286</v>
      </c>
      <c r="D2816" s="1" t="s">
        <v>6428</v>
      </c>
      <c r="F2816" s="1">
        <v>2023</v>
      </c>
      <c r="G2816" s="5">
        <v>851</v>
      </c>
      <c r="H2816" s="5">
        <v>752.95</v>
      </c>
      <c r="I2816" s="5">
        <v>112247.46</v>
      </c>
      <c r="K2816" s="5">
        <v>6.1559999999999997</v>
      </c>
      <c r="L2816" s="5">
        <v>1.3299999999999999E-2</v>
      </c>
      <c r="M2816" s="5">
        <v>68803.410999999993</v>
      </c>
      <c r="N2816" s="6">
        <v>5.9299999999999999E-2</v>
      </c>
      <c r="O2816" s="5">
        <v>17.655999999999999</v>
      </c>
      <c r="P2816" s="6">
        <v>3.0599999999999999E-2</v>
      </c>
      <c r="Q2816" s="5">
        <v>1153481.507</v>
      </c>
      <c r="R2816" s="1" t="s">
        <v>44</v>
      </c>
      <c r="S2816" s="1" t="s">
        <v>94</v>
      </c>
      <c r="T2816" s="1" t="s">
        <v>93</v>
      </c>
      <c r="V2816" s="1" t="s">
        <v>183</v>
      </c>
      <c r="Y2816" s="1" t="s">
        <v>247</v>
      </c>
      <c r="Z2816" s="1" t="str">
        <f t="shared" si="129"/>
        <v>55286 O-2</v>
      </c>
      <c r="AA2816" s="3">
        <f>IF(INDEX('CAMD Facility Data 2023'!$AA$2:$AE$10000,MATCH(Z2816,'CAMD Facility Data 2023'!$AE$2:$AE$10000,0),1)&gt;0,INDEX('CAMD Facility Data 2023'!$AA$2:$AE$10000,MATCH(Z2816,'CAMD Facility Data 2023'!$AE$2:$AE$10000,0),1),"")</f>
        <v>37422</v>
      </c>
      <c r="AB2816" s="5">
        <f>IF(INDEX('CAMD Facility Data 2023'!$AC$2:$AE$10000,MATCH(Z2816,'CAMD Facility Data 2023'!$AE$2:$AE$10000,0),1)&gt;0,INDEX('CAMD Facility Data 2023'!$AC$2:$AE$10000,MATCH(Z2816,'CAMD Facility Data 2023'!$AE$2:$AE$10000,0),1),"")</f>
        <v>1919</v>
      </c>
      <c r="AC2816" s="1" t="str">
        <f>IF(INDEX('CAMD Facility Data 2023'!$AE$2:$AG$10000,MATCH(Z2816,'CAMD Facility Data 2023'!$AE$2:$AE$10000,0),3)&gt;0,INDEX('CAMD Facility Data 2023'!$AE$2:$AG$10000,MATCH(Z2816,'CAMD Facility Data 2023'!$AE$2:$AE$10000,0),3),"")</f>
        <v/>
      </c>
      <c r="AD2816" s="20">
        <f t="shared" si="130"/>
        <v>0.31459063750752131</v>
      </c>
      <c r="AE2816" s="25">
        <f t="shared" si="131"/>
        <v>6.8616972964419723E-2</v>
      </c>
    </row>
    <row r="2817" spans="1:31" x14ac:dyDescent="0.2">
      <c r="A2817" s="1" t="s">
        <v>304</v>
      </c>
      <c r="B2817" s="1" t="s">
        <v>6424</v>
      </c>
      <c r="C2817" s="1">
        <v>55286</v>
      </c>
      <c r="D2817" s="1" t="s">
        <v>6430</v>
      </c>
      <c r="F2817" s="1">
        <v>2023</v>
      </c>
      <c r="G2817" s="5">
        <v>463</v>
      </c>
      <c r="H2817" s="5">
        <v>411.59</v>
      </c>
      <c r="I2817" s="5">
        <v>60325.19</v>
      </c>
      <c r="K2817" s="5">
        <v>0.376</v>
      </c>
      <c r="L2817" s="5">
        <v>3.3E-3</v>
      </c>
      <c r="M2817" s="5">
        <v>37525.576000000001</v>
      </c>
      <c r="N2817" s="6">
        <v>5.91E-2</v>
      </c>
      <c r="O2817" s="5">
        <v>9.157</v>
      </c>
      <c r="P2817" s="6">
        <v>3.2800000000000003E-2</v>
      </c>
      <c r="Q2817" s="5">
        <v>631312.31700000004</v>
      </c>
      <c r="R2817" s="1" t="s">
        <v>44</v>
      </c>
      <c r="T2817" s="1" t="s">
        <v>93</v>
      </c>
      <c r="V2817" s="1" t="s">
        <v>183</v>
      </c>
      <c r="Y2817" s="1" t="s">
        <v>247</v>
      </c>
      <c r="Z2817" s="1" t="str">
        <f t="shared" si="129"/>
        <v>55286 O-3</v>
      </c>
      <c r="AA2817" s="3">
        <f>IF(INDEX('CAMD Facility Data 2023'!$AA$2:$AE$10000,MATCH(Z2817,'CAMD Facility Data 2023'!$AE$2:$AE$10000,0),1)&gt;0,INDEX('CAMD Facility Data 2023'!$AA$2:$AE$10000,MATCH(Z2817,'CAMD Facility Data 2023'!$AE$2:$AE$10000,0),1),"")</f>
        <v>37457</v>
      </c>
      <c r="AB2817" s="5">
        <f>IF(INDEX('CAMD Facility Data 2023'!$AC$2:$AE$10000,MATCH(Z2817,'CAMD Facility Data 2023'!$AE$2:$AE$10000,0),1)&gt;0,INDEX('CAMD Facility Data 2023'!$AC$2:$AE$10000,MATCH(Z2817,'CAMD Facility Data 2023'!$AE$2:$AE$10000,0),1),"")</f>
        <v>1919</v>
      </c>
      <c r="AC2817" s="1" t="str">
        <f>IF(INDEX('CAMD Facility Data 2023'!$AE$2:$AG$10000,MATCH(Z2817,'CAMD Facility Data 2023'!$AE$2:$AE$10000,0),3)&gt;0,INDEX('CAMD Facility Data 2023'!$AE$2:$AG$10000,MATCH(Z2817,'CAMD Facility Data 2023'!$AE$2:$AE$10000,0),3),"")</f>
        <v/>
      </c>
      <c r="AD2817" s="20">
        <f t="shared" si="130"/>
        <v>0.30358793731109673</v>
      </c>
      <c r="AE2817" s="25">
        <f t="shared" si="131"/>
        <v>3.7554776496034607E-2</v>
      </c>
    </row>
    <row r="2818" spans="1:31" x14ac:dyDescent="0.2">
      <c r="A2818" s="1" t="s">
        <v>304</v>
      </c>
      <c r="B2818" s="1" t="s">
        <v>6424</v>
      </c>
      <c r="C2818" s="1">
        <v>55286</v>
      </c>
      <c r="D2818" s="1" t="s">
        <v>6432</v>
      </c>
      <c r="F2818" s="1">
        <v>2023</v>
      </c>
      <c r="G2818" s="5">
        <v>531</v>
      </c>
      <c r="H2818" s="5">
        <v>478.27</v>
      </c>
      <c r="I2818" s="5">
        <v>72102.95</v>
      </c>
      <c r="K2818" s="5">
        <v>0.47099999999999997</v>
      </c>
      <c r="L2818" s="5">
        <v>3.8999999999999998E-3</v>
      </c>
      <c r="M2818" s="5">
        <v>44090.629000000001</v>
      </c>
      <c r="N2818" s="6">
        <v>5.91E-2</v>
      </c>
      <c r="O2818" s="5">
        <v>10.29</v>
      </c>
      <c r="P2818" s="6">
        <v>3.3000000000000002E-2</v>
      </c>
      <c r="Q2818" s="5">
        <v>741730.58299999998</v>
      </c>
      <c r="R2818" s="1" t="s">
        <v>44</v>
      </c>
      <c r="T2818" s="1" t="s">
        <v>93</v>
      </c>
      <c r="V2818" s="1" t="s">
        <v>183</v>
      </c>
      <c r="Y2818" s="1" t="s">
        <v>247</v>
      </c>
      <c r="Z2818" s="1" t="str">
        <f t="shared" si="129"/>
        <v>55286 O-4</v>
      </c>
      <c r="AA2818" s="3">
        <f>IF(INDEX('CAMD Facility Data 2023'!$AA$2:$AE$10000,MATCH(Z2818,'CAMD Facility Data 2023'!$AE$2:$AE$10000,0),1)&gt;0,INDEX('CAMD Facility Data 2023'!$AA$2:$AE$10000,MATCH(Z2818,'CAMD Facility Data 2023'!$AE$2:$AE$10000,0),1),"")</f>
        <v>37491</v>
      </c>
      <c r="AB2818" s="5">
        <f>IF(INDEX('CAMD Facility Data 2023'!$AC$2:$AE$10000,MATCH(Z2818,'CAMD Facility Data 2023'!$AE$2:$AE$10000,0),1)&gt;0,INDEX('CAMD Facility Data 2023'!$AC$2:$AE$10000,MATCH(Z2818,'CAMD Facility Data 2023'!$AE$2:$AE$10000,0),1),"")</f>
        <v>1919</v>
      </c>
      <c r="AC2818" s="1" t="str">
        <f>IF(INDEX('CAMD Facility Data 2023'!$AE$2:$AG$10000,MATCH(Z2818,'CAMD Facility Data 2023'!$AE$2:$AE$10000,0),3)&gt;0,INDEX('CAMD Facility Data 2023'!$AE$2:$AG$10000,MATCH(Z2818,'CAMD Facility Data 2023'!$AE$2:$AE$10000,0),3),"")</f>
        <v/>
      </c>
      <c r="AD2818" s="20">
        <f t="shared" si="130"/>
        <v>0.28542521491839101</v>
      </c>
      <c r="AE2818" s="25">
        <f t="shared" si="131"/>
        <v>4.4123210516797892E-2</v>
      </c>
    </row>
    <row r="2819" spans="1:31" x14ac:dyDescent="0.2">
      <c r="A2819" s="1" t="s">
        <v>304</v>
      </c>
      <c r="B2819" s="1" t="s">
        <v>6424</v>
      </c>
      <c r="C2819" s="1">
        <v>55286</v>
      </c>
      <c r="D2819" s="1" t="s">
        <v>6434</v>
      </c>
      <c r="F2819" s="1">
        <v>2023</v>
      </c>
      <c r="G2819" s="5">
        <v>343</v>
      </c>
      <c r="H2819" s="5">
        <v>300.86</v>
      </c>
      <c r="I2819" s="5">
        <v>38421.760000000002</v>
      </c>
      <c r="K2819" s="5">
        <v>0.124</v>
      </c>
      <c r="L2819" s="5">
        <v>1E-3</v>
      </c>
      <c r="M2819" s="5">
        <v>24639.785</v>
      </c>
      <c r="N2819" s="6">
        <v>5.8999999999999997E-2</v>
      </c>
      <c r="O2819" s="5">
        <v>5.5970000000000004</v>
      </c>
      <c r="P2819" s="6">
        <v>2.7E-2</v>
      </c>
      <c r="Q2819" s="5">
        <v>414614.53</v>
      </c>
      <c r="R2819" s="1" t="s">
        <v>44</v>
      </c>
      <c r="T2819" s="1" t="s">
        <v>93</v>
      </c>
      <c r="V2819" s="1" t="s">
        <v>183</v>
      </c>
      <c r="Y2819" s="1" t="s">
        <v>247</v>
      </c>
      <c r="Z2819" s="1" t="str">
        <f t="shared" ref="Z2819:Z2882" si="132">C2819&amp;" "&amp;D2819</f>
        <v>55286 O-5</v>
      </c>
      <c r="AA2819" s="3">
        <f>IF(INDEX('CAMD Facility Data 2023'!$AA$2:$AE$10000,MATCH(Z2819,'CAMD Facility Data 2023'!$AE$2:$AE$10000,0),1)&gt;0,INDEX('CAMD Facility Data 2023'!$AA$2:$AE$10000,MATCH(Z2819,'CAMD Facility Data 2023'!$AE$2:$AE$10000,0),1),"")</f>
        <v>39432</v>
      </c>
      <c r="AB2819" s="5">
        <f>IF(INDEX('CAMD Facility Data 2023'!$AC$2:$AE$10000,MATCH(Z2819,'CAMD Facility Data 2023'!$AE$2:$AE$10000,0),1)&gt;0,INDEX('CAMD Facility Data 2023'!$AC$2:$AE$10000,MATCH(Z2819,'CAMD Facility Data 2023'!$AE$2:$AE$10000,0),1),"")</f>
        <v>1920</v>
      </c>
      <c r="AC2819" s="1" t="str">
        <f>IF(INDEX('CAMD Facility Data 2023'!$AE$2:$AG$10000,MATCH(Z2819,'CAMD Facility Data 2023'!$AE$2:$AE$10000,0),3)&gt;0,INDEX('CAMD Facility Data 2023'!$AE$2:$AG$10000,MATCH(Z2819,'CAMD Facility Data 2023'!$AE$2:$AE$10000,0),3),"")</f>
        <v/>
      </c>
      <c r="AD2819" s="20">
        <f t="shared" ref="AD2819:AD2882" si="133">IF(ISNUMBER(O2819*2000/I2819),O2819*2000/I2819,"")</f>
        <v>0.29134532098477528</v>
      </c>
      <c r="AE2819" s="25">
        <f t="shared" ref="AE2819:AE2882" si="134">Q2819/(AB2819*8760)</f>
        <v>2.4651263437024354E-2</v>
      </c>
    </row>
    <row r="2820" spans="1:31" x14ac:dyDescent="0.2">
      <c r="A2820" s="1" t="s">
        <v>32</v>
      </c>
      <c r="B2820" s="1" t="s">
        <v>6436</v>
      </c>
      <c r="C2820" s="1">
        <v>55292</v>
      </c>
      <c r="D2820" s="1" t="s">
        <v>5681</v>
      </c>
      <c r="F2820" s="1">
        <v>2023</v>
      </c>
      <c r="G2820" s="5">
        <v>3649</v>
      </c>
      <c r="H2820" s="5">
        <v>3577.24</v>
      </c>
      <c r="I2820" s="5">
        <v>706726.49</v>
      </c>
      <c r="K2820" s="5">
        <v>1.4890000000000001</v>
      </c>
      <c r="L2820" s="5">
        <v>1E-3</v>
      </c>
      <c r="M2820" s="5">
        <v>295024.21899999998</v>
      </c>
      <c r="N2820" s="6">
        <v>5.8999999999999997E-2</v>
      </c>
      <c r="O2820" s="5">
        <v>20.949000000000002</v>
      </c>
      <c r="P2820" s="6">
        <v>9.7000000000000003E-3</v>
      </c>
      <c r="Q2820" s="5">
        <v>4964361.5640000002</v>
      </c>
      <c r="R2820" s="1" t="s">
        <v>44</v>
      </c>
      <c r="T2820" s="1" t="s">
        <v>71</v>
      </c>
      <c r="V2820" s="1" t="s">
        <v>64</v>
      </c>
      <c r="Y2820" s="1" t="s">
        <v>35</v>
      </c>
      <c r="Z2820" s="1" t="str">
        <f t="shared" si="132"/>
        <v>55292 CTG-1</v>
      </c>
      <c r="AA2820" s="3">
        <f>IF(INDEX('CAMD Facility Data 2023'!$AA$2:$AE$10000,MATCH(Z2820,'CAMD Facility Data 2023'!$AE$2:$AE$10000,0),1)&gt;0,INDEX('CAMD Facility Data 2023'!$AA$2:$AE$10000,MATCH(Z2820,'CAMD Facility Data 2023'!$AE$2:$AE$10000,0),1),"")</f>
        <v>37343</v>
      </c>
      <c r="AB2820" s="5">
        <f>IF(INDEX('CAMD Facility Data 2023'!$AC$2:$AE$10000,MATCH(Z2820,'CAMD Facility Data 2023'!$AE$2:$AE$10000,0),1)&gt;0,INDEX('CAMD Facility Data 2023'!$AC$2:$AE$10000,MATCH(Z2820,'CAMD Facility Data 2023'!$AE$2:$AE$10000,0),1),"")</f>
        <v>2236</v>
      </c>
      <c r="AC2820" s="1" t="str">
        <f>IF(INDEX('CAMD Facility Data 2023'!$AE$2:$AG$10000,MATCH(Z2820,'CAMD Facility Data 2023'!$AE$2:$AE$10000,0),3)&gt;0,INDEX('CAMD Facility Data 2023'!$AE$2:$AG$10000,MATCH(Z2820,'CAMD Facility Data 2023'!$AE$2:$AE$10000,0),3),"")</f>
        <v>Y</v>
      </c>
      <c r="AD2820" s="20">
        <f t="shared" si="133"/>
        <v>5.9284603864219097E-2</v>
      </c>
      <c r="AE2820" s="25">
        <f t="shared" si="134"/>
        <v>0.25344720084789374</v>
      </c>
    </row>
    <row r="2821" spans="1:31" x14ac:dyDescent="0.2">
      <c r="A2821" s="1" t="s">
        <v>32</v>
      </c>
      <c r="B2821" s="1" t="s">
        <v>6436</v>
      </c>
      <c r="C2821" s="1">
        <v>55292</v>
      </c>
      <c r="D2821" s="1" t="s">
        <v>5684</v>
      </c>
      <c r="F2821" s="1">
        <v>2023</v>
      </c>
      <c r="G2821" s="5">
        <v>3852</v>
      </c>
      <c r="H2821" s="5">
        <v>3775.7</v>
      </c>
      <c r="I2821" s="5">
        <v>740413.58</v>
      </c>
      <c r="K2821" s="5">
        <v>1.5740000000000001</v>
      </c>
      <c r="L2821" s="5">
        <v>1E-3</v>
      </c>
      <c r="M2821" s="5">
        <v>311822.93599999999</v>
      </c>
      <c r="N2821" s="6">
        <v>5.8999999999999997E-2</v>
      </c>
      <c r="O2821" s="5">
        <v>22.747</v>
      </c>
      <c r="P2821" s="6">
        <v>0.01</v>
      </c>
      <c r="Q2821" s="5">
        <v>5247010.1869999999</v>
      </c>
      <c r="R2821" s="1" t="s">
        <v>44</v>
      </c>
      <c r="T2821" s="1" t="s">
        <v>71</v>
      </c>
      <c r="V2821" s="1" t="s">
        <v>64</v>
      </c>
      <c r="Y2821" s="1" t="s">
        <v>35</v>
      </c>
      <c r="Z2821" s="1" t="str">
        <f t="shared" si="132"/>
        <v>55292 CTG-2</v>
      </c>
      <c r="AA2821" s="3">
        <f>IF(INDEX('CAMD Facility Data 2023'!$AA$2:$AE$10000,MATCH(Z2821,'CAMD Facility Data 2023'!$AE$2:$AE$10000,0),1)&gt;0,INDEX('CAMD Facility Data 2023'!$AA$2:$AE$10000,MATCH(Z2821,'CAMD Facility Data 2023'!$AE$2:$AE$10000,0),1),"")</f>
        <v>37343</v>
      </c>
      <c r="AB2821" s="5">
        <f>IF(INDEX('CAMD Facility Data 2023'!$AC$2:$AE$10000,MATCH(Z2821,'CAMD Facility Data 2023'!$AE$2:$AE$10000,0),1)&gt;0,INDEX('CAMD Facility Data 2023'!$AC$2:$AE$10000,MATCH(Z2821,'CAMD Facility Data 2023'!$AE$2:$AE$10000,0),1),"")</f>
        <v>2236</v>
      </c>
      <c r="AC2821" s="1" t="str">
        <f>IF(INDEX('CAMD Facility Data 2023'!$AE$2:$AG$10000,MATCH(Z2821,'CAMD Facility Data 2023'!$AE$2:$AE$10000,0),3)&gt;0,INDEX('CAMD Facility Data 2023'!$AE$2:$AG$10000,MATCH(Z2821,'CAMD Facility Data 2023'!$AE$2:$AE$10000,0),3),"")</f>
        <v>Y</v>
      </c>
      <c r="AD2821" s="20">
        <f t="shared" si="133"/>
        <v>6.1444037803844713E-2</v>
      </c>
      <c r="AE2821" s="25">
        <f t="shared" si="134"/>
        <v>0.26787735493706144</v>
      </c>
    </row>
    <row r="2822" spans="1:31" x14ac:dyDescent="0.2">
      <c r="A2822" s="1" t="s">
        <v>32</v>
      </c>
      <c r="B2822" s="1" t="s">
        <v>6436</v>
      </c>
      <c r="C2822" s="1">
        <v>55292</v>
      </c>
      <c r="D2822" s="1" t="s">
        <v>5750</v>
      </c>
      <c r="F2822" s="1">
        <v>2023</v>
      </c>
      <c r="G2822" s="5">
        <v>3901</v>
      </c>
      <c r="H2822" s="5">
        <v>3836.29</v>
      </c>
      <c r="I2822" s="5">
        <v>751320.25</v>
      </c>
      <c r="K2822" s="5">
        <v>1.609</v>
      </c>
      <c r="L2822" s="5">
        <v>1E-3</v>
      </c>
      <c r="M2822" s="5">
        <v>318716.88699999999</v>
      </c>
      <c r="N2822" s="6">
        <v>5.8999999999999997E-2</v>
      </c>
      <c r="O2822" s="5">
        <v>23.306999999999999</v>
      </c>
      <c r="P2822" s="6">
        <v>1.0200000000000001E-2</v>
      </c>
      <c r="Q2822" s="5">
        <v>5362998.0240000002</v>
      </c>
      <c r="R2822" s="1" t="s">
        <v>44</v>
      </c>
      <c r="T2822" s="1" t="s">
        <v>71</v>
      </c>
      <c r="V2822" s="1" t="s">
        <v>64</v>
      </c>
      <c r="Y2822" s="1" t="s">
        <v>35</v>
      </c>
      <c r="Z2822" s="1" t="str">
        <f t="shared" si="132"/>
        <v>55292 CTG-3</v>
      </c>
      <c r="AA2822" s="3">
        <f>IF(INDEX('CAMD Facility Data 2023'!$AA$2:$AE$10000,MATCH(Z2822,'CAMD Facility Data 2023'!$AE$2:$AE$10000,0),1)&gt;0,INDEX('CAMD Facility Data 2023'!$AA$2:$AE$10000,MATCH(Z2822,'CAMD Facility Data 2023'!$AE$2:$AE$10000,0),1),"")</f>
        <v>37686</v>
      </c>
      <c r="AB2822" s="5">
        <f>IF(INDEX('CAMD Facility Data 2023'!$AC$2:$AE$10000,MATCH(Z2822,'CAMD Facility Data 2023'!$AE$2:$AE$10000,0),1)&gt;0,INDEX('CAMD Facility Data 2023'!$AC$2:$AE$10000,MATCH(Z2822,'CAMD Facility Data 2023'!$AE$2:$AE$10000,0),1),"")</f>
        <v>2236</v>
      </c>
      <c r="AC2822" s="1" t="str">
        <f>IF(INDEX('CAMD Facility Data 2023'!$AE$2:$AG$10000,MATCH(Z2822,'CAMD Facility Data 2023'!$AE$2:$AE$10000,0),3)&gt;0,INDEX('CAMD Facility Data 2023'!$AE$2:$AG$10000,MATCH(Z2822,'CAMD Facility Data 2023'!$AE$2:$AE$10000,0),3),"")</f>
        <v>Y</v>
      </c>
      <c r="AD2822" s="20">
        <f t="shared" si="133"/>
        <v>6.2042784019198202E-2</v>
      </c>
      <c r="AE2822" s="25">
        <f t="shared" si="134"/>
        <v>0.27379892052834076</v>
      </c>
    </row>
    <row r="2823" spans="1:31" x14ac:dyDescent="0.2">
      <c r="A2823" s="1" t="s">
        <v>32</v>
      </c>
      <c r="B2823" s="1" t="s">
        <v>6442</v>
      </c>
      <c r="C2823" s="1">
        <v>55293</v>
      </c>
      <c r="D2823" s="1" t="s">
        <v>1296</v>
      </c>
      <c r="F2823" s="1">
        <v>2023</v>
      </c>
      <c r="G2823" s="5">
        <v>8094</v>
      </c>
      <c r="H2823" s="5">
        <v>8076.47</v>
      </c>
      <c r="I2823" s="5">
        <v>1845359.47</v>
      </c>
      <c r="K2823" s="5">
        <v>4.0330000000000004</v>
      </c>
      <c r="L2823" s="5">
        <v>1E-3</v>
      </c>
      <c r="M2823" s="5">
        <v>798976.27399999998</v>
      </c>
      <c r="N2823" s="6">
        <v>5.8999999999999997E-2</v>
      </c>
      <c r="O2823" s="5">
        <v>44.67</v>
      </c>
      <c r="P2823" s="6">
        <v>7.3000000000000001E-3</v>
      </c>
      <c r="Q2823" s="5">
        <v>13444292.886</v>
      </c>
      <c r="R2823" s="1" t="s">
        <v>44</v>
      </c>
      <c r="T2823" s="1" t="s">
        <v>71</v>
      </c>
      <c r="V2823" s="1" t="s">
        <v>64</v>
      </c>
      <c r="Y2823" s="1" t="s">
        <v>35</v>
      </c>
      <c r="Z2823" s="1" t="str">
        <f t="shared" si="132"/>
        <v>55293 CT-1</v>
      </c>
      <c r="AA2823" s="3">
        <f>IF(INDEX('CAMD Facility Data 2023'!$AA$2:$AE$10000,MATCH(Z2823,'CAMD Facility Data 2023'!$AE$2:$AE$10000,0),1)&gt;0,INDEX('CAMD Facility Data 2023'!$AA$2:$AE$10000,MATCH(Z2823,'CAMD Facility Data 2023'!$AE$2:$AE$10000,0),1),"")</f>
        <v>37723</v>
      </c>
      <c r="AB2823" s="5">
        <f>IF(INDEX('CAMD Facility Data 2023'!$AC$2:$AE$10000,MATCH(Z2823,'CAMD Facility Data 2023'!$AE$2:$AE$10000,0),1)&gt;0,INDEX('CAMD Facility Data 2023'!$AC$2:$AE$10000,MATCH(Z2823,'CAMD Facility Data 2023'!$AE$2:$AE$10000,0),1),"")</f>
        <v>2236</v>
      </c>
      <c r="AC2823" s="1" t="str">
        <f>IF(INDEX('CAMD Facility Data 2023'!$AE$2:$AG$10000,MATCH(Z2823,'CAMD Facility Data 2023'!$AE$2:$AE$10000,0),3)&gt;0,INDEX('CAMD Facility Data 2023'!$AE$2:$AG$10000,MATCH(Z2823,'CAMD Facility Data 2023'!$AE$2:$AE$10000,0),3),"")</f>
        <v>Y</v>
      </c>
      <c r="AD2823" s="20">
        <f t="shared" si="133"/>
        <v>4.8413331631262067E-2</v>
      </c>
      <c r="AE2823" s="25">
        <f t="shared" si="134"/>
        <v>0.68637595296150167</v>
      </c>
    </row>
    <row r="2824" spans="1:31" x14ac:dyDescent="0.2">
      <c r="A2824" s="1" t="s">
        <v>32</v>
      </c>
      <c r="B2824" s="1" t="s">
        <v>6442</v>
      </c>
      <c r="C2824" s="1">
        <v>55293</v>
      </c>
      <c r="D2824" s="1" t="s">
        <v>1300</v>
      </c>
      <c r="F2824" s="1">
        <v>2023</v>
      </c>
      <c r="G2824" s="5">
        <v>8317</v>
      </c>
      <c r="H2824" s="5">
        <v>8303.7199999999993</v>
      </c>
      <c r="I2824" s="5">
        <v>1906698.82</v>
      </c>
      <c r="K2824" s="5">
        <v>4.234</v>
      </c>
      <c r="L2824" s="5">
        <v>1E-3</v>
      </c>
      <c r="M2824" s="5">
        <v>838788.30500000005</v>
      </c>
      <c r="N2824" s="6">
        <v>5.8999999999999997E-2</v>
      </c>
      <c r="O2824" s="5">
        <v>52.030999999999999</v>
      </c>
      <c r="P2824" s="6">
        <v>7.4999999999999997E-3</v>
      </c>
      <c r="Q2824" s="5">
        <v>14114248.981000001</v>
      </c>
      <c r="R2824" s="1" t="s">
        <v>44</v>
      </c>
      <c r="T2824" s="1" t="s">
        <v>71</v>
      </c>
      <c r="V2824" s="1" t="s">
        <v>64</v>
      </c>
      <c r="Y2824" s="1" t="s">
        <v>35</v>
      </c>
      <c r="Z2824" s="1" t="str">
        <f t="shared" si="132"/>
        <v>55293 CT-2</v>
      </c>
      <c r="AA2824" s="3">
        <f>IF(INDEX('CAMD Facility Data 2023'!$AA$2:$AE$10000,MATCH(Z2824,'CAMD Facility Data 2023'!$AE$2:$AE$10000,0),1)&gt;0,INDEX('CAMD Facility Data 2023'!$AA$2:$AE$10000,MATCH(Z2824,'CAMD Facility Data 2023'!$AE$2:$AE$10000,0),1),"")</f>
        <v>37718</v>
      </c>
      <c r="AB2824" s="5">
        <f>IF(INDEX('CAMD Facility Data 2023'!$AC$2:$AE$10000,MATCH(Z2824,'CAMD Facility Data 2023'!$AE$2:$AE$10000,0),1)&gt;0,INDEX('CAMD Facility Data 2023'!$AC$2:$AE$10000,MATCH(Z2824,'CAMD Facility Data 2023'!$AE$2:$AE$10000,0),1),"")</f>
        <v>2236</v>
      </c>
      <c r="AC2824" s="1" t="str">
        <f>IF(INDEX('CAMD Facility Data 2023'!$AE$2:$AG$10000,MATCH(Z2824,'CAMD Facility Data 2023'!$AE$2:$AE$10000,0),3)&gt;0,INDEX('CAMD Facility Data 2023'!$AE$2:$AG$10000,MATCH(Z2824,'CAMD Facility Data 2023'!$AE$2:$AE$10000,0),3),"")</f>
        <v>Y</v>
      </c>
      <c r="AD2824" s="20">
        <f t="shared" si="133"/>
        <v>5.4577051660419026E-2</v>
      </c>
      <c r="AE2824" s="25">
        <f t="shared" si="134"/>
        <v>0.72057944414152808</v>
      </c>
    </row>
    <row r="2825" spans="1:31" x14ac:dyDescent="0.2">
      <c r="A2825" s="1" t="s">
        <v>32</v>
      </c>
      <c r="B2825" s="1" t="s">
        <v>6442</v>
      </c>
      <c r="C2825" s="1">
        <v>55293</v>
      </c>
      <c r="D2825" s="1" t="s">
        <v>1302</v>
      </c>
      <c r="F2825" s="1">
        <v>2023</v>
      </c>
      <c r="G2825" s="5">
        <v>8016</v>
      </c>
      <c r="H2825" s="5">
        <v>8008.07</v>
      </c>
      <c r="I2825" s="5">
        <v>1840975.1</v>
      </c>
      <c r="K2825" s="5">
        <v>4.0759999999999996</v>
      </c>
      <c r="L2825" s="5">
        <v>1E-3</v>
      </c>
      <c r="M2825" s="5">
        <v>807394.40399999998</v>
      </c>
      <c r="N2825" s="6">
        <v>5.8999999999999997E-2</v>
      </c>
      <c r="O2825" s="5">
        <v>51.06</v>
      </c>
      <c r="P2825" s="6">
        <v>7.7000000000000002E-3</v>
      </c>
      <c r="Q2825" s="5">
        <v>13585960.681</v>
      </c>
      <c r="R2825" s="1" t="s">
        <v>44</v>
      </c>
      <c r="T2825" s="1" t="s">
        <v>71</v>
      </c>
      <c r="V2825" s="1" t="s">
        <v>64</v>
      </c>
      <c r="Y2825" s="1" t="s">
        <v>35</v>
      </c>
      <c r="Z2825" s="1" t="str">
        <f t="shared" si="132"/>
        <v>55293 CT-3</v>
      </c>
      <c r="AA2825" s="3">
        <f>IF(INDEX('CAMD Facility Data 2023'!$AA$2:$AE$10000,MATCH(Z2825,'CAMD Facility Data 2023'!$AE$2:$AE$10000,0),1)&gt;0,INDEX('CAMD Facility Data 2023'!$AA$2:$AE$10000,MATCH(Z2825,'CAMD Facility Data 2023'!$AE$2:$AE$10000,0),1),"")</f>
        <v>37720</v>
      </c>
      <c r="AB2825" s="5">
        <f>IF(INDEX('CAMD Facility Data 2023'!$AC$2:$AE$10000,MATCH(Z2825,'CAMD Facility Data 2023'!$AE$2:$AE$10000,0),1)&gt;0,INDEX('CAMD Facility Data 2023'!$AC$2:$AE$10000,MATCH(Z2825,'CAMD Facility Data 2023'!$AE$2:$AE$10000,0),1),"")</f>
        <v>2236</v>
      </c>
      <c r="AC2825" s="1" t="str">
        <f>IF(INDEX('CAMD Facility Data 2023'!$AE$2:$AG$10000,MATCH(Z2825,'CAMD Facility Data 2023'!$AE$2:$AE$10000,0),3)&gt;0,INDEX('CAMD Facility Data 2023'!$AE$2:$AG$10000,MATCH(Z2825,'CAMD Facility Data 2023'!$AE$2:$AE$10000,0),3),"")</f>
        <v>Y</v>
      </c>
      <c r="AD2825" s="20">
        <f t="shared" si="133"/>
        <v>5.5470603594801472E-2</v>
      </c>
      <c r="AE2825" s="25">
        <f t="shared" si="134"/>
        <v>0.69360856598336884</v>
      </c>
    </row>
    <row r="2826" spans="1:31" x14ac:dyDescent="0.2">
      <c r="A2826" s="1" t="s">
        <v>1505</v>
      </c>
      <c r="B2826" s="1" t="s">
        <v>6447</v>
      </c>
      <c r="C2826" s="1">
        <v>55294</v>
      </c>
      <c r="D2826" s="1">
        <v>1</v>
      </c>
      <c r="F2826" s="1">
        <v>2023</v>
      </c>
      <c r="G2826" s="5">
        <v>5752</v>
      </c>
      <c r="H2826" s="5">
        <v>5517.43</v>
      </c>
      <c r="I2826" s="5">
        <v>1377582.79</v>
      </c>
      <c r="K2826" s="5">
        <v>2.6379999999999999</v>
      </c>
      <c r="L2826" s="5">
        <v>1E-3</v>
      </c>
      <c r="M2826" s="5">
        <v>522584.15500000003</v>
      </c>
      <c r="N2826" s="6">
        <v>5.8999999999999997E-2</v>
      </c>
      <c r="O2826" s="5">
        <v>64.278999999999996</v>
      </c>
      <c r="P2826" s="6">
        <v>2.6800000000000001E-2</v>
      </c>
      <c r="Q2826" s="5">
        <v>8793409.8029999994</v>
      </c>
      <c r="R2826" s="1" t="s">
        <v>44</v>
      </c>
      <c r="T2826" s="1" t="s">
        <v>71</v>
      </c>
      <c r="V2826" s="1" t="s">
        <v>223</v>
      </c>
      <c r="Y2826" s="1" t="s">
        <v>5049</v>
      </c>
      <c r="Z2826" s="1" t="str">
        <f t="shared" si="132"/>
        <v>55294 1</v>
      </c>
      <c r="AA2826" s="3">
        <f>IF(INDEX('CAMD Facility Data 2023'!$AA$2:$AE$10000,MATCH(Z2826,'CAMD Facility Data 2023'!$AE$2:$AE$10000,0),1)&gt;0,INDEX('CAMD Facility Data 2023'!$AA$2:$AE$10000,MATCH(Z2826,'CAMD Facility Data 2023'!$AE$2:$AE$10000,0),1),"")</f>
        <v>36950</v>
      </c>
      <c r="AB2826" s="5">
        <f>IF(INDEX('CAMD Facility Data 2023'!$AC$2:$AE$10000,MATCH(Z2826,'CAMD Facility Data 2023'!$AE$2:$AE$10000,0),1)&gt;0,INDEX('CAMD Facility Data 2023'!$AC$2:$AE$10000,MATCH(Z2826,'CAMD Facility Data 2023'!$AE$2:$AE$10000,0),1),"")</f>
        <v>3850.2</v>
      </c>
      <c r="AC2826" s="1" t="str">
        <f>IF(INDEX('CAMD Facility Data 2023'!$AE$2:$AG$10000,MATCH(Z2826,'CAMD Facility Data 2023'!$AE$2:$AE$10000,0),3)&gt;0,INDEX('CAMD Facility Data 2023'!$AE$2:$AG$10000,MATCH(Z2826,'CAMD Facility Data 2023'!$AE$2:$AE$10000,0),3),"")</f>
        <v>Y</v>
      </c>
      <c r="AD2826" s="20">
        <f t="shared" si="133"/>
        <v>9.3321432971734494E-2</v>
      </c>
      <c r="AE2826" s="25">
        <f t="shared" si="134"/>
        <v>0.26071734051531215</v>
      </c>
    </row>
    <row r="2827" spans="1:31" x14ac:dyDescent="0.2">
      <c r="A2827" s="1" t="s">
        <v>1505</v>
      </c>
      <c r="B2827" s="1" t="s">
        <v>6447</v>
      </c>
      <c r="C2827" s="1">
        <v>55294</v>
      </c>
      <c r="D2827" s="1">
        <v>2</v>
      </c>
      <c r="F2827" s="1">
        <v>2023</v>
      </c>
      <c r="G2827" s="5">
        <v>4771</v>
      </c>
      <c r="H2827" s="5">
        <v>4536.96</v>
      </c>
      <c r="I2827" s="5">
        <v>1147971.02</v>
      </c>
      <c r="K2827" s="5">
        <v>2.1920000000000002</v>
      </c>
      <c r="L2827" s="5">
        <v>1E-3</v>
      </c>
      <c r="M2827" s="5">
        <v>434247.01400000002</v>
      </c>
      <c r="N2827" s="6">
        <v>5.8999999999999997E-2</v>
      </c>
      <c r="O2827" s="5">
        <v>51.780999999999999</v>
      </c>
      <c r="P2827" s="6">
        <v>2.6100000000000002E-2</v>
      </c>
      <c r="Q2827" s="5">
        <v>7307081.2089999998</v>
      </c>
      <c r="R2827" s="1" t="s">
        <v>44</v>
      </c>
      <c r="T2827" s="1" t="s">
        <v>71</v>
      </c>
      <c r="V2827" s="1" t="s">
        <v>223</v>
      </c>
      <c r="Y2827" s="1" t="s">
        <v>5049</v>
      </c>
      <c r="Z2827" s="1" t="str">
        <f t="shared" si="132"/>
        <v>55294 2</v>
      </c>
      <c r="AA2827" s="3">
        <f>IF(INDEX('CAMD Facility Data 2023'!$AA$2:$AE$10000,MATCH(Z2827,'CAMD Facility Data 2023'!$AE$2:$AE$10000,0),1)&gt;0,INDEX('CAMD Facility Data 2023'!$AA$2:$AE$10000,MATCH(Z2827,'CAMD Facility Data 2023'!$AE$2:$AE$10000,0),1),"")</f>
        <v>36950</v>
      </c>
      <c r="AB2827" s="5">
        <f>IF(INDEX('CAMD Facility Data 2023'!$AC$2:$AE$10000,MATCH(Z2827,'CAMD Facility Data 2023'!$AE$2:$AE$10000,0),1)&gt;0,INDEX('CAMD Facility Data 2023'!$AC$2:$AE$10000,MATCH(Z2827,'CAMD Facility Data 2023'!$AE$2:$AE$10000,0),1),"")</f>
        <v>3850.2</v>
      </c>
      <c r="AC2827" s="1" t="str">
        <f>IF(INDEX('CAMD Facility Data 2023'!$AE$2:$AG$10000,MATCH(Z2827,'CAMD Facility Data 2023'!$AE$2:$AE$10000,0),3)&gt;0,INDEX('CAMD Facility Data 2023'!$AE$2:$AG$10000,MATCH(Z2827,'CAMD Facility Data 2023'!$AE$2:$AE$10000,0),3),"")</f>
        <v>Y</v>
      </c>
      <c r="AD2827" s="20">
        <f t="shared" si="133"/>
        <v>9.0213078723886245E-2</v>
      </c>
      <c r="AE2827" s="25">
        <f t="shared" si="134"/>
        <v>0.21664892486756898</v>
      </c>
    </row>
    <row r="2828" spans="1:31" x14ac:dyDescent="0.2">
      <c r="A2828" s="1" t="s">
        <v>370</v>
      </c>
      <c r="B2828" s="1" t="s">
        <v>6450</v>
      </c>
      <c r="C2828" s="1">
        <v>55295</v>
      </c>
      <c r="D2828" s="1">
        <v>1</v>
      </c>
      <c r="F2828" s="1">
        <v>2023</v>
      </c>
      <c r="G2828" s="5">
        <v>2662</v>
      </c>
      <c r="H2828" s="5">
        <v>2610.5300000000002</v>
      </c>
      <c r="I2828" s="5">
        <v>307204.62</v>
      </c>
      <c r="K2828" s="5">
        <v>1.0580000000000001</v>
      </c>
      <c r="L2828" s="5">
        <v>1E-3</v>
      </c>
      <c r="M2828" s="5">
        <v>209630.68799999999</v>
      </c>
      <c r="N2828" s="6">
        <v>5.8999999999999997E-2</v>
      </c>
      <c r="O2828" s="5">
        <v>16.751000000000001</v>
      </c>
      <c r="P2828" s="6">
        <v>1.23E-2</v>
      </c>
      <c r="Q2828" s="5">
        <v>3527449.8810000001</v>
      </c>
      <c r="R2828" s="1" t="s">
        <v>44</v>
      </c>
      <c r="T2828" s="1" t="s">
        <v>71</v>
      </c>
      <c r="V2828" s="1" t="s">
        <v>223</v>
      </c>
      <c r="Y2828" s="1" t="s">
        <v>247</v>
      </c>
      <c r="Z2828" s="1" t="str">
        <f t="shared" si="132"/>
        <v>55295 1</v>
      </c>
      <c r="AA2828" s="3">
        <f>IF(INDEX('CAMD Facility Data 2023'!$AA$2:$AE$10000,MATCH(Z2828,'CAMD Facility Data 2023'!$AE$2:$AE$10000,0),1)&gt;0,INDEX('CAMD Facility Data 2023'!$AA$2:$AE$10000,MATCH(Z2828,'CAMD Facility Data 2023'!$AE$2:$AE$10000,0),1),"")</f>
        <v>37676</v>
      </c>
      <c r="AB2828" s="5">
        <f>IF(INDEX('CAMD Facility Data 2023'!$AC$2:$AE$10000,MATCH(Z2828,'CAMD Facility Data 2023'!$AE$2:$AE$10000,0),1)&gt;0,INDEX('CAMD Facility Data 2023'!$AC$2:$AE$10000,MATCH(Z2828,'CAMD Facility Data 2023'!$AE$2:$AE$10000,0),1),"")</f>
        <v>2046</v>
      </c>
      <c r="AC2828" s="1" t="str">
        <f>IF(INDEX('CAMD Facility Data 2023'!$AE$2:$AG$10000,MATCH(Z2828,'CAMD Facility Data 2023'!$AE$2:$AE$10000,0),3)&gt;0,INDEX('CAMD Facility Data 2023'!$AE$2:$AG$10000,MATCH(Z2828,'CAMD Facility Data 2023'!$AE$2:$AE$10000,0),3),"")</f>
        <v>Y</v>
      </c>
      <c r="AD2828" s="20">
        <f t="shared" si="133"/>
        <v>0.10905434950815518</v>
      </c>
      <c r="AE2828" s="25">
        <f t="shared" si="134"/>
        <v>0.19681179230439616</v>
      </c>
    </row>
    <row r="2829" spans="1:31" x14ac:dyDescent="0.2">
      <c r="A2829" s="1" t="s">
        <v>370</v>
      </c>
      <c r="B2829" s="1" t="s">
        <v>6450</v>
      </c>
      <c r="C2829" s="1">
        <v>55295</v>
      </c>
      <c r="D2829" s="1">
        <v>2</v>
      </c>
      <c r="F2829" s="1">
        <v>2023</v>
      </c>
      <c r="G2829" s="5">
        <v>5826</v>
      </c>
      <c r="H2829" s="5">
        <v>5710.83</v>
      </c>
      <c r="I2829" s="5">
        <v>805295</v>
      </c>
      <c r="K2829" s="5">
        <v>2.694</v>
      </c>
      <c r="L2829" s="5">
        <v>1E-3</v>
      </c>
      <c r="M2829" s="5">
        <v>533567.375</v>
      </c>
      <c r="N2829" s="6">
        <v>5.8999999999999997E-2</v>
      </c>
      <c r="O2829" s="5">
        <v>36.167999999999999</v>
      </c>
      <c r="P2829" s="6">
        <v>9.9000000000000008E-3</v>
      </c>
      <c r="Q2829" s="5">
        <v>8978263.2210000008</v>
      </c>
      <c r="R2829" s="1" t="s">
        <v>44</v>
      </c>
      <c r="T2829" s="1" t="s">
        <v>71</v>
      </c>
      <c r="V2829" s="1" t="s">
        <v>223</v>
      </c>
      <c r="Y2829" s="1" t="s">
        <v>247</v>
      </c>
      <c r="Z2829" s="1" t="str">
        <f t="shared" si="132"/>
        <v>55295 2</v>
      </c>
      <c r="AA2829" s="3">
        <f>IF(INDEX('CAMD Facility Data 2023'!$AA$2:$AE$10000,MATCH(Z2829,'CAMD Facility Data 2023'!$AE$2:$AE$10000,0),1)&gt;0,INDEX('CAMD Facility Data 2023'!$AA$2:$AE$10000,MATCH(Z2829,'CAMD Facility Data 2023'!$AE$2:$AE$10000,0),1),"")</f>
        <v>37678</v>
      </c>
      <c r="AB2829" s="5">
        <f>IF(INDEX('CAMD Facility Data 2023'!$AC$2:$AE$10000,MATCH(Z2829,'CAMD Facility Data 2023'!$AE$2:$AE$10000,0),1)&gt;0,INDEX('CAMD Facility Data 2023'!$AC$2:$AE$10000,MATCH(Z2829,'CAMD Facility Data 2023'!$AE$2:$AE$10000,0),1),"")</f>
        <v>2046</v>
      </c>
      <c r="AC2829" s="1" t="str">
        <f>IF(INDEX('CAMD Facility Data 2023'!$AE$2:$AG$10000,MATCH(Z2829,'CAMD Facility Data 2023'!$AE$2:$AE$10000,0),3)&gt;0,INDEX('CAMD Facility Data 2023'!$AE$2:$AG$10000,MATCH(Z2829,'CAMD Facility Data 2023'!$AE$2:$AE$10000,0),3),"")</f>
        <v>Y</v>
      </c>
      <c r="AD2829" s="20">
        <f t="shared" si="133"/>
        <v>8.9825467685754903E-2</v>
      </c>
      <c r="AE2829" s="25">
        <f t="shared" si="134"/>
        <v>0.50093640899717462</v>
      </c>
    </row>
    <row r="2830" spans="1:31" x14ac:dyDescent="0.2">
      <c r="A2830" s="1" t="s">
        <v>458</v>
      </c>
      <c r="B2830" s="1" t="s">
        <v>6456</v>
      </c>
      <c r="C2830" s="1">
        <v>55296</v>
      </c>
      <c r="D2830" s="1" t="s">
        <v>3872</v>
      </c>
      <c r="F2830" s="1">
        <v>2023</v>
      </c>
      <c r="G2830" s="5">
        <v>19</v>
      </c>
      <c r="H2830" s="5">
        <v>16.41</v>
      </c>
      <c r="I2830" s="5">
        <v>2259.7800000000002</v>
      </c>
      <c r="K2830" s="5">
        <v>7.0000000000000001E-3</v>
      </c>
      <c r="L2830" s="5">
        <v>1E-3</v>
      </c>
      <c r="M2830" s="5">
        <v>1337.327</v>
      </c>
      <c r="N2830" s="6">
        <v>5.8999999999999997E-2</v>
      </c>
      <c r="O2830" s="5">
        <v>0.996</v>
      </c>
      <c r="P2830" s="6">
        <v>8.3799999999999999E-2</v>
      </c>
      <c r="Q2830" s="5">
        <v>22503.359</v>
      </c>
      <c r="R2830" s="1" t="s">
        <v>44</v>
      </c>
      <c r="T2830" s="1" t="s">
        <v>93</v>
      </c>
      <c r="V2830" s="1" t="s">
        <v>140</v>
      </c>
      <c r="Y2830" s="1" t="s">
        <v>461</v>
      </c>
      <c r="Z2830" s="1" t="str">
        <f t="shared" si="132"/>
        <v>55296 **1</v>
      </c>
      <c r="AA2830" s="3">
        <f>IF(INDEX('CAMD Facility Data 2023'!$AA$2:$AE$10000,MATCH(Z2830,'CAMD Facility Data 2023'!$AE$2:$AE$10000,0),1)&gt;0,INDEX('CAMD Facility Data 2023'!$AA$2:$AE$10000,MATCH(Z2830,'CAMD Facility Data 2023'!$AE$2:$AE$10000,0),1),"")</f>
        <v>37431</v>
      </c>
      <c r="AB2830" s="5">
        <f>IF(INDEX('CAMD Facility Data 2023'!$AC$2:$AE$10000,MATCH(Z2830,'CAMD Facility Data 2023'!$AE$2:$AE$10000,0),1)&gt;0,INDEX('CAMD Facility Data 2023'!$AC$2:$AE$10000,MATCH(Z2830,'CAMD Facility Data 2023'!$AE$2:$AE$10000,0),1),"")</f>
        <v>2150</v>
      </c>
      <c r="AC2830" s="1" t="str">
        <f>IF(INDEX('CAMD Facility Data 2023'!$AE$2:$AG$10000,MATCH(Z2830,'CAMD Facility Data 2023'!$AE$2:$AE$10000,0),3)&gt;0,INDEX('CAMD Facility Data 2023'!$AE$2:$AG$10000,MATCH(Z2830,'CAMD Facility Data 2023'!$AE$2:$AE$10000,0),3),"")</f>
        <v/>
      </c>
      <c r="AD2830" s="20">
        <f t="shared" si="133"/>
        <v>0.88150173910734664</v>
      </c>
      <c r="AE2830" s="25">
        <f t="shared" si="134"/>
        <v>1.1948263247318679E-3</v>
      </c>
    </row>
    <row r="2831" spans="1:31" x14ac:dyDescent="0.2">
      <c r="A2831" s="1" t="s">
        <v>458</v>
      </c>
      <c r="B2831" s="1" t="s">
        <v>6456</v>
      </c>
      <c r="C2831" s="1">
        <v>55296</v>
      </c>
      <c r="D2831" s="1" t="s">
        <v>3875</v>
      </c>
      <c r="F2831" s="1">
        <v>2023</v>
      </c>
      <c r="G2831" s="5">
        <v>19</v>
      </c>
      <c r="H2831" s="5">
        <v>15.38</v>
      </c>
      <c r="I2831" s="5">
        <v>2081.0700000000002</v>
      </c>
      <c r="K2831" s="5">
        <v>6.0000000000000001E-3</v>
      </c>
      <c r="L2831" s="5">
        <v>1E-3</v>
      </c>
      <c r="M2831" s="5">
        <v>1249.8150000000001</v>
      </c>
      <c r="N2831" s="6">
        <v>5.8999999999999997E-2</v>
      </c>
      <c r="O2831" s="5">
        <v>0.90400000000000003</v>
      </c>
      <c r="P2831" s="6">
        <v>8.3500000000000005E-2</v>
      </c>
      <c r="Q2831" s="5">
        <v>21028.400000000001</v>
      </c>
      <c r="R2831" s="1" t="s">
        <v>44</v>
      </c>
      <c r="T2831" s="1" t="s">
        <v>93</v>
      </c>
      <c r="V2831" s="1" t="s">
        <v>140</v>
      </c>
      <c r="Y2831" s="1" t="s">
        <v>461</v>
      </c>
      <c r="Z2831" s="1" t="str">
        <f t="shared" si="132"/>
        <v>55296 **2</v>
      </c>
      <c r="AA2831" s="3">
        <f>IF(INDEX('CAMD Facility Data 2023'!$AA$2:$AE$10000,MATCH(Z2831,'CAMD Facility Data 2023'!$AE$2:$AE$10000,0),1)&gt;0,INDEX('CAMD Facility Data 2023'!$AA$2:$AE$10000,MATCH(Z2831,'CAMD Facility Data 2023'!$AE$2:$AE$10000,0),1),"")</f>
        <v>37431</v>
      </c>
      <c r="AB2831" s="5">
        <f>IF(INDEX('CAMD Facility Data 2023'!$AC$2:$AE$10000,MATCH(Z2831,'CAMD Facility Data 2023'!$AE$2:$AE$10000,0),1)&gt;0,INDEX('CAMD Facility Data 2023'!$AC$2:$AE$10000,MATCH(Z2831,'CAMD Facility Data 2023'!$AE$2:$AE$10000,0),1),"")</f>
        <v>2150</v>
      </c>
      <c r="AC2831" s="1" t="str">
        <f>IF(INDEX('CAMD Facility Data 2023'!$AE$2:$AG$10000,MATCH(Z2831,'CAMD Facility Data 2023'!$AE$2:$AE$10000,0),3)&gt;0,INDEX('CAMD Facility Data 2023'!$AE$2:$AG$10000,MATCH(Z2831,'CAMD Facility Data 2023'!$AE$2:$AE$10000,0),3),"")</f>
        <v/>
      </c>
      <c r="AD2831" s="20">
        <f t="shared" si="133"/>
        <v>0.86878384677113207</v>
      </c>
      <c r="AE2831" s="25">
        <f t="shared" si="134"/>
        <v>1.1165126898162899E-3</v>
      </c>
    </row>
    <row r="2832" spans="1:31" x14ac:dyDescent="0.2">
      <c r="A2832" s="1" t="s">
        <v>1621</v>
      </c>
      <c r="B2832" s="1" t="s">
        <v>6460</v>
      </c>
      <c r="C2832" s="1">
        <v>55297</v>
      </c>
      <c r="D2832" s="1">
        <v>1</v>
      </c>
      <c r="F2832" s="1">
        <v>2023</v>
      </c>
      <c r="G2832" s="5">
        <v>7537</v>
      </c>
      <c r="H2832" s="5">
        <v>7529.84</v>
      </c>
      <c r="I2832" s="5">
        <v>2245241.0299999998</v>
      </c>
      <c r="K2832" s="5">
        <v>5.5609999999999999</v>
      </c>
      <c r="L2832" s="5">
        <v>1E-3</v>
      </c>
      <c r="M2832" s="5">
        <v>1101614.8829999999</v>
      </c>
      <c r="N2832" s="6">
        <v>5.8999999999999997E-2</v>
      </c>
      <c r="O2832" s="5">
        <v>63.615000000000002</v>
      </c>
      <c r="P2832" s="6">
        <v>7.0000000000000001E-3</v>
      </c>
      <c r="Q2832" s="5">
        <v>18536769.068</v>
      </c>
      <c r="R2832" s="1" t="s">
        <v>44</v>
      </c>
      <c r="T2832" s="1" t="s">
        <v>71</v>
      </c>
      <c r="V2832" s="1" t="s">
        <v>64</v>
      </c>
      <c r="Y2832" s="1" t="s">
        <v>461</v>
      </c>
      <c r="Z2832" s="1" t="str">
        <f t="shared" si="132"/>
        <v>55297 1</v>
      </c>
      <c r="AA2832" s="3">
        <f>IF(INDEX('CAMD Facility Data 2023'!$AA$2:$AE$10000,MATCH(Z2832,'CAMD Facility Data 2023'!$AE$2:$AE$10000,0),1)&gt;0,INDEX('CAMD Facility Data 2023'!$AA$2:$AE$10000,MATCH(Z2832,'CAMD Facility Data 2023'!$AE$2:$AE$10000,0),1),"")</f>
        <v>37853</v>
      </c>
      <c r="AB2832" s="5">
        <f>IF(INDEX('CAMD Facility Data 2023'!$AC$2:$AE$10000,MATCH(Z2832,'CAMD Facility Data 2023'!$AE$2:$AE$10000,0),1)&gt;0,INDEX('CAMD Facility Data 2023'!$AC$2:$AE$10000,MATCH(Z2832,'CAMD Facility Data 2023'!$AE$2:$AE$10000,0),1),"")</f>
        <v>2926</v>
      </c>
      <c r="AC2832" s="1" t="str">
        <f>IF(INDEX('CAMD Facility Data 2023'!$AE$2:$AG$10000,MATCH(Z2832,'CAMD Facility Data 2023'!$AE$2:$AE$10000,0),3)&gt;0,INDEX('CAMD Facility Data 2023'!$AE$2:$AG$10000,MATCH(Z2832,'CAMD Facility Data 2023'!$AE$2:$AE$10000,0),3),"")</f>
        <v>Y</v>
      </c>
      <c r="AD2832" s="20">
        <f t="shared" si="133"/>
        <v>5.6666521901214323E-2</v>
      </c>
      <c r="AE2832" s="25">
        <f t="shared" si="134"/>
        <v>0.72319532751555105</v>
      </c>
    </row>
    <row r="2833" spans="1:31" x14ac:dyDescent="0.2">
      <c r="A2833" s="1" t="s">
        <v>1621</v>
      </c>
      <c r="B2833" s="1" t="s">
        <v>6460</v>
      </c>
      <c r="C2833" s="1">
        <v>55297</v>
      </c>
      <c r="D2833" s="1">
        <v>2</v>
      </c>
      <c r="F2833" s="1">
        <v>2023</v>
      </c>
      <c r="G2833" s="5">
        <v>7722</v>
      </c>
      <c r="H2833" s="5">
        <v>7709.74</v>
      </c>
      <c r="I2833" s="5">
        <v>2007120.76</v>
      </c>
      <c r="K2833" s="5">
        <v>5.125</v>
      </c>
      <c r="L2833" s="5">
        <v>1E-3</v>
      </c>
      <c r="M2833" s="5">
        <v>1015137.405</v>
      </c>
      <c r="N2833" s="6">
        <v>5.8999999999999997E-2</v>
      </c>
      <c r="O2833" s="5">
        <v>58.862000000000002</v>
      </c>
      <c r="P2833" s="6">
        <v>7.1999999999999998E-3</v>
      </c>
      <c r="Q2833" s="5">
        <v>17081599.331</v>
      </c>
      <c r="R2833" s="1" t="s">
        <v>44</v>
      </c>
      <c r="T2833" s="1" t="s">
        <v>71</v>
      </c>
      <c r="V2833" s="1" t="s">
        <v>64</v>
      </c>
      <c r="Y2833" s="1" t="s">
        <v>461</v>
      </c>
      <c r="Z2833" s="1" t="str">
        <f t="shared" si="132"/>
        <v>55297 2</v>
      </c>
      <c r="AA2833" s="3">
        <f>IF(INDEX('CAMD Facility Data 2023'!$AA$2:$AE$10000,MATCH(Z2833,'CAMD Facility Data 2023'!$AE$2:$AE$10000,0),1)&gt;0,INDEX('CAMD Facility Data 2023'!$AA$2:$AE$10000,MATCH(Z2833,'CAMD Facility Data 2023'!$AE$2:$AE$10000,0),1),"")</f>
        <v>37883</v>
      </c>
      <c r="AB2833" s="5">
        <f>IF(INDEX('CAMD Facility Data 2023'!$AC$2:$AE$10000,MATCH(Z2833,'CAMD Facility Data 2023'!$AE$2:$AE$10000,0),1)&gt;0,INDEX('CAMD Facility Data 2023'!$AC$2:$AE$10000,MATCH(Z2833,'CAMD Facility Data 2023'!$AE$2:$AE$10000,0),1),"")</f>
        <v>2926</v>
      </c>
      <c r="AC2833" s="1" t="str">
        <f>IF(INDEX('CAMD Facility Data 2023'!$AE$2:$AG$10000,MATCH(Z2833,'CAMD Facility Data 2023'!$AE$2:$AE$10000,0),3)&gt;0,INDEX('CAMD Facility Data 2023'!$AE$2:$AG$10000,MATCH(Z2833,'CAMD Facility Data 2023'!$AE$2:$AE$10000,0),3),"")</f>
        <v>Y</v>
      </c>
      <c r="AD2833" s="20">
        <f t="shared" si="133"/>
        <v>5.8653172417986447E-2</v>
      </c>
      <c r="AE2833" s="25">
        <f t="shared" si="134"/>
        <v>0.66642319259387572</v>
      </c>
    </row>
    <row r="2834" spans="1:31" x14ac:dyDescent="0.2">
      <c r="A2834" s="1" t="s">
        <v>1621</v>
      </c>
      <c r="B2834" s="1" t="s">
        <v>6460</v>
      </c>
      <c r="C2834" s="1">
        <v>55297</v>
      </c>
      <c r="D2834" s="1">
        <v>3</v>
      </c>
      <c r="F2834" s="1">
        <v>2023</v>
      </c>
      <c r="G2834" s="5">
        <v>8117</v>
      </c>
      <c r="H2834" s="5">
        <v>8108.18</v>
      </c>
      <c r="I2834" s="5">
        <v>2300968.34</v>
      </c>
      <c r="K2834" s="5">
        <v>5.7160000000000002</v>
      </c>
      <c r="L2834" s="5">
        <v>1E-3</v>
      </c>
      <c r="M2834" s="5">
        <v>1132258.372</v>
      </c>
      <c r="N2834" s="6">
        <v>5.8999999999999997E-2</v>
      </c>
      <c r="O2834" s="5">
        <v>65.346999999999994</v>
      </c>
      <c r="P2834" s="6">
        <v>7.0000000000000001E-3</v>
      </c>
      <c r="Q2834" s="5">
        <v>19052395.782000002</v>
      </c>
      <c r="R2834" s="1" t="s">
        <v>44</v>
      </c>
      <c r="T2834" s="1" t="s">
        <v>71</v>
      </c>
      <c r="V2834" s="1" t="s">
        <v>64</v>
      </c>
      <c r="Y2834" s="1" t="s">
        <v>461</v>
      </c>
      <c r="Z2834" s="1" t="str">
        <f t="shared" si="132"/>
        <v>55297 3</v>
      </c>
      <c r="AA2834" s="3">
        <f>IF(INDEX('CAMD Facility Data 2023'!$AA$2:$AE$10000,MATCH(Z2834,'CAMD Facility Data 2023'!$AE$2:$AE$10000,0),1)&gt;0,INDEX('CAMD Facility Data 2023'!$AA$2:$AE$10000,MATCH(Z2834,'CAMD Facility Data 2023'!$AE$2:$AE$10000,0),1),"")</f>
        <v>37941</v>
      </c>
      <c r="AB2834" s="5">
        <f>IF(INDEX('CAMD Facility Data 2023'!$AC$2:$AE$10000,MATCH(Z2834,'CAMD Facility Data 2023'!$AE$2:$AE$10000,0),1)&gt;0,INDEX('CAMD Facility Data 2023'!$AC$2:$AE$10000,MATCH(Z2834,'CAMD Facility Data 2023'!$AE$2:$AE$10000,0),1),"")</f>
        <v>2926</v>
      </c>
      <c r="AC2834" s="1" t="str">
        <f>IF(INDEX('CAMD Facility Data 2023'!$AE$2:$AG$10000,MATCH(Z2834,'CAMD Facility Data 2023'!$AE$2:$AE$10000,0),3)&gt;0,INDEX('CAMD Facility Data 2023'!$AE$2:$AG$10000,MATCH(Z2834,'CAMD Facility Data 2023'!$AE$2:$AE$10000,0),3),"")</f>
        <v>Y</v>
      </c>
      <c r="AD2834" s="20">
        <f t="shared" si="133"/>
        <v>5.679956465633073E-2</v>
      </c>
      <c r="AE2834" s="25">
        <f t="shared" si="134"/>
        <v>0.74331203873631779</v>
      </c>
    </row>
    <row r="2835" spans="1:31" x14ac:dyDescent="0.2">
      <c r="A2835" s="1" t="s">
        <v>2584</v>
      </c>
      <c r="B2835" s="1" t="s">
        <v>6468</v>
      </c>
      <c r="C2835" s="1">
        <v>55298</v>
      </c>
      <c r="D2835" s="1" t="s">
        <v>372</v>
      </c>
      <c r="F2835" s="1">
        <v>2023</v>
      </c>
      <c r="G2835" s="5">
        <v>7099</v>
      </c>
      <c r="H2835" s="5">
        <v>7088.56</v>
      </c>
      <c r="I2835" s="5">
        <v>1916838.44</v>
      </c>
      <c r="K2835" s="5">
        <v>3.8109999999999999</v>
      </c>
      <c r="L2835" s="5">
        <v>1E-3</v>
      </c>
      <c r="M2835" s="5">
        <v>754982.87199999997</v>
      </c>
      <c r="N2835" s="6">
        <v>5.8999999999999997E-2</v>
      </c>
      <c r="O2835" s="5">
        <v>49.075000000000003</v>
      </c>
      <c r="P2835" s="6">
        <v>8.3000000000000001E-3</v>
      </c>
      <c r="Q2835" s="5">
        <v>12703998.68</v>
      </c>
      <c r="R2835" s="1" t="s">
        <v>44</v>
      </c>
      <c r="T2835" s="1" t="s">
        <v>71</v>
      </c>
      <c r="V2835" s="1" t="s">
        <v>64</v>
      </c>
      <c r="Y2835" s="1" t="s">
        <v>1515</v>
      </c>
      <c r="Z2835" s="1" t="str">
        <f t="shared" si="132"/>
        <v>55298 1A</v>
      </c>
      <c r="AA2835" s="3">
        <f>IF(INDEX('CAMD Facility Data 2023'!$AA$2:$AE$10000,MATCH(Z2835,'CAMD Facility Data 2023'!$AE$2:$AE$10000,0),1)&gt;0,INDEX('CAMD Facility Data 2023'!$AA$2:$AE$10000,MATCH(Z2835,'CAMD Facility Data 2023'!$AE$2:$AE$10000,0),1),"")</f>
        <v>38037</v>
      </c>
      <c r="AB2835" s="5">
        <f>IF(INDEX('CAMD Facility Data 2023'!$AC$2:$AE$10000,MATCH(Z2835,'CAMD Facility Data 2023'!$AE$2:$AE$10000,0),1)&gt;0,INDEX('CAMD Facility Data 2023'!$AC$2:$AE$10000,MATCH(Z2835,'CAMD Facility Data 2023'!$AE$2:$AE$10000,0),1),"")</f>
        <v>2406</v>
      </c>
      <c r="AC2835" s="1" t="str">
        <f>IF(INDEX('CAMD Facility Data 2023'!$AE$2:$AG$10000,MATCH(Z2835,'CAMD Facility Data 2023'!$AE$2:$AE$10000,0),3)&gt;0,INDEX('CAMD Facility Data 2023'!$AE$2:$AG$10000,MATCH(Z2835,'CAMD Facility Data 2023'!$AE$2:$AE$10000,0),3),"")</f>
        <v>Y</v>
      </c>
      <c r="AD2835" s="20">
        <f t="shared" si="133"/>
        <v>5.1204106695606544E-2</v>
      </c>
      <c r="AE2835" s="25">
        <f t="shared" si="134"/>
        <v>0.60275484614187513</v>
      </c>
    </row>
    <row r="2836" spans="1:31" x14ac:dyDescent="0.2">
      <c r="A2836" s="1" t="s">
        <v>2584</v>
      </c>
      <c r="B2836" s="1" t="s">
        <v>6468</v>
      </c>
      <c r="C2836" s="1">
        <v>55298</v>
      </c>
      <c r="D2836" s="1" t="s">
        <v>1199</v>
      </c>
      <c r="F2836" s="1">
        <v>2023</v>
      </c>
      <c r="G2836" s="5">
        <v>7098</v>
      </c>
      <c r="H2836" s="5">
        <v>7083.78</v>
      </c>
      <c r="I2836" s="5">
        <v>1881068.44</v>
      </c>
      <c r="K2836" s="5">
        <v>3.7959999999999998</v>
      </c>
      <c r="L2836" s="5">
        <v>1E-3</v>
      </c>
      <c r="M2836" s="5">
        <v>751989.152</v>
      </c>
      <c r="N2836" s="6">
        <v>5.8999999999999997E-2</v>
      </c>
      <c r="O2836" s="5">
        <v>46.231000000000002</v>
      </c>
      <c r="P2836" s="6">
        <v>7.7999999999999996E-3</v>
      </c>
      <c r="Q2836" s="5">
        <v>12653649.700999999</v>
      </c>
      <c r="R2836" s="1" t="s">
        <v>44</v>
      </c>
      <c r="T2836" s="1" t="s">
        <v>71</v>
      </c>
      <c r="V2836" s="1" t="s">
        <v>64</v>
      </c>
      <c r="Y2836" s="1" t="s">
        <v>1515</v>
      </c>
      <c r="Z2836" s="1" t="str">
        <f t="shared" si="132"/>
        <v>55298 1B</v>
      </c>
      <c r="AA2836" s="3">
        <f>IF(INDEX('CAMD Facility Data 2023'!$AA$2:$AE$10000,MATCH(Z2836,'CAMD Facility Data 2023'!$AE$2:$AE$10000,0),1)&gt;0,INDEX('CAMD Facility Data 2023'!$AA$2:$AE$10000,MATCH(Z2836,'CAMD Facility Data 2023'!$AE$2:$AE$10000,0),1),"")</f>
        <v>38033</v>
      </c>
      <c r="AB2836" s="5">
        <f>IF(INDEX('CAMD Facility Data 2023'!$AC$2:$AE$10000,MATCH(Z2836,'CAMD Facility Data 2023'!$AE$2:$AE$10000,0),1)&gt;0,INDEX('CAMD Facility Data 2023'!$AC$2:$AE$10000,MATCH(Z2836,'CAMD Facility Data 2023'!$AE$2:$AE$10000,0),1),"")</f>
        <v>2500</v>
      </c>
      <c r="AC2836" s="1" t="str">
        <f>IF(INDEX('CAMD Facility Data 2023'!$AE$2:$AG$10000,MATCH(Z2836,'CAMD Facility Data 2023'!$AE$2:$AE$10000,0),3)&gt;0,INDEX('CAMD Facility Data 2023'!$AE$2:$AG$10000,MATCH(Z2836,'CAMD Facility Data 2023'!$AE$2:$AE$10000,0),3),"")</f>
        <v>Y</v>
      </c>
      <c r="AD2836" s="20">
        <f t="shared" si="133"/>
        <v>4.9153979745681128E-2</v>
      </c>
      <c r="AE2836" s="25">
        <f t="shared" si="134"/>
        <v>0.57779222378995432</v>
      </c>
    </row>
    <row r="2837" spans="1:31" x14ac:dyDescent="0.2">
      <c r="A2837" s="1" t="s">
        <v>2584</v>
      </c>
      <c r="B2837" s="1" t="s">
        <v>6468</v>
      </c>
      <c r="C2837" s="1">
        <v>55298</v>
      </c>
      <c r="D2837" s="1" t="s">
        <v>377</v>
      </c>
      <c r="F2837" s="1">
        <v>2023</v>
      </c>
      <c r="G2837" s="5">
        <v>8187</v>
      </c>
      <c r="H2837" s="5">
        <v>8182.03</v>
      </c>
      <c r="I2837" s="5">
        <v>2205194.31</v>
      </c>
      <c r="K2837" s="5">
        <v>4.452</v>
      </c>
      <c r="L2837" s="5">
        <v>1E-3</v>
      </c>
      <c r="M2837" s="5">
        <v>881790.96799999999</v>
      </c>
      <c r="N2837" s="6">
        <v>5.8999999999999997E-2</v>
      </c>
      <c r="O2837" s="5">
        <v>57.335000000000001</v>
      </c>
      <c r="P2837" s="6">
        <v>8.0000000000000002E-3</v>
      </c>
      <c r="Q2837" s="5">
        <v>14837779.248</v>
      </c>
      <c r="R2837" s="1" t="s">
        <v>44</v>
      </c>
      <c r="T2837" s="1" t="s">
        <v>71</v>
      </c>
      <c r="V2837" s="1" t="s">
        <v>64</v>
      </c>
      <c r="Y2837" s="1" t="s">
        <v>1515</v>
      </c>
      <c r="Z2837" s="1" t="str">
        <f t="shared" si="132"/>
        <v>55298 2A</v>
      </c>
      <c r="AA2837" s="3">
        <f>IF(INDEX('CAMD Facility Data 2023'!$AA$2:$AE$10000,MATCH(Z2837,'CAMD Facility Data 2023'!$AE$2:$AE$10000,0),1)&gt;0,INDEX('CAMD Facility Data 2023'!$AA$2:$AE$10000,MATCH(Z2837,'CAMD Facility Data 2023'!$AE$2:$AE$10000,0),1),"")</f>
        <v>38100</v>
      </c>
      <c r="AB2837" s="5">
        <f>IF(INDEX('CAMD Facility Data 2023'!$AC$2:$AE$10000,MATCH(Z2837,'CAMD Facility Data 2023'!$AE$2:$AE$10000,0),1)&gt;0,INDEX('CAMD Facility Data 2023'!$AC$2:$AE$10000,MATCH(Z2837,'CAMD Facility Data 2023'!$AE$2:$AE$10000,0),1),"")</f>
        <v>2406</v>
      </c>
      <c r="AC2837" s="1" t="str">
        <f>IF(INDEX('CAMD Facility Data 2023'!$AE$2:$AG$10000,MATCH(Z2837,'CAMD Facility Data 2023'!$AE$2:$AE$10000,0),3)&gt;0,INDEX('CAMD Facility Data 2023'!$AE$2:$AG$10000,MATCH(Z2837,'CAMD Facility Data 2023'!$AE$2:$AE$10000,0),3),"")</f>
        <v>Y</v>
      </c>
      <c r="AD2837" s="20">
        <f t="shared" si="133"/>
        <v>5.1999952784206119E-2</v>
      </c>
      <c r="AE2837" s="25">
        <f t="shared" si="134"/>
        <v>0.70399435429690616</v>
      </c>
    </row>
    <row r="2838" spans="1:31" x14ac:dyDescent="0.2">
      <c r="A2838" s="1" t="s">
        <v>2584</v>
      </c>
      <c r="B2838" s="1" t="s">
        <v>6468</v>
      </c>
      <c r="C2838" s="1">
        <v>55298</v>
      </c>
      <c r="D2838" s="1" t="s">
        <v>1201</v>
      </c>
      <c r="F2838" s="1">
        <v>2023</v>
      </c>
      <c r="G2838" s="5">
        <v>8193</v>
      </c>
      <c r="H2838" s="5">
        <v>8189.18</v>
      </c>
      <c r="I2838" s="5">
        <v>2221484.0099999998</v>
      </c>
      <c r="K2838" s="5">
        <v>4.5629999999999997</v>
      </c>
      <c r="L2838" s="5">
        <v>1E-3</v>
      </c>
      <c r="M2838" s="5">
        <v>903911.39500000002</v>
      </c>
      <c r="N2838" s="6">
        <v>5.8999999999999997E-2</v>
      </c>
      <c r="O2838" s="5">
        <v>61.085000000000001</v>
      </c>
      <c r="P2838" s="6">
        <v>8.3000000000000001E-3</v>
      </c>
      <c r="Q2838" s="5">
        <v>15209989.800000001</v>
      </c>
      <c r="R2838" s="1" t="s">
        <v>44</v>
      </c>
      <c r="T2838" s="1" t="s">
        <v>71</v>
      </c>
      <c r="V2838" s="1" t="s">
        <v>64</v>
      </c>
      <c r="Y2838" s="1" t="s">
        <v>1515</v>
      </c>
      <c r="Z2838" s="1" t="str">
        <f t="shared" si="132"/>
        <v>55298 2B</v>
      </c>
      <c r="AA2838" s="3">
        <f>IF(INDEX('CAMD Facility Data 2023'!$AA$2:$AE$10000,MATCH(Z2838,'CAMD Facility Data 2023'!$AE$2:$AE$10000,0),1)&gt;0,INDEX('CAMD Facility Data 2023'!$AA$2:$AE$10000,MATCH(Z2838,'CAMD Facility Data 2023'!$AE$2:$AE$10000,0),1),"")</f>
        <v>38094</v>
      </c>
      <c r="AB2838" s="5">
        <f>IF(INDEX('CAMD Facility Data 2023'!$AC$2:$AE$10000,MATCH(Z2838,'CAMD Facility Data 2023'!$AE$2:$AE$10000,0),1)&gt;0,INDEX('CAMD Facility Data 2023'!$AC$2:$AE$10000,MATCH(Z2838,'CAMD Facility Data 2023'!$AE$2:$AE$10000,0),1),"")</f>
        <v>2406</v>
      </c>
      <c r="AC2838" s="1" t="str">
        <f>IF(INDEX('CAMD Facility Data 2023'!$AE$2:$AG$10000,MATCH(Z2838,'CAMD Facility Data 2023'!$AE$2:$AE$10000,0),3)&gt;0,INDEX('CAMD Facility Data 2023'!$AE$2:$AG$10000,MATCH(Z2838,'CAMD Facility Data 2023'!$AE$2:$AE$10000,0),3),"")</f>
        <v>Y</v>
      </c>
      <c r="AD2838" s="20">
        <f t="shared" si="133"/>
        <v>5.4994769014790258E-2</v>
      </c>
      <c r="AE2838" s="25">
        <f t="shared" si="134"/>
        <v>0.72165428324166758</v>
      </c>
    </row>
    <row r="2839" spans="1:31" x14ac:dyDescent="0.2">
      <c r="A2839" s="1" t="s">
        <v>383</v>
      </c>
      <c r="B2839" s="1" t="s">
        <v>6474</v>
      </c>
      <c r="C2839" s="1">
        <v>55299</v>
      </c>
      <c r="D2839" s="1" t="s">
        <v>1129</v>
      </c>
      <c r="F2839" s="1">
        <v>2023</v>
      </c>
      <c r="G2839" s="5">
        <v>6636</v>
      </c>
      <c r="H2839" s="5">
        <v>6632.4</v>
      </c>
      <c r="I2839" s="5">
        <v>1867639.64</v>
      </c>
      <c r="K2839" s="5">
        <v>3.6459999999999999</v>
      </c>
      <c r="L2839" s="5">
        <v>1E-3</v>
      </c>
      <c r="M2839" s="5">
        <v>682553.06299999997</v>
      </c>
      <c r="N2839" s="6">
        <v>5.8999999999999997E-2</v>
      </c>
      <c r="O2839" s="5">
        <v>75.278000000000006</v>
      </c>
      <c r="P2839" s="6">
        <v>1.3100000000000001E-2</v>
      </c>
      <c r="Q2839" s="5">
        <v>11485254.324999999</v>
      </c>
      <c r="R2839" s="1" t="s">
        <v>288</v>
      </c>
      <c r="T2839" s="1" t="s">
        <v>71</v>
      </c>
      <c r="V2839" s="1" t="s">
        <v>223</v>
      </c>
      <c r="Y2839" s="1" t="s">
        <v>346</v>
      </c>
      <c r="Z2839" s="1" t="str">
        <f t="shared" si="132"/>
        <v>55299 CTG1</v>
      </c>
      <c r="AA2839" s="3">
        <f>IF(INDEX('CAMD Facility Data 2023'!$AA$2:$AE$10000,MATCH(Z2839,'CAMD Facility Data 2023'!$AE$2:$AE$10000,0),1)&gt;0,INDEX('CAMD Facility Data 2023'!$AA$2:$AE$10000,MATCH(Z2839,'CAMD Facility Data 2023'!$AE$2:$AE$10000,0),1),"")</f>
        <v>37077</v>
      </c>
      <c r="AB2839" s="5">
        <f>IF(INDEX('CAMD Facility Data 2023'!$AC$2:$AE$10000,MATCH(Z2839,'CAMD Facility Data 2023'!$AE$2:$AE$10000,0),1)&gt;0,INDEX('CAMD Facility Data 2023'!$AC$2:$AE$10000,MATCH(Z2839,'CAMD Facility Data 2023'!$AE$2:$AE$10000,0),1),"")</f>
        <v>2600</v>
      </c>
      <c r="AC2839" s="1" t="str">
        <f>IF(INDEX('CAMD Facility Data 2023'!$AE$2:$AG$10000,MATCH(Z2839,'CAMD Facility Data 2023'!$AE$2:$AE$10000,0),3)&gt;0,INDEX('CAMD Facility Data 2023'!$AE$2:$AG$10000,MATCH(Z2839,'CAMD Facility Data 2023'!$AE$2:$AE$10000,0),3),"")</f>
        <v>Y</v>
      </c>
      <c r="AD2839" s="20">
        <f t="shared" si="133"/>
        <v>8.0612981634936812E-2</v>
      </c>
      <c r="AE2839" s="25">
        <f t="shared" si="134"/>
        <v>0.50427003534422199</v>
      </c>
    </row>
    <row r="2840" spans="1:31" x14ac:dyDescent="0.2">
      <c r="A2840" s="1" t="s">
        <v>383</v>
      </c>
      <c r="B2840" s="1" t="s">
        <v>6474</v>
      </c>
      <c r="C2840" s="1">
        <v>55299</v>
      </c>
      <c r="D2840" s="1" t="s">
        <v>1135</v>
      </c>
      <c r="F2840" s="1">
        <v>2023</v>
      </c>
      <c r="G2840" s="5">
        <v>5542</v>
      </c>
      <c r="H2840" s="5">
        <v>5527.99</v>
      </c>
      <c r="I2840" s="5">
        <v>1576901.85</v>
      </c>
      <c r="K2840" s="5">
        <v>2.649</v>
      </c>
      <c r="L2840" s="5">
        <v>0</v>
      </c>
      <c r="M2840" s="5">
        <v>654989.26</v>
      </c>
      <c r="N2840" s="6">
        <v>5.8999999999999997E-2</v>
      </c>
      <c r="O2840" s="5">
        <v>62.643000000000001</v>
      </c>
      <c r="P2840" s="6">
        <v>1.1599999999999999E-2</v>
      </c>
      <c r="Q2840" s="5">
        <v>11021459.268999999</v>
      </c>
      <c r="R2840" s="1" t="s">
        <v>288</v>
      </c>
      <c r="T2840" s="1" t="s">
        <v>71</v>
      </c>
      <c r="V2840" s="1" t="s">
        <v>223</v>
      </c>
      <c r="Y2840" s="1" t="s">
        <v>346</v>
      </c>
      <c r="Z2840" s="1" t="str">
        <f t="shared" si="132"/>
        <v>55299 CTG2</v>
      </c>
      <c r="AA2840" s="3">
        <f>IF(INDEX('CAMD Facility Data 2023'!$AA$2:$AE$10000,MATCH(Z2840,'CAMD Facility Data 2023'!$AE$2:$AE$10000,0),1)&gt;0,INDEX('CAMD Facility Data 2023'!$AA$2:$AE$10000,MATCH(Z2840,'CAMD Facility Data 2023'!$AE$2:$AE$10000,0),1),"")</f>
        <v>37371</v>
      </c>
      <c r="AB2840" s="5">
        <f>IF(INDEX('CAMD Facility Data 2023'!$AC$2:$AE$10000,MATCH(Z2840,'CAMD Facility Data 2023'!$AE$2:$AE$10000,0),1)&gt;0,INDEX('CAMD Facility Data 2023'!$AC$2:$AE$10000,MATCH(Z2840,'CAMD Facility Data 2023'!$AE$2:$AE$10000,0),1),"")</f>
        <v>2781</v>
      </c>
      <c r="AC2840" s="1" t="str">
        <f>IF(INDEX('CAMD Facility Data 2023'!$AE$2:$AG$10000,MATCH(Z2840,'CAMD Facility Data 2023'!$AE$2:$AE$10000,0),3)&gt;0,INDEX('CAMD Facility Data 2023'!$AE$2:$AG$10000,MATCH(Z2840,'CAMD Facility Data 2023'!$AE$2:$AE$10000,0),3),"")</f>
        <v>Y</v>
      </c>
      <c r="AD2840" s="20">
        <f t="shared" si="133"/>
        <v>7.9450728020897421E-2</v>
      </c>
      <c r="AE2840" s="25">
        <f t="shared" si="134"/>
        <v>0.45241188450164932</v>
      </c>
    </row>
    <row r="2841" spans="1:31" x14ac:dyDescent="0.2">
      <c r="A2841" s="1" t="s">
        <v>383</v>
      </c>
      <c r="B2841" s="1" t="s">
        <v>6474</v>
      </c>
      <c r="C2841" s="1">
        <v>55299</v>
      </c>
      <c r="D2841" s="1" t="s">
        <v>6002</v>
      </c>
      <c r="F2841" s="1">
        <v>2023</v>
      </c>
      <c r="G2841" s="5">
        <v>7937</v>
      </c>
      <c r="H2841" s="5">
        <v>7927.39</v>
      </c>
      <c r="I2841" s="5">
        <v>2221144</v>
      </c>
      <c r="K2841" s="5">
        <v>4.68</v>
      </c>
      <c r="L2841" s="5">
        <v>1E-3</v>
      </c>
      <c r="M2841" s="5">
        <v>939348.87899999996</v>
      </c>
      <c r="N2841" s="6">
        <v>5.8999999999999997E-2</v>
      </c>
      <c r="O2841" s="5">
        <v>44.991</v>
      </c>
      <c r="P2841" s="6">
        <v>5.7999999999999996E-3</v>
      </c>
      <c r="Q2841" s="5">
        <v>15806500.92</v>
      </c>
      <c r="R2841" s="1" t="s">
        <v>44</v>
      </c>
      <c r="S2841" s="1" t="s">
        <v>288</v>
      </c>
      <c r="T2841" s="1" t="s">
        <v>71</v>
      </c>
      <c r="V2841" s="1" t="s">
        <v>223</v>
      </c>
      <c r="Y2841" s="1" t="s">
        <v>346</v>
      </c>
      <c r="Z2841" s="1" t="str">
        <f t="shared" si="132"/>
        <v>55299 CTG3</v>
      </c>
      <c r="AA2841" s="3">
        <f>IF(INDEX('CAMD Facility Data 2023'!$AA$2:$AE$10000,MATCH(Z2841,'CAMD Facility Data 2023'!$AE$2:$AE$10000,0),1)&gt;0,INDEX('CAMD Facility Data 2023'!$AA$2:$AE$10000,MATCH(Z2841,'CAMD Facility Data 2023'!$AE$2:$AE$10000,0),1),"")</f>
        <v>41785</v>
      </c>
      <c r="AB2841" s="5">
        <f>IF(INDEX('CAMD Facility Data 2023'!$AC$2:$AE$10000,MATCH(Z2841,'CAMD Facility Data 2023'!$AE$2:$AE$10000,0),1)&gt;0,INDEX('CAMD Facility Data 2023'!$AC$2:$AE$10000,MATCH(Z2841,'CAMD Facility Data 2023'!$AE$2:$AE$10000,0),1),"")</f>
        <v>2597</v>
      </c>
      <c r="AC2841" s="1" t="str">
        <f>IF(INDEX('CAMD Facility Data 2023'!$AE$2:$AG$10000,MATCH(Z2841,'CAMD Facility Data 2023'!$AE$2:$AE$10000,0),3)&gt;0,INDEX('CAMD Facility Data 2023'!$AE$2:$AG$10000,MATCH(Z2841,'CAMD Facility Data 2023'!$AE$2:$AE$10000,0),3),"")</f>
        <v>Y</v>
      </c>
      <c r="AD2841" s="20">
        <f t="shared" si="133"/>
        <v>4.0511556207071669E-2</v>
      </c>
      <c r="AE2841" s="25">
        <f t="shared" si="134"/>
        <v>0.69479980061293056</v>
      </c>
    </row>
    <row r="2842" spans="1:31" x14ac:dyDescent="0.2">
      <c r="A2842" s="1" t="s">
        <v>921</v>
      </c>
      <c r="B2842" s="1" t="s">
        <v>6479</v>
      </c>
      <c r="C2842" s="1">
        <v>55304</v>
      </c>
      <c r="D2842" s="1" t="s">
        <v>311</v>
      </c>
      <c r="F2842" s="1">
        <v>2023</v>
      </c>
      <c r="G2842" s="5">
        <v>0</v>
      </c>
      <c r="H2842" s="5">
        <v>0</v>
      </c>
      <c r="R2842" s="1" t="s">
        <v>44</v>
      </c>
      <c r="S2842" s="1" t="s">
        <v>94</v>
      </c>
      <c r="T2842" s="1" t="s">
        <v>93</v>
      </c>
      <c r="V2842" s="1" t="s">
        <v>95</v>
      </c>
      <c r="Y2842" s="1" t="s">
        <v>952</v>
      </c>
      <c r="Z2842" s="1" t="str">
        <f t="shared" si="132"/>
        <v>55304 CT1</v>
      </c>
      <c r="AA2842" s="3">
        <f>IF(INDEX('CAMD Facility Data 2023'!$AA$2:$AE$10000,MATCH(Z2842,'CAMD Facility Data 2023'!$AE$2:$AE$10000,0),1)&gt;0,INDEX('CAMD Facility Data 2023'!$AA$2:$AE$10000,MATCH(Z2842,'CAMD Facility Data 2023'!$AE$2:$AE$10000,0),1),"")</f>
        <v>36692</v>
      </c>
      <c r="AB2842" s="5">
        <f>IF(INDEX('CAMD Facility Data 2023'!$AC$2:$AE$10000,MATCH(Z2842,'CAMD Facility Data 2023'!$AE$2:$AE$10000,0),1)&gt;0,INDEX('CAMD Facility Data 2023'!$AC$2:$AE$10000,MATCH(Z2842,'CAMD Facility Data 2023'!$AE$2:$AE$10000,0),1),"")</f>
        <v>614</v>
      </c>
      <c r="AC2842" s="1" t="str">
        <f>IF(INDEX('CAMD Facility Data 2023'!$AE$2:$AG$10000,MATCH(Z2842,'CAMD Facility Data 2023'!$AE$2:$AE$10000,0),3)&gt;0,INDEX('CAMD Facility Data 2023'!$AE$2:$AG$10000,MATCH(Z2842,'CAMD Facility Data 2023'!$AE$2:$AE$10000,0),3),"")</f>
        <v/>
      </c>
      <c r="AD2842" s="20" t="str">
        <f t="shared" si="133"/>
        <v/>
      </c>
      <c r="AE2842" s="25">
        <f t="shared" si="134"/>
        <v>0</v>
      </c>
    </row>
    <row r="2843" spans="1:31" x14ac:dyDescent="0.2">
      <c r="A2843" s="1" t="s">
        <v>921</v>
      </c>
      <c r="B2843" s="1" t="s">
        <v>6479</v>
      </c>
      <c r="C2843" s="1">
        <v>55304</v>
      </c>
      <c r="D2843" s="1" t="s">
        <v>105</v>
      </c>
      <c r="F2843" s="1">
        <v>2023</v>
      </c>
      <c r="G2843" s="5">
        <v>968</v>
      </c>
      <c r="H2843" s="5">
        <v>839.39</v>
      </c>
      <c r="I2843" s="5">
        <v>37495.19</v>
      </c>
      <c r="K2843" s="5">
        <v>0.111</v>
      </c>
      <c r="L2843" s="5">
        <v>1E-3</v>
      </c>
      <c r="M2843" s="5">
        <v>21947.776999999998</v>
      </c>
      <c r="N2843" s="6">
        <v>5.9700000000000003E-2</v>
      </c>
      <c r="O2843" s="5">
        <v>17.361000000000001</v>
      </c>
      <c r="P2843" s="6">
        <v>0.10199999999999999</v>
      </c>
      <c r="Q2843" s="5">
        <v>369143.47100000002</v>
      </c>
      <c r="R2843" s="1" t="s">
        <v>44</v>
      </c>
      <c r="S2843" s="1" t="s">
        <v>94</v>
      </c>
      <c r="T2843" s="1" t="s">
        <v>93</v>
      </c>
      <c r="V2843" s="1" t="s">
        <v>95</v>
      </c>
      <c r="Y2843" s="1" t="s">
        <v>952</v>
      </c>
      <c r="Z2843" s="1" t="str">
        <f t="shared" si="132"/>
        <v>55304 CT5</v>
      </c>
      <c r="AA2843" s="3">
        <f>IF(INDEX('CAMD Facility Data 2023'!$AA$2:$AE$10000,MATCH(Z2843,'CAMD Facility Data 2023'!$AE$2:$AE$10000,0),1)&gt;0,INDEX('CAMD Facility Data 2023'!$AA$2:$AE$10000,MATCH(Z2843,'CAMD Facility Data 2023'!$AE$2:$AE$10000,0),1),"")</f>
        <v>36708</v>
      </c>
      <c r="AB2843" s="5">
        <f>IF(INDEX('CAMD Facility Data 2023'!$AC$2:$AE$10000,MATCH(Z2843,'CAMD Facility Data 2023'!$AE$2:$AE$10000,0),1)&gt;0,INDEX('CAMD Facility Data 2023'!$AC$2:$AE$10000,MATCH(Z2843,'CAMD Facility Data 2023'!$AE$2:$AE$10000,0),1),"")</f>
        <v>614</v>
      </c>
      <c r="AC2843" s="1" t="str">
        <f>IF(INDEX('CAMD Facility Data 2023'!$AE$2:$AG$10000,MATCH(Z2843,'CAMD Facility Data 2023'!$AE$2:$AE$10000,0),3)&gt;0,INDEX('CAMD Facility Data 2023'!$AE$2:$AG$10000,MATCH(Z2843,'CAMD Facility Data 2023'!$AE$2:$AE$10000,0),3),"")</f>
        <v/>
      </c>
      <c r="AD2843" s="20">
        <f t="shared" si="133"/>
        <v>0.92603877990750272</v>
      </c>
      <c r="AE2843" s="25">
        <f t="shared" si="134"/>
        <v>6.8631377262653753E-2</v>
      </c>
    </row>
    <row r="2844" spans="1:31" x14ac:dyDescent="0.2">
      <c r="A2844" s="1" t="s">
        <v>234</v>
      </c>
      <c r="B2844" s="1" t="s">
        <v>6485</v>
      </c>
      <c r="C2844" s="1">
        <v>55306</v>
      </c>
      <c r="D2844" s="1" t="s">
        <v>6486</v>
      </c>
      <c r="F2844" s="1">
        <v>2023</v>
      </c>
      <c r="G2844" s="5">
        <v>6501</v>
      </c>
      <c r="H2844" s="5">
        <v>6307.81</v>
      </c>
      <c r="I2844" s="5">
        <v>1440805.29</v>
      </c>
      <c r="K2844" s="5">
        <v>3.0979999999999999</v>
      </c>
      <c r="L2844" s="5">
        <v>1E-3</v>
      </c>
      <c r="M2844" s="5">
        <v>613742.728</v>
      </c>
      <c r="N2844" s="6">
        <v>5.9200000000000003E-2</v>
      </c>
      <c r="O2844" s="5">
        <v>44.307000000000002</v>
      </c>
      <c r="P2844" s="6">
        <v>1.2800000000000001E-2</v>
      </c>
      <c r="Q2844" s="5">
        <v>10327428.853</v>
      </c>
      <c r="R2844" s="1" t="s">
        <v>44</v>
      </c>
      <c r="T2844" s="1" t="s">
        <v>71</v>
      </c>
      <c r="V2844" s="1" t="s">
        <v>64</v>
      </c>
      <c r="Y2844" s="1" t="s">
        <v>247</v>
      </c>
      <c r="Z2844" s="1" t="str">
        <f t="shared" si="132"/>
        <v>55306 1CTGA</v>
      </c>
      <c r="AA2844" s="3">
        <f>IF(INDEX('CAMD Facility Data 2023'!$AA$2:$AE$10000,MATCH(Z2844,'CAMD Facility Data 2023'!$AE$2:$AE$10000,0),1)&gt;0,INDEX('CAMD Facility Data 2023'!$AA$2:$AE$10000,MATCH(Z2844,'CAMD Facility Data 2023'!$AE$2:$AE$10000,0),1),"")</f>
        <v>37641</v>
      </c>
      <c r="AB2844" s="5">
        <f>IF(INDEX('CAMD Facility Data 2023'!$AC$2:$AE$10000,MATCH(Z2844,'CAMD Facility Data 2023'!$AE$2:$AE$10000,0),1)&gt;0,INDEX('CAMD Facility Data 2023'!$AC$2:$AE$10000,MATCH(Z2844,'CAMD Facility Data 2023'!$AE$2:$AE$10000,0),1),"")</f>
        <v>2270</v>
      </c>
      <c r="AC2844" s="1" t="str">
        <f>IF(INDEX('CAMD Facility Data 2023'!$AE$2:$AG$10000,MATCH(Z2844,'CAMD Facility Data 2023'!$AE$2:$AE$10000,0),3)&gt;0,INDEX('CAMD Facility Data 2023'!$AE$2:$AG$10000,MATCH(Z2844,'CAMD Facility Data 2023'!$AE$2:$AE$10000,0),3),"")</f>
        <v>Y</v>
      </c>
      <c r="AD2844" s="20">
        <f t="shared" si="133"/>
        <v>6.1503105669469052E-2</v>
      </c>
      <c r="AE2844" s="25">
        <f t="shared" si="134"/>
        <v>0.51935252615010163</v>
      </c>
    </row>
    <row r="2845" spans="1:31" x14ac:dyDescent="0.2">
      <c r="A2845" s="1" t="s">
        <v>234</v>
      </c>
      <c r="B2845" s="1" t="s">
        <v>6485</v>
      </c>
      <c r="C2845" s="1">
        <v>55306</v>
      </c>
      <c r="D2845" s="1" t="s">
        <v>6488</v>
      </c>
      <c r="F2845" s="1">
        <v>2023</v>
      </c>
      <c r="G2845" s="5">
        <v>6849</v>
      </c>
      <c r="H2845" s="5">
        <v>6697.83</v>
      </c>
      <c r="I2845" s="5">
        <v>1563405.76</v>
      </c>
      <c r="K2845" s="5">
        <v>3.4</v>
      </c>
      <c r="L2845" s="5">
        <v>1E-3</v>
      </c>
      <c r="M2845" s="5">
        <v>673580.60199999996</v>
      </c>
      <c r="N2845" s="6">
        <v>5.8999999999999997E-2</v>
      </c>
      <c r="O2845" s="5">
        <v>44.996000000000002</v>
      </c>
      <c r="P2845" s="6">
        <v>1.0800000000000001E-2</v>
      </c>
      <c r="Q2845" s="5">
        <v>11334301.093</v>
      </c>
      <c r="R2845" s="1" t="s">
        <v>44</v>
      </c>
      <c r="T2845" s="1" t="s">
        <v>71</v>
      </c>
      <c r="V2845" s="1" t="s">
        <v>64</v>
      </c>
      <c r="Y2845" s="1" t="s">
        <v>247</v>
      </c>
      <c r="Z2845" s="1" t="str">
        <f t="shared" si="132"/>
        <v>55306 1CTGB</v>
      </c>
      <c r="AA2845" s="3">
        <f>IF(INDEX('CAMD Facility Data 2023'!$AA$2:$AE$10000,MATCH(Z2845,'CAMD Facility Data 2023'!$AE$2:$AE$10000,0),1)&gt;0,INDEX('CAMD Facility Data 2023'!$AA$2:$AE$10000,MATCH(Z2845,'CAMD Facility Data 2023'!$AE$2:$AE$10000,0),1),"")</f>
        <v>37644</v>
      </c>
      <c r="AB2845" s="5">
        <f>IF(INDEX('CAMD Facility Data 2023'!$AC$2:$AE$10000,MATCH(Z2845,'CAMD Facility Data 2023'!$AE$2:$AE$10000,0),1)&gt;0,INDEX('CAMD Facility Data 2023'!$AC$2:$AE$10000,MATCH(Z2845,'CAMD Facility Data 2023'!$AE$2:$AE$10000,0),1),"")</f>
        <v>2310</v>
      </c>
      <c r="AC2845" s="1" t="str">
        <f>IF(INDEX('CAMD Facility Data 2023'!$AE$2:$AG$10000,MATCH(Z2845,'CAMD Facility Data 2023'!$AE$2:$AE$10000,0),3)&gt;0,INDEX('CAMD Facility Data 2023'!$AE$2:$AG$10000,MATCH(Z2845,'CAMD Facility Data 2023'!$AE$2:$AE$10000,0),3),"")</f>
        <v>Y</v>
      </c>
      <c r="AD2845" s="20">
        <f t="shared" si="133"/>
        <v>5.7561512374113291E-2</v>
      </c>
      <c r="AE2845" s="25">
        <f t="shared" si="134"/>
        <v>0.56011687782917241</v>
      </c>
    </row>
    <row r="2846" spans="1:31" x14ac:dyDescent="0.2">
      <c r="A2846" s="1" t="s">
        <v>234</v>
      </c>
      <c r="B2846" s="1" t="s">
        <v>6485</v>
      </c>
      <c r="C2846" s="1">
        <v>55306</v>
      </c>
      <c r="D2846" s="1" t="s">
        <v>6490</v>
      </c>
      <c r="F2846" s="1">
        <v>2023</v>
      </c>
      <c r="G2846" s="5">
        <v>6700</v>
      </c>
      <c r="H2846" s="5">
        <v>6650.4</v>
      </c>
      <c r="I2846" s="5">
        <v>1505851.69</v>
      </c>
      <c r="K2846" s="5">
        <v>3.2080000000000002</v>
      </c>
      <c r="L2846" s="5">
        <v>1E-3</v>
      </c>
      <c r="M2846" s="5">
        <v>635458.97199999995</v>
      </c>
      <c r="N2846" s="6">
        <v>5.8999999999999997E-2</v>
      </c>
      <c r="O2846" s="5">
        <v>38.801000000000002</v>
      </c>
      <c r="P2846" s="6">
        <v>8.3000000000000001E-3</v>
      </c>
      <c r="Q2846" s="5">
        <v>10692749.091</v>
      </c>
      <c r="R2846" s="1" t="s">
        <v>44</v>
      </c>
      <c r="T2846" s="1" t="s">
        <v>71</v>
      </c>
      <c r="V2846" s="1" t="s">
        <v>64</v>
      </c>
      <c r="Y2846" s="1" t="s">
        <v>247</v>
      </c>
      <c r="Z2846" s="1" t="str">
        <f t="shared" si="132"/>
        <v>55306 2CTGA</v>
      </c>
      <c r="AA2846" s="3">
        <f>IF(INDEX('CAMD Facility Data 2023'!$AA$2:$AE$10000,MATCH(Z2846,'CAMD Facility Data 2023'!$AE$2:$AE$10000,0),1)&gt;0,INDEX('CAMD Facility Data 2023'!$AA$2:$AE$10000,MATCH(Z2846,'CAMD Facility Data 2023'!$AE$2:$AE$10000,0),1),"")</f>
        <v>37641</v>
      </c>
      <c r="AB2846" s="5">
        <f>IF(INDEX('CAMD Facility Data 2023'!$AC$2:$AE$10000,MATCH(Z2846,'CAMD Facility Data 2023'!$AE$2:$AE$10000,0),1)&gt;0,INDEX('CAMD Facility Data 2023'!$AC$2:$AE$10000,MATCH(Z2846,'CAMD Facility Data 2023'!$AE$2:$AE$10000,0),1),"")</f>
        <v>2270</v>
      </c>
      <c r="AC2846" s="1" t="str">
        <f>IF(INDEX('CAMD Facility Data 2023'!$AE$2:$AG$10000,MATCH(Z2846,'CAMD Facility Data 2023'!$AE$2:$AE$10000,0),3)&gt;0,INDEX('CAMD Facility Data 2023'!$AE$2:$AG$10000,MATCH(Z2846,'CAMD Facility Data 2023'!$AE$2:$AE$10000,0),3),"")</f>
        <v>Y</v>
      </c>
      <c r="AD2846" s="20">
        <f t="shared" si="133"/>
        <v>5.1533627458358801E-2</v>
      </c>
      <c r="AE2846" s="25">
        <f t="shared" si="134"/>
        <v>0.53772399025405826</v>
      </c>
    </row>
    <row r="2847" spans="1:31" x14ac:dyDescent="0.2">
      <c r="A2847" s="1" t="s">
        <v>234</v>
      </c>
      <c r="B2847" s="1" t="s">
        <v>6485</v>
      </c>
      <c r="C2847" s="1">
        <v>55306</v>
      </c>
      <c r="D2847" s="1" t="s">
        <v>6493</v>
      </c>
      <c r="F2847" s="1">
        <v>2023</v>
      </c>
      <c r="G2847" s="5">
        <v>6312</v>
      </c>
      <c r="H2847" s="5">
        <v>6178.28</v>
      </c>
      <c r="I2847" s="5">
        <v>1390902.01</v>
      </c>
      <c r="K2847" s="5">
        <v>2.9569999999999999</v>
      </c>
      <c r="L2847" s="5">
        <v>1E-3</v>
      </c>
      <c r="M2847" s="5">
        <v>585786.23300000001</v>
      </c>
      <c r="N2847" s="6">
        <v>5.9200000000000003E-2</v>
      </c>
      <c r="O2847" s="5">
        <v>38.387</v>
      </c>
      <c r="P2847" s="6">
        <v>1.04E-2</v>
      </c>
      <c r="Q2847" s="5">
        <v>9856972.2469999995</v>
      </c>
      <c r="R2847" s="1" t="s">
        <v>44</v>
      </c>
      <c r="T2847" s="1" t="s">
        <v>71</v>
      </c>
      <c r="V2847" s="1" t="s">
        <v>64</v>
      </c>
      <c r="Y2847" s="1" t="s">
        <v>247</v>
      </c>
      <c r="Z2847" s="1" t="str">
        <f t="shared" si="132"/>
        <v>55306 2CTGB</v>
      </c>
      <c r="AA2847" s="3">
        <f>IF(INDEX('CAMD Facility Data 2023'!$AA$2:$AE$10000,MATCH(Z2847,'CAMD Facility Data 2023'!$AE$2:$AE$10000,0),1)&gt;0,INDEX('CAMD Facility Data 2023'!$AA$2:$AE$10000,MATCH(Z2847,'CAMD Facility Data 2023'!$AE$2:$AE$10000,0),1),"")</f>
        <v>37772</v>
      </c>
      <c r="AB2847" s="5">
        <f>IF(INDEX('CAMD Facility Data 2023'!$AC$2:$AE$10000,MATCH(Z2847,'CAMD Facility Data 2023'!$AE$2:$AE$10000,0),1)&gt;0,INDEX('CAMD Facility Data 2023'!$AC$2:$AE$10000,MATCH(Z2847,'CAMD Facility Data 2023'!$AE$2:$AE$10000,0),1),"")</f>
        <v>2350</v>
      </c>
      <c r="AC2847" s="1" t="str">
        <f>IF(INDEX('CAMD Facility Data 2023'!$AE$2:$AG$10000,MATCH(Z2847,'CAMD Facility Data 2023'!$AE$2:$AE$10000,0),3)&gt;0,INDEX('CAMD Facility Data 2023'!$AE$2:$AG$10000,MATCH(Z2847,'CAMD Facility Data 2023'!$AE$2:$AE$10000,0),3),"")</f>
        <v>Y</v>
      </c>
      <c r="AD2847" s="20">
        <f t="shared" si="133"/>
        <v>5.5197274465078959E-2</v>
      </c>
      <c r="AE2847" s="25">
        <f t="shared" si="134"/>
        <v>0.47881920951131834</v>
      </c>
    </row>
    <row r="2848" spans="1:31" x14ac:dyDescent="0.2">
      <c r="A2848" s="1" t="s">
        <v>234</v>
      </c>
      <c r="B2848" s="1" t="s">
        <v>6485</v>
      </c>
      <c r="C2848" s="1">
        <v>55306</v>
      </c>
      <c r="D2848" s="1" t="s">
        <v>6495</v>
      </c>
      <c r="F2848" s="1">
        <v>2023</v>
      </c>
      <c r="G2848" s="5">
        <v>5285</v>
      </c>
      <c r="H2848" s="5">
        <v>5117.6899999999996</v>
      </c>
      <c r="I2848" s="5">
        <v>1163819.94</v>
      </c>
      <c r="K2848" s="5">
        <v>2.4580000000000002</v>
      </c>
      <c r="L2848" s="5">
        <v>1E-3</v>
      </c>
      <c r="M2848" s="5">
        <v>486919.908</v>
      </c>
      <c r="N2848" s="6">
        <v>5.91E-2</v>
      </c>
      <c r="O2848" s="5">
        <v>35.843000000000004</v>
      </c>
      <c r="P2848" s="6">
        <v>1.3299999999999999E-2</v>
      </c>
      <c r="Q2848" s="5">
        <v>8193389.1960000005</v>
      </c>
      <c r="R2848" s="1" t="s">
        <v>44</v>
      </c>
      <c r="T2848" s="1" t="s">
        <v>71</v>
      </c>
      <c r="V2848" s="1" t="s">
        <v>64</v>
      </c>
      <c r="Y2848" s="1" t="s">
        <v>247</v>
      </c>
      <c r="Z2848" s="1" t="str">
        <f t="shared" si="132"/>
        <v>55306 3CTGA</v>
      </c>
      <c r="AA2848" s="3">
        <f>IF(INDEX('CAMD Facility Data 2023'!$AA$2:$AE$10000,MATCH(Z2848,'CAMD Facility Data 2023'!$AE$2:$AE$10000,0),1)&gt;0,INDEX('CAMD Facility Data 2023'!$AA$2:$AE$10000,MATCH(Z2848,'CAMD Facility Data 2023'!$AE$2:$AE$10000,0),1),"")</f>
        <v>37641</v>
      </c>
      <c r="AB2848" s="5">
        <f>IF(INDEX('CAMD Facility Data 2023'!$AC$2:$AE$10000,MATCH(Z2848,'CAMD Facility Data 2023'!$AE$2:$AE$10000,0),1)&gt;0,INDEX('CAMD Facility Data 2023'!$AC$2:$AE$10000,MATCH(Z2848,'CAMD Facility Data 2023'!$AE$2:$AE$10000,0),1),"")</f>
        <v>2625</v>
      </c>
      <c r="AC2848" s="1" t="str">
        <f>IF(INDEX('CAMD Facility Data 2023'!$AE$2:$AG$10000,MATCH(Z2848,'CAMD Facility Data 2023'!$AE$2:$AE$10000,0),3)&gt;0,INDEX('CAMD Facility Data 2023'!$AE$2:$AG$10000,MATCH(Z2848,'CAMD Facility Data 2023'!$AE$2:$AE$10000,0),3),"")</f>
        <v>Y</v>
      </c>
      <c r="AD2848" s="20">
        <f t="shared" si="133"/>
        <v>6.1595438895814078E-2</v>
      </c>
      <c r="AE2848" s="25">
        <f t="shared" si="134"/>
        <v>0.35631177195042402</v>
      </c>
    </row>
    <row r="2849" spans="1:31" x14ac:dyDescent="0.2">
      <c r="A2849" s="1" t="s">
        <v>234</v>
      </c>
      <c r="B2849" s="1" t="s">
        <v>6485</v>
      </c>
      <c r="C2849" s="1">
        <v>55306</v>
      </c>
      <c r="D2849" s="1" t="s">
        <v>6498</v>
      </c>
      <c r="F2849" s="1">
        <v>2023</v>
      </c>
      <c r="G2849" s="5">
        <v>6290</v>
      </c>
      <c r="H2849" s="5">
        <v>6222.6</v>
      </c>
      <c r="I2849" s="5">
        <v>1372616.86</v>
      </c>
      <c r="K2849" s="5">
        <v>2.8660000000000001</v>
      </c>
      <c r="L2849" s="5">
        <v>1E-3</v>
      </c>
      <c r="M2849" s="5">
        <v>567746.15700000001</v>
      </c>
      <c r="N2849" s="6">
        <v>5.91E-2</v>
      </c>
      <c r="O2849" s="5">
        <v>37.701000000000001</v>
      </c>
      <c r="P2849" s="6">
        <v>1.01E-2</v>
      </c>
      <c r="Q2849" s="5">
        <v>9553402.0419999994</v>
      </c>
      <c r="R2849" s="1" t="s">
        <v>44</v>
      </c>
      <c r="T2849" s="1" t="s">
        <v>71</v>
      </c>
      <c r="V2849" s="1" t="s">
        <v>64</v>
      </c>
      <c r="Y2849" s="1" t="s">
        <v>247</v>
      </c>
      <c r="Z2849" s="1" t="str">
        <f t="shared" si="132"/>
        <v>55306 3CTGB</v>
      </c>
      <c r="AA2849" s="3">
        <f>IF(INDEX('CAMD Facility Data 2023'!$AA$2:$AE$10000,MATCH(Z2849,'CAMD Facility Data 2023'!$AE$2:$AE$10000,0),1)&gt;0,INDEX('CAMD Facility Data 2023'!$AA$2:$AE$10000,MATCH(Z2849,'CAMD Facility Data 2023'!$AE$2:$AE$10000,0),1),"")</f>
        <v>37802</v>
      </c>
      <c r="AB2849" s="5">
        <f>IF(INDEX('CAMD Facility Data 2023'!$AC$2:$AE$10000,MATCH(Z2849,'CAMD Facility Data 2023'!$AE$2:$AE$10000,0),1)&gt;0,INDEX('CAMD Facility Data 2023'!$AC$2:$AE$10000,MATCH(Z2849,'CAMD Facility Data 2023'!$AE$2:$AE$10000,0),1),"")</f>
        <v>2650</v>
      </c>
      <c r="AC2849" s="1" t="str">
        <f>IF(INDEX('CAMD Facility Data 2023'!$AE$2:$AG$10000,MATCH(Z2849,'CAMD Facility Data 2023'!$AE$2:$AE$10000,0),3)&gt;0,INDEX('CAMD Facility Data 2023'!$AE$2:$AG$10000,MATCH(Z2849,'CAMD Facility Data 2023'!$AE$2:$AE$10000,0),3),"")</f>
        <v>Y</v>
      </c>
      <c r="AD2849" s="20">
        <f t="shared" si="133"/>
        <v>5.4933027705925161E-2</v>
      </c>
      <c r="AE2849" s="25">
        <f t="shared" si="134"/>
        <v>0.41153622994744549</v>
      </c>
    </row>
    <row r="2850" spans="1:31" x14ac:dyDescent="0.2">
      <c r="A2850" s="1" t="s">
        <v>234</v>
      </c>
      <c r="B2850" s="1" t="s">
        <v>6485</v>
      </c>
      <c r="C2850" s="1">
        <v>55306</v>
      </c>
      <c r="D2850" s="1" t="s">
        <v>6500</v>
      </c>
      <c r="F2850" s="1">
        <v>2023</v>
      </c>
      <c r="G2850" s="5">
        <v>5255</v>
      </c>
      <c r="H2850" s="5">
        <v>5165</v>
      </c>
      <c r="I2850" s="5">
        <v>1103716.23</v>
      </c>
      <c r="K2850" s="5">
        <v>2.3980000000000001</v>
      </c>
      <c r="L2850" s="5">
        <v>1E-3</v>
      </c>
      <c r="M2850" s="5">
        <v>474948.598</v>
      </c>
      <c r="N2850" s="6">
        <v>5.91E-2</v>
      </c>
      <c r="O2850" s="5">
        <v>32.576999999999998</v>
      </c>
      <c r="P2850" s="6">
        <v>1.0800000000000001E-2</v>
      </c>
      <c r="Q2850" s="5">
        <v>7991866.5939999996</v>
      </c>
      <c r="R2850" s="1" t="s">
        <v>44</v>
      </c>
      <c r="T2850" s="1" t="s">
        <v>71</v>
      </c>
      <c r="V2850" s="1" t="s">
        <v>64</v>
      </c>
      <c r="Y2850" s="1" t="s">
        <v>247</v>
      </c>
      <c r="Z2850" s="1" t="str">
        <f t="shared" si="132"/>
        <v>55306 4CTGA</v>
      </c>
      <c r="AA2850" s="3">
        <f>IF(INDEX('CAMD Facility Data 2023'!$AA$2:$AE$10000,MATCH(Z2850,'CAMD Facility Data 2023'!$AE$2:$AE$10000,0),1)&gt;0,INDEX('CAMD Facility Data 2023'!$AA$2:$AE$10000,MATCH(Z2850,'CAMD Facility Data 2023'!$AE$2:$AE$10000,0),1),"")</f>
        <v>37641</v>
      </c>
      <c r="AB2850" s="5">
        <f>IF(INDEX('CAMD Facility Data 2023'!$AC$2:$AE$10000,MATCH(Z2850,'CAMD Facility Data 2023'!$AE$2:$AE$10000,0),1)&gt;0,INDEX('CAMD Facility Data 2023'!$AC$2:$AE$10000,MATCH(Z2850,'CAMD Facility Data 2023'!$AE$2:$AE$10000,0),1),"")</f>
        <v>2334</v>
      </c>
      <c r="AC2850" s="1" t="str">
        <f>IF(INDEX('CAMD Facility Data 2023'!$AE$2:$AG$10000,MATCH(Z2850,'CAMD Facility Data 2023'!$AE$2:$AE$10000,0),3)&gt;0,INDEX('CAMD Facility Data 2023'!$AE$2:$AG$10000,MATCH(Z2850,'CAMD Facility Data 2023'!$AE$2:$AE$10000,0),3),"")</f>
        <v>Y</v>
      </c>
      <c r="AD2850" s="20">
        <f t="shared" si="133"/>
        <v>5.9031477683353449E-2</v>
      </c>
      <c r="AE2850" s="25">
        <f t="shared" si="134"/>
        <v>0.39087983638725526</v>
      </c>
    </row>
    <row r="2851" spans="1:31" x14ac:dyDescent="0.2">
      <c r="A2851" s="1" t="s">
        <v>234</v>
      </c>
      <c r="B2851" s="1" t="s">
        <v>6485</v>
      </c>
      <c r="C2851" s="1">
        <v>55306</v>
      </c>
      <c r="D2851" s="1" t="s">
        <v>6502</v>
      </c>
      <c r="F2851" s="1">
        <v>2023</v>
      </c>
      <c r="G2851" s="5">
        <v>4752</v>
      </c>
      <c r="H2851" s="5">
        <v>4595.21</v>
      </c>
      <c r="I2851" s="5">
        <v>980419.28</v>
      </c>
      <c r="K2851" s="5">
        <v>2.1280000000000001</v>
      </c>
      <c r="L2851" s="5">
        <v>1E-3</v>
      </c>
      <c r="M2851" s="5">
        <v>421461.30800000002</v>
      </c>
      <c r="N2851" s="6">
        <v>5.9299999999999999E-2</v>
      </c>
      <c r="O2851" s="5">
        <v>32.286999999999999</v>
      </c>
      <c r="P2851" s="6">
        <v>1.37E-2</v>
      </c>
      <c r="Q2851" s="5">
        <v>7091899.2350000003</v>
      </c>
      <c r="R2851" s="1" t="s">
        <v>44</v>
      </c>
      <c r="T2851" s="1" t="s">
        <v>71</v>
      </c>
      <c r="V2851" s="1" t="s">
        <v>64</v>
      </c>
      <c r="Y2851" s="1" t="s">
        <v>247</v>
      </c>
      <c r="Z2851" s="1" t="str">
        <f t="shared" si="132"/>
        <v>55306 4CTGB</v>
      </c>
      <c r="AA2851" s="3">
        <f>IF(INDEX('CAMD Facility Data 2023'!$AA$2:$AE$10000,MATCH(Z2851,'CAMD Facility Data 2023'!$AE$2:$AE$10000,0),1)&gt;0,INDEX('CAMD Facility Data 2023'!$AA$2:$AE$10000,MATCH(Z2851,'CAMD Facility Data 2023'!$AE$2:$AE$10000,0),1),"")</f>
        <v>37641</v>
      </c>
      <c r="AB2851" s="5">
        <f>IF(INDEX('CAMD Facility Data 2023'!$AC$2:$AE$10000,MATCH(Z2851,'CAMD Facility Data 2023'!$AE$2:$AE$10000,0),1)&gt;0,INDEX('CAMD Facility Data 2023'!$AC$2:$AE$10000,MATCH(Z2851,'CAMD Facility Data 2023'!$AE$2:$AE$10000,0),1),"")</f>
        <v>2261</v>
      </c>
      <c r="AC2851" s="1" t="str">
        <f>IF(INDEX('CAMD Facility Data 2023'!$AE$2:$AG$10000,MATCH(Z2851,'CAMD Facility Data 2023'!$AE$2:$AE$10000,0),3)&gt;0,INDEX('CAMD Facility Data 2023'!$AE$2:$AG$10000,MATCH(Z2851,'CAMD Facility Data 2023'!$AE$2:$AE$10000,0),3),"")</f>
        <v>Y</v>
      </c>
      <c r="AD2851" s="20">
        <f t="shared" si="133"/>
        <v>6.5863657842387596E-2</v>
      </c>
      <c r="AE2851" s="25">
        <f t="shared" si="134"/>
        <v>0.35806171527731501</v>
      </c>
    </row>
    <row r="2852" spans="1:31" x14ac:dyDescent="0.2">
      <c r="A2852" s="1" t="s">
        <v>1568</v>
      </c>
      <c r="B2852" s="1" t="s">
        <v>6504</v>
      </c>
      <c r="C2852" s="1">
        <v>55317</v>
      </c>
      <c r="D2852" s="1">
        <v>11</v>
      </c>
      <c r="F2852" s="1">
        <v>2023</v>
      </c>
      <c r="G2852" s="5">
        <v>2703</v>
      </c>
      <c r="H2852" s="5">
        <v>2624.75</v>
      </c>
      <c r="I2852" s="5">
        <v>860881.75</v>
      </c>
      <c r="K2852" s="5">
        <v>1.871</v>
      </c>
      <c r="L2852" s="5">
        <v>1E-3</v>
      </c>
      <c r="M2852" s="5">
        <v>370617.19900000002</v>
      </c>
      <c r="N2852" s="6">
        <v>5.8999999999999997E-2</v>
      </c>
      <c r="O2852" s="5">
        <v>23.975999999999999</v>
      </c>
      <c r="P2852" s="6">
        <v>1.09E-2</v>
      </c>
      <c r="Q2852" s="5">
        <v>6234431.1840000004</v>
      </c>
      <c r="R2852" s="1" t="s">
        <v>44</v>
      </c>
      <c r="S2852" s="1" t="s">
        <v>94</v>
      </c>
      <c r="T2852" s="1" t="s">
        <v>71</v>
      </c>
      <c r="V2852" s="1" t="s">
        <v>643</v>
      </c>
      <c r="Y2852" s="1" t="s">
        <v>579</v>
      </c>
      <c r="Z2852" s="1" t="str">
        <f t="shared" si="132"/>
        <v>55317 11</v>
      </c>
      <c r="AA2852" s="3">
        <f>IF(INDEX('CAMD Facility Data 2023'!$AA$2:$AE$10000,MATCH(Z2852,'CAMD Facility Data 2023'!$AE$2:$AE$10000,0),1)&gt;0,INDEX('CAMD Facility Data 2023'!$AA$2:$AE$10000,MATCH(Z2852,'CAMD Facility Data 2023'!$AE$2:$AE$10000,0),1),"")</f>
        <v>37703</v>
      </c>
      <c r="AB2852" s="5">
        <f>IF(INDEX('CAMD Facility Data 2023'!$AC$2:$AE$10000,MATCH(Z2852,'CAMD Facility Data 2023'!$AE$2:$AE$10000,0),1)&gt;0,INDEX('CAMD Facility Data 2023'!$AC$2:$AE$10000,MATCH(Z2852,'CAMD Facility Data 2023'!$AE$2:$AE$10000,0),1),"")</f>
        <v>3001</v>
      </c>
      <c r="AC2852" s="1" t="str">
        <f>IF(INDEX('CAMD Facility Data 2023'!$AE$2:$AG$10000,MATCH(Z2852,'CAMD Facility Data 2023'!$AE$2:$AE$10000,0),3)&gt;0,INDEX('CAMD Facility Data 2023'!$AE$2:$AG$10000,MATCH(Z2852,'CAMD Facility Data 2023'!$AE$2:$AE$10000,0),3),"")</f>
        <v>Y</v>
      </c>
      <c r="AD2852" s="20">
        <f t="shared" si="133"/>
        <v>5.5701029787192026E-2</v>
      </c>
      <c r="AE2852" s="25">
        <f t="shared" si="134"/>
        <v>0.23715196852190823</v>
      </c>
    </row>
    <row r="2853" spans="1:31" x14ac:dyDescent="0.2">
      <c r="A2853" s="1" t="s">
        <v>1568</v>
      </c>
      <c r="B2853" s="1" t="s">
        <v>6504</v>
      </c>
      <c r="C2853" s="1">
        <v>55317</v>
      </c>
      <c r="D2853" s="1">
        <v>12</v>
      </c>
      <c r="F2853" s="1">
        <v>2023</v>
      </c>
      <c r="G2853" s="5">
        <v>4282</v>
      </c>
      <c r="H2853" s="5">
        <v>4243.01</v>
      </c>
      <c r="I2853" s="5">
        <v>1392532.85</v>
      </c>
      <c r="K2853" s="5">
        <v>3.048</v>
      </c>
      <c r="L2853" s="5">
        <v>1E-3</v>
      </c>
      <c r="M2853" s="5">
        <v>603794.51800000004</v>
      </c>
      <c r="N2853" s="6">
        <v>5.91E-2</v>
      </c>
      <c r="O2853" s="5">
        <v>36.314</v>
      </c>
      <c r="P2853" s="6">
        <v>9.4999999999999998E-3</v>
      </c>
      <c r="Q2853" s="5">
        <v>10148106.093</v>
      </c>
      <c r="R2853" s="1" t="s">
        <v>44</v>
      </c>
      <c r="S2853" s="1" t="s">
        <v>94</v>
      </c>
      <c r="T2853" s="1" t="s">
        <v>71</v>
      </c>
      <c r="V2853" s="1" t="s">
        <v>643</v>
      </c>
      <c r="Y2853" s="1" t="s">
        <v>579</v>
      </c>
      <c r="Z2853" s="1" t="str">
        <f t="shared" si="132"/>
        <v>55317 12</v>
      </c>
      <c r="AA2853" s="3">
        <f>IF(INDEX('CAMD Facility Data 2023'!$AA$2:$AE$10000,MATCH(Z2853,'CAMD Facility Data 2023'!$AE$2:$AE$10000,0),1)&gt;0,INDEX('CAMD Facility Data 2023'!$AA$2:$AE$10000,MATCH(Z2853,'CAMD Facility Data 2023'!$AE$2:$AE$10000,0),1),"")</f>
        <v>37731</v>
      </c>
      <c r="AB2853" s="5">
        <f>IF(INDEX('CAMD Facility Data 2023'!$AC$2:$AE$10000,MATCH(Z2853,'CAMD Facility Data 2023'!$AE$2:$AE$10000,0),1)&gt;0,INDEX('CAMD Facility Data 2023'!$AC$2:$AE$10000,MATCH(Z2853,'CAMD Facility Data 2023'!$AE$2:$AE$10000,0),1),"")</f>
        <v>3250</v>
      </c>
      <c r="AC2853" s="1" t="str">
        <f>IF(INDEX('CAMD Facility Data 2023'!$AE$2:$AG$10000,MATCH(Z2853,'CAMD Facility Data 2023'!$AE$2:$AE$10000,0),3)&gt;0,INDEX('CAMD Facility Data 2023'!$AE$2:$AG$10000,MATCH(Z2853,'CAMD Facility Data 2023'!$AE$2:$AE$10000,0),3),"")</f>
        <v>Y</v>
      </c>
      <c r="AD2853" s="20">
        <f t="shared" si="133"/>
        <v>5.2155322583592907E-2</v>
      </c>
      <c r="AE2853" s="25">
        <f t="shared" si="134"/>
        <v>0.3564491075869336</v>
      </c>
    </row>
    <row r="2854" spans="1:31" x14ac:dyDescent="0.2">
      <c r="A2854" s="1" t="s">
        <v>383</v>
      </c>
      <c r="B2854" s="1" t="s">
        <v>6508</v>
      </c>
      <c r="C2854" s="1">
        <v>55320</v>
      </c>
      <c r="D2854" s="1" t="s">
        <v>1155</v>
      </c>
      <c r="F2854" s="1">
        <v>2023</v>
      </c>
      <c r="G2854" s="5">
        <v>5498</v>
      </c>
      <c r="H2854" s="5">
        <v>5369.84</v>
      </c>
      <c r="I2854" s="5">
        <v>1752697.85</v>
      </c>
      <c r="K2854" s="5">
        <v>3.5830000000000002</v>
      </c>
      <c r="L2854" s="5">
        <v>1E-3</v>
      </c>
      <c r="M2854" s="5">
        <v>709734.473</v>
      </c>
      <c r="N2854" s="6">
        <v>5.8999999999999997E-2</v>
      </c>
      <c r="O2854" s="5">
        <v>100.857</v>
      </c>
      <c r="P2854" s="6">
        <v>1.9099999999999999E-2</v>
      </c>
      <c r="Q2854" s="5">
        <v>11942750.173</v>
      </c>
      <c r="R2854" s="1" t="s">
        <v>44</v>
      </c>
      <c r="T2854" s="1" t="s">
        <v>71</v>
      </c>
      <c r="V2854" s="1" t="s">
        <v>64</v>
      </c>
      <c r="Y2854" s="1" t="s">
        <v>346</v>
      </c>
      <c r="Z2854" s="1" t="str">
        <f t="shared" si="132"/>
        <v>55320 GT-1</v>
      </c>
      <c r="AA2854" s="3">
        <f>IF(INDEX('CAMD Facility Data 2023'!$AA$2:$AE$10000,MATCH(Z2854,'CAMD Facility Data 2023'!$AE$2:$AE$10000,0),1)&gt;0,INDEX('CAMD Facility Data 2023'!$AA$2:$AE$10000,MATCH(Z2854,'CAMD Facility Data 2023'!$AE$2:$AE$10000,0),1),"")</f>
        <v>37894</v>
      </c>
      <c r="AB2854" s="5">
        <f>IF(INDEX('CAMD Facility Data 2023'!$AC$2:$AE$10000,MATCH(Z2854,'CAMD Facility Data 2023'!$AE$2:$AE$10000,0),1)&gt;0,INDEX('CAMD Facility Data 2023'!$AC$2:$AE$10000,MATCH(Z2854,'CAMD Facility Data 2023'!$AE$2:$AE$10000,0),1),"")</f>
        <v>3187.1</v>
      </c>
      <c r="AC2854" s="1" t="str">
        <f>IF(INDEX('CAMD Facility Data 2023'!$AE$2:$AG$10000,MATCH(Z2854,'CAMD Facility Data 2023'!$AE$2:$AE$10000,0),3)&gt;0,INDEX('CAMD Facility Data 2023'!$AE$2:$AG$10000,MATCH(Z2854,'CAMD Facility Data 2023'!$AE$2:$AE$10000,0),3),"")</f>
        <v>Y</v>
      </c>
      <c r="AD2854" s="20">
        <f t="shared" si="133"/>
        <v>0.11508772033924729</v>
      </c>
      <c r="AE2854" s="25">
        <f t="shared" si="134"/>
        <v>0.4277643140534137</v>
      </c>
    </row>
    <row r="2855" spans="1:31" x14ac:dyDescent="0.2">
      <c r="A2855" s="1" t="s">
        <v>383</v>
      </c>
      <c r="B2855" s="1" t="s">
        <v>6508</v>
      </c>
      <c r="C2855" s="1">
        <v>55320</v>
      </c>
      <c r="D2855" s="1" t="s">
        <v>1162</v>
      </c>
      <c r="F2855" s="1">
        <v>2023</v>
      </c>
      <c r="G2855" s="5">
        <v>5482</v>
      </c>
      <c r="H2855" s="5">
        <v>5354.28</v>
      </c>
      <c r="I2855" s="5">
        <v>1731061.54</v>
      </c>
      <c r="K2855" s="5">
        <v>3.528</v>
      </c>
      <c r="L2855" s="5">
        <v>1E-3</v>
      </c>
      <c r="M2855" s="5">
        <v>698793.00699999998</v>
      </c>
      <c r="N2855" s="6">
        <v>5.8999999999999997E-2</v>
      </c>
      <c r="O2855" s="5">
        <v>96.778999999999996</v>
      </c>
      <c r="P2855" s="6">
        <v>1.9599999999999999E-2</v>
      </c>
      <c r="Q2855" s="5">
        <v>11758614.059</v>
      </c>
      <c r="R2855" s="1" t="s">
        <v>44</v>
      </c>
      <c r="T2855" s="1" t="s">
        <v>71</v>
      </c>
      <c r="V2855" s="1" t="s">
        <v>64</v>
      </c>
      <c r="Y2855" s="1" t="s">
        <v>346</v>
      </c>
      <c r="Z2855" s="1" t="str">
        <f t="shared" si="132"/>
        <v>55320 GT-2</v>
      </c>
      <c r="AA2855" s="3">
        <f>IF(INDEX('CAMD Facility Data 2023'!$AA$2:$AE$10000,MATCH(Z2855,'CAMD Facility Data 2023'!$AE$2:$AE$10000,0),1)&gt;0,INDEX('CAMD Facility Data 2023'!$AA$2:$AE$10000,MATCH(Z2855,'CAMD Facility Data 2023'!$AE$2:$AE$10000,0),1),"")</f>
        <v>37875</v>
      </c>
      <c r="AB2855" s="5">
        <f>IF(INDEX('CAMD Facility Data 2023'!$AC$2:$AE$10000,MATCH(Z2855,'CAMD Facility Data 2023'!$AE$2:$AE$10000,0),1)&gt;0,INDEX('CAMD Facility Data 2023'!$AC$2:$AE$10000,MATCH(Z2855,'CAMD Facility Data 2023'!$AE$2:$AE$10000,0),1),"")</f>
        <v>3187.1</v>
      </c>
      <c r="AC2855" s="1" t="str">
        <f>IF(INDEX('CAMD Facility Data 2023'!$AE$2:$AG$10000,MATCH(Z2855,'CAMD Facility Data 2023'!$AE$2:$AE$10000,0),3)&gt;0,INDEX('CAMD Facility Data 2023'!$AE$2:$AG$10000,MATCH(Z2855,'CAMD Facility Data 2023'!$AE$2:$AE$10000,0),3),"")</f>
        <v>Y</v>
      </c>
      <c r="AD2855" s="20">
        <f t="shared" si="133"/>
        <v>0.11181462676364469</v>
      </c>
      <c r="AE2855" s="25">
        <f t="shared" si="134"/>
        <v>0.42116894386173487</v>
      </c>
    </row>
    <row r="2856" spans="1:31" x14ac:dyDescent="0.2">
      <c r="A2856" s="1" t="s">
        <v>1903</v>
      </c>
      <c r="B2856" s="1" t="s">
        <v>6514</v>
      </c>
      <c r="C2856" s="1">
        <v>55322</v>
      </c>
      <c r="D2856" s="1" t="s">
        <v>5681</v>
      </c>
      <c r="F2856" s="1">
        <v>2023</v>
      </c>
      <c r="G2856" s="5">
        <v>7815</v>
      </c>
      <c r="H2856" s="5">
        <v>7650.16</v>
      </c>
      <c r="I2856" s="5">
        <v>1792111.77</v>
      </c>
      <c r="K2856" s="5">
        <v>3.911</v>
      </c>
      <c r="L2856" s="5">
        <v>1E-3</v>
      </c>
      <c r="M2856" s="5">
        <v>774621.88500000001</v>
      </c>
      <c r="N2856" s="6">
        <v>5.8999999999999997E-2</v>
      </c>
      <c r="O2856" s="5">
        <v>51.972000000000001</v>
      </c>
      <c r="P2856" s="6">
        <v>1.21E-2</v>
      </c>
      <c r="Q2856" s="5">
        <v>13034514.005000001</v>
      </c>
      <c r="R2856" s="1" t="s">
        <v>44</v>
      </c>
      <c r="T2856" s="1" t="s">
        <v>71</v>
      </c>
      <c r="V2856" s="1" t="s">
        <v>64</v>
      </c>
      <c r="Y2856" s="1" t="s">
        <v>247</v>
      </c>
      <c r="Z2856" s="1" t="str">
        <f t="shared" si="132"/>
        <v>55322 CTG-1</v>
      </c>
      <c r="AA2856" s="3">
        <f>IF(INDEX('CAMD Facility Data 2023'!$AA$2:$AE$10000,MATCH(Z2856,'CAMD Facility Data 2023'!$AE$2:$AE$10000,0),1)&gt;0,INDEX('CAMD Facility Data 2023'!$AA$2:$AE$10000,MATCH(Z2856,'CAMD Facility Data 2023'!$AE$2:$AE$10000,0),1),"")</f>
        <v>38595</v>
      </c>
      <c r="AB2856" s="5">
        <f>IF(INDEX('CAMD Facility Data 2023'!$AC$2:$AE$10000,MATCH(Z2856,'CAMD Facility Data 2023'!$AE$2:$AE$10000,0),1)&gt;0,INDEX('CAMD Facility Data 2023'!$AC$2:$AE$10000,MATCH(Z2856,'CAMD Facility Data 2023'!$AE$2:$AE$10000,0),1),"")</f>
        <v>2425</v>
      </c>
      <c r="AC2856" s="1" t="str">
        <f>IF(INDEX('CAMD Facility Data 2023'!$AE$2:$AG$10000,MATCH(Z2856,'CAMD Facility Data 2023'!$AE$2:$AE$10000,0),3)&gt;0,INDEX('CAMD Facility Data 2023'!$AE$2:$AG$10000,MATCH(Z2856,'CAMD Facility Data 2023'!$AE$2:$AE$10000,0),3),"")</f>
        <v>Y</v>
      </c>
      <c r="AD2856" s="20">
        <f t="shared" si="133"/>
        <v>5.8000846677102064E-2</v>
      </c>
      <c r="AE2856" s="25">
        <f t="shared" si="134"/>
        <v>0.61359101845313757</v>
      </c>
    </row>
    <row r="2857" spans="1:31" x14ac:dyDescent="0.2">
      <c r="A2857" s="1" t="s">
        <v>1903</v>
      </c>
      <c r="B2857" s="1" t="s">
        <v>6514</v>
      </c>
      <c r="C2857" s="1">
        <v>55322</v>
      </c>
      <c r="D2857" s="1" t="s">
        <v>5684</v>
      </c>
      <c r="F2857" s="1">
        <v>2023</v>
      </c>
      <c r="G2857" s="5">
        <v>7388</v>
      </c>
      <c r="H2857" s="5">
        <v>7154.15</v>
      </c>
      <c r="I2857" s="5">
        <v>1729713.84</v>
      </c>
      <c r="K2857" s="5">
        <v>3.7370000000000001</v>
      </c>
      <c r="L2857" s="5">
        <v>1E-3</v>
      </c>
      <c r="M2857" s="5">
        <v>740271.50800000003</v>
      </c>
      <c r="N2857" s="6">
        <v>5.8999999999999997E-2</v>
      </c>
      <c r="O2857" s="5">
        <v>52.223999999999997</v>
      </c>
      <c r="P2857" s="6">
        <v>1.32E-2</v>
      </c>
      <c r="Q2857" s="5">
        <v>12456522.200999999</v>
      </c>
      <c r="R2857" s="1" t="s">
        <v>44</v>
      </c>
      <c r="T2857" s="1" t="s">
        <v>71</v>
      </c>
      <c r="V2857" s="1" t="s">
        <v>64</v>
      </c>
      <c r="Y2857" s="1" t="s">
        <v>247</v>
      </c>
      <c r="Z2857" s="1" t="str">
        <f t="shared" si="132"/>
        <v>55322 CTG-2</v>
      </c>
      <c r="AA2857" s="3">
        <f>IF(INDEX('CAMD Facility Data 2023'!$AA$2:$AE$10000,MATCH(Z2857,'CAMD Facility Data 2023'!$AE$2:$AE$10000,0),1)&gt;0,INDEX('CAMD Facility Data 2023'!$AA$2:$AE$10000,MATCH(Z2857,'CAMD Facility Data 2023'!$AE$2:$AE$10000,0),1),"")</f>
        <v>38607</v>
      </c>
      <c r="AB2857" s="5">
        <f>IF(INDEX('CAMD Facility Data 2023'!$AC$2:$AE$10000,MATCH(Z2857,'CAMD Facility Data 2023'!$AE$2:$AE$10000,0),1)&gt;0,INDEX('CAMD Facility Data 2023'!$AC$2:$AE$10000,MATCH(Z2857,'CAMD Facility Data 2023'!$AE$2:$AE$10000,0),1),"")</f>
        <v>2425</v>
      </c>
      <c r="AC2857" s="1" t="str">
        <f>IF(INDEX('CAMD Facility Data 2023'!$AE$2:$AG$10000,MATCH(Z2857,'CAMD Facility Data 2023'!$AE$2:$AE$10000,0),3)&gt;0,INDEX('CAMD Facility Data 2023'!$AE$2:$AG$10000,MATCH(Z2857,'CAMD Facility Data 2023'!$AE$2:$AE$10000,0),3),"")</f>
        <v>Y</v>
      </c>
      <c r="AD2857" s="20">
        <f t="shared" si="133"/>
        <v>6.0384554707615681E-2</v>
      </c>
      <c r="AE2857" s="25">
        <f t="shared" si="134"/>
        <v>0.58638244132184714</v>
      </c>
    </row>
    <row r="2858" spans="1:31" x14ac:dyDescent="0.2">
      <c r="A2858" s="1" t="s">
        <v>1903</v>
      </c>
      <c r="B2858" s="1" t="s">
        <v>6514</v>
      </c>
      <c r="C2858" s="1">
        <v>55322</v>
      </c>
      <c r="D2858" s="1" t="s">
        <v>5750</v>
      </c>
      <c r="F2858" s="1">
        <v>2023</v>
      </c>
      <c r="G2858" s="5">
        <v>8086</v>
      </c>
      <c r="H2858" s="5">
        <v>7912.87</v>
      </c>
      <c r="I2858" s="5">
        <v>1801046.09</v>
      </c>
      <c r="K2858" s="5">
        <v>3.9359999999999999</v>
      </c>
      <c r="L2858" s="5">
        <v>1E-3</v>
      </c>
      <c r="M2858" s="5">
        <v>779752.00600000005</v>
      </c>
      <c r="N2858" s="6">
        <v>5.8999999999999997E-2</v>
      </c>
      <c r="O2858" s="5">
        <v>53.262</v>
      </c>
      <c r="P2858" s="6">
        <v>1.2500000000000001E-2</v>
      </c>
      <c r="Q2858" s="5">
        <v>13120889.176000001</v>
      </c>
      <c r="R2858" s="1" t="s">
        <v>44</v>
      </c>
      <c r="T2858" s="1" t="s">
        <v>71</v>
      </c>
      <c r="V2858" s="1" t="s">
        <v>64</v>
      </c>
      <c r="Y2858" s="1" t="s">
        <v>247</v>
      </c>
      <c r="Z2858" s="1" t="str">
        <f t="shared" si="132"/>
        <v>55322 CTG-3</v>
      </c>
      <c r="AA2858" s="3">
        <f>IF(INDEX('CAMD Facility Data 2023'!$AA$2:$AE$10000,MATCH(Z2858,'CAMD Facility Data 2023'!$AE$2:$AE$10000,0),1)&gt;0,INDEX('CAMD Facility Data 2023'!$AA$2:$AE$10000,MATCH(Z2858,'CAMD Facility Data 2023'!$AE$2:$AE$10000,0),1),"")</f>
        <v>38678</v>
      </c>
      <c r="AB2858" s="5">
        <f>IF(INDEX('CAMD Facility Data 2023'!$AC$2:$AE$10000,MATCH(Z2858,'CAMD Facility Data 2023'!$AE$2:$AE$10000,0),1)&gt;0,INDEX('CAMD Facility Data 2023'!$AC$2:$AE$10000,MATCH(Z2858,'CAMD Facility Data 2023'!$AE$2:$AE$10000,0),1),"")</f>
        <v>2425</v>
      </c>
      <c r="AC2858" s="1" t="str">
        <f>IF(INDEX('CAMD Facility Data 2023'!$AE$2:$AG$10000,MATCH(Z2858,'CAMD Facility Data 2023'!$AE$2:$AE$10000,0),3)&gt;0,INDEX('CAMD Facility Data 2023'!$AE$2:$AG$10000,MATCH(Z2858,'CAMD Facility Data 2023'!$AE$2:$AE$10000,0),3),"")</f>
        <v>Y</v>
      </c>
      <c r="AD2858" s="20">
        <f t="shared" si="133"/>
        <v>5.9145626861775644E-2</v>
      </c>
      <c r="AE2858" s="25">
        <f t="shared" si="134"/>
        <v>0.61765707178835383</v>
      </c>
    </row>
    <row r="2859" spans="1:31" x14ac:dyDescent="0.2">
      <c r="A2859" s="1" t="s">
        <v>1903</v>
      </c>
      <c r="B2859" s="1" t="s">
        <v>6514</v>
      </c>
      <c r="C2859" s="1">
        <v>55322</v>
      </c>
      <c r="D2859" s="1" t="s">
        <v>5799</v>
      </c>
      <c r="F2859" s="1">
        <v>2023</v>
      </c>
      <c r="G2859" s="5">
        <v>7844</v>
      </c>
      <c r="H2859" s="5">
        <v>7681.91</v>
      </c>
      <c r="I2859" s="5">
        <v>1774518.78</v>
      </c>
      <c r="K2859" s="5">
        <v>3.8559999999999999</v>
      </c>
      <c r="L2859" s="5">
        <v>1E-3</v>
      </c>
      <c r="M2859" s="5">
        <v>763776.97499999998</v>
      </c>
      <c r="N2859" s="6">
        <v>5.8999999999999997E-2</v>
      </c>
      <c r="O2859" s="5">
        <v>50.527000000000001</v>
      </c>
      <c r="P2859" s="6">
        <v>1.12E-2</v>
      </c>
      <c r="Q2859" s="5">
        <v>12851970.884</v>
      </c>
      <c r="R2859" s="1" t="s">
        <v>44</v>
      </c>
      <c r="T2859" s="1" t="s">
        <v>71</v>
      </c>
      <c r="V2859" s="1" t="s">
        <v>64</v>
      </c>
      <c r="Y2859" s="1" t="s">
        <v>247</v>
      </c>
      <c r="Z2859" s="1" t="str">
        <f t="shared" si="132"/>
        <v>55322 CTG-4</v>
      </c>
      <c r="AA2859" s="3">
        <f>IF(INDEX('CAMD Facility Data 2023'!$AA$2:$AE$10000,MATCH(Z2859,'CAMD Facility Data 2023'!$AE$2:$AE$10000,0),1)&gt;0,INDEX('CAMD Facility Data 2023'!$AA$2:$AE$10000,MATCH(Z2859,'CAMD Facility Data 2023'!$AE$2:$AE$10000,0),1),"")</f>
        <v>38688</v>
      </c>
      <c r="AB2859" s="5">
        <f>IF(INDEX('CAMD Facility Data 2023'!$AC$2:$AE$10000,MATCH(Z2859,'CAMD Facility Data 2023'!$AE$2:$AE$10000,0),1)&gt;0,INDEX('CAMD Facility Data 2023'!$AC$2:$AE$10000,MATCH(Z2859,'CAMD Facility Data 2023'!$AE$2:$AE$10000,0),1),"")</f>
        <v>2425</v>
      </c>
      <c r="AC2859" s="1" t="str">
        <f>IF(INDEX('CAMD Facility Data 2023'!$AE$2:$AG$10000,MATCH(Z2859,'CAMD Facility Data 2023'!$AE$2:$AE$10000,0),3)&gt;0,INDEX('CAMD Facility Data 2023'!$AE$2:$AG$10000,MATCH(Z2859,'CAMD Facility Data 2023'!$AE$2:$AE$10000,0),3),"")</f>
        <v>Y</v>
      </c>
      <c r="AD2859" s="20">
        <f t="shared" si="133"/>
        <v>5.6947269952251502E-2</v>
      </c>
      <c r="AE2859" s="25">
        <f t="shared" si="134"/>
        <v>0.6049979232688415</v>
      </c>
    </row>
    <row r="2860" spans="1:31" x14ac:dyDescent="0.2">
      <c r="A2860" s="1" t="s">
        <v>383</v>
      </c>
      <c r="B2860" s="1" t="s">
        <v>6519</v>
      </c>
      <c r="C2860" s="1">
        <v>55327</v>
      </c>
      <c r="D2860" s="1" t="s">
        <v>5681</v>
      </c>
      <c r="F2860" s="1">
        <v>2023</v>
      </c>
      <c r="G2860" s="5">
        <v>7293</v>
      </c>
      <c r="H2860" s="5">
        <v>7234.63</v>
      </c>
      <c r="I2860" s="5">
        <v>1791983.07</v>
      </c>
      <c r="K2860" s="5">
        <v>3.7109999999999999</v>
      </c>
      <c r="L2860" s="5">
        <v>1E-3</v>
      </c>
      <c r="M2860" s="5">
        <v>735035.57400000002</v>
      </c>
      <c r="N2860" s="6">
        <v>5.8999999999999997E-2</v>
      </c>
      <c r="O2860" s="5">
        <v>63.421999999999997</v>
      </c>
      <c r="P2860" s="6">
        <v>1.06E-2</v>
      </c>
      <c r="Q2860" s="5">
        <v>12368391.279999999</v>
      </c>
      <c r="R2860" s="1" t="s">
        <v>44</v>
      </c>
      <c r="T2860" s="1" t="s">
        <v>71</v>
      </c>
      <c r="V2860" s="1" t="s">
        <v>223</v>
      </c>
      <c r="Y2860" s="1" t="s">
        <v>346</v>
      </c>
      <c r="Z2860" s="1" t="str">
        <f t="shared" si="132"/>
        <v>55327 CTG-1</v>
      </c>
      <c r="AA2860" s="3">
        <f>IF(INDEX('CAMD Facility Data 2023'!$AA$2:$AE$10000,MATCH(Z2860,'CAMD Facility Data 2023'!$AE$2:$AE$10000,0),1)&gt;0,INDEX('CAMD Facility Data 2023'!$AA$2:$AE$10000,MATCH(Z2860,'CAMD Facility Data 2023'!$AE$2:$AE$10000,0),1),"")</f>
        <v>37408</v>
      </c>
      <c r="AB2860" s="5">
        <f>IF(INDEX('CAMD Facility Data 2023'!$AC$2:$AE$10000,MATCH(Z2860,'CAMD Facility Data 2023'!$AE$2:$AE$10000,0),1)&gt;0,INDEX('CAMD Facility Data 2023'!$AC$2:$AE$10000,MATCH(Z2860,'CAMD Facility Data 2023'!$AE$2:$AE$10000,0),1),"")</f>
        <v>2500</v>
      </c>
      <c r="AC2860" s="1" t="str">
        <f>IF(INDEX('CAMD Facility Data 2023'!$AE$2:$AG$10000,MATCH(Z2860,'CAMD Facility Data 2023'!$AE$2:$AE$10000,0),3)&gt;0,INDEX('CAMD Facility Data 2023'!$AE$2:$AG$10000,MATCH(Z2860,'CAMD Facility Data 2023'!$AE$2:$AE$10000,0),3),"")</f>
        <v>Y</v>
      </c>
      <c r="AD2860" s="20">
        <f t="shared" si="133"/>
        <v>7.0784150879282581E-2</v>
      </c>
      <c r="AE2860" s="25">
        <f t="shared" si="134"/>
        <v>0.56476672511415527</v>
      </c>
    </row>
    <row r="2861" spans="1:31" x14ac:dyDescent="0.2">
      <c r="A2861" s="1" t="s">
        <v>383</v>
      </c>
      <c r="B2861" s="1" t="s">
        <v>6519</v>
      </c>
      <c r="C2861" s="1">
        <v>55327</v>
      </c>
      <c r="D2861" s="1" t="s">
        <v>5684</v>
      </c>
      <c r="F2861" s="1">
        <v>2023</v>
      </c>
      <c r="G2861" s="5">
        <v>7988</v>
      </c>
      <c r="H2861" s="5">
        <v>7975.67</v>
      </c>
      <c r="I2861" s="5">
        <v>1941141.89</v>
      </c>
      <c r="K2861" s="5">
        <v>4.12</v>
      </c>
      <c r="L2861" s="5">
        <v>1E-3</v>
      </c>
      <c r="M2861" s="5">
        <v>816137.55500000005</v>
      </c>
      <c r="N2861" s="6">
        <v>5.8999999999999997E-2</v>
      </c>
      <c r="O2861" s="5">
        <v>68.622</v>
      </c>
      <c r="P2861" s="6">
        <v>0.01</v>
      </c>
      <c r="Q2861" s="5">
        <v>13733132.132999999</v>
      </c>
      <c r="R2861" s="1" t="s">
        <v>44</v>
      </c>
      <c r="T2861" s="1" t="s">
        <v>71</v>
      </c>
      <c r="V2861" s="1" t="s">
        <v>223</v>
      </c>
      <c r="Y2861" s="1" t="s">
        <v>346</v>
      </c>
      <c r="Z2861" s="1" t="str">
        <f t="shared" si="132"/>
        <v>55327 CTG-2</v>
      </c>
      <c r="AA2861" s="3">
        <f>IF(INDEX('CAMD Facility Data 2023'!$AA$2:$AE$10000,MATCH(Z2861,'CAMD Facility Data 2023'!$AE$2:$AE$10000,0),1)&gt;0,INDEX('CAMD Facility Data 2023'!$AA$2:$AE$10000,MATCH(Z2861,'CAMD Facility Data 2023'!$AE$2:$AE$10000,0),1),"")</f>
        <v>37408</v>
      </c>
      <c r="AB2861" s="5">
        <f>IF(INDEX('CAMD Facility Data 2023'!$AC$2:$AE$10000,MATCH(Z2861,'CAMD Facility Data 2023'!$AE$2:$AE$10000,0),1)&gt;0,INDEX('CAMD Facility Data 2023'!$AC$2:$AE$10000,MATCH(Z2861,'CAMD Facility Data 2023'!$AE$2:$AE$10000,0),1),"")</f>
        <v>2500</v>
      </c>
      <c r="AC2861" s="1" t="str">
        <f>IF(INDEX('CAMD Facility Data 2023'!$AE$2:$AG$10000,MATCH(Z2861,'CAMD Facility Data 2023'!$AE$2:$AE$10000,0),3)&gt;0,INDEX('CAMD Facility Data 2023'!$AE$2:$AG$10000,MATCH(Z2861,'CAMD Facility Data 2023'!$AE$2:$AE$10000,0),3),"")</f>
        <v>Y</v>
      </c>
      <c r="AD2861" s="20">
        <f t="shared" si="133"/>
        <v>7.0702714060742883E-2</v>
      </c>
      <c r="AE2861" s="25">
        <f t="shared" si="134"/>
        <v>0.62708365904109586</v>
      </c>
    </row>
    <row r="2862" spans="1:31" x14ac:dyDescent="0.2">
      <c r="A2862" s="1" t="s">
        <v>383</v>
      </c>
      <c r="B2862" s="1" t="s">
        <v>6519</v>
      </c>
      <c r="C2862" s="1">
        <v>55327</v>
      </c>
      <c r="D2862" s="1" t="s">
        <v>5750</v>
      </c>
      <c r="F2862" s="1">
        <v>2023</v>
      </c>
      <c r="G2862" s="5">
        <v>7025</v>
      </c>
      <c r="H2862" s="5">
        <v>6963.66</v>
      </c>
      <c r="I2862" s="5">
        <v>1685619.21</v>
      </c>
      <c r="K2862" s="5">
        <v>3.54</v>
      </c>
      <c r="L2862" s="5">
        <v>1E-3</v>
      </c>
      <c r="M2862" s="5">
        <v>701153.57499999995</v>
      </c>
      <c r="N2862" s="6">
        <v>5.8999999999999997E-2</v>
      </c>
      <c r="O2862" s="5">
        <v>59.304000000000002</v>
      </c>
      <c r="P2862" s="6">
        <v>1.03E-2</v>
      </c>
      <c r="Q2862" s="5">
        <v>11798289.780999999</v>
      </c>
      <c r="R2862" s="1" t="s">
        <v>44</v>
      </c>
      <c r="T2862" s="1" t="s">
        <v>71</v>
      </c>
      <c r="V2862" s="1" t="s">
        <v>223</v>
      </c>
      <c r="Y2862" s="1" t="s">
        <v>346</v>
      </c>
      <c r="Z2862" s="1" t="str">
        <f t="shared" si="132"/>
        <v>55327 CTG-3</v>
      </c>
      <c r="AA2862" s="3">
        <f>IF(INDEX('CAMD Facility Data 2023'!$AA$2:$AE$10000,MATCH(Z2862,'CAMD Facility Data 2023'!$AE$2:$AE$10000,0),1)&gt;0,INDEX('CAMD Facility Data 2023'!$AA$2:$AE$10000,MATCH(Z2862,'CAMD Facility Data 2023'!$AE$2:$AE$10000,0),1),"")</f>
        <v>37408</v>
      </c>
      <c r="AB2862" s="5">
        <f>IF(INDEX('CAMD Facility Data 2023'!$AC$2:$AE$10000,MATCH(Z2862,'CAMD Facility Data 2023'!$AE$2:$AE$10000,0),1)&gt;0,INDEX('CAMD Facility Data 2023'!$AC$2:$AE$10000,MATCH(Z2862,'CAMD Facility Data 2023'!$AE$2:$AE$10000,0),1),"")</f>
        <v>2500</v>
      </c>
      <c r="AC2862" s="1" t="str">
        <f>IF(INDEX('CAMD Facility Data 2023'!$AE$2:$AG$10000,MATCH(Z2862,'CAMD Facility Data 2023'!$AE$2:$AE$10000,0),3)&gt;0,INDEX('CAMD Facility Data 2023'!$AE$2:$AG$10000,MATCH(Z2862,'CAMD Facility Data 2023'!$AE$2:$AE$10000,0),3),"")</f>
        <v>Y</v>
      </c>
      <c r="AD2862" s="20">
        <f t="shared" si="133"/>
        <v>7.0364646591800528E-2</v>
      </c>
      <c r="AE2862" s="25">
        <f t="shared" si="134"/>
        <v>0.53873469319634704</v>
      </c>
    </row>
    <row r="2863" spans="1:31" x14ac:dyDescent="0.2">
      <c r="A2863" s="1" t="s">
        <v>4093</v>
      </c>
      <c r="B2863" s="1" t="s">
        <v>6525</v>
      </c>
      <c r="C2863" s="1">
        <v>55328</v>
      </c>
      <c r="D2863" s="1" t="s">
        <v>5681</v>
      </c>
      <c r="F2863" s="1">
        <v>2023</v>
      </c>
      <c r="G2863" s="5">
        <v>7069</v>
      </c>
      <c r="H2863" s="5">
        <v>7049.47</v>
      </c>
      <c r="I2863" s="5">
        <v>2002591.79</v>
      </c>
      <c r="K2863" s="5">
        <v>4.3310000000000004</v>
      </c>
      <c r="L2863" s="5">
        <v>1E-3</v>
      </c>
      <c r="M2863" s="5">
        <v>857863.84400000004</v>
      </c>
      <c r="N2863" s="6">
        <v>5.8999999999999997E-2</v>
      </c>
      <c r="O2863" s="5">
        <v>108.554</v>
      </c>
      <c r="P2863" s="6">
        <v>1.5299999999999999E-2</v>
      </c>
      <c r="Q2863" s="5">
        <v>14435225.507999999</v>
      </c>
      <c r="R2863" s="1" t="s">
        <v>44</v>
      </c>
      <c r="T2863" s="1" t="s">
        <v>71</v>
      </c>
      <c r="V2863" s="1" t="s">
        <v>64</v>
      </c>
      <c r="Y2863" s="1" t="s">
        <v>247</v>
      </c>
      <c r="Z2863" s="1" t="str">
        <f t="shared" si="132"/>
        <v>55328 CTG-1</v>
      </c>
      <c r="AA2863" s="3">
        <f>IF(INDEX('CAMD Facility Data 2023'!$AA$2:$AE$10000,MATCH(Z2863,'CAMD Facility Data 2023'!$AE$2:$AE$10000,0),1)&gt;0,INDEX('CAMD Facility Data 2023'!$AA$2:$AE$10000,MATCH(Z2863,'CAMD Facility Data 2023'!$AE$2:$AE$10000,0),1),"")</f>
        <v>37376</v>
      </c>
      <c r="AB2863" s="5">
        <f>IF(INDEX('CAMD Facility Data 2023'!$AC$2:$AE$10000,MATCH(Z2863,'CAMD Facility Data 2023'!$AE$2:$AE$10000,0),1)&gt;0,INDEX('CAMD Facility Data 2023'!$AC$2:$AE$10000,MATCH(Z2863,'CAMD Facility Data 2023'!$AE$2:$AE$10000,0),1),"")</f>
        <v>2450</v>
      </c>
      <c r="AC2863" s="1" t="str">
        <f>IF(INDEX('CAMD Facility Data 2023'!$AE$2:$AG$10000,MATCH(Z2863,'CAMD Facility Data 2023'!$AE$2:$AE$10000,0),3)&gt;0,INDEX('CAMD Facility Data 2023'!$AE$2:$AG$10000,MATCH(Z2863,'CAMD Facility Data 2023'!$AE$2:$AE$10000,0),3),"")</f>
        <v>Y</v>
      </c>
      <c r="AD2863" s="20">
        <f t="shared" si="133"/>
        <v>0.10841350747772716</v>
      </c>
      <c r="AE2863" s="25">
        <f t="shared" si="134"/>
        <v>0.67259460944925908</v>
      </c>
    </row>
    <row r="2864" spans="1:31" x14ac:dyDescent="0.2">
      <c r="A2864" s="1" t="s">
        <v>4093</v>
      </c>
      <c r="B2864" s="1" t="s">
        <v>6525</v>
      </c>
      <c r="C2864" s="1">
        <v>55328</v>
      </c>
      <c r="D2864" s="1" t="s">
        <v>5684</v>
      </c>
      <c r="F2864" s="1">
        <v>2023</v>
      </c>
      <c r="G2864" s="5">
        <v>7107</v>
      </c>
      <c r="H2864" s="5">
        <v>7089.71</v>
      </c>
      <c r="I2864" s="5">
        <v>2014471.74</v>
      </c>
      <c r="K2864" s="5">
        <v>4.3620000000000001</v>
      </c>
      <c r="L2864" s="5">
        <v>1E-3</v>
      </c>
      <c r="M2864" s="5">
        <v>864038.69299999997</v>
      </c>
      <c r="N2864" s="6">
        <v>5.8999999999999997E-2</v>
      </c>
      <c r="O2864" s="5">
        <v>109.69799999999999</v>
      </c>
      <c r="P2864" s="6">
        <v>1.54E-2</v>
      </c>
      <c r="Q2864" s="5">
        <v>14539028.187000001</v>
      </c>
      <c r="R2864" s="1" t="s">
        <v>44</v>
      </c>
      <c r="T2864" s="1" t="s">
        <v>71</v>
      </c>
      <c r="V2864" s="1" t="s">
        <v>64</v>
      </c>
      <c r="Y2864" s="1" t="s">
        <v>247</v>
      </c>
      <c r="Z2864" s="1" t="str">
        <f t="shared" si="132"/>
        <v>55328 CTG-2</v>
      </c>
      <c r="AA2864" s="3">
        <f>IF(INDEX('CAMD Facility Data 2023'!$AA$2:$AE$10000,MATCH(Z2864,'CAMD Facility Data 2023'!$AE$2:$AE$10000,0),1)&gt;0,INDEX('CAMD Facility Data 2023'!$AA$2:$AE$10000,MATCH(Z2864,'CAMD Facility Data 2023'!$AE$2:$AE$10000,0),1),"")</f>
        <v>37363</v>
      </c>
      <c r="AB2864" s="5">
        <f>IF(INDEX('CAMD Facility Data 2023'!$AC$2:$AE$10000,MATCH(Z2864,'CAMD Facility Data 2023'!$AE$2:$AE$10000,0),1)&gt;0,INDEX('CAMD Facility Data 2023'!$AC$2:$AE$10000,MATCH(Z2864,'CAMD Facility Data 2023'!$AE$2:$AE$10000,0),1),"")</f>
        <v>2450</v>
      </c>
      <c r="AC2864" s="1" t="str">
        <f>IF(INDEX('CAMD Facility Data 2023'!$AE$2:$AG$10000,MATCH(Z2864,'CAMD Facility Data 2023'!$AE$2:$AE$10000,0),3)&gt;0,INDEX('CAMD Facility Data 2023'!$AE$2:$AG$10000,MATCH(Z2864,'CAMD Facility Data 2023'!$AE$2:$AE$10000,0),3),"")</f>
        <v>Y</v>
      </c>
      <c r="AD2864" s="20">
        <f t="shared" si="133"/>
        <v>0.10890994181928806</v>
      </c>
      <c r="AE2864" s="25">
        <f t="shared" si="134"/>
        <v>0.67743118940452896</v>
      </c>
    </row>
    <row r="2865" spans="1:31" x14ac:dyDescent="0.2">
      <c r="A2865" s="1" t="s">
        <v>921</v>
      </c>
      <c r="B2865" s="1" t="s">
        <v>6529</v>
      </c>
      <c r="C2865" s="1">
        <v>55332</v>
      </c>
      <c r="D2865" s="1" t="s">
        <v>5642</v>
      </c>
      <c r="F2865" s="1">
        <v>2023</v>
      </c>
      <c r="G2865" s="5">
        <v>502</v>
      </c>
      <c r="H2865" s="5">
        <v>444.82</v>
      </c>
      <c r="I2865" s="5">
        <v>65417.07</v>
      </c>
      <c r="K2865" s="5">
        <v>0.21099999999999999</v>
      </c>
      <c r="L2865" s="5">
        <v>1E-3</v>
      </c>
      <c r="M2865" s="5">
        <v>41792.78</v>
      </c>
      <c r="N2865" s="6">
        <v>5.8999999999999997E-2</v>
      </c>
      <c r="O2865" s="5">
        <v>12.762</v>
      </c>
      <c r="P2865" s="6">
        <v>5.0099999999999999E-2</v>
      </c>
      <c r="Q2865" s="5">
        <v>703205.20900000003</v>
      </c>
      <c r="R2865" s="1" t="s">
        <v>44</v>
      </c>
      <c r="T2865" s="1" t="s">
        <v>93</v>
      </c>
      <c r="V2865" s="1" t="s">
        <v>140</v>
      </c>
      <c r="Y2865" s="1" t="s">
        <v>952</v>
      </c>
      <c r="Z2865" s="1" t="str">
        <f t="shared" si="132"/>
        <v>55332 T1</v>
      </c>
      <c r="AA2865" s="3">
        <f>IF(INDEX('CAMD Facility Data 2023'!$AA$2:$AE$10000,MATCH(Z2865,'CAMD Facility Data 2023'!$AE$2:$AE$10000,0),1)&gt;0,INDEX('CAMD Facility Data 2023'!$AA$2:$AE$10000,MATCH(Z2865,'CAMD Facility Data 2023'!$AE$2:$AE$10000,0),1),"")</f>
        <v>37665</v>
      </c>
      <c r="AB2865" s="5">
        <f>IF(INDEX('CAMD Facility Data 2023'!$AC$2:$AE$10000,MATCH(Z2865,'CAMD Facility Data 2023'!$AE$2:$AE$10000,0),1)&gt;0,INDEX('CAMD Facility Data 2023'!$AC$2:$AE$10000,MATCH(Z2865,'CAMD Facility Data 2023'!$AE$2:$AE$10000,0),1),"")</f>
        <v>1944</v>
      </c>
      <c r="AC2865" s="1" t="str">
        <f>IF(INDEX('CAMD Facility Data 2023'!$AE$2:$AG$10000,MATCH(Z2865,'CAMD Facility Data 2023'!$AE$2:$AE$10000,0),3)&gt;0,INDEX('CAMD Facility Data 2023'!$AE$2:$AG$10000,MATCH(Z2865,'CAMD Facility Data 2023'!$AE$2:$AE$10000,0),3),"")</f>
        <v/>
      </c>
      <c r="AD2865" s="20">
        <f t="shared" si="133"/>
        <v>0.39017339052329919</v>
      </c>
      <c r="AE2865" s="25">
        <f t="shared" si="134"/>
        <v>4.1293501665351298E-2</v>
      </c>
    </row>
    <row r="2866" spans="1:31" x14ac:dyDescent="0.2">
      <c r="A2866" s="1" t="s">
        <v>921</v>
      </c>
      <c r="B2866" s="1" t="s">
        <v>6529</v>
      </c>
      <c r="C2866" s="1">
        <v>55332</v>
      </c>
      <c r="D2866" s="1" t="s">
        <v>5647</v>
      </c>
      <c r="F2866" s="1">
        <v>2023</v>
      </c>
      <c r="G2866" s="5">
        <v>163</v>
      </c>
      <c r="H2866" s="5">
        <v>144.83000000000001</v>
      </c>
      <c r="I2866" s="5">
        <v>22118.23</v>
      </c>
      <c r="K2866" s="5">
        <v>7.0000000000000007E-2</v>
      </c>
      <c r="L2866" s="5">
        <v>1E-3</v>
      </c>
      <c r="M2866" s="5">
        <v>13834.608</v>
      </c>
      <c r="N2866" s="6">
        <v>5.8999999999999997E-2</v>
      </c>
      <c r="O2866" s="5">
        <v>5.8319999999999999</v>
      </c>
      <c r="P2866" s="6">
        <v>5.8200000000000002E-2</v>
      </c>
      <c r="Q2866" s="5">
        <v>232793.37700000001</v>
      </c>
      <c r="R2866" s="1" t="s">
        <v>44</v>
      </c>
      <c r="T2866" s="1" t="s">
        <v>93</v>
      </c>
      <c r="V2866" s="1" t="s">
        <v>140</v>
      </c>
      <c r="Y2866" s="1" t="s">
        <v>952</v>
      </c>
      <c r="Z2866" s="1" t="str">
        <f t="shared" si="132"/>
        <v>55332 T2</v>
      </c>
      <c r="AA2866" s="3">
        <f>IF(INDEX('CAMD Facility Data 2023'!$AA$2:$AE$10000,MATCH(Z2866,'CAMD Facility Data 2023'!$AE$2:$AE$10000,0),1)&gt;0,INDEX('CAMD Facility Data 2023'!$AA$2:$AE$10000,MATCH(Z2866,'CAMD Facility Data 2023'!$AE$2:$AE$10000,0),1),"")</f>
        <v>37683</v>
      </c>
      <c r="AB2866" s="5">
        <f>IF(INDEX('CAMD Facility Data 2023'!$AC$2:$AE$10000,MATCH(Z2866,'CAMD Facility Data 2023'!$AE$2:$AE$10000,0),1)&gt;0,INDEX('CAMD Facility Data 2023'!$AC$2:$AE$10000,MATCH(Z2866,'CAMD Facility Data 2023'!$AE$2:$AE$10000,0),1),"")</f>
        <v>1944</v>
      </c>
      <c r="AC2866" s="1" t="str">
        <f>IF(INDEX('CAMD Facility Data 2023'!$AE$2:$AG$10000,MATCH(Z2866,'CAMD Facility Data 2023'!$AE$2:$AE$10000,0),3)&gt;0,INDEX('CAMD Facility Data 2023'!$AE$2:$AG$10000,MATCH(Z2866,'CAMD Facility Data 2023'!$AE$2:$AE$10000,0),3),"")</f>
        <v/>
      </c>
      <c r="AD2866" s="20">
        <f t="shared" si="133"/>
        <v>0.52734780314699681</v>
      </c>
      <c r="AE2866" s="25">
        <f t="shared" si="134"/>
        <v>1.3670054740496458E-2</v>
      </c>
    </row>
    <row r="2867" spans="1:31" x14ac:dyDescent="0.2">
      <c r="A2867" s="1" t="s">
        <v>921</v>
      </c>
      <c r="B2867" s="1" t="s">
        <v>6529</v>
      </c>
      <c r="C2867" s="1">
        <v>55332</v>
      </c>
      <c r="D2867" s="1" t="s">
        <v>5649</v>
      </c>
      <c r="F2867" s="1">
        <v>2023</v>
      </c>
      <c r="G2867" s="5">
        <v>166</v>
      </c>
      <c r="H2867" s="5">
        <v>144.65</v>
      </c>
      <c r="I2867" s="5">
        <v>21961.38</v>
      </c>
      <c r="K2867" s="5">
        <v>7.0999999999999994E-2</v>
      </c>
      <c r="L2867" s="5">
        <v>1E-3</v>
      </c>
      <c r="M2867" s="5">
        <v>13986.296</v>
      </c>
      <c r="N2867" s="6">
        <v>5.8999999999999997E-2</v>
      </c>
      <c r="O2867" s="5">
        <v>5.0629999999999997</v>
      </c>
      <c r="P2867" s="6">
        <v>5.0299999999999997E-2</v>
      </c>
      <c r="Q2867" s="5">
        <v>235345.965</v>
      </c>
      <c r="R2867" s="1" t="s">
        <v>44</v>
      </c>
      <c r="T2867" s="1" t="s">
        <v>93</v>
      </c>
      <c r="V2867" s="1" t="s">
        <v>140</v>
      </c>
      <c r="Y2867" s="1" t="s">
        <v>952</v>
      </c>
      <c r="Z2867" s="1" t="str">
        <f t="shared" si="132"/>
        <v>55332 T3</v>
      </c>
      <c r="AA2867" s="3">
        <f>IF(INDEX('CAMD Facility Data 2023'!$AA$2:$AE$10000,MATCH(Z2867,'CAMD Facility Data 2023'!$AE$2:$AE$10000,0),1)&gt;0,INDEX('CAMD Facility Data 2023'!$AA$2:$AE$10000,MATCH(Z2867,'CAMD Facility Data 2023'!$AE$2:$AE$10000,0),1),"")</f>
        <v>37707</v>
      </c>
      <c r="AB2867" s="5">
        <f>IF(INDEX('CAMD Facility Data 2023'!$AC$2:$AE$10000,MATCH(Z2867,'CAMD Facility Data 2023'!$AE$2:$AE$10000,0),1)&gt;0,INDEX('CAMD Facility Data 2023'!$AC$2:$AE$10000,MATCH(Z2867,'CAMD Facility Data 2023'!$AE$2:$AE$10000,0),1),"")</f>
        <v>1944</v>
      </c>
      <c r="AC2867" s="1" t="str">
        <f>IF(INDEX('CAMD Facility Data 2023'!$AE$2:$AG$10000,MATCH(Z2867,'CAMD Facility Data 2023'!$AE$2:$AE$10000,0),3)&gt;0,INDEX('CAMD Facility Data 2023'!$AE$2:$AG$10000,MATCH(Z2867,'CAMD Facility Data 2023'!$AE$2:$AE$10000,0),3),"")</f>
        <v/>
      </c>
      <c r="AD2867" s="20">
        <f t="shared" si="133"/>
        <v>0.46108213600420372</v>
      </c>
      <c r="AE2867" s="25">
        <f t="shared" si="134"/>
        <v>1.3819947396978409E-2</v>
      </c>
    </row>
    <row r="2868" spans="1:31" x14ac:dyDescent="0.2">
      <c r="A2868" s="1" t="s">
        <v>921</v>
      </c>
      <c r="B2868" s="1" t="s">
        <v>6529</v>
      </c>
      <c r="C2868" s="1">
        <v>55332</v>
      </c>
      <c r="D2868" s="1" t="s">
        <v>5651</v>
      </c>
      <c r="F2868" s="1">
        <v>2023</v>
      </c>
      <c r="G2868" s="5">
        <v>264</v>
      </c>
      <c r="H2868" s="5">
        <v>227.79</v>
      </c>
      <c r="I2868" s="5">
        <v>32783.54</v>
      </c>
      <c r="K2868" s="5">
        <v>0.105</v>
      </c>
      <c r="L2868" s="5">
        <v>1E-3</v>
      </c>
      <c r="M2868" s="5">
        <v>20731.694</v>
      </c>
      <c r="N2868" s="6">
        <v>5.8999999999999997E-2</v>
      </c>
      <c r="O2868" s="5">
        <v>5.8620000000000001</v>
      </c>
      <c r="P2868" s="6">
        <v>5.0900000000000001E-2</v>
      </c>
      <c r="Q2868" s="5">
        <v>348859.17200000002</v>
      </c>
      <c r="R2868" s="1" t="s">
        <v>44</v>
      </c>
      <c r="T2868" s="1" t="s">
        <v>93</v>
      </c>
      <c r="V2868" s="1" t="s">
        <v>140</v>
      </c>
      <c r="Y2868" s="1" t="s">
        <v>952</v>
      </c>
      <c r="Z2868" s="1" t="str">
        <f t="shared" si="132"/>
        <v>55332 T4</v>
      </c>
      <c r="AA2868" s="3">
        <f>IF(INDEX('CAMD Facility Data 2023'!$AA$2:$AE$10000,MATCH(Z2868,'CAMD Facility Data 2023'!$AE$2:$AE$10000,0),1)&gt;0,INDEX('CAMD Facility Data 2023'!$AA$2:$AE$10000,MATCH(Z2868,'CAMD Facility Data 2023'!$AE$2:$AE$10000,0),1),"")</f>
        <v>37718</v>
      </c>
      <c r="AB2868" s="5">
        <f>IF(INDEX('CAMD Facility Data 2023'!$AC$2:$AE$10000,MATCH(Z2868,'CAMD Facility Data 2023'!$AE$2:$AE$10000,0),1)&gt;0,INDEX('CAMD Facility Data 2023'!$AC$2:$AE$10000,MATCH(Z2868,'CAMD Facility Data 2023'!$AE$2:$AE$10000,0),1),"")</f>
        <v>1944</v>
      </c>
      <c r="AC2868" s="1" t="str">
        <f>IF(INDEX('CAMD Facility Data 2023'!$AE$2:$AG$10000,MATCH(Z2868,'CAMD Facility Data 2023'!$AE$2:$AE$10000,0),3)&gt;0,INDEX('CAMD Facility Data 2023'!$AE$2:$AG$10000,MATCH(Z2868,'CAMD Facility Data 2023'!$AE$2:$AE$10000,0),3),"")</f>
        <v/>
      </c>
      <c r="AD2868" s="20">
        <f t="shared" si="133"/>
        <v>0.35761848781431166</v>
      </c>
      <c r="AE2868" s="25">
        <f t="shared" si="134"/>
        <v>2.0485651436571023E-2</v>
      </c>
    </row>
    <row r="2869" spans="1:31" x14ac:dyDescent="0.2">
      <c r="A2869" s="1" t="s">
        <v>370</v>
      </c>
      <c r="B2869" s="1" t="s">
        <v>6537</v>
      </c>
      <c r="C2869" s="1">
        <v>55333</v>
      </c>
      <c r="D2869" s="1">
        <v>1</v>
      </c>
      <c r="F2869" s="1">
        <v>2023</v>
      </c>
      <c r="G2869" s="5">
        <v>6114</v>
      </c>
      <c r="H2869" s="5">
        <v>6056.3</v>
      </c>
      <c r="I2869" s="5">
        <v>1563902.27</v>
      </c>
      <c r="K2869" s="5">
        <v>3.2309999999999999</v>
      </c>
      <c r="L2869" s="5">
        <v>1E-3</v>
      </c>
      <c r="M2869" s="5">
        <v>640091.723</v>
      </c>
      <c r="N2869" s="6">
        <v>5.8999999999999997E-2</v>
      </c>
      <c r="O2869" s="5">
        <v>48.134</v>
      </c>
      <c r="P2869" s="6">
        <v>0.01</v>
      </c>
      <c r="Q2869" s="5">
        <v>10770768.808</v>
      </c>
      <c r="R2869" s="1" t="s">
        <v>44</v>
      </c>
      <c r="T2869" s="1" t="s">
        <v>71</v>
      </c>
      <c r="V2869" s="1" t="s">
        <v>4785</v>
      </c>
      <c r="Y2869" s="1" t="s">
        <v>247</v>
      </c>
      <c r="Z2869" s="1" t="str">
        <f t="shared" si="132"/>
        <v>55333 1</v>
      </c>
      <c r="AA2869" s="3">
        <f>IF(INDEX('CAMD Facility Data 2023'!$AA$2:$AE$10000,MATCH(Z2869,'CAMD Facility Data 2023'!$AE$2:$AE$10000,0),1)&gt;0,INDEX('CAMD Facility Data 2023'!$AA$2:$AE$10000,MATCH(Z2869,'CAMD Facility Data 2023'!$AE$2:$AE$10000,0),1),"")</f>
        <v>37226</v>
      </c>
      <c r="AB2869" s="5">
        <f>IF(INDEX('CAMD Facility Data 2023'!$AC$2:$AE$10000,MATCH(Z2869,'CAMD Facility Data 2023'!$AE$2:$AE$10000,0),1)&gt;0,INDEX('CAMD Facility Data 2023'!$AC$2:$AE$10000,MATCH(Z2869,'CAMD Facility Data 2023'!$AE$2:$AE$10000,0),1),"")</f>
        <v>2125</v>
      </c>
      <c r="AC2869" s="1" t="str">
        <f>IF(INDEX('CAMD Facility Data 2023'!$AE$2:$AG$10000,MATCH(Z2869,'CAMD Facility Data 2023'!$AE$2:$AE$10000,0),3)&gt;0,INDEX('CAMD Facility Data 2023'!$AE$2:$AG$10000,MATCH(Z2869,'CAMD Facility Data 2023'!$AE$2:$AE$10000,0),3),"")</f>
        <v/>
      </c>
      <c r="AD2869" s="20">
        <f t="shared" si="133"/>
        <v>6.1556276147613748E-2</v>
      </c>
      <c r="AE2869" s="25">
        <f t="shared" si="134"/>
        <v>0.57860697330110122</v>
      </c>
    </row>
    <row r="2870" spans="1:31" x14ac:dyDescent="0.2">
      <c r="A2870" s="1" t="s">
        <v>370</v>
      </c>
      <c r="B2870" s="1" t="s">
        <v>6537</v>
      </c>
      <c r="C2870" s="1">
        <v>55333</v>
      </c>
      <c r="D2870" s="1">
        <v>2</v>
      </c>
      <c r="F2870" s="1">
        <v>2023</v>
      </c>
      <c r="G2870" s="5">
        <v>5945</v>
      </c>
      <c r="H2870" s="5">
        <v>5890.03</v>
      </c>
      <c r="I2870" s="5">
        <v>1484369.11</v>
      </c>
      <c r="K2870" s="5">
        <v>3.0960000000000001</v>
      </c>
      <c r="L2870" s="5">
        <v>1E-3</v>
      </c>
      <c r="M2870" s="5">
        <v>613337.64500000002</v>
      </c>
      <c r="N2870" s="6">
        <v>5.8999999999999997E-2</v>
      </c>
      <c r="O2870" s="5">
        <v>42.448999999999998</v>
      </c>
      <c r="P2870" s="6">
        <v>8.9999999999999993E-3</v>
      </c>
      <c r="Q2870" s="5">
        <v>10320567.731000001</v>
      </c>
      <c r="R2870" s="1" t="s">
        <v>44</v>
      </c>
      <c r="T2870" s="1" t="s">
        <v>71</v>
      </c>
      <c r="V2870" s="1" t="s">
        <v>4785</v>
      </c>
      <c r="Y2870" s="1" t="s">
        <v>247</v>
      </c>
      <c r="Z2870" s="1" t="str">
        <f t="shared" si="132"/>
        <v>55333 2</v>
      </c>
      <c r="AA2870" s="3">
        <f>IF(INDEX('CAMD Facility Data 2023'!$AA$2:$AE$10000,MATCH(Z2870,'CAMD Facility Data 2023'!$AE$2:$AE$10000,0),1)&gt;0,INDEX('CAMD Facility Data 2023'!$AA$2:$AE$10000,MATCH(Z2870,'CAMD Facility Data 2023'!$AE$2:$AE$10000,0),1),"")</f>
        <v>37226</v>
      </c>
      <c r="AB2870" s="5">
        <f>IF(INDEX('CAMD Facility Data 2023'!$AC$2:$AE$10000,MATCH(Z2870,'CAMD Facility Data 2023'!$AE$2:$AE$10000,0),1)&gt;0,INDEX('CAMD Facility Data 2023'!$AC$2:$AE$10000,MATCH(Z2870,'CAMD Facility Data 2023'!$AE$2:$AE$10000,0),1),"")</f>
        <v>2125</v>
      </c>
      <c r="AC2870" s="1" t="str">
        <f>IF(INDEX('CAMD Facility Data 2023'!$AE$2:$AG$10000,MATCH(Z2870,'CAMD Facility Data 2023'!$AE$2:$AE$10000,0),3)&gt;0,INDEX('CAMD Facility Data 2023'!$AE$2:$AG$10000,MATCH(Z2870,'CAMD Facility Data 2023'!$AE$2:$AE$10000,0),3),"")</f>
        <v/>
      </c>
      <c r="AD2870" s="20">
        <f t="shared" si="133"/>
        <v>5.7194669053709957E-2</v>
      </c>
      <c r="AE2870" s="25">
        <f t="shared" si="134"/>
        <v>0.55442211823798015</v>
      </c>
    </row>
    <row r="2871" spans="1:31" x14ac:dyDescent="0.2">
      <c r="A2871" s="1" t="s">
        <v>370</v>
      </c>
      <c r="B2871" s="1" t="s">
        <v>6537</v>
      </c>
      <c r="C2871" s="1">
        <v>55333</v>
      </c>
      <c r="D2871" s="1">
        <v>3</v>
      </c>
      <c r="F2871" s="1">
        <v>2023</v>
      </c>
      <c r="G2871" s="5">
        <v>5220</v>
      </c>
      <c r="H2871" s="5">
        <v>5122.12</v>
      </c>
      <c r="I2871" s="5">
        <v>1292641.52</v>
      </c>
      <c r="K2871" s="5">
        <v>2.7360000000000002</v>
      </c>
      <c r="L2871" s="5">
        <v>1E-3</v>
      </c>
      <c r="M2871" s="5">
        <v>541958.41299999994</v>
      </c>
      <c r="N2871" s="6">
        <v>5.8999999999999997E-2</v>
      </c>
      <c r="O2871" s="5">
        <v>39.097000000000001</v>
      </c>
      <c r="P2871" s="6">
        <v>1.04E-2</v>
      </c>
      <c r="Q2871" s="5">
        <v>9119499.5020000003</v>
      </c>
      <c r="R2871" s="1" t="s">
        <v>44</v>
      </c>
      <c r="T2871" s="1" t="s">
        <v>71</v>
      </c>
      <c r="V2871" s="1" t="s">
        <v>4785</v>
      </c>
      <c r="Y2871" s="1" t="s">
        <v>247</v>
      </c>
      <c r="Z2871" s="1" t="str">
        <f t="shared" si="132"/>
        <v>55333 3</v>
      </c>
      <c r="AA2871" s="3">
        <f>IF(INDEX('CAMD Facility Data 2023'!$AA$2:$AE$10000,MATCH(Z2871,'CAMD Facility Data 2023'!$AE$2:$AE$10000,0),1)&gt;0,INDEX('CAMD Facility Data 2023'!$AA$2:$AE$10000,MATCH(Z2871,'CAMD Facility Data 2023'!$AE$2:$AE$10000,0),1),"")</f>
        <v>37226</v>
      </c>
      <c r="AB2871" s="5">
        <f>IF(INDEX('CAMD Facility Data 2023'!$AC$2:$AE$10000,MATCH(Z2871,'CAMD Facility Data 2023'!$AE$2:$AE$10000,0),1)&gt;0,INDEX('CAMD Facility Data 2023'!$AC$2:$AE$10000,MATCH(Z2871,'CAMD Facility Data 2023'!$AE$2:$AE$10000,0),1),"")</f>
        <v>2125</v>
      </c>
      <c r="AC2871" s="1" t="str">
        <f>IF(INDEX('CAMD Facility Data 2023'!$AE$2:$AG$10000,MATCH(Z2871,'CAMD Facility Data 2023'!$AE$2:$AE$10000,0),3)&gt;0,INDEX('CAMD Facility Data 2023'!$AE$2:$AG$10000,MATCH(Z2871,'CAMD Facility Data 2023'!$AE$2:$AE$10000,0),3),"")</f>
        <v/>
      </c>
      <c r="AD2871" s="20">
        <f t="shared" si="133"/>
        <v>6.0491635763022682E-2</v>
      </c>
      <c r="AE2871" s="25">
        <f t="shared" si="134"/>
        <v>0.48990059102874028</v>
      </c>
    </row>
    <row r="2872" spans="1:31" x14ac:dyDescent="0.2">
      <c r="A2872" s="1" t="s">
        <v>458</v>
      </c>
      <c r="B2872" s="1" t="s">
        <v>6542</v>
      </c>
      <c r="C2872" s="1">
        <v>55334</v>
      </c>
      <c r="D2872" s="1" t="s">
        <v>1129</v>
      </c>
      <c r="F2872" s="1">
        <v>2023</v>
      </c>
      <c r="G2872" s="5">
        <v>5883</v>
      </c>
      <c r="H2872" s="5">
        <v>5743.46</v>
      </c>
      <c r="I2872" s="5">
        <v>1301475.97</v>
      </c>
      <c r="K2872" s="5">
        <v>2.7919999999999998</v>
      </c>
      <c r="L2872" s="5">
        <v>1E-3</v>
      </c>
      <c r="M2872" s="5">
        <v>553016.74899999995</v>
      </c>
      <c r="N2872" s="6">
        <v>5.8999999999999997E-2</v>
      </c>
      <c r="O2872" s="5">
        <v>59.332000000000001</v>
      </c>
      <c r="P2872" s="6">
        <v>1.6500000000000001E-2</v>
      </c>
      <c r="Q2872" s="5">
        <v>9305581.4199999999</v>
      </c>
      <c r="R2872" s="1" t="s">
        <v>44</v>
      </c>
      <c r="T2872" s="1" t="s">
        <v>71</v>
      </c>
      <c r="V2872" s="1" t="s">
        <v>64</v>
      </c>
      <c r="Y2872" s="1" t="s">
        <v>461</v>
      </c>
      <c r="Z2872" s="1" t="str">
        <f t="shared" si="132"/>
        <v>55334 CTG1</v>
      </c>
      <c r="AA2872" s="3">
        <f>IF(INDEX('CAMD Facility Data 2023'!$AA$2:$AE$10000,MATCH(Z2872,'CAMD Facility Data 2023'!$AE$2:$AE$10000,0),1)&gt;0,INDEX('CAMD Facility Data 2023'!$AA$2:$AE$10000,MATCH(Z2872,'CAMD Facility Data 2023'!$AE$2:$AE$10000,0),1),"")</f>
        <v>37344</v>
      </c>
      <c r="AB2872" s="5">
        <f>IF(INDEX('CAMD Facility Data 2023'!$AC$2:$AE$10000,MATCH(Z2872,'CAMD Facility Data 2023'!$AE$2:$AE$10000,0),1)&gt;0,INDEX('CAMD Facility Data 2023'!$AC$2:$AE$10000,MATCH(Z2872,'CAMD Facility Data 2023'!$AE$2:$AE$10000,0),1),"")</f>
        <v>2600</v>
      </c>
      <c r="AC2872" s="1" t="str">
        <f>IF(INDEX('CAMD Facility Data 2023'!$AE$2:$AG$10000,MATCH(Z2872,'CAMD Facility Data 2023'!$AE$2:$AE$10000,0),3)&gt;0,INDEX('CAMD Facility Data 2023'!$AE$2:$AG$10000,MATCH(Z2872,'CAMD Facility Data 2023'!$AE$2:$AE$10000,0),3),"")</f>
        <v>Y</v>
      </c>
      <c r="AD2872" s="20">
        <f t="shared" si="133"/>
        <v>9.1176481729432157E-2</v>
      </c>
      <c r="AE2872" s="25">
        <f t="shared" si="134"/>
        <v>0.40856960923779417</v>
      </c>
    </row>
    <row r="2873" spans="1:31" x14ac:dyDescent="0.2">
      <c r="A2873" s="1" t="s">
        <v>458</v>
      </c>
      <c r="B2873" s="1" t="s">
        <v>6542</v>
      </c>
      <c r="C2873" s="1">
        <v>55334</v>
      </c>
      <c r="D2873" s="1" t="s">
        <v>1135</v>
      </c>
      <c r="F2873" s="1">
        <v>2023</v>
      </c>
      <c r="G2873" s="5">
        <v>5805</v>
      </c>
      <c r="H2873" s="5">
        <v>5666.43</v>
      </c>
      <c r="I2873" s="5">
        <v>1281471.53</v>
      </c>
      <c r="K2873" s="5">
        <v>2.7309999999999999</v>
      </c>
      <c r="L2873" s="5">
        <v>1E-3</v>
      </c>
      <c r="M2873" s="5">
        <v>541042.97699999996</v>
      </c>
      <c r="N2873" s="6">
        <v>5.8999999999999997E-2</v>
      </c>
      <c r="O2873" s="5">
        <v>59.531999999999996</v>
      </c>
      <c r="P2873" s="6">
        <v>1.7299999999999999E-2</v>
      </c>
      <c r="Q2873" s="5">
        <v>9104096.25</v>
      </c>
      <c r="R2873" s="1" t="s">
        <v>44</v>
      </c>
      <c r="T2873" s="1" t="s">
        <v>71</v>
      </c>
      <c r="V2873" s="1" t="s">
        <v>64</v>
      </c>
      <c r="Y2873" s="1" t="s">
        <v>461</v>
      </c>
      <c r="Z2873" s="1" t="str">
        <f t="shared" si="132"/>
        <v>55334 CTG2</v>
      </c>
      <c r="AA2873" s="3">
        <f>IF(INDEX('CAMD Facility Data 2023'!$AA$2:$AE$10000,MATCH(Z2873,'CAMD Facility Data 2023'!$AE$2:$AE$10000,0),1)&gt;0,INDEX('CAMD Facility Data 2023'!$AA$2:$AE$10000,MATCH(Z2873,'CAMD Facility Data 2023'!$AE$2:$AE$10000,0),1),"")</f>
        <v>37345</v>
      </c>
      <c r="AB2873" s="5">
        <f>IF(INDEX('CAMD Facility Data 2023'!$AC$2:$AE$10000,MATCH(Z2873,'CAMD Facility Data 2023'!$AE$2:$AE$10000,0),1)&gt;0,INDEX('CAMD Facility Data 2023'!$AC$2:$AE$10000,MATCH(Z2873,'CAMD Facility Data 2023'!$AE$2:$AE$10000,0),1),"")</f>
        <v>2600</v>
      </c>
      <c r="AC2873" s="1" t="str">
        <f>IF(INDEX('CAMD Facility Data 2023'!$AE$2:$AG$10000,MATCH(Z2873,'CAMD Facility Data 2023'!$AE$2:$AE$10000,0),3)&gt;0,INDEX('CAMD Facility Data 2023'!$AE$2:$AG$10000,MATCH(Z2873,'CAMD Facility Data 2023'!$AE$2:$AE$10000,0),3),"")</f>
        <v>Y</v>
      </c>
      <c r="AD2873" s="20">
        <f t="shared" si="133"/>
        <v>9.2911935390402309E-2</v>
      </c>
      <c r="AE2873" s="25">
        <f t="shared" si="134"/>
        <v>0.39972322839831403</v>
      </c>
    </row>
    <row r="2874" spans="1:31" x14ac:dyDescent="0.2">
      <c r="A2874" s="1" t="s">
        <v>2584</v>
      </c>
      <c r="B2874" s="1" t="s">
        <v>6547</v>
      </c>
      <c r="C2874" s="1">
        <v>55337</v>
      </c>
      <c r="D2874" s="1">
        <v>1</v>
      </c>
      <c r="F2874" s="1">
        <v>2023</v>
      </c>
      <c r="G2874" s="5">
        <v>6308</v>
      </c>
      <c r="H2874" s="5">
        <v>6304.36</v>
      </c>
      <c r="I2874" s="5">
        <v>1429931.03</v>
      </c>
      <c r="K2874" s="5">
        <v>4.6619999999999999</v>
      </c>
      <c r="L2874" s="5">
        <v>1E-3</v>
      </c>
      <c r="M2874" s="5">
        <v>923545.03700000001</v>
      </c>
      <c r="N2874" s="6">
        <v>5.8999999999999997E-2</v>
      </c>
      <c r="O2874" s="5">
        <v>100.08</v>
      </c>
      <c r="P2874" s="6">
        <v>1.29E-2</v>
      </c>
      <c r="Q2874" s="5">
        <v>15540359.352</v>
      </c>
      <c r="R2874" s="1" t="s">
        <v>44</v>
      </c>
      <c r="T2874" s="1" t="s">
        <v>71</v>
      </c>
      <c r="V2874" s="1" t="s">
        <v>2214</v>
      </c>
      <c r="Y2874" s="1" t="s">
        <v>1515</v>
      </c>
      <c r="Z2874" s="1" t="str">
        <f t="shared" si="132"/>
        <v>55337 1</v>
      </c>
      <c r="AA2874" s="3">
        <f>IF(INDEX('CAMD Facility Data 2023'!$AA$2:$AE$10000,MATCH(Z2874,'CAMD Facility Data 2023'!$AE$2:$AE$10000,0),1)&gt;0,INDEX('CAMD Facility Data 2023'!$AA$2:$AE$10000,MATCH(Z2874,'CAMD Facility Data 2023'!$AE$2:$AE$10000,0),1),"")</f>
        <v>37089</v>
      </c>
      <c r="AB2874" s="5">
        <f>IF(INDEX('CAMD Facility Data 2023'!$AC$2:$AE$10000,MATCH(Z2874,'CAMD Facility Data 2023'!$AE$2:$AE$10000,0),1)&gt;0,INDEX('CAMD Facility Data 2023'!$AC$2:$AE$10000,MATCH(Z2874,'CAMD Facility Data 2023'!$AE$2:$AE$10000,0),1),"")</f>
        <v>3000</v>
      </c>
      <c r="AC2874" s="1" t="str">
        <f>IF(INDEX('CAMD Facility Data 2023'!$AE$2:$AG$10000,MATCH(Z2874,'CAMD Facility Data 2023'!$AE$2:$AE$10000,0),3)&gt;0,INDEX('CAMD Facility Data 2023'!$AE$2:$AG$10000,MATCH(Z2874,'CAMD Facility Data 2023'!$AE$2:$AE$10000,0),3),"")</f>
        <v/>
      </c>
      <c r="AD2874" s="20">
        <f t="shared" si="133"/>
        <v>0.13997877925622748</v>
      </c>
      <c r="AE2874" s="25">
        <f t="shared" si="134"/>
        <v>0.59133787488584477</v>
      </c>
    </row>
    <row r="2875" spans="1:31" x14ac:dyDescent="0.2">
      <c r="A2875" s="1" t="s">
        <v>2584</v>
      </c>
      <c r="B2875" s="1" t="s">
        <v>6547</v>
      </c>
      <c r="C2875" s="1">
        <v>55337</v>
      </c>
      <c r="D2875" s="1">
        <v>2</v>
      </c>
      <c r="F2875" s="1">
        <v>2023</v>
      </c>
      <c r="G2875" s="5">
        <v>6325</v>
      </c>
      <c r="H2875" s="5">
        <v>6319.66</v>
      </c>
      <c r="I2875" s="5">
        <v>1423214.18</v>
      </c>
      <c r="K2875" s="5">
        <v>4.66</v>
      </c>
      <c r="L2875" s="5">
        <v>1E-3</v>
      </c>
      <c r="M2875" s="5">
        <v>923072.37199999997</v>
      </c>
      <c r="N2875" s="6">
        <v>5.8999999999999997E-2</v>
      </c>
      <c r="O2875" s="5">
        <v>88.959000000000003</v>
      </c>
      <c r="P2875" s="6">
        <v>1.1599999999999999E-2</v>
      </c>
      <c r="Q2875" s="5">
        <v>15532469.628</v>
      </c>
      <c r="R2875" s="1" t="s">
        <v>44</v>
      </c>
      <c r="T2875" s="1" t="s">
        <v>71</v>
      </c>
      <c r="V2875" s="1" t="s">
        <v>2214</v>
      </c>
      <c r="Y2875" s="1" t="s">
        <v>1515</v>
      </c>
      <c r="Z2875" s="1" t="str">
        <f t="shared" si="132"/>
        <v>55337 2</v>
      </c>
      <c r="AA2875" s="3">
        <f>IF(INDEX('CAMD Facility Data 2023'!$AA$2:$AE$10000,MATCH(Z2875,'CAMD Facility Data 2023'!$AE$2:$AE$10000,0),1)&gt;0,INDEX('CAMD Facility Data 2023'!$AA$2:$AE$10000,MATCH(Z2875,'CAMD Facility Data 2023'!$AE$2:$AE$10000,0),1),"")</f>
        <v>37104</v>
      </c>
      <c r="AB2875" s="5">
        <f>IF(INDEX('CAMD Facility Data 2023'!$AC$2:$AE$10000,MATCH(Z2875,'CAMD Facility Data 2023'!$AE$2:$AE$10000,0),1)&gt;0,INDEX('CAMD Facility Data 2023'!$AC$2:$AE$10000,MATCH(Z2875,'CAMD Facility Data 2023'!$AE$2:$AE$10000,0),1),"")</f>
        <v>3000</v>
      </c>
      <c r="AC2875" s="1" t="str">
        <f>IF(INDEX('CAMD Facility Data 2023'!$AE$2:$AG$10000,MATCH(Z2875,'CAMD Facility Data 2023'!$AE$2:$AE$10000,0),3)&gt;0,INDEX('CAMD Facility Data 2023'!$AE$2:$AG$10000,MATCH(Z2875,'CAMD Facility Data 2023'!$AE$2:$AE$10000,0),3),"")</f>
        <v/>
      </c>
      <c r="AD2875" s="20">
        <f t="shared" si="133"/>
        <v>0.12501140200837516</v>
      </c>
      <c r="AE2875" s="25">
        <f t="shared" si="134"/>
        <v>0.59103765707762557</v>
      </c>
    </row>
    <row r="2876" spans="1:31" x14ac:dyDescent="0.2">
      <c r="A2876" s="1" t="s">
        <v>348</v>
      </c>
      <c r="B2876" s="1" t="s">
        <v>6553</v>
      </c>
      <c r="C2876" s="1">
        <v>55340</v>
      </c>
      <c r="D2876" s="1">
        <v>1</v>
      </c>
      <c r="F2876" s="1">
        <v>2023</v>
      </c>
      <c r="G2876" s="5">
        <v>8012</v>
      </c>
      <c r="H2876" s="5">
        <v>7985.66</v>
      </c>
      <c r="I2876" s="5">
        <v>2103738.63</v>
      </c>
      <c r="K2876" s="5">
        <v>4.6980000000000004</v>
      </c>
      <c r="L2876" s="5">
        <v>1E-3</v>
      </c>
      <c r="M2876" s="5">
        <v>930772.375</v>
      </c>
      <c r="N2876" s="6">
        <v>5.91E-2</v>
      </c>
      <c r="O2876" s="5">
        <v>79.492000000000004</v>
      </c>
      <c r="P2876" s="6">
        <v>1.12E-2</v>
      </c>
      <c r="Q2876" s="5">
        <v>15656797.015000001</v>
      </c>
      <c r="R2876" s="1" t="s">
        <v>44</v>
      </c>
      <c r="S2876" s="1" t="s">
        <v>94</v>
      </c>
      <c r="T2876" s="1" t="s">
        <v>71</v>
      </c>
      <c r="V2876" s="1" t="s">
        <v>64</v>
      </c>
      <c r="Y2876" s="1" t="s">
        <v>346</v>
      </c>
      <c r="Z2876" s="1" t="str">
        <f t="shared" si="132"/>
        <v>55340 1</v>
      </c>
      <c r="AA2876" s="3">
        <f>IF(INDEX('CAMD Facility Data 2023'!$AA$2:$AE$10000,MATCH(Z2876,'CAMD Facility Data 2023'!$AE$2:$AE$10000,0),1)&gt;0,INDEX('CAMD Facility Data 2023'!$AA$2:$AE$10000,MATCH(Z2876,'CAMD Facility Data 2023'!$AE$2:$AE$10000,0),1),"")</f>
        <v>39210</v>
      </c>
      <c r="AB2876" s="5">
        <f>IF(INDEX('CAMD Facility Data 2023'!$AC$2:$AE$10000,MATCH(Z2876,'CAMD Facility Data 2023'!$AE$2:$AE$10000,0),1)&gt;0,INDEX('CAMD Facility Data 2023'!$AC$2:$AE$10000,MATCH(Z2876,'CAMD Facility Data 2023'!$AE$2:$AE$10000,0),1),"")</f>
        <v>3672.9</v>
      </c>
      <c r="AC2876" s="1" t="str">
        <f>IF(INDEX('CAMD Facility Data 2023'!$AE$2:$AG$10000,MATCH(Z2876,'CAMD Facility Data 2023'!$AE$2:$AE$10000,0),3)&gt;0,INDEX('CAMD Facility Data 2023'!$AE$2:$AG$10000,MATCH(Z2876,'CAMD Facility Data 2023'!$AE$2:$AE$10000,0),3),"")</f>
        <v>Y</v>
      </c>
      <c r="AD2876" s="20">
        <f t="shared" si="133"/>
        <v>7.5572125611440624E-2</v>
      </c>
      <c r="AE2876" s="25">
        <f t="shared" si="134"/>
        <v>0.48661972700580869</v>
      </c>
    </row>
    <row r="2877" spans="1:31" x14ac:dyDescent="0.2">
      <c r="A2877" s="1" t="s">
        <v>348</v>
      </c>
      <c r="B2877" s="1" t="s">
        <v>6553</v>
      </c>
      <c r="C2877" s="1">
        <v>55340</v>
      </c>
      <c r="D2877" s="1">
        <v>2</v>
      </c>
      <c r="F2877" s="1">
        <v>2023</v>
      </c>
      <c r="G2877" s="5">
        <v>7964</v>
      </c>
      <c r="H2877" s="5">
        <v>7942.43</v>
      </c>
      <c r="I2877" s="5">
        <v>2073535.49</v>
      </c>
      <c r="K2877" s="5">
        <v>4.7190000000000003</v>
      </c>
      <c r="L2877" s="5">
        <v>1E-3</v>
      </c>
      <c r="M2877" s="5">
        <v>932294.14899999998</v>
      </c>
      <c r="N2877" s="6">
        <v>5.91E-2</v>
      </c>
      <c r="O2877" s="5">
        <v>79.302000000000007</v>
      </c>
      <c r="P2877" s="6">
        <v>1.0999999999999999E-2</v>
      </c>
      <c r="Q2877" s="5">
        <v>15670566.93</v>
      </c>
      <c r="R2877" s="1" t="s">
        <v>44</v>
      </c>
      <c r="S2877" s="1" t="s">
        <v>94</v>
      </c>
      <c r="T2877" s="1" t="s">
        <v>71</v>
      </c>
      <c r="V2877" s="1" t="s">
        <v>64</v>
      </c>
      <c r="Y2877" s="1" t="s">
        <v>346</v>
      </c>
      <c r="Z2877" s="1" t="str">
        <f t="shared" si="132"/>
        <v>55340 2</v>
      </c>
      <c r="AA2877" s="3">
        <f>IF(INDEX('CAMD Facility Data 2023'!$AA$2:$AE$10000,MATCH(Z2877,'CAMD Facility Data 2023'!$AE$2:$AE$10000,0),1)&gt;0,INDEX('CAMD Facility Data 2023'!$AA$2:$AE$10000,MATCH(Z2877,'CAMD Facility Data 2023'!$AE$2:$AE$10000,0),1),"")</f>
        <v>39195</v>
      </c>
      <c r="AB2877" s="5">
        <f>IF(INDEX('CAMD Facility Data 2023'!$AC$2:$AE$10000,MATCH(Z2877,'CAMD Facility Data 2023'!$AE$2:$AE$10000,0),1)&gt;0,INDEX('CAMD Facility Data 2023'!$AC$2:$AE$10000,MATCH(Z2877,'CAMD Facility Data 2023'!$AE$2:$AE$10000,0),1),"")</f>
        <v>4348.1000000000004</v>
      </c>
      <c r="AC2877" s="1" t="str">
        <f>IF(INDEX('CAMD Facility Data 2023'!$AE$2:$AG$10000,MATCH(Z2877,'CAMD Facility Data 2023'!$AE$2:$AE$10000,0),3)&gt;0,INDEX('CAMD Facility Data 2023'!$AE$2:$AG$10000,MATCH(Z2877,'CAMD Facility Data 2023'!$AE$2:$AE$10000,0),3),"")</f>
        <v>Y</v>
      </c>
      <c r="AD2877" s="20">
        <f t="shared" si="133"/>
        <v>7.6489648122685369E-2</v>
      </c>
      <c r="AE2877" s="25">
        <f t="shared" si="134"/>
        <v>0.41141590658555632</v>
      </c>
    </row>
    <row r="2878" spans="1:31" x14ac:dyDescent="0.2">
      <c r="A2878" s="1" t="s">
        <v>2054</v>
      </c>
      <c r="B2878" s="1" t="s">
        <v>6558</v>
      </c>
      <c r="C2878" s="1">
        <v>55343</v>
      </c>
      <c r="D2878" s="1" t="s">
        <v>1129</v>
      </c>
      <c r="F2878" s="1">
        <v>2023</v>
      </c>
      <c r="G2878" s="5">
        <v>7938</v>
      </c>
      <c r="H2878" s="5">
        <v>7930.68</v>
      </c>
      <c r="I2878" s="5">
        <v>1879249.07</v>
      </c>
      <c r="K2878" s="5">
        <v>3.665</v>
      </c>
      <c r="L2878" s="5">
        <v>1E-3</v>
      </c>
      <c r="M2878" s="5">
        <v>725972.74600000004</v>
      </c>
      <c r="N2878" s="6">
        <v>5.8999999999999997E-2</v>
      </c>
      <c r="O2878" s="5">
        <v>63.47</v>
      </c>
      <c r="P2878" s="6">
        <v>1.0699999999999999E-2</v>
      </c>
      <c r="Q2878" s="5">
        <v>12215874.316</v>
      </c>
      <c r="R2878" s="1" t="s">
        <v>44</v>
      </c>
      <c r="T2878" s="1" t="s">
        <v>71</v>
      </c>
      <c r="V2878" s="1" t="s">
        <v>64</v>
      </c>
      <c r="Y2878" s="1" t="s">
        <v>247</v>
      </c>
      <c r="Z2878" s="1" t="str">
        <f t="shared" si="132"/>
        <v>55343 CTG1</v>
      </c>
      <c r="AA2878" s="3">
        <f>IF(INDEX('CAMD Facility Data 2023'!$AA$2:$AE$10000,MATCH(Z2878,'CAMD Facility Data 2023'!$AE$2:$AE$10000,0),1)&gt;0,INDEX('CAMD Facility Data 2023'!$AA$2:$AE$10000,MATCH(Z2878,'CAMD Facility Data 2023'!$AE$2:$AE$10000,0),1),"")</f>
        <v>38700</v>
      </c>
      <c r="AB2878" s="5">
        <f>IF(INDEX('CAMD Facility Data 2023'!$AC$2:$AE$10000,MATCH(Z2878,'CAMD Facility Data 2023'!$AE$2:$AE$10000,0),1)&gt;0,INDEX('CAMD Facility Data 2023'!$AC$2:$AE$10000,MATCH(Z2878,'CAMD Facility Data 2023'!$AE$2:$AE$10000,0),1),"")</f>
        <v>2381.1999999999998</v>
      </c>
      <c r="AC2878" s="1" t="str">
        <f>IF(INDEX('CAMD Facility Data 2023'!$AE$2:$AG$10000,MATCH(Z2878,'CAMD Facility Data 2023'!$AE$2:$AE$10000,0),3)&gt;0,INDEX('CAMD Facility Data 2023'!$AE$2:$AG$10000,MATCH(Z2878,'CAMD Facility Data 2023'!$AE$2:$AE$10000,0),3),"")</f>
        <v>Y</v>
      </c>
      <c r="AD2878" s="20">
        <f t="shared" si="133"/>
        <v>6.7548257453707294E-2</v>
      </c>
      <c r="AE2878" s="25">
        <f t="shared" si="134"/>
        <v>0.5856316984951373</v>
      </c>
    </row>
    <row r="2879" spans="1:31" x14ac:dyDescent="0.2">
      <c r="A2879" s="1" t="s">
        <v>2054</v>
      </c>
      <c r="B2879" s="1" t="s">
        <v>6558</v>
      </c>
      <c r="C2879" s="1">
        <v>55343</v>
      </c>
      <c r="D2879" s="1" t="s">
        <v>1135</v>
      </c>
      <c r="F2879" s="1">
        <v>2023</v>
      </c>
      <c r="G2879" s="5">
        <v>7743</v>
      </c>
      <c r="H2879" s="5">
        <v>7731.1</v>
      </c>
      <c r="I2879" s="5">
        <v>1884073.23</v>
      </c>
      <c r="K2879" s="5">
        <v>3.843</v>
      </c>
      <c r="L2879" s="5">
        <v>1E-3</v>
      </c>
      <c r="M2879" s="5">
        <v>761169.32499999995</v>
      </c>
      <c r="N2879" s="6">
        <v>5.8999999999999997E-2</v>
      </c>
      <c r="O2879" s="5">
        <v>67.512</v>
      </c>
      <c r="P2879" s="6">
        <v>1.0500000000000001E-2</v>
      </c>
      <c r="Q2879" s="5">
        <v>12808104.173</v>
      </c>
      <c r="R2879" s="1" t="s">
        <v>44</v>
      </c>
      <c r="T2879" s="1" t="s">
        <v>71</v>
      </c>
      <c r="V2879" s="1" t="s">
        <v>64</v>
      </c>
      <c r="Y2879" s="1" t="s">
        <v>247</v>
      </c>
      <c r="Z2879" s="1" t="str">
        <f t="shared" si="132"/>
        <v>55343 CTG2</v>
      </c>
      <c r="AA2879" s="3">
        <f>IF(INDEX('CAMD Facility Data 2023'!$AA$2:$AE$10000,MATCH(Z2879,'CAMD Facility Data 2023'!$AE$2:$AE$10000,0),1)&gt;0,INDEX('CAMD Facility Data 2023'!$AA$2:$AE$10000,MATCH(Z2879,'CAMD Facility Data 2023'!$AE$2:$AE$10000,0),1),"")</f>
        <v>38697</v>
      </c>
      <c r="AB2879" s="5">
        <f>IF(INDEX('CAMD Facility Data 2023'!$AC$2:$AE$10000,MATCH(Z2879,'CAMD Facility Data 2023'!$AE$2:$AE$10000,0),1)&gt;0,INDEX('CAMD Facility Data 2023'!$AC$2:$AE$10000,MATCH(Z2879,'CAMD Facility Data 2023'!$AE$2:$AE$10000,0),1),"")</f>
        <v>2381.1999999999998</v>
      </c>
      <c r="AC2879" s="1" t="str">
        <f>IF(INDEX('CAMD Facility Data 2023'!$AE$2:$AG$10000,MATCH(Z2879,'CAMD Facility Data 2023'!$AE$2:$AE$10000,0),3)&gt;0,INDEX('CAMD Facility Data 2023'!$AE$2:$AG$10000,MATCH(Z2879,'CAMD Facility Data 2023'!$AE$2:$AE$10000,0),3),"")</f>
        <v>Y</v>
      </c>
      <c r="AD2879" s="20">
        <f t="shared" si="133"/>
        <v>7.1666004192416657E-2</v>
      </c>
      <c r="AE2879" s="25">
        <f t="shared" si="134"/>
        <v>0.61402332795060544</v>
      </c>
    </row>
    <row r="2880" spans="1:31" x14ac:dyDescent="0.2">
      <c r="A2880" s="1" t="s">
        <v>370</v>
      </c>
      <c r="B2880" s="1" t="s">
        <v>6563</v>
      </c>
      <c r="C2880" s="1">
        <v>55345</v>
      </c>
      <c r="D2880" s="1" t="s">
        <v>5681</v>
      </c>
      <c r="F2880" s="1">
        <v>2023</v>
      </c>
      <c r="G2880" s="5">
        <v>4994</v>
      </c>
      <c r="H2880" s="5">
        <v>4787.13</v>
      </c>
      <c r="I2880" s="5">
        <v>1117616.74</v>
      </c>
      <c r="K2880" s="5">
        <v>2.3420000000000001</v>
      </c>
      <c r="L2880" s="5">
        <v>1E-3</v>
      </c>
      <c r="M2880" s="5">
        <v>464011.59100000001</v>
      </c>
      <c r="N2880" s="6">
        <v>5.8999999999999997E-2</v>
      </c>
      <c r="O2880" s="5">
        <v>26.062000000000001</v>
      </c>
      <c r="P2880" s="6">
        <v>9.7000000000000003E-3</v>
      </c>
      <c r="Q2880" s="5">
        <v>7807886.5070000002</v>
      </c>
      <c r="R2880" s="1" t="s">
        <v>44</v>
      </c>
      <c r="T2880" s="1" t="s">
        <v>71</v>
      </c>
      <c r="V2880" s="1" t="s">
        <v>64</v>
      </c>
      <c r="Y2880" s="1" t="s">
        <v>247</v>
      </c>
      <c r="Z2880" s="1" t="str">
        <f t="shared" si="132"/>
        <v>55345 CTG-1</v>
      </c>
      <c r="AA2880" s="3">
        <f>IF(INDEX('CAMD Facility Data 2023'!$AA$2:$AE$10000,MATCH(Z2880,'CAMD Facility Data 2023'!$AE$2:$AE$10000,0),1)&gt;0,INDEX('CAMD Facility Data 2023'!$AA$2:$AE$10000,MATCH(Z2880,'CAMD Facility Data 2023'!$AE$2:$AE$10000,0),1),"")</f>
        <v>40016</v>
      </c>
      <c r="AB2880" s="5">
        <f>IF(INDEX('CAMD Facility Data 2023'!$AC$2:$AE$10000,MATCH(Z2880,'CAMD Facility Data 2023'!$AE$2:$AE$10000,0),1)&gt;0,INDEX('CAMD Facility Data 2023'!$AC$2:$AE$10000,MATCH(Z2880,'CAMD Facility Data 2023'!$AE$2:$AE$10000,0),1),"")</f>
        <v>2200</v>
      </c>
      <c r="AC2880" s="1" t="str">
        <f>IF(INDEX('CAMD Facility Data 2023'!$AE$2:$AG$10000,MATCH(Z2880,'CAMD Facility Data 2023'!$AE$2:$AE$10000,0),3)&gt;0,INDEX('CAMD Facility Data 2023'!$AE$2:$AG$10000,MATCH(Z2880,'CAMD Facility Data 2023'!$AE$2:$AE$10000,0),3),"")</f>
        <v>Y</v>
      </c>
      <c r="AD2880" s="20">
        <f t="shared" si="133"/>
        <v>4.6638528338435591E-2</v>
      </c>
      <c r="AE2880" s="25">
        <f t="shared" si="134"/>
        <v>0.40514147504151099</v>
      </c>
    </row>
    <row r="2881" spans="1:31" x14ac:dyDescent="0.2">
      <c r="A2881" s="1" t="s">
        <v>370</v>
      </c>
      <c r="B2881" s="1" t="s">
        <v>6563</v>
      </c>
      <c r="C2881" s="1">
        <v>55345</v>
      </c>
      <c r="D2881" s="1" t="s">
        <v>5684</v>
      </c>
      <c r="F2881" s="1">
        <v>2023</v>
      </c>
      <c r="G2881" s="5">
        <v>4919</v>
      </c>
      <c r="H2881" s="5">
        <v>4725.33</v>
      </c>
      <c r="I2881" s="5">
        <v>1114897.6100000001</v>
      </c>
      <c r="K2881" s="5">
        <v>2.3220000000000001</v>
      </c>
      <c r="L2881" s="5">
        <v>1E-3</v>
      </c>
      <c r="M2881" s="5">
        <v>459984.76299999998</v>
      </c>
      <c r="N2881" s="6">
        <v>5.8999999999999997E-2</v>
      </c>
      <c r="O2881" s="5">
        <v>23.026</v>
      </c>
      <c r="P2881" s="6">
        <v>8.6999999999999994E-3</v>
      </c>
      <c r="Q2881" s="5">
        <v>7740145.8859999999</v>
      </c>
      <c r="R2881" s="1" t="s">
        <v>44</v>
      </c>
      <c r="T2881" s="1" t="s">
        <v>71</v>
      </c>
      <c r="V2881" s="1" t="s">
        <v>64</v>
      </c>
      <c r="Y2881" s="1" t="s">
        <v>247</v>
      </c>
      <c r="Z2881" s="1" t="str">
        <f t="shared" si="132"/>
        <v>55345 CTG-2</v>
      </c>
      <c r="AA2881" s="3">
        <f>IF(INDEX('CAMD Facility Data 2023'!$AA$2:$AE$10000,MATCH(Z2881,'CAMD Facility Data 2023'!$AE$2:$AE$10000,0),1)&gt;0,INDEX('CAMD Facility Data 2023'!$AA$2:$AE$10000,MATCH(Z2881,'CAMD Facility Data 2023'!$AE$2:$AE$10000,0),1),"")</f>
        <v>40017</v>
      </c>
      <c r="AB2881" s="5">
        <f>IF(INDEX('CAMD Facility Data 2023'!$AC$2:$AE$10000,MATCH(Z2881,'CAMD Facility Data 2023'!$AE$2:$AE$10000,0),1)&gt;0,INDEX('CAMD Facility Data 2023'!$AC$2:$AE$10000,MATCH(Z2881,'CAMD Facility Data 2023'!$AE$2:$AE$10000,0),1),"")</f>
        <v>2200</v>
      </c>
      <c r="AC2881" s="1" t="str">
        <f>IF(INDEX('CAMD Facility Data 2023'!$AE$2:$AG$10000,MATCH(Z2881,'CAMD Facility Data 2023'!$AE$2:$AE$10000,0),3)&gt;0,INDEX('CAMD Facility Data 2023'!$AE$2:$AG$10000,MATCH(Z2881,'CAMD Facility Data 2023'!$AE$2:$AE$10000,0),3),"")</f>
        <v>Y</v>
      </c>
      <c r="AD2881" s="20">
        <f t="shared" si="133"/>
        <v>4.1306035269014517E-2</v>
      </c>
      <c r="AE2881" s="25">
        <f t="shared" si="134"/>
        <v>0.40162649885844748</v>
      </c>
    </row>
    <row r="2882" spans="1:31" x14ac:dyDescent="0.2">
      <c r="A2882" s="1" t="s">
        <v>2584</v>
      </c>
      <c r="B2882" s="1" t="s">
        <v>6567</v>
      </c>
      <c r="C2882" s="1">
        <v>55347</v>
      </c>
      <c r="D2882" s="1">
        <v>1</v>
      </c>
      <c r="F2882" s="1">
        <v>2023</v>
      </c>
      <c r="G2882" s="5">
        <v>1817</v>
      </c>
      <c r="H2882" s="5">
        <v>1676.11</v>
      </c>
      <c r="I2882" s="5">
        <v>249776.12</v>
      </c>
      <c r="K2882" s="5">
        <v>0.77700000000000002</v>
      </c>
      <c r="L2882" s="5">
        <v>1E-3</v>
      </c>
      <c r="M2882" s="5">
        <v>152975.20699999999</v>
      </c>
      <c r="N2882" s="6">
        <v>5.91E-2</v>
      </c>
      <c r="O2882" s="5">
        <v>40.359000000000002</v>
      </c>
      <c r="P2882" s="6">
        <v>3.8300000000000001E-2</v>
      </c>
      <c r="Q2882" s="5">
        <v>2571389.0410000002</v>
      </c>
      <c r="R2882" s="1" t="s">
        <v>44</v>
      </c>
      <c r="S2882" s="1" t="s">
        <v>94</v>
      </c>
      <c r="T2882" s="1" t="s">
        <v>93</v>
      </c>
      <c r="V2882" s="1" t="s">
        <v>183</v>
      </c>
      <c r="Y2882" s="1" t="s">
        <v>1515</v>
      </c>
      <c r="Z2882" s="1" t="str">
        <f t="shared" si="132"/>
        <v>55347 1</v>
      </c>
      <c r="AA2882" s="3">
        <f>IF(INDEX('CAMD Facility Data 2023'!$AA$2:$AE$10000,MATCH(Z2882,'CAMD Facility Data 2023'!$AE$2:$AE$10000,0),1)&gt;0,INDEX('CAMD Facility Data 2023'!$AA$2:$AE$10000,MATCH(Z2882,'CAMD Facility Data 2023'!$AE$2:$AE$10000,0),1),"")</f>
        <v>37357</v>
      </c>
      <c r="AB2882" s="5">
        <f>IF(INDEX('CAMD Facility Data 2023'!$AC$2:$AE$10000,MATCH(Z2882,'CAMD Facility Data 2023'!$AE$2:$AE$10000,0),1)&gt;0,INDEX('CAMD Facility Data 2023'!$AC$2:$AE$10000,MATCH(Z2882,'CAMD Facility Data 2023'!$AE$2:$AE$10000,0),1),"")</f>
        <v>1926</v>
      </c>
      <c r="AC2882" s="1" t="str">
        <f>IF(INDEX('CAMD Facility Data 2023'!$AE$2:$AG$10000,MATCH(Z2882,'CAMD Facility Data 2023'!$AE$2:$AE$10000,0),3)&gt;0,INDEX('CAMD Facility Data 2023'!$AE$2:$AG$10000,MATCH(Z2882,'CAMD Facility Data 2023'!$AE$2:$AE$10000,0),3),"")</f>
        <v/>
      </c>
      <c r="AD2882" s="20">
        <f t="shared" si="133"/>
        <v>0.32316139749468442</v>
      </c>
      <c r="AE2882" s="25">
        <f t="shared" si="134"/>
        <v>0.15240787214848955</v>
      </c>
    </row>
    <row r="2883" spans="1:31" x14ac:dyDescent="0.2">
      <c r="A2883" s="1" t="s">
        <v>2584</v>
      </c>
      <c r="B2883" s="1" t="s">
        <v>6567</v>
      </c>
      <c r="C2883" s="1">
        <v>55347</v>
      </c>
      <c r="D2883" s="1">
        <v>2</v>
      </c>
      <c r="F2883" s="1">
        <v>2023</v>
      </c>
      <c r="G2883" s="5">
        <v>2087</v>
      </c>
      <c r="H2883" s="5">
        <v>1931.44</v>
      </c>
      <c r="I2883" s="5">
        <v>288432.03000000003</v>
      </c>
      <c r="K2883" s="5">
        <v>0.90300000000000002</v>
      </c>
      <c r="L2883" s="5">
        <v>1E-3</v>
      </c>
      <c r="M2883" s="5">
        <v>178481.54399999999</v>
      </c>
      <c r="N2883" s="6">
        <v>5.91E-2</v>
      </c>
      <c r="O2883" s="5">
        <v>45.828000000000003</v>
      </c>
      <c r="P2883" s="6">
        <v>3.8100000000000002E-2</v>
      </c>
      <c r="Q2883" s="5">
        <v>3001922.963</v>
      </c>
      <c r="R2883" s="1" t="s">
        <v>44</v>
      </c>
      <c r="S2883" s="1" t="s">
        <v>94</v>
      </c>
      <c r="T2883" s="1" t="s">
        <v>93</v>
      </c>
      <c r="V2883" s="1" t="s">
        <v>183</v>
      </c>
      <c r="Y2883" s="1" t="s">
        <v>1515</v>
      </c>
      <c r="Z2883" s="1" t="str">
        <f t="shared" ref="Z2883:Z2946" si="135">C2883&amp;" "&amp;D2883</f>
        <v>55347 2</v>
      </c>
      <c r="AA2883" s="3">
        <f>IF(INDEX('CAMD Facility Data 2023'!$AA$2:$AE$10000,MATCH(Z2883,'CAMD Facility Data 2023'!$AE$2:$AE$10000,0),1)&gt;0,INDEX('CAMD Facility Data 2023'!$AA$2:$AE$10000,MATCH(Z2883,'CAMD Facility Data 2023'!$AE$2:$AE$10000,0),1),"")</f>
        <v>37362</v>
      </c>
      <c r="AB2883" s="5">
        <f>IF(INDEX('CAMD Facility Data 2023'!$AC$2:$AE$10000,MATCH(Z2883,'CAMD Facility Data 2023'!$AE$2:$AE$10000,0),1)&gt;0,INDEX('CAMD Facility Data 2023'!$AC$2:$AE$10000,MATCH(Z2883,'CAMD Facility Data 2023'!$AE$2:$AE$10000,0),1),"")</f>
        <v>1926</v>
      </c>
      <c r="AC2883" s="1" t="str">
        <f>IF(INDEX('CAMD Facility Data 2023'!$AE$2:$AG$10000,MATCH(Z2883,'CAMD Facility Data 2023'!$AE$2:$AE$10000,0),3)&gt;0,INDEX('CAMD Facility Data 2023'!$AE$2:$AG$10000,MATCH(Z2883,'CAMD Facility Data 2023'!$AE$2:$AE$10000,0),3),"")</f>
        <v/>
      </c>
      <c r="AD2883" s="20">
        <f t="shared" ref="AD2883:AD2946" si="136">IF(ISNUMBER(O2883*2000/I2883),O2883*2000/I2883,"")</f>
        <v>0.31777330693820655</v>
      </c>
      <c r="AE2883" s="25">
        <f t="shared" ref="AE2883:AE2946" si="137">Q2883/(AB2883*8760)</f>
        <v>0.17792589291217989</v>
      </c>
    </row>
    <row r="2884" spans="1:31" x14ac:dyDescent="0.2">
      <c r="A2884" s="1" t="s">
        <v>2584</v>
      </c>
      <c r="B2884" s="1" t="s">
        <v>6567</v>
      </c>
      <c r="C2884" s="1">
        <v>55347</v>
      </c>
      <c r="D2884" s="1">
        <v>3</v>
      </c>
      <c r="F2884" s="1">
        <v>2023</v>
      </c>
      <c r="G2884" s="5">
        <v>1952</v>
      </c>
      <c r="H2884" s="5">
        <v>1810.1</v>
      </c>
      <c r="I2884" s="5">
        <v>277773.45</v>
      </c>
      <c r="K2884" s="5">
        <v>0.86099999999999999</v>
      </c>
      <c r="L2884" s="5">
        <v>1E-3</v>
      </c>
      <c r="M2884" s="5">
        <v>169846.22700000001</v>
      </c>
      <c r="N2884" s="6">
        <v>5.91E-2</v>
      </c>
      <c r="O2884" s="5">
        <v>44.072000000000003</v>
      </c>
      <c r="P2884" s="6">
        <v>3.7699999999999997E-2</v>
      </c>
      <c r="Q2884" s="5">
        <v>2856084.2280000001</v>
      </c>
      <c r="R2884" s="1" t="s">
        <v>44</v>
      </c>
      <c r="S2884" s="1" t="s">
        <v>94</v>
      </c>
      <c r="T2884" s="1" t="s">
        <v>93</v>
      </c>
      <c r="V2884" s="1" t="s">
        <v>183</v>
      </c>
      <c r="Y2884" s="1" t="s">
        <v>1515</v>
      </c>
      <c r="Z2884" s="1" t="str">
        <f t="shared" si="135"/>
        <v>55347 3</v>
      </c>
      <c r="AA2884" s="3">
        <f>IF(INDEX('CAMD Facility Data 2023'!$AA$2:$AE$10000,MATCH(Z2884,'CAMD Facility Data 2023'!$AE$2:$AE$10000,0),1)&gt;0,INDEX('CAMD Facility Data 2023'!$AA$2:$AE$10000,MATCH(Z2884,'CAMD Facility Data 2023'!$AE$2:$AE$10000,0),1),"")</f>
        <v>37372</v>
      </c>
      <c r="AB2884" s="5">
        <f>IF(INDEX('CAMD Facility Data 2023'!$AC$2:$AE$10000,MATCH(Z2884,'CAMD Facility Data 2023'!$AE$2:$AE$10000,0),1)&gt;0,INDEX('CAMD Facility Data 2023'!$AC$2:$AE$10000,MATCH(Z2884,'CAMD Facility Data 2023'!$AE$2:$AE$10000,0),1),"")</f>
        <v>1926</v>
      </c>
      <c r="AC2884" s="1" t="str">
        <f>IF(INDEX('CAMD Facility Data 2023'!$AE$2:$AG$10000,MATCH(Z2884,'CAMD Facility Data 2023'!$AE$2:$AE$10000,0),3)&gt;0,INDEX('CAMD Facility Data 2023'!$AE$2:$AG$10000,MATCH(Z2884,'CAMD Facility Data 2023'!$AE$2:$AE$10000,0),3),"")</f>
        <v/>
      </c>
      <c r="AD2884" s="20">
        <f t="shared" si="136"/>
        <v>0.3173233438976979</v>
      </c>
      <c r="AE2884" s="25">
        <f t="shared" si="137"/>
        <v>0.16928193786540349</v>
      </c>
    </row>
    <row r="2885" spans="1:31" x14ac:dyDescent="0.2">
      <c r="A2885" s="1" t="s">
        <v>2584</v>
      </c>
      <c r="B2885" s="1" t="s">
        <v>6567</v>
      </c>
      <c r="C2885" s="1">
        <v>55347</v>
      </c>
      <c r="D2885" s="1">
        <v>4</v>
      </c>
      <c r="F2885" s="1">
        <v>2023</v>
      </c>
      <c r="G2885" s="5">
        <v>2237</v>
      </c>
      <c r="H2885" s="5">
        <v>2046.9</v>
      </c>
      <c r="I2885" s="5">
        <v>308305.40000000002</v>
      </c>
      <c r="K2885" s="5">
        <v>0.96299999999999997</v>
      </c>
      <c r="L2885" s="5">
        <v>1E-3</v>
      </c>
      <c r="M2885" s="5">
        <v>189398.78599999999</v>
      </c>
      <c r="N2885" s="6">
        <v>5.91E-2</v>
      </c>
      <c r="O2885" s="5">
        <v>51.667999999999999</v>
      </c>
      <c r="P2885" s="6">
        <v>3.9600000000000003E-2</v>
      </c>
      <c r="Q2885" s="5">
        <v>3183048.611</v>
      </c>
      <c r="R2885" s="1" t="s">
        <v>44</v>
      </c>
      <c r="S2885" s="1" t="s">
        <v>94</v>
      </c>
      <c r="T2885" s="1" t="s">
        <v>93</v>
      </c>
      <c r="V2885" s="1" t="s">
        <v>183</v>
      </c>
      <c r="Y2885" s="1" t="s">
        <v>1515</v>
      </c>
      <c r="Z2885" s="1" t="str">
        <f t="shared" si="135"/>
        <v>55347 4</v>
      </c>
      <c r="AA2885" s="3">
        <f>IF(INDEX('CAMD Facility Data 2023'!$AA$2:$AE$10000,MATCH(Z2885,'CAMD Facility Data 2023'!$AE$2:$AE$10000,0),1)&gt;0,INDEX('CAMD Facility Data 2023'!$AA$2:$AE$10000,MATCH(Z2885,'CAMD Facility Data 2023'!$AE$2:$AE$10000,0),1),"")</f>
        <v>37384</v>
      </c>
      <c r="AB2885" s="5">
        <f>IF(INDEX('CAMD Facility Data 2023'!$AC$2:$AE$10000,MATCH(Z2885,'CAMD Facility Data 2023'!$AE$2:$AE$10000,0),1)&gt;0,INDEX('CAMD Facility Data 2023'!$AC$2:$AE$10000,MATCH(Z2885,'CAMD Facility Data 2023'!$AE$2:$AE$10000,0),1),"")</f>
        <v>1926</v>
      </c>
      <c r="AC2885" s="1" t="str">
        <f>IF(INDEX('CAMD Facility Data 2023'!$AE$2:$AG$10000,MATCH(Z2885,'CAMD Facility Data 2023'!$AE$2:$AE$10000,0),3)&gt;0,INDEX('CAMD Facility Data 2023'!$AE$2:$AG$10000,MATCH(Z2885,'CAMD Facility Data 2023'!$AE$2:$AE$10000,0),3),"")</f>
        <v/>
      </c>
      <c r="AD2885" s="20">
        <f t="shared" si="136"/>
        <v>0.33517414874990836</v>
      </c>
      <c r="AE2885" s="25">
        <f t="shared" si="137"/>
        <v>0.18866132584863701</v>
      </c>
    </row>
    <row r="2886" spans="1:31" x14ac:dyDescent="0.2">
      <c r="A2886" s="1" t="s">
        <v>2430</v>
      </c>
      <c r="B2886" s="1" t="s">
        <v>6573</v>
      </c>
      <c r="C2886" s="1">
        <v>55348</v>
      </c>
      <c r="D2886" s="1">
        <v>1</v>
      </c>
      <c r="F2886" s="1">
        <v>2023</v>
      </c>
      <c r="G2886" s="5">
        <v>1837</v>
      </c>
      <c r="H2886" s="5">
        <v>1666.71</v>
      </c>
      <c r="I2886" s="5">
        <v>244573.72</v>
      </c>
      <c r="K2886" s="5">
        <v>0.77300000000000002</v>
      </c>
      <c r="L2886" s="5">
        <v>1E-3</v>
      </c>
      <c r="M2886" s="5">
        <v>152948.61199999999</v>
      </c>
      <c r="N2886" s="6">
        <v>5.9200000000000003E-2</v>
      </c>
      <c r="O2886" s="5">
        <v>43.363</v>
      </c>
      <c r="P2886" s="6">
        <v>4.2000000000000003E-2</v>
      </c>
      <c r="Q2886" s="5">
        <v>2569214.9029999999</v>
      </c>
      <c r="R2886" s="1" t="s">
        <v>44</v>
      </c>
      <c r="S2886" s="1" t="s">
        <v>94</v>
      </c>
      <c r="T2886" s="1" t="s">
        <v>93</v>
      </c>
      <c r="V2886" s="1" t="s">
        <v>183</v>
      </c>
      <c r="Y2886" s="1" t="s">
        <v>461</v>
      </c>
      <c r="Z2886" s="1" t="str">
        <f t="shared" si="135"/>
        <v>55348 1</v>
      </c>
      <c r="AA2886" s="3">
        <f>IF(INDEX('CAMD Facility Data 2023'!$AA$2:$AE$10000,MATCH(Z2886,'CAMD Facility Data 2023'!$AE$2:$AE$10000,0),1)&gt;0,INDEX('CAMD Facility Data 2023'!$AA$2:$AE$10000,MATCH(Z2886,'CAMD Facility Data 2023'!$AE$2:$AE$10000,0),1),"")</f>
        <v>37354</v>
      </c>
      <c r="AB2886" s="5">
        <f>IF(INDEX('CAMD Facility Data 2023'!$AC$2:$AE$10000,MATCH(Z2886,'CAMD Facility Data 2023'!$AE$2:$AE$10000,0),1)&gt;0,INDEX('CAMD Facility Data 2023'!$AC$2:$AE$10000,MATCH(Z2886,'CAMD Facility Data 2023'!$AE$2:$AE$10000,0),1),"")</f>
        <v>2128</v>
      </c>
      <c r="AC2886" s="1" t="str">
        <f>IF(INDEX('CAMD Facility Data 2023'!$AE$2:$AG$10000,MATCH(Z2886,'CAMD Facility Data 2023'!$AE$2:$AE$10000,0),3)&gt;0,INDEX('CAMD Facility Data 2023'!$AE$2:$AG$10000,MATCH(Z2886,'CAMD Facility Data 2023'!$AE$2:$AE$10000,0),3),"")</f>
        <v/>
      </c>
      <c r="AD2886" s="20">
        <f t="shared" si="136"/>
        <v>0.35460064965279181</v>
      </c>
      <c r="AE2886" s="25">
        <f t="shared" si="137"/>
        <v>0.13782395323711677</v>
      </c>
    </row>
    <row r="2887" spans="1:31" x14ac:dyDescent="0.2">
      <c r="A2887" s="1" t="s">
        <v>2430</v>
      </c>
      <c r="B2887" s="1" t="s">
        <v>6573</v>
      </c>
      <c r="C2887" s="1">
        <v>55348</v>
      </c>
      <c r="D2887" s="1">
        <v>2</v>
      </c>
      <c r="F2887" s="1">
        <v>2023</v>
      </c>
      <c r="G2887" s="5">
        <v>1222</v>
      </c>
      <c r="H2887" s="5">
        <v>1110.3499999999999</v>
      </c>
      <c r="I2887" s="5">
        <v>160766.79</v>
      </c>
      <c r="K2887" s="5">
        <v>0.51600000000000001</v>
      </c>
      <c r="L2887" s="5">
        <v>1E-3</v>
      </c>
      <c r="M2887" s="5">
        <v>102055.44500000001</v>
      </c>
      <c r="N2887" s="6">
        <v>5.9200000000000003E-2</v>
      </c>
      <c r="O2887" s="5">
        <v>29.913</v>
      </c>
      <c r="P2887" s="6">
        <v>4.5999999999999999E-2</v>
      </c>
      <c r="Q2887" s="5">
        <v>1713319.6129999999</v>
      </c>
      <c r="R2887" s="1" t="s">
        <v>44</v>
      </c>
      <c r="S2887" s="1" t="s">
        <v>94</v>
      </c>
      <c r="T2887" s="1" t="s">
        <v>93</v>
      </c>
      <c r="V2887" s="1" t="s">
        <v>183</v>
      </c>
      <c r="Y2887" s="1" t="s">
        <v>461</v>
      </c>
      <c r="Z2887" s="1" t="str">
        <f t="shared" si="135"/>
        <v>55348 2</v>
      </c>
      <c r="AA2887" s="3">
        <f>IF(INDEX('CAMD Facility Data 2023'!$AA$2:$AE$10000,MATCH(Z2887,'CAMD Facility Data 2023'!$AE$2:$AE$10000,0),1)&gt;0,INDEX('CAMD Facility Data 2023'!$AA$2:$AE$10000,MATCH(Z2887,'CAMD Facility Data 2023'!$AE$2:$AE$10000,0),1),"")</f>
        <v>37371</v>
      </c>
      <c r="AB2887" s="5">
        <f>IF(INDEX('CAMD Facility Data 2023'!$AC$2:$AE$10000,MATCH(Z2887,'CAMD Facility Data 2023'!$AE$2:$AE$10000,0),1)&gt;0,INDEX('CAMD Facility Data 2023'!$AC$2:$AE$10000,MATCH(Z2887,'CAMD Facility Data 2023'!$AE$2:$AE$10000,0),1),"")</f>
        <v>2128</v>
      </c>
      <c r="AC2887" s="1" t="str">
        <f>IF(INDEX('CAMD Facility Data 2023'!$AE$2:$AG$10000,MATCH(Z2887,'CAMD Facility Data 2023'!$AE$2:$AE$10000,0),3)&gt;0,INDEX('CAMD Facility Data 2023'!$AE$2:$AG$10000,MATCH(Z2887,'CAMD Facility Data 2023'!$AE$2:$AE$10000,0),3),"")</f>
        <v/>
      </c>
      <c r="AD2887" s="20">
        <f t="shared" si="136"/>
        <v>0.37212909457233051</v>
      </c>
      <c r="AE2887" s="25">
        <f t="shared" si="137"/>
        <v>9.1909976836354573E-2</v>
      </c>
    </row>
    <row r="2888" spans="1:31" x14ac:dyDescent="0.2">
      <c r="A2888" s="1" t="s">
        <v>2430</v>
      </c>
      <c r="B2888" s="1" t="s">
        <v>6573</v>
      </c>
      <c r="C2888" s="1">
        <v>55348</v>
      </c>
      <c r="D2888" s="1">
        <v>3</v>
      </c>
      <c r="F2888" s="1">
        <v>2023</v>
      </c>
      <c r="G2888" s="5">
        <v>1368</v>
      </c>
      <c r="H2888" s="5">
        <v>1243.96</v>
      </c>
      <c r="I2888" s="5">
        <v>180364.73</v>
      </c>
      <c r="K2888" s="5">
        <v>0.57599999999999996</v>
      </c>
      <c r="L2888" s="5">
        <v>1E-3</v>
      </c>
      <c r="M2888" s="5">
        <v>113937.14</v>
      </c>
      <c r="N2888" s="6">
        <v>5.91E-2</v>
      </c>
      <c r="O2888" s="5">
        <v>30.541</v>
      </c>
      <c r="P2888" s="6">
        <v>4.0800000000000003E-2</v>
      </c>
      <c r="Q2888" s="5">
        <v>1912954.7379999999</v>
      </c>
      <c r="R2888" s="1" t="s">
        <v>44</v>
      </c>
      <c r="S2888" s="1" t="s">
        <v>94</v>
      </c>
      <c r="T2888" s="1" t="s">
        <v>93</v>
      </c>
      <c r="V2888" s="1" t="s">
        <v>183</v>
      </c>
      <c r="Y2888" s="1" t="s">
        <v>461</v>
      </c>
      <c r="Z2888" s="1" t="str">
        <f t="shared" si="135"/>
        <v>55348 3</v>
      </c>
      <c r="AA2888" s="3">
        <f>IF(INDEX('CAMD Facility Data 2023'!$AA$2:$AE$10000,MATCH(Z2888,'CAMD Facility Data 2023'!$AE$2:$AE$10000,0),1)&gt;0,INDEX('CAMD Facility Data 2023'!$AA$2:$AE$10000,MATCH(Z2888,'CAMD Facility Data 2023'!$AE$2:$AE$10000,0),1),"")</f>
        <v>37383</v>
      </c>
      <c r="AB2888" s="5">
        <f>IF(INDEX('CAMD Facility Data 2023'!$AC$2:$AE$10000,MATCH(Z2888,'CAMD Facility Data 2023'!$AE$2:$AE$10000,0),1)&gt;0,INDEX('CAMD Facility Data 2023'!$AC$2:$AE$10000,MATCH(Z2888,'CAMD Facility Data 2023'!$AE$2:$AE$10000,0),1),"")</f>
        <v>2128</v>
      </c>
      <c r="AC2888" s="1" t="str">
        <f>IF(INDEX('CAMD Facility Data 2023'!$AE$2:$AG$10000,MATCH(Z2888,'CAMD Facility Data 2023'!$AE$2:$AE$10000,0),3)&gt;0,INDEX('CAMD Facility Data 2023'!$AE$2:$AG$10000,MATCH(Z2888,'CAMD Facility Data 2023'!$AE$2:$AE$10000,0),3),"")</f>
        <v/>
      </c>
      <c r="AD2888" s="20">
        <f t="shared" si="136"/>
        <v>0.33865822880116303</v>
      </c>
      <c r="AE2888" s="25">
        <f t="shared" si="137"/>
        <v>0.10261928032838946</v>
      </c>
    </row>
    <row r="2889" spans="1:31" x14ac:dyDescent="0.2">
      <c r="A2889" s="1" t="s">
        <v>2430</v>
      </c>
      <c r="B2889" s="1" t="s">
        <v>6573</v>
      </c>
      <c r="C2889" s="1">
        <v>55348</v>
      </c>
      <c r="D2889" s="1">
        <v>4</v>
      </c>
      <c r="F2889" s="1">
        <v>2023</v>
      </c>
      <c r="G2889" s="5">
        <v>1835</v>
      </c>
      <c r="H2889" s="5">
        <v>1665</v>
      </c>
      <c r="I2889" s="5">
        <v>245859.5</v>
      </c>
      <c r="K2889" s="5">
        <v>0.78500000000000003</v>
      </c>
      <c r="L2889" s="5">
        <v>1E-3</v>
      </c>
      <c r="M2889" s="5">
        <v>155305.704</v>
      </c>
      <c r="N2889" s="6">
        <v>5.91E-2</v>
      </c>
      <c r="O2889" s="5">
        <v>44.042999999999999</v>
      </c>
      <c r="P2889" s="6">
        <v>4.3400000000000001E-2</v>
      </c>
      <c r="Q2889" s="5">
        <v>2609738.9449999998</v>
      </c>
      <c r="R2889" s="1" t="s">
        <v>44</v>
      </c>
      <c r="S2889" s="1" t="s">
        <v>94</v>
      </c>
      <c r="T2889" s="1" t="s">
        <v>93</v>
      </c>
      <c r="V2889" s="1" t="s">
        <v>183</v>
      </c>
      <c r="Y2889" s="1" t="s">
        <v>461</v>
      </c>
      <c r="Z2889" s="1" t="str">
        <f t="shared" si="135"/>
        <v>55348 4</v>
      </c>
      <c r="AA2889" s="3">
        <f>IF(INDEX('CAMD Facility Data 2023'!$AA$2:$AE$10000,MATCH(Z2889,'CAMD Facility Data 2023'!$AE$2:$AE$10000,0),1)&gt;0,INDEX('CAMD Facility Data 2023'!$AA$2:$AE$10000,MATCH(Z2889,'CAMD Facility Data 2023'!$AE$2:$AE$10000,0),1),"")</f>
        <v>37388</v>
      </c>
      <c r="AB2889" s="5">
        <f>IF(INDEX('CAMD Facility Data 2023'!$AC$2:$AE$10000,MATCH(Z2889,'CAMD Facility Data 2023'!$AE$2:$AE$10000,0),1)&gt;0,INDEX('CAMD Facility Data 2023'!$AC$2:$AE$10000,MATCH(Z2889,'CAMD Facility Data 2023'!$AE$2:$AE$10000,0),1),"")</f>
        <v>2128</v>
      </c>
      <c r="AC2889" s="1" t="str">
        <f>IF(INDEX('CAMD Facility Data 2023'!$AE$2:$AG$10000,MATCH(Z2889,'CAMD Facility Data 2023'!$AE$2:$AE$10000,0),3)&gt;0,INDEX('CAMD Facility Data 2023'!$AE$2:$AG$10000,MATCH(Z2889,'CAMD Facility Data 2023'!$AE$2:$AE$10000,0),3),"")</f>
        <v/>
      </c>
      <c r="AD2889" s="20">
        <f t="shared" si="136"/>
        <v>0.35827779687179062</v>
      </c>
      <c r="AE2889" s="25">
        <f t="shared" si="137"/>
        <v>0.13999784054528444</v>
      </c>
    </row>
    <row r="2890" spans="1:31" x14ac:dyDescent="0.2">
      <c r="A2890" s="1" t="s">
        <v>3140</v>
      </c>
      <c r="B2890" s="1" t="s">
        <v>6579</v>
      </c>
      <c r="C2890" s="1">
        <v>55349</v>
      </c>
      <c r="D2890" s="1">
        <v>1</v>
      </c>
      <c r="F2890" s="1">
        <v>2023</v>
      </c>
      <c r="G2890" s="5">
        <v>6844</v>
      </c>
      <c r="H2890" s="5">
        <v>6767</v>
      </c>
      <c r="I2890" s="5">
        <v>1149830.1000000001</v>
      </c>
      <c r="K2890" s="5">
        <v>3.5179999999999998</v>
      </c>
      <c r="L2890" s="5">
        <v>1E-3</v>
      </c>
      <c r="M2890" s="5">
        <v>696617.11499999999</v>
      </c>
      <c r="N2890" s="6">
        <v>5.91E-2</v>
      </c>
      <c r="O2890" s="5">
        <v>168.523</v>
      </c>
      <c r="P2890" s="6">
        <v>2.9499999999999998E-2</v>
      </c>
      <c r="Q2890" s="5">
        <v>11717536.979</v>
      </c>
      <c r="R2890" s="1" t="s">
        <v>44</v>
      </c>
      <c r="S2890" s="1" t="s">
        <v>94</v>
      </c>
      <c r="T2890" s="1" t="s">
        <v>93</v>
      </c>
      <c r="V2890" s="1" t="s">
        <v>183</v>
      </c>
      <c r="Y2890" s="1" t="s">
        <v>168</v>
      </c>
      <c r="Z2890" s="1" t="str">
        <f t="shared" si="135"/>
        <v>55349 1</v>
      </c>
      <c r="AA2890" s="3">
        <f>IF(INDEX('CAMD Facility Data 2023'!$AA$2:$AE$10000,MATCH(Z2890,'CAMD Facility Data 2023'!$AE$2:$AE$10000,0),1)&gt;0,INDEX('CAMD Facility Data 2023'!$AA$2:$AE$10000,MATCH(Z2890,'CAMD Facility Data 2023'!$AE$2:$AE$10000,0),1),"")</f>
        <v>37231</v>
      </c>
      <c r="AB2890" s="5">
        <f>IF(INDEX('CAMD Facility Data 2023'!$AC$2:$AE$10000,MATCH(Z2890,'CAMD Facility Data 2023'!$AE$2:$AE$10000,0),1)&gt;0,INDEX('CAMD Facility Data 2023'!$AC$2:$AE$10000,MATCH(Z2890,'CAMD Facility Data 2023'!$AE$2:$AE$10000,0),1),"")</f>
        <v>2013</v>
      </c>
      <c r="AC2890" s="1" t="str">
        <f>IF(INDEX('CAMD Facility Data 2023'!$AE$2:$AG$10000,MATCH(Z2890,'CAMD Facility Data 2023'!$AE$2:$AE$10000,0),3)&gt;0,INDEX('CAMD Facility Data 2023'!$AE$2:$AG$10000,MATCH(Z2890,'CAMD Facility Data 2023'!$AE$2:$AE$10000,0),3),"")</f>
        <v/>
      </c>
      <c r="AD2890" s="20">
        <f t="shared" si="136"/>
        <v>0.29312678455712715</v>
      </c>
      <c r="AE2890" s="25">
        <f t="shared" si="137"/>
        <v>0.66449000327778118</v>
      </c>
    </row>
    <row r="2891" spans="1:31" x14ac:dyDescent="0.2">
      <c r="A2891" s="1" t="s">
        <v>3140</v>
      </c>
      <c r="B2891" s="1" t="s">
        <v>6579</v>
      </c>
      <c r="C2891" s="1">
        <v>55349</v>
      </c>
      <c r="D2891" s="1">
        <v>2</v>
      </c>
      <c r="F2891" s="1">
        <v>2023</v>
      </c>
      <c r="G2891" s="5">
        <v>6524</v>
      </c>
      <c r="H2891" s="5">
        <v>6407.58</v>
      </c>
      <c r="I2891" s="5">
        <v>1096256.21</v>
      </c>
      <c r="K2891" s="5">
        <v>3.3849999999999998</v>
      </c>
      <c r="L2891" s="5">
        <v>1E-3</v>
      </c>
      <c r="M2891" s="5">
        <v>670555.50600000005</v>
      </c>
      <c r="N2891" s="6">
        <v>5.8999999999999997E-2</v>
      </c>
      <c r="O2891" s="5">
        <v>156.745</v>
      </c>
      <c r="P2891" s="6">
        <v>2.87E-2</v>
      </c>
      <c r="Q2891" s="5">
        <v>11282864.639</v>
      </c>
      <c r="R2891" s="1" t="s">
        <v>44</v>
      </c>
      <c r="S2891" s="1" t="s">
        <v>94</v>
      </c>
      <c r="T2891" s="1" t="s">
        <v>93</v>
      </c>
      <c r="V2891" s="1" t="s">
        <v>183</v>
      </c>
      <c r="Y2891" s="1" t="s">
        <v>168</v>
      </c>
      <c r="Z2891" s="1" t="str">
        <f t="shared" si="135"/>
        <v>55349 2</v>
      </c>
      <c r="AA2891" s="3">
        <f>IF(INDEX('CAMD Facility Data 2023'!$AA$2:$AE$10000,MATCH(Z2891,'CAMD Facility Data 2023'!$AE$2:$AE$10000,0),1)&gt;0,INDEX('CAMD Facility Data 2023'!$AA$2:$AE$10000,MATCH(Z2891,'CAMD Facility Data 2023'!$AE$2:$AE$10000,0),1),"")</f>
        <v>37267</v>
      </c>
      <c r="AB2891" s="5">
        <f>IF(INDEX('CAMD Facility Data 2023'!$AC$2:$AE$10000,MATCH(Z2891,'CAMD Facility Data 2023'!$AE$2:$AE$10000,0),1)&gt;0,INDEX('CAMD Facility Data 2023'!$AC$2:$AE$10000,MATCH(Z2891,'CAMD Facility Data 2023'!$AE$2:$AE$10000,0),1),"")</f>
        <v>2013</v>
      </c>
      <c r="AC2891" s="1" t="str">
        <f>IF(INDEX('CAMD Facility Data 2023'!$AE$2:$AG$10000,MATCH(Z2891,'CAMD Facility Data 2023'!$AE$2:$AE$10000,0),3)&gt;0,INDEX('CAMD Facility Data 2023'!$AE$2:$AG$10000,MATCH(Z2891,'CAMD Facility Data 2023'!$AE$2:$AE$10000,0),3),"")</f>
        <v/>
      </c>
      <c r="AD2891" s="20">
        <f t="shared" si="136"/>
        <v>0.28596417255415135</v>
      </c>
      <c r="AE2891" s="25">
        <f t="shared" si="137"/>
        <v>0.63984016217644668</v>
      </c>
    </row>
    <row r="2892" spans="1:31" x14ac:dyDescent="0.2">
      <c r="A2892" s="1" t="s">
        <v>2430</v>
      </c>
      <c r="B2892" s="1" t="s">
        <v>6581</v>
      </c>
      <c r="C2892" s="1">
        <v>55350</v>
      </c>
      <c r="D2892" s="1" t="s">
        <v>372</v>
      </c>
      <c r="F2892" s="1">
        <v>2023</v>
      </c>
      <c r="G2892" s="5">
        <v>7343</v>
      </c>
      <c r="H2892" s="5">
        <v>7326.87</v>
      </c>
      <c r="I2892" s="5">
        <v>2113391.61</v>
      </c>
      <c r="K2892" s="5">
        <v>4.0389999999999997</v>
      </c>
      <c r="L2892" s="5">
        <v>1E-3</v>
      </c>
      <c r="M2892" s="5">
        <v>799992.63199999998</v>
      </c>
      <c r="N2892" s="6">
        <v>5.8999999999999997E-2</v>
      </c>
      <c r="O2892" s="5">
        <v>80.674999999999997</v>
      </c>
      <c r="P2892" s="6">
        <v>1.4999999999999999E-2</v>
      </c>
      <c r="Q2892" s="5">
        <v>13461431.298</v>
      </c>
      <c r="R2892" s="1" t="s">
        <v>44</v>
      </c>
      <c r="T2892" s="1" t="s">
        <v>71</v>
      </c>
      <c r="V2892" s="1" t="s">
        <v>64</v>
      </c>
      <c r="Y2892" s="1" t="s">
        <v>461</v>
      </c>
      <c r="Z2892" s="1" t="str">
        <f t="shared" si="135"/>
        <v>55350 1A</v>
      </c>
      <c r="AA2892" s="3">
        <f>IF(INDEX('CAMD Facility Data 2023'!$AA$2:$AE$10000,MATCH(Z2892,'CAMD Facility Data 2023'!$AE$2:$AE$10000,0),1)&gt;0,INDEX('CAMD Facility Data 2023'!$AA$2:$AE$10000,MATCH(Z2892,'CAMD Facility Data 2023'!$AE$2:$AE$10000,0),1),"")</f>
        <v>40843</v>
      </c>
      <c r="AB2892" s="5">
        <f>IF(INDEX('CAMD Facility Data 2023'!$AC$2:$AE$10000,MATCH(Z2892,'CAMD Facility Data 2023'!$AE$2:$AE$10000,0),1)&gt;0,INDEX('CAMD Facility Data 2023'!$AC$2:$AE$10000,MATCH(Z2892,'CAMD Facility Data 2023'!$AE$2:$AE$10000,0),1),"")</f>
        <v>2250</v>
      </c>
      <c r="AC2892" s="1" t="str">
        <f>IF(INDEX('CAMD Facility Data 2023'!$AE$2:$AG$10000,MATCH(Z2892,'CAMD Facility Data 2023'!$AE$2:$AE$10000,0),3)&gt;0,INDEX('CAMD Facility Data 2023'!$AE$2:$AG$10000,MATCH(Z2892,'CAMD Facility Data 2023'!$AE$2:$AE$10000,0),3),"")</f>
        <v>Y</v>
      </c>
      <c r="AD2892" s="20">
        <f t="shared" si="136"/>
        <v>7.6346475133399441E-2</v>
      </c>
      <c r="AE2892" s="25">
        <f t="shared" si="137"/>
        <v>0.68297469802130906</v>
      </c>
    </row>
    <row r="2893" spans="1:31" x14ac:dyDescent="0.2">
      <c r="A2893" s="1" t="s">
        <v>2430</v>
      </c>
      <c r="B2893" s="1" t="s">
        <v>6581</v>
      </c>
      <c r="C2893" s="1">
        <v>55350</v>
      </c>
      <c r="D2893" s="1" t="s">
        <v>1199</v>
      </c>
      <c r="F2893" s="1">
        <v>2023</v>
      </c>
      <c r="G2893" s="5">
        <v>7383</v>
      </c>
      <c r="H2893" s="5">
        <v>7378.29</v>
      </c>
      <c r="I2893" s="5">
        <v>2130895.2799999998</v>
      </c>
      <c r="K2893" s="5">
        <v>4.0869999999999997</v>
      </c>
      <c r="L2893" s="5">
        <v>1E-3</v>
      </c>
      <c r="M2893" s="5">
        <v>809598.91700000002</v>
      </c>
      <c r="N2893" s="6">
        <v>5.8999999999999997E-2</v>
      </c>
      <c r="O2893" s="5">
        <v>81.366</v>
      </c>
      <c r="P2893" s="6">
        <v>1.23E-2</v>
      </c>
      <c r="Q2893" s="5">
        <v>13623029.066</v>
      </c>
      <c r="R2893" s="1" t="s">
        <v>44</v>
      </c>
      <c r="T2893" s="1" t="s">
        <v>71</v>
      </c>
      <c r="V2893" s="1" t="s">
        <v>64</v>
      </c>
      <c r="Y2893" s="1" t="s">
        <v>461</v>
      </c>
      <c r="Z2893" s="1" t="str">
        <f t="shared" si="135"/>
        <v>55350 1B</v>
      </c>
      <c r="AA2893" s="3">
        <f>IF(INDEX('CAMD Facility Data 2023'!$AA$2:$AE$10000,MATCH(Z2893,'CAMD Facility Data 2023'!$AE$2:$AE$10000,0),1)&gt;0,INDEX('CAMD Facility Data 2023'!$AA$2:$AE$10000,MATCH(Z2893,'CAMD Facility Data 2023'!$AE$2:$AE$10000,0),1),"")</f>
        <v>40855</v>
      </c>
      <c r="AB2893" s="5">
        <f>IF(INDEX('CAMD Facility Data 2023'!$AC$2:$AE$10000,MATCH(Z2893,'CAMD Facility Data 2023'!$AE$2:$AE$10000,0),1)&gt;0,INDEX('CAMD Facility Data 2023'!$AC$2:$AE$10000,MATCH(Z2893,'CAMD Facility Data 2023'!$AE$2:$AE$10000,0),1),"")</f>
        <v>2250</v>
      </c>
      <c r="AC2893" s="1" t="str">
        <f>IF(INDEX('CAMD Facility Data 2023'!$AE$2:$AG$10000,MATCH(Z2893,'CAMD Facility Data 2023'!$AE$2:$AE$10000,0),3)&gt;0,INDEX('CAMD Facility Data 2023'!$AE$2:$AG$10000,MATCH(Z2893,'CAMD Facility Data 2023'!$AE$2:$AE$10000,0),3),"")</f>
        <v>Y</v>
      </c>
      <c r="AD2893" s="20">
        <f t="shared" si="136"/>
        <v>7.6367901101174723E-2</v>
      </c>
      <c r="AE2893" s="25">
        <f t="shared" si="137"/>
        <v>0.69117346859462203</v>
      </c>
    </row>
    <row r="2894" spans="1:31" x14ac:dyDescent="0.2">
      <c r="A2894" s="1" t="s">
        <v>383</v>
      </c>
      <c r="B2894" s="1" t="s">
        <v>6586</v>
      </c>
      <c r="C2894" s="1">
        <v>55357</v>
      </c>
      <c r="D2894" s="1" t="s">
        <v>1129</v>
      </c>
      <c r="F2894" s="1">
        <v>2023</v>
      </c>
      <c r="G2894" s="5">
        <v>6670</v>
      </c>
      <c r="H2894" s="5">
        <v>6623.14</v>
      </c>
      <c r="I2894" s="5">
        <v>1704118.07</v>
      </c>
      <c r="K2894" s="5">
        <v>3.6469999999999998</v>
      </c>
      <c r="L2894" s="5">
        <v>1E-3</v>
      </c>
      <c r="M2894" s="5">
        <v>722474.67</v>
      </c>
      <c r="N2894" s="6">
        <v>5.8999999999999997E-2</v>
      </c>
      <c r="O2894" s="5">
        <v>71.466999999999999</v>
      </c>
      <c r="P2894" s="6">
        <v>1.35E-2</v>
      </c>
      <c r="Q2894" s="5">
        <v>12157042.323999999</v>
      </c>
      <c r="R2894" s="1" t="s">
        <v>44</v>
      </c>
      <c r="T2894" s="1" t="s">
        <v>71</v>
      </c>
      <c r="V2894" s="1" t="s">
        <v>64</v>
      </c>
      <c r="Y2894" s="1" t="s">
        <v>346</v>
      </c>
      <c r="Z2894" s="1" t="str">
        <f t="shared" si="135"/>
        <v>55357 CTG1</v>
      </c>
      <c r="AA2894" s="3">
        <f>IF(INDEX('CAMD Facility Data 2023'!$AA$2:$AE$10000,MATCH(Z2894,'CAMD Facility Data 2023'!$AE$2:$AE$10000,0),1)&gt;0,INDEX('CAMD Facility Data 2023'!$AA$2:$AE$10000,MATCH(Z2894,'CAMD Facility Data 2023'!$AE$2:$AE$10000,0),1),"")</f>
        <v>37634</v>
      </c>
      <c r="AB2894" s="5">
        <f>IF(INDEX('CAMD Facility Data 2023'!$AC$2:$AE$10000,MATCH(Z2894,'CAMD Facility Data 2023'!$AE$2:$AE$10000,0),1)&gt;0,INDEX('CAMD Facility Data 2023'!$AC$2:$AE$10000,MATCH(Z2894,'CAMD Facility Data 2023'!$AE$2:$AE$10000,0),1),"")</f>
        <v>2360</v>
      </c>
      <c r="AC2894" s="1" t="str">
        <f>IF(INDEX('CAMD Facility Data 2023'!$AE$2:$AG$10000,MATCH(Z2894,'CAMD Facility Data 2023'!$AE$2:$AE$10000,0),3)&gt;0,INDEX('CAMD Facility Data 2023'!$AE$2:$AG$10000,MATCH(Z2894,'CAMD Facility Data 2023'!$AE$2:$AE$10000,0),3),"")</f>
        <v>Y</v>
      </c>
      <c r="AD2894" s="20">
        <f t="shared" si="136"/>
        <v>8.3875643663587227E-2</v>
      </c>
      <c r="AE2894" s="25">
        <f t="shared" si="137"/>
        <v>0.58804670323504371</v>
      </c>
    </row>
    <row r="2895" spans="1:31" x14ac:dyDescent="0.2">
      <c r="A2895" s="1" t="s">
        <v>383</v>
      </c>
      <c r="B2895" s="1" t="s">
        <v>6586</v>
      </c>
      <c r="C2895" s="1">
        <v>55357</v>
      </c>
      <c r="D2895" s="1" t="s">
        <v>1135</v>
      </c>
      <c r="F2895" s="1">
        <v>2023</v>
      </c>
      <c r="G2895" s="5">
        <v>6632</v>
      </c>
      <c r="H2895" s="5">
        <v>6562.4</v>
      </c>
      <c r="I2895" s="5">
        <v>1691646.04</v>
      </c>
      <c r="K2895" s="5">
        <v>3.6669999999999998</v>
      </c>
      <c r="L2895" s="5">
        <v>1E-3</v>
      </c>
      <c r="M2895" s="5">
        <v>726388.06400000001</v>
      </c>
      <c r="N2895" s="6">
        <v>5.8999999999999997E-2</v>
      </c>
      <c r="O2895" s="5">
        <v>72.088999999999999</v>
      </c>
      <c r="P2895" s="6">
        <v>1.3899999999999999E-2</v>
      </c>
      <c r="Q2895" s="5">
        <v>12222818.359999999</v>
      </c>
      <c r="R2895" s="1" t="s">
        <v>44</v>
      </c>
      <c r="T2895" s="1" t="s">
        <v>71</v>
      </c>
      <c r="V2895" s="1" t="s">
        <v>64</v>
      </c>
      <c r="Y2895" s="1" t="s">
        <v>346</v>
      </c>
      <c r="Z2895" s="1" t="str">
        <f t="shared" si="135"/>
        <v>55357 CTG2</v>
      </c>
      <c r="AA2895" s="3">
        <f>IF(INDEX('CAMD Facility Data 2023'!$AA$2:$AE$10000,MATCH(Z2895,'CAMD Facility Data 2023'!$AE$2:$AE$10000,0),1)&gt;0,INDEX('CAMD Facility Data 2023'!$AA$2:$AE$10000,MATCH(Z2895,'CAMD Facility Data 2023'!$AE$2:$AE$10000,0),1),"")</f>
        <v>37634</v>
      </c>
      <c r="AB2895" s="5">
        <f>IF(INDEX('CAMD Facility Data 2023'!$AC$2:$AE$10000,MATCH(Z2895,'CAMD Facility Data 2023'!$AE$2:$AE$10000,0),1)&gt;0,INDEX('CAMD Facility Data 2023'!$AC$2:$AE$10000,MATCH(Z2895,'CAMD Facility Data 2023'!$AE$2:$AE$10000,0),1),"")</f>
        <v>2360</v>
      </c>
      <c r="AC2895" s="1" t="str">
        <f>IF(INDEX('CAMD Facility Data 2023'!$AE$2:$AG$10000,MATCH(Z2895,'CAMD Facility Data 2023'!$AE$2:$AE$10000,0),3)&gt;0,INDEX('CAMD Facility Data 2023'!$AE$2:$AG$10000,MATCH(Z2895,'CAMD Facility Data 2023'!$AE$2:$AE$10000,0),3),"")</f>
        <v>Y</v>
      </c>
      <c r="AD2895" s="20">
        <f t="shared" si="136"/>
        <v>8.5229413595293249E-2</v>
      </c>
      <c r="AE2895" s="25">
        <f t="shared" si="137"/>
        <v>0.59122834726414364</v>
      </c>
    </row>
    <row r="2896" spans="1:31" x14ac:dyDescent="0.2">
      <c r="A2896" s="1" t="s">
        <v>383</v>
      </c>
      <c r="B2896" s="1" t="s">
        <v>6590</v>
      </c>
      <c r="C2896" s="1">
        <v>55358</v>
      </c>
      <c r="D2896" s="1" t="s">
        <v>311</v>
      </c>
      <c r="F2896" s="1">
        <v>2023</v>
      </c>
      <c r="G2896" s="5">
        <v>7752</v>
      </c>
      <c r="H2896" s="5">
        <v>7738.92</v>
      </c>
      <c r="I2896" s="5">
        <v>1805080.25</v>
      </c>
      <c r="K2896" s="5">
        <v>3.944</v>
      </c>
      <c r="L2896" s="5">
        <v>1E-3</v>
      </c>
      <c r="M2896" s="5">
        <v>782326.32700000005</v>
      </c>
      <c r="N2896" s="6">
        <v>5.8999999999999997E-2</v>
      </c>
      <c r="O2896" s="5">
        <v>66.459999999999994</v>
      </c>
      <c r="P2896" s="6">
        <v>1.03E-2</v>
      </c>
      <c r="Q2896" s="5">
        <v>13164129.552999999</v>
      </c>
      <c r="R2896" s="1" t="s">
        <v>44</v>
      </c>
      <c r="T2896" s="1" t="s">
        <v>71</v>
      </c>
      <c r="V2896" s="1" t="s">
        <v>64</v>
      </c>
      <c r="Y2896" s="1" t="s">
        <v>346</v>
      </c>
      <c r="Z2896" s="1" t="str">
        <f t="shared" si="135"/>
        <v>55358 CT1</v>
      </c>
      <c r="AA2896" s="3">
        <f>IF(INDEX('CAMD Facility Data 2023'!$AA$2:$AE$10000,MATCH(Z2896,'CAMD Facility Data 2023'!$AE$2:$AE$10000,0),1)&gt;0,INDEX('CAMD Facility Data 2023'!$AA$2:$AE$10000,MATCH(Z2896,'CAMD Facility Data 2023'!$AE$2:$AE$10000,0),1),"")</f>
        <v>37568</v>
      </c>
      <c r="AB2896" s="5">
        <f>IF(INDEX('CAMD Facility Data 2023'!$AC$2:$AE$10000,MATCH(Z2896,'CAMD Facility Data 2023'!$AE$2:$AE$10000,0),1)&gt;0,INDEX('CAMD Facility Data 2023'!$AC$2:$AE$10000,MATCH(Z2896,'CAMD Facility Data 2023'!$AE$2:$AE$10000,0),1),"")</f>
        <v>3450</v>
      </c>
      <c r="AC2896" s="1" t="str">
        <f>IF(INDEX('CAMD Facility Data 2023'!$AE$2:$AG$10000,MATCH(Z2896,'CAMD Facility Data 2023'!$AE$2:$AE$10000,0),3)&gt;0,INDEX('CAMD Facility Data 2023'!$AE$2:$AG$10000,MATCH(Z2896,'CAMD Facility Data 2023'!$AE$2:$AE$10000,0),3),"")</f>
        <v>Y</v>
      </c>
      <c r="AD2896" s="20">
        <f t="shared" si="136"/>
        <v>7.3636615324997323E-2</v>
      </c>
      <c r="AE2896" s="25">
        <f t="shared" si="137"/>
        <v>0.43558101889352124</v>
      </c>
    </row>
    <row r="2897" spans="1:31" x14ac:dyDescent="0.2">
      <c r="A2897" s="1" t="s">
        <v>383</v>
      </c>
      <c r="B2897" s="1" t="s">
        <v>6590</v>
      </c>
      <c r="C2897" s="1">
        <v>55358</v>
      </c>
      <c r="D2897" s="1" t="s">
        <v>98</v>
      </c>
      <c r="F2897" s="1">
        <v>2023</v>
      </c>
      <c r="G2897" s="5">
        <v>7940</v>
      </c>
      <c r="H2897" s="5">
        <v>7922.58</v>
      </c>
      <c r="I2897" s="5">
        <v>1851278.97</v>
      </c>
      <c r="K2897" s="5">
        <v>4.0339999999999998</v>
      </c>
      <c r="L2897" s="5">
        <v>1E-3</v>
      </c>
      <c r="M2897" s="5">
        <v>799345.58</v>
      </c>
      <c r="N2897" s="6">
        <v>5.8999999999999997E-2</v>
      </c>
      <c r="O2897" s="5">
        <v>73.897999999999996</v>
      </c>
      <c r="P2897" s="6">
        <v>1.14E-2</v>
      </c>
      <c r="Q2897" s="5">
        <v>13450453.047</v>
      </c>
      <c r="R2897" s="1" t="s">
        <v>44</v>
      </c>
      <c r="T2897" s="1" t="s">
        <v>71</v>
      </c>
      <c r="V2897" s="1" t="s">
        <v>64</v>
      </c>
      <c r="Y2897" s="1" t="s">
        <v>346</v>
      </c>
      <c r="Z2897" s="1" t="str">
        <f t="shared" si="135"/>
        <v>55358 CT2</v>
      </c>
      <c r="AA2897" s="3">
        <f>IF(INDEX('CAMD Facility Data 2023'!$AA$2:$AE$10000,MATCH(Z2897,'CAMD Facility Data 2023'!$AE$2:$AE$10000,0),1)&gt;0,INDEX('CAMD Facility Data 2023'!$AA$2:$AE$10000,MATCH(Z2897,'CAMD Facility Data 2023'!$AE$2:$AE$10000,0),1),"")</f>
        <v>37577</v>
      </c>
      <c r="AB2897" s="5">
        <f>IF(INDEX('CAMD Facility Data 2023'!$AC$2:$AE$10000,MATCH(Z2897,'CAMD Facility Data 2023'!$AE$2:$AE$10000,0),1)&gt;0,INDEX('CAMD Facility Data 2023'!$AC$2:$AE$10000,MATCH(Z2897,'CAMD Facility Data 2023'!$AE$2:$AE$10000,0),1),"")</f>
        <v>3450</v>
      </c>
      <c r="AC2897" s="1" t="str">
        <f>IF(INDEX('CAMD Facility Data 2023'!$AE$2:$AG$10000,MATCH(Z2897,'CAMD Facility Data 2023'!$AE$2:$AE$10000,0),3)&gt;0,INDEX('CAMD Facility Data 2023'!$AE$2:$AG$10000,MATCH(Z2897,'CAMD Facility Data 2023'!$AE$2:$AE$10000,0),3),"")</f>
        <v>Y</v>
      </c>
      <c r="AD2897" s="20">
        <f t="shared" si="136"/>
        <v>7.9834537309090695E-2</v>
      </c>
      <c r="AE2897" s="25">
        <f t="shared" si="137"/>
        <v>0.44505502769505662</v>
      </c>
    </row>
    <row r="2898" spans="1:31" x14ac:dyDescent="0.2">
      <c r="A2898" s="1" t="s">
        <v>383</v>
      </c>
      <c r="B2898" s="1" t="s">
        <v>6590</v>
      </c>
      <c r="C2898" s="1">
        <v>55358</v>
      </c>
      <c r="D2898" s="1" t="s">
        <v>101</v>
      </c>
      <c r="F2898" s="1">
        <v>2023</v>
      </c>
      <c r="G2898" s="5">
        <v>6576</v>
      </c>
      <c r="H2898" s="5">
        <v>6558.97</v>
      </c>
      <c r="I2898" s="5">
        <v>1540913.97</v>
      </c>
      <c r="K2898" s="5">
        <v>3.4169999999999998</v>
      </c>
      <c r="L2898" s="5">
        <v>1E-3</v>
      </c>
      <c r="M2898" s="5">
        <v>678963.55099999998</v>
      </c>
      <c r="N2898" s="6">
        <v>5.8999999999999997E-2</v>
      </c>
      <c r="O2898" s="5">
        <v>70.28</v>
      </c>
      <c r="P2898" s="6">
        <v>1.29E-2</v>
      </c>
      <c r="Q2898" s="5">
        <v>11424879.113</v>
      </c>
      <c r="R2898" s="1" t="s">
        <v>44</v>
      </c>
      <c r="T2898" s="1" t="s">
        <v>71</v>
      </c>
      <c r="V2898" s="1" t="s">
        <v>64</v>
      </c>
      <c r="Y2898" s="1" t="s">
        <v>346</v>
      </c>
      <c r="Z2898" s="1" t="str">
        <f t="shared" si="135"/>
        <v>55358 CT3</v>
      </c>
      <c r="AA2898" s="3">
        <f>IF(INDEX('CAMD Facility Data 2023'!$AA$2:$AE$10000,MATCH(Z2898,'CAMD Facility Data 2023'!$AE$2:$AE$10000,0),1)&gt;0,INDEX('CAMD Facility Data 2023'!$AA$2:$AE$10000,MATCH(Z2898,'CAMD Facility Data 2023'!$AE$2:$AE$10000,0),1),"")</f>
        <v>37634</v>
      </c>
      <c r="AB2898" s="5">
        <f>IF(INDEX('CAMD Facility Data 2023'!$AC$2:$AE$10000,MATCH(Z2898,'CAMD Facility Data 2023'!$AE$2:$AE$10000,0),1)&gt;0,INDEX('CAMD Facility Data 2023'!$AC$2:$AE$10000,MATCH(Z2898,'CAMD Facility Data 2023'!$AE$2:$AE$10000,0),1),"")</f>
        <v>3150</v>
      </c>
      <c r="AC2898" s="1" t="str">
        <f>IF(INDEX('CAMD Facility Data 2023'!$AE$2:$AG$10000,MATCH(Z2898,'CAMD Facility Data 2023'!$AE$2:$AE$10000,0),3)&gt;0,INDEX('CAMD Facility Data 2023'!$AE$2:$AG$10000,MATCH(Z2898,'CAMD Facility Data 2023'!$AE$2:$AE$10000,0),3),"")</f>
        <v>Y</v>
      </c>
      <c r="AD2898" s="20">
        <f t="shared" si="136"/>
        <v>9.1218590224086293E-2</v>
      </c>
      <c r="AE2898" s="25">
        <f t="shared" si="137"/>
        <v>0.41403490298615642</v>
      </c>
    </row>
    <row r="2899" spans="1:31" x14ac:dyDescent="0.2">
      <c r="A2899" s="1" t="s">
        <v>383</v>
      </c>
      <c r="B2899" s="1" t="s">
        <v>6590</v>
      </c>
      <c r="C2899" s="1">
        <v>55358</v>
      </c>
      <c r="D2899" s="1" t="s">
        <v>103</v>
      </c>
      <c r="F2899" s="1">
        <v>2023</v>
      </c>
      <c r="G2899" s="5">
        <v>3698</v>
      </c>
      <c r="H2899" s="5">
        <v>3677.62</v>
      </c>
      <c r="I2899" s="5">
        <v>846697.39</v>
      </c>
      <c r="K2899" s="5">
        <v>1.843</v>
      </c>
      <c r="L2899" s="5">
        <v>1E-3</v>
      </c>
      <c r="M2899" s="5">
        <v>364660.36800000002</v>
      </c>
      <c r="N2899" s="6">
        <v>5.8999999999999997E-2</v>
      </c>
      <c r="O2899" s="5">
        <v>34.276000000000003</v>
      </c>
      <c r="P2899" s="6">
        <v>1.26E-2</v>
      </c>
      <c r="Q2899" s="5">
        <v>6136105.6500000004</v>
      </c>
      <c r="R2899" s="1" t="s">
        <v>44</v>
      </c>
      <c r="T2899" s="1" t="s">
        <v>71</v>
      </c>
      <c r="V2899" s="1" t="s">
        <v>64</v>
      </c>
      <c r="Y2899" s="1" t="s">
        <v>346</v>
      </c>
      <c r="Z2899" s="1" t="str">
        <f t="shared" si="135"/>
        <v>55358 CT4</v>
      </c>
      <c r="AA2899" s="3">
        <f>IF(INDEX('CAMD Facility Data 2023'!$AA$2:$AE$10000,MATCH(Z2899,'CAMD Facility Data 2023'!$AE$2:$AE$10000,0),1)&gt;0,INDEX('CAMD Facility Data 2023'!$AA$2:$AE$10000,MATCH(Z2899,'CAMD Facility Data 2023'!$AE$2:$AE$10000,0),1),"")</f>
        <v>37658</v>
      </c>
      <c r="AB2899" s="5">
        <f>IF(INDEX('CAMD Facility Data 2023'!$AC$2:$AE$10000,MATCH(Z2899,'CAMD Facility Data 2023'!$AE$2:$AE$10000,0),1)&gt;0,INDEX('CAMD Facility Data 2023'!$AC$2:$AE$10000,MATCH(Z2899,'CAMD Facility Data 2023'!$AE$2:$AE$10000,0),1),"")</f>
        <v>3150</v>
      </c>
      <c r="AC2899" s="1" t="str">
        <f>IF(INDEX('CAMD Facility Data 2023'!$AE$2:$AG$10000,MATCH(Z2899,'CAMD Facility Data 2023'!$AE$2:$AE$10000,0),3)&gt;0,INDEX('CAMD Facility Data 2023'!$AE$2:$AG$10000,MATCH(Z2899,'CAMD Facility Data 2023'!$AE$2:$AE$10000,0),3),"")</f>
        <v>Y</v>
      </c>
      <c r="AD2899" s="20">
        <f t="shared" si="136"/>
        <v>8.0963991160997908E-2</v>
      </c>
      <c r="AE2899" s="25">
        <f t="shared" si="137"/>
        <v>0.22237101000217441</v>
      </c>
    </row>
    <row r="2900" spans="1:31" x14ac:dyDescent="0.2">
      <c r="A2900" s="1" t="s">
        <v>1071</v>
      </c>
      <c r="B2900" s="1" t="s">
        <v>6598</v>
      </c>
      <c r="C2900" s="1">
        <v>55364</v>
      </c>
      <c r="D2900" s="1" t="s">
        <v>6599</v>
      </c>
      <c r="F2900" s="1">
        <v>2023</v>
      </c>
      <c r="G2900" s="5">
        <v>5976</v>
      </c>
      <c r="H2900" s="5">
        <v>5964.34</v>
      </c>
      <c r="I2900" s="5">
        <v>1504395.8</v>
      </c>
      <c r="K2900" s="5">
        <v>3.2730000000000001</v>
      </c>
      <c r="L2900" s="5">
        <v>1E-3</v>
      </c>
      <c r="M2900" s="5">
        <v>648293.23199999996</v>
      </c>
      <c r="N2900" s="6">
        <v>5.8999999999999997E-2</v>
      </c>
      <c r="O2900" s="5">
        <v>41.057000000000002</v>
      </c>
      <c r="P2900" s="6">
        <v>8.3000000000000001E-3</v>
      </c>
      <c r="Q2900" s="5">
        <v>10908724.942</v>
      </c>
      <c r="R2900" s="1" t="s">
        <v>44</v>
      </c>
      <c r="T2900" s="1" t="s">
        <v>71</v>
      </c>
      <c r="V2900" s="1" t="s">
        <v>858</v>
      </c>
      <c r="Y2900" s="1" t="s">
        <v>461</v>
      </c>
      <c r="Z2900" s="1" t="str">
        <f t="shared" si="135"/>
        <v>55364 CT11</v>
      </c>
      <c r="AA2900" s="3">
        <f>IF(INDEX('CAMD Facility Data 2023'!$AA$2:$AE$10000,MATCH(Z2900,'CAMD Facility Data 2023'!$AE$2:$AE$10000,0),1)&gt;0,INDEX('CAMD Facility Data 2023'!$AA$2:$AE$10000,MATCH(Z2900,'CAMD Facility Data 2023'!$AE$2:$AE$10000,0),1),"")</f>
        <v>37408</v>
      </c>
      <c r="AB2900" s="5">
        <f>IF(INDEX('CAMD Facility Data 2023'!$AC$2:$AE$10000,MATCH(Z2900,'CAMD Facility Data 2023'!$AE$2:$AE$10000,0),1)&gt;0,INDEX('CAMD Facility Data 2023'!$AC$2:$AE$10000,MATCH(Z2900,'CAMD Facility Data 2023'!$AE$2:$AE$10000,0),1),"")</f>
        <v>2800</v>
      </c>
      <c r="AC2900" s="1" t="str">
        <f>IF(INDEX('CAMD Facility Data 2023'!$AE$2:$AG$10000,MATCH(Z2900,'CAMD Facility Data 2023'!$AE$2:$AE$10000,0),3)&gt;0,INDEX('CAMD Facility Data 2023'!$AE$2:$AG$10000,MATCH(Z2900,'CAMD Facility Data 2023'!$AE$2:$AE$10000,0),3),"")</f>
        <v>Y</v>
      </c>
      <c r="AD2900" s="20">
        <f t="shared" si="136"/>
        <v>5.4582710214958058E-2</v>
      </c>
      <c r="AE2900" s="25">
        <f t="shared" si="137"/>
        <v>0.44474579835290279</v>
      </c>
    </row>
    <row r="2901" spans="1:31" x14ac:dyDescent="0.2">
      <c r="A2901" s="1" t="s">
        <v>1071</v>
      </c>
      <c r="B2901" s="1" t="s">
        <v>6598</v>
      </c>
      <c r="C2901" s="1">
        <v>55364</v>
      </c>
      <c r="D2901" s="1" t="s">
        <v>6603</v>
      </c>
      <c r="F2901" s="1">
        <v>2023</v>
      </c>
      <c r="G2901" s="5">
        <v>6039</v>
      </c>
      <c r="H2901" s="5">
        <v>6023.52</v>
      </c>
      <c r="I2901" s="5">
        <v>1492255.04</v>
      </c>
      <c r="K2901" s="5">
        <v>3.282</v>
      </c>
      <c r="L2901" s="5">
        <v>1E-3</v>
      </c>
      <c r="M2901" s="5">
        <v>650052.86600000004</v>
      </c>
      <c r="N2901" s="6">
        <v>5.8999999999999997E-2</v>
      </c>
      <c r="O2901" s="5">
        <v>42.203000000000003</v>
      </c>
      <c r="P2901" s="6">
        <v>8.8999999999999999E-3</v>
      </c>
      <c r="Q2901" s="5">
        <v>10938355.723999999</v>
      </c>
      <c r="R2901" s="1" t="s">
        <v>44</v>
      </c>
      <c r="T2901" s="1" t="s">
        <v>71</v>
      </c>
      <c r="V2901" s="1" t="s">
        <v>858</v>
      </c>
      <c r="Y2901" s="1" t="s">
        <v>461</v>
      </c>
      <c r="Z2901" s="1" t="str">
        <f t="shared" si="135"/>
        <v>55364 CT12</v>
      </c>
      <c r="AA2901" s="3">
        <f>IF(INDEX('CAMD Facility Data 2023'!$AA$2:$AE$10000,MATCH(Z2901,'CAMD Facility Data 2023'!$AE$2:$AE$10000,0),1)&gt;0,INDEX('CAMD Facility Data 2023'!$AA$2:$AE$10000,MATCH(Z2901,'CAMD Facility Data 2023'!$AE$2:$AE$10000,0),1),"")</f>
        <v>37408</v>
      </c>
      <c r="AB2901" s="5">
        <f>IF(INDEX('CAMD Facility Data 2023'!$AC$2:$AE$10000,MATCH(Z2901,'CAMD Facility Data 2023'!$AE$2:$AE$10000,0),1)&gt;0,INDEX('CAMD Facility Data 2023'!$AC$2:$AE$10000,MATCH(Z2901,'CAMD Facility Data 2023'!$AE$2:$AE$10000,0),1),"")</f>
        <v>2800</v>
      </c>
      <c r="AC2901" s="1" t="str">
        <f>IF(INDEX('CAMD Facility Data 2023'!$AE$2:$AG$10000,MATCH(Z2901,'CAMD Facility Data 2023'!$AE$2:$AE$10000,0),3)&gt;0,INDEX('CAMD Facility Data 2023'!$AE$2:$AG$10000,MATCH(Z2901,'CAMD Facility Data 2023'!$AE$2:$AE$10000,0),3),"")</f>
        <v>Y</v>
      </c>
      <c r="AD2901" s="20">
        <f t="shared" si="136"/>
        <v>5.656271732210065E-2</v>
      </c>
      <c r="AE2901" s="25">
        <f t="shared" si="137"/>
        <v>0.44595383741030659</v>
      </c>
    </row>
    <row r="2902" spans="1:31" x14ac:dyDescent="0.2">
      <c r="A2902" s="1" t="s">
        <v>383</v>
      </c>
      <c r="B2902" s="1" t="s">
        <v>6605</v>
      </c>
      <c r="C2902" s="1">
        <v>55365</v>
      </c>
      <c r="D2902" s="1" t="s">
        <v>1155</v>
      </c>
      <c r="E2902" s="1" t="s">
        <v>1156</v>
      </c>
      <c r="F2902" s="1">
        <v>2023</v>
      </c>
      <c r="G2902" s="5">
        <v>1860</v>
      </c>
      <c r="H2902" s="5">
        <v>1655.64</v>
      </c>
      <c r="I2902" s="5">
        <v>57352.36</v>
      </c>
      <c r="K2902" s="5">
        <v>0.23699999999999999</v>
      </c>
      <c r="L2902" s="5">
        <v>8.9999999999999998E-4</v>
      </c>
      <c r="M2902" s="5">
        <v>44738.1</v>
      </c>
      <c r="N2902" s="6">
        <v>5.8999999999999997E-2</v>
      </c>
      <c r="O2902" s="5">
        <v>47.314</v>
      </c>
      <c r="P2902" s="6">
        <v>0.20519999999999999</v>
      </c>
      <c r="Q2902" s="5">
        <v>757889.6</v>
      </c>
      <c r="R2902" s="1" t="s">
        <v>44</v>
      </c>
      <c r="T2902" s="1" t="s">
        <v>93</v>
      </c>
      <c r="V2902" s="1" t="s">
        <v>140</v>
      </c>
      <c r="Y2902" s="1" t="s">
        <v>346</v>
      </c>
      <c r="Z2902" s="1" t="str">
        <f t="shared" si="135"/>
        <v>55365 GT-1</v>
      </c>
      <c r="AA2902" s="3">
        <f>IF(INDEX('CAMD Facility Data 2023'!$AA$2:$AE$10000,MATCH(Z2902,'CAMD Facility Data 2023'!$AE$2:$AE$10000,0),1)&gt;0,INDEX('CAMD Facility Data 2023'!$AA$2:$AE$10000,MATCH(Z2902,'CAMD Facility Data 2023'!$AE$2:$AE$10000,0),1),"")</f>
        <v>37061</v>
      </c>
      <c r="AB2902" s="5">
        <f>IF(INDEX('CAMD Facility Data 2023'!$AC$2:$AE$10000,MATCH(Z2902,'CAMD Facility Data 2023'!$AE$2:$AE$10000,0),1)&gt;0,INDEX('CAMD Facility Data 2023'!$AC$2:$AE$10000,MATCH(Z2902,'CAMD Facility Data 2023'!$AE$2:$AE$10000,0),1),"")</f>
        <v>584</v>
      </c>
      <c r="AC2902" s="1" t="str">
        <f>IF(INDEX('CAMD Facility Data 2023'!$AE$2:$AG$10000,MATCH(Z2902,'CAMD Facility Data 2023'!$AE$2:$AE$10000,0),3)&gt;0,INDEX('CAMD Facility Data 2023'!$AE$2:$AG$10000,MATCH(Z2902,'CAMD Facility Data 2023'!$AE$2:$AE$10000,0),3),"")</f>
        <v/>
      </c>
      <c r="AD2902" s="20">
        <f t="shared" si="136"/>
        <v>1.6499408219644318</v>
      </c>
      <c r="AE2902" s="25">
        <f t="shared" si="137"/>
        <v>0.14814568086570337</v>
      </c>
    </row>
    <row r="2903" spans="1:31" x14ac:dyDescent="0.2">
      <c r="A2903" s="1" t="s">
        <v>383</v>
      </c>
      <c r="B2903" s="1" t="s">
        <v>6605</v>
      </c>
      <c r="C2903" s="1">
        <v>55365</v>
      </c>
      <c r="D2903" s="1" t="s">
        <v>1162</v>
      </c>
      <c r="E2903" s="1" t="s">
        <v>1156</v>
      </c>
      <c r="F2903" s="1">
        <v>2023</v>
      </c>
      <c r="G2903" s="5">
        <v>1711</v>
      </c>
      <c r="H2903" s="5">
        <v>1513.11</v>
      </c>
      <c r="I2903" s="5">
        <v>52793.45</v>
      </c>
      <c r="K2903" s="5">
        <v>0.216</v>
      </c>
      <c r="L2903" s="5">
        <v>8.9999999999999998E-4</v>
      </c>
      <c r="M2903" s="5">
        <v>41224.800000000003</v>
      </c>
      <c r="N2903" s="6">
        <v>5.8999999999999997E-2</v>
      </c>
      <c r="O2903" s="5">
        <v>44.158000000000001</v>
      </c>
      <c r="P2903" s="6">
        <v>0.20630000000000001</v>
      </c>
      <c r="Q2903" s="5">
        <v>698277.7</v>
      </c>
      <c r="R2903" s="1" t="s">
        <v>44</v>
      </c>
      <c r="T2903" s="1" t="s">
        <v>93</v>
      </c>
      <c r="V2903" s="1" t="s">
        <v>140</v>
      </c>
      <c r="Y2903" s="1" t="s">
        <v>346</v>
      </c>
      <c r="Z2903" s="1" t="str">
        <f t="shared" si="135"/>
        <v>55365 GT-2</v>
      </c>
      <c r="AA2903" s="3">
        <f>IF(INDEX('CAMD Facility Data 2023'!$AA$2:$AE$10000,MATCH(Z2903,'CAMD Facility Data 2023'!$AE$2:$AE$10000,0),1)&gt;0,INDEX('CAMD Facility Data 2023'!$AA$2:$AE$10000,MATCH(Z2903,'CAMD Facility Data 2023'!$AE$2:$AE$10000,0),1),"")</f>
        <v>37062</v>
      </c>
      <c r="AB2903" s="5">
        <f>IF(INDEX('CAMD Facility Data 2023'!$AC$2:$AE$10000,MATCH(Z2903,'CAMD Facility Data 2023'!$AE$2:$AE$10000,0),1)&gt;0,INDEX('CAMD Facility Data 2023'!$AC$2:$AE$10000,MATCH(Z2903,'CAMD Facility Data 2023'!$AE$2:$AE$10000,0),1),"")</f>
        <v>584</v>
      </c>
      <c r="AC2903" s="1" t="str">
        <f>IF(INDEX('CAMD Facility Data 2023'!$AE$2:$AG$10000,MATCH(Z2903,'CAMD Facility Data 2023'!$AE$2:$AE$10000,0),3)&gt;0,INDEX('CAMD Facility Data 2023'!$AE$2:$AG$10000,MATCH(Z2903,'CAMD Facility Data 2023'!$AE$2:$AE$10000,0),3),"")</f>
        <v/>
      </c>
      <c r="AD2903" s="20">
        <f t="shared" si="136"/>
        <v>1.6728590383844966</v>
      </c>
      <c r="AE2903" s="25">
        <f t="shared" si="137"/>
        <v>0.13649326405829737</v>
      </c>
    </row>
    <row r="2904" spans="1:31" x14ac:dyDescent="0.2">
      <c r="A2904" s="1" t="s">
        <v>383</v>
      </c>
      <c r="B2904" s="1" t="s">
        <v>6605</v>
      </c>
      <c r="C2904" s="1">
        <v>55365</v>
      </c>
      <c r="D2904" s="1" t="s">
        <v>1164</v>
      </c>
      <c r="E2904" s="1" t="s">
        <v>1156</v>
      </c>
      <c r="F2904" s="1">
        <v>2023</v>
      </c>
      <c r="G2904" s="5">
        <v>1220</v>
      </c>
      <c r="H2904" s="5">
        <v>1094.27</v>
      </c>
      <c r="I2904" s="5">
        <v>38217.03</v>
      </c>
      <c r="K2904" s="5">
        <v>0.157</v>
      </c>
      <c r="L2904" s="5">
        <v>8.9999999999999998E-4</v>
      </c>
      <c r="M2904" s="5">
        <v>29908.799999999999</v>
      </c>
      <c r="N2904" s="6">
        <v>5.8999999999999997E-2</v>
      </c>
      <c r="O2904" s="5">
        <v>30.827999999999999</v>
      </c>
      <c r="P2904" s="6">
        <v>0.20069999999999999</v>
      </c>
      <c r="Q2904" s="5">
        <v>506597.2</v>
      </c>
      <c r="R2904" s="1" t="s">
        <v>44</v>
      </c>
      <c r="T2904" s="1" t="s">
        <v>93</v>
      </c>
      <c r="V2904" s="1" t="s">
        <v>140</v>
      </c>
      <c r="Y2904" s="1" t="s">
        <v>346</v>
      </c>
      <c r="Z2904" s="1" t="str">
        <f t="shared" si="135"/>
        <v>55365 GT-3</v>
      </c>
      <c r="AA2904" s="3">
        <f>IF(INDEX('CAMD Facility Data 2023'!$AA$2:$AE$10000,MATCH(Z2904,'CAMD Facility Data 2023'!$AE$2:$AE$10000,0),1)&gt;0,INDEX('CAMD Facility Data 2023'!$AA$2:$AE$10000,MATCH(Z2904,'CAMD Facility Data 2023'!$AE$2:$AE$10000,0),1),"")</f>
        <v>37082</v>
      </c>
      <c r="AB2904" s="5">
        <f>IF(INDEX('CAMD Facility Data 2023'!$AC$2:$AE$10000,MATCH(Z2904,'CAMD Facility Data 2023'!$AE$2:$AE$10000,0),1)&gt;0,INDEX('CAMD Facility Data 2023'!$AC$2:$AE$10000,MATCH(Z2904,'CAMD Facility Data 2023'!$AE$2:$AE$10000,0),1),"")</f>
        <v>584</v>
      </c>
      <c r="AC2904" s="1" t="str">
        <f>IF(INDEX('CAMD Facility Data 2023'!$AE$2:$AG$10000,MATCH(Z2904,'CAMD Facility Data 2023'!$AE$2:$AE$10000,0),3)&gt;0,INDEX('CAMD Facility Data 2023'!$AE$2:$AG$10000,MATCH(Z2904,'CAMD Facility Data 2023'!$AE$2:$AE$10000,0),3),"")</f>
        <v/>
      </c>
      <c r="AD2904" s="20">
        <f t="shared" si="136"/>
        <v>1.6133121804598631</v>
      </c>
      <c r="AE2904" s="25">
        <f t="shared" si="137"/>
        <v>9.9025223619190597E-2</v>
      </c>
    </row>
    <row r="2905" spans="1:31" x14ac:dyDescent="0.2">
      <c r="A2905" s="1" t="s">
        <v>383</v>
      </c>
      <c r="B2905" s="1" t="s">
        <v>6605</v>
      </c>
      <c r="C2905" s="1">
        <v>55365</v>
      </c>
      <c r="D2905" s="1" t="s">
        <v>1166</v>
      </c>
      <c r="E2905" s="1" t="s">
        <v>1156</v>
      </c>
      <c r="F2905" s="1">
        <v>2023</v>
      </c>
      <c r="G2905" s="5">
        <v>1463</v>
      </c>
      <c r="H2905" s="5">
        <v>1317.43</v>
      </c>
      <c r="I2905" s="5">
        <v>42178.49</v>
      </c>
      <c r="K2905" s="5">
        <v>0.184</v>
      </c>
      <c r="L2905" s="5">
        <v>8.9999999999999998E-4</v>
      </c>
      <c r="M2905" s="5">
        <v>32957.599999999999</v>
      </c>
      <c r="N2905" s="6">
        <v>5.8999999999999997E-2</v>
      </c>
      <c r="O2905" s="5">
        <v>35.715000000000003</v>
      </c>
      <c r="P2905" s="6">
        <v>0.20499999999999999</v>
      </c>
      <c r="Q2905" s="5">
        <v>558828.6</v>
      </c>
      <c r="R2905" s="1" t="s">
        <v>44</v>
      </c>
      <c r="T2905" s="1" t="s">
        <v>93</v>
      </c>
      <c r="V2905" s="1" t="s">
        <v>140</v>
      </c>
      <c r="Y2905" s="1" t="s">
        <v>346</v>
      </c>
      <c r="Z2905" s="1" t="str">
        <f t="shared" si="135"/>
        <v>55365 GT-4</v>
      </c>
      <c r="AA2905" s="3">
        <f>IF(INDEX('CAMD Facility Data 2023'!$AA$2:$AE$10000,MATCH(Z2905,'CAMD Facility Data 2023'!$AE$2:$AE$10000,0),1)&gt;0,INDEX('CAMD Facility Data 2023'!$AA$2:$AE$10000,MATCH(Z2905,'CAMD Facility Data 2023'!$AE$2:$AE$10000,0),1),"")</f>
        <v>37107</v>
      </c>
      <c r="AB2905" s="5">
        <f>IF(INDEX('CAMD Facility Data 2023'!$AC$2:$AE$10000,MATCH(Z2905,'CAMD Facility Data 2023'!$AE$2:$AE$10000,0),1)&gt;0,INDEX('CAMD Facility Data 2023'!$AC$2:$AE$10000,MATCH(Z2905,'CAMD Facility Data 2023'!$AE$2:$AE$10000,0),1),"")</f>
        <v>584</v>
      </c>
      <c r="AC2905" s="1" t="str">
        <f>IF(INDEX('CAMD Facility Data 2023'!$AE$2:$AG$10000,MATCH(Z2905,'CAMD Facility Data 2023'!$AE$2:$AE$10000,0),3)&gt;0,INDEX('CAMD Facility Data 2023'!$AE$2:$AG$10000,MATCH(Z2905,'CAMD Facility Data 2023'!$AE$2:$AE$10000,0),3),"")</f>
        <v/>
      </c>
      <c r="AD2905" s="20">
        <f t="shared" si="136"/>
        <v>1.693517240659872</v>
      </c>
      <c r="AE2905" s="25">
        <f t="shared" si="137"/>
        <v>0.10923496434603115</v>
      </c>
    </row>
    <row r="2906" spans="1:31" x14ac:dyDescent="0.2">
      <c r="A2906" s="1" t="s">
        <v>234</v>
      </c>
      <c r="B2906" s="1" t="s">
        <v>6611</v>
      </c>
      <c r="C2906" s="1">
        <v>55372</v>
      </c>
      <c r="D2906" s="1" t="s">
        <v>1129</v>
      </c>
      <c r="F2906" s="1">
        <v>2023</v>
      </c>
      <c r="G2906" s="5">
        <v>2910</v>
      </c>
      <c r="H2906" s="5">
        <v>2891.18</v>
      </c>
      <c r="I2906" s="5">
        <v>506283.79</v>
      </c>
      <c r="K2906" s="5">
        <v>1.659</v>
      </c>
      <c r="L2906" s="5">
        <v>1E-3</v>
      </c>
      <c r="M2906" s="5">
        <v>328655.00099999999</v>
      </c>
      <c r="N2906" s="6">
        <v>5.8999999999999997E-2</v>
      </c>
      <c r="O2906" s="5">
        <v>23.18</v>
      </c>
      <c r="P2906" s="6">
        <v>9.9000000000000008E-3</v>
      </c>
      <c r="Q2906" s="5">
        <v>5530237.7759999996</v>
      </c>
      <c r="R2906" s="1" t="s">
        <v>44</v>
      </c>
      <c r="T2906" s="1" t="s">
        <v>71</v>
      </c>
      <c r="V2906" s="1" t="s">
        <v>64</v>
      </c>
      <c r="Y2906" s="1" t="s">
        <v>247</v>
      </c>
      <c r="Z2906" s="1" t="str">
        <f t="shared" si="135"/>
        <v>55372 CTG1</v>
      </c>
      <c r="AA2906" s="3">
        <f>IF(INDEX('CAMD Facility Data 2023'!$AA$2:$AE$10000,MATCH(Z2906,'CAMD Facility Data 2023'!$AE$2:$AE$10000,0),1)&gt;0,INDEX('CAMD Facility Data 2023'!$AA$2:$AE$10000,MATCH(Z2906,'CAMD Facility Data 2023'!$AE$2:$AE$10000,0),1),"")</f>
        <v>37771</v>
      </c>
      <c r="AB2906" s="5">
        <f>IF(INDEX('CAMD Facility Data 2023'!$AC$2:$AE$10000,MATCH(Z2906,'CAMD Facility Data 2023'!$AE$2:$AE$10000,0),1)&gt;0,INDEX('CAMD Facility Data 2023'!$AC$2:$AE$10000,MATCH(Z2906,'CAMD Facility Data 2023'!$AE$2:$AE$10000,0),1),"")</f>
        <v>2531</v>
      </c>
      <c r="AC2906" s="1" t="str">
        <f>IF(INDEX('CAMD Facility Data 2023'!$AE$2:$AG$10000,MATCH(Z2906,'CAMD Facility Data 2023'!$AE$2:$AE$10000,0),3)&gt;0,INDEX('CAMD Facility Data 2023'!$AE$2:$AG$10000,MATCH(Z2906,'CAMD Facility Data 2023'!$AE$2:$AE$10000,0),3),"")</f>
        <v>Y</v>
      </c>
      <c r="AD2906" s="20">
        <f t="shared" si="136"/>
        <v>9.1569196793758703E-2</v>
      </c>
      <c r="AE2906" s="25">
        <f t="shared" si="137"/>
        <v>0.24942934894973559</v>
      </c>
    </row>
    <row r="2907" spans="1:31" x14ac:dyDescent="0.2">
      <c r="A2907" s="1" t="s">
        <v>234</v>
      </c>
      <c r="B2907" s="1" t="s">
        <v>6611</v>
      </c>
      <c r="C2907" s="1">
        <v>55372</v>
      </c>
      <c r="D2907" s="1" t="s">
        <v>1135</v>
      </c>
      <c r="F2907" s="1">
        <v>2023</v>
      </c>
      <c r="G2907" s="5">
        <v>2735</v>
      </c>
      <c r="H2907" s="5">
        <v>2722.16</v>
      </c>
      <c r="I2907" s="5">
        <v>474399.32</v>
      </c>
      <c r="K2907" s="5">
        <v>1.55</v>
      </c>
      <c r="L2907" s="5">
        <v>1E-3</v>
      </c>
      <c r="M2907" s="5">
        <v>306981.63299999997</v>
      </c>
      <c r="N2907" s="6">
        <v>5.8999999999999997E-2</v>
      </c>
      <c r="O2907" s="5">
        <v>21.468</v>
      </c>
      <c r="P2907" s="6">
        <v>9.4999999999999998E-3</v>
      </c>
      <c r="Q2907" s="5">
        <v>5165638.0319999997</v>
      </c>
      <c r="R2907" s="1" t="s">
        <v>44</v>
      </c>
      <c r="T2907" s="1" t="s">
        <v>71</v>
      </c>
      <c r="V2907" s="1" t="s">
        <v>64</v>
      </c>
      <c r="Y2907" s="1" t="s">
        <v>247</v>
      </c>
      <c r="Z2907" s="1" t="str">
        <f t="shared" si="135"/>
        <v>55372 CTG2</v>
      </c>
      <c r="AA2907" s="3">
        <f>IF(INDEX('CAMD Facility Data 2023'!$AA$2:$AE$10000,MATCH(Z2907,'CAMD Facility Data 2023'!$AE$2:$AE$10000,0),1)&gt;0,INDEX('CAMD Facility Data 2023'!$AA$2:$AE$10000,MATCH(Z2907,'CAMD Facility Data 2023'!$AE$2:$AE$10000,0),1),"")</f>
        <v>37773</v>
      </c>
      <c r="AB2907" s="5">
        <f>IF(INDEX('CAMD Facility Data 2023'!$AC$2:$AE$10000,MATCH(Z2907,'CAMD Facility Data 2023'!$AE$2:$AE$10000,0),1)&gt;0,INDEX('CAMD Facility Data 2023'!$AC$2:$AE$10000,MATCH(Z2907,'CAMD Facility Data 2023'!$AE$2:$AE$10000,0),1),"")</f>
        <v>2531</v>
      </c>
      <c r="AC2907" s="1" t="str">
        <f>IF(INDEX('CAMD Facility Data 2023'!$AE$2:$AG$10000,MATCH(Z2907,'CAMD Facility Data 2023'!$AE$2:$AE$10000,0),3)&gt;0,INDEX('CAMD Facility Data 2023'!$AE$2:$AG$10000,MATCH(Z2907,'CAMD Facility Data 2023'!$AE$2:$AE$10000,0),3),"")</f>
        <v>Y</v>
      </c>
      <c r="AD2907" s="20">
        <f t="shared" si="136"/>
        <v>9.0506031922642727E-2</v>
      </c>
      <c r="AE2907" s="25">
        <f t="shared" si="137"/>
        <v>0.23298487034741802</v>
      </c>
    </row>
    <row r="2908" spans="1:31" x14ac:dyDescent="0.2">
      <c r="A2908" s="1" t="s">
        <v>234</v>
      </c>
      <c r="B2908" s="1" t="s">
        <v>6611</v>
      </c>
      <c r="C2908" s="1">
        <v>55372</v>
      </c>
      <c r="D2908" s="1" t="s">
        <v>6002</v>
      </c>
      <c r="F2908" s="1">
        <v>2023</v>
      </c>
      <c r="G2908" s="5">
        <v>2934</v>
      </c>
      <c r="H2908" s="5">
        <v>2917.83</v>
      </c>
      <c r="I2908" s="5">
        <v>512122.54</v>
      </c>
      <c r="K2908" s="5">
        <v>1.681</v>
      </c>
      <c r="L2908" s="5">
        <v>1E-3</v>
      </c>
      <c r="M2908" s="5">
        <v>332922.52299999999</v>
      </c>
      <c r="N2908" s="6">
        <v>5.8999999999999997E-2</v>
      </c>
      <c r="O2908" s="5">
        <v>34.188000000000002</v>
      </c>
      <c r="P2908" s="6">
        <v>1.3100000000000001E-2</v>
      </c>
      <c r="Q2908" s="5">
        <v>5602075.1639999999</v>
      </c>
      <c r="R2908" s="1" t="s">
        <v>44</v>
      </c>
      <c r="T2908" s="1" t="s">
        <v>71</v>
      </c>
      <c r="V2908" s="1" t="s">
        <v>64</v>
      </c>
      <c r="Y2908" s="1" t="s">
        <v>247</v>
      </c>
      <c r="Z2908" s="1" t="str">
        <f t="shared" si="135"/>
        <v>55372 CTG3</v>
      </c>
      <c r="AA2908" s="3">
        <f>IF(INDEX('CAMD Facility Data 2023'!$AA$2:$AE$10000,MATCH(Z2908,'CAMD Facility Data 2023'!$AE$2:$AE$10000,0),1)&gt;0,INDEX('CAMD Facility Data 2023'!$AA$2:$AE$10000,MATCH(Z2908,'CAMD Facility Data 2023'!$AE$2:$AE$10000,0),1),"")</f>
        <v>37833</v>
      </c>
      <c r="AB2908" s="5">
        <f>IF(INDEX('CAMD Facility Data 2023'!$AC$2:$AE$10000,MATCH(Z2908,'CAMD Facility Data 2023'!$AE$2:$AE$10000,0),1)&gt;0,INDEX('CAMD Facility Data 2023'!$AC$2:$AE$10000,MATCH(Z2908,'CAMD Facility Data 2023'!$AE$2:$AE$10000,0),1),"")</f>
        <v>2531</v>
      </c>
      <c r="AC2908" s="1" t="str">
        <f>IF(INDEX('CAMD Facility Data 2023'!$AE$2:$AG$10000,MATCH(Z2908,'CAMD Facility Data 2023'!$AE$2:$AE$10000,0),3)&gt;0,INDEX('CAMD Facility Data 2023'!$AE$2:$AG$10000,MATCH(Z2908,'CAMD Facility Data 2023'!$AE$2:$AE$10000,0),3),"")</f>
        <v>Y</v>
      </c>
      <c r="AD2908" s="20">
        <f t="shared" si="136"/>
        <v>0.13351492008143206</v>
      </c>
      <c r="AE2908" s="25">
        <f t="shared" si="137"/>
        <v>0.25266941811942867</v>
      </c>
    </row>
    <row r="2909" spans="1:31" x14ac:dyDescent="0.2">
      <c r="A2909" s="1" t="s">
        <v>2089</v>
      </c>
      <c r="B2909" s="1" t="s">
        <v>6616</v>
      </c>
      <c r="C2909" s="1">
        <v>55375</v>
      </c>
      <c r="D2909" s="1" t="s">
        <v>311</v>
      </c>
      <c r="F2909" s="1">
        <v>2023</v>
      </c>
      <c r="G2909" s="5">
        <v>8175</v>
      </c>
      <c r="H2909" s="5">
        <v>8155.75</v>
      </c>
      <c r="I2909" s="5">
        <v>2144822.66</v>
      </c>
      <c r="K2909" s="5">
        <v>4.3079999999999998</v>
      </c>
      <c r="L2909" s="5">
        <v>1E-3</v>
      </c>
      <c r="M2909" s="5">
        <v>851432.17599999998</v>
      </c>
      <c r="N2909" s="6">
        <v>5.8999999999999997E-2</v>
      </c>
      <c r="O2909" s="5">
        <v>38.133000000000003</v>
      </c>
      <c r="P2909" s="6">
        <v>6.1999999999999998E-3</v>
      </c>
      <c r="Q2909" s="5">
        <v>14316552.071</v>
      </c>
      <c r="R2909" s="1" t="s">
        <v>44</v>
      </c>
      <c r="S2909" s="1" t="s">
        <v>94</v>
      </c>
      <c r="T2909" s="1" t="s">
        <v>71</v>
      </c>
      <c r="V2909" s="1" t="s">
        <v>643</v>
      </c>
      <c r="Y2909" s="1" t="s">
        <v>1515</v>
      </c>
      <c r="Z2909" s="1" t="str">
        <f t="shared" si="135"/>
        <v>55375 CT1</v>
      </c>
      <c r="AA2909" s="3">
        <f>IF(INDEX('CAMD Facility Data 2023'!$AA$2:$AE$10000,MATCH(Z2909,'CAMD Facility Data 2023'!$AE$2:$AE$10000,0),1)&gt;0,INDEX('CAMD Facility Data 2023'!$AA$2:$AE$10000,MATCH(Z2909,'CAMD Facility Data 2023'!$AE$2:$AE$10000,0),1),"")</f>
        <v>38805</v>
      </c>
      <c r="AB2909" s="5">
        <f>IF(INDEX('CAMD Facility Data 2023'!$AC$2:$AE$10000,MATCH(Z2909,'CAMD Facility Data 2023'!$AE$2:$AE$10000,0),1)&gt;0,INDEX('CAMD Facility Data 2023'!$AC$2:$AE$10000,MATCH(Z2909,'CAMD Facility Data 2023'!$AE$2:$AE$10000,0),1),"")</f>
        <v>2550</v>
      </c>
      <c r="AC2909" s="1" t="str">
        <f>IF(INDEX('CAMD Facility Data 2023'!$AE$2:$AG$10000,MATCH(Z2909,'CAMD Facility Data 2023'!$AE$2:$AE$10000,0),3)&gt;0,INDEX('CAMD Facility Data 2023'!$AE$2:$AG$10000,MATCH(Z2909,'CAMD Facility Data 2023'!$AE$2:$AE$10000,0),3),"")</f>
        <v>Y</v>
      </c>
      <c r="AD2909" s="20">
        <f t="shared" si="136"/>
        <v>3.5558184563380169E-2</v>
      </c>
      <c r="AE2909" s="25">
        <f t="shared" si="137"/>
        <v>0.640905724371027</v>
      </c>
    </row>
    <row r="2910" spans="1:31" x14ac:dyDescent="0.2">
      <c r="A2910" s="1" t="s">
        <v>2089</v>
      </c>
      <c r="B2910" s="1" t="s">
        <v>6616</v>
      </c>
      <c r="C2910" s="1">
        <v>55375</v>
      </c>
      <c r="D2910" s="1" t="s">
        <v>98</v>
      </c>
      <c r="F2910" s="1">
        <v>2023</v>
      </c>
      <c r="G2910" s="5">
        <v>8214</v>
      </c>
      <c r="H2910" s="5">
        <v>8187.68</v>
      </c>
      <c r="I2910" s="5">
        <v>2110720.12</v>
      </c>
      <c r="K2910" s="5">
        <v>4.2839999999999998</v>
      </c>
      <c r="L2910" s="5">
        <v>1E-3</v>
      </c>
      <c r="M2910" s="5">
        <v>846473.32</v>
      </c>
      <c r="N2910" s="6">
        <v>5.8999999999999997E-2</v>
      </c>
      <c r="O2910" s="5">
        <v>37.71</v>
      </c>
      <c r="P2910" s="6">
        <v>6.4000000000000003E-3</v>
      </c>
      <c r="Q2910" s="5">
        <v>14232714.290999999</v>
      </c>
      <c r="R2910" s="1" t="s">
        <v>44</v>
      </c>
      <c r="S2910" s="1" t="s">
        <v>94</v>
      </c>
      <c r="T2910" s="1" t="s">
        <v>71</v>
      </c>
      <c r="V2910" s="1" t="s">
        <v>643</v>
      </c>
      <c r="Y2910" s="1" t="s">
        <v>1515</v>
      </c>
      <c r="Z2910" s="1" t="str">
        <f t="shared" si="135"/>
        <v>55375 CT2</v>
      </c>
      <c r="AA2910" s="3">
        <f>IF(INDEX('CAMD Facility Data 2023'!$AA$2:$AE$10000,MATCH(Z2910,'CAMD Facility Data 2023'!$AE$2:$AE$10000,0),1)&gt;0,INDEX('CAMD Facility Data 2023'!$AA$2:$AE$10000,MATCH(Z2910,'CAMD Facility Data 2023'!$AE$2:$AE$10000,0),1),"")</f>
        <v>38805</v>
      </c>
      <c r="AB2910" s="5">
        <f>IF(INDEX('CAMD Facility Data 2023'!$AC$2:$AE$10000,MATCH(Z2910,'CAMD Facility Data 2023'!$AE$2:$AE$10000,0),1)&gt;0,INDEX('CAMD Facility Data 2023'!$AC$2:$AE$10000,MATCH(Z2910,'CAMD Facility Data 2023'!$AE$2:$AE$10000,0),1),"")</f>
        <v>2550</v>
      </c>
      <c r="AC2910" s="1" t="str">
        <f>IF(INDEX('CAMD Facility Data 2023'!$AE$2:$AG$10000,MATCH(Z2910,'CAMD Facility Data 2023'!$AE$2:$AE$10000,0),3)&gt;0,INDEX('CAMD Facility Data 2023'!$AE$2:$AG$10000,MATCH(Z2910,'CAMD Facility Data 2023'!$AE$2:$AE$10000,0),3),"")</f>
        <v>Y</v>
      </c>
      <c r="AD2910" s="20">
        <f t="shared" si="136"/>
        <v>3.5731880927917625E-2</v>
      </c>
      <c r="AE2910" s="25">
        <f t="shared" si="137"/>
        <v>0.63715257816277193</v>
      </c>
    </row>
    <row r="2911" spans="1:31" x14ac:dyDescent="0.2">
      <c r="A2911" s="1" t="s">
        <v>2089</v>
      </c>
      <c r="B2911" s="1" t="s">
        <v>6616</v>
      </c>
      <c r="C2911" s="1">
        <v>55375</v>
      </c>
      <c r="D2911" s="1" t="s">
        <v>101</v>
      </c>
      <c r="F2911" s="1">
        <v>2023</v>
      </c>
      <c r="G2911" s="5">
        <v>7591</v>
      </c>
      <c r="H2911" s="5">
        <v>7560.29</v>
      </c>
      <c r="I2911" s="5">
        <v>1990864.93</v>
      </c>
      <c r="K2911" s="5">
        <v>4.407</v>
      </c>
      <c r="L2911" s="5">
        <v>1E-3</v>
      </c>
      <c r="M2911" s="5">
        <v>869023.86499999999</v>
      </c>
      <c r="N2911" s="6">
        <v>5.91E-2</v>
      </c>
      <c r="O2911" s="5">
        <v>39.747999999999998</v>
      </c>
      <c r="P2911" s="6">
        <v>6.4999999999999997E-3</v>
      </c>
      <c r="Q2911" s="5">
        <v>14602167.117000001</v>
      </c>
      <c r="R2911" s="1" t="s">
        <v>44</v>
      </c>
      <c r="S2911" s="1" t="s">
        <v>94</v>
      </c>
      <c r="T2911" s="1" t="s">
        <v>71</v>
      </c>
      <c r="V2911" s="1" t="s">
        <v>643</v>
      </c>
      <c r="Y2911" s="1" t="s">
        <v>1515</v>
      </c>
      <c r="Z2911" s="1" t="str">
        <f t="shared" si="135"/>
        <v>55375 CT3</v>
      </c>
      <c r="AA2911" s="3">
        <f>IF(INDEX('CAMD Facility Data 2023'!$AA$2:$AE$10000,MATCH(Z2911,'CAMD Facility Data 2023'!$AE$2:$AE$10000,0),1)&gt;0,INDEX('CAMD Facility Data 2023'!$AA$2:$AE$10000,MATCH(Z2911,'CAMD Facility Data 2023'!$AE$2:$AE$10000,0),1),"")</f>
        <v>40639</v>
      </c>
      <c r="AB2911" s="5">
        <f>IF(INDEX('CAMD Facility Data 2023'!$AC$2:$AE$10000,MATCH(Z2911,'CAMD Facility Data 2023'!$AE$2:$AE$10000,0),1)&gt;0,INDEX('CAMD Facility Data 2023'!$AC$2:$AE$10000,MATCH(Z2911,'CAMD Facility Data 2023'!$AE$2:$AE$10000,0),1),"")</f>
        <v>2550</v>
      </c>
      <c r="AC2911" s="1" t="str">
        <f>IF(INDEX('CAMD Facility Data 2023'!$AE$2:$AG$10000,MATCH(Z2911,'CAMD Facility Data 2023'!$AE$2:$AE$10000,0),3)&gt;0,INDEX('CAMD Facility Data 2023'!$AE$2:$AG$10000,MATCH(Z2911,'CAMD Facility Data 2023'!$AE$2:$AE$10000,0),3),"")</f>
        <v>Y</v>
      </c>
      <c r="AD2911" s="20">
        <f t="shared" si="136"/>
        <v>3.9930383423851863E-2</v>
      </c>
      <c r="AE2911" s="25">
        <f t="shared" si="137"/>
        <v>0.65369178605962941</v>
      </c>
    </row>
    <row r="2912" spans="1:31" x14ac:dyDescent="0.2">
      <c r="A2912" s="1" t="s">
        <v>2089</v>
      </c>
      <c r="B2912" s="1" t="s">
        <v>6616</v>
      </c>
      <c r="C2912" s="1">
        <v>55375</v>
      </c>
      <c r="D2912" s="1" t="s">
        <v>103</v>
      </c>
      <c r="F2912" s="1">
        <v>2023</v>
      </c>
      <c r="G2912" s="5">
        <v>7841</v>
      </c>
      <c r="H2912" s="5">
        <v>7799.54</v>
      </c>
      <c r="I2912" s="5">
        <v>2041033.23</v>
      </c>
      <c r="K2912" s="5">
        <v>4.4969999999999999</v>
      </c>
      <c r="L2912" s="5">
        <v>1E-3</v>
      </c>
      <c r="M2912" s="5">
        <v>886547.94200000004</v>
      </c>
      <c r="N2912" s="6">
        <v>5.91E-2</v>
      </c>
      <c r="O2912" s="5">
        <v>42.534999999999997</v>
      </c>
      <c r="P2912" s="6">
        <v>7.1999999999999998E-3</v>
      </c>
      <c r="Q2912" s="5">
        <v>14895084.676000001</v>
      </c>
      <c r="R2912" s="1" t="s">
        <v>44</v>
      </c>
      <c r="S2912" s="1" t="s">
        <v>94</v>
      </c>
      <c r="T2912" s="1" t="s">
        <v>71</v>
      </c>
      <c r="V2912" s="1" t="s">
        <v>643</v>
      </c>
      <c r="Y2912" s="1" t="s">
        <v>1515</v>
      </c>
      <c r="Z2912" s="1" t="str">
        <f t="shared" si="135"/>
        <v>55375 CT4</v>
      </c>
      <c r="AA2912" s="3">
        <f>IF(INDEX('CAMD Facility Data 2023'!$AA$2:$AE$10000,MATCH(Z2912,'CAMD Facility Data 2023'!$AE$2:$AE$10000,0),1)&gt;0,INDEX('CAMD Facility Data 2023'!$AA$2:$AE$10000,MATCH(Z2912,'CAMD Facility Data 2023'!$AE$2:$AE$10000,0),1),"")</f>
        <v>40644</v>
      </c>
      <c r="AB2912" s="5">
        <f>IF(INDEX('CAMD Facility Data 2023'!$AC$2:$AE$10000,MATCH(Z2912,'CAMD Facility Data 2023'!$AE$2:$AE$10000,0),1)&gt;0,INDEX('CAMD Facility Data 2023'!$AC$2:$AE$10000,MATCH(Z2912,'CAMD Facility Data 2023'!$AE$2:$AE$10000,0),1),"")</f>
        <v>2550</v>
      </c>
      <c r="AC2912" s="1" t="str">
        <f>IF(INDEX('CAMD Facility Data 2023'!$AE$2:$AG$10000,MATCH(Z2912,'CAMD Facility Data 2023'!$AE$2:$AE$10000,0),3)&gt;0,INDEX('CAMD Facility Data 2023'!$AE$2:$AG$10000,MATCH(Z2912,'CAMD Facility Data 2023'!$AE$2:$AE$10000,0),3),"")</f>
        <v>Y</v>
      </c>
      <c r="AD2912" s="20">
        <f t="shared" si="136"/>
        <v>4.1679870150864717E-2</v>
      </c>
      <c r="AE2912" s="25">
        <f t="shared" si="137"/>
        <v>0.6668047576327335</v>
      </c>
    </row>
    <row r="2913" spans="1:31" x14ac:dyDescent="0.2">
      <c r="A2913" s="1" t="s">
        <v>2584</v>
      </c>
      <c r="B2913" s="1" t="s">
        <v>6622</v>
      </c>
      <c r="C2913" s="1">
        <v>55377</v>
      </c>
      <c r="D2913" s="1">
        <v>8</v>
      </c>
      <c r="F2913" s="1">
        <v>2023</v>
      </c>
      <c r="G2913" s="5">
        <v>1630</v>
      </c>
      <c r="H2913" s="5">
        <v>1460.07</v>
      </c>
      <c r="I2913" s="5">
        <v>65036.04</v>
      </c>
      <c r="K2913" s="5">
        <v>0.19400000000000001</v>
      </c>
      <c r="L2913" s="5">
        <v>1E-3</v>
      </c>
      <c r="M2913" s="5">
        <v>38496.584000000003</v>
      </c>
      <c r="N2913" s="6">
        <v>5.9200000000000003E-2</v>
      </c>
      <c r="O2913" s="5">
        <v>25.003</v>
      </c>
      <c r="P2913" s="6">
        <v>8.3699999999999997E-2</v>
      </c>
      <c r="Q2913" s="5">
        <v>647756.98400000005</v>
      </c>
      <c r="R2913" s="1" t="s">
        <v>44</v>
      </c>
      <c r="S2913" s="1" t="s">
        <v>94</v>
      </c>
      <c r="T2913" s="1" t="s">
        <v>93</v>
      </c>
      <c r="V2913" s="1" t="s">
        <v>95</v>
      </c>
      <c r="Y2913" s="1" t="s">
        <v>1515</v>
      </c>
      <c r="Z2913" s="1" t="str">
        <f t="shared" si="135"/>
        <v>55377 8</v>
      </c>
      <c r="AA2913" s="3">
        <f>IF(INDEX('CAMD Facility Data 2023'!$AA$2:$AE$10000,MATCH(Z2913,'CAMD Facility Data 2023'!$AE$2:$AE$10000,0),1)&gt;0,INDEX('CAMD Facility Data 2023'!$AA$2:$AE$10000,MATCH(Z2913,'CAMD Facility Data 2023'!$AE$2:$AE$10000,0),1),"")</f>
        <v>36784</v>
      </c>
      <c r="AB2913" s="5">
        <f>IF(INDEX('CAMD Facility Data 2023'!$AC$2:$AE$10000,MATCH(Z2913,'CAMD Facility Data 2023'!$AE$2:$AE$10000,0),1)&gt;0,INDEX('CAMD Facility Data 2023'!$AC$2:$AE$10000,MATCH(Z2913,'CAMD Facility Data 2023'!$AE$2:$AE$10000,0),1),"")</f>
        <v>508</v>
      </c>
      <c r="AC2913" s="1" t="str">
        <f>IF(INDEX('CAMD Facility Data 2023'!$AE$2:$AG$10000,MATCH(Z2913,'CAMD Facility Data 2023'!$AE$2:$AE$10000,0),3)&gt;0,INDEX('CAMD Facility Data 2023'!$AE$2:$AG$10000,MATCH(Z2913,'CAMD Facility Data 2023'!$AE$2:$AE$10000,0),3),"")</f>
        <v/>
      </c>
      <c r="AD2913" s="20">
        <f t="shared" si="136"/>
        <v>0.76889675324635387</v>
      </c>
      <c r="AE2913" s="25">
        <f t="shared" si="137"/>
        <v>0.14556075036853272</v>
      </c>
    </row>
    <row r="2914" spans="1:31" x14ac:dyDescent="0.2">
      <c r="A2914" s="1" t="s">
        <v>2584</v>
      </c>
      <c r="B2914" s="1" t="s">
        <v>6622</v>
      </c>
      <c r="C2914" s="1">
        <v>55377</v>
      </c>
      <c r="D2914" s="1">
        <v>9</v>
      </c>
      <c r="F2914" s="1">
        <v>2023</v>
      </c>
      <c r="G2914" s="5">
        <v>1666</v>
      </c>
      <c r="H2914" s="5">
        <v>1491.12</v>
      </c>
      <c r="I2914" s="5">
        <v>68136.72</v>
      </c>
      <c r="K2914" s="5">
        <v>0.20100000000000001</v>
      </c>
      <c r="L2914" s="5">
        <v>1E-3</v>
      </c>
      <c r="M2914" s="5">
        <v>39711.321000000004</v>
      </c>
      <c r="N2914" s="6">
        <v>5.9200000000000003E-2</v>
      </c>
      <c r="O2914" s="5">
        <v>26.388000000000002</v>
      </c>
      <c r="P2914" s="6">
        <v>8.5900000000000004E-2</v>
      </c>
      <c r="Q2914" s="5">
        <v>668219.41799999995</v>
      </c>
      <c r="R2914" s="1" t="s">
        <v>44</v>
      </c>
      <c r="S2914" s="1" t="s">
        <v>94</v>
      </c>
      <c r="T2914" s="1" t="s">
        <v>93</v>
      </c>
      <c r="V2914" s="1" t="s">
        <v>95</v>
      </c>
      <c r="Y2914" s="1" t="s">
        <v>1515</v>
      </c>
      <c r="Z2914" s="1" t="str">
        <f t="shared" si="135"/>
        <v>55377 9</v>
      </c>
      <c r="AA2914" s="3">
        <f>IF(INDEX('CAMD Facility Data 2023'!$AA$2:$AE$10000,MATCH(Z2914,'CAMD Facility Data 2023'!$AE$2:$AE$10000,0),1)&gt;0,INDEX('CAMD Facility Data 2023'!$AA$2:$AE$10000,MATCH(Z2914,'CAMD Facility Data 2023'!$AE$2:$AE$10000,0),1),"")</f>
        <v>36784</v>
      </c>
      <c r="AB2914" s="5">
        <f>IF(INDEX('CAMD Facility Data 2023'!$AC$2:$AE$10000,MATCH(Z2914,'CAMD Facility Data 2023'!$AE$2:$AE$10000,0),1)&gt;0,INDEX('CAMD Facility Data 2023'!$AC$2:$AE$10000,MATCH(Z2914,'CAMD Facility Data 2023'!$AE$2:$AE$10000,0),1),"")</f>
        <v>545</v>
      </c>
      <c r="AC2914" s="1" t="str">
        <f>IF(INDEX('CAMD Facility Data 2023'!$AE$2:$AG$10000,MATCH(Z2914,'CAMD Facility Data 2023'!$AE$2:$AE$10000,0),3)&gt;0,INDEX('CAMD Facility Data 2023'!$AE$2:$AG$10000,MATCH(Z2914,'CAMD Facility Data 2023'!$AE$2:$AE$10000,0),3),"")</f>
        <v/>
      </c>
      <c r="AD2914" s="20">
        <f t="shared" si="136"/>
        <v>0.77456032518148799</v>
      </c>
      <c r="AE2914" s="25">
        <f t="shared" si="137"/>
        <v>0.13996468895312303</v>
      </c>
    </row>
    <row r="2915" spans="1:31" x14ac:dyDescent="0.2">
      <c r="A2915" s="1" t="s">
        <v>348</v>
      </c>
      <c r="B2915" s="1" t="s">
        <v>6627</v>
      </c>
      <c r="C2915" s="1">
        <v>55380</v>
      </c>
      <c r="D2915" s="1" t="s">
        <v>5681</v>
      </c>
      <c r="F2915" s="1">
        <v>2023</v>
      </c>
      <c r="G2915" s="5">
        <v>7572</v>
      </c>
      <c r="H2915" s="5">
        <v>7562.55</v>
      </c>
      <c r="I2915" s="5">
        <v>1850235.45</v>
      </c>
      <c r="K2915" s="5">
        <v>3.984</v>
      </c>
      <c r="L2915" s="5">
        <v>1E-3</v>
      </c>
      <c r="M2915" s="5">
        <v>789162.53700000001</v>
      </c>
      <c r="N2915" s="6">
        <v>5.8999999999999997E-2</v>
      </c>
      <c r="O2915" s="5">
        <v>77.938000000000002</v>
      </c>
      <c r="P2915" s="6">
        <v>1.2800000000000001E-2</v>
      </c>
      <c r="Q2915" s="5">
        <v>13279159.863</v>
      </c>
      <c r="R2915" s="1" t="s">
        <v>44</v>
      </c>
      <c r="T2915" s="1" t="s">
        <v>71</v>
      </c>
      <c r="V2915" s="1" t="s">
        <v>223</v>
      </c>
      <c r="Y2915" s="1" t="s">
        <v>346</v>
      </c>
      <c r="Z2915" s="1" t="str">
        <f t="shared" si="135"/>
        <v>55380 CTG-1</v>
      </c>
      <c r="AA2915" s="3">
        <f>IF(INDEX('CAMD Facility Data 2023'!$AA$2:$AE$10000,MATCH(Z2915,'CAMD Facility Data 2023'!$AE$2:$AE$10000,0),1)&gt;0,INDEX('CAMD Facility Data 2023'!$AA$2:$AE$10000,MATCH(Z2915,'CAMD Facility Data 2023'!$AE$2:$AE$10000,0),1),"")</f>
        <v>37502</v>
      </c>
      <c r="AB2915" s="5">
        <f>IF(INDEX('CAMD Facility Data 2023'!$AC$2:$AE$10000,MATCH(Z2915,'CAMD Facility Data 2023'!$AE$2:$AE$10000,0),1)&gt;0,INDEX('CAMD Facility Data 2023'!$AC$2:$AE$10000,MATCH(Z2915,'CAMD Facility Data 2023'!$AE$2:$AE$10000,0),1),"")</f>
        <v>2319</v>
      </c>
      <c r="AC2915" s="1" t="str">
        <f>IF(INDEX('CAMD Facility Data 2023'!$AE$2:$AG$10000,MATCH(Z2915,'CAMD Facility Data 2023'!$AE$2:$AE$10000,0),3)&gt;0,INDEX('CAMD Facility Data 2023'!$AE$2:$AG$10000,MATCH(Z2915,'CAMD Facility Data 2023'!$AE$2:$AE$10000,0),3),"")</f>
        <v>Y</v>
      </c>
      <c r="AD2915" s="20">
        <f t="shared" si="136"/>
        <v>8.4246575212900604E-2</v>
      </c>
      <c r="AE2915" s="25">
        <f t="shared" si="137"/>
        <v>0.65368082324691201</v>
      </c>
    </row>
    <row r="2916" spans="1:31" x14ac:dyDescent="0.2">
      <c r="A2916" s="1" t="s">
        <v>348</v>
      </c>
      <c r="B2916" s="1" t="s">
        <v>6627</v>
      </c>
      <c r="C2916" s="1">
        <v>55380</v>
      </c>
      <c r="D2916" s="1" t="s">
        <v>5684</v>
      </c>
      <c r="F2916" s="1">
        <v>2023</v>
      </c>
      <c r="G2916" s="5">
        <v>7573</v>
      </c>
      <c r="H2916" s="5">
        <v>7557.95</v>
      </c>
      <c r="I2916" s="5">
        <v>1851664.25</v>
      </c>
      <c r="K2916" s="5">
        <v>3.9950000000000001</v>
      </c>
      <c r="L2916" s="5">
        <v>1E-3</v>
      </c>
      <c r="M2916" s="5">
        <v>791418.05299999996</v>
      </c>
      <c r="N2916" s="6">
        <v>5.8999999999999997E-2</v>
      </c>
      <c r="O2916" s="5">
        <v>78.468000000000004</v>
      </c>
      <c r="P2916" s="6">
        <v>1.23E-2</v>
      </c>
      <c r="Q2916" s="5">
        <v>13317192.085999999</v>
      </c>
      <c r="R2916" s="1" t="s">
        <v>44</v>
      </c>
      <c r="T2916" s="1" t="s">
        <v>71</v>
      </c>
      <c r="V2916" s="1" t="s">
        <v>223</v>
      </c>
      <c r="Y2916" s="1" t="s">
        <v>346</v>
      </c>
      <c r="Z2916" s="1" t="str">
        <f t="shared" si="135"/>
        <v>55380 CTG-2</v>
      </c>
      <c r="AA2916" s="3">
        <f>IF(INDEX('CAMD Facility Data 2023'!$AA$2:$AE$10000,MATCH(Z2916,'CAMD Facility Data 2023'!$AE$2:$AE$10000,0),1)&gt;0,INDEX('CAMD Facility Data 2023'!$AA$2:$AE$10000,MATCH(Z2916,'CAMD Facility Data 2023'!$AE$2:$AE$10000,0),1),"")</f>
        <v>37505</v>
      </c>
      <c r="AB2916" s="5">
        <f>IF(INDEX('CAMD Facility Data 2023'!$AC$2:$AE$10000,MATCH(Z2916,'CAMD Facility Data 2023'!$AE$2:$AE$10000,0),1)&gt;0,INDEX('CAMD Facility Data 2023'!$AC$2:$AE$10000,MATCH(Z2916,'CAMD Facility Data 2023'!$AE$2:$AE$10000,0),1),"")</f>
        <v>2319</v>
      </c>
      <c r="AC2916" s="1" t="str">
        <f>IF(INDEX('CAMD Facility Data 2023'!$AE$2:$AG$10000,MATCH(Z2916,'CAMD Facility Data 2023'!$AE$2:$AE$10000,0),3)&gt;0,INDEX('CAMD Facility Data 2023'!$AE$2:$AG$10000,MATCH(Z2916,'CAMD Facility Data 2023'!$AE$2:$AE$10000,0),3),"")</f>
        <v>Y</v>
      </c>
      <c r="AD2916" s="20">
        <f t="shared" si="136"/>
        <v>8.4754026006604602E-2</v>
      </c>
      <c r="AE2916" s="25">
        <f t="shared" si="137"/>
        <v>0.65555300003347372</v>
      </c>
    </row>
    <row r="2917" spans="1:31" x14ac:dyDescent="0.2">
      <c r="A2917" s="1" t="s">
        <v>348</v>
      </c>
      <c r="B2917" s="1" t="s">
        <v>6627</v>
      </c>
      <c r="C2917" s="1">
        <v>55380</v>
      </c>
      <c r="D2917" s="1" t="s">
        <v>5750</v>
      </c>
      <c r="F2917" s="1">
        <v>2023</v>
      </c>
      <c r="G2917" s="5">
        <v>7181</v>
      </c>
      <c r="H2917" s="5">
        <v>7165.67</v>
      </c>
      <c r="I2917" s="5">
        <v>1717053.37</v>
      </c>
      <c r="K2917" s="5">
        <v>3.7069999999999999</v>
      </c>
      <c r="L2917" s="5">
        <v>1E-3</v>
      </c>
      <c r="M2917" s="5">
        <v>734323.73300000001</v>
      </c>
      <c r="N2917" s="6">
        <v>5.8999999999999997E-2</v>
      </c>
      <c r="O2917" s="5">
        <v>78.572000000000003</v>
      </c>
      <c r="P2917" s="6">
        <v>1.4200000000000001E-2</v>
      </c>
      <c r="Q2917" s="5">
        <v>12356329.182</v>
      </c>
      <c r="R2917" s="1" t="s">
        <v>44</v>
      </c>
      <c r="T2917" s="1" t="s">
        <v>71</v>
      </c>
      <c r="V2917" s="1" t="s">
        <v>223</v>
      </c>
      <c r="Y2917" s="1" t="s">
        <v>346</v>
      </c>
      <c r="Z2917" s="1" t="str">
        <f t="shared" si="135"/>
        <v>55380 CTG-3</v>
      </c>
      <c r="AA2917" s="3">
        <f>IF(INDEX('CAMD Facility Data 2023'!$AA$2:$AE$10000,MATCH(Z2917,'CAMD Facility Data 2023'!$AE$2:$AE$10000,0),1)&gt;0,INDEX('CAMD Facility Data 2023'!$AA$2:$AE$10000,MATCH(Z2917,'CAMD Facility Data 2023'!$AE$2:$AE$10000,0),1),"")</f>
        <v>37585</v>
      </c>
      <c r="AB2917" s="5">
        <f>IF(INDEX('CAMD Facility Data 2023'!$AC$2:$AE$10000,MATCH(Z2917,'CAMD Facility Data 2023'!$AE$2:$AE$10000,0),1)&gt;0,INDEX('CAMD Facility Data 2023'!$AC$2:$AE$10000,MATCH(Z2917,'CAMD Facility Data 2023'!$AE$2:$AE$10000,0),1),"")</f>
        <v>2319</v>
      </c>
      <c r="AC2917" s="1" t="str">
        <f>IF(INDEX('CAMD Facility Data 2023'!$AE$2:$AG$10000,MATCH(Z2917,'CAMD Facility Data 2023'!$AE$2:$AE$10000,0),3)&gt;0,INDEX('CAMD Facility Data 2023'!$AE$2:$AG$10000,MATCH(Z2917,'CAMD Facility Data 2023'!$AE$2:$AE$10000,0),3),"")</f>
        <v>Y</v>
      </c>
      <c r="AD2917" s="20">
        <f t="shared" si="136"/>
        <v>9.1519578101407525E-2</v>
      </c>
      <c r="AE2917" s="25">
        <f t="shared" si="137"/>
        <v>0.60825349761056668</v>
      </c>
    </row>
    <row r="2918" spans="1:31" x14ac:dyDescent="0.2">
      <c r="A2918" s="1" t="s">
        <v>348</v>
      </c>
      <c r="B2918" s="1" t="s">
        <v>6627</v>
      </c>
      <c r="C2918" s="1">
        <v>55380</v>
      </c>
      <c r="D2918" s="1" t="s">
        <v>5799</v>
      </c>
      <c r="F2918" s="1">
        <v>2023</v>
      </c>
      <c r="G2918" s="5">
        <v>7157</v>
      </c>
      <c r="H2918" s="5">
        <v>7143.5</v>
      </c>
      <c r="I2918" s="5">
        <v>1713690.23</v>
      </c>
      <c r="K2918" s="5">
        <v>3.6739999999999999</v>
      </c>
      <c r="L2918" s="5">
        <v>1E-3</v>
      </c>
      <c r="M2918" s="5">
        <v>727779.90599999996</v>
      </c>
      <c r="N2918" s="6">
        <v>5.8999999999999997E-2</v>
      </c>
      <c r="O2918" s="5">
        <v>74.405000000000001</v>
      </c>
      <c r="P2918" s="6">
        <v>1.32E-2</v>
      </c>
      <c r="Q2918" s="5">
        <v>12246245.146</v>
      </c>
      <c r="R2918" s="1" t="s">
        <v>44</v>
      </c>
      <c r="T2918" s="1" t="s">
        <v>71</v>
      </c>
      <c r="V2918" s="1" t="s">
        <v>223</v>
      </c>
      <c r="Y2918" s="1" t="s">
        <v>346</v>
      </c>
      <c r="Z2918" s="1" t="str">
        <f t="shared" si="135"/>
        <v>55380 CTG-4</v>
      </c>
      <c r="AA2918" s="3">
        <f>IF(INDEX('CAMD Facility Data 2023'!$AA$2:$AE$10000,MATCH(Z2918,'CAMD Facility Data 2023'!$AE$2:$AE$10000,0),1)&gt;0,INDEX('CAMD Facility Data 2023'!$AA$2:$AE$10000,MATCH(Z2918,'CAMD Facility Data 2023'!$AE$2:$AE$10000,0),1),"")</f>
        <v>37588</v>
      </c>
      <c r="AB2918" s="5">
        <f>IF(INDEX('CAMD Facility Data 2023'!$AC$2:$AE$10000,MATCH(Z2918,'CAMD Facility Data 2023'!$AE$2:$AE$10000,0),1)&gt;0,INDEX('CAMD Facility Data 2023'!$AC$2:$AE$10000,MATCH(Z2918,'CAMD Facility Data 2023'!$AE$2:$AE$10000,0),1),"")</f>
        <v>2319</v>
      </c>
      <c r="AC2918" s="1" t="str">
        <f>IF(INDEX('CAMD Facility Data 2023'!$AE$2:$AG$10000,MATCH(Z2918,'CAMD Facility Data 2023'!$AE$2:$AE$10000,0),3)&gt;0,INDEX('CAMD Facility Data 2023'!$AE$2:$AG$10000,MATCH(Z2918,'CAMD Facility Data 2023'!$AE$2:$AE$10000,0),3),"")</f>
        <v>Y</v>
      </c>
      <c r="AD2918" s="20">
        <f t="shared" si="136"/>
        <v>8.6835997191861219E-2</v>
      </c>
      <c r="AE2918" s="25">
        <f t="shared" si="137"/>
        <v>0.60283449339484618</v>
      </c>
    </row>
    <row r="2919" spans="1:31" x14ac:dyDescent="0.2">
      <c r="A2919" s="1" t="s">
        <v>348</v>
      </c>
      <c r="B2919" s="1" t="s">
        <v>6627</v>
      </c>
      <c r="C2919" s="1">
        <v>55380</v>
      </c>
      <c r="D2919" s="1" t="s">
        <v>6046</v>
      </c>
      <c r="F2919" s="1">
        <v>2023</v>
      </c>
      <c r="G2919" s="5">
        <v>7107</v>
      </c>
      <c r="H2919" s="5">
        <v>7086.78</v>
      </c>
      <c r="I2919" s="5">
        <v>1710523.65</v>
      </c>
      <c r="K2919" s="5">
        <v>3.6429999999999998</v>
      </c>
      <c r="L2919" s="5">
        <v>1E-3</v>
      </c>
      <c r="M2919" s="5">
        <v>721700.62699999998</v>
      </c>
      <c r="N2919" s="6">
        <v>5.8999999999999997E-2</v>
      </c>
      <c r="O2919" s="5">
        <v>75.457999999999998</v>
      </c>
      <c r="P2919" s="6">
        <v>1.37E-2</v>
      </c>
      <c r="Q2919" s="5">
        <v>12143916.704</v>
      </c>
      <c r="R2919" s="1" t="s">
        <v>44</v>
      </c>
      <c r="T2919" s="1" t="s">
        <v>71</v>
      </c>
      <c r="V2919" s="1" t="s">
        <v>223</v>
      </c>
      <c r="Y2919" s="1" t="s">
        <v>346</v>
      </c>
      <c r="Z2919" s="1" t="str">
        <f t="shared" si="135"/>
        <v>55380 CTG-5</v>
      </c>
      <c r="AA2919" s="3">
        <f>IF(INDEX('CAMD Facility Data 2023'!$AA$2:$AE$10000,MATCH(Z2919,'CAMD Facility Data 2023'!$AE$2:$AE$10000,0),1)&gt;0,INDEX('CAMD Facility Data 2023'!$AA$2:$AE$10000,MATCH(Z2919,'CAMD Facility Data 2023'!$AE$2:$AE$10000,0),1),"")</f>
        <v>37649</v>
      </c>
      <c r="AB2919" s="5">
        <f>IF(INDEX('CAMD Facility Data 2023'!$AC$2:$AE$10000,MATCH(Z2919,'CAMD Facility Data 2023'!$AE$2:$AE$10000,0),1)&gt;0,INDEX('CAMD Facility Data 2023'!$AC$2:$AE$10000,MATCH(Z2919,'CAMD Facility Data 2023'!$AE$2:$AE$10000,0),1),"")</f>
        <v>2300</v>
      </c>
      <c r="AC2919" s="1" t="str">
        <f>IF(INDEX('CAMD Facility Data 2023'!$AE$2:$AG$10000,MATCH(Z2919,'CAMD Facility Data 2023'!$AE$2:$AE$10000,0),3)&gt;0,INDEX('CAMD Facility Data 2023'!$AE$2:$AG$10000,MATCH(Z2919,'CAMD Facility Data 2023'!$AE$2:$AE$10000,0),3),"")</f>
        <v>Y</v>
      </c>
      <c r="AD2919" s="20">
        <f t="shared" si="136"/>
        <v>8.822795288448658E-2</v>
      </c>
      <c r="AE2919" s="25">
        <f t="shared" si="137"/>
        <v>0.60273559182052805</v>
      </c>
    </row>
    <row r="2920" spans="1:31" x14ac:dyDescent="0.2">
      <c r="A2920" s="1" t="s">
        <v>348</v>
      </c>
      <c r="B2920" s="1" t="s">
        <v>6627</v>
      </c>
      <c r="C2920" s="1">
        <v>55380</v>
      </c>
      <c r="D2920" s="1" t="s">
        <v>6048</v>
      </c>
      <c r="F2920" s="1">
        <v>2023</v>
      </c>
      <c r="G2920" s="5">
        <v>6644</v>
      </c>
      <c r="H2920" s="5">
        <v>6623.89</v>
      </c>
      <c r="I2920" s="5">
        <v>1615363.87</v>
      </c>
      <c r="K2920" s="5">
        <v>3.4390000000000001</v>
      </c>
      <c r="L2920" s="5">
        <v>1E-3</v>
      </c>
      <c r="M2920" s="5">
        <v>681308.46400000004</v>
      </c>
      <c r="N2920" s="6">
        <v>5.8999999999999997E-2</v>
      </c>
      <c r="O2920" s="5">
        <v>74.375</v>
      </c>
      <c r="P2920" s="6">
        <v>1.49E-2</v>
      </c>
      <c r="Q2920" s="5">
        <v>11464255.683</v>
      </c>
      <c r="R2920" s="1" t="s">
        <v>44</v>
      </c>
      <c r="T2920" s="1" t="s">
        <v>71</v>
      </c>
      <c r="V2920" s="1" t="s">
        <v>223</v>
      </c>
      <c r="Y2920" s="1" t="s">
        <v>346</v>
      </c>
      <c r="Z2920" s="1" t="str">
        <f t="shared" si="135"/>
        <v>55380 CTG-6</v>
      </c>
      <c r="AA2920" s="3">
        <f>IF(INDEX('CAMD Facility Data 2023'!$AA$2:$AE$10000,MATCH(Z2920,'CAMD Facility Data 2023'!$AE$2:$AE$10000,0),1)&gt;0,INDEX('CAMD Facility Data 2023'!$AA$2:$AE$10000,MATCH(Z2920,'CAMD Facility Data 2023'!$AE$2:$AE$10000,0),1),"")</f>
        <v>37654</v>
      </c>
      <c r="AB2920" s="5">
        <f>IF(INDEX('CAMD Facility Data 2023'!$AC$2:$AE$10000,MATCH(Z2920,'CAMD Facility Data 2023'!$AE$2:$AE$10000,0),1)&gt;0,INDEX('CAMD Facility Data 2023'!$AC$2:$AE$10000,MATCH(Z2920,'CAMD Facility Data 2023'!$AE$2:$AE$10000,0),1),"")</f>
        <v>2250</v>
      </c>
      <c r="AC2920" s="1" t="str">
        <f>IF(INDEX('CAMD Facility Data 2023'!$AE$2:$AG$10000,MATCH(Z2920,'CAMD Facility Data 2023'!$AE$2:$AE$10000,0),3)&gt;0,INDEX('CAMD Facility Data 2023'!$AE$2:$AG$10000,MATCH(Z2920,'CAMD Facility Data 2023'!$AE$2:$AE$10000,0),3),"")</f>
        <v>Y</v>
      </c>
      <c r="AD2920" s="20">
        <f t="shared" si="136"/>
        <v>9.2084515917766563E-2</v>
      </c>
      <c r="AE2920" s="25">
        <f t="shared" si="137"/>
        <v>0.58164666073059357</v>
      </c>
    </row>
    <row r="2921" spans="1:31" x14ac:dyDescent="0.2">
      <c r="A2921" s="1" t="s">
        <v>348</v>
      </c>
      <c r="B2921" s="1" t="s">
        <v>6627</v>
      </c>
      <c r="C2921" s="1">
        <v>55380</v>
      </c>
      <c r="D2921" s="1" t="s">
        <v>6050</v>
      </c>
      <c r="F2921" s="1">
        <v>2023</v>
      </c>
      <c r="G2921" s="5">
        <v>6599</v>
      </c>
      <c r="H2921" s="5">
        <v>6587.89</v>
      </c>
      <c r="I2921" s="5">
        <v>1602044.14</v>
      </c>
      <c r="K2921" s="5">
        <v>3.3980000000000001</v>
      </c>
      <c r="L2921" s="5">
        <v>1E-3</v>
      </c>
      <c r="M2921" s="5">
        <v>673071.96499999997</v>
      </c>
      <c r="N2921" s="6">
        <v>5.8999999999999997E-2</v>
      </c>
      <c r="O2921" s="5">
        <v>73</v>
      </c>
      <c r="P2921" s="6">
        <v>1.4200000000000001E-2</v>
      </c>
      <c r="Q2921" s="5">
        <v>11325715.509</v>
      </c>
      <c r="R2921" s="1" t="s">
        <v>44</v>
      </c>
      <c r="T2921" s="1" t="s">
        <v>71</v>
      </c>
      <c r="V2921" s="1" t="s">
        <v>223</v>
      </c>
      <c r="Y2921" s="1" t="s">
        <v>346</v>
      </c>
      <c r="Z2921" s="1" t="str">
        <f t="shared" si="135"/>
        <v>55380 CTG-7</v>
      </c>
      <c r="AA2921" s="3">
        <f>IF(INDEX('CAMD Facility Data 2023'!$AA$2:$AE$10000,MATCH(Z2921,'CAMD Facility Data 2023'!$AE$2:$AE$10000,0),1)&gt;0,INDEX('CAMD Facility Data 2023'!$AA$2:$AE$10000,MATCH(Z2921,'CAMD Facility Data 2023'!$AE$2:$AE$10000,0),1),"")</f>
        <v>37683</v>
      </c>
      <c r="AB2921" s="5">
        <f>IF(INDEX('CAMD Facility Data 2023'!$AC$2:$AE$10000,MATCH(Z2921,'CAMD Facility Data 2023'!$AE$2:$AE$10000,0),1)&gt;0,INDEX('CAMD Facility Data 2023'!$AC$2:$AE$10000,MATCH(Z2921,'CAMD Facility Data 2023'!$AE$2:$AE$10000,0),1),"")</f>
        <v>2319</v>
      </c>
      <c r="AC2921" s="1" t="str">
        <f>IF(INDEX('CAMD Facility Data 2023'!$AE$2:$AG$10000,MATCH(Z2921,'CAMD Facility Data 2023'!$AE$2:$AE$10000,0),3)&gt;0,INDEX('CAMD Facility Data 2023'!$AE$2:$AG$10000,MATCH(Z2921,'CAMD Facility Data 2023'!$AE$2:$AE$10000,0),3),"")</f>
        <v>Y</v>
      </c>
      <c r="AD2921" s="20">
        <f t="shared" si="136"/>
        <v>9.1133568891553773E-2</v>
      </c>
      <c r="AE2921" s="25">
        <f t="shared" si="137"/>
        <v>0.55752043910636961</v>
      </c>
    </row>
    <row r="2922" spans="1:31" x14ac:dyDescent="0.2">
      <c r="A2922" s="1" t="s">
        <v>348</v>
      </c>
      <c r="B2922" s="1" t="s">
        <v>6627</v>
      </c>
      <c r="C2922" s="1">
        <v>55380</v>
      </c>
      <c r="D2922" s="1" t="s">
        <v>6052</v>
      </c>
      <c r="F2922" s="1">
        <v>2023</v>
      </c>
      <c r="G2922" s="5">
        <v>6581</v>
      </c>
      <c r="H2922" s="5">
        <v>6566.06</v>
      </c>
      <c r="I2922" s="5">
        <v>1602549.21</v>
      </c>
      <c r="K2922" s="5">
        <v>3.4</v>
      </c>
      <c r="L2922" s="5">
        <v>1E-3</v>
      </c>
      <c r="M2922" s="5">
        <v>673487.75899999996</v>
      </c>
      <c r="N2922" s="6">
        <v>5.8999999999999997E-2</v>
      </c>
      <c r="O2922" s="5">
        <v>69.510000000000005</v>
      </c>
      <c r="P2922" s="6">
        <v>1.3299999999999999E-2</v>
      </c>
      <c r="Q2922" s="5">
        <v>11332711.901000001</v>
      </c>
      <c r="R2922" s="1" t="s">
        <v>44</v>
      </c>
      <c r="T2922" s="1" t="s">
        <v>71</v>
      </c>
      <c r="V2922" s="1" t="s">
        <v>223</v>
      </c>
      <c r="Y2922" s="1" t="s">
        <v>346</v>
      </c>
      <c r="Z2922" s="1" t="str">
        <f t="shared" si="135"/>
        <v>55380 CTG-8</v>
      </c>
      <c r="AA2922" s="3">
        <f>IF(INDEX('CAMD Facility Data 2023'!$AA$2:$AE$10000,MATCH(Z2922,'CAMD Facility Data 2023'!$AE$2:$AE$10000,0),1)&gt;0,INDEX('CAMD Facility Data 2023'!$AA$2:$AE$10000,MATCH(Z2922,'CAMD Facility Data 2023'!$AE$2:$AE$10000,0),1),"")</f>
        <v>37687</v>
      </c>
      <c r="AB2922" s="5">
        <f>IF(INDEX('CAMD Facility Data 2023'!$AC$2:$AE$10000,MATCH(Z2922,'CAMD Facility Data 2023'!$AE$2:$AE$10000,0),1)&gt;0,INDEX('CAMD Facility Data 2023'!$AC$2:$AE$10000,MATCH(Z2922,'CAMD Facility Data 2023'!$AE$2:$AE$10000,0),1),"")</f>
        <v>2321.3000000000002</v>
      </c>
      <c r="AC2922" s="1" t="str">
        <f>IF(INDEX('CAMD Facility Data 2023'!$AE$2:$AG$10000,MATCH(Z2922,'CAMD Facility Data 2023'!$AE$2:$AE$10000,0),3)&gt;0,INDEX('CAMD Facility Data 2023'!$AE$2:$AG$10000,MATCH(Z2922,'CAMD Facility Data 2023'!$AE$2:$AE$10000,0),3),"")</f>
        <v>Y</v>
      </c>
      <c r="AD2922" s="20">
        <f t="shared" si="136"/>
        <v>8.6749286157646294E-2</v>
      </c>
      <c r="AE2922" s="25">
        <f t="shared" si="137"/>
        <v>0.55731209803709825</v>
      </c>
    </row>
    <row r="2923" spans="1:31" x14ac:dyDescent="0.2">
      <c r="A2923" s="1" t="s">
        <v>3095</v>
      </c>
      <c r="B2923" s="1" t="s">
        <v>6635</v>
      </c>
      <c r="C2923" s="1">
        <v>55381</v>
      </c>
      <c r="D2923" s="1" t="s">
        <v>6636</v>
      </c>
      <c r="F2923" s="1">
        <v>2023</v>
      </c>
      <c r="G2923" s="5">
        <v>138</v>
      </c>
      <c r="H2923" s="5">
        <v>94.35</v>
      </c>
      <c r="I2923" s="5">
        <v>3534.4</v>
      </c>
      <c r="K2923" s="5">
        <v>1.4E-2</v>
      </c>
      <c r="L2923" s="5">
        <v>1E-3</v>
      </c>
      <c r="M2923" s="5">
        <v>2886.93</v>
      </c>
      <c r="N2923" s="6">
        <v>8.1000000000000003E-2</v>
      </c>
      <c r="O2923" s="5">
        <v>2.0270000000000001</v>
      </c>
      <c r="P2923" s="6">
        <v>0.1066</v>
      </c>
      <c r="Q2923" s="5">
        <v>35581.911999999997</v>
      </c>
      <c r="R2923" s="1" t="s">
        <v>94</v>
      </c>
      <c r="T2923" s="1" t="s">
        <v>93</v>
      </c>
      <c r="V2923" s="1" t="s">
        <v>95</v>
      </c>
      <c r="Y2923" s="1" t="s">
        <v>1515</v>
      </c>
      <c r="Z2923" s="1" t="str">
        <f t="shared" si="135"/>
        <v>55381 CT-001</v>
      </c>
      <c r="AA2923" s="3">
        <f>IF(INDEX('CAMD Facility Data 2023'!$AA$2:$AE$10000,MATCH(Z2923,'CAMD Facility Data 2023'!$AE$2:$AE$10000,0),1)&gt;0,INDEX('CAMD Facility Data 2023'!$AA$2:$AE$10000,MATCH(Z2923,'CAMD Facility Data 2023'!$AE$2:$AE$10000,0),1),"")</f>
        <v>36740</v>
      </c>
      <c r="AB2923" s="5">
        <f>IF(INDEX('CAMD Facility Data 2023'!$AC$2:$AE$10000,MATCH(Z2923,'CAMD Facility Data 2023'!$AE$2:$AE$10000,0),1)&gt;0,INDEX('CAMD Facility Data 2023'!$AC$2:$AE$10000,MATCH(Z2923,'CAMD Facility Data 2023'!$AE$2:$AE$10000,0),1),"")</f>
        <v>473</v>
      </c>
      <c r="AC2923" s="1" t="str">
        <f>IF(INDEX('CAMD Facility Data 2023'!$AE$2:$AG$10000,MATCH(Z2923,'CAMD Facility Data 2023'!$AE$2:$AE$10000,0),3)&gt;0,INDEX('CAMD Facility Data 2023'!$AE$2:$AG$10000,MATCH(Z2923,'CAMD Facility Data 2023'!$AE$2:$AE$10000,0),3),"")</f>
        <v/>
      </c>
      <c r="AD2923" s="20">
        <f t="shared" si="136"/>
        <v>1.1470122227252151</v>
      </c>
      <c r="AE2923" s="25">
        <f t="shared" si="137"/>
        <v>8.587446301176787E-3</v>
      </c>
    </row>
    <row r="2924" spans="1:31" x14ac:dyDescent="0.2">
      <c r="A2924" s="1" t="s">
        <v>3095</v>
      </c>
      <c r="B2924" s="1" t="s">
        <v>6635</v>
      </c>
      <c r="C2924" s="1">
        <v>55381</v>
      </c>
      <c r="D2924" s="1" t="s">
        <v>6639</v>
      </c>
      <c r="F2924" s="1">
        <v>2023</v>
      </c>
      <c r="G2924" s="5">
        <v>147</v>
      </c>
      <c r="H2924" s="5">
        <v>109.62</v>
      </c>
      <c r="I2924" s="5">
        <v>4589.12</v>
      </c>
      <c r="K2924" s="5">
        <v>1.6E-2</v>
      </c>
      <c r="L2924" s="5">
        <v>1E-3</v>
      </c>
      <c r="M2924" s="5">
        <v>3603.0360000000001</v>
      </c>
      <c r="N2924" s="6">
        <v>8.1000000000000003E-2</v>
      </c>
      <c r="O2924" s="5">
        <v>2.738</v>
      </c>
      <c r="P2924" s="6">
        <v>0.12379999999999999</v>
      </c>
      <c r="Q2924" s="5">
        <v>44400.184000000001</v>
      </c>
      <c r="R2924" s="1" t="s">
        <v>94</v>
      </c>
      <c r="T2924" s="1" t="s">
        <v>93</v>
      </c>
      <c r="V2924" s="1" t="s">
        <v>95</v>
      </c>
      <c r="Y2924" s="1" t="s">
        <v>1515</v>
      </c>
      <c r="Z2924" s="1" t="str">
        <f t="shared" si="135"/>
        <v>55381 CT-002</v>
      </c>
      <c r="AA2924" s="3">
        <f>IF(INDEX('CAMD Facility Data 2023'!$AA$2:$AE$10000,MATCH(Z2924,'CAMD Facility Data 2023'!$AE$2:$AE$10000,0),1)&gt;0,INDEX('CAMD Facility Data 2023'!$AA$2:$AE$10000,MATCH(Z2924,'CAMD Facility Data 2023'!$AE$2:$AE$10000,0),1),"")</f>
        <v>36784</v>
      </c>
      <c r="AB2924" s="5">
        <f>IF(INDEX('CAMD Facility Data 2023'!$AC$2:$AE$10000,MATCH(Z2924,'CAMD Facility Data 2023'!$AE$2:$AE$10000,0),1)&gt;0,INDEX('CAMD Facility Data 2023'!$AC$2:$AE$10000,MATCH(Z2924,'CAMD Facility Data 2023'!$AE$2:$AE$10000,0),1),"")</f>
        <v>473</v>
      </c>
      <c r="AC2924" s="1" t="str">
        <f>IF(INDEX('CAMD Facility Data 2023'!$AE$2:$AG$10000,MATCH(Z2924,'CAMD Facility Data 2023'!$AE$2:$AE$10000,0),3)&gt;0,INDEX('CAMD Facility Data 2023'!$AE$2:$AG$10000,MATCH(Z2924,'CAMD Facility Data 2023'!$AE$2:$AE$10000,0),3),"")</f>
        <v/>
      </c>
      <c r="AD2924" s="20">
        <f t="shared" si="136"/>
        <v>1.1932570950421868</v>
      </c>
      <c r="AE2924" s="25">
        <f t="shared" si="137"/>
        <v>1.0715674746831166E-2</v>
      </c>
    </row>
    <row r="2925" spans="1:31" x14ac:dyDescent="0.2">
      <c r="A2925" s="1" t="s">
        <v>3095</v>
      </c>
      <c r="B2925" s="1" t="s">
        <v>6635</v>
      </c>
      <c r="C2925" s="1">
        <v>55381</v>
      </c>
      <c r="D2925" s="1" t="s">
        <v>6641</v>
      </c>
      <c r="F2925" s="1">
        <v>2023</v>
      </c>
      <c r="G2925" s="5">
        <v>211</v>
      </c>
      <c r="H2925" s="5">
        <v>158.56</v>
      </c>
      <c r="I2925" s="5">
        <v>6555.19</v>
      </c>
      <c r="K2925" s="5">
        <v>2.5000000000000001E-2</v>
      </c>
      <c r="L2925" s="5">
        <v>1E-3</v>
      </c>
      <c r="M2925" s="5">
        <v>5156.0020000000004</v>
      </c>
      <c r="N2925" s="6">
        <v>8.1000000000000003E-2</v>
      </c>
      <c r="O2925" s="5">
        <v>4.4800000000000004</v>
      </c>
      <c r="P2925" s="6">
        <v>0.1368</v>
      </c>
      <c r="Q2925" s="5">
        <v>63547.665999999997</v>
      </c>
      <c r="R2925" s="1" t="s">
        <v>94</v>
      </c>
      <c r="T2925" s="1" t="s">
        <v>93</v>
      </c>
      <c r="V2925" s="1" t="s">
        <v>95</v>
      </c>
      <c r="Y2925" s="1" t="s">
        <v>1515</v>
      </c>
      <c r="Z2925" s="1" t="str">
        <f t="shared" si="135"/>
        <v>55381 CT-003</v>
      </c>
      <c r="AA2925" s="3">
        <f>IF(INDEX('CAMD Facility Data 2023'!$AA$2:$AE$10000,MATCH(Z2925,'CAMD Facility Data 2023'!$AE$2:$AE$10000,0),1)&gt;0,INDEX('CAMD Facility Data 2023'!$AA$2:$AE$10000,MATCH(Z2925,'CAMD Facility Data 2023'!$AE$2:$AE$10000,0),1),"")</f>
        <v>36762</v>
      </c>
      <c r="AB2925" s="5">
        <f>IF(INDEX('CAMD Facility Data 2023'!$AC$2:$AE$10000,MATCH(Z2925,'CAMD Facility Data 2023'!$AE$2:$AE$10000,0),1)&gt;0,INDEX('CAMD Facility Data 2023'!$AC$2:$AE$10000,MATCH(Z2925,'CAMD Facility Data 2023'!$AE$2:$AE$10000,0),1),"")</f>
        <v>473</v>
      </c>
      <c r="AC2925" s="1" t="str">
        <f>IF(INDEX('CAMD Facility Data 2023'!$AE$2:$AG$10000,MATCH(Z2925,'CAMD Facility Data 2023'!$AE$2:$AE$10000,0),3)&gt;0,INDEX('CAMD Facility Data 2023'!$AE$2:$AG$10000,MATCH(Z2925,'CAMD Facility Data 2023'!$AE$2:$AE$10000,0),3),"")</f>
        <v/>
      </c>
      <c r="AD2925" s="20">
        <f t="shared" si="136"/>
        <v>1.3668558806075797</v>
      </c>
      <c r="AE2925" s="25">
        <f t="shared" si="137"/>
        <v>1.5336785986658557E-2</v>
      </c>
    </row>
    <row r="2926" spans="1:31" x14ac:dyDescent="0.2">
      <c r="A2926" s="1" t="s">
        <v>3095</v>
      </c>
      <c r="B2926" s="1" t="s">
        <v>6635</v>
      </c>
      <c r="C2926" s="1">
        <v>55381</v>
      </c>
      <c r="D2926" s="1" t="s">
        <v>6643</v>
      </c>
      <c r="F2926" s="1">
        <v>2023</v>
      </c>
      <c r="G2926" s="5">
        <v>209</v>
      </c>
      <c r="H2926" s="5">
        <v>111.86</v>
      </c>
      <c r="I2926" s="5">
        <v>3544.48</v>
      </c>
      <c r="K2926" s="5">
        <v>1.4E-2</v>
      </c>
      <c r="L2926" s="5">
        <v>1E-3</v>
      </c>
      <c r="M2926" s="5">
        <v>3019.0920000000001</v>
      </c>
      <c r="N2926" s="6">
        <v>8.1100000000000005E-2</v>
      </c>
      <c r="O2926" s="5">
        <v>2.3610000000000002</v>
      </c>
      <c r="P2926" s="6">
        <v>0.123</v>
      </c>
      <c r="Q2926" s="5">
        <v>37201.47</v>
      </c>
      <c r="R2926" s="1" t="s">
        <v>94</v>
      </c>
      <c r="T2926" s="1" t="s">
        <v>93</v>
      </c>
      <c r="V2926" s="1" t="s">
        <v>95</v>
      </c>
      <c r="Y2926" s="1" t="s">
        <v>1515</v>
      </c>
      <c r="Z2926" s="1" t="str">
        <f t="shared" si="135"/>
        <v>55381 CT-004</v>
      </c>
      <c r="AA2926" s="3">
        <f>IF(INDEX('CAMD Facility Data 2023'!$AA$2:$AE$10000,MATCH(Z2926,'CAMD Facility Data 2023'!$AE$2:$AE$10000,0),1)&gt;0,INDEX('CAMD Facility Data 2023'!$AA$2:$AE$10000,MATCH(Z2926,'CAMD Facility Data 2023'!$AE$2:$AE$10000,0),1),"")</f>
        <v>37056</v>
      </c>
      <c r="AB2926" s="5">
        <f>IF(INDEX('CAMD Facility Data 2023'!$AC$2:$AE$10000,MATCH(Z2926,'CAMD Facility Data 2023'!$AE$2:$AE$10000,0),1)&gt;0,INDEX('CAMD Facility Data 2023'!$AC$2:$AE$10000,MATCH(Z2926,'CAMD Facility Data 2023'!$AE$2:$AE$10000,0),1),"")</f>
        <v>473</v>
      </c>
      <c r="AC2926" s="1" t="str">
        <f>IF(INDEX('CAMD Facility Data 2023'!$AE$2:$AG$10000,MATCH(Z2926,'CAMD Facility Data 2023'!$AE$2:$AE$10000,0),3)&gt;0,INDEX('CAMD Facility Data 2023'!$AE$2:$AG$10000,MATCH(Z2926,'CAMD Facility Data 2023'!$AE$2:$AE$10000,0),3),"")</f>
        <v/>
      </c>
      <c r="AD2926" s="20">
        <f t="shared" si="136"/>
        <v>1.3322123414435969</v>
      </c>
      <c r="AE2926" s="25">
        <f t="shared" si="137"/>
        <v>8.9783153291436192E-3</v>
      </c>
    </row>
    <row r="2927" spans="1:31" x14ac:dyDescent="0.2">
      <c r="A2927" s="1" t="s">
        <v>3095</v>
      </c>
      <c r="B2927" s="1" t="s">
        <v>6635</v>
      </c>
      <c r="C2927" s="1">
        <v>55381</v>
      </c>
      <c r="D2927" s="1" t="s">
        <v>6645</v>
      </c>
      <c r="F2927" s="1">
        <v>2023</v>
      </c>
      <c r="G2927" s="5">
        <v>137</v>
      </c>
      <c r="H2927" s="5">
        <v>47.37</v>
      </c>
      <c r="I2927" s="5">
        <v>989.76</v>
      </c>
      <c r="K2927" s="5">
        <v>5.0000000000000001E-3</v>
      </c>
      <c r="L2927" s="5">
        <v>1E-3</v>
      </c>
      <c r="M2927" s="5">
        <v>942.07399999999996</v>
      </c>
      <c r="N2927" s="6">
        <v>8.1100000000000005E-2</v>
      </c>
      <c r="O2927" s="5">
        <v>0.74399999999999999</v>
      </c>
      <c r="P2927" s="6">
        <v>0.1139</v>
      </c>
      <c r="Q2927" s="5">
        <v>11612.84</v>
      </c>
      <c r="R2927" s="1" t="s">
        <v>94</v>
      </c>
      <c r="T2927" s="1" t="s">
        <v>93</v>
      </c>
      <c r="V2927" s="1" t="s">
        <v>95</v>
      </c>
      <c r="Y2927" s="1" t="s">
        <v>1515</v>
      </c>
      <c r="Z2927" s="1" t="str">
        <f t="shared" si="135"/>
        <v>55381 CT-005</v>
      </c>
      <c r="AA2927" s="3">
        <f>IF(INDEX('CAMD Facility Data 2023'!$AA$2:$AE$10000,MATCH(Z2927,'CAMD Facility Data 2023'!$AE$2:$AE$10000,0),1)&gt;0,INDEX('CAMD Facility Data 2023'!$AA$2:$AE$10000,MATCH(Z2927,'CAMD Facility Data 2023'!$AE$2:$AE$10000,0),1),"")</f>
        <v>37039</v>
      </c>
      <c r="AB2927" s="5">
        <f>IF(INDEX('CAMD Facility Data 2023'!$AC$2:$AE$10000,MATCH(Z2927,'CAMD Facility Data 2023'!$AE$2:$AE$10000,0),1)&gt;0,INDEX('CAMD Facility Data 2023'!$AC$2:$AE$10000,MATCH(Z2927,'CAMD Facility Data 2023'!$AE$2:$AE$10000,0),1),"")</f>
        <v>473</v>
      </c>
      <c r="AC2927" s="1" t="str">
        <f>IF(INDEX('CAMD Facility Data 2023'!$AE$2:$AG$10000,MATCH(Z2927,'CAMD Facility Data 2023'!$AE$2:$AE$10000,0),3)&gt;0,INDEX('CAMD Facility Data 2023'!$AE$2:$AG$10000,MATCH(Z2927,'CAMD Facility Data 2023'!$AE$2:$AE$10000,0),3),"")</f>
        <v/>
      </c>
      <c r="AD2927" s="20">
        <f t="shared" si="136"/>
        <v>1.5033947623666344</v>
      </c>
      <c r="AE2927" s="25">
        <f t="shared" si="137"/>
        <v>2.8026779422128259E-3</v>
      </c>
    </row>
    <row r="2928" spans="1:31" x14ac:dyDescent="0.2">
      <c r="A2928" s="1" t="s">
        <v>3095</v>
      </c>
      <c r="B2928" s="1" t="s">
        <v>6635</v>
      </c>
      <c r="C2928" s="1">
        <v>55381</v>
      </c>
      <c r="D2928" s="1" t="s">
        <v>6647</v>
      </c>
      <c r="F2928" s="1">
        <v>2023</v>
      </c>
      <c r="G2928" s="5">
        <v>168</v>
      </c>
      <c r="H2928" s="5">
        <v>78.47</v>
      </c>
      <c r="I2928" s="5">
        <v>2464.21</v>
      </c>
      <c r="K2928" s="5">
        <v>0.01</v>
      </c>
      <c r="L2928" s="5">
        <v>1E-3</v>
      </c>
      <c r="M2928" s="5">
        <v>2070.5189999999998</v>
      </c>
      <c r="N2928" s="6">
        <v>8.1100000000000005E-2</v>
      </c>
      <c r="O2928" s="5">
        <v>1.593</v>
      </c>
      <c r="P2928" s="6">
        <v>0.11020000000000001</v>
      </c>
      <c r="Q2928" s="5">
        <v>25516.370999999999</v>
      </c>
      <c r="R2928" s="1" t="s">
        <v>94</v>
      </c>
      <c r="T2928" s="1" t="s">
        <v>93</v>
      </c>
      <c r="V2928" s="1" t="s">
        <v>95</v>
      </c>
      <c r="Y2928" s="1" t="s">
        <v>1515</v>
      </c>
      <c r="Z2928" s="1" t="str">
        <f t="shared" si="135"/>
        <v>55381 CT-006</v>
      </c>
      <c r="AA2928" s="3">
        <f>IF(INDEX('CAMD Facility Data 2023'!$AA$2:$AE$10000,MATCH(Z2928,'CAMD Facility Data 2023'!$AE$2:$AE$10000,0),1)&gt;0,INDEX('CAMD Facility Data 2023'!$AA$2:$AE$10000,MATCH(Z2928,'CAMD Facility Data 2023'!$AE$2:$AE$10000,0),1),"")</f>
        <v>37046</v>
      </c>
      <c r="AB2928" s="5">
        <f>IF(INDEX('CAMD Facility Data 2023'!$AC$2:$AE$10000,MATCH(Z2928,'CAMD Facility Data 2023'!$AE$2:$AE$10000,0),1)&gt;0,INDEX('CAMD Facility Data 2023'!$AC$2:$AE$10000,MATCH(Z2928,'CAMD Facility Data 2023'!$AE$2:$AE$10000,0),1),"")</f>
        <v>473</v>
      </c>
      <c r="AC2928" s="1" t="str">
        <f>IF(INDEX('CAMD Facility Data 2023'!$AE$2:$AG$10000,MATCH(Z2928,'CAMD Facility Data 2023'!$AE$2:$AE$10000,0),3)&gt;0,INDEX('CAMD Facility Data 2023'!$AE$2:$AG$10000,MATCH(Z2928,'CAMD Facility Data 2023'!$AE$2:$AE$10000,0),3),"")</f>
        <v/>
      </c>
      <c r="AD2928" s="20">
        <f t="shared" si="136"/>
        <v>1.2929092893868623</v>
      </c>
      <c r="AE2928" s="25">
        <f t="shared" si="137"/>
        <v>6.158198181238958E-3</v>
      </c>
    </row>
    <row r="2929" spans="1:31" x14ac:dyDescent="0.2">
      <c r="A2929" s="1" t="s">
        <v>3095</v>
      </c>
      <c r="B2929" s="1" t="s">
        <v>6635</v>
      </c>
      <c r="C2929" s="1">
        <v>55381</v>
      </c>
      <c r="D2929" s="1" t="s">
        <v>6649</v>
      </c>
      <c r="F2929" s="1">
        <v>2023</v>
      </c>
      <c r="G2929" s="5">
        <v>169</v>
      </c>
      <c r="H2929" s="5">
        <v>82.93</v>
      </c>
      <c r="I2929" s="5">
        <v>2564.4</v>
      </c>
      <c r="K2929" s="5">
        <v>1.0999999999999999E-2</v>
      </c>
      <c r="L2929" s="5">
        <v>1E-3</v>
      </c>
      <c r="M2929" s="5">
        <v>2159.5839999999998</v>
      </c>
      <c r="N2929" s="6">
        <v>8.1100000000000005E-2</v>
      </c>
      <c r="O2929" s="5">
        <v>1.8149999999999999</v>
      </c>
      <c r="P2929" s="6">
        <v>0.10390000000000001</v>
      </c>
      <c r="Q2929" s="5">
        <v>26611.68</v>
      </c>
      <c r="R2929" s="1" t="s">
        <v>94</v>
      </c>
      <c r="T2929" s="1" t="s">
        <v>93</v>
      </c>
      <c r="V2929" s="1" t="s">
        <v>95</v>
      </c>
      <c r="Y2929" s="1" t="s">
        <v>1515</v>
      </c>
      <c r="Z2929" s="1" t="str">
        <f t="shared" si="135"/>
        <v>55381 CT-007</v>
      </c>
      <c r="AA2929" s="3">
        <f>IF(INDEX('CAMD Facility Data 2023'!$AA$2:$AE$10000,MATCH(Z2929,'CAMD Facility Data 2023'!$AE$2:$AE$10000,0),1)&gt;0,INDEX('CAMD Facility Data 2023'!$AA$2:$AE$10000,MATCH(Z2929,'CAMD Facility Data 2023'!$AE$2:$AE$10000,0),1),"")</f>
        <v>37065</v>
      </c>
      <c r="AB2929" s="5">
        <f>IF(INDEX('CAMD Facility Data 2023'!$AC$2:$AE$10000,MATCH(Z2929,'CAMD Facility Data 2023'!$AE$2:$AE$10000,0),1)&gt;0,INDEX('CAMD Facility Data 2023'!$AC$2:$AE$10000,MATCH(Z2929,'CAMD Facility Data 2023'!$AE$2:$AE$10000,0),1),"")</f>
        <v>473</v>
      </c>
      <c r="AC2929" s="1" t="str">
        <f>IF(INDEX('CAMD Facility Data 2023'!$AE$2:$AG$10000,MATCH(Z2929,'CAMD Facility Data 2023'!$AE$2:$AE$10000,0),3)&gt;0,INDEX('CAMD Facility Data 2023'!$AE$2:$AG$10000,MATCH(Z2929,'CAMD Facility Data 2023'!$AE$2:$AE$10000,0),3),"")</f>
        <v/>
      </c>
      <c r="AD2929" s="20">
        <f t="shared" si="136"/>
        <v>1.4155357978474497</v>
      </c>
      <c r="AE2929" s="25">
        <f t="shared" si="137"/>
        <v>6.4225433693417128E-3</v>
      </c>
    </row>
    <row r="2930" spans="1:31" x14ac:dyDescent="0.2">
      <c r="A2930" s="1" t="s">
        <v>921</v>
      </c>
      <c r="B2930" s="1" t="s">
        <v>6651</v>
      </c>
      <c r="C2930" s="1">
        <v>55382</v>
      </c>
      <c r="D2930" s="1" t="s">
        <v>6652</v>
      </c>
      <c r="F2930" s="1">
        <v>2023</v>
      </c>
      <c r="G2930" s="5">
        <v>8144</v>
      </c>
      <c r="H2930" s="5">
        <v>8137.51</v>
      </c>
      <c r="I2930" s="5">
        <v>2224935.0699999998</v>
      </c>
      <c r="K2930" s="5">
        <v>4.6790000000000003</v>
      </c>
      <c r="L2930" s="5">
        <v>1E-3</v>
      </c>
      <c r="M2930" s="5">
        <v>926804.07400000002</v>
      </c>
      <c r="N2930" s="6">
        <v>5.8999999999999997E-2</v>
      </c>
      <c r="O2930" s="5">
        <v>76.103999999999999</v>
      </c>
      <c r="P2930" s="6">
        <v>9.7999999999999997E-3</v>
      </c>
      <c r="Q2930" s="5">
        <v>15595293.836999999</v>
      </c>
      <c r="R2930" s="1" t="s">
        <v>44</v>
      </c>
      <c r="T2930" s="1" t="s">
        <v>71</v>
      </c>
      <c r="V2930" s="1" t="s">
        <v>64</v>
      </c>
      <c r="Y2930" s="1" t="s">
        <v>952</v>
      </c>
      <c r="Z2930" s="1" t="str">
        <f t="shared" si="135"/>
        <v>55382 CCCT1</v>
      </c>
      <c r="AA2930" s="3">
        <f>IF(INDEX('CAMD Facility Data 2023'!$AA$2:$AE$10000,MATCH(Z2930,'CAMD Facility Data 2023'!$AE$2:$AE$10000,0),1)&gt;0,INDEX('CAMD Facility Data 2023'!$AA$2:$AE$10000,MATCH(Z2930,'CAMD Facility Data 2023'!$AE$2:$AE$10000,0),1),"")</f>
        <v>37345</v>
      </c>
      <c r="AB2930" s="5">
        <f>IF(INDEX('CAMD Facility Data 2023'!$AC$2:$AE$10000,MATCH(Z2930,'CAMD Facility Data 2023'!$AE$2:$AE$10000,0),1)&gt;0,INDEX('CAMD Facility Data 2023'!$AC$2:$AE$10000,MATCH(Z2930,'CAMD Facility Data 2023'!$AE$2:$AE$10000,0),1),"")</f>
        <v>2700</v>
      </c>
      <c r="AC2930" s="1" t="str">
        <f>IF(INDEX('CAMD Facility Data 2023'!$AE$2:$AG$10000,MATCH(Z2930,'CAMD Facility Data 2023'!$AE$2:$AE$10000,0),3)&gt;0,INDEX('CAMD Facility Data 2023'!$AE$2:$AG$10000,MATCH(Z2930,'CAMD Facility Data 2023'!$AE$2:$AE$10000,0),3),"")</f>
        <v>Y</v>
      </c>
      <c r="AD2930" s="20">
        <f t="shared" si="136"/>
        <v>6.8410086232314191E-2</v>
      </c>
      <c r="AE2930" s="25">
        <f t="shared" si="137"/>
        <v>0.65936469799594111</v>
      </c>
    </row>
    <row r="2931" spans="1:31" x14ac:dyDescent="0.2">
      <c r="A2931" s="1" t="s">
        <v>921</v>
      </c>
      <c r="B2931" s="1" t="s">
        <v>6651</v>
      </c>
      <c r="C2931" s="1">
        <v>55382</v>
      </c>
      <c r="D2931" s="1" t="s">
        <v>6656</v>
      </c>
      <c r="F2931" s="1">
        <v>2023</v>
      </c>
      <c r="G2931" s="5">
        <v>8263</v>
      </c>
      <c r="H2931" s="5">
        <v>8257.6</v>
      </c>
      <c r="I2931" s="5">
        <v>2264050.21</v>
      </c>
      <c r="K2931" s="5">
        <v>4.7809999999999997</v>
      </c>
      <c r="L2931" s="5">
        <v>1E-3</v>
      </c>
      <c r="M2931" s="5">
        <v>947097.12300000002</v>
      </c>
      <c r="N2931" s="6">
        <v>5.8999999999999997E-2</v>
      </c>
      <c r="O2931" s="5">
        <v>78.262</v>
      </c>
      <c r="P2931" s="6">
        <v>9.9000000000000008E-3</v>
      </c>
      <c r="Q2931" s="5">
        <v>15936801.411</v>
      </c>
      <c r="R2931" s="1" t="s">
        <v>44</v>
      </c>
      <c r="T2931" s="1" t="s">
        <v>71</v>
      </c>
      <c r="V2931" s="1" t="s">
        <v>64</v>
      </c>
      <c r="Y2931" s="1" t="s">
        <v>952</v>
      </c>
      <c r="Z2931" s="1" t="str">
        <f t="shared" si="135"/>
        <v>55382 CCCT2</v>
      </c>
      <c r="AA2931" s="3">
        <f>IF(INDEX('CAMD Facility Data 2023'!$AA$2:$AE$10000,MATCH(Z2931,'CAMD Facility Data 2023'!$AE$2:$AE$10000,0),1)&gt;0,INDEX('CAMD Facility Data 2023'!$AA$2:$AE$10000,MATCH(Z2931,'CAMD Facility Data 2023'!$AE$2:$AE$10000,0),1),"")</f>
        <v>37345</v>
      </c>
      <c r="AB2931" s="5">
        <f>IF(INDEX('CAMD Facility Data 2023'!$AC$2:$AE$10000,MATCH(Z2931,'CAMD Facility Data 2023'!$AE$2:$AE$10000,0),1)&gt;0,INDEX('CAMD Facility Data 2023'!$AC$2:$AE$10000,MATCH(Z2931,'CAMD Facility Data 2023'!$AE$2:$AE$10000,0),1),"")</f>
        <v>2700</v>
      </c>
      <c r="AC2931" s="1" t="str">
        <f>IF(INDEX('CAMD Facility Data 2023'!$AE$2:$AG$10000,MATCH(Z2931,'CAMD Facility Data 2023'!$AE$2:$AE$10000,0),3)&gt;0,INDEX('CAMD Facility Data 2023'!$AE$2:$AG$10000,MATCH(Z2931,'CAMD Facility Data 2023'!$AE$2:$AE$10000,0),3),"")</f>
        <v>Y</v>
      </c>
      <c r="AD2931" s="20">
        <f t="shared" si="136"/>
        <v>6.9134509167974686E-2</v>
      </c>
      <c r="AE2931" s="25">
        <f t="shared" si="137"/>
        <v>0.6738035435058346</v>
      </c>
    </row>
    <row r="2932" spans="1:31" x14ac:dyDescent="0.2">
      <c r="A2932" s="1" t="s">
        <v>921</v>
      </c>
      <c r="B2932" s="1" t="s">
        <v>6651</v>
      </c>
      <c r="C2932" s="1">
        <v>55382</v>
      </c>
      <c r="D2932" s="1" t="s">
        <v>6658</v>
      </c>
      <c r="F2932" s="1">
        <v>2023</v>
      </c>
      <c r="G2932" s="5">
        <v>8047</v>
      </c>
      <c r="H2932" s="5">
        <v>8043.27</v>
      </c>
      <c r="I2932" s="5">
        <v>2306084.0699999998</v>
      </c>
      <c r="K2932" s="5">
        <v>4.8550000000000004</v>
      </c>
      <c r="L2932" s="5">
        <v>1E-3</v>
      </c>
      <c r="M2932" s="5">
        <v>961653.60400000005</v>
      </c>
      <c r="N2932" s="6">
        <v>5.8999999999999997E-2</v>
      </c>
      <c r="O2932" s="5">
        <v>75.332999999999998</v>
      </c>
      <c r="P2932" s="6">
        <v>9.1999999999999998E-3</v>
      </c>
      <c r="Q2932" s="5">
        <v>16181694.968</v>
      </c>
      <c r="R2932" s="1" t="s">
        <v>44</v>
      </c>
      <c r="T2932" s="1" t="s">
        <v>71</v>
      </c>
      <c r="V2932" s="1" t="s">
        <v>64</v>
      </c>
      <c r="Y2932" s="1" t="s">
        <v>952</v>
      </c>
      <c r="Z2932" s="1" t="str">
        <f t="shared" si="135"/>
        <v>55382 CCCT3</v>
      </c>
      <c r="AA2932" s="3">
        <f>IF(INDEX('CAMD Facility Data 2023'!$AA$2:$AE$10000,MATCH(Z2932,'CAMD Facility Data 2023'!$AE$2:$AE$10000,0),1)&gt;0,INDEX('CAMD Facility Data 2023'!$AA$2:$AE$10000,MATCH(Z2932,'CAMD Facility Data 2023'!$AE$2:$AE$10000,0),1),"")</f>
        <v>37360</v>
      </c>
      <c r="AB2932" s="5">
        <f>IF(INDEX('CAMD Facility Data 2023'!$AC$2:$AE$10000,MATCH(Z2932,'CAMD Facility Data 2023'!$AE$2:$AE$10000,0),1)&gt;0,INDEX('CAMD Facility Data 2023'!$AC$2:$AE$10000,MATCH(Z2932,'CAMD Facility Data 2023'!$AE$2:$AE$10000,0),1),"")</f>
        <v>2700</v>
      </c>
      <c r="AC2932" s="1" t="str">
        <f>IF(INDEX('CAMD Facility Data 2023'!$AE$2:$AG$10000,MATCH(Z2932,'CAMD Facility Data 2023'!$AE$2:$AE$10000,0),3)&gt;0,INDEX('CAMD Facility Data 2023'!$AE$2:$AG$10000,MATCH(Z2932,'CAMD Facility Data 2023'!$AE$2:$AE$10000,0),3),"")</f>
        <v>Y</v>
      </c>
      <c r="AD2932" s="20">
        <f t="shared" si="136"/>
        <v>6.5334131552281183E-2</v>
      </c>
      <c r="AE2932" s="25">
        <f t="shared" si="137"/>
        <v>0.68415757517334685</v>
      </c>
    </row>
    <row r="2933" spans="1:31" x14ac:dyDescent="0.2">
      <c r="A2933" s="1" t="s">
        <v>921</v>
      </c>
      <c r="B2933" s="1" t="s">
        <v>6651</v>
      </c>
      <c r="C2933" s="1">
        <v>55382</v>
      </c>
      <c r="D2933" s="1" t="s">
        <v>6660</v>
      </c>
      <c r="F2933" s="1">
        <v>2023</v>
      </c>
      <c r="G2933" s="5">
        <v>8007</v>
      </c>
      <c r="H2933" s="5">
        <v>7998.94</v>
      </c>
      <c r="I2933" s="5">
        <v>2274072.9900000002</v>
      </c>
      <c r="K2933" s="5">
        <v>4.7690000000000001</v>
      </c>
      <c r="L2933" s="5">
        <v>1E-3</v>
      </c>
      <c r="M2933" s="5">
        <v>944591.83600000001</v>
      </c>
      <c r="N2933" s="6">
        <v>5.8999999999999997E-2</v>
      </c>
      <c r="O2933" s="5">
        <v>77.742999999999995</v>
      </c>
      <c r="P2933" s="6">
        <v>0.01</v>
      </c>
      <c r="Q2933" s="5">
        <v>15894560.176000001</v>
      </c>
      <c r="R2933" s="1" t="s">
        <v>44</v>
      </c>
      <c r="T2933" s="1" t="s">
        <v>71</v>
      </c>
      <c r="V2933" s="1" t="s">
        <v>64</v>
      </c>
      <c r="Y2933" s="1" t="s">
        <v>952</v>
      </c>
      <c r="Z2933" s="1" t="str">
        <f t="shared" si="135"/>
        <v>55382 CCCT4</v>
      </c>
      <c r="AA2933" s="3">
        <f>IF(INDEX('CAMD Facility Data 2023'!$AA$2:$AE$10000,MATCH(Z2933,'CAMD Facility Data 2023'!$AE$2:$AE$10000,0),1)&gt;0,INDEX('CAMD Facility Data 2023'!$AA$2:$AE$10000,MATCH(Z2933,'CAMD Facility Data 2023'!$AE$2:$AE$10000,0),1),"")</f>
        <v>37361</v>
      </c>
      <c r="AB2933" s="5">
        <f>IF(INDEX('CAMD Facility Data 2023'!$AC$2:$AE$10000,MATCH(Z2933,'CAMD Facility Data 2023'!$AE$2:$AE$10000,0),1)&gt;0,INDEX('CAMD Facility Data 2023'!$AC$2:$AE$10000,MATCH(Z2933,'CAMD Facility Data 2023'!$AE$2:$AE$10000,0),1),"")</f>
        <v>2700</v>
      </c>
      <c r="AC2933" s="1" t="str">
        <f>IF(INDEX('CAMD Facility Data 2023'!$AE$2:$AG$10000,MATCH(Z2933,'CAMD Facility Data 2023'!$AE$2:$AE$10000,0),3)&gt;0,INDEX('CAMD Facility Data 2023'!$AE$2:$AG$10000,MATCH(Z2933,'CAMD Facility Data 2023'!$AE$2:$AE$10000,0),3),"")</f>
        <v>Y</v>
      </c>
      <c r="AD2933" s="20">
        <f t="shared" si="136"/>
        <v>6.8373355069838798E-2</v>
      </c>
      <c r="AE2933" s="25">
        <f t="shared" si="137"/>
        <v>0.67201759580585152</v>
      </c>
    </row>
    <row r="2934" spans="1:31" x14ac:dyDescent="0.2">
      <c r="A2934" s="1" t="s">
        <v>291</v>
      </c>
      <c r="B2934" s="1" t="s">
        <v>6662</v>
      </c>
      <c r="C2934" s="1">
        <v>55386</v>
      </c>
      <c r="D2934" s="1" t="s">
        <v>1296</v>
      </c>
      <c r="F2934" s="1">
        <v>2023</v>
      </c>
      <c r="G2934" s="5">
        <v>6703</v>
      </c>
      <c r="H2934" s="5">
        <v>6694.92</v>
      </c>
      <c r="I2934" s="5">
        <v>1437424.82</v>
      </c>
      <c r="K2934" s="5">
        <v>3.2469999999999999</v>
      </c>
      <c r="L2934" s="5">
        <v>1E-3</v>
      </c>
      <c r="M2934" s="5">
        <v>642601.79</v>
      </c>
      <c r="N2934" s="6">
        <v>5.8999999999999997E-2</v>
      </c>
      <c r="O2934" s="5">
        <v>60.435000000000002</v>
      </c>
      <c r="P2934" s="6">
        <v>1.1599999999999999E-2</v>
      </c>
      <c r="Q2934" s="5">
        <v>10809935.003</v>
      </c>
      <c r="R2934" s="1" t="s">
        <v>44</v>
      </c>
      <c r="S2934" s="1" t="s">
        <v>94</v>
      </c>
      <c r="T2934" s="1" t="s">
        <v>71</v>
      </c>
      <c r="V2934" s="1" t="s">
        <v>643</v>
      </c>
      <c r="Y2934" s="1" t="s">
        <v>2690</v>
      </c>
      <c r="Z2934" s="1" t="str">
        <f t="shared" si="135"/>
        <v>55386 CT-1</v>
      </c>
      <c r="AA2934" s="3">
        <f>IF(INDEX('CAMD Facility Data 2023'!$AA$2:$AE$10000,MATCH(Z2934,'CAMD Facility Data 2023'!$AE$2:$AE$10000,0),1)&gt;0,INDEX('CAMD Facility Data 2023'!$AA$2:$AE$10000,MATCH(Z2934,'CAMD Facility Data 2023'!$AE$2:$AE$10000,0),1),"")</f>
        <v>38048</v>
      </c>
      <c r="AB2934" s="5">
        <f>IF(INDEX('CAMD Facility Data 2023'!$AC$2:$AE$10000,MATCH(Z2934,'CAMD Facility Data 2023'!$AE$2:$AE$10000,0),1)&gt;0,INDEX('CAMD Facility Data 2023'!$AC$2:$AE$10000,MATCH(Z2934,'CAMD Facility Data 2023'!$AE$2:$AE$10000,0),1),"")</f>
        <v>2484</v>
      </c>
      <c r="AC2934" s="1" t="str">
        <f>IF(INDEX('CAMD Facility Data 2023'!$AE$2:$AG$10000,MATCH(Z2934,'CAMD Facility Data 2023'!$AE$2:$AE$10000,0),3)&gt;0,INDEX('CAMD Facility Data 2023'!$AE$2:$AG$10000,MATCH(Z2934,'CAMD Facility Data 2023'!$AE$2:$AE$10000,0),3),"")</f>
        <v>Y</v>
      </c>
      <c r="AD2934" s="20">
        <f t="shared" si="136"/>
        <v>8.4087875983663615E-2</v>
      </c>
      <c r="AE2934" s="25">
        <f t="shared" si="137"/>
        <v>0.49678375406252989</v>
      </c>
    </row>
    <row r="2935" spans="1:31" x14ac:dyDescent="0.2">
      <c r="A2935" s="1" t="s">
        <v>291</v>
      </c>
      <c r="B2935" s="1" t="s">
        <v>6662</v>
      </c>
      <c r="C2935" s="1">
        <v>55386</v>
      </c>
      <c r="D2935" s="1" t="s">
        <v>1300</v>
      </c>
      <c r="F2935" s="1">
        <v>2023</v>
      </c>
      <c r="G2935" s="5">
        <v>5372</v>
      </c>
      <c r="H2935" s="5">
        <v>5351.73</v>
      </c>
      <c r="I2935" s="5">
        <v>1108056.6499999999</v>
      </c>
      <c r="K2935" s="5">
        <v>2.5609999999999999</v>
      </c>
      <c r="L2935" s="5">
        <v>1E-3</v>
      </c>
      <c r="M2935" s="5">
        <v>504397.799</v>
      </c>
      <c r="N2935" s="6">
        <v>5.91E-2</v>
      </c>
      <c r="O2935" s="5">
        <v>50.947000000000003</v>
      </c>
      <c r="P2935" s="6">
        <v>1.3100000000000001E-2</v>
      </c>
      <c r="Q2935" s="5">
        <v>8471390.1190000009</v>
      </c>
      <c r="R2935" s="1" t="s">
        <v>44</v>
      </c>
      <c r="S2935" s="1" t="s">
        <v>94</v>
      </c>
      <c r="T2935" s="1" t="s">
        <v>71</v>
      </c>
      <c r="V2935" s="1" t="s">
        <v>643</v>
      </c>
      <c r="Y2935" s="1" t="s">
        <v>2690</v>
      </c>
      <c r="Z2935" s="1" t="str">
        <f t="shared" si="135"/>
        <v>55386 CT-2</v>
      </c>
      <c r="AA2935" s="3">
        <f>IF(INDEX('CAMD Facility Data 2023'!$AA$2:$AE$10000,MATCH(Z2935,'CAMD Facility Data 2023'!$AE$2:$AE$10000,0),1)&gt;0,INDEX('CAMD Facility Data 2023'!$AA$2:$AE$10000,MATCH(Z2935,'CAMD Facility Data 2023'!$AE$2:$AE$10000,0),1),"")</f>
        <v>38048</v>
      </c>
      <c r="AB2935" s="5">
        <f>IF(INDEX('CAMD Facility Data 2023'!$AC$2:$AE$10000,MATCH(Z2935,'CAMD Facility Data 2023'!$AE$2:$AE$10000,0),1)&gt;0,INDEX('CAMD Facility Data 2023'!$AC$2:$AE$10000,MATCH(Z2935,'CAMD Facility Data 2023'!$AE$2:$AE$10000,0),1),"")</f>
        <v>2484</v>
      </c>
      <c r="AC2935" s="1" t="str">
        <f>IF(INDEX('CAMD Facility Data 2023'!$AE$2:$AG$10000,MATCH(Z2935,'CAMD Facility Data 2023'!$AE$2:$AE$10000,0),3)&gt;0,INDEX('CAMD Facility Data 2023'!$AE$2:$AG$10000,MATCH(Z2935,'CAMD Facility Data 2023'!$AE$2:$AE$10000,0),3),"")</f>
        <v>Y</v>
      </c>
      <c r="AD2935" s="20">
        <f t="shared" si="136"/>
        <v>9.1957392250657952E-2</v>
      </c>
      <c r="AE2935" s="25">
        <f t="shared" si="137"/>
        <v>0.3893130702707373</v>
      </c>
    </row>
    <row r="2936" spans="1:31" x14ac:dyDescent="0.2">
      <c r="A2936" s="1" t="s">
        <v>3167</v>
      </c>
      <c r="B2936" s="1" t="s">
        <v>6667</v>
      </c>
      <c r="C2936" s="1">
        <v>55391</v>
      </c>
      <c r="D2936" s="1" t="s">
        <v>1296</v>
      </c>
      <c r="F2936" s="1">
        <v>2023</v>
      </c>
      <c r="G2936" s="5">
        <v>1572</v>
      </c>
      <c r="H2936" s="5">
        <v>1441.4</v>
      </c>
      <c r="I2936" s="5">
        <v>177582.54</v>
      </c>
      <c r="K2936" s="5">
        <v>0.63400000000000001</v>
      </c>
      <c r="L2936" s="5">
        <v>1E-3</v>
      </c>
      <c r="M2936" s="5">
        <v>125691.16899999999</v>
      </c>
      <c r="N2936" s="6">
        <v>5.91E-2</v>
      </c>
      <c r="O2936" s="5">
        <v>43.499000000000002</v>
      </c>
      <c r="P2936" s="6">
        <v>5.2999999999999999E-2</v>
      </c>
      <c r="Q2936" s="5">
        <v>2113888.4010000001</v>
      </c>
      <c r="R2936" s="1" t="s">
        <v>44</v>
      </c>
      <c r="S2936" s="1" t="s">
        <v>94</v>
      </c>
      <c r="T2936" s="1" t="s">
        <v>93</v>
      </c>
      <c r="V2936" s="1" t="s">
        <v>183</v>
      </c>
      <c r="Y2936" s="1" t="s">
        <v>461</v>
      </c>
      <c r="Z2936" s="1" t="str">
        <f t="shared" si="135"/>
        <v>55391 CT-1</v>
      </c>
      <c r="AA2936" s="3">
        <f>IF(INDEX('CAMD Facility Data 2023'!$AA$2:$AE$10000,MATCH(Z2936,'CAMD Facility Data 2023'!$AE$2:$AE$10000,0),1)&gt;0,INDEX('CAMD Facility Data 2023'!$AA$2:$AE$10000,MATCH(Z2936,'CAMD Facility Data 2023'!$AE$2:$AE$10000,0),1),"")</f>
        <v>36937</v>
      </c>
      <c r="AB2936" s="5">
        <f>IF(INDEX('CAMD Facility Data 2023'!$AC$2:$AE$10000,MATCH(Z2936,'CAMD Facility Data 2023'!$AE$2:$AE$10000,0),1)&gt;0,INDEX('CAMD Facility Data 2023'!$AC$2:$AE$10000,MATCH(Z2936,'CAMD Facility Data 2023'!$AE$2:$AE$10000,0),1),"")</f>
        <v>2160</v>
      </c>
      <c r="AC2936" s="1" t="str">
        <f>IF(INDEX('CAMD Facility Data 2023'!$AE$2:$AG$10000,MATCH(Z2936,'CAMD Facility Data 2023'!$AE$2:$AE$10000,0),3)&gt;0,INDEX('CAMD Facility Data 2023'!$AE$2:$AG$10000,MATCH(Z2936,'CAMD Facility Data 2023'!$AE$2:$AE$10000,0),3),"")</f>
        <v/>
      </c>
      <c r="AD2936" s="20">
        <f t="shared" si="136"/>
        <v>0.4899017662434606</v>
      </c>
      <c r="AE2936" s="25">
        <f t="shared" si="137"/>
        <v>0.11171826912100458</v>
      </c>
    </row>
    <row r="2937" spans="1:31" x14ac:dyDescent="0.2">
      <c r="A2937" s="1" t="s">
        <v>3167</v>
      </c>
      <c r="B2937" s="1" t="s">
        <v>6667</v>
      </c>
      <c r="C2937" s="1">
        <v>55391</v>
      </c>
      <c r="D2937" s="1" t="s">
        <v>1300</v>
      </c>
      <c r="F2937" s="1">
        <v>2023</v>
      </c>
      <c r="G2937" s="5">
        <v>1555</v>
      </c>
      <c r="H2937" s="5">
        <v>1432.51</v>
      </c>
      <c r="I2937" s="5">
        <v>171297.84</v>
      </c>
      <c r="K2937" s="5">
        <v>0.61499999999999999</v>
      </c>
      <c r="L2937" s="5">
        <v>1E-3</v>
      </c>
      <c r="M2937" s="5">
        <v>121787.38800000001</v>
      </c>
      <c r="N2937" s="6">
        <v>5.9299999999999999E-2</v>
      </c>
      <c r="O2937" s="5">
        <v>34.295000000000002</v>
      </c>
      <c r="P2937" s="6">
        <v>5.1700000000000003E-2</v>
      </c>
      <c r="Q2937" s="5">
        <v>2048627.8629999999</v>
      </c>
      <c r="R2937" s="1" t="s">
        <v>44</v>
      </c>
      <c r="S2937" s="1" t="s">
        <v>94</v>
      </c>
      <c r="T2937" s="1" t="s">
        <v>93</v>
      </c>
      <c r="V2937" s="1" t="s">
        <v>183</v>
      </c>
      <c r="Y2937" s="1" t="s">
        <v>461</v>
      </c>
      <c r="Z2937" s="1" t="str">
        <f t="shared" si="135"/>
        <v>55391 CT-2</v>
      </c>
      <c r="AA2937" s="3">
        <f>IF(INDEX('CAMD Facility Data 2023'!$AA$2:$AE$10000,MATCH(Z2937,'CAMD Facility Data 2023'!$AE$2:$AE$10000,0),1)&gt;0,INDEX('CAMD Facility Data 2023'!$AA$2:$AE$10000,MATCH(Z2937,'CAMD Facility Data 2023'!$AE$2:$AE$10000,0),1),"")</f>
        <v>36971</v>
      </c>
      <c r="AB2937" s="5">
        <f>IF(INDEX('CAMD Facility Data 2023'!$AC$2:$AE$10000,MATCH(Z2937,'CAMD Facility Data 2023'!$AE$2:$AE$10000,0),1)&gt;0,INDEX('CAMD Facility Data 2023'!$AC$2:$AE$10000,MATCH(Z2937,'CAMD Facility Data 2023'!$AE$2:$AE$10000,0),1),"")</f>
        <v>2160</v>
      </c>
      <c r="AC2937" s="1" t="str">
        <f>IF(INDEX('CAMD Facility Data 2023'!$AE$2:$AG$10000,MATCH(Z2937,'CAMD Facility Data 2023'!$AE$2:$AE$10000,0),3)&gt;0,INDEX('CAMD Facility Data 2023'!$AE$2:$AG$10000,MATCH(Z2937,'CAMD Facility Data 2023'!$AE$2:$AE$10000,0),3),"")</f>
        <v/>
      </c>
      <c r="AD2937" s="20">
        <f t="shared" si="136"/>
        <v>0.40041368881242168</v>
      </c>
      <c r="AE2937" s="25">
        <f t="shared" si="137"/>
        <v>0.10826927231312362</v>
      </c>
    </row>
    <row r="2938" spans="1:31" x14ac:dyDescent="0.2">
      <c r="A2938" s="1" t="s">
        <v>3167</v>
      </c>
      <c r="B2938" s="1" t="s">
        <v>6667</v>
      </c>
      <c r="C2938" s="1">
        <v>55391</v>
      </c>
      <c r="D2938" s="1" t="s">
        <v>1302</v>
      </c>
      <c r="F2938" s="1">
        <v>2023</v>
      </c>
      <c r="G2938" s="5">
        <v>1643</v>
      </c>
      <c r="H2938" s="5">
        <v>1519.35</v>
      </c>
      <c r="I2938" s="5">
        <v>194834.61</v>
      </c>
      <c r="K2938" s="5">
        <v>0.68799999999999994</v>
      </c>
      <c r="L2938" s="5">
        <v>1E-3</v>
      </c>
      <c r="M2938" s="5">
        <v>136318.253</v>
      </c>
      <c r="N2938" s="6">
        <v>5.91E-2</v>
      </c>
      <c r="O2938" s="5">
        <v>46.081000000000003</v>
      </c>
      <c r="P2938" s="6">
        <v>6.2799999999999995E-2</v>
      </c>
      <c r="Q2938" s="5">
        <v>2293290.6710000001</v>
      </c>
      <c r="R2938" s="1" t="s">
        <v>44</v>
      </c>
      <c r="S2938" s="1" t="s">
        <v>94</v>
      </c>
      <c r="T2938" s="1" t="s">
        <v>93</v>
      </c>
      <c r="V2938" s="1" t="s">
        <v>183</v>
      </c>
      <c r="Y2938" s="1" t="s">
        <v>461</v>
      </c>
      <c r="Z2938" s="1" t="str">
        <f t="shared" si="135"/>
        <v>55391 CT-3</v>
      </c>
      <c r="AA2938" s="3">
        <f>IF(INDEX('CAMD Facility Data 2023'!$AA$2:$AE$10000,MATCH(Z2938,'CAMD Facility Data 2023'!$AE$2:$AE$10000,0),1)&gt;0,INDEX('CAMD Facility Data 2023'!$AA$2:$AE$10000,MATCH(Z2938,'CAMD Facility Data 2023'!$AE$2:$AE$10000,0),1),"")</f>
        <v>36988</v>
      </c>
      <c r="AB2938" s="5">
        <f>IF(INDEX('CAMD Facility Data 2023'!$AC$2:$AE$10000,MATCH(Z2938,'CAMD Facility Data 2023'!$AE$2:$AE$10000,0),1)&gt;0,INDEX('CAMD Facility Data 2023'!$AC$2:$AE$10000,MATCH(Z2938,'CAMD Facility Data 2023'!$AE$2:$AE$10000,0),1),"")</f>
        <v>2160</v>
      </c>
      <c r="AC2938" s="1" t="str">
        <f>IF(INDEX('CAMD Facility Data 2023'!$AE$2:$AG$10000,MATCH(Z2938,'CAMD Facility Data 2023'!$AE$2:$AE$10000,0),3)&gt;0,INDEX('CAMD Facility Data 2023'!$AE$2:$AG$10000,MATCH(Z2938,'CAMD Facility Data 2023'!$AE$2:$AE$10000,0),3),"")</f>
        <v/>
      </c>
      <c r="AD2938" s="20">
        <f t="shared" si="136"/>
        <v>0.47302684055979582</v>
      </c>
      <c r="AE2938" s="25">
        <f t="shared" si="137"/>
        <v>0.12119961689286318</v>
      </c>
    </row>
    <row r="2939" spans="1:31" x14ac:dyDescent="0.2">
      <c r="A2939" s="1" t="s">
        <v>458</v>
      </c>
      <c r="B2939" s="1" t="s">
        <v>6672</v>
      </c>
      <c r="C2939" s="1">
        <v>55392</v>
      </c>
      <c r="D2939" s="1" t="s">
        <v>1296</v>
      </c>
      <c r="F2939" s="1">
        <v>2023</v>
      </c>
      <c r="G2939" s="5">
        <v>1058</v>
      </c>
      <c r="H2939" s="5">
        <v>944.8</v>
      </c>
      <c r="I2939" s="5">
        <v>130776</v>
      </c>
      <c r="K2939" s="5">
        <v>0.43</v>
      </c>
      <c r="L2939" s="5">
        <v>1E-3</v>
      </c>
      <c r="M2939" s="5">
        <v>85278.442999999999</v>
      </c>
      <c r="N2939" s="6">
        <v>5.9400000000000001E-2</v>
      </c>
      <c r="O2939" s="5">
        <v>24.452999999999999</v>
      </c>
      <c r="P2939" s="6">
        <v>4.5600000000000002E-2</v>
      </c>
      <c r="Q2939" s="5">
        <v>1432629.469</v>
      </c>
      <c r="R2939" s="1" t="s">
        <v>44</v>
      </c>
      <c r="S2939" s="1" t="s">
        <v>94</v>
      </c>
      <c r="T2939" s="1" t="s">
        <v>93</v>
      </c>
      <c r="V2939" s="1" t="s">
        <v>183</v>
      </c>
      <c r="Y2939" s="1" t="s">
        <v>461</v>
      </c>
      <c r="Z2939" s="1" t="str">
        <f t="shared" si="135"/>
        <v>55392 CT-1</v>
      </c>
      <c r="AA2939" s="3">
        <f>IF(INDEX('CAMD Facility Data 2023'!$AA$2:$AE$10000,MATCH(Z2939,'CAMD Facility Data 2023'!$AE$2:$AE$10000,0),1)&gt;0,INDEX('CAMD Facility Data 2023'!$AA$2:$AE$10000,MATCH(Z2939,'CAMD Facility Data 2023'!$AE$2:$AE$10000,0),1),"")</f>
        <v>37377</v>
      </c>
      <c r="AB2939" s="5">
        <f>IF(INDEX('CAMD Facility Data 2023'!$AC$2:$AE$10000,MATCH(Z2939,'CAMD Facility Data 2023'!$AE$2:$AE$10000,0),1)&gt;0,INDEX('CAMD Facility Data 2023'!$AC$2:$AE$10000,MATCH(Z2939,'CAMD Facility Data 2023'!$AE$2:$AE$10000,0),1),"")</f>
        <v>2060</v>
      </c>
      <c r="AC2939" s="1" t="str">
        <f>IF(INDEX('CAMD Facility Data 2023'!$AE$2:$AG$10000,MATCH(Z2939,'CAMD Facility Data 2023'!$AE$2:$AE$10000,0),3)&gt;0,INDEX('CAMD Facility Data 2023'!$AE$2:$AG$10000,MATCH(Z2939,'CAMD Facility Data 2023'!$AE$2:$AE$10000,0),3),"")</f>
        <v/>
      </c>
      <c r="AD2939" s="20">
        <f t="shared" si="136"/>
        <v>0.37396770049550376</v>
      </c>
      <c r="AE2939" s="25">
        <f t="shared" si="137"/>
        <v>7.938940622644855E-2</v>
      </c>
    </row>
    <row r="2940" spans="1:31" x14ac:dyDescent="0.2">
      <c r="A2940" s="1" t="s">
        <v>458</v>
      </c>
      <c r="B2940" s="1" t="s">
        <v>6672</v>
      </c>
      <c r="C2940" s="1">
        <v>55392</v>
      </c>
      <c r="D2940" s="1" t="s">
        <v>1300</v>
      </c>
      <c r="F2940" s="1">
        <v>2023</v>
      </c>
      <c r="G2940" s="5">
        <v>770</v>
      </c>
      <c r="H2940" s="5">
        <v>669</v>
      </c>
      <c r="I2940" s="5">
        <v>95806.2</v>
      </c>
      <c r="K2940" s="5">
        <v>0.315</v>
      </c>
      <c r="L2940" s="5">
        <v>1E-3</v>
      </c>
      <c r="M2940" s="5">
        <v>62549.695</v>
      </c>
      <c r="N2940" s="6">
        <v>5.9299999999999999E-2</v>
      </c>
      <c r="O2940" s="5">
        <v>18.402999999999999</v>
      </c>
      <c r="P2940" s="6">
        <v>4.8000000000000001E-2</v>
      </c>
      <c r="Q2940" s="5">
        <v>1051142.2879999999</v>
      </c>
      <c r="R2940" s="1" t="s">
        <v>44</v>
      </c>
      <c r="S2940" s="1" t="s">
        <v>94</v>
      </c>
      <c r="T2940" s="1" t="s">
        <v>93</v>
      </c>
      <c r="V2940" s="1" t="s">
        <v>183</v>
      </c>
      <c r="Y2940" s="1" t="s">
        <v>461</v>
      </c>
      <c r="Z2940" s="1" t="str">
        <f t="shared" si="135"/>
        <v>55392 CT-2</v>
      </c>
      <c r="AA2940" s="3">
        <f>IF(INDEX('CAMD Facility Data 2023'!$AA$2:$AE$10000,MATCH(Z2940,'CAMD Facility Data 2023'!$AE$2:$AE$10000,0),1)&gt;0,INDEX('CAMD Facility Data 2023'!$AA$2:$AE$10000,MATCH(Z2940,'CAMD Facility Data 2023'!$AE$2:$AE$10000,0),1),"")</f>
        <v>37377</v>
      </c>
      <c r="AB2940" s="5">
        <f>IF(INDEX('CAMD Facility Data 2023'!$AC$2:$AE$10000,MATCH(Z2940,'CAMD Facility Data 2023'!$AE$2:$AE$10000,0),1)&gt;0,INDEX('CAMD Facility Data 2023'!$AC$2:$AE$10000,MATCH(Z2940,'CAMD Facility Data 2023'!$AE$2:$AE$10000,0),1),"")</f>
        <v>2060</v>
      </c>
      <c r="AC2940" s="1" t="str">
        <f>IF(INDEX('CAMD Facility Data 2023'!$AE$2:$AG$10000,MATCH(Z2940,'CAMD Facility Data 2023'!$AE$2:$AE$10000,0),3)&gt;0,INDEX('CAMD Facility Data 2023'!$AE$2:$AG$10000,MATCH(Z2940,'CAMD Facility Data 2023'!$AE$2:$AE$10000,0),3),"")</f>
        <v/>
      </c>
      <c r="AD2940" s="20">
        <f t="shared" si="136"/>
        <v>0.38417137930530593</v>
      </c>
      <c r="AE2940" s="25">
        <f t="shared" si="137"/>
        <v>5.8249229064148596E-2</v>
      </c>
    </row>
    <row r="2941" spans="1:31" x14ac:dyDescent="0.2">
      <c r="A2941" s="1" t="s">
        <v>458</v>
      </c>
      <c r="B2941" s="1" t="s">
        <v>6672</v>
      </c>
      <c r="C2941" s="1">
        <v>55392</v>
      </c>
      <c r="D2941" s="1" t="s">
        <v>1302</v>
      </c>
      <c r="F2941" s="1">
        <v>2023</v>
      </c>
      <c r="G2941" s="5">
        <v>733</v>
      </c>
      <c r="H2941" s="5">
        <v>644.47</v>
      </c>
      <c r="I2941" s="5">
        <v>88501.62</v>
      </c>
      <c r="K2941" s="5">
        <v>0.30199999999999999</v>
      </c>
      <c r="L2941" s="5">
        <v>1E-3</v>
      </c>
      <c r="M2941" s="5">
        <v>59990.934000000001</v>
      </c>
      <c r="N2941" s="6">
        <v>5.9299999999999999E-2</v>
      </c>
      <c r="O2941" s="5">
        <v>16.202000000000002</v>
      </c>
      <c r="P2941" s="6">
        <v>4.48E-2</v>
      </c>
      <c r="Q2941" s="5">
        <v>1007978.232</v>
      </c>
      <c r="R2941" s="1" t="s">
        <v>44</v>
      </c>
      <c r="S2941" s="1" t="s">
        <v>94</v>
      </c>
      <c r="T2941" s="1" t="s">
        <v>93</v>
      </c>
      <c r="V2941" s="1" t="s">
        <v>183</v>
      </c>
      <c r="Y2941" s="1" t="s">
        <v>461</v>
      </c>
      <c r="Z2941" s="1" t="str">
        <f t="shared" si="135"/>
        <v>55392 CT-3</v>
      </c>
      <c r="AA2941" s="3">
        <f>IF(INDEX('CAMD Facility Data 2023'!$AA$2:$AE$10000,MATCH(Z2941,'CAMD Facility Data 2023'!$AE$2:$AE$10000,0),1)&gt;0,INDEX('CAMD Facility Data 2023'!$AA$2:$AE$10000,MATCH(Z2941,'CAMD Facility Data 2023'!$AE$2:$AE$10000,0),1),"")</f>
        <v>37760</v>
      </c>
      <c r="AB2941" s="5">
        <f>IF(INDEX('CAMD Facility Data 2023'!$AC$2:$AE$10000,MATCH(Z2941,'CAMD Facility Data 2023'!$AE$2:$AE$10000,0),1)&gt;0,INDEX('CAMD Facility Data 2023'!$AC$2:$AE$10000,MATCH(Z2941,'CAMD Facility Data 2023'!$AE$2:$AE$10000,0),1),"")</f>
        <v>2060</v>
      </c>
      <c r="AC2941" s="1" t="str">
        <f>IF(INDEX('CAMD Facility Data 2023'!$AE$2:$AG$10000,MATCH(Z2941,'CAMD Facility Data 2023'!$AE$2:$AE$10000,0),3)&gt;0,INDEX('CAMD Facility Data 2023'!$AE$2:$AG$10000,MATCH(Z2941,'CAMD Facility Data 2023'!$AE$2:$AE$10000,0),3),"")</f>
        <v/>
      </c>
      <c r="AD2941" s="20">
        <f t="shared" si="136"/>
        <v>0.36614019042815266</v>
      </c>
      <c r="AE2941" s="25">
        <f t="shared" si="137"/>
        <v>5.5857285543290329E-2</v>
      </c>
    </row>
    <row r="2942" spans="1:31" x14ac:dyDescent="0.2">
      <c r="A2942" s="1" t="s">
        <v>370</v>
      </c>
      <c r="B2942" s="1" t="s">
        <v>6678</v>
      </c>
      <c r="C2942" s="1">
        <v>55393</v>
      </c>
      <c r="D2942" s="1">
        <v>1</v>
      </c>
      <c r="F2942" s="1">
        <v>2023</v>
      </c>
      <c r="G2942" s="5">
        <v>4429</v>
      </c>
      <c r="H2942" s="5">
        <v>4339.6000000000004</v>
      </c>
      <c r="I2942" s="5">
        <v>1128061.8500000001</v>
      </c>
      <c r="K2942" s="5">
        <v>2.391</v>
      </c>
      <c r="L2942" s="5">
        <v>1E-3</v>
      </c>
      <c r="M2942" s="5">
        <v>473551.99599999998</v>
      </c>
      <c r="N2942" s="6">
        <v>5.8999999999999997E-2</v>
      </c>
      <c r="O2942" s="5">
        <v>30.847000000000001</v>
      </c>
      <c r="P2942" s="6">
        <v>8.9999999999999993E-3</v>
      </c>
      <c r="Q2942" s="5">
        <v>7968359.682</v>
      </c>
      <c r="R2942" s="1" t="s">
        <v>44</v>
      </c>
      <c r="T2942" s="1" t="s">
        <v>71</v>
      </c>
      <c r="V2942" s="1" t="s">
        <v>64</v>
      </c>
      <c r="Y2942" s="1" t="s">
        <v>247</v>
      </c>
      <c r="Z2942" s="1" t="str">
        <f t="shared" si="135"/>
        <v>55393 1</v>
      </c>
      <c r="AA2942" s="3">
        <f>IF(INDEX('CAMD Facility Data 2023'!$AA$2:$AE$10000,MATCH(Z2942,'CAMD Facility Data 2023'!$AE$2:$AE$10000,0),1)&gt;0,INDEX('CAMD Facility Data 2023'!$AA$2:$AE$10000,MATCH(Z2942,'CAMD Facility Data 2023'!$AE$2:$AE$10000,0),1),"")</f>
        <v>38470</v>
      </c>
      <c r="AB2942" s="5">
        <f>IF(INDEX('CAMD Facility Data 2023'!$AC$2:$AE$10000,MATCH(Z2942,'CAMD Facility Data 2023'!$AE$2:$AE$10000,0),1)&gt;0,INDEX('CAMD Facility Data 2023'!$AC$2:$AE$10000,MATCH(Z2942,'CAMD Facility Data 2023'!$AE$2:$AE$10000,0),1),"")</f>
        <v>2150</v>
      </c>
      <c r="AC2942" s="1" t="str">
        <f>IF(INDEX('CAMD Facility Data 2023'!$AE$2:$AG$10000,MATCH(Z2942,'CAMD Facility Data 2023'!$AE$2:$AE$10000,0),3)&gt;0,INDEX('CAMD Facility Data 2023'!$AE$2:$AG$10000,MATCH(Z2942,'CAMD Facility Data 2023'!$AE$2:$AE$10000,0),3),"")</f>
        <v>Y</v>
      </c>
      <c r="AD2942" s="20">
        <f t="shared" si="136"/>
        <v>5.4690263658858769E-2</v>
      </c>
      <c r="AE2942" s="25">
        <f t="shared" si="137"/>
        <v>0.42308376776043327</v>
      </c>
    </row>
    <row r="2943" spans="1:31" x14ac:dyDescent="0.2">
      <c r="A2943" s="1" t="s">
        <v>370</v>
      </c>
      <c r="B2943" s="1" t="s">
        <v>6678</v>
      </c>
      <c r="C2943" s="1">
        <v>55393</v>
      </c>
      <c r="D2943" s="1">
        <v>2</v>
      </c>
      <c r="F2943" s="1">
        <v>2023</v>
      </c>
      <c r="G2943" s="5">
        <v>5096</v>
      </c>
      <c r="H2943" s="5">
        <v>5065.17</v>
      </c>
      <c r="I2943" s="5">
        <v>1288990.6599999999</v>
      </c>
      <c r="K2943" s="5">
        <v>2.78</v>
      </c>
      <c r="L2943" s="5">
        <v>1E-3</v>
      </c>
      <c r="M2943" s="5">
        <v>550631.73</v>
      </c>
      <c r="N2943" s="6">
        <v>5.8999999999999997E-2</v>
      </c>
      <c r="O2943" s="5">
        <v>33.667000000000002</v>
      </c>
      <c r="P2943" s="6">
        <v>7.7000000000000002E-3</v>
      </c>
      <c r="Q2943" s="5">
        <v>9265455.1760000009</v>
      </c>
      <c r="R2943" s="1" t="s">
        <v>44</v>
      </c>
      <c r="T2943" s="1" t="s">
        <v>71</v>
      </c>
      <c r="V2943" s="1" t="s">
        <v>64</v>
      </c>
      <c r="Y2943" s="1" t="s">
        <v>247</v>
      </c>
      <c r="Z2943" s="1" t="str">
        <f t="shared" si="135"/>
        <v>55393 2</v>
      </c>
      <c r="AA2943" s="3">
        <f>IF(INDEX('CAMD Facility Data 2023'!$AA$2:$AE$10000,MATCH(Z2943,'CAMD Facility Data 2023'!$AE$2:$AE$10000,0),1)&gt;0,INDEX('CAMD Facility Data 2023'!$AA$2:$AE$10000,MATCH(Z2943,'CAMD Facility Data 2023'!$AE$2:$AE$10000,0),1),"")</f>
        <v>38473</v>
      </c>
      <c r="AB2943" s="5">
        <f>IF(INDEX('CAMD Facility Data 2023'!$AC$2:$AE$10000,MATCH(Z2943,'CAMD Facility Data 2023'!$AE$2:$AE$10000,0),1)&gt;0,INDEX('CAMD Facility Data 2023'!$AC$2:$AE$10000,MATCH(Z2943,'CAMD Facility Data 2023'!$AE$2:$AE$10000,0),1),"")</f>
        <v>2156</v>
      </c>
      <c r="AC2943" s="1" t="str">
        <f>IF(INDEX('CAMD Facility Data 2023'!$AE$2:$AG$10000,MATCH(Z2943,'CAMD Facility Data 2023'!$AE$2:$AE$10000,0),3)&gt;0,INDEX('CAMD Facility Data 2023'!$AE$2:$AG$10000,MATCH(Z2943,'CAMD Facility Data 2023'!$AE$2:$AE$10000,0),3),"")</f>
        <v>Y</v>
      </c>
      <c r="AD2943" s="20">
        <f t="shared" si="136"/>
        <v>5.2237771839246688E-2</v>
      </c>
      <c r="AE2943" s="25">
        <f t="shared" si="137"/>
        <v>0.49058458374632546</v>
      </c>
    </row>
    <row r="2944" spans="1:31" x14ac:dyDescent="0.2">
      <c r="A2944" s="1" t="s">
        <v>1732</v>
      </c>
      <c r="B2944" s="1" t="s">
        <v>6682</v>
      </c>
      <c r="C2944" s="1">
        <v>55395</v>
      </c>
      <c r="D2944" s="1" t="s">
        <v>993</v>
      </c>
      <c r="F2944" s="1">
        <v>2023</v>
      </c>
      <c r="G2944" s="5">
        <v>1054</v>
      </c>
      <c r="H2944" s="5">
        <v>942.99</v>
      </c>
      <c r="I2944" s="5">
        <v>53676.98</v>
      </c>
      <c r="K2944" s="5">
        <v>0.20899999999999999</v>
      </c>
      <c r="L2944" s="5">
        <v>1E-3</v>
      </c>
      <c r="M2944" s="5">
        <v>41337.201999999997</v>
      </c>
      <c r="N2944" s="6">
        <v>5.8999999999999997E-2</v>
      </c>
      <c r="O2944" s="5">
        <v>98.835999999999999</v>
      </c>
      <c r="P2944" s="6">
        <v>0.2853</v>
      </c>
      <c r="Q2944" s="5">
        <v>695494.70600000001</v>
      </c>
      <c r="R2944" s="1" t="s">
        <v>44</v>
      </c>
      <c r="T2944" s="1" t="s">
        <v>93</v>
      </c>
      <c r="V2944" s="1" t="s">
        <v>140</v>
      </c>
      <c r="Y2944" s="1" t="s">
        <v>346</v>
      </c>
      <c r="Z2944" s="1" t="str">
        <f t="shared" si="135"/>
        <v>55395 CT01</v>
      </c>
      <c r="AA2944" s="3">
        <f>IF(INDEX('CAMD Facility Data 2023'!$AA$2:$AE$10000,MATCH(Z2944,'CAMD Facility Data 2023'!$AE$2:$AE$10000,0),1)&gt;0,INDEX('CAMD Facility Data 2023'!$AA$2:$AE$10000,MATCH(Z2944,'CAMD Facility Data 2023'!$AE$2:$AE$10000,0),1),"")</f>
        <v>37347</v>
      </c>
      <c r="AB2944" s="5">
        <f>IF(INDEX('CAMD Facility Data 2023'!$AC$2:$AE$10000,MATCH(Z2944,'CAMD Facility Data 2023'!$AE$2:$AE$10000,0),1)&gt;0,INDEX('CAMD Facility Data 2023'!$AC$2:$AE$10000,MATCH(Z2944,'CAMD Facility Data 2023'!$AE$2:$AE$10000,0),1),"")</f>
        <v>962.4</v>
      </c>
      <c r="AC2944" s="1" t="str">
        <f>IF(INDEX('CAMD Facility Data 2023'!$AE$2:$AG$10000,MATCH(Z2944,'CAMD Facility Data 2023'!$AE$2:$AE$10000,0),3)&gt;0,INDEX('CAMD Facility Data 2023'!$AE$2:$AG$10000,MATCH(Z2944,'CAMD Facility Data 2023'!$AE$2:$AE$10000,0),3),"")</f>
        <v/>
      </c>
      <c r="AD2944" s="20">
        <f t="shared" si="136"/>
        <v>3.6826214887648296</v>
      </c>
      <c r="AE2944" s="25">
        <f t="shared" si="137"/>
        <v>8.249623112120763E-2</v>
      </c>
    </row>
    <row r="2945" spans="1:31" x14ac:dyDescent="0.2">
      <c r="A2945" s="1" t="s">
        <v>1732</v>
      </c>
      <c r="B2945" s="1" t="s">
        <v>6682</v>
      </c>
      <c r="C2945" s="1">
        <v>55395</v>
      </c>
      <c r="D2945" s="1" t="s">
        <v>998</v>
      </c>
      <c r="F2945" s="1">
        <v>2023</v>
      </c>
      <c r="G2945" s="5">
        <v>936</v>
      </c>
      <c r="H2945" s="5">
        <v>837.89</v>
      </c>
      <c r="I2945" s="5">
        <v>48863.43</v>
      </c>
      <c r="K2945" s="5">
        <v>0.17599999999999999</v>
      </c>
      <c r="L2945" s="5">
        <v>1E-3</v>
      </c>
      <c r="M2945" s="5">
        <v>34845.133999999998</v>
      </c>
      <c r="N2945" s="6">
        <v>5.91E-2</v>
      </c>
      <c r="O2945" s="5">
        <v>8.9749999999999996</v>
      </c>
      <c r="P2945" s="6">
        <v>4.5900000000000003E-2</v>
      </c>
      <c r="Q2945" s="5">
        <v>586288.31499999994</v>
      </c>
      <c r="R2945" s="1" t="s">
        <v>44</v>
      </c>
      <c r="T2945" s="1" t="s">
        <v>93</v>
      </c>
      <c r="V2945" s="1" t="s">
        <v>140</v>
      </c>
      <c r="Y2945" s="1" t="s">
        <v>346</v>
      </c>
      <c r="Z2945" s="1" t="str">
        <f t="shared" si="135"/>
        <v>55395 CT02</v>
      </c>
      <c r="AA2945" s="3">
        <f>IF(INDEX('CAMD Facility Data 2023'!$AA$2:$AE$10000,MATCH(Z2945,'CAMD Facility Data 2023'!$AE$2:$AE$10000,0),1)&gt;0,INDEX('CAMD Facility Data 2023'!$AA$2:$AE$10000,MATCH(Z2945,'CAMD Facility Data 2023'!$AE$2:$AE$10000,0),1),"")</f>
        <v>37347</v>
      </c>
      <c r="AB2945" s="5">
        <f>IF(INDEX('CAMD Facility Data 2023'!$AC$2:$AE$10000,MATCH(Z2945,'CAMD Facility Data 2023'!$AE$2:$AE$10000,0),1)&gt;0,INDEX('CAMD Facility Data 2023'!$AC$2:$AE$10000,MATCH(Z2945,'CAMD Facility Data 2023'!$AE$2:$AE$10000,0),1),"")</f>
        <v>962.4</v>
      </c>
      <c r="AC2945" s="1" t="str">
        <f>IF(INDEX('CAMD Facility Data 2023'!$AE$2:$AG$10000,MATCH(Z2945,'CAMD Facility Data 2023'!$AE$2:$AE$10000,0),3)&gt;0,INDEX('CAMD Facility Data 2023'!$AE$2:$AG$10000,MATCH(Z2945,'CAMD Facility Data 2023'!$AE$2:$AE$10000,0),3),"")</f>
        <v/>
      </c>
      <c r="AD2945" s="20">
        <f t="shared" si="136"/>
        <v>0.36735038862396685</v>
      </c>
      <c r="AE2945" s="25">
        <f t="shared" si="137"/>
        <v>6.9542695178909639E-2</v>
      </c>
    </row>
    <row r="2946" spans="1:31" x14ac:dyDescent="0.2">
      <c r="A2946" s="1" t="s">
        <v>1732</v>
      </c>
      <c r="B2946" s="1" t="s">
        <v>6682</v>
      </c>
      <c r="C2946" s="1">
        <v>55395</v>
      </c>
      <c r="D2946" s="1" t="s">
        <v>1043</v>
      </c>
      <c r="F2946" s="1">
        <v>2023</v>
      </c>
      <c r="G2946" s="5">
        <v>1075</v>
      </c>
      <c r="H2946" s="5">
        <v>958.56</v>
      </c>
      <c r="I2946" s="5">
        <v>55494.8</v>
      </c>
      <c r="K2946" s="5">
        <v>0.19500000000000001</v>
      </c>
      <c r="L2946" s="5">
        <v>1E-3</v>
      </c>
      <c r="M2946" s="5">
        <v>38547.067000000003</v>
      </c>
      <c r="N2946" s="6">
        <v>5.8999999999999997E-2</v>
      </c>
      <c r="O2946" s="5">
        <v>10.891999999999999</v>
      </c>
      <c r="P2946" s="6">
        <v>4.1399999999999999E-2</v>
      </c>
      <c r="Q2946" s="5">
        <v>648577.35699999996</v>
      </c>
      <c r="R2946" s="1" t="s">
        <v>44</v>
      </c>
      <c r="T2946" s="1" t="s">
        <v>93</v>
      </c>
      <c r="V2946" s="1" t="s">
        <v>140</v>
      </c>
      <c r="Y2946" s="1" t="s">
        <v>346</v>
      </c>
      <c r="Z2946" s="1" t="str">
        <f t="shared" si="135"/>
        <v>55395 CT03</v>
      </c>
      <c r="AA2946" s="3">
        <f>IF(INDEX('CAMD Facility Data 2023'!$AA$2:$AE$10000,MATCH(Z2946,'CAMD Facility Data 2023'!$AE$2:$AE$10000,0),1)&gt;0,INDEX('CAMD Facility Data 2023'!$AA$2:$AE$10000,MATCH(Z2946,'CAMD Facility Data 2023'!$AE$2:$AE$10000,0),1),"")</f>
        <v>37347</v>
      </c>
      <c r="AB2946" s="5">
        <f>IF(INDEX('CAMD Facility Data 2023'!$AC$2:$AE$10000,MATCH(Z2946,'CAMD Facility Data 2023'!$AE$2:$AE$10000,0),1)&gt;0,INDEX('CAMD Facility Data 2023'!$AC$2:$AE$10000,MATCH(Z2946,'CAMD Facility Data 2023'!$AE$2:$AE$10000,0),1),"")</f>
        <v>962.4</v>
      </c>
      <c r="AC2946" s="1" t="str">
        <f>IF(INDEX('CAMD Facility Data 2023'!$AE$2:$AG$10000,MATCH(Z2946,'CAMD Facility Data 2023'!$AE$2:$AE$10000,0),3)&gt;0,INDEX('CAMD Facility Data 2023'!$AE$2:$AG$10000,MATCH(Z2946,'CAMD Facility Data 2023'!$AE$2:$AE$10000,0),3),"")</f>
        <v/>
      </c>
      <c r="AD2946" s="20">
        <f t="shared" si="136"/>
        <v>0.39254128314724979</v>
      </c>
      <c r="AE2946" s="25">
        <f t="shared" si="137"/>
        <v>7.6931121231358437E-2</v>
      </c>
    </row>
    <row r="2947" spans="1:31" x14ac:dyDescent="0.2">
      <c r="A2947" s="1" t="s">
        <v>1732</v>
      </c>
      <c r="B2947" s="1" t="s">
        <v>6682</v>
      </c>
      <c r="C2947" s="1">
        <v>55395</v>
      </c>
      <c r="D2947" s="1" t="s">
        <v>1048</v>
      </c>
      <c r="F2947" s="1">
        <v>2023</v>
      </c>
      <c r="G2947" s="5">
        <v>1000</v>
      </c>
      <c r="H2947" s="5">
        <v>887.69</v>
      </c>
      <c r="I2947" s="5">
        <v>50752.43</v>
      </c>
      <c r="K2947" s="5">
        <v>0.19</v>
      </c>
      <c r="L2947" s="5">
        <v>1E-3</v>
      </c>
      <c r="M2947" s="5">
        <v>37569.421999999999</v>
      </c>
      <c r="N2947" s="6">
        <v>5.8999999999999997E-2</v>
      </c>
      <c r="O2947" s="5">
        <v>9.1829999999999998</v>
      </c>
      <c r="P2947" s="6">
        <v>4.6699999999999998E-2</v>
      </c>
      <c r="Q2947" s="5">
        <v>632172.21900000004</v>
      </c>
      <c r="R2947" s="1" t="s">
        <v>44</v>
      </c>
      <c r="T2947" s="1" t="s">
        <v>93</v>
      </c>
      <c r="V2947" s="1" t="s">
        <v>140</v>
      </c>
      <c r="Y2947" s="1" t="s">
        <v>346</v>
      </c>
      <c r="Z2947" s="1" t="str">
        <f t="shared" ref="Z2947:Z3010" si="138">C2947&amp;" "&amp;D2947</f>
        <v>55395 CT04</v>
      </c>
      <c r="AA2947" s="3">
        <f>IF(INDEX('CAMD Facility Data 2023'!$AA$2:$AE$10000,MATCH(Z2947,'CAMD Facility Data 2023'!$AE$2:$AE$10000,0),1)&gt;0,INDEX('CAMD Facility Data 2023'!$AA$2:$AE$10000,MATCH(Z2947,'CAMD Facility Data 2023'!$AE$2:$AE$10000,0),1),"")</f>
        <v>37347</v>
      </c>
      <c r="AB2947" s="5">
        <f>IF(INDEX('CAMD Facility Data 2023'!$AC$2:$AE$10000,MATCH(Z2947,'CAMD Facility Data 2023'!$AE$2:$AE$10000,0),1)&gt;0,INDEX('CAMD Facility Data 2023'!$AC$2:$AE$10000,MATCH(Z2947,'CAMD Facility Data 2023'!$AE$2:$AE$10000,0),1),"")</f>
        <v>962.4</v>
      </c>
      <c r="AC2947" s="1" t="str">
        <f>IF(INDEX('CAMD Facility Data 2023'!$AE$2:$AG$10000,MATCH(Z2947,'CAMD Facility Data 2023'!$AE$2:$AE$10000,0),3)&gt;0,INDEX('CAMD Facility Data 2023'!$AE$2:$AG$10000,MATCH(Z2947,'CAMD Facility Data 2023'!$AE$2:$AE$10000,0),3),"")</f>
        <v/>
      </c>
      <c r="AD2947" s="20">
        <f t="shared" ref="AD2947:AD3010" si="139">IF(ISNUMBER(O2947*2000/I2947),O2947*2000/I2947,"")</f>
        <v>0.36187429843260704</v>
      </c>
      <c r="AE2947" s="25">
        <f t="shared" ref="AE2947:AE3010" si="140">Q2947/(AB2947*8760)</f>
        <v>7.4985222802013238E-2</v>
      </c>
    </row>
    <row r="2948" spans="1:31" x14ac:dyDescent="0.2">
      <c r="A2948" s="1" t="s">
        <v>2430</v>
      </c>
      <c r="B2948" s="1" t="s">
        <v>6690</v>
      </c>
      <c r="C2948" s="1">
        <v>55397</v>
      </c>
      <c r="D2948" s="1" t="s">
        <v>311</v>
      </c>
      <c r="F2948" s="1">
        <v>2023</v>
      </c>
      <c r="G2948" s="5">
        <v>8485</v>
      </c>
      <c r="H2948" s="5">
        <v>8474.98</v>
      </c>
      <c r="I2948" s="5">
        <v>2677492.6</v>
      </c>
      <c r="K2948" s="5">
        <v>5.758</v>
      </c>
      <c r="L2948" s="5">
        <v>1E-3</v>
      </c>
      <c r="M2948" s="5">
        <v>1140576.24</v>
      </c>
      <c r="N2948" s="6">
        <v>5.8999999999999997E-2</v>
      </c>
      <c r="O2948" s="5">
        <v>72.225999999999999</v>
      </c>
      <c r="P2948" s="6">
        <v>7.7999999999999996E-3</v>
      </c>
      <c r="Q2948" s="5">
        <v>19192399.057</v>
      </c>
      <c r="R2948" s="1" t="s">
        <v>44</v>
      </c>
      <c r="T2948" s="1" t="s">
        <v>71</v>
      </c>
      <c r="V2948" s="1" t="s">
        <v>64</v>
      </c>
      <c r="Y2948" s="1" t="s">
        <v>461</v>
      </c>
      <c r="Z2948" s="1" t="str">
        <f t="shared" si="138"/>
        <v>55397 CT1</v>
      </c>
      <c r="AA2948" s="3">
        <f>IF(INDEX('CAMD Facility Data 2023'!$AA$2:$AE$10000,MATCH(Z2948,'CAMD Facility Data 2023'!$AE$2:$AE$10000,0),1)&gt;0,INDEX('CAMD Facility Data 2023'!$AA$2:$AE$10000,MATCH(Z2948,'CAMD Facility Data 2023'!$AE$2:$AE$10000,0),1),"")</f>
        <v>37373</v>
      </c>
      <c r="AB2948" s="5">
        <f>IF(INDEX('CAMD Facility Data 2023'!$AC$2:$AE$10000,MATCH(Z2948,'CAMD Facility Data 2023'!$AE$2:$AE$10000,0),1)&gt;0,INDEX('CAMD Facility Data 2023'!$AC$2:$AE$10000,MATCH(Z2948,'CAMD Facility Data 2023'!$AE$2:$AE$10000,0),1),"")</f>
        <v>2625</v>
      </c>
      <c r="AC2948" s="1" t="str">
        <f>IF(INDEX('CAMD Facility Data 2023'!$AE$2:$AG$10000,MATCH(Z2948,'CAMD Facility Data 2023'!$AE$2:$AE$10000,0),3)&gt;0,INDEX('CAMD Facility Data 2023'!$AE$2:$AG$10000,MATCH(Z2948,'CAMD Facility Data 2023'!$AE$2:$AE$10000,0),3),"")</f>
        <v>Y</v>
      </c>
      <c r="AD2948" s="20">
        <f t="shared" si="139"/>
        <v>5.3950475904209781E-2</v>
      </c>
      <c r="AE2948" s="25">
        <f t="shared" si="140"/>
        <v>0.83463357499456403</v>
      </c>
    </row>
    <row r="2949" spans="1:31" x14ac:dyDescent="0.2">
      <c r="A2949" s="1" t="s">
        <v>2430</v>
      </c>
      <c r="B2949" s="1" t="s">
        <v>6690</v>
      </c>
      <c r="C2949" s="1">
        <v>55397</v>
      </c>
      <c r="D2949" s="1" t="s">
        <v>98</v>
      </c>
      <c r="F2949" s="1">
        <v>2023</v>
      </c>
      <c r="G2949" s="5">
        <v>8534</v>
      </c>
      <c r="H2949" s="5">
        <v>8527.7999999999993</v>
      </c>
      <c r="I2949" s="5">
        <v>2682981.63</v>
      </c>
      <c r="K2949" s="5">
        <v>5.774</v>
      </c>
      <c r="L2949" s="5">
        <v>1E-3</v>
      </c>
      <c r="M2949" s="5">
        <v>1143788.8030000001</v>
      </c>
      <c r="N2949" s="6">
        <v>5.8999999999999997E-2</v>
      </c>
      <c r="O2949" s="5">
        <v>71.918000000000006</v>
      </c>
      <c r="P2949" s="6">
        <v>7.6E-3</v>
      </c>
      <c r="Q2949" s="5">
        <v>19246402.903000001</v>
      </c>
      <c r="R2949" s="1" t="s">
        <v>44</v>
      </c>
      <c r="T2949" s="1" t="s">
        <v>71</v>
      </c>
      <c r="V2949" s="1" t="s">
        <v>64</v>
      </c>
      <c r="Y2949" s="1" t="s">
        <v>461</v>
      </c>
      <c r="Z2949" s="1" t="str">
        <f t="shared" si="138"/>
        <v>55397 CT2</v>
      </c>
      <c r="AA2949" s="3">
        <f>IF(INDEX('CAMD Facility Data 2023'!$AA$2:$AE$10000,MATCH(Z2949,'CAMD Facility Data 2023'!$AE$2:$AE$10000,0),1)&gt;0,INDEX('CAMD Facility Data 2023'!$AA$2:$AE$10000,MATCH(Z2949,'CAMD Facility Data 2023'!$AE$2:$AE$10000,0),1),"")</f>
        <v>37379</v>
      </c>
      <c r="AB2949" s="5">
        <f>IF(INDEX('CAMD Facility Data 2023'!$AC$2:$AE$10000,MATCH(Z2949,'CAMD Facility Data 2023'!$AE$2:$AE$10000,0),1)&gt;0,INDEX('CAMD Facility Data 2023'!$AC$2:$AE$10000,MATCH(Z2949,'CAMD Facility Data 2023'!$AE$2:$AE$10000,0),1),"")</f>
        <v>2625</v>
      </c>
      <c r="AC2949" s="1" t="str">
        <f>IF(INDEX('CAMD Facility Data 2023'!$AE$2:$AG$10000,MATCH(Z2949,'CAMD Facility Data 2023'!$AE$2:$AE$10000,0),3)&gt;0,INDEX('CAMD Facility Data 2023'!$AE$2:$AG$10000,MATCH(Z2949,'CAMD Facility Data 2023'!$AE$2:$AE$10000,0),3),"")</f>
        <v>Y</v>
      </c>
      <c r="AD2949" s="20">
        <f t="shared" si="139"/>
        <v>5.3610504966446607E-2</v>
      </c>
      <c r="AE2949" s="25">
        <f t="shared" si="140"/>
        <v>0.83698207884322684</v>
      </c>
    </row>
    <row r="2950" spans="1:31" x14ac:dyDescent="0.2">
      <c r="A2950" s="1" t="s">
        <v>370</v>
      </c>
      <c r="B2950" s="1" t="s">
        <v>6695</v>
      </c>
      <c r="C2950" s="1">
        <v>55400</v>
      </c>
      <c r="D2950" s="1" t="s">
        <v>5681</v>
      </c>
      <c r="F2950" s="1">
        <v>2023</v>
      </c>
      <c r="G2950" s="5">
        <v>8169</v>
      </c>
      <c r="H2950" s="5">
        <v>8158.53</v>
      </c>
      <c r="I2950" s="5">
        <v>1911785.1</v>
      </c>
      <c r="K2950" s="5">
        <v>3.5840000000000001</v>
      </c>
      <c r="L2950" s="5">
        <v>1E-3</v>
      </c>
      <c r="M2950" s="5">
        <v>709855.36199999996</v>
      </c>
      <c r="N2950" s="6">
        <v>5.8999999999999997E-2</v>
      </c>
      <c r="O2950" s="5">
        <v>42.316000000000003</v>
      </c>
      <c r="P2950" s="6">
        <v>7.4000000000000003E-3</v>
      </c>
      <c r="Q2950" s="5">
        <v>11944598.311000001</v>
      </c>
      <c r="R2950" s="1" t="s">
        <v>44</v>
      </c>
      <c r="T2950" s="1" t="s">
        <v>71</v>
      </c>
      <c r="V2950" s="1" t="s">
        <v>64</v>
      </c>
      <c r="Y2950" s="1" t="s">
        <v>247</v>
      </c>
      <c r="Z2950" s="1" t="str">
        <f t="shared" si="138"/>
        <v>55400 CTG-1</v>
      </c>
      <c r="AA2950" s="3">
        <f>IF(INDEX('CAMD Facility Data 2023'!$AA$2:$AE$10000,MATCH(Z2950,'CAMD Facility Data 2023'!$AE$2:$AE$10000,0),1)&gt;0,INDEX('CAMD Facility Data 2023'!$AA$2:$AE$10000,MATCH(Z2950,'CAMD Facility Data 2023'!$AE$2:$AE$10000,0),1),"")</f>
        <v>37687</v>
      </c>
      <c r="AB2950" s="5">
        <f>IF(INDEX('CAMD Facility Data 2023'!$AC$2:$AE$10000,MATCH(Z2950,'CAMD Facility Data 2023'!$AE$2:$AE$10000,0),1)&gt;0,INDEX('CAMD Facility Data 2023'!$AC$2:$AE$10000,MATCH(Z2950,'CAMD Facility Data 2023'!$AE$2:$AE$10000,0),1),"")</f>
        <v>2061</v>
      </c>
      <c r="AC2950" s="1" t="str">
        <f>IF(INDEX('CAMD Facility Data 2023'!$AE$2:$AG$10000,MATCH(Z2950,'CAMD Facility Data 2023'!$AE$2:$AE$10000,0),3)&gt;0,INDEX('CAMD Facility Data 2023'!$AE$2:$AG$10000,MATCH(Z2950,'CAMD Facility Data 2023'!$AE$2:$AE$10000,0),3),"")</f>
        <v>Y</v>
      </c>
      <c r="AD2950" s="20">
        <f t="shared" si="139"/>
        <v>4.4268573910320776E-2</v>
      </c>
      <c r="AE2950" s="25">
        <f t="shared" si="140"/>
        <v>0.66159079086713679</v>
      </c>
    </row>
    <row r="2951" spans="1:31" x14ac:dyDescent="0.2">
      <c r="A2951" s="1" t="s">
        <v>370</v>
      </c>
      <c r="B2951" s="1" t="s">
        <v>6695</v>
      </c>
      <c r="C2951" s="1">
        <v>55400</v>
      </c>
      <c r="D2951" s="1" t="s">
        <v>5684</v>
      </c>
      <c r="F2951" s="1">
        <v>2023</v>
      </c>
      <c r="G2951" s="5">
        <v>8246</v>
      </c>
      <c r="H2951" s="5">
        <v>8232.6</v>
      </c>
      <c r="I2951" s="5">
        <v>1956547.32</v>
      </c>
      <c r="K2951" s="5">
        <v>3.6739999999999999</v>
      </c>
      <c r="L2951" s="5">
        <v>1E-3</v>
      </c>
      <c r="M2951" s="5">
        <v>727819.82400000002</v>
      </c>
      <c r="N2951" s="6">
        <v>5.8999999999999997E-2</v>
      </c>
      <c r="O2951" s="5">
        <v>43.09</v>
      </c>
      <c r="P2951" s="6">
        <v>7.4999999999999997E-3</v>
      </c>
      <c r="Q2951" s="5">
        <v>12247007.493000001</v>
      </c>
      <c r="R2951" s="1" t="s">
        <v>44</v>
      </c>
      <c r="T2951" s="1" t="s">
        <v>71</v>
      </c>
      <c r="V2951" s="1" t="s">
        <v>64</v>
      </c>
      <c r="Y2951" s="1" t="s">
        <v>247</v>
      </c>
      <c r="Z2951" s="1" t="str">
        <f t="shared" si="138"/>
        <v>55400 CTG-2</v>
      </c>
      <c r="AA2951" s="3">
        <f>IF(INDEX('CAMD Facility Data 2023'!$AA$2:$AE$10000,MATCH(Z2951,'CAMD Facility Data 2023'!$AE$2:$AE$10000,0),1)&gt;0,INDEX('CAMD Facility Data 2023'!$AA$2:$AE$10000,MATCH(Z2951,'CAMD Facility Data 2023'!$AE$2:$AE$10000,0),1),"")</f>
        <v>37687</v>
      </c>
      <c r="AB2951" s="5">
        <f>IF(INDEX('CAMD Facility Data 2023'!$AC$2:$AE$10000,MATCH(Z2951,'CAMD Facility Data 2023'!$AE$2:$AE$10000,0),1)&gt;0,INDEX('CAMD Facility Data 2023'!$AC$2:$AE$10000,MATCH(Z2951,'CAMD Facility Data 2023'!$AE$2:$AE$10000,0),1),"")</f>
        <v>2061</v>
      </c>
      <c r="AC2951" s="1" t="str">
        <f>IF(INDEX('CAMD Facility Data 2023'!$AE$2:$AG$10000,MATCH(Z2951,'CAMD Facility Data 2023'!$AE$2:$AE$10000,0),3)&gt;0,INDEX('CAMD Facility Data 2023'!$AE$2:$AG$10000,MATCH(Z2951,'CAMD Facility Data 2023'!$AE$2:$AE$10000,0),3),"")</f>
        <v>Y</v>
      </c>
      <c r="AD2951" s="20">
        <f t="shared" si="139"/>
        <v>4.4046979655978875E-2</v>
      </c>
      <c r="AE2951" s="25">
        <f t="shared" si="140"/>
        <v>0.67834071620373149</v>
      </c>
    </row>
    <row r="2952" spans="1:31" x14ac:dyDescent="0.2">
      <c r="A2952" s="1" t="s">
        <v>2430</v>
      </c>
      <c r="B2952" s="1" t="s">
        <v>6699</v>
      </c>
      <c r="C2952" s="1">
        <v>55401</v>
      </c>
      <c r="D2952" s="1" t="s">
        <v>1296</v>
      </c>
      <c r="F2952" s="1">
        <v>2023</v>
      </c>
      <c r="G2952" s="5">
        <v>3112</v>
      </c>
      <c r="H2952" s="5">
        <v>2937.16</v>
      </c>
      <c r="I2952" s="5">
        <v>524305.66</v>
      </c>
      <c r="K2952" s="5">
        <v>1.726</v>
      </c>
      <c r="L2952" s="5">
        <v>1E-3</v>
      </c>
      <c r="M2952" s="5">
        <v>341984.27100000001</v>
      </c>
      <c r="N2952" s="6">
        <v>5.8999999999999997E-2</v>
      </c>
      <c r="O2952" s="5">
        <v>91.174999999999997</v>
      </c>
      <c r="P2952" s="6">
        <v>3.3399999999999999E-2</v>
      </c>
      <c r="Q2952" s="5">
        <v>5754479.6639999999</v>
      </c>
      <c r="R2952" s="1" t="s">
        <v>44</v>
      </c>
      <c r="T2952" s="1" t="s">
        <v>93</v>
      </c>
      <c r="V2952" s="1" t="s">
        <v>643</v>
      </c>
      <c r="Y2952" s="1" t="s">
        <v>461</v>
      </c>
      <c r="Z2952" s="1" t="str">
        <f t="shared" si="138"/>
        <v>55401 CT-1</v>
      </c>
      <c r="AA2952" s="3">
        <f>IF(INDEX('CAMD Facility Data 2023'!$AA$2:$AE$10000,MATCH(Z2952,'CAMD Facility Data 2023'!$AE$2:$AE$10000,0),1)&gt;0,INDEX('CAMD Facility Data 2023'!$AA$2:$AE$10000,MATCH(Z2952,'CAMD Facility Data 2023'!$AE$2:$AE$10000,0),1),"")</f>
        <v>37681</v>
      </c>
      <c r="AB2952" s="5">
        <f>IF(INDEX('CAMD Facility Data 2023'!$AC$2:$AE$10000,MATCH(Z2952,'CAMD Facility Data 2023'!$AE$2:$AE$10000,0),1)&gt;0,INDEX('CAMD Facility Data 2023'!$AC$2:$AE$10000,MATCH(Z2952,'CAMD Facility Data 2023'!$AE$2:$AE$10000,0),1),"")</f>
        <v>2250</v>
      </c>
      <c r="AC2952" s="1" t="str">
        <f>IF(INDEX('CAMD Facility Data 2023'!$AE$2:$AG$10000,MATCH(Z2952,'CAMD Facility Data 2023'!$AE$2:$AE$10000,0),3)&gt;0,INDEX('CAMD Facility Data 2023'!$AE$2:$AG$10000,MATCH(Z2952,'CAMD Facility Data 2023'!$AE$2:$AE$10000,0),3),"")</f>
        <v>Y</v>
      </c>
      <c r="AD2952" s="20">
        <f t="shared" si="139"/>
        <v>0.3477933082011741</v>
      </c>
      <c r="AE2952" s="25">
        <f t="shared" si="140"/>
        <v>0.29195736499238967</v>
      </c>
    </row>
    <row r="2953" spans="1:31" x14ac:dyDescent="0.2">
      <c r="A2953" s="1" t="s">
        <v>2430</v>
      </c>
      <c r="B2953" s="1" t="s">
        <v>6699</v>
      </c>
      <c r="C2953" s="1">
        <v>55401</v>
      </c>
      <c r="D2953" s="1" t="s">
        <v>1300</v>
      </c>
      <c r="F2953" s="1">
        <v>2023</v>
      </c>
      <c r="G2953" s="5">
        <v>2331</v>
      </c>
      <c r="H2953" s="5">
        <v>2163.5300000000002</v>
      </c>
      <c r="I2953" s="5">
        <v>382233.66</v>
      </c>
      <c r="K2953" s="5">
        <v>1.24</v>
      </c>
      <c r="L2953" s="5">
        <v>1E-3</v>
      </c>
      <c r="M2953" s="5">
        <v>245640.36600000001</v>
      </c>
      <c r="N2953" s="6">
        <v>5.8999999999999997E-2</v>
      </c>
      <c r="O2953" s="5">
        <v>66.602999999999994</v>
      </c>
      <c r="P2953" s="6">
        <v>3.5299999999999998E-2</v>
      </c>
      <c r="Q2953" s="5">
        <v>4133285.5490000001</v>
      </c>
      <c r="R2953" s="1" t="s">
        <v>44</v>
      </c>
      <c r="T2953" s="1" t="s">
        <v>93</v>
      </c>
      <c r="V2953" s="1" t="s">
        <v>643</v>
      </c>
      <c r="Y2953" s="1" t="s">
        <v>461</v>
      </c>
      <c r="Z2953" s="1" t="str">
        <f t="shared" si="138"/>
        <v>55401 CT-2</v>
      </c>
      <c r="AA2953" s="3">
        <f>IF(INDEX('CAMD Facility Data 2023'!$AA$2:$AE$10000,MATCH(Z2953,'CAMD Facility Data 2023'!$AE$2:$AE$10000,0),1)&gt;0,INDEX('CAMD Facility Data 2023'!$AA$2:$AE$10000,MATCH(Z2953,'CAMD Facility Data 2023'!$AE$2:$AE$10000,0),1),"")</f>
        <v>37705</v>
      </c>
      <c r="AB2953" s="5">
        <f>IF(INDEX('CAMD Facility Data 2023'!$AC$2:$AE$10000,MATCH(Z2953,'CAMD Facility Data 2023'!$AE$2:$AE$10000,0),1)&gt;0,INDEX('CAMD Facility Data 2023'!$AC$2:$AE$10000,MATCH(Z2953,'CAMD Facility Data 2023'!$AE$2:$AE$10000,0),1),"")</f>
        <v>2250</v>
      </c>
      <c r="AC2953" s="1" t="str">
        <f>IF(INDEX('CAMD Facility Data 2023'!$AE$2:$AG$10000,MATCH(Z2953,'CAMD Facility Data 2023'!$AE$2:$AE$10000,0),3)&gt;0,INDEX('CAMD Facility Data 2023'!$AE$2:$AG$10000,MATCH(Z2953,'CAMD Facility Data 2023'!$AE$2:$AE$10000,0),3),"")</f>
        <v>Y</v>
      </c>
      <c r="AD2953" s="20">
        <f t="shared" si="139"/>
        <v>0.34849364129783861</v>
      </c>
      <c r="AE2953" s="25">
        <f t="shared" si="140"/>
        <v>0.20970499994926434</v>
      </c>
    </row>
    <row r="2954" spans="1:31" x14ac:dyDescent="0.2">
      <c r="A2954" s="1" t="s">
        <v>2430</v>
      </c>
      <c r="B2954" s="1" t="s">
        <v>6699</v>
      </c>
      <c r="C2954" s="1">
        <v>55401</v>
      </c>
      <c r="D2954" s="1" t="s">
        <v>1302</v>
      </c>
      <c r="F2954" s="1">
        <v>2023</v>
      </c>
      <c r="G2954" s="5">
        <v>3027</v>
      </c>
      <c r="H2954" s="5">
        <v>2850.28</v>
      </c>
      <c r="I2954" s="5">
        <v>508036.1</v>
      </c>
      <c r="K2954" s="5">
        <v>1.6539999999999999</v>
      </c>
      <c r="L2954" s="5">
        <v>1E-3</v>
      </c>
      <c r="M2954" s="5">
        <v>327580.76299999998</v>
      </c>
      <c r="N2954" s="6">
        <v>5.8999999999999997E-2</v>
      </c>
      <c r="O2954" s="5">
        <v>88.481999999999999</v>
      </c>
      <c r="P2954" s="6">
        <v>3.4599999999999999E-2</v>
      </c>
      <c r="Q2954" s="5">
        <v>5512145.1229999997</v>
      </c>
      <c r="R2954" s="1" t="s">
        <v>44</v>
      </c>
      <c r="T2954" s="1" t="s">
        <v>93</v>
      </c>
      <c r="V2954" s="1" t="s">
        <v>183</v>
      </c>
      <c r="Y2954" s="1" t="s">
        <v>461</v>
      </c>
      <c r="Z2954" s="1" t="str">
        <f t="shared" si="138"/>
        <v>55401 CT-3</v>
      </c>
      <c r="AA2954" s="3">
        <f>IF(INDEX('CAMD Facility Data 2023'!$AA$2:$AE$10000,MATCH(Z2954,'CAMD Facility Data 2023'!$AE$2:$AE$10000,0),1)&gt;0,INDEX('CAMD Facility Data 2023'!$AA$2:$AE$10000,MATCH(Z2954,'CAMD Facility Data 2023'!$AE$2:$AE$10000,0),1),"")</f>
        <v>37708</v>
      </c>
      <c r="AB2954" s="5">
        <f>IF(INDEX('CAMD Facility Data 2023'!$AC$2:$AE$10000,MATCH(Z2954,'CAMD Facility Data 2023'!$AE$2:$AE$10000,0),1)&gt;0,INDEX('CAMD Facility Data 2023'!$AC$2:$AE$10000,MATCH(Z2954,'CAMD Facility Data 2023'!$AE$2:$AE$10000,0),1),"")</f>
        <v>2250</v>
      </c>
      <c r="AC2954" s="1" t="str">
        <f>IF(INDEX('CAMD Facility Data 2023'!$AE$2:$AG$10000,MATCH(Z2954,'CAMD Facility Data 2023'!$AE$2:$AE$10000,0),3)&gt;0,INDEX('CAMD Facility Data 2023'!$AE$2:$AG$10000,MATCH(Z2954,'CAMD Facility Data 2023'!$AE$2:$AE$10000,0),3),"")</f>
        <v/>
      </c>
      <c r="AD2954" s="20">
        <f t="shared" si="139"/>
        <v>0.34832957736664777</v>
      </c>
      <c r="AE2954" s="25">
        <f t="shared" si="140"/>
        <v>0.2796623603754439</v>
      </c>
    </row>
    <row r="2955" spans="1:31" x14ac:dyDescent="0.2">
      <c r="A2955" s="1" t="s">
        <v>2430</v>
      </c>
      <c r="B2955" s="1" t="s">
        <v>6699</v>
      </c>
      <c r="C2955" s="1">
        <v>55401</v>
      </c>
      <c r="D2955" s="1" t="s">
        <v>1304</v>
      </c>
      <c r="F2955" s="1">
        <v>2023</v>
      </c>
      <c r="G2955" s="5">
        <v>2118</v>
      </c>
      <c r="H2955" s="5">
        <v>1964.16</v>
      </c>
      <c r="K2955" s="5">
        <v>1.1339999999999999</v>
      </c>
      <c r="L2955" s="5">
        <v>1E-3</v>
      </c>
      <c r="M2955" s="5">
        <v>224547.99</v>
      </c>
      <c r="N2955" s="6">
        <v>5.8999999999999997E-2</v>
      </c>
      <c r="O2955" s="5">
        <v>61.213999999999999</v>
      </c>
      <c r="P2955" s="6">
        <v>3.5700000000000003E-2</v>
      </c>
      <c r="Q2955" s="5">
        <v>3778367.0219999999</v>
      </c>
      <c r="R2955" s="1" t="s">
        <v>44</v>
      </c>
      <c r="T2955" s="1" t="s">
        <v>93</v>
      </c>
      <c r="V2955" s="1" t="s">
        <v>183</v>
      </c>
      <c r="Y2955" s="1" t="s">
        <v>461</v>
      </c>
      <c r="Z2955" s="1" t="str">
        <f t="shared" si="138"/>
        <v>55401 CT-4</v>
      </c>
      <c r="AA2955" s="3">
        <f>IF(INDEX('CAMD Facility Data 2023'!$AA$2:$AE$10000,MATCH(Z2955,'CAMD Facility Data 2023'!$AE$2:$AE$10000,0),1)&gt;0,INDEX('CAMD Facility Data 2023'!$AA$2:$AE$10000,MATCH(Z2955,'CAMD Facility Data 2023'!$AE$2:$AE$10000,0),1),"")</f>
        <v>37739</v>
      </c>
      <c r="AB2955" s="5">
        <f>IF(INDEX('CAMD Facility Data 2023'!$AC$2:$AE$10000,MATCH(Z2955,'CAMD Facility Data 2023'!$AE$2:$AE$10000,0),1)&gt;0,INDEX('CAMD Facility Data 2023'!$AC$2:$AE$10000,MATCH(Z2955,'CAMD Facility Data 2023'!$AE$2:$AE$10000,0),1),"")</f>
        <v>2250</v>
      </c>
      <c r="AC2955" s="1" t="str">
        <f>IF(INDEX('CAMD Facility Data 2023'!$AE$2:$AG$10000,MATCH(Z2955,'CAMD Facility Data 2023'!$AE$2:$AE$10000,0),3)&gt;0,INDEX('CAMD Facility Data 2023'!$AE$2:$AG$10000,MATCH(Z2955,'CAMD Facility Data 2023'!$AE$2:$AE$10000,0),3),"")</f>
        <v/>
      </c>
      <c r="AD2955" s="20" t="str">
        <f t="shared" si="139"/>
        <v/>
      </c>
      <c r="AE2955" s="25">
        <f t="shared" si="140"/>
        <v>0.1916979716894977</v>
      </c>
    </row>
    <row r="2956" spans="1:31" x14ac:dyDescent="0.2">
      <c r="A2956" s="1" t="s">
        <v>2430</v>
      </c>
      <c r="B2956" s="1" t="s">
        <v>6699</v>
      </c>
      <c r="C2956" s="1">
        <v>55401</v>
      </c>
      <c r="D2956" s="1" t="s">
        <v>5830</v>
      </c>
      <c r="F2956" s="1">
        <v>2023</v>
      </c>
      <c r="G2956" s="5">
        <v>3073</v>
      </c>
      <c r="H2956" s="5">
        <v>2898.35</v>
      </c>
      <c r="I2956" s="5">
        <v>518825.49</v>
      </c>
      <c r="K2956" s="5">
        <v>1.6990000000000001</v>
      </c>
      <c r="L2956" s="5">
        <v>1E-3</v>
      </c>
      <c r="M2956" s="5">
        <v>336617.962</v>
      </c>
      <c r="N2956" s="6">
        <v>5.8999999999999997E-2</v>
      </c>
      <c r="O2956" s="5">
        <v>87.156000000000006</v>
      </c>
      <c r="P2956" s="6">
        <v>3.3300000000000003E-2</v>
      </c>
      <c r="Q2956" s="5">
        <v>5664150.2460000003</v>
      </c>
      <c r="R2956" s="1" t="s">
        <v>44</v>
      </c>
      <c r="T2956" s="1" t="s">
        <v>93</v>
      </c>
      <c r="V2956" s="1" t="s">
        <v>183</v>
      </c>
      <c r="Y2956" s="1" t="s">
        <v>461</v>
      </c>
      <c r="Z2956" s="1" t="str">
        <f t="shared" si="138"/>
        <v>55401 CT-5</v>
      </c>
      <c r="AA2956" s="3">
        <f>IF(INDEX('CAMD Facility Data 2023'!$AA$2:$AE$10000,MATCH(Z2956,'CAMD Facility Data 2023'!$AE$2:$AE$10000,0),1)&gt;0,INDEX('CAMD Facility Data 2023'!$AA$2:$AE$10000,MATCH(Z2956,'CAMD Facility Data 2023'!$AE$2:$AE$10000,0),1),"")</f>
        <v>37749</v>
      </c>
      <c r="AB2956" s="5">
        <f>IF(INDEX('CAMD Facility Data 2023'!$AC$2:$AE$10000,MATCH(Z2956,'CAMD Facility Data 2023'!$AE$2:$AE$10000,0),1)&gt;0,INDEX('CAMD Facility Data 2023'!$AC$2:$AE$10000,MATCH(Z2956,'CAMD Facility Data 2023'!$AE$2:$AE$10000,0),1),"")</f>
        <v>2250</v>
      </c>
      <c r="AC2956" s="1" t="str">
        <f>IF(INDEX('CAMD Facility Data 2023'!$AE$2:$AG$10000,MATCH(Z2956,'CAMD Facility Data 2023'!$AE$2:$AE$10000,0),3)&gt;0,INDEX('CAMD Facility Data 2023'!$AE$2:$AG$10000,MATCH(Z2956,'CAMD Facility Data 2023'!$AE$2:$AE$10000,0),3),"")</f>
        <v/>
      </c>
      <c r="AD2956" s="20">
        <f t="shared" si="139"/>
        <v>0.33597424058713848</v>
      </c>
      <c r="AE2956" s="25">
        <f t="shared" si="140"/>
        <v>0.28737444170471843</v>
      </c>
    </row>
    <row r="2957" spans="1:31" x14ac:dyDescent="0.2">
      <c r="A2957" s="1" t="s">
        <v>1621</v>
      </c>
      <c r="B2957" s="1" t="s">
        <v>6708</v>
      </c>
      <c r="C2957" s="1">
        <v>55402</v>
      </c>
      <c r="D2957" s="1" t="s">
        <v>311</v>
      </c>
      <c r="F2957" s="1">
        <v>2023</v>
      </c>
      <c r="G2957" s="5">
        <v>2741</v>
      </c>
      <c r="H2957" s="5">
        <v>2703.74</v>
      </c>
      <c r="I2957" s="5">
        <v>432397.3</v>
      </c>
      <c r="K2957" s="5">
        <v>1.42</v>
      </c>
      <c r="L2957" s="5">
        <v>1E-3</v>
      </c>
      <c r="M2957" s="5">
        <v>281337.342</v>
      </c>
      <c r="N2957" s="6">
        <v>5.8999999999999997E-2</v>
      </c>
      <c r="O2957" s="5">
        <v>116.46899999999999</v>
      </c>
      <c r="P2957" s="6">
        <v>4.9700000000000001E-2</v>
      </c>
      <c r="Q2957" s="5">
        <v>4734032.9859999996</v>
      </c>
      <c r="R2957" s="1" t="s">
        <v>44</v>
      </c>
      <c r="T2957" s="1" t="s">
        <v>93</v>
      </c>
      <c r="V2957" s="1" t="s">
        <v>140</v>
      </c>
      <c r="Y2957" s="1" t="s">
        <v>461</v>
      </c>
      <c r="Z2957" s="1" t="str">
        <f t="shared" si="138"/>
        <v>55402 CT1</v>
      </c>
      <c r="AA2957" s="3">
        <f>IF(INDEX('CAMD Facility Data 2023'!$AA$2:$AE$10000,MATCH(Z2957,'CAMD Facility Data 2023'!$AE$2:$AE$10000,0),1)&gt;0,INDEX('CAMD Facility Data 2023'!$AA$2:$AE$10000,MATCH(Z2957,'CAMD Facility Data 2023'!$AE$2:$AE$10000,0),1),"")</f>
        <v>37316</v>
      </c>
      <c r="AB2957" s="5">
        <f>IF(INDEX('CAMD Facility Data 2023'!$AC$2:$AE$10000,MATCH(Z2957,'CAMD Facility Data 2023'!$AE$2:$AE$10000,0),1)&gt;0,INDEX('CAMD Facility Data 2023'!$AC$2:$AE$10000,MATCH(Z2957,'CAMD Facility Data 2023'!$AE$2:$AE$10000,0),1),"")</f>
        <v>2200</v>
      </c>
      <c r="AC2957" s="1" t="str">
        <f>IF(INDEX('CAMD Facility Data 2023'!$AE$2:$AG$10000,MATCH(Z2957,'CAMD Facility Data 2023'!$AE$2:$AE$10000,0),3)&gt;0,INDEX('CAMD Facility Data 2023'!$AE$2:$AG$10000,MATCH(Z2957,'CAMD Facility Data 2023'!$AE$2:$AE$10000,0),3),"")</f>
        <v/>
      </c>
      <c r="AD2957" s="20">
        <f t="shared" si="139"/>
        <v>0.53871289205552397</v>
      </c>
      <c r="AE2957" s="25">
        <f t="shared" si="140"/>
        <v>0.24564305655873805</v>
      </c>
    </row>
    <row r="2958" spans="1:31" x14ac:dyDescent="0.2">
      <c r="A2958" s="1" t="s">
        <v>1621</v>
      </c>
      <c r="B2958" s="1" t="s">
        <v>6708</v>
      </c>
      <c r="C2958" s="1">
        <v>55402</v>
      </c>
      <c r="D2958" s="1" t="s">
        <v>98</v>
      </c>
      <c r="F2958" s="1">
        <v>2023</v>
      </c>
      <c r="G2958" s="5">
        <v>2579</v>
      </c>
      <c r="H2958" s="5">
        <v>2551.67</v>
      </c>
      <c r="I2958" s="5">
        <v>398227.11</v>
      </c>
      <c r="K2958" s="5">
        <v>1.32</v>
      </c>
      <c r="L2958" s="5">
        <v>1E-3</v>
      </c>
      <c r="M2958" s="5">
        <v>261521.2</v>
      </c>
      <c r="N2958" s="6">
        <v>5.8999999999999997E-2</v>
      </c>
      <c r="O2958" s="5">
        <v>106.79600000000001</v>
      </c>
      <c r="P2958" s="6">
        <v>4.8899999999999999E-2</v>
      </c>
      <c r="Q2958" s="5">
        <v>4400575.5750000002</v>
      </c>
      <c r="R2958" s="1" t="s">
        <v>44</v>
      </c>
      <c r="T2958" s="1" t="s">
        <v>93</v>
      </c>
      <c r="V2958" s="1" t="s">
        <v>140</v>
      </c>
      <c r="Y2958" s="1" t="s">
        <v>461</v>
      </c>
      <c r="Z2958" s="1" t="str">
        <f t="shared" si="138"/>
        <v>55402 CT2</v>
      </c>
      <c r="AA2958" s="3">
        <f>IF(INDEX('CAMD Facility Data 2023'!$AA$2:$AE$10000,MATCH(Z2958,'CAMD Facility Data 2023'!$AE$2:$AE$10000,0),1)&gt;0,INDEX('CAMD Facility Data 2023'!$AA$2:$AE$10000,MATCH(Z2958,'CAMD Facility Data 2023'!$AE$2:$AE$10000,0),1),"")</f>
        <v>37316</v>
      </c>
      <c r="AB2958" s="5">
        <f>IF(INDEX('CAMD Facility Data 2023'!$AC$2:$AE$10000,MATCH(Z2958,'CAMD Facility Data 2023'!$AE$2:$AE$10000,0),1)&gt;0,INDEX('CAMD Facility Data 2023'!$AC$2:$AE$10000,MATCH(Z2958,'CAMD Facility Data 2023'!$AE$2:$AE$10000,0),1),"")</f>
        <v>2200</v>
      </c>
      <c r="AC2958" s="1" t="str">
        <f>IF(INDEX('CAMD Facility Data 2023'!$AE$2:$AG$10000,MATCH(Z2958,'CAMD Facility Data 2023'!$AE$2:$AE$10000,0),3)&gt;0,INDEX('CAMD Facility Data 2023'!$AE$2:$AG$10000,MATCH(Z2958,'CAMD Facility Data 2023'!$AE$2:$AE$10000,0),3),"")</f>
        <v/>
      </c>
      <c r="AD2958" s="20">
        <f t="shared" si="139"/>
        <v>0.53635725603914808</v>
      </c>
      <c r="AE2958" s="25">
        <f t="shared" si="140"/>
        <v>0.22834036815068495</v>
      </c>
    </row>
    <row r="2959" spans="1:31" x14ac:dyDescent="0.2">
      <c r="A2959" s="1" t="s">
        <v>1621</v>
      </c>
      <c r="B2959" s="1" t="s">
        <v>6708</v>
      </c>
      <c r="C2959" s="1">
        <v>55402</v>
      </c>
      <c r="D2959" s="1" t="s">
        <v>101</v>
      </c>
      <c r="F2959" s="1">
        <v>2023</v>
      </c>
      <c r="G2959" s="5">
        <v>2558</v>
      </c>
      <c r="H2959" s="5">
        <v>2518.37</v>
      </c>
      <c r="I2959" s="5">
        <v>402871.54</v>
      </c>
      <c r="K2959" s="5">
        <v>1.3149999999999999</v>
      </c>
      <c r="L2959" s="5">
        <v>1E-3</v>
      </c>
      <c r="M2959" s="5">
        <v>260525.20600000001</v>
      </c>
      <c r="N2959" s="6">
        <v>5.8999999999999997E-2</v>
      </c>
      <c r="O2959" s="5">
        <v>110.06699999999999</v>
      </c>
      <c r="P2959" s="6">
        <v>5.11E-2</v>
      </c>
      <c r="Q2959" s="5">
        <v>4383863.4630000005</v>
      </c>
      <c r="R2959" s="1" t="s">
        <v>44</v>
      </c>
      <c r="T2959" s="1" t="s">
        <v>93</v>
      </c>
      <c r="V2959" s="1" t="s">
        <v>140</v>
      </c>
      <c r="Y2959" s="1" t="s">
        <v>461</v>
      </c>
      <c r="Z2959" s="1" t="str">
        <f t="shared" si="138"/>
        <v>55402 CT3</v>
      </c>
      <c r="AA2959" s="3">
        <f>IF(INDEX('CAMD Facility Data 2023'!$AA$2:$AE$10000,MATCH(Z2959,'CAMD Facility Data 2023'!$AE$2:$AE$10000,0),1)&gt;0,INDEX('CAMD Facility Data 2023'!$AA$2:$AE$10000,MATCH(Z2959,'CAMD Facility Data 2023'!$AE$2:$AE$10000,0),1),"")</f>
        <v>37316</v>
      </c>
      <c r="AB2959" s="5">
        <f>IF(INDEX('CAMD Facility Data 2023'!$AC$2:$AE$10000,MATCH(Z2959,'CAMD Facility Data 2023'!$AE$2:$AE$10000,0),1)&gt;0,INDEX('CAMD Facility Data 2023'!$AC$2:$AE$10000,MATCH(Z2959,'CAMD Facility Data 2023'!$AE$2:$AE$10000,0),1),"")</f>
        <v>2200</v>
      </c>
      <c r="AC2959" s="1" t="str">
        <f>IF(INDEX('CAMD Facility Data 2023'!$AE$2:$AG$10000,MATCH(Z2959,'CAMD Facility Data 2023'!$AE$2:$AE$10000,0),3)&gt;0,INDEX('CAMD Facility Data 2023'!$AE$2:$AG$10000,MATCH(Z2959,'CAMD Facility Data 2023'!$AE$2:$AE$10000,0),3),"")</f>
        <v/>
      </c>
      <c r="AD2959" s="20">
        <f t="shared" si="139"/>
        <v>0.54641238743248033</v>
      </c>
      <c r="AE2959" s="25">
        <f t="shared" si="140"/>
        <v>0.22747319754047324</v>
      </c>
    </row>
    <row r="2960" spans="1:31" x14ac:dyDescent="0.2">
      <c r="A2960" s="1" t="s">
        <v>1621</v>
      </c>
      <c r="B2960" s="1" t="s">
        <v>6708</v>
      </c>
      <c r="C2960" s="1">
        <v>55402</v>
      </c>
      <c r="D2960" s="1" t="s">
        <v>103</v>
      </c>
      <c r="F2960" s="1">
        <v>2023</v>
      </c>
      <c r="G2960" s="5">
        <v>1879</v>
      </c>
      <c r="H2960" s="5">
        <v>1846.8</v>
      </c>
      <c r="I2960" s="5">
        <v>290352.96999999997</v>
      </c>
      <c r="K2960" s="5">
        <v>0.94399999999999995</v>
      </c>
      <c r="L2960" s="5">
        <v>1E-3</v>
      </c>
      <c r="M2960" s="5">
        <v>186951.027</v>
      </c>
      <c r="N2960" s="6">
        <v>5.8999999999999997E-2</v>
      </c>
      <c r="O2960" s="5">
        <v>76.981999999999999</v>
      </c>
      <c r="P2960" s="6">
        <v>4.9599999999999998E-2</v>
      </c>
      <c r="Q2960" s="5">
        <v>3145831.89</v>
      </c>
      <c r="R2960" s="1" t="s">
        <v>44</v>
      </c>
      <c r="T2960" s="1" t="s">
        <v>93</v>
      </c>
      <c r="V2960" s="1" t="s">
        <v>140</v>
      </c>
      <c r="Y2960" s="1" t="s">
        <v>461</v>
      </c>
      <c r="Z2960" s="1" t="str">
        <f t="shared" si="138"/>
        <v>55402 CT4</v>
      </c>
      <c r="AA2960" s="3">
        <f>IF(INDEX('CAMD Facility Data 2023'!$AA$2:$AE$10000,MATCH(Z2960,'CAMD Facility Data 2023'!$AE$2:$AE$10000,0),1)&gt;0,INDEX('CAMD Facility Data 2023'!$AA$2:$AE$10000,MATCH(Z2960,'CAMD Facility Data 2023'!$AE$2:$AE$10000,0),1),"")</f>
        <v>37316</v>
      </c>
      <c r="AB2960" s="5">
        <f>IF(INDEX('CAMD Facility Data 2023'!$AC$2:$AE$10000,MATCH(Z2960,'CAMD Facility Data 2023'!$AE$2:$AE$10000,0),1)&gt;0,INDEX('CAMD Facility Data 2023'!$AC$2:$AE$10000,MATCH(Z2960,'CAMD Facility Data 2023'!$AE$2:$AE$10000,0),1),"")</f>
        <v>2200</v>
      </c>
      <c r="AC2960" s="1" t="str">
        <f>IF(INDEX('CAMD Facility Data 2023'!$AE$2:$AG$10000,MATCH(Z2960,'CAMD Facility Data 2023'!$AE$2:$AE$10000,0),3)&gt;0,INDEX('CAMD Facility Data 2023'!$AE$2:$AG$10000,MATCH(Z2960,'CAMD Facility Data 2023'!$AE$2:$AE$10000,0),3),"")</f>
        <v/>
      </c>
      <c r="AD2960" s="20">
        <f t="shared" si="139"/>
        <v>0.53026493925651941</v>
      </c>
      <c r="AE2960" s="25">
        <f t="shared" si="140"/>
        <v>0.16323328611457036</v>
      </c>
    </row>
    <row r="2961" spans="1:31" x14ac:dyDescent="0.2">
      <c r="A2961" s="1" t="s">
        <v>1426</v>
      </c>
      <c r="B2961" s="1" t="s">
        <v>6716</v>
      </c>
      <c r="C2961" s="1">
        <v>55404</v>
      </c>
      <c r="D2961" s="1" t="s">
        <v>6179</v>
      </c>
      <c r="F2961" s="1">
        <v>2023</v>
      </c>
      <c r="G2961" s="5">
        <v>8359</v>
      </c>
      <c r="H2961" s="5">
        <v>8345</v>
      </c>
      <c r="I2961" s="5">
        <v>1952015.68</v>
      </c>
      <c r="K2961" s="5">
        <v>4.4980000000000002</v>
      </c>
      <c r="L2961" s="5">
        <v>1E-3</v>
      </c>
      <c r="M2961" s="5">
        <v>890924.14099999995</v>
      </c>
      <c r="N2961" s="6">
        <v>5.8999999999999997E-2</v>
      </c>
      <c r="O2961" s="5">
        <v>241.303</v>
      </c>
      <c r="P2961" s="6">
        <v>3.2199999999999999E-2</v>
      </c>
      <c r="Q2961" s="5">
        <v>14991339.077</v>
      </c>
      <c r="R2961" s="1" t="s">
        <v>44</v>
      </c>
      <c r="T2961" s="1" t="s">
        <v>71</v>
      </c>
      <c r="V2961" s="1" t="s">
        <v>140</v>
      </c>
      <c r="Y2961" s="1" t="s">
        <v>1428</v>
      </c>
      <c r="Z2961" s="1" t="str">
        <f t="shared" si="138"/>
        <v>55404 COG01</v>
      </c>
      <c r="AA2961" s="3">
        <f>IF(INDEX('CAMD Facility Data 2023'!$AA$2:$AE$10000,MATCH(Z2961,'CAMD Facility Data 2023'!$AE$2:$AE$10000,0),1)&gt;0,INDEX('CAMD Facility Data 2023'!$AA$2:$AE$10000,MATCH(Z2961,'CAMD Facility Data 2023'!$AE$2:$AE$10000,0),1),"")</f>
        <v>37789</v>
      </c>
      <c r="AB2961" s="5">
        <f>IF(INDEX('CAMD Facility Data 2023'!$AC$2:$AE$10000,MATCH(Z2961,'CAMD Facility Data 2023'!$AE$2:$AE$10000,0),1)&gt;0,INDEX('CAMD Facility Data 2023'!$AC$2:$AE$10000,MATCH(Z2961,'CAMD Facility Data 2023'!$AE$2:$AE$10000,0),1),"")</f>
        <v>2493</v>
      </c>
      <c r="AC2961" s="1" t="str">
        <f>IF(INDEX('CAMD Facility Data 2023'!$AE$2:$AG$10000,MATCH(Z2961,'CAMD Facility Data 2023'!$AE$2:$AE$10000,0),3)&gt;0,INDEX('CAMD Facility Data 2023'!$AE$2:$AG$10000,MATCH(Z2961,'CAMD Facility Data 2023'!$AE$2:$AE$10000,0),3),"")</f>
        <v/>
      </c>
      <c r="AD2961" s="20">
        <f t="shared" si="139"/>
        <v>0.24723469434425854</v>
      </c>
      <c r="AE2961" s="25">
        <f t="shared" si="140"/>
        <v>0.68645811363140996</v>
      </c>
    </row>
    <row r="2962" spans="1:31" x14ac:dyDescent="0.2">
      <c r="A2962" s="1" t="s">
        <v>1426</v>
      </c>
      <c r="B2962" s="1" t="s">
        <v>6716</v>
      </c>
      <c r="C2962" s="1">
        <v>55404</v>
      </c>
      <c r="D2962" s="1" t="s">
        <v>6721</v>
      </c>
      <c r="F2962" s="1">
        <v>2023</v>
      </c>
      <c r="G2962" s="5">
        <v>6561</v>
      </c>
      <c r="H2962" s="5">
        <v>6456.48</v>
      </c>
      <c r="I2962" s="5">
        <v>1443814.74</v>
      </c>
      <c r="K2962" s="5">
        <v>3.4079999999999999</v>
      </c>
      <c r="L2962" s="5">
        <v>1E-3</v>
      </c>
      <c r="M2962" s="5">
        <v>675145.321</v>
      </c>
      <c r="N2962" s="6">
        <v>5.8999999999999997E-2</v>
      </c>
      <c r="O2962" s="5">
        <v>180.94399999999999</v>
      </c>
      <c r="P2962" s="6">
        <v>3.3099999999999997E-2</v>
      </c>
      <c r="Q2962" s="5">
        <v>11360586.539999999</v>
      </c>
      <c r="R2962" s="1" t="s">
        <v>44</v>
      </c>
      <c r="T2962" s="1" t="s">
        <v>71</v>
      </c>
      <c r="V2962" s="1" t="s">
        <v>140</v>
      </c>
      <c r="Y2962" s="1" t="s">
        <v>1428</v>
      </c>
      <c r="Z2962" s="1" t="str">
        <f t="shared" si="138"/>
        <v>55404 COG02</v>
      </c>
      <c r="AA2962" s="3">
        <f>IF(INDEX('CAMD Facility Data 2023'!$AA$2:$AE$10000,MATCH(Z2962,'CAMD Facility Data 2023'!$AE$2:$AE$10000,0),1)&gt;0,INDEX('CAMD Facility Data 2023'!$AA$2:$AE$10000,MATCH(Z2962,'CAMD Facility Data 2023'!$AE$2:$AE$10000,0),1),"")</f>
        <v>37834</v>
      </c>
      <c r="AB2962" s="5">
        <f>IF(INDEX('CAMD Facility Data 2023'!$AC$2:$AE$10000,MATCH(Z2962,'CAMD Facility Data 2023'!$AE$2:$AE$10000,0),1)&gt;0,INDEX('CAMD Facility Data 2023'!$AC$2:$AE$10000,MATCH(Z2962,'CAMD Facility Data 2023'!$AE$2:$AE$10000,0),1),"")</f>
        <v>2493</v>
      </c>
      <c r="AC2962" s="1" t="str">
        <f>IF(INDEX('CAMD Facility Data 2023'!$AE$2:$AG$10000,MATCH(Z2962,'CAMD Facility Data 2023'!$AE$2:$AE$10000,0),3)&gt;0,INDEX('CAMD Facility Data 2023'!$AE$2:$AG$10000,MATCH(Z2962,'CAMD Facility Data 2023'!$AE$2:$AE$10000,0),3),"")</f>
        <v/>
      </c>
      <c r="AD2962" s="20">
        <f t="shared" si="139"/>
        <v>0.25064711557107389</v>
      </c>
      <c r="AE2962" s="25">
        <f t="shared" si="140"/>
        <v>0.52020481732412394</v>
      </c>
    </row>
    <row r="2963" spans="1:31" x14ac:dyDescent="0.2">
      <c r="A2963" s="1" t="s">
        <v>2089</v>
      </c>
      <c r="B2963" s="1" t="s">
        <v>6723</v>
      </c>
      <c r="C2963" s="1">
        <v>55405</v>
      </c>
      <c r="D2963" s="1">
        <v>1</v>
      </c>
      <c r="F2963" s="1">
        <v>2023</v>
      </c>
      <c r="G2963" s="5">
        <v>1573</v>
      </c>
      <c r="H2963" s="5">
        <v>1557.09</v>
      </c>
      <c r="I2963" s="5">
        <v>481531.23</v>
      </c>
      <c r="K2963" s="5">
        <v>1.0149999999999999</v>
      </c>
      <c r="L2963" s="5">
        <v>1E-3</v>
      </c>
      <c r="M2963" s="5">
        <v>201131.158</v>
      </c>
      <c r="N2963" s="6">
        <v>5.8999999999999997E-2</v>
      </c>
      <c r="O2963" s="5">
        <v>14.711</v>
      </c>
      <c r="P2963" s="6">
        <v>1.2500000000000001E-2</v>
      </c>
      <c r="Q2963" s="5">
        <v>3384437.5789999999</v>
      </c>
      <c r="R2963" s="1" t="s">
        <v>44</v>
      </c>
      <c r="S2963" s="1" t="s">
        <v>94</v>
      </c>
      <c r="T2963" s="1" t="s">
        <v>71</v>
      </c>
      <c r="V2963" s="1" t="s">
        <v>643</v>
      </c>
      <c r="Y2963" s="1" t="s">
        <v>1515</v>
      </c>
      <c r="Z2963" s="1" t="str">
        <f t="shared" si="138"/>
        <v>55405 1</v>
      </c>
      <c r="AA2963" s="3">
        <f>IF(INDEX('CAMD Facility Data 2023'!$AA$2:$AE$10000,MATCH(Z2963,'CAMD Facility Data 2023'!$AE$2:$AE$10000,0),1)&gt;0,INDEX('CAMD Facility Data 2023'!$AA$2:$AE$10000,MATCH(Z2963,'CAMD Facility Data 2023'!$AE$2:$AE$10000,0),1),"")</f>
        <v>37799</v>
      </c>
      <c r="AB2963" s="5">
        <f>IF(INDEX('CAMD Facility Data 2023'!$AC$2:$AE$10000,MATCH(Z2963,'CAMD Facility Data 2023'!$AE$2:$AE$10000,0),1)&gt;0,INDEX('CAMD Facility Data 2023'!$AC$2:$AE$10000,MATCH(Z2963,'CAMD Facility Data 2023'!$AE$2:$AE$10000,0),1),"")</f>
        <v>3100</v>
      </c>
      <c r="AC2963" s="1" t="str">
        <f>IF(INDEX('CAMD Facility Data 2023'!$AE$2:$AG$10000,MATCH(Z2963,'CAMD Facility Data 2023'!$AE$2:$AE$10000,0),3)&gt;0,INDEX('CAMD Facility Data 2023'!$AE$2:$AG$10000,MATCH(Z2963,'CAMD Facility Data 2023'!$AE$2:$AE$10000,0),3),"")</f>
        <v>Y</v>
      </c>
      <c r="AD2963" s="20">
        <f t="shared" si="139"/>
        <v>6.1100917587422109E-2</v>
      </c>
      <c r="AE2963" s="25">
        <f t="shared" si="140"/>
        <v>0.12462945864633966</v>
      </c>
    </row>
    <row r="2964" spans="1:31" x14ac:dyDescent="0.2">
      <c r="A2964" s="1" t="s">
        <v>2089</v>
      </c>
      <c r="B2964" s="1" t="s">
        <v>6723</v>
      </c>
      <c r="C2964" s="1">
        <v>55405</v>
      </c>
      <c r="D2964" s="1">
        <v>2</v>
      </c>
      <c r="F2964" s="1">
        <v>2023</v>
      </c>
      <c r="G2964" s="5">
        <v>2551</v>
      </c>
      <c r="H2964" s="5">
        <v>2524.14</v>
      </c>
      <c r="I2964" s="5">
        <v>811107.03</v>
      </c>
      <c r="K2964" s="5">
        <v>1.7130000000000001</v>
      </c>
      <c r="L2964" s="5">
        <v>1E-3</v>
      </c>
      <c r="M2964" s="5">
        <v>333953.47200000001</v>
      </c>
      <c r="N2964" s="6">
        <v>5.8999999999999997E-2</v>
      </c>
      <c r="O2964" s="5">
        <v>22.849</v>
      </c>
      <c r="P2964" s="6">
        <v>1.18E-2</v>
      </c>
      <c r="Q2964" s="5">
        <v>5619171.898</v>
      </c>
      <c r="R2964" s="1" t="s">
        <v>44</v>
      </c>
      <c r="S2964" s="1" t="s">
        <v>94</v>
      </c>
      <c r="T2964" s="1" t="s">
        <v>71</v>
      </c>
      <c r="V2964" s="1" t="s">
        <v>643</v>
      </c>
      <c r="Y2964" s="1" t="s">
        <v>1515</v>
      </c>
      <c r="Z2964" s="1" t="str">
        <f t="shared" si="138"/>
        <v>55405 2</v>
      </c>
      <c r="AA2964" s="3">
        <f>IF(INDEX('CAMD Facility Data 2023'!$AA$2:$AE$10000,MATCH(Z2964,'CAMD Facility Data 2023'!$AE$2:$AE$10000,0),1)&gt;0,INDEX('CAMD Facility Data 2023'!$AA$2:$AE$10000,MATCH(Z2964,'CAMD Facility Data 2023'!$AE$2:$AE$10000,0),1),"")</f>
        <v>37753</v>
      </c>
      <c r="AB2964" s="5">
        <f>IF(INDEX('CAMD Facility Data 2023'!$AC$2:$AE$10000,MATCH(Z2964,'CAMD Facility Data 2023'!$AE$2:$AE$10000,0),1)&gt;0,INDEX('CAMD Facility Data 2023'!$AC$2:$AE$10000,MATCH(Z2964,'CAMD Facility Data 2023'!$AE$2:$AE$10000,0),1),"")</f>
        <v>3100</v>
      </c>
      <c r="AC2964" s="1" t="str">
        <f>IF(INDEX('CAMD Facility Data 2023'!$AE$2:$AG$10000,MATCH(Z2964,'CAMD Facility Data 2023'!$AE$2:$AE$10000,0),3)&gt;0,INDEX('CAMD Facility Data 2023'!$AE$2:$AG$10000,MATCH(Z2964,'CAMD Facility Data 2023'!$AE$2:$AE$10000,0),3),"")</f>
        <v>Y</v>
      </c>
      <c r="AD2964" s="20">
        <f t="shared" si="139"/>
        <v>5.6340283476522202E-2</v>
      </c>
      <c r="AE2964" s="25">
        <f t="shared" si="140"/>
        <v>0.206921928781853</v>
      </c>
    </row>
    <row r="2965" spans="1:31" x14ac:dyDescent="0.2">
      <c r="A2965" s="1" t="s">
        <v>2089</v>
      </c>
      <c r="B2965" s="1" t="s">
        <v>6723</v>
      </c>
      <c r="C2965" s="1">
        <v>55405</v>
      </c>
      <c r="D2965" s="1">
        <v>3</v>
      </c>
      <c r="F2965" s="1">
        <v>2023</v>
      </c>
      <c r="G2965" s="5">
        <v>1884</v>
      </c>
      <c r="H2965" s="5">
        <v>1846.96</v>
      </c>
      <c r="I2965" s="5">
        <v>579126.4</v>
      </c>
      <c r="K2965" s="5">
        <v>1.2230000000000001</v>
      </c>
      <c r="L2965" s="5">
        <v>1E-3</v>
      </c>
      <c r="M2965" s="5">
        <v>242192.78</v>
      </c>
      <c r="N2965" s="6">
        <v>5.8999999999999997E-2</v>
      </c>
      <c r="O2965" s="5">
        <v>19.152000000000001</v>
      </c>
      <c r="P2965" s="6">
        <v>1.55E-2</v>
      </c>
      <c r="Q2965" s="5">
        <v>4075310.1120000002</v>
      </c>
      <c r="R2965" s="1" t="s">
        <v>44</v>
      </c>
      <c r="S2965" s="1" t="s">
        <v>94</v>
      </c>
      <c r="T2965" s="1" t="s">
        <v>71</v>
      </c>
      <c r="V2965" s="1" t="s">
        <v>643</v>
      </c>
      <c r="Y2965" s="1" t="s">
        <v>1515</v>
      </c>
      <c r="Z2965" s="1" t="str">
        <f t="shared" si="138"/>
        <v>55405 3</v>
      </c>
      <c r="AA2965" s="3">
        <f>IF(INDEX('CAMD Facility Data 2023'!$AA$2:$AE$10000,MATCH(Z2965,'CAMD Facility Data 2023'!$AE$2:$AE$10000,0),1)&gt;0,INDEX('CAMD Facility Data 2023'!$AA$2:$AE$10000,MATCH(Z2965,'CAMD Facility Data 2023'!$AE$2:$AE$10000,0),1),"")</f>
        <v>37719</v>
      </c>
      <c r="AB2965" s="5">
        <f>IF(INDEX('CAMD Facility Data 2023'!$AC$2:$AE$10000,MATCH(Z2965,'CAMD Facility Data 2023'!$AE$2:$AE$10000,0),1)&gt;0,INDEX('CAMD Facility Data 2023'!$AC$2:$AE$10000,MATCH(Z2965,'CAMD Facility Data 2023'!$AE$2:$AE$10000,0),1),"")</f>
        <v>3100</v>
      </c>
      <c r="AC2965" s="1" t="str">
        <f>IF(INDEX('CAMD Facility Data 2023'!$AE$2:$AG$10000,MATCH(Z2965,'CAMD Facility Data 2023'!$AE$2:$AE$10000,0),3)&gt;0,INDEX('CAMD Facility Data 2023'!$AE$2:$AG$10000,MATCH(Z2965,'CAMD Facility Data 2023'!$AE$2:$AE$10000,0),3),"")</f>
        <v>Y</v>
      </c>
      <c r="AD2965" s="20">
        <f t="shared" si="139"/>
        <v>6.6141001342712058E-2</v>
      </c>
      <c r="AE2965" s="25">
        <f t="shared" si="140"/>
        <v>0.15007033848873177</v>
      </c>
    </row>
    <row r="2966" spans="1:31" x14ac:dyDescent="0.2">
      <c r="A2966" s="1" t="s">
        <v>921</v>
      </c>
      <c r="B2966" s="1" t="s">
        <v>6729</v>
      </c>
      <c r="C2966" s="1">
        <v>55406</v>
      </c>
      <c r="D2966" s="1">
        <v>1</v>
      </c>
      <c r="F2966" s="1">
        <v>2023</v>
      </c>
      <c r="G2966" s="5">
        <v>6002</v>
      </c>
      <c r="H2966" s="5">
        <v>5986.55</v>
      </c>
      <c r="I2966" s="5">
        <v>1289744.5</v>
      </c>
      <c r="K2966" s="5">
        <v>2.7919999999999998</v>
      </c>
      <c r="L2966" s="5">
        <v>1E-3</v>
      </c>
      <c r="M2966" s="5">
        <v>553113.41799999995</v>
      </c>
      <c r="N2966" s="6">
        <v>5.8999999999999997E-2</v>
      </c>
      <c r="O2966" s="5">
        <v>37.148000000000003</v>
      </c>
      <c r="P2966" s="6">
        <v>9.2999999999999992E-3</v>
      </c>
      <c r="Q2966" s="5">
        <v>9307146.2229999993</v>
      </c>
      <c r="R2966" s="1" t="s">
        <v>44</v>
      </c>
      <c r="T2966" s="1" t="s">
        <v>71</v>
      </c>
      <c r="V2966" s="1" t="s">
        <v>64</v>
      </c>
      <c r="Y2966" s="1" t="s">
        <v>952</v>
      </c>
      <c r="Z2966" s="1" t="str">
        <f t="shared" si="138"/>
        <v>55406 1</v>
      </c>
      <c r="AA2966" s="3">
        <f>IF(INDEX('CAMD Facility Data 2023'!$AA$2:$AE$10000,MATCH(Z2966,'CAMD Facility Data 2023'!$AE$2:$AE$10000,0),1)&gt;0,INDEX('CAMD Facility Data 2023'!$AA$2:$AE$10000,MATCH(Z2966,'CAMD Facility Data 2023'!$AE$2:$AE$10000,0),1),"")</f>
        <v>37656</v>
      </c>
      <c r="AB2966" s="5">
        <f>IF(INDEX('CAMD Facility Data 2023'!$AC$2:$AE$10000,MATCH(Z2966,'CAMD Facility Data 2023'!$AE$2:$AE$10000,0),1)&gt;0,INDEX('CAMD Facility Data 2023'!$AC$2:$AE$10000,MATCH(Z2966,'CAMD Facility Data 2023'!$AE$2:$AE$10000,0),1),"")</f>
        <v>1944</v>
      </c>
      <c r="AC2966" s="1" t="str">
        <f>IF(INDEX('CAMD Facility Data 2023'!$AE$2:$AG$10000,MATCH(Z2966,'CAMD Facility Data 2023'!$AE$2:$AE$10000,0),3)&gt;0,INDEX('CAMD Facility Data 2023'!$AE$2:$AG$10000,MATCH(Z2966,'CAMD Facility Data 2023'!$AE$2:$AE$10000,0),3),"")</f>
        <v>Y</v>
      </c>
      <c r="AD2966" s="20">
        <f t="shared" si="139"/>
        <v>5.7605207853183321E-2</v>
      </c>
      <c r="AE2966" s="25">
        <f t="shared" si="140"/>
        <v>0.54653272350705595</v>
      </c>
    </row>
    <row r="2967" spans="1:31" x14ac:dyDescent="0.2">
      <c r="A2967" s="1" t="s">
        <v>921</v>
      </c>
      <c r="B2967" s="1" t="s">
        <v>6729</v>
      </c>
      <c r="C2967" s="1">
        <v>55406</v>
      </c>
      <c r="D2967" s="1">
        <v>2</v>
      </c>
      <c r="F2967" s="1">
        <v>2023</v>
      </c>
      <c r="G2967" s="5">
        <v>5961</v>
      </c>
      <c r="H2967" s="5">
        <v>5945.6</v>
      </c>
      <c r="I2967" s="5">
        <v>1283488.97</v>
      </c>
      <c r="K2967" s="5">
        <v>2.7559999999999998</v>
      </c>
      <c r="L2967" s="5">
        <v>1E-3</v>
      </c>
      <c r="M2967" s="5">
        <v>545848.40700000001</v>
      </c>
      <c r="N2967" s="6">
        <v>5.8999999999999997E-2</v>
      </c>
      <c r="O2967" s="5">
        <v>67.278000000000006</v>
      </c>
      <c r="P2967" s="6">
        <v>1.6199999999999999E-2</v>
      </c>
      <c r="Q2967" s="5">
        <v>9184978.4629999995</v>
      </c>
      <c r="R2967" s="1" t="s">
        <v>44</v>
      </c>
      <c r="T2967" s="1" t="s">
        <v>71</v>
      </c>
      <c r="V2967" s="1" t="s">
        <v>64</v>
      </c>
      <c r="Y2967" s="1" t="s">
        <v>952</v>
      </c>
      <c r="Z2967" s="1" t="str">
        <f t="shared" si="138"/>
        <v>55406 2</v>
      </c>
      <c r="AA2967" s="3">
        <f>IF(INDEX('CAMD Facility Data 2023'!$AA$2:$AE$10000,MATCH(Z2967,'CAMD Facility Data 2023'!$AE$2:$AE$10000,0),1)&gt;0,INDEX('CAMD Facility Data 2023'!$AA$2:$AE$10000,MATCH(Z2967,'CAMD Facility Data 2023'!$AE$2:$AE$10000,0),1),"")</f>
        <v>37660</v>
      </c>
      <c r="AB2967" s="5">
        <f>IF(INDEX('CAMD Facility Data 2023'!$AC$2:$AE$10000,MATCH(Z2967,'CAMD Facility Data 2023'!$AE$2:$AE$10000,0),1)&gt;0,INDEX('CAMD Facility Data 2023'!$AC$2:$AE$10000,MATCH(Z2967,'CAMD Facility Data 2023'!$AE$2:$AE$10000,0),1),"")</f>
        <v>1944</v>
      </c>
      <c r="AC2967" s="1" t="str">
        <f>IF(INDEX('CAMD Facility Data 2023'!$AE$2:$AG$10000,MATCH(Z2967,'CAMD Facility Data 2023'!$AE$2:$AE$10000,0),3)&gt;0,INDEX('CAMD Facility Data 2023'!$AE$2:$AG$10000,MATCH(Z2967,'CAMD Facility Data 2023'!$AE$2:$AE$10000,0),3),"")</f>
        <v>Y</v>
      </c>
      <c r="AD2967" s="20">
        <f t="shared" si="139"/>
        <v>0.10483611713468796</v>
      </c>
      <c r="AE2967" s="25">
        <f t="shared" si="140"/>
        <v>0.53935880821682913</v>
      </c>
    </row>
    <row r="2968" spans="1:31" x14ac:dyDescent="0.2">
      <c r="A2968" s="1" t="s">
        <v>32</v>
      </c>
      <c r="B2968" s="1" t="s">
        <v>6732</v>
      </c>
      <c r="C2968" s="1">
        <v>55409</v>
      </c>
      <c r="D2968" s="1" t="s">
        <v>311</v>
      </c>
      <c r="F2968" s="1">
        <v>2023</v>
      </c>
      <c r="G2968" s="5">
        <v>91</v>
      </c>
      <c r="H2968" s="5">
        <v>82</v>
      </c>
      <c r="I2968" s="5">
        <v>9652</v>
      </c>
      <c r="K2968" s="5">
        <v>3.4000000000000002E-2</v>
      </c>
      <c r="L2968" s="5">
        <v>1E-3</v>
      </c>
      <c r="M2968" s="5">
        <v>7090.6</v>
      </c>
      <c r="N2968" s="6">
        <v>6.7299999999999999E-2</v>
      </c>
      <c r="O2968" s="5">
        <v>4.1070000000000002</v>
      </c>
      <c r="P2968" s="6">
        <v>0.1019</v>
      </c>
      <c r="Q2968" s="5">
        <v>107360</v>
      </c>
      <c r="R2968" s="1" t="s">
        <v>44</v>
      </c>
      <c r="S2968" s="1" t="s">
        <v>94</v>
      </c>
      <c r="T2968" s="1" t="s">
        <v>93</v>
      </c>
      <c r="V2968" s="1" t="s">
        <v>183</v>
      </c>
      <c r="Y2968" s="1" t="s">
        <v>35</v>
      </c>
      <c r="Z2968" s="1" t="str">
        <f t="shared" si="138"/>
        <v>55409 CT1</v>
      </c>
      <c r="AA2968" s="3">
        <f>IF(INDEX('CAMD Facility Data 2023'!$AA$2:$AE$10000,MATCH(Z2968,'CAMD Facility Data 2023'!$AE$2:$AE$10000,0),1)&gt;0,INDEX('CAMD Facility Data 2023'!$AA$2:$AE$10000,MATCH(Z2968,'CAMD Facility Data 2023'!$AE$2:$AE$10000,0),1),"")</f>
        <v>37651</v>
      </c>
      <c r="AB2968" s="5">
        <f>IF(INDEX('CAMD Facility Data 2023'!$AC$2:$AE$10000,MATCH(Z2968,'CAMD Facility Data 2023'!$AE$2:$AE$10000,0),1)&gt;0,INDEX('CAMD Facility Data 2023'!$AC$2:$AE$10000,MATCH(Z2968,'CAMD Facility Data 2023'!$AE$2:$AE$10000,0),1),"")</f>
        <v>1940</v>
      </c>
      <c r="AC2968" s="1" t="str">
        <f>IF(INDEX('CAMD Facility Data 2023'!$AE$2:$AG$10000,MATCH(Z2968,'CAMD Facility Data 2023'!$AE$2:$AE$10000,0),3)&gt;0,INDEX('CAMD Facility Data 2023'!$AE$2:$AG$10000,MATCH(Z2968,'CAMD Facility Data 2023'!$AE$2:$AE$10000,0),3),"")</f>
        <v/>
      </c>
      <c r="AD2968" s="20">
        <f t="shared" si="139"/>
        <v>0.85101533360961457</v>
      </c>
      <c r="AE2968" s="25">
        <f t="shared" si="140"/>
        <v>6.3173751353386995E-3</v>
      </c>
    </row>
    <row r="2969" spans="1:31" x14ac:dyDescent="0.2">
      <c r="A2969" s="1" t="s">
        <v>32</v>
      </c>
      <c r="B2969" s="1" t="s">
        <v>6732</v>
      </c>
      <c r="C2969" s="1">
        <v>55409</v>
      </c>
      <c r="D2969" s="1" t="s">
        <v>98</v>
      </c>
      <c r="F2969" s="1">
        <v>2023</v>
      </c>
      <c r="G2969" s="5">
        <v>115</v>
      </c>
      <c r="H2969" s="5">
        <v>105.75</v>
      </c>
      <c r="I2969" s="5">
        <v>13192</v>
      </c>
      <c r="K2969" s="5">
        <v>4.7E-2</v>
      </c>
      <c r="L2969" s="5">
        <v>1E-3</v>
      </c>
      <c r="M2969" s="5">
        <v>9691.4</v>
      </c>
      <c r="N2969" s="6">
        <v>6.6699999999999995E-2</v>
      </c>
      <c r="O2969" s="5">
        <v>5.0410000000000004</v>
      </c>
      <c r="P2969" s="6">
        <v>7.9200000000000007E-2</v>
      </c>
      <c r="Q2969" s="5">
        <v>146248.32500000001</v>
      </c>
      <c r="R2969" s="1" t="s">
        <v>44</v>
      </c>
      <c r="S2969" s="1" t="s">
        <v>94</v>
      </c>
      <c r="T2969" s="1" t="s">
        <v>93</v>
      </c>
      <c r="V2969" s="1" t="s">
        <v>183</v>
      </c>
      <c r="Y2969" s="1" t="s">
        <v>35</v>
      </c>
      <c r="Z2969" s="1" t="str">
        <f t="shared" si="138"/>
        <v>55409 CT2</v>
      </c>
      <c r="AA2969" s="3">
        <f>IF(INDEX('CAMD Facility Data 2023'!$AA$2:$AE$10000,MATCH(Z2969,'CAMD Facility Data 2023'!$AE$2:$AE$10000,0),1)&gt;0,INDEX('CAMD Facility Data 2023'!$AA$2:$AE$10000,MATCH(Z2969,'CAMD Facility Data 2023'!$AE$2:$AE$10000,0),1),"")</f>
        <v>37678</v>
      </c>
      <c r="AB2969" s="5">
        <f>IF(INDEX('CAMD Facility Data 2023'!$AC$2:$AE$10000,MATCH(Z2969,'CAMD Facility Data 2023'!$AE$2:$AE$10000,0),1)&gt;0,INDEX('CAMD Facility Data 2023'!$AC$2:$AE$10000,MATCH(Z2969,'CAMD Facility Data 2023'!$AE$2:$AE$10000,0),1),"")</f>
        <v>1940</v>
      </c>
      <c r="AC2969" s="1" t="str">
        <f>IF(INDEX('CAMD Facility Data 2023'!$AE$2:$AG$10000,MATCH(Z2969,'CAMD Facility Data 2023'!$AE$2:$AE$10000,0),3)&gt;0,INDEX('CAMD Facility Data 2023'!$AE$2:$AG$10000,MATCH(Z2969,'CAMD Facility Data 2023'!$AE$2:$AE$10000,0),3),"")</f>
        <v/>
      </c>
      <c r="AD2969" s="20">
        <f t="shared" si="139"/>
        <v>0.76425106124924191</v>
      </c>
      <c r="AE2969" s="25">
        <f t="shared" si="140"/>
        <v>8.6056774584569035E-3</v>
      </c>
    </row>
    <row r="2970" spans="1:31" x14ac:dyDescent="0.2">
      <c r="A2970" s="1" t="s">
        <v>32</v>
      </c>
      <c r="B2970" s="1" t="s">
        <v>6732</v>
      </c>
      <c r="C2970" s="1">
        <v>55409</v>
      </c>
      <c r="D2970" s="1" t="s">
        <v>101</v>
      </c>
      <c r="F2970" s="1">
        <v>2023</v>
      </c>
      <c r="G2970" s="5">
        <v>74</v>
      </c>
      <c r="H2970" s="5">
        <v>67.5</v>
      </c>
      <c r="I2970" s="5">
        <v>8413.25</v>
      </c>
      <c r="K2970" s="5">
        <v>3.1E-2</v>
      </c>
      <c r="L2970" s="5">
        <v>1E-3</v>
      </c>
      <c r="M2970" s="5">
        <v>6442.05</v>
      </c>
      <c r="N2970" s="6">
        <v>7.0199999999999999E-2</v>
      </c>
      <c r="O2970" s="5">
        <v>4.0720000000000001</v>
      </c>
      <c r="P2970" s="6">
        <v>0.1077</v>
      </c>
      <c r="Q2970" s="5">
        <v>93033.024999999994</v>
      </c>
      <c r="R2970" s="1" t="s">
        <v>44</v>
      </c>
      <c r="S2970" s="1" t="s">
        <v>94</v>
      </c>
      <c r="T2970" s="1" t="s">
        <v>93</v>
      </c>
      <c r="V2970" s="1" t="s">
        <v>183</v>
      </c>
      <c r="Y2970" s="1" t="s">
        <v>35</v>
      </c>
      <c r="Z2970" s="1" t="str">
        <f t="shared" si="138"/>
        <v>55409 CT3</v>
      </c>
      <c r="AA2970" s="3">
        <f>IF(INDEX('CAMD Facility Data 2023'!$AA$2:$AE$10000,MATCH(Z2970,'CAMD Facility Data 2023'!$AE$2:$AE$10000,0),1)&gt;0,INDEX('CAMD Facility Data 2023'!$AA$2:$AE$10000,MATCH(Z2970,'CAMD Facility Data 2023'!$AE$2:$AE$10000,0),1),"")</f>
        <v>37705</v>
      </c>
      <c r="AB2970" s="5">
        <f>IF(INDEX('CAMD Facility Data 2023'!$AC$2:$AE$10000,MATCH(Z2970,'CAMD Facility Data 2023'!$AE$2:$AE$10000,0),1)&gt;0,INDEX('CAMD Facility Data 2023'!$AC$2:$AE$10000,MATCH(Z2970,'CAMD Facility Data 2023'!$AE$2:$AE$10000,0),1),"")</f>
        <v>1940</v>
      </c>
      <c r="AC2970" s="1" t="str">
        <f>IF(INDEX('CAMD Facility Data 2023'!$AE$2:$AG$10000,MATCH(Z2970,'CAMD Facility Data 2023'!$AE$2:$AE$10000,0),3)&gt;0,INDEX('CAMD Facility Data 2023'!$AE$2:$AG$10000,MATCH(Z2970,'CAMD Facility Data 2023'!$AE$2:$AE$10000,0),3),"")</f>
        <v/>
      </c>
      <c r="AD2970" s="20">
        <f t="shared" si="139"/>
        <v>0.96799690963658513</v>
      </c>
      <c r="AE2970" s="25">
        <f t="shared" si="140"/>
        <v>5.4743341924398626E-3</v>
      </c>
    </row>
    <row r="2971" spans="1:31" x14ac:dyDescent="0.2">
      <c r="A2971" s="1" t="s">
        <v>32</v>
      </c>
      <c r="B2971" s="1" t="s">
        <v>6732</v>
      </c>
      <c r="C2971" s="1">
        <v>55409</v>
      </c>
      <c r="D2971" s="1" t="s">
        <v>103</v>
      </c>
      <c r="F2971" s="1">
        <v>2023</v>
      </c>
      <c r="G2971" s="5">
        <v>77</v>
      </c>
      <c r="H2971" s="5">
        <v>67.25</v>
      </c>
      <c r="I2971" s="5">
        <v>8115.5</v>
      </c>
      <c r="K2971" s="5">
        <v>3.1E-2</v>
      </c>
      <c r="L2971" s="5">
        <v>1E-3</v>
      </c>
      <c r="M2971" s="5">
        <v>6354.8</v>
      </c>
      <c r="N2971" s="6">
        <v>7.2099999999999997E-2</v>
      </c>
      <c r="O2971" s="5">
        <v>4.5359999999999996</v>
      </c>
      <c r="P2971" s="6">
        <v>0.12709999999999999</v>
      </c>
      <c r="Q2971" s="5">
        <v>90019.524999999994</v>
      </c>
      <c r="R2971" s="1" t="s">
        <v>44</v>
      </c>
      <c r="S2971" s="1" t="s">
        <v>94</v>
      </c>
      <c r="T2971" s="1" t="s">
        <v>93</v>
      </c>
      <c r="V2971" s="1" t="s">
        <v>183</v>
      </c>
      <c r="Y2971" s="1" t="s">
        <v>35</v>
      </c>
      <c r="Z2971" s="1" t="str">
        <f t="shared" si="138"/>
        <v>55409 CT4</v>
      </c>
      <c r="AA2971" s="3">
        <f>IF(INDEX('CAMD Facility Data 2023'!$AA$2:$AE$10000,MATCH(Z2971,'CAMD Facility Data 2023'!$AE$2:$AE$10000,0),1)&gt;0,INDEX('CAMD Facility Data 2023'!$AA$2:$AE$10000,MATCH(Z2971,'CAMD Facility Data 2023'!$AE$2:$AE$10000,0),1),"")</f>
        <v>37734</v>
      </c>
      <c r="AB2971" s="5">
        <f>IF(INDEX('CAMD Facility Data 2023'!$AC$2:$AE$10000,MATCH(Z2971,'CAMD Facility Data 2023'!$AE$2:$AE$10000,0),1)&gt;0,INDEX('CAMD Facility Data 2023'!$AC$2:$AE$10000,MATCH(Z2971,'CAMD Facility Data 2023'!$AE$2:$AE$10000,0),1),"")</f>
        <v>1940</v>
      </c>
      <c r="AC2971" s="1" t="str">
        <f>IF(INDEX('CAMD Facility Data 2023'!$AE$2:$AG$10000,MATCH(Z2971,'CAMD Facility Data 2023'!$AE$2:$AE$10000,0),3)&gt;0,INDEX('CAMD Facility Data 2023'!$AE$2:$AG$10000,MATCH(Z2971,'CAMD Facility Data 2023'!$AE$2:$AE$10000,0),3),"")</f>
        <v/>
      </c>
      <c r="AD2971" s="20">
        <f t="shared" si="139"/>
        <v>1.1178608834945474</v>
      </c>
      <c r="AE2971" s="25">
        <f t="shared" si="140"/>
        <v>5.2970110742362186E-3</v>
      </c>
    </row>
    <row r="2972" spans="1:31" x14ac:dyDescent="0.2">
      <c r="A2972" s="1" t="s">
        <v>32</v>
      </c>
      <c r="B2972" s="1" t="s">
        <v>6738</v>
      </c>
      <c r="C2972" s="1">
        <v>55411</v>
      </c>
      <c r="D2972" s="1" t="s">
        <v>311</v>
      </c>
      <c r="F2972" s="1">
        <v>2023</v>
      </c>
      <c r="G2972" s="5">
        <v>5777</v>
      </c>
      <c r="H2972" s="5">
        <v>5747.18</v>
      </c>
      <c r="I2972" s="5">
        <v>2003657.05</v>
      </c>
      <c r="K2972" s="5">
        <v>4.1479999999999997</v>
      </c>
      <c r="L2972" s="5">
        <v>1E-3</v>
      </c>
      <c r="M2972" s="5">
        <v>821700.05799999996</v>
      </c>
      <c r="N2972" s="6">
        <v>5.8999999999999997E-2</v>
      </c>
      <c r="O2972" s="5">
        <v>47.866999999999997</v>
      </c>
      <c r="P2972" s="6">
        <v>7.4000000000000003E-3</v>
      </c>
      <c r="Q2972" s="5">
        <v>13826693.744999999</v>
      </c>
      <c r="R2972" s="1" t="s">
        <v>44</v>
      </c>
      <c r="T2972" s="1" t="s">
        <v>71</v>
      </c>
      <c r="V2972" s="1" t="s">
        <v>64</v>
      </c>
      <c r="Y2972" s="1" t="s">
        <v>35</v>
      </c>
      <c r="Z2972" s="1" t="str">
        <f t="shared" si="138"/>
        <v>55411 CT1</v>
      </c>
      <c r="AA2972" s="3">
        <f>IF(INDEX('CAMD Facility Data 2023'!$AA$2:$AE$10000,MATCH(Z2972,'CAMD Facility Data 2023'!$AE$2:$AE$10000,0),1)&gt;0,INDEX('CAMD Facility Data 2023'!$AA$2:$AE$10000,MATCH(Z2972,'CAMD Facility Data 2023'!$AE$2:$AE$10000,0),1),"")</f>
        <v>40092</v>
      </c>
      <c r="AB2972" s="5">
        <f>IF(INDEX('CAMD Facility Data 2023'!$AC$2:$AE$10000,MATCH(Z2972,'CAMD Facility Data 2023'!$AE$2:$AE$10000,0),1)&gt;0,INDEX('CAMD Facility Data 2023'!$AC$2:$AE$10000,MATCH(Z2972,'CAMD Facility Data 2023'!$AE$2:$AE$10000,0),1),"")</f>
        <v>3000</v>
      </c>
      <c r="AC2972" s="1" t="str">
        <f>IF(INDEX('CAMD Facility Data 2023'!$AE$2:$AG$10000,MATCH(Z2972,'CAMD Facility Data 2023'!$AE$2:$AE$10000,0),3)&gt;0,INDEX('CAMD Facility Data 2023'!$AE$2:$AG$10000,MATCH(Z2972,'CAMD Facility Data 2023'!$AE$2:$AE$10000,0),3),"")</f>
        <v>Y</v>
      </c>
      <c r="AD2972" s="20">
        <f t="shared" si="139"/>
        <v>4.7779633745206045E-2</v>
      </c>
      <c r="AE2972" s="25">
        <f t="shared" si="140"/>
        <v>0.52612989897260276</v>
      </c>
    </row>
    <row r="2973" spans="1:31" x14ac:dyDescent="0.2">
      <c r="A2973" s="1" t="s">
        <v>32</v>
      </c>
      <c r="B2973" s="1" t="s">
        <v>6738</v>
      </c>
      <c r="C2973" s="1">
        <v>55411</v>
      </c>
      <c r="D2973" s="1" t="s">
        <v>98</v>
      </c>
      <c r="F2973" s="1">
        <v>2023</v>
      </c>
      <c r="G2973" s="5">
        <v>6563</v>
      </c>
      <c r="H2973" s="5">
        <v>6539.54</v>
      </c>
      <c r="I2973" s="5">
        <v>2335911.16</v>
      </c>
      <c r="K2973" s="5">
        <v>4.84</v>
      </c>
      <c r="L2973" s="5">
        <v>1E-3</v>
      </c>
      <c r="M2973" s="5">
        <v>958685.00899999996</v>
      </c>
      <c r="N2973" s="6">
        <v>5.8999999999999997E-2</v>
      </c>
      <c r="O2973" s="5">
        <v>57.947000000000003</v>
      </c>
      <c r="P2973" s="6">
        <v>7.4999999999999997E-3</v>
      </c>
      <c r="Q2973" s="5">
        <v>16131729.699999999</v>
      </c>
      <c r="R2973" s="1" t="s">
        <v>44</v>
      </c>
      <c r="T2973" s="1" t="s">
        <v>71</v>
      </c>
      <c r="V2973" s="1" t="s">
        <v>64</v>
      </c>
      <c r="Y2973" s="1" t="s">
        <v>35</v>
      </c>
      <c r="Z2973" s="1" t="str">
        <f t="shared" si="138"/>
        <v>55411 CT2</v>
      </c>
      <c r="AA2973" s="3">
        <f>IF(INDEX('CAMD Facility Data 2023'!$AA$2:$AE$10000,MATCH(Z2973,'CAMD Facility Data 2023'!$AE$2:$AE$10000,0),1)&gt;0,INDEX('CAMD Facility Data 2023'!$AA$2:$AE$10000,MATCH(Z2973,'CAMD Facility Data 2023'!$AE$2:$AE$10000,0),1),"")</f>
        <v>40122</v>
      </c>
      <c r="AB2973" s="5">
        <f>IF(INDEX('CAMD Facility Data 2023'!$AC$2:$AE$10000,MATCH(Z2973,'CAMD Facility Data 2023'!$AE$2:$AE$10000,0),1)&gt;0,INDEX('CAMD Facility Data 2023'!$AC$2:$AE$10000,MATCH(Z2973,'CAMD Facility Data 2023'!$AE$2:$AE$10000,0),1),"")</f>
        <v>3000</v>
      </c>
      <c r="AC2973" s="1" t="str">
        <f>IF(INDEX('CAMD Facility Data 2023'!$AE$2:$AG$10000,MATCH(Z2973,'CAMD Facility Data 2023'!$AE$2:$AE$10000,0),3)&gt;0,INDEX('CAMD Facility Data 2023'!$AE$2:$AG$10000,MATCH(Z2973,'CAMD Facility Data 2023'!$AE$2:$AE$10000,0),3),"")</f>
        <v>Y</v>
      </c>
      <c r="AD2973" s="20">
        <f t="shared" si="139"/>
        <v>4.9614044397133662E-2</v>
      </c>
      <c r="AE2973" s="25">
        <f t="shared" si="140"/>
        <v>0.61384055175038044</v>
      </c>
    </row>
    <row r="2974" spans="1:31" x14ac:dyDescent="0.2">
      <c r="A2974" s="1" t="s">
        <v>304</v>
      </c>
      <c r="B2974" s="1" t="s">
        <v>6744</v>
      </c>
      <c r="C2974" s="1">
        <v>55412</v>
      </c>
      <c r="D2974" s="1" t="s">
        <v>311</v>
      </c>
      <c r="F2974" s="1">
        <v>2023</v>
      </c>
      <c r="G2974" s="5">
        <v>4963</v>
      </c>
      <c r="H2974" s="5">
        <v>4910.1899999999996</v>
      </c>
      <c r="I2974" s="5">
        <v>1028360.58</v>
      </c>
      <c r="K2974" s="5">
        <v>2.2149999999999999</v>
      </c>
      <c r="L2974" s="5">
        <v>1E-3</v>
      </c>
      <c r="M2974" s="5">
        <v>438652.9</v>
      </c>
      <c r="N2974" s="6">
        <v>5.8999999999999997E-2</v>
      </c>
      <c r="O2974" s="5">
        <v>47.01</v>
      </c>
      <c r="P2974" s="6">
        <v>1.61E-2</v>
      </c>
      <c r="Q2974" s="5">
        <v>7381243.5460000001</v>
      </c>
      <c r="R2974" s="1" t="s">
        <v>44</v>
      </c>
      <c r="T2974" s="1" t="s">
        <v>71</v>
      </c>
      <c r="V2974" s="1" t="s">
        <v>64</v>
      </c>
      <c r="Y2974" s="1" t="s">
        <v>247</v>
      </c>
      <c r="Z2974" s="1" t="str">
        <f t="shared" si="138"/>
        <v>55412 CT1</v>
      </c>
      <c r="AA2974" s="3">
        <f>IF(INDEX('CAMD Facility Data 2023'!$AA$2:$AE$10000,MATCH(Z2974,'CAMD Facility Data 2023'!$AE$2:$AE$10000,0),1)&gt;0,INDEX('CAMD Facility Data 2023'!$AA$2:$AE$10000,MATCH(Z2974,'CAMD Facility Data 2023'!$AE$2:$AE$10000,0),1),"")</f>
        <v>38111</v>
      </c>
      <c r="AB2974" s="5">
        <f>IF(INDEX('CAMD Facility Data 2023'!$AC$2:$AE$10000,MATCH(Z2974,'CAMD Facility Data 2023'!$AE$2:$AE$10000,0),1)&gt;0,INDEX('CAMD Facility Data 2023'!$AC$2:$AE$10000,MATCH(Z2974,'CAMD Facility Data 2023'!$AE$2:$AE$10000,0),1),"")</f>
        <v>2275</v>
      </c>
      <c r="AC2974" s="1" t="str">
        <f>IF(INDEX('CAMD Facility Data 2023'!$AE$2:$AG$10000,MATCH(Z2974,'CAMD Facility Data 2023'!$AE$2:$AE$10000,0),3)&gt;0,INDEX('CAMD Facility Data 2023'!$AE$2:$AG$10000,MATCH(Z2974,'CAMD Facility Data 2023'!$AE$2:$AE$10000,0),3),"")</f>
        <v>Y</v>
      </c>
      <c r="AD2974" s="20">
        <f t="shared" si="139"/>
        <v>9.142707512184102E-2</v>
      </c>
      <c r="AE2974" s="25">
        <f t="shared" si="140"/>
        <v>0.37037701570575543</v>
      </c>
    </row>
    <row r="2975" spans="1:31" x14ac:dyDescent="0.2">
      <c r="A2975" s="1" t="s">
        <v>304</v>
      </c>
      <c r="B2975" s="1" t="s">
        <v>6744</v>
      </c>
      <c r="C2975" s="1">
        <v>55412</v>
      </c>
      <c r="D2975" s="1" t="s">
        <v>98</v>
      </c>
      <c r="F2975" s="1">
        <v>2023</v>
      </c>
      <c r="G2975" s="5">
        <v>5511</v>
      </c>
      <c r="H2975" s="5">
        <v>5486.6</v>
      </c>
      <c r="I2975" s="5">
        <v>1160245.4099999999</v>
      </c>
      <c r="K2975" s="5">
        <v>2.4980000000000002</v>
      </c>
      <c r="L2975" s="5">
        <v>1E-3</v>
      </c>
      <c r="M2975" s="5">
        <v>494781.69699999999</v>
      </c>
      <c r="N2975" s="6">
        <v>5.8999999999999997E-2</v>
      </c>
      <c r="O2975" s="5">
        <v>49.774000000000001</v>
      </c>
      <c r="P2975" s="6">
        <v>1.38E-2</v>
      </c>
      <c r="Q2975" s="5">
        <v>8325651.8430000003</v>
      </c>
      <c r="R2975" s="1" t="s">
        <v>44</v>
      </c>
      <c r="T2975" s="1" t="s">
        <v>71</v>
      </c>
      <c r="V2975" s="1" t="s">
        <v>64</v>
      </c>
      <c r="Y2975" s="1" t="s">
        <v>247</v>
      </c>
      <c r="Z2975" s="1" t="str">
        <f t="shared" si="138"/>
        <v>55412 CT2</v>
      </c>
      <c r="AA2975" s="3">
        <f>IF(INDEX('CAMD Facility Data 2023'!$AA$2:$AE$10000,MATCH(Z2975,'CAMD Facility Data 2023'!$AE$2:$AE$10000,0),1)&gt;0,INDEX('CAMD Facility Data 2023'!$AA$2:$AE$10000,MATCH(Z2975,'CAMD Facility Data 2023'!$AE$2:$AE$10000,0),1),"")</f>
        <v>38111</v>
      </c>
      <c r="AB2975" s="5">
        <f>IF(INDEX('CAMD Facility Data 2023'!$AC$2:$AE$10000,MATCH(Z2975,'CAMD Facility Data 2023'!$AE$2:$AE$10000,0),1)&gt;0,INDEX('CAMD Facility Data 2023'!$AC$2:$AE$10000,MATCH(Z2975,'CAMD Facility Data 2023'!$AE$2:$AE$10000,0),1),"")</f>
        <v>2275</v>
      </c>
      <c r="AC2975" s="1" t="str">
        <f>IF(INDEX('CAMD Facility Data 2023'!$AE$2:$AG$10000,MATCH(Z2975,'CAMD Facility Data 2023'!$AE$2:$AE$10000,0),3)&gt;0,INDEX('CAMD Facility Data 2023'!$AE$2:$AG$10000,MATCH(Z2975,'CAMD Facility Data 2023'!$AE$2:$AE$10000,0),3),"")</f>
        <v>Y</v>
      </c>
      <c r="AD2975" s="20">
        <f t="shared" si="139"/>
        <v>8.5799089694308731E-2</v>
      </c>
      <c r="AE2975" s="25">
        <f t="shared" si="140"/>
        <v>0.41776566024386574</v>
      </c>
    </row>
    <row r="2976" spans="1:31" x14ac:dyDescent="0.2">
      <c r="A2976" s="1" t="s">
        <v>304</v>
      </c>
      <c r="B2976" s="1" t="s">
        <v>6747</v>
      </c>
      <c r="C2976" s="1">
        <v>55414</v>
      </c>
      <c r="D2976" s="1" t="s">
        <v>6748</v>
      </c>
      <c r="F2976" s="1">
        <v>2023</v>
      </c>
      <c r="G2976" s="5">
        <v>481</v>
      </c>
      <c r="H2976" s="5">
        <v>425.46</v>
      </c>
      <c r="I2976" s="5">
        <v>62043.59</v>
      </c>
      <c r="K2976" s="5">
        <v>0.189</v>
      </c>
      <c r="L2976" s="5">
        <v>1E-3</v>
      </c>
      <c r="M2976" s="5">
        <v>37489.775000000001</v>
      </c>
      <c r="N2976" s="6">
        <v>5.8999999999999997E-2</v>
      </c>
      <c r="O2976" s="5">
        <v>10.614000000000001</v>
      </c>
      <c r="P2976" s="6">
        <v>4.1399999999999999E-2</v>
      </c>
      <c r="Q2976" s="5">
        <v>630836.73199999996</v>
      </c>
      <c r="R2976" s="1" t="s">
        <v>44</v>
      </c>
      <c r="S2976" s="1" t="s">
        <v>94</v>
      </c>
      <c r="T2976" s="1" t="s">
        <v>93</v>
      </c>
      <c r="V2976" s="1" t="s">
        <v>183</v>
      </c>
      <c r="Y2976" s="1" t="s">
        <v>247</v>
      </c>
      <c r="Z2976" s="1" t="str">
        <f t="shared" si="138"/>
        <v>55414 GT101</v>
      </c>
      <c r="AA2976" s="3">
        <f>IF(INDEX('CAMD Facility Data 2023'!$AA$2:$AE$10000,MATCH(Z2976,'CAMD Facility Data 2023'!$AE$2:$AE$10000,0),1)&gt;0,INDEX('CAMD Facility Data 2023'!$AA$2:$AE$10000,MATCH(Z2976,'CAMD Facility Data 2023'!$AE$2:$AE$10000,0),1),"")</f>
        <v>37246</v>
      </c>
      <c r="AB2976" s="5">
        <f>IF(INDEX('CAMD Facility Data 2023'!$AC$2:$AE$10000,MATCH(Z2976,'CAMD Facility Data 2023'!$AE$2:$AE$10000,0),1)&gt;0,INDEX('CAMD Facility Data 2023'!$AC$2:$AE$10000,MATCH(Z2976,'CAMD Facility Data 2023'!$AE$2:$AE$10000,0),1),"")</f>
        <v>1955.7</v>
      </c>
      <c r="AC2976" s="1" t="str">
        <f>IF(INDEX('CAMD Facility Data 2023'!$AE$2:$AG$10000,MATCH(Z2976,'CAMD Facility Data 2023'!$AE$2:$AE$10000,0),3)&gt;0,INDEX('CAMD Facility Data 2023'!$AE$2:$AG$10000,MATCH(Z2976,'CAMD Facility Data 2023'!$AE$2:$AE$10000,0),3),"")</f>
        <v/>
      </c>
      <c r="AD2976" s="20">
        <f t="shared" si="139"/>
        <v>0.3421465456786108</v>
      </c>
      <c r="AE2976" s="25">
        <f t="shared" si="140"/>
        <v>3.6822276203291024E-2</v>
      </c>
    </row>
    <row r="2977" spans="1:31" x14ac:dyDescent="0.2">
      <c r="A2977" s="1" t="s">
        <v>304</v>
      </c>
      <c r="B2977" s="1" t="s">
        <v>6747</v>
      </c>
      <c r="C2977" s="1">
        <v>55414</v>
      </c>
      <c r="D2977" s="1" t="s">
        <v>6751</v>
      </c>
      <c r="F2977" s="1">
        <v>2023</v>
      </c>
      <c r="G2977" s="5">
        <v>360</v>
      </c>
      <c r="H2977" s="5">
        <v>313.63</v>
      </c>
      <c r="I2977" s="5">
        <v>45361.77</v>
      </c>
      <c r="K2977" s="5">
        <v>0.14599999999999999</v>
      </c>
      <c r="L2977" s="5">
        <v>1E-3</v>
      </c>
      <c r="M2977" s="5">
        <v>28891.082999999999</v>
      </c>
      <c r="N2977" s="6">
        <v>5.8999999999999997E-2</v>
      </c>
      <c r="O2977" s="5">
        <v>7.6870000000000003</v>
      </c>
      <c r="P2977" s="6">
        <v>4.19E-2</v>
      </c>
      <c r="Q2977" s="5">
        <v>486150.66100000002</v>
      </c>
      <c r="R2977" s="1" t="s">
        <v>44</v>
      </c>
      <c r="S2977" s="1" t="s">
        <v>94</v>
      </c>
      <c r="T2977" s="1" t="s">
        <v>93</v>
      </c>
      <c r="V2977" s="1" t="s">
        <v>183</v>
      </c>
      <c r="Y2977" s="1" t="s">
        <v>247</v>
      </c>
      <c r="Z2977" s="1" t="str">
        <f t="shared" si="138"/>
        <v>55414 GT201</v>
      </c>
      <c r="AA2977" s="3">
        <f>IF(INDEX('CAMD Facility Data 2023'!$AA$2:$AE$10000,MATCH(Z2977,'CAMD Facility Data 2023'!$AE$2:$AE$10000,0),1)&gt;0,INDEX('CAMD Facility Data 2023'!$AA$2:$AE$10000,MATCH(Z2977,'CAMD Facility Data 2023'!$AE$2:$AE$10000,0),1),"")</f>
        <v>37258</v>
      </c>
      <c r="AB2977" s="5">
        <f>IF(INDEX('CAMD Facility Data 2023'!$AC$2:$AE$10000,MATCH(Z2977,'CAMD Facility Data 2023'!$AE$2:$AE$10000,0),1)&gt;0,INDEX('CAMD Facility Data 2023'!$AC$2:$AE$10000,MATCH(Z2977,'CAMD Facility Data 2023'!$AE$2:$AE$10000,0),1),"")</f>
        <v>1964.5</v>
      </c>
      <c r="AC2977" s="1" t="str">
        <f>IF(INDEX('CAMD Facility Data 2023'!$AE$2:$AG$10000,MATCH(Z2977,'CAMD Facility Data 2023'!$AE$2:$AE$10000,0),3)&gt;0,INDEX('CAMD Facility Data 2023'!$AE$2:$AG$10000,MATCH(Z2977,'CAMD Facility Data 2023'!$AE$2:$AE$10000,0),3),"")</f>
        <v/>
      </c>
      <c r="AD2977" s="20">
        <f t="shared" si="139"/>
        <v>0.33891975555627574</v>
      </c>
      <c r="AE2977" s="25">
        <f t="shared" si="140"/>
        <v>2.82497586149589E-2</v>
      </c>
    </row>
    <row r="2978" spans="1:31" x14ac:dyDescent="0.2">
      <c r="A2978" s="1" t="s">
        <v>304</v>
      </c>
      <c r="B2978" s="1" t="s">
        <v>6747</v>
      </c>
      <c r="C2978" s="1">
        <v>55414</v>
      </c>
      <c r="D2978" s="1" t="s">
        <v>6753</v>
      </c>
      <c r="F2978" s="1">
        <v>2023</v>
      </c>
      <c r="G2978" s="5">
        <v>355</v>
      </c>
      <c r="H2978" s="5">
        <v>316.38</v>
      </c>
      <c r="I2978" s="5">
        <v>46444.87</v>
      </c>
      <c r="K2978" s="5">
        <v>0.14099999999999999</v>
      </c>
      <c r="L2978" s="5">
        <v>1E-3</v>
      </c>
      <c r="M2978" s="5">
        <v>27857.373</v>
      </c>
      <c r="N2978" s="6">
        <v>5.8999999999999997E-2</v>
      </c>
      <c r="O2978" s="5">
        <v>8.0109999999999992</v>
      </c>
      <c r="P2978" s="6">
        <v>4.3799999999999999E-2</v>
      </c>
      <c r="Q2978" s="5">
        <v>468770.27600000001</v>
      </c>
      <c r="R2978" s="1" t="s">
        <v>44</v>
      </c>
      <c r="S2978" s="1" t="s">
        <v>94</v>
      </c>
      <c r="T2978" s="1" t="s">
        <v>93</v>
      </c>
      <c r="V2978" s="1" t="s">
        <v>183</v>
      </c>
      <c r="Y2978" s="1" t="s">
        <v>247</v>
      </c>
      <c r="Z2978" s="1" t="str">
        <f t="shared" si="138"/>
        <v>55414 GT301</v>
      </c>
      <c r="AA2978" s="3">
        <f>IF(INDEX('CAMD Facility Data 2023'!$AA$2:$AE$10000,MATCH(Z2978,'CAMD Facility Data 2023'!$AE$2:$AE$10000,0),1)&gt;0,INDEX('CAMD Facility Data 2023'!$AA$2:$AE$10000,MATCH(Z2978,'CAMD Facility Data 2023'!$AE$2:$AE$10000,0),1),"")</f>
        <v>37292</v>
      </c>
      <c r="AB2978" s="5">
        <f>IF(INDEX('CAMD Facility Data 2023'!$AC$2:$AE$10000,MATCH(Z2978,'CAMD Facility Data 2023'!$AE$2:$AE$10000,0),1)&gt;0,INDEX('CAMD Facility Data 2023'!$AC$2:$AE$10000,MATCH(Z2978,'CAMD Facility Data 2023'!$AE$2:$AE$10000,0),1),"")</f>
        <v>1958.4</v>
      </c>
      <c r="AC2978" s="1" t="str">
        <f>IF(INDEX('CAMD Facility Data 2023'!$AE$2:$AG$10000,MATCH(Z2978,'CAMD Facility Data 2023'!$AE$2:$AE$10000,0),3)&gt;0,INDEX('CAMD Facility Data 2023'!$AE$2:$AG$10000,MATCH(Z2978,'CAMD Facility Data 2023'!$AE$2:$AE$10000,0),3),"")</f>
        <v/>
      </c>
      <c r="AD2978" s="20">
        <f t="shared" si="139"/>
        <v>0.34496813103363183</v>
      </c>
      <c r="AE2978" s="25">
        <f t="shared" si="140"/>
        <v>2.7324646948771899E-2</v>
      </c>
    </row>
    <row r="2979" spans="1:31" x14ac:dyDescent="0.2">
      <c r="A2979" s="1" t="s">
        <v>304</v>
      </c>
      <c r="B2979" s="1" t="s">
        <v>6755</v>
      </c>
      <c r="C2979" s="1">
        <v>55415</v>
      </c>
      <c r="D2979" s="1" t="s">
        <v>6748</v>
      </c>
      <c r="F2979" s="1">
        <v>2023</v>
      </c>
      <c r="G2979" s="5">
        <v>1173</v>
      </c>
      <c r="H2979" s="5">
        <v>1058.3599999999999</v>
      </c>
      <c r="I2979" s="5">
        <v>162099.03</v>
      </c>
      <c r="K2979" s="5">
        <v>1.1879999999999999</v>
      </c>
      <c r="L2979" s="5">
        <v>2.5000000000000001E-3</v>
      </c>
      <c r="M2979" s="5">
        <v>101095.356</v>
      </c>
      <c r="N2979" s="6">
        <v>5.9299999999999999E-2</v>
      </c>
      <c r="O2979" s="5">
        <v>27.337</v>
      </c>
      <c r="P2979" s="6">
        <v>3.6200000000000003E-2</v>
      </c>
      <c r="Q2979" s="5">
        <v>1694102.6040000001</v>
      </c>
      <c r="R2979" s="1" t="s">
        <v>44</v>
      </c>
      <c r="S2979" s="1" t="s">
        <v>94</v>
      </c>
      <c r="T2979" s="1" t="s">
        <v>93</v>
      </c>
      <c r="V2979" s="1" t="s">
        <v>183</v>
      </c>
      <c r="Y2979" s="1" t="s">
        <v>247</v>
      </c>
      <c r="Z2979" s="1" t="str">
        <f t="shared" si="138"/>
        <v>55415 GT101</v>
      </c>
      <c r="AA2979" s="3">
        <f>IF(INDEX('CAMD Facility Data 2023'!$AA$2:$AE$10000,MATCH(Z2979,'CAMD Facility Data 2023'!$AE$2:$AE$10000,0),1)&gt;0,INDEX('CAMD Facility Data 2023'!$AA$2:$AE$10000,MATCH(Z2979,'CAMD Facility Data 2023'!$AE$2:$AE$10000,0),1),"")</f>
        <v>37353</v>
      </c>
      <c r="AB2979" s="5">
        <f>IF(INDEX('CAMD Facility Data 2023'!$AC$2:$AE$10000,MATCH(Z2979,'CAMD Facility Data 2023'!$AE$2:$AE$10000,0),1)&gt;0,INDEX('CAMD Facility Data 2023'!$AC$2:$AE$10000,MATCH(Z2979,'CAMD Facility Data 2023'!$AE$2:$AE$10000,0),1),"")</f>
        <v>2220</v>
      </c>
      <c r="AC2979" s="1" t="str">
        <f>IF(INDEX('CAMD Facility Data 2023'!$AE$2:$AG$10000,MATCH(Z2979,'CAMD Facility Data 2023'!$AE$2:$AE$10000,0),3)&gt;0,INDEX('CAMD Facility Data 2023'!$AE$2:$AG$10000,MATCH(Z2979,'CAMD Facility Data 2023'!$AE$2:$AE$10000,0),3),"")</f>
        <v/>
      </c>
      <c r="AD2979" s="20">
        <f t="shared" si="139"/>
        <v>0.3372876444726412</v>
      </c>
      <c r="AE2979" s="25">
        <f t="shared" si="140"/>
        <v>8.7112931630260404E-2</v>
      </c>
    </row>
    <row r="2980" spans="1:31" x14ac:dyDescent="0.2">
      <c r="A2980" s="1" t="s">
        <v>304</v>
      </c>
      <c r="B2980" s="1" t="s">
        <v>6755</v>
      </c>
      <c r="C2980" s="1">
        <v>55415</v>
      </c>
      <c r="D2980" s="1" t="s">
        <v>6751</v>
      </c>
      <c r="F2980" s="1">
        <v>2023</v>
      </c>
      <c r="G2980" s="5">
        <v>1443</v>
      </c>
      <c r="H2980" s="5">
        <v>1293.06</v>
      </c>
      <c r="I2980" s="5">
        <v>202355.22</v>
      </c>
      <c r="K2980" s="5">
        <v>1.046</v>
      </c>
      <c r="L2980" s="5">
        <v>1.4E-3</v>
      </c>
      <c r="M2980" s="5">
        <v>124243.41899999999</v>
      </c>
      <c r="N2980" s="6">
        <v>5.9200000000000003E-2</v>
      </c>
      <c r="O2980" s="5">
        <v>33.134</v>
      </c>
      <c r="P2980" s="6">
        <v>3.6999999999999998E-2</v>
      </c>
      <c r="Q2980" s="5">
        <v>2084597.6089999999</v>
      </c>
      <c r="R2980" s="1" t="s">
        <v>44</v>
      </c>
      <c r="S2980" s="1" t="s">
        <v>94</v>
      </c>
      <c r="T2980" s="1" t="s">
        <v>93</v>
      </c>
      <c r="V2980" s="1" t="s">
        <v>183</v>
      </c>
      <c r="Y2980" s="1" t="s">
        <v>247</v>
      </c>
      <c r="Z2980" s="1" t="str">
        <f t="shared" si="138"/>
        <v>55415 GT201</v>
      </c>
      <c r="AA2980" s="3">
        <f>IF(INDEX('CAMD Facility Data 2023'!$AA$2:$AE$10000,MATCH(Z2980,'CAMD Facility Data 2023'!$AE$2:$AE$10000,0),1)&gt;0,INDEX('CAMD Facility Data 2023'!$AA$2:$AE$10000,MATCH(Z2980,'CAMD Facility Data 2023'!$AE$2:$AE$10000,0),1),"")</f>
        <v>37362</v>
      </c>
      <c r="AB2980" s="5">
        <f>IF(INDEX('CAMD Facility Data 2023'!$AC$2:$AE$10000,MATCH(Z2980,'CAMD Facility Data 2023'!$AE$2:$AE$10000,0),1)&gt;0,INDEX('CAMD Facility Data 2023'!$AC$2:$AE$10000,MATCH(Z2980,'CAMD Facility Data 2023'!$AE$2:$AE$10000,0),1),"")</f>
        <v>2220</v>
      </c>
      <c r="AC2980" s="1" t="str">
        <f>IF(INDEX('CAMD Facility Data 2023'!$AE$2:$AG$10000,MATCH(Z2980,'CAMD Facility Data 2023'!$AE$2:$AE$10000,0),3)&gt;0,INDEX('CAMD Facility Data 2023'!$AE$2:$AG$10000,MATCH(Z2980,'CAMD Facility Data 2023'!$AE$2:$AE$10000,0),3),"")</f>
        <v/>
      </c>
      <c r="AD2980" s="20">
        <f t="shared" si="139"/>
        <v>0.32748352130476299</v>
      </c>
      <c r="AE2980" s="25">
        <f t="shared" si="140"/>
        <v>0.10719268629931301</v>
      </c>
    </row>
    <row r="2981" spans="1:31" x14ac:dyDescent="0.2">
      <c r="A2981" s="1" t="s">
        <v>304</v>
      </c>
      <c r="B2981" s="1" t="s">
        <v>6755</v>
      </c>
      <c r="C2981" s="1">
        <v>55415</v>
      </c>
      <c r="D2981" s="1" t="s">
        <v>6753</v>
      </c>
      <c r="F2981" s="1">
        <v>2023</v>
      </c>
      <c r="G2981" s="5">
        <v>1062</v>
      </c>
      <c r="H2981" s="5">
        <v>959.1</v>
      </c>
      <c r="I2981" s="5">
        <v>148767.59</v>
      </c>
      <c r="K2981" s="5">
        <v>0.95</v>
      </c>
      <c r="L2981" s="5">
        <v>1.6000000000000001E-3</v>
      </c>
      <c r="M2981" s="5">
        <v>92791.536999999997</v>
      </c>
      <c r="N2981" s="6">
        <v>5.9299999999999999E-2</v>
      </c>
      <c r="O2981" s="5">
        <v>25.059000000000001</v>
      </c>
      <c r="P2981" s="6">
        <v>3.6799999999999999E-2</v>
      </c>
      <c r="Q2981" s="5">
        <v>1554478.798</v>
      </c>
      <c r="R2981" s="1" t="s">
        <v>44</v>
      </c>
      <c r="S2981" s="1" t="s">
        <v>94</v>
      </c>
      <c r="T2981" s="1" t="s">
        <v>93</v>
      </c>
      <c r="V2981" s="1" t="s">
        <v>183</v>
      </c>
      <c r="Y2981" s="1" t="s">
        <v>247</v>
      </c>
      <c r="Z2981" s="1" t="str">
        <f t="shared" si="138"/>
        <v>55415 GT301</v>
      </c>
      <c r="AA2981" s="3">
        <f>IF(INDEX('CAMD Facility Data 2023'!$AA$2:$AE$10000,MATCH(Z2981,'CAMD Facility Data 2023'!$AE$2:$AE$10000,0),1)&gt;0,INDEX('CAMD Facility Data 2023'!$AA$2:$AE$10000,MATCH(Z2981,'CAMD Facility Data 2023'!$AE$2:$AE$10000,0),1),"")</f>
        <v>37365</v>
      </c>
      <c r="AB2981" s="5">
        <f>IF(INDEX('CAMD Facility Data 2023'!$AC$2:$AE$10000,MATCH(Z2981,'CAMD Facility Data 2023'!$AE$2:$AE$10000,0),1)&gt;0,INDEX('CAMD Facility Data 2023'!$AC$2:$AE$10000,MATCH(Z2981,'CAMD Facility Data 2023'!$AE$2:$AE$10000,0),1),"")</f>
        <v>2220</v>
      </c>
      <c r="AC2981" s="1" t="str">
        <f>IF(INDEX('CAMD Facility Data 2023'!$AE$2:$AG$10000,MATCH(Z2981,'CAMD Facility Data 2023'!$AE$2:$AE$10000,0),3)&gt;0,INDEX('CAMD Facility Data 2023'!$AE$2:$AG$10000,MATCH(Z2981,'CAMD Facility Data 2023'!$AE$2:$AE$10000,0),3),"")</f>
        <v/>
      </c>
      <c r="AD2981" s="20">
        <f t="shared" si="139"/>
        <v>0.33688789339129577</v>
      </c>
      <c r="AE2981" s="25">
        <f t="shared" si="140"/>
        <v>7.9933296207166063E-2</v>
      </c>
    </row>
    <row r="2982" spans="1:31" x14ac:dyDescent="0.2">
      <c r="A2982" s="1" t="s">
        <v>304</v>
      </c>
      <c r="B2982" s="1" t="s">
        <v>6755</v>
      </c>
      <c r="C2982" s="1">
        <v>55415</v>
      </c>
      <c r="D2982" s="1" t="s">
        <v>6760</v>
      </c>
      <c r="F2982" s="1">
        <v>2023</v>
      </c>
      <c r="G2982" s="5">
        <v>1517</v>
      </c>
      <c r="H2982" s="5">
        <v>1358.2</v>
      </c>
      <c r="I2982" s="5">
        <v>208214</v>
      </c>
      <c r="K2982" s="5">
        <v>1.2190000000000001</v>
      </c>
      <c r="L2982" s="5">
        <v>1.5E-3</v>
      </c>
      <c r="M2982" s="5">
        <v>131247.647</v>
      </c>
      <c r="N2982" s="6">
        <v>5.9200000000000003E-2</v>
      </c>
      <c r="O2982" s="5">
        <v>35.212000000000003</v>
      </c>
      <c r="P2982" s="6">
        <v>3.7499999999999999E-2</v>
      </c>
      <c r="Q2982" s="5">
        <v>2200545.375</v>
      </c>
      <c r="R2982" s="1" t="s">
        <v>44</v>
      </c>
      <c r="S2982" s="1" t="s">
        <v>94</v>
      </c>
      <c r="T2982" s="1" t="s">
        <v>93</v>
      </c>
      <c r="V2982" s="1" t="s">
        <v>183</v>
      </c>
      <c r="Y2982" s="1" t="s">
        <v>247</v>
      </c>
      <c r="Z2982" s="1" t="str">
        <f t="shared" si="138"/>
        <v>55415 GT401</v>
      </c>
      <c r="AA2982" s="3">
        <f>IF(INDEX('CAMD Facility Data 2023'!$AA$2:$AE$10000,MATCH(Z2982,'CAMD Facility Data 2023'!$AE$2:$AE$10000,0),1)&gt;0,INDEX('CAMD Facility Data 2023'!$AA$2:$AE$10000,MATCH(Z2982,'CAMD Facility Data 2023'!$AE$2:$AE$10000,0),1),"")</f>
        <v>37386</v>
      </c>
      <c r="AB2982" s="5">
        <f>IF(INDEX('CAMD Facility Data 2023'!$AC$2:$AE$10000,MATCH(Z2982,'CAMD Facility Data 2023'!$AE$2:$AE$10000,0),1)&gt;0,INDEX('CAMD Facility Data 2023'!$AC$2:$AE$10000,MATCH(Z2982,'CAMD Facility Data 2023'!$AE$2:$AE$10000,0),1),"")</f>
        <v>2220</v>
      </c>
      <c r="AC2982" s="1" t="str">
        <f>IF(INDEX('CAMD Facility Data 2023'!$AE$2:$AG$10000,MATCH(Z2982,'CAMD Facility Data 2023'!$AE$2:$AE$10000,0),3)&gt;0,INDEX('CAMD Facility Data 2023'!$AE$2:$AG$10000,MATCH(Z2982,'CAMD Facility Data 2023'!$AE$2:$AE$10000,0),3),"")</f>
        <v/>
      </c>
      <c r="AD2982" s="20">
        <f t="shared" si="139"/>
        <v>0.33822893753542027</v>
      </c>
      <c r="AE2982" s="25">
        <f t="shared" si="140"/>
        <v>0.11315486933851659</v>
      </c>
    </row>
    <row r="2983" spans="1:31" x14ac:dyDescent="0.2">
      <c r="A2983" s="1" t="s">
        <v>458</v>
      </c>
      <c r="B2983" s="1" t="s">
        <v>6762</v>
      </c>
      <c r="C2983" s="1">
        <v>55417</v>
      </c>
      <c r="D2983" s="1" t="s">
        <v>6763</v>
      </c>
      <c r="F2983" s="1">
        <v>2023</v>
      </c>
      <c r="G2983" s="5">
        <v>4</v>
      </c>
      <c r="H2983" s="5">
        <v>2.82</v>
      </c>
      <c r="I2983" s="5">
        <v>187</v>
      </c>
      <c r="K2983" s="5">
        <v>1E-3</v>
      </c>
      <c r="L2983" s="5">
        <v>8.0000000000000004E-4</v>
      </c>
      <c r="M2983" s="5">
        <v>122.46</v>
      </c>
      <c r="N2983" s="6">
        <v>4.4299999999999999E-2</v>
      </c>
      <c r="O2983" s="5">
        <v>3.6999999999999998E-2</v>
      </c>
      <c r="P2983" s="6">
        <v>3.4500000000000003E-2</v>
      </c>
      <c r="Q2983" s="5">
        <v>2060.2020000000002</v>
      </c>
      <c r="R2983" s="1" t="s">
        <v>44</v>
      </c>
      <c r="T2983" s="1" t="s">
        <v>93</v>
      </c>
      <c r="V2983" s="1" t="s">
        <v>140</v>
      </c>
      <c r="Y2983" s="1" t="s">
        <v>461</v>
      </c>
      <c r="Z2983" s="1" t="str">
        <f t="shared" si="138"/>
        <v>55417 CT-01</v>
      </c>
      <c r="AA2983" s="3">
        <f>IF(INDEX('CAMD Facility Data 2023'!$AA$2:$AE$10000,MATCH(Z2983,'CAMD Facility Data 2023'!$AE$2:$AE$10000,0),1)&gt;0,INDEX('CAMD Facility Data 2023'!$AA$2:$AE$10000,MATCH(Z2983,'CAMD Facility Data 2023'!$AE$2:$AE$10000,0),1),"")</f>
        <v>37413</v>
      </c>
      <c r="AB2983" s="5">
        <f>IF(INDEX('CAMD Facility Data 2023'!$AC$2:$AE$10000,MATCH(Z2983,'CAMD Facility Data 2023'!$AE$2:$AE$10000,0),1)&gt;0,INDEX('CAMD Facility Data 2023'!$AC$2:$AE$10000,MATCH(Z2983,'CAMD Facility Data 2023'!$AE$2:$AE$10000,0),1),"")</f>
        <v>1060</v>
      </c>
      <c r="AC2983" s="1" t="str">
        <f>IF(INDEX('CAMD Facility Data 2023'!$AE$2:$AG$10000,MATCH(Z2983,'CAMD Facility Data 2023'!$AE$2:$AE$10000,0),3)&gt;0,INDEX('CAMD Facility Data 2023'!$AE$2:$AG$10000,MATCH(Z2983,'CAMD Facility Data 2023'!$AE$2:$AE$10000,0),3),"")</f>
        <v/>
      </c>
      <c r="AD2983" s="20">
        <f t="shared" si="139"/>
        <v>0.39572192513368987</v>
      </c>
      <c r="AE2983" s="25">
        <f t="shared" si="140"/>
        <v>2.2187063840785736E-4</v>
      </c>
    </row>
    <row r="2984" spans="1:31" x14ac:dyDescent="0.2">
      <c r="A2984" s="1" t="s">
        <v>458</v>
      </c>
      <c r="B2984" s="1" t="s">
        <v>6762</v>
      </c>
      <c r="C2984" s="1">
        <v>55417</v>
      </c>
      <c r="D2984" s="1" t="s">
        <v>6766</v>
      </c>
      <c r="F2984" s="1">
        <v>2023</v>
      </c>
      <c r="G2984" s="5">
        <v>4</v>
      </c>
      <c r="H2984" s="5">
        <v>3.1</v>
      </c>
      <c r="I2984" s="5">
        <v>209.14</v>
      </c>
      <c r="K2984" s="5">
        <v>1E-3</v>
      </c>
      <c r="L2984" s="5">
        <v>1E-3</v>
      </c>
      <c r="M2984" s="5">
        <v>123.688</v>
      </c>
      <c r="N2984" s="6">
        <v>5.8999999999999997E-2</v>
      </c>
      <c r="O2984" s="5">
        <v>2.5999999999999999E-2</v>
      </c>
      <c r="P2984" s="6">
        <v>2.4500000000000001E-2</v>
      </c>
      <c r="Q2984" s="5">
        <v>2082.6080000000002</v>
      </c>
      <c r="R2984" s="1" t="s">
        <v>44</v>
      </c>
      <c r="T2984" s="1" t="s">
        <v>93</v>
      </c>
      <c r="V2984" s="1" t="s">
        <v>140</v>
      </c>
      <c r="Y2984" s="1" t="s">
        <v>461</v>
      </c>
      <c r="Z2984" s="1" t="str">
        <f t="shared" si="138"/>
        <v>55417 CT-02</v>
      </c>
      <c r="AA2984" s="3">
        <f>IF(INDEX('CAMD Facility Data 2023'!$AA$2:$AE$10000,MATCH(Z2984,'CAMD Facility Data 2023'!$AE$2:$AE$10000,0),1)&gt;0,INDEX('CAMD Facility Data 2023'!$AA$2:$AE$10000,MATCH(Z2984,'CAMD Facility Data 2023'!$AE$2:$AE$10000,0),1),"")</f>
        <v>37413</v>
      </c>
      <c r="AB2984" s="5">
        <f>IF(INDEX('CAMD Facility Data 2023'!$AC$2:$AE$10000,MATCH(Z2984,'CAMD Facility Data 2023'!$AE$2:$AE$10000,0),1)&gt;0,INDEX('CAMD Facility Data 2023'!$AC$2:$AE$10000,MATCH(Z2984,'CAMD Facility Data 2023'!$AE$2:$AE$10000,0),1),"")</f>
        <v>1060</v>
      </c>
      <c r="AC2984" s="1" t="str">
        <f>IF(INDEX('CAMD Facility Data 2023'!$AE$2:$AG$10000,MATCH(Z2984,'CAMD Facility Data 2023'!$AE$2:$AE$10000,0),3)&gt;0,INDEX('CAMD Facility Data 2023'!$AE$2:$AG$10000,MATCH(Z2984,'CAMD Facility Data 2023'!$AE$2:$AE$10000,0),3),"")</f>
        <v/>
      </c>
      <c r="AD2984" s="20">
        <f t="shared" si="139"/>
        <v>0.2486372764655255</v>
      </c>
      <c r="AE2984" s="25">
        <f t="shared" si="140"/>
        <v>2.2428362195227021E-4</v>
      </c>
    </row>
    <row r="2985" spans="1:31" x14ac:dyDescent="0.2">
      <c r="A2985" s="1" t="s">
        <v>458</v>
      </c>
      <c r="B2985" s="1" t="s">
        <v>6762</v>
      </c>
      <c r="C2985" s="1">
        <v>55417</v>
      </c>
      <c r="D2985" s="1" t="s">
        <v>6768</v>
      </c>
      <c r="F2985" s="1">
        <v>2023</v>
      </c>
      <c r="G2985" s="5">
        <v>4</v>
      </c>
      <c r="H2985" s="5">
        <v>2.93</v>
      </c>
      <c r="I2985" s="5">
        <v>195.92</v>
      </c>
      <c r="K2985" s="5">
        <v>1E-3</v>
      </c>
      <c r="L2985" s="5">
        <v>1E-3</v>
      </c>
      <c r="M2985" s="5">
        <v>123.577</v>
      </c>
      <c r="N2985" s="6">
        <v>5.9299999999999999E-2</v>
      </c>
      <c r="O2985" s="5">
        <v>3.5999999999999997E-2</v>
      </c>
      <c r="P2985" s="6">
        <v>3.3300000000000003E-2</v>
      </c>
      <c r="Q2985" s="5">
        <v>2078.6970000000001</v>
      </c>
      <c r="R2985" s="1" t="s">
        <v>44</v>
      </c>
      <c r="T2985" s="1" t="s">
        <v>93</v>
      </c>
      <c r="V2985" s="1" t="s">
        <v>140</v>
      </c>
      <c r="Y2985" s="1" t="s">
        <v>461</v>
      </c>
      <c r="Z2985" s="1" t="str">
        <f t="shared" si="138"/>
        <v>55417 CT-03</v>
      </c>
      <c r="AA2985" s="3">
        <f>IF(INDEX('CAMD Facility Data 2023'!$AA$2:$AE$10000,MATCH(Z2985,'CAMD Facility Data 2023'!$AE$2:$AE$10000,0),1)&gt;0,INDEX('CAMD Facility Data 2023'!$AA$2:$AE$10000,MATCH(Z2985,'CAMD Facility Data 2023'!$AE$2:$AE$10000,0),1),"")</f>
        <v>37413</v>
      </c>
      <c r="AB2985" s="5">
        <f>IF(INDEX('CAMD Facility Data 2023'!$AC$2:$AE$10000,MATCH(Z2985,'CAMD Facility Data 2023'!$AE$2:$AE$10000,0),1)&gt;0,INDEX('CAMD Facility Data 2023'!$AC$2:$AE$10000,MATCH(Z2985,'CAMD Facility Data 2023'!$AE$2:$AE$10000,0),1),"")</f>
        <v>1060</v>
      </c>
      <c r="AC2985" s="1" t="str">
        <f>IF(INDEX('CAMD Facility Data 2023'!$AE$2:$AG$10000,MATCH(Z2985,'CAMD Facility Data 2023'!$AE$2:$AE$10000,0),3)&gt;0,INDEX('CAMD Facility Data 2023'!$AE$2:$AG$10000,MATCH(Z2985,'CAMD Facility Data 2023'!$AE$2:$AE$10000,0),3),"")</f>
        <v/>
      </c>
      <c r="AD2985" s="20">
        <f t="shared" si="139"/>
        <v>0.36749693752552065</v>
      </c>
      <c r="AE2985" s="25">
        <f t="shared" si="140"/>
        <v>2.2386243215301112E-4</v>
      </c>
    </row>
    <row r="2986" spans="1:31" x14ac:dyDescent="0.2">
      <c r="A2986" s="1" t="s">
        <v>458</v>
      </c>
      <c r="B2986" s="1" t="s">
        <v>6762</v>
      </c>
      <c r="C2986" s="1">
        <v>55417</v>
      </c>
      <c r="D2986" s="1" t="s">
        <v>6770</v>
      </c>
      <c r="F2986" s="1">
        <v>2023</v>
      </c>
      <c r="G2986" s="5">
        <v>6</v>
      </c>
      <c r="H2986" s="5">
        <v>3.89</v>
      </c>
      <c r="I2986" s="5">
        <v>209.61</v>
      </c>
      <c r="K2986" s="5">
        <v>1E-3</v>
      </c>
      <c r="L2986" s="5">
        <v>1E-3</v>
      </c>
      <c r="M2986" s="5">
        <v>143.185</v>
      </c>
      <c r="N2986" s="6">
        <v>5.9200000000000003E-2</v>
      </c>
      <c r="O2986" s="5">
        <v>4.2999999999999997E-2</v>
      </c>
      <c r="P2986" s="6">
        <v>3.0700000000000002E-2</v>
      </c>
      <c r="Q2986" s="5">
        <v>2409.748</v>
      </c>
      <c r="R2986" s="1" t="s">
        <v>44</v>
      </c>
      <c r="T2986" s="1" t="s">
        <v>93</v>
      </c>
      <c r="V2986" s="1" t="s">
        <v>140</v>
      </c>
      <c r="Y2986" s="1" t="s">
        <v>461</v>
      </c>
      <c r="Z2986" s="1" t="str">
        <f t="shared" si="138"/>
        <v>55417 CT-04</v>
      </c>
      <c r="AA2986" s="3">
        <f>IF(INDEX('CAMD Facility Data 2023'!$AA$2:$AE$10000,MATCH(Z2986,'CAMD Facility Data 2023'!$AE$2:$AE$10000,0),1)&gt;0,INDEX('CAMD Facility Data 2023'!$AA$2:$AE$10000,MATCH(Z2986,'CAMD Facility Data 2023'!$AE$2:$AE$10000,0),1),"")</f>
        <v>37413</v>
      </c>
      <c r="AB2986" s="5">
        <f>IF(INDEX('CAMD Facility Data 2023'!$AC$2:$AE$10000,MATCH(Z2986,'CAMD Facility Data 2023'!$AE$2:$AE$10000,0),1)&gt;0,INDEX('CAMD Facility Data 2023'!$AC$2:$AE$10000,MATCH(Z2986,'CAMD Facility Data 2023'!$AE$2:$AE$10000,0),1),"")</f>
        <v>1060</v>
      </c>
      <c r="AC2986" s="1" t="str">
        <f>IF(INDEX('CAMD Facility Data 2023'!$AE$2:$AG$10000,MATCH(Z2986,'CAMD Facility Data 2023'!$AE$2:$AE$10000,0),3)&gt;0,INDEX('CAMD Facility Data 2023'!$AE$2:$AG$10000,MATCH(Z2986,'CAMD Facility Data 2023'!$AE$2:$AE$10000,0),3),"")</f>
        <v/>
      </c>
      <c r="AD2986" s="20">
        <f t="shared" si="139"/>
        <v>0.41028576880874001</v>
      </c>
      <c r="AE2986" s="25">
        <f t="shared" si="140"/>
        <v>2.5951451710174898E-4</v>
      </c>
    </row>
    <row r="2987" spans="1:31" x14ac:dyDescent="0.2">
      <c r="A2987" s="1" t="s">
        <v>348</v>
      </c>
      <c r="B2987" s="1" t="s">
        <v>6772</v>
      </c>
      <c r="C2987" s="1">
        <v>55418</v>
      </c>
      <c r="D2987" s="1" t="s">
        <v>1296</v>
      </c>
      <c r="F2987" s="1">
        <v>2023</v>
      </c>
      <c r="G2987" s="5">
        <v>4433</v>
      </c>
      <c r="H2987" s="5">
        <v>4396.59</v>
      </c>
      <c r="I2987" s="5">
        <v>1055509.6299999999</v>
      </c>
      <c r="K2987" s="5">
        <v>2.274</v>
      </c>
      <c r="L2987" s="5">
        <v>1E-3</v>
      </c>
      <c r="M2987" s="5">
        <v>450370.57</v>
      </c>
      <c r="N2987" s="6">
        <v>5.8999999999999997E-2</v>
      </c>
      <c r="O2987" s="5">
        <v>40.051000000000002</v>
      </c>
      <c r="P2987" s="6">
        <v>1.21E-2</v>
      </c>
      <c r="Q2987" s="5">
        <v>7578380.1310000001</v>
      </c>
      <c r="R2987" s="1" t="s">
        <v>44</v>
      </c>
      <c r="T2987" s="1" t="s">
        <v>71</v>
      </c>
      <c r="V2987" s="1" t="s">
        <v>64</v>
      </c>
      <c r="Y2987" s="1" t="s">
        <v>346</v>
      </c>
      <c r="Z2987" s="1" t="str">
        <f t="shared" si="138"/>
        <v>55418 CT-1</v>
      </c>
      <c r="AA2987" s="3">
        <f>IF(INDEX('CAMD Facility Data 2023'!$AA$2:$AE$10000,MATCH(Z2987,'CAMD Facility Data 2023'!$AE$2:$AE$10000,0),1)&gt;0,INDEX('CAMD Facility Data 2023'!$AA$2:$AE$10000,MATCH(Z2987,'CAMD Facility Data 2023'!$AE$2:$AE$10000,0),1),"")</f>
        <v>37363</v>
      </c>
      <c r="AB2987" s="5">
        <f>IF(INDEX('CAMD Facility Data 2023'!$AC$2:$AE$10000,MATCH(Z2987,'CAMD Facility Data 2023'!$AE$2:$AE$10000,0),1)&gt;0,INDEX('CAMD Facility Data 2023'!$AC$2:$AE$10000,MATCH(Z2987,'CAMD Facility Data 2023'!$AE$2:$AE$10000,0),1),"")</f>
        <v>2650</v>
      </c>
      <c r="AC2987" s="1" t="str">
        <f>IF(INDEX('CAMD Facility Data 2023'!$AE$2:$AG$10000,MATCH(Z2987,'CAMD Facility Data 2023'!$AE$2:$AE$10000,0),3)&gt;0,INDEX('CAMD Facility Data 2023'!$AE$2:$AG$10000,MATCH(Z2987,'CAMD Facility Data 2023'!$AE$2:$AE$10000,0),3),"")</f>
        <v>Y</v>
      </c>
      <c r="AD2987" s="20">
        <f t="shared" si="139"/>
        <v>7.5889407091435074E-2</v>
      </c>
      <c r="AE2987" s="25">
        <f t="shared" si="140"/>
        <v>0.32645731588696475</v>
      </c>
    </row>
    <row r="2988" spans="1:31" x14ac:dyDescent="0.2">
      <c r="A2988" s="1" t="s">
        <v>348</v>
      </c>
      <c r="B2988" s="1" t="s">
        <v>6772</v>
      </c>
      <c r="C2988" s="1">
        <v>55418</v>
      </c>
      <c r="D2988" s="1" t="s">
        <v>1300</v>
      </c>
      <c r="F2988" s="1">
        <v>2023</v>
      </c>
      <c r="G2988" s="5">
        <v>4877</v>
      </c>
      <c r="H2988" s="5">
        <v>4848.13</v>
      </c>
      <c r="I2988" s="5">
        <v>1169811.1000000001</v>
      </c>
      <c r="K2988" s="5">
        <v>2.5249999999999999</v>
      </c>
      <c r="L2988" s="5">
        <v>1E-3</v>
      </c>
      <c r="M2988" s="5">
        <v>500222.18400000001</v>
      </c>
      <c r="N2988" s="6">
        <v>5.8999999999999997E-2</v>
      </c>
      <c r="O2988" s="5">
        <v>47.829000000000001</v>
      </c>
      <c r="P2988" s="6">
        <v>1.43E-2</v>
      </c>
      <c r="Q2988" s="5">
        <v>8417172.8920000009</v>
      </c>
      <c r="R2988" s="1" t="s">
        <v>44</v>
      </c>
      <c r="T2988" s="1" t="s">
        <v>71</v>
      </c>
      <c r="V2988" s="1" t="s">
        <v>64</v>
      </c>
      <c r="Y2988" s="1" t="s">
        <v>346</v>
      </c>
      <c r="Z2988" s="1" t="str">
        <f t="shared" si="138"/>
        <v>55418 CT-2</v>
      </c>
      <c r="AA2988" s="3">
        <f>IF(INDEX('CAMD Facility Data 2023'!$AA$2:$AE$10000,MATCH(Z2988,'CAMD Facility Data 2023'!$AE$2:$AE$10000,0),1)&gt;0,INDEX('CAMD Facility Data 2023'!$AA$2:$AE$10000,MATCH(Z2988,'CAMD Facility Data 2023'!$AE$2:$AE$10000,0),1),"")</f>
        <v>37344</v>
      </c>
      <c r="AB2988" s="5">
        <f>IF(INDEX('CAMD Facility Data 2023'!$AC$2:$AE$10000,MATCH(Z2988,'CAMD Facility Data 2023'!$AE$2:$AE$10000,0),1)&gt;0,INDEX('CAMD Facility Data 2023'!$AC$2:$AE$10000,MATCH(Z2988,'CAMD Facility Data 2023'!$AE$2:$AE$10000,0),1),"")</f>
        <v>2650</v>
      </c>
      <c r="AC2988" s="1" t="str">
        <f>IF(INDEX('CAMD Facility Data 2023'!$AE$2:$AG$10000,MATCH(Z2988,'CAMD Facility Data 2023'!$AE$2:$AE$10000,0),3)&gt;0,INDEX('CAMD Facility Data 2023'!$AE$2:$AG$10000,MATCH(Z2988,'CAMD Facility Data 2023'!$AE$2:$AE$10000,0),3),"")</f>
        <v>Y</v>
      </c>
      <c r="AD2988" s="20">
        <f t="shared" si="139"/>
        <v>8.1772176721523662E-2</v>
      </c>
      <c r="AE2988" s="25">
        <f t="shared" si="140"/>
        <v>0.3625903718445766</v>
      </c>
    </row>
    <row r="2989" spans="1:31" x14ac:dyDescent="0.2">
      <c r="A2989" s="1" t="s">
        <v>1426</v>
      </c>
      <c r="B2989" s="1" t="s">
        <v>6775</v>
      </c>
      <c r="C2989" s="1">
        <v>55419</v>
      </c>
      <c r="D2989" s="1">
        <v>500</v>
      </c>
      <c r="F2989" s="1">
        <v>2023</v>
      </c>
      <c r="G2989" s="5">
        <v>7300</v>
      </c>
      <c r="H2989" s="5">
        <v>7290.07</v>
      </c>
      <c r="I2989" s="5">
        <v>2283931.48</v>
      </c>
      <c r="K2989" s="5">
        <v>2.2959999999999998</v>
      </c>
      <c r="L2989" s="5">
        <v>1E-4</v>
      </c>
      <c r="M2989" s="5">
        <v>703732.08200000005</v>
      </c>
      <c r="N2989" s="6">
        <v>5.6599999999999998E-2</v>
      </c>
      <c r="O2989" s="5">
        <v>103.283</v>
      </c>
      <c r="P2989" s="6">
        <v>1.67E-2</v>
      </c>
      <c r="Q2989" s="5">
        <v>12465085.623</v>
      </c>
      <c r="R2989" s="1" t="s">
        <v>284</v>
      </c>
      <c r="S2989" s="1" t="s">
        <v>1432</v>
      </c>
      <c r="T2989" s="1" t="s">
        <v>71</v>
      </c>
      <c r="V2989" s="1" t="s">
        <v>64</v>
      </c>
      <c r="Y2989" s="1" t="s">
        <v>1428</v>
      </c>
      <c r="Z2989" s="1" t="str">
        <f t="shared" si="138"/>
        <v>55419 500</v>
      </c>
      <c r="AA2989" s="3">
        <f>IF(INDEX('CAMD Facility Data 2023'!$AA$2:$AE$10000,MATCH(Z2989,'CAMD Facility Data 2023'!$AE$2:$AE$10000,0),1)&gt;0,INDEX('CAMD Facility Data 2023'!$AA$2:$AE$10000,MATCH(Z2989,'CAMD Facility Data 2023'!$AE$2:$AE$10000,0),1),"")</f>
        <v>38064</v>
      </c>
      <c r="AB2989" s="5">
        <f>IF(INDEX('CAMD Facility Data 2023'!$AC$2:$AE$10000,MATCH(Z2989,'CAMD Facility Data 2023'!$AE$2:$AE$10000,0),1)&gt;0,INDEX('CAMD Facility Data 2023'!$AC$2:$AE$10000,MATCH(Z2989,'CAMD Facility Data 2023'!$AE$2:$AE$10000,0),1),"")</f>
        <v>2603</v>
      </c>
      <c r="AC2989" s="1" t="str">
        <f>IF(INDEX('CAMD Facility Data 2023'!$AE$2:$AG$10000,MATCH(Z2989,'CAMD Facility Data 2023'!$AE$2:$AE$10000,0),3)&gt;0,INDEX('CAMD Facility Data 2023'!$AE$2:$AG$10000,MATCH(Z2989,'CAMD Facility Data 2023'!$AE$2:$AE$10000,0),3),"")</f>
        <v>Y</v>
      </c>
      <c r="AD2989" s="20">
        <f t="shared" si="139"/>
        <v>9.0443168636565222E-2</v>
      </c>
      <c r="AE2989" s="25">
        <f t="shared" si="140"/>
        <v>0.54665961574895139</v>
      </c>
    </row>
    <row r="2990" spans="1:31" x14ac:dyDescent="0.2">
      <c r="A2990" s="1" t="s">
        <v>1426</v>
      </c>
      <c r="B2990" s="1" t="s">
        <v>6775</v>
      </c>
      <c r="C2990" s="1">
        <v>55419</v>
      </c>
      <c r="D2990" s="1">
        <v>600</v>
      </c>
      <c r="F2990" s="1">
        <v>2023</v>
      </c>
      <c r="G2990" s="5">
        <v>8753</v>
      </c>
      <c r="H2990" s="5">
        <v>8751.7199999999993</v>
      </c>
      <c r="I2990" s="5">
        <v>2778634.72</v>
      </c>
      <c r="K2990" s="5">
        <v>2.589</v>
      </c>
      <c r="L2990" s="5">
        <v>1E-4</v>
      </c>
      <c r="M2990" s="5">
        <v>845458.57799999998</v>
      </c>
      <c r="N2990" s="6">
        <v>5.7000000000000002E-2</v>
      </c>
      <c r="O2990" s="5">
        <v>124.79900000000001</v>
      </c>
      <c r="P2990" s="6">
        <v>1.6899999999999998E-2</v>
      </c>
      <c r="Q2990" s="5">
        <v>14811178.470000001</v>
      </c>
      <c r="R2990" s="1" t="s">
        <v>284</v>
      </c>
      <c r="S2990" s="1" t="s">
        <v>1432</v>
      </c>
      <c r="T2990" s="1" t="s">
        <v>71</v>
      </c>
      <c r="V2990" s="1" t="s">
        <v>64</v>
      </c>
      <c r="Y2990" s="1" t="s">
        <v>1428</v>
      </c>
      <c r="Z2990" s="1" t="str">
        <f t="shared" si="138"/>
        <v>55419 600</v>
      </c>
      <c r="AA2990" s="3">
        <f>IF(INDEX('CAMD Facility Data 2023'!$AA$2:$AE$10000,MATCH(Z2990,'CAMD Facility Data 2023'!$AE$2:$AE$10000,0),1)&gt;0,INDEX('CAMD Facility Data 2023'!$AA$2:$AE$10000,MATCH(Z2990,'CAMD Facility Data 2023'!$AE$2:$AE$10000,0),1),"")</f>
        <v>38064</v>
      </c>
      <c r="AB2990" s="5">
        <f>IF(INDEX('CAMD Facility Data 2023'!$AC$2:$AE$10000,MATCH(Z2990,'CAMD Facility Data 2023'!$AE$2:$AE$10000,0),1)&gt;0,INDEX('CAMD Facility Data 2023'!$AC$2:$AE$10000,MATCH(Z2990,'CAMD Facility Data 2023'!$AE$2:$AE$10000,0),1),"")</f>
        <v>2603</v>
      </c>
      <c r="AC2990" s="1" t="str">
        <f>IF(INDEX('CAMD Facility Data 2023'!$AE$2:$AG$10000,MATCH(Z2990,'CAMD Facility Data 2023'!$AE$2:$AE$10000,0),3)&gt;0,INDEX('CAMD Facility Data 2023'!$AE$2:$AG$10000,MATCH(Z2990,'CAMD Facility Data 2023'!$AE$2:$AE$10000,0),3),"")</f>
        <v>Y</v>
      </c>
      <c r="AD2990" s="20">
        <f t="shared" si="139"/>
        <v>8.9827568267051669E-2</v>
      </c>
      <c r="AE2990" s="25">
        <f t="shared" si="140"/>
        <v>0.64954813597587613</v>
      </c>
    </row>
    <row r="2991" spans="1:31" x14ac:dyDescent="0.2">
      <c r="A2991" s="1" t="s">
        <v>1426</v>
      </c>
      <c r="B2991" s="1" t="s">
        <v>6775</v>
      </c>
      <c r="C2991" s="1">
        <v>55419</v>
      </c>
      <c r="D2991" s="1">
        <v>700</v>
      </c>
      <c r="F2991" s="1">
        <v>2023</v>
      </c>
      <c r="G2991" s="5">
        <v>6926</v>
      </c>
      <c r="H2991" s="5">
        <v>6921.01</v>
      </c>
      <c r="I2991" s="5">
        <v>2216773.86</v>
      </c>
      <c r="K2991" s="5">
        <v>2.1070000000000002</v>
      </c>
      <c r="L2991" s="5">
        <v>1E-4</v>
      </c>
      <c r="M2991" s="5">
        <v>682722.10199999996</v>
      </c>
      <c r="N2991" s="6">
        <v>5.5500000000000001E-2</v>
      </c>
      <c r="O2991" s="5">
        <v>99.468999999999994</v>
      </c>
      <c r="P2991" s="6">
        <v>1.6199999999999999E-2</v>
      </c>
      <c r="Q2991" s="5">
        <v>12305994.982000001</v>
      </c>
      <c r="R2991" s="1" t="s">
        <v>284</v>
      </c>
      <c r="S2991" s="1" t="s">
        <v>1432</v>
      </c>
      <c r="T2991" s="1" t="s">
        <v>71</v>
      </c>
      <c r="V2991" s="1" t="s">
        <v>64</v>
      </c>
      <c r="Y2991" s="1" t="s">
        <v>1428</v>
      </c>
      <c r="Z2991" s="1" t="str">
        <f t="shared" si="138"/>
        <v>55419 700</v>
      </c>
      <c r="AA2991" s="3">
        <f>IF(INDEX('CAMD Facility Data 2023'!$AA$2:$AE$10000,MATCH(Z2991,'CAMD Facility Data 2023'!$AE$2:$AE$10000,0),1)&gt;0,INDEX('CAMD Facility Data 2023'!$AA$2:$AE$10000,MATCH(Z2991,'CAMD Facility Data 2023'!$AE$2:$AE$10000,0),1),"")</f>
        <v>38064</v>
      </c>
      <c r="AB2991" s="5">
        <f>IF(INDEX('CAMD Facility Data 2023'!$AC$2:$AE$10000,MATCH(Z2991,'CAMD Facility Data 2023'!$AE$2:$AE$10000,0),1)&gt;0,INDEX('CAMD Facility Data 2023'!$AC$2:$AE$10000,MATCH(Z2991,'CAMD Facility Data 2023'!$AE$2:$AE$10000,0),1),"")</f>
        <v>2603</v>
      </c>
      <c r="AC2991" s="1" t="str">
        <f>IF(INDEX('CAMD Facility Data 2023'!$AE$2:$AG$10000,MATCH(Z2991,'CAMD Facility Data 2023'!$AE$2:$AE$10000,0),3)&gt;0,INDEX('CAMD Facility Data 2023'!$AE$2:$AG$10000,MATCH(Z2991,'CAMD Facility Data 2023'!$AE$2:$AE$10000,0),3),"")</f>
        <v>Y</v>
      </c>
      <c r="AD2991" s="20">
        <f t="shared" si="139"/>
        <v>8.9742126425110411E-2</v>
      </c>
      <c r="AE2991" s="25">
        <f t="shared" si="140"/>
        <v>0.53968265375216873</v>
      </c>
    </row>
    <row r="2992" spans="1:31" x14ac:dyDescent="0.2">
      <c r="A2992" s="1" t="s">
        <v>1426</v>
      </c>
      <c r="B2992" s="1" t="s">
        <v>6775</v>
      </c>
      <c r="C2992" s="1">
        <v>55419</v>
      </c>
      <c r="D2992" s="1">
        <v>800</v>
      </c>
      <c r="F2992" s="1">
        <v>2023</v>
      </c>
      <c r="G2992" s="5">
        <v>8071</v>
      </c>
      <c r="H2992" s="5">
        <v>8066.56</v>
      </c>
      <c r="I2992" s="5">
        <v>2565255.71</v>
      </c>
      <c r="K2992" s="5">
        <v>2.4079999999999999</v>
      </c>
      <c r="L2992" s="5">
        <v>1E-4</v>
      </c>
      <c r="M2992" s="5">
        <v>760033.804</v>
      </c>
      <c r="N2992" s="6">
        <v>5.5399999999999998E-2</v>
      </c>
      <c r="O2992" s="5">
        <v>110.89400000000001</v>
      </c>
      <c r="P2992" s="6">
        <v>1.6199999999999999E-2</v>
      </c>
      <c r="Q2992" s="5">
        <v>13716919.046</v>
      </c>
      <c r="R2992" s="1" t="s">
        <v>284</v>
      </c>
      <c r="S2992" s="1" t="s">
        <v>1432</v>
      </c>
      <c r="T2992" s="1" t="s">
        <v>71</v>
      </c>
      <c r="V2992" s="1" t="s">
        <v>64</v>
      </c>
      <c r="Y2992" s="1" t="s">
        <v>1428</v>
      </c>
      <c r="Z2992" s="1" t="str">
        <f t="shared" si="138"/>
        <v>55419 800</v>
      </c>
      <c r="AA2992" s="3">
        <f>IF(INDEX('CAMD Facility Data 2023'!$AA$2:$AE$10000,MATCH(Z2992,'CAMD Facility Data 2023'!$AE$2:$AE$10000,0),1)&gt;0,INDEX('CAMD Facility Data 2023'!$AA$2:$AE$10000,MATCH(Z2992,'CAMD Facility Data 2023'!$AE$2:$AE$10000,0),1),"")</f>
        <v>38064</v>
      </c>
      <c r="AB2992" s="5">
        <f>IF(INDEX('CAMD Facility Data 2023'!$AC$2:$AE$10000,MATCH(Z2992,'CAMD Facility Data 2023'!$AE$2:$AE$10000,0),1)&gt;0,INDEX('CAMD Facility Data 2023'!$AC$2:$AE$10000,MATCH(Z2992,'CAMD Facility Data 2023'!$AE$2:$AE$10000,0),1),"")</f>
        <v>2603</v>
      </c>
      <c r="AC2992" s="1" t="str">
        <f>IF(INDEX('CAMD Facility Data 2023'!$AE$2:$AG$10000,MATCH(Z2992,'CAMD Facility Data 2023'!$AE$2:$AE$10000,0),3)&gt;0,INDEX('CAMD Facility Data 2023'!$AE$2:$AG$10000,MATCH(Z2992,'CAMD Facility Data 2023'!$AE$2:$AE$10000,0),3),"")</f>
        <v>Y</v>
      </c>
      <c r="AD2992" s="20">
        <f t="shared" si="139"/>
        <v>8.6458437315007478E-2</v>
      </c>
      <c r="AE2992" s="25">
        <f t="shared" si="140"/>
        <v>0.6015591004934594</v>
      </c>
    </row>
    <row r="2993" spans="1:31" x14ac:dyDescent="0.2">
      <c r="A2993" s="1" t="s">
        <v>1426</v>
      </c>
      <c r="B2993" s="1" t="s">
        <v>6781</v>
      </c>
      <c r="C2993" s="1">
        <v>55433</v>
      </c>
      <c r="D2993" s="1" t="s">
        <v>5681</v>
      </c>
      <c r="F2993" s="1">
        <v>2023</v>
      </c>
      <c r="G2993" s="5">
        <v>1020</v>
      </c>
      <c r="H2993" s="5">
        <v>861.89</v>
      </c>
      <c r="I2993" s="5">
        <v>51404.800000000003</v>
      </c>
      <c r="K2993" s="5">
        <v>0.189</v>
      </c>
      <c r="L2993" s="5">
        <v>1E-3</v>
      </c>
      <c r="M2993" s="5">
        <v>37533.317999999999</v>
      </c>
      <c r="N2993" s="6">
        <v>5.91E-2</v>
      </c>
      <c r="O2993" s="5">
        <v>11.082000000000001</v>
      </c>
      <c r="P2993" s="6">
        <v>4.48E-2</v>
      </c>
      <c r="Q2993" s="5">
        <v>631563.09699999995</v>
      </c>
      <c r="R2993" s="1" t="s">
        <v>44</v>
      </c>
      <c r="T2993" s="1" t="s">
        <v>93</v>
      </c>
      <c r="V2993" s="1" t="s">
        <v>140</v>
      </c>
      <c r="Y2993" s="1" t="s">
        <v>1428</v>
      </c>
      <c r="Z2993" s="1" t="str">
        <f t="shared" si="138"/>
        <v>55433 CTG-1</v>
      </c>
      <c r="AA2993" s="3">
        <f>IF(INDEX('CAMD Facility Data 2023'!$AA$2:$AE$10000,MATCH(Z2993,'CAMD Facility Data 2023'!$AE$2:$AE$10000,0),1)&gt;0,INDEX('CAMD Facility Data 2023'!$AA$2:$AE$10000,MATCH(Z2993,'CAMD Facility Data 2023'!$AE$2:$AE$10000,0),1),"")</f>
        <v>37476</v>
      </c>
      <c r="AB2993" s="5">
        <f>IF(INDEX('CAMD Facility Data 2023'!$AC$2:$AE$10000,MATCH(Z2993,'CAMD Facility Data 2023'!$AE$2:$AE$10000,0),1)&gt;0,INDEX('CAMD Facility Data 2023'!$AC$2:$AE$10000,MATCH(Z2993,'CAMD Facility Data 2023'!$AE$2:$AE$10000,0),1),"")</f>
        <v>1073</v>
      </c>
      <c r="AC2993" s="1" t="str">
        <f>IF(INDEX('CAMD Facility Data 2023'!$AE$2:$AG$10000,MATCH(Z2993,'CAMD Facility Data 2023'!$AE$2:$AE$10000,0),3)&gt;0,INDEX('CAMD Facility Data 2023'!$AE$2:$AG$10000,MATCH(Z2993,'CAMD Facility Data 2023'!$AE$2:$AE$10000,0),3),"")</f>
        <v/>
      </c>
      <c r="AD2993" s="20">
        <f t="shared" si="139"/>
        <v>0.43116596115537847</v>
      </c>
      <c r="AE2993" s="25">
        <f t="shared" si="140"/>
        <v>6.7191280475090112E-2</v>
      </c>
    </row>
    <row r="2994" spans="1:31" x14ac:dyDescent="0.2">
      <c r="A2994" s="1" t="s">
        <v>1426</v>
      </c>
      <c r="B2994" s="1" t="s">
        <v>6781</v>
      </c>
      <c r="C2994" s="1">
        <v>55433</v>
      </c>
      <c r="D2994" s="1" t="s">
        <v>5684</v>
      </c>
      <c r="F2994" s="1">
        <v>2023</v>
      </c>
      <c r="G2994" s="5">
        <v>945</v>
      </c>
      <c r="H2994" s="5">
        <v>818.63</v>
      </c>
      <c r="I2994" s="5">
        <v>42650.5</v>
      </c>
      <c r="K2994" s="5">
        <v>0.158</v>
      </c>
      <c r="L2994" s="5">
        <v>1E-3</v>
      </c>
      <c r="M2994" s="5">
        <v>31341.113000000001</v>
      </c>
      <c r="N2994" s="6">
        <v>5.91E-2</v>
      </c>
      <c r="O2994" s="5">
        <v>11.468</v>
      </c>
      <c r="P2994" s="6">
        <v>5.16E-2</v>
      </c>
      <c r="Q2994" s="5">
        <v>527383.86899999995</v>
      </c>
      <c r="R2994" s="1" t="s">
        <v>44</v>
      </c>
      <c r="T2994" s="1" t="s">
        <v>93</v>
      </c>
      <c r="V2994" s="1" t="s">
        <v>140</v>
      </c>
      <c r="Y2994" s="1" t="s">
        <v>1428</v>
      </c>
      <c r="Z2994" s="1" t="str">
        <f t="shared" si="138"/>
        <v>55433 CTG-2</v>
      </c>
      <c r="AA2994" s="3">
        <f>IF(INDEX('CAMD Facility Data 2023'!$AA$2:$AE$10000,MATCH(Z2994,'CAMD Facility Data 2023'!$AE$2:$AE$10000,0),1)&gt;0,INDEX('CAMD Facility Data 2023'!$AA$2:$AE$10000,MATCH(Z2994,'CAMD Facility Data 2023'!$AE$2:$AE$10000,0),1),"")</f>
        <v>37462</v>
      </c>
      <c r="AB2994" s="5">
        <f>IF(INDEX('CAMD Facility Data 2023'!$AC$2:$AE$10000,MATCH(Z2994,'CAMD Facility Data 2023'!$AE$2:$AE$10000,0),1)&gt;0,INDEX('CAMD Facility Data 2023'!$AC$2:$AE$10000,MATCH(Z2994,'CAMD Facility Data 2023'!$AE$2:$AE$10000,0),1),"")</f>
        <v>1073</v>
      </c>
      <c r="AC2994" s="1" t="str">
        <f>IF(INDEX('CAMD Facility Data 2023'!$AE$2:$AG$10000,MATCH(Z2994,'CAMD Facility Data 2023'!$AE$2:$AE$10000,0),3)&gt;0,INDEX('CAMD Facility Data 2023'!$AE$2:$AG$10000,MATCH(Z2994,'CAMD Facility Data 2023'!$AE$2:$AE$10000,0),3),"")</f>
        <v/>
      </c>
      <c r="AD2994" s="20">
        <f t="shared" si="139"/>
        <v>0.53776626299808916</v>
      </c>
      <c r="AE2994" s="25">
        <f t="shared" si="140"/>
        <v>5.6107770749020153E-2</v>
      </c>
    </row>
    <row r="2995" spans="1:31" x14ac:dyDescent="0.2">
      <c r="A2995" s="1" t="s">
        <v>1426</v>
      </c>
      <c r="B2995" s="1" t="s">
        <v>6781</v>
      </c>
      <c r="C2995" s="1">
        <v>55433</v>
      </c>
      <c r="D2995" s="1" t="s">
        <v>5750</v>
      </c>
      <c r="F2995" s="1">
        <v>2023</v>
      </c>
      <c r="G2995" s="5">
        <v>576</v>
      </c>
      <c r="H2995" s="5">
        <v>498.64</v>
      </c>
      <c r="I2995" s="5">
        <v>25368.52</v>
      </c>
      <c r="K2995" s="5">
        <v>9.5000000000000001E-2</v>
      </c>
      <c r="L2995" s="5">
        <v>1E-3</v>
      </c>
      <c r="M2995" s="5">
        <v>18882.463</v>
      </c>
      <c r="N2995" s="6">
        <v>5.91E-2</v>
      </c>
      <c r="O2995" s="5">
        <v>8.359</v>
      </c>
      <c r="P2995" s="6">
        <v>5.9799999999999999E-2</v>
      </c>
      <c r="Q2995" s="5">
        <v>317736.02</v>
      </c>
      <c r="R2995" s="1" t="s">
        <v>44</v>
      </c>
      <c r="T2995" s="1" t="s">
        <v>93</v>
      </c>
      <c r="V2995" s="1" t="s">
        <v>140</v>
      </c>
      <c r="Y2995" s="1" t="s">
        <v>1428</v>
      </c>
      <c r="Z2995" s="1" t="str">
        <f t="shared" si="138"/>
        <v>55433 CTG-3</v>
      </c>
      <c r="AA2995" s="3">
        <f>IF(INDEX('CAMD Facility Data 2023'!$AA$2:$AE$10000,MATCH(Z2995,'CAMD Facility Data 2023'!$AE$2:$AE$10000,0),1)&gt;0,INDEX('CAMD Facility Data 2023'!$AA$2:$AE$10000,MATCH(Z2995,'CAMD Facility Data 2023'!$AE$2:$AE$10000,0),1),"")</f>
        <v>37456</v>
      </c>
      <c r="AB2995" s="5">
        <f>IF(INDEX('CAMD Facility Data 2023'!$AC$2:$AE$10000,MATCH(Z2995,'CAMD Facility Data 2023'!$AE$2:$AE$10000,0),1)&gt;0,INDEX('CAMD Facility Data 2023'!$AC$2:$AE$10000,MATCH(Z2995,'CAMD Facility Data 2023'!$AE$2:$AE$10000,0),1),"")</f>
        <v>1073</v>
      </c>
      <c r="AC2995" s="1" t="str">
        <f>IF(INDEX('CAMD Facility Data 2023'!$AE$2:$AG$10000,MATCH(Z2995,'CAMD Facility Data 2023'!$AE$2:$AE$10000,0),3)&gt;0,INDEX('CAMD Facility Data 2023'!$AE$2:$AG$10000,MATCH(Z2995,'CAMD Facility Data 2023'!$AE$2:$AE$10000,0),3),"")</f>
        <v/>
      </c>
      <c r="AD2995" s="20">
        <f t="shared" si="139"/>
        <v>0.65900572835939975</v>
      </c>
      <c r="AE2995" s="25">
        <f t="shared" si="140"/>
        <v>3.3803574240277121E-2</v>
      </c>
    </row>
    <row r="2996" spans="1:31" x14ac:dyDescent="0.2">
      <c r="A2996" s="1" t="s">
        <v>1426</v>
      </c>
      <c r="B2996" s="1" t="s">
        <v>6781</v>
      </c>
      <c r="C2996" s="1">
        <v>55433</v>
      </c>
      <c r="D2996" s="1" t="s">
        <v>5799</v>
      </c>
      <c r="F2996" s="1">
        <v>2023</v>
      </c>
      <c r="G2996" s="5">
        <v>788</v>
      </c>
      <c r="H2996" s="5">
        <v>681.11</v>
      </c>
      <c r="I2996" s="5">
        <v>35294.78</v>
      </c>
      <c r="K2996" s="5">
        <v>0.13700000000000001</v>
      </c>
      <c r="L2996" s="5">
        <v>1E-3</v>
      </c>
      <c r="M2996" s="5">
        <v>27067.084999999999</v>
      </c>
      <c r="N2996" s="6">
        <v>5.8900000000000001E-2</v>
      </c>
      <c r="O2996" s="5">
        <v>9.0559999999999992</v>
      </c>
      <c r="P2996" s="6">
        <v>4.9000000000000002E-2</v>
      </c>
      <c r="Q2996" s="5">
        <v>455455.45500000002</v>
      </c>
      <c r="R2996" s="1" t="s">
        <v>44</v>
      </c>
      <c r="T2996" s="1" t="s">
        <v>93</v>
      </c>
      <c r="V2996" s="1" t="s">
        <v>140</v>
      </c>
      <c r="Y2996" s="1" t="s">
        <v>1428</v>
      </c>
      <c r="Z2996" s="1" t="str">
        <f t="shared" si="138"/>
        <v>55433 CTG-4</v>
      </c>
      <c r="AA2996" s="3">
        <f>IF(INDEX('CAMD Facility Data 2023'!$AA$2:$AE$10000,MATCH(Z2996,'CAMD Facility Data 2023'!$AE$2:$AE$10000,0),1)&gt;0,INDEX('CAMD Facility Data 2023'!$AA$2:$AE$10000,MATCH(Z2996,'CAMD Facility Data 2023'!$AE$2:$AE$10000,0),1),"")</f>
        <v>37526</v>
      </c>
      <c r="AB2996" s="5">
        <f>IF(INDEX('CAMD Facility Data 2023'!$AC$2:$AE$10000,MATCH(Z2996,'CAMD Facility Data 2023'!$AE$2:$AE$10000,0),1)&gt;0,INDEX('CAMD Facility Data 2023'!$AC$2:$AE$10000,MATCH(Z2996,'CAMD Facility Data 2023'!$AE$2:$AE$10000,0),1),"")</f>
        <v>1073</v>
      </c>
      <c r="AC2996" s="1" t="str">
        <f>IF(INDEX('CAMD Facility Data 2023'!$AE$2:$AG$10000,MATCH(Z2996,'CAMD Facility Data 2023'!$AE$2:$AE$10000,0),3)&gt;0,INDEX('CAMD Facility Data 2023'!$AE$2:$AG$10000,MATCH(Z2996,'CAMD Facility Data 2023'!$AE$2:$AE$10000,0),3),"")</f>
        <v/>
      </c>
      <c r="AD2996" s="20">
        <f t="shared" si="139"/>
        <v>0.51316370296117442</v>
      </c>
      <c r="AE2996" s="25">
        <f t="shared" si="140"/>
        <v>4.8455388489576021E-2</v>
      </c>
    </row>
    <row r="2997" spans="1:31" x14ac:dyDescent="0.2">
      <c r="A2997" s="1" t="s">
        <v>458</v>
      </c>
      <c r="B2997" s="1" t="s">
        <v>6787</v>
      </c>
      <c r="C2997" s="1">
        <v>55438</v>
      </c>
      <c r="D2997" s="1" t="s">
        <v>993</v>
      </c>
      <c r="F2997" s="1">
        <v>2023</v>
      </c>
      <c r="G2997" s="5">
        <v>603</v>
      </c>
      <c r="H2997" s="5">
        <v>542.23</v>
      </c>
      <c r="I2997" s="5">
        <v>54649.33</v>
      </c>
      <c r="K2997" s="5">
        <v>0.19</v>
      </c>
      <c r="L2997" s="5">
        <v>1E-3</v>
      </c>
      <c r="M2997" s="5">
        <v>37733.877999999997</v>
      </c>
      <c r="N2997" s="6">
        <v>5.8999999999999997E-2</v>
      </c>
      <c r="O2997" s="5">
        <v>17.029</v>
      </c>
      <c r="P2997" s="6">
        <v>5.3100000000000001E-2</v>
      </c>
      <c r="Q2997" s="5">
        <v>634954.70700000005</v>
      </c>
      <c r="R2997" s="1" t="s">
        <v>44</v>
      </c>
      <c r="T2997" s="1" t="s">
        <v>93</v>
      </c>
      <c r="V2997" s="1" t="s">
        <v>140</v>
      </c>
      <c r="Y2997" s="1" t="s">
        <v>461</v>
      </c>
      <c r="Z2997" s="1" t="str">
        <f t="shared" si="138"/>
        <v>55438 CT01</v>
      </c>
      <c r="AA2997" s="3">
        <f>IF(INDEX('CAMD Facility Data 2023'!$AA$2:$AE$10000,MATCH(Z2997,'CAMD Facility Data 2023'!$AE$2:$AE$10000,0),1)&gt;0,INDEX('CAMD Facility Data 2023'!$AA$2:$AE$10000,MATCH(Z2997,'CAMD Facility Data 2023'!$AE$2:$AE$10000,0),1),"")</f>
        <v>37488</v>
      </c>
      <c r="AB2997" s="5">
        <f>IF(INDEX('CAMD Facility Data 2023'!$AC$2:$AE$10000,MATCH(Z2997,'CAMD Facility Data 2023'!$AE$2:$AE$10000,0),1)&gt;0,INDEX('CAMD Facility Data 2023'!$AC$2:$AE$10000,MATCH(Z2997,'CAMD Facility Data 2023'!$AE$2:$AE$10000,0),1),"")</f>
        <v>1472</v>
      </c>
      <c r="AC2997" s="1" t="str">
        <f>IF(INDEX('CAMD Facility Data 2023'!$AE$2:$AG$10000,MATCH(Z2997,'CAMD Facility Data 2023'!$AE$2:$AE$10000,0),3)&gt;0,INDEX('CAMD Facility Data 2023'!$AE$2:$AG$10000,MATCH(Z2997,'CAMD Facility Data 2023'!$AE$2:$AE$10000,0),3),"")</f>
        <v/>
      </c>
      <c r="AD2997" s="20">
        <f t="shared" si="139"/>
        <v>0.62320983624135917</v>
      </c>
      <c r="AE2997" s="25">
        <f t="shared" si="140"/>
        <v>4.9241449756179279E-2</v>
      </c>
    </row>
    <row r="2998" spans="1:31" x14ac:dyDescent="0.2">
      <c r="A2998" s="1" t="s">
        <v>458</v>
      </c>
      <c r="B2998" s="1" t="s">
        <v>6787</v>
      </c>
      <c r="C2998" s="1">
        <v>55438</v>
      </c>
      <c r="D2998" s="1" t="s">
        <v>998</v>
      </c>
      <c r="F2998" s="1">
        <v>2023</v>
      </c>
      <c r="G2998" s="5">
        <v>783</v>
      </c>
      <c r="H2998" s="5">
        <v>711.84</v>
      </c>
      <c r="I2998" s="5">
        <v>72621.2</v>
      </c>
      <c r="K2998" s="5">
        <v>0.25</v>
      </c>
      <c r="L2998" s="5">
        <v>1E-3</v>
      </c>
      <c r="M2998" s="5">
        <v>49471.137000000002</v>
      </c>
      <c r="N2998" s="6">
        <v>5.8999999999999997E-2</v>
      </c>
      <c r="O2998" s="5">
        <v>24.373000000000001</v>
      </c>
      <c r="P2998" s="6">
        <v>5.9200000000000003E-2</v>
      </c>
      <c r="Q2998" s="5">
        <v>832423.03099999996</v>
      </c>
      <c r="R2998" s="1" t="s">
        <v>44</v>
      </c>
      <c r="T2998" s="1" t="s">
        <v>93</v>
      </c>
      <c r="V2998" s="1" t="s">
        <v>140</v>
      </c>
      <c r="Y2998" s="1" t="s">
        <v>461</v>
      </c>
      <c r="Z2998" s="1" t="str">
        <f t="shared" si="138"/>
        <v>55438 CT02</v>
      </c>
      <c r="AA2998" s="3">
        <f>IF(INDEX('CAMD Facility Data 2023'!$AA$2:$AE$10000,MATCH(Z2998,'CAMD Facility Data 2023'!$AE$2:$AE$10000,0),1)&gt;0,INDEX('CAMD Facility Data 2023'!$AA$2:$AE$10000,MATCH(Z2998,'CAMD Facility Data 2023'!$AE$2:$AE$10000,0),1),"")</f>
        <v>37502</v>
      </c>
      <c r="AB2998" s="5">
        <f>IF(INDEX('CAMD Facility Data 2023'!$AC$2:$AE$10000,MATCH(Z2998,'CAMD Facility Data 2023'!$AE$2:$AE$10000,0),1)&gt;0,INDEX('CAMD Facility Data 2023'!$AC$2:$AE$10000,MATCH(Z2998,'CAMD Facility Data 2023'!$AE$2:$AE$10000,0),1),"")</f>
        <v>1472</v>
      </c>
      <c r="AC2998" s="1" t="str">
        <f>IF(INDEX('CAMD Facility Data 2023'!$AE$2:$AG$10000,MATCH(Z2998,'CAMD Facility Data 2023'!$AE$2:$AE$10000,0),3)&gt;0,INDEX('CAMD Facility Data 2023'!$AE$2:$AG$10000,MATCH(Z2998,'CAMD Facility Data 2023'!$AE$2:$AE$10000,0),3),"")</f>
        <v/>
      </c>
      <c r="AD2998" s="20">
        <f t="shared" si="139"/>
        <v>0.67123649843296451</v>
      </c>
      <c r="AE2998" s="25">
        <f t="shared" si="140"/>
        <v>6.4555339782484608E-2</v>
      </c>
    </row>
    <row r="2999" spans="1:31" x14ac:dyDescent="0.2">
      <c r="A2999" s="1" t="s">
        <v>458</v>
      </c>
      <c r="B2999" s="1" t="s">
        <v>6787</v>
      </c>
      <c r="C2999" s="1">
        <v>55438</v>
      </c>
      <c r="D2999" s="1" t="s">
        <v>1043</v>
      </c>
      <c r="F2999" s="1">
        <v>2023</v>
      </c>
      <c r="G2999" s="5">
        <v>491</v>
      </c>
      <c r="H2999" s="5">
        <v>443.18</v>
      </c>
      <c r="I2999" s="5">
        <v>44772.35</v>
      </c>
      <c r="K2999" s="5">
        <v>0.158</v>
      </c>
      <c r="L2999" s="5">
        <v>1E-3</v>
      </c>
      <c r="M2999" s="5">
        <v>31266.662</v>
      </c>
      <c r="N2999" s="6">
        <v>5.8999999999999997E-2</v>
      </c>
      <c r="O2999" s="5">
        <v>14.007999999999999</v>
      </c>
      <c r="P2999" s="6">
        <v>5.3199999999999997E-2</v>
      </c>
      <c r="Q2999" s="5">
        <v>526112.43400000001</v>
      </c>
      <c r="R2999" s="1" t="s">
        <v>44</v>
      </c>
      <c r="T2999" s="1" t="s">
        <v>93</v>
      </c>
      <c r="V2999" s="1" t="s">
        <v>140</v>
      </c>
      <c r="Y2999" s="1" t="s">
        <v>461</v>
      </c>
      <c r="Z2999" s="1" t="str">
        <f t="shared" si="138"/>
        <v>55438 CT03</v>
      </c>
      <c r="AA2999" s="3">
        <f>IF(INDEX('CAMD Facility Data 2023'!$AA$2:$AE$10000,MATCH(Z2999,'CAMD Facility Data 2023'!$AE$2:$AE$10000,0),1)&gt;0,INDEX('CAMD Facility Data 2023'!$AA$2:$AE$10000,MATCH(Z2999,'CAMD Facility Data 2023'!$AE$2:$AE$10000,0),1),"")</f>
        <v>37524</v>
      </c>
      <c r="AB2999" s="5">
        <f>IF(INDEX('CAMD Facility Data 2023'!$AC$2:$AE$10000,MATCH(Z2999,'CAMD Facility Data 2023'!$AE$2:$AE$10000,0),1)&gt;0,INDEX('CAMD Facility Data 2023'!$AC$2:$AE$10000,MATCH(Z2999,'CAMD Facility Data 2023'!$AE$2:$AE$10000,0),1),"")</f>
        <v>1472</v>
      </c>
      <c r="AC2999" s="1" t="str">
        <f>IF(INDEX('CAMD Facility Data 2023'!$AE$2:$AG$10000,MATCH(Z2999,'CAMD Facility Data 2023'!$AE$2:$AE$10000,0),3)&gt;0,INDEX('CAMD Facility Data 2023'!$AE$2:$AG$10000,MATCH(Z2999,'CAMD Facility Data 2023'!$AE$2:$AE$10000,0),3),"")</f>
        <v/>
      </c>
      <c r="AD2999" s="20">
        <f t="shared" si="139"/>
        <v>0.62574334382716124</v>
      </c>
      <c r="AE2999" s="25">
        <f t="shared" si="140"/>
        <v>4.0800609396714316E-2</v>
      </c>
    </row>
    <row r="3000" spans="1:31" x14ac:dyDescent="0.2">
      <c r="A3000" s="1" t="s">
        <v>458</v>
      </c>
      <c r="B3000" s="1" t="s">
        <v>6787</v>
      </c>
      <c r="C3000" s="1">
        <v>55438</v>
      </c>
      <c r="D3000" s="1" t="s">
        <v>1048</v>
      </c>
      <c r="F3000" s="1">
        <v>2023</v>
      </c>
      <c r="G3000" s="5">
        <v>476</v>
      </c>
      <c r="H3000" s="5">
        <v>425.76</v>
      </c>
      <c r="I3000" s="5">
        <v>42129.5</v>
      </c>
      <c r="K3000" s="5">
        <v>0.15</v>
      </c>
      <c r="L3000" s="5">
        <v>1E-3</v>
      </c>
      <c r="M3000" s="5">
        <v>29651.705000000002</v>
      </c>
      <c r="N3000" s="6">
        <v>5.8999999999999997E-2</v>
      </c>
      <c r="O3000" s="5">
        <v>15.638</v>
      </c>
      <c r="P3000" s="6">
        <v>6.4699999999999994E-2</v>
      </c>
      <c r="Q3000" s="5">
        <v>498959.804</v>
      </c>
      <c r="R3000" s="1" t="s">
        <v>44</v>
      </c>
      <c r="T3000" s="1" t="s">
        <v>93</v>
      </c>
      <c r="V3000" s="1" t="s">
        <v>140</v>
      </c>
      <c r="Y3000" s="1" t="s">
        <v>461</v>
      </c>
      <c r="Z3000" s="1" t="str">
        <f t="shared" si="138"/>
        <v>55438 CT04</v>
      </c>
      <c r="AA3000" s="3">
        <f>IF(INDEX('CAMD Facility Data 2023'!$AA$2:$AE$10000,MATCH(Z3000,'CAMD Facility Data 2023'!$AE$2:$AE$10000,0),1)&gt;0,INDEX('CAMD Facility Data 2023'!$AA$2:$AE$10000,MATCH(Z3000,'CAMD Facility Data 2023'!$AE$2:$AE$10000,0),1),"")</f>
        <v>37550</v>
      </c>
      <c r="AB3000" s="5">
        <f>IF(INDEX('CAMD Facility Data 2023'!$AC$2:$AE$10000,MATCH(Z3000,'CAMD Facility Data 2023'!$AE$2:$AE$10000,0),1)&gt;0,INDEX('CAMD Facility Data 2023'!$AC$2:$AE$10000,MATCH(Z3000,'CAMD Facility Data 2023'!$AE$2:$AE$10000,0),1),"")</f>
        <v>1472</v>
      </c>
      <c r="AC3000" s="1" t="str">
        <f>IF(INDEX('CAMD Facility Data 2023'!$AE$2:$AG$10000,MATCH(Z3000,'CAMD Facility Data 2023'!$AE$2:$AE$10000,0),3)&gt;0,INDEX('CAMD Facility Data 2023'!$AE$2:$AG$10000,MATCH(Z3000,'CAMD Facility Data 2023'!$AE$2:$AE$10000,0),3),"")</f>
        <v/>
      </c>
      <c r="AD3000" s="20">
        <f t="shared" si="139"/>
        <v>0.74237766885436574</v>
      </c>
      <c r="AE3000" s="25">
        <f t="shared" si="140"/>
        <v>3.8694892483124875E-2</v>
      </c>
    </row>
    <row r="3001" spans="1:31" x14ac:dyDescent="0.2">
      <c r="A3001" s="1" t="s">
        <v>3095</v>
      </c>
      <c r="B3001" s="1" t="s">
        <v>6793</v>
      </c>
      <c r="C3001" s="1">
        <v>55439</v>
      </c>
      <c r="D3001" s="1" t="s">
        <v>6794</v>
      </c>
      <c r="F3001" s="1">
        <v>2023</v>
      </c>
      <c r="G3001" s="5">
        <v>5650</v>
      </c>
      <c r="H3001" s="5">
        <v>5575.05</v>
      </c>
      <c r="I3001" s="5">
        <v>1349049.61</v>
      </c>
      <c r="K3001" s="5">
        <v>2.9929999999999999</v>
      </c>
      <c r="L3001" s="5">
        <v>1E-3</v>
      </c>
      <c r="M3001" s="5">
        <v>575386.39099999995</v>
      </c>
      <c r="N3001" s="6">
        <v>5.91E-2</v>
      </c>
      <c r="O3001" s="5">
        <v>34.823999999999998</v>
      </c>
      <c r="P3001" s="6">
        <v>1.03E-2</v>
      </c>
      <c r="Q3001" s="5">
        <v>9672323.9930000007</v>
      </c>
      <c r="R3001" s="1" t="s">
        <v>44</v>
      </c>
      <c r="S3001" s="1" t="s">
        <v>94</v>
      </c>
      <c r="T3001" s="1" t="s">
        <v>71</v>
      </c>
      <c r="V3001" s="1" t="s">
        <v>643</v>
      </c>
      <c r="Y3001" s="1" t="s">
        <v>1515</v>
      </c>
      <c r="Z3001" s="1" t="str">
        <f t="shared" si="138"/>
        <v>55439 CTGDB1</v>
      </c>
      <c r="AA3001" s="3">
        <f>IF(INDEX('CAMD Facility Data 2023'!$AA$2:$AE$10000,MATCH(Z3001,'CAMD Facility Data 2023'!$AE$2:$AE$10000,0),1)&gt;0,INDEX('CAMD Facility Data 2023'!$AA$2:$AE$10000,MATCH(Z3001,'CAMD Facility Data 2023'!$AE$2:$AE$10000,0),1),"")</f>
        <v>37981</v>
      </c>
      <c r="AB3001" s="5">
        <f>IF(INDEX('CAMD Facility Data 2023'!$AC$2:$AE$10000,MATCH(Z3001,'CAMD Facility Data 2023'!$AE$2:$AE$10000,0),1)&gt;0,INDEX('CAMD Facility Data 2023'!$AC$2:$AE$10000,MATCH(Z3001,'CAMD Facility Data 2023'!$AE$2:$AE$10000,0),1),"")</f>
        <v>2550</v>
      </c>
      <c r="AC3001" s="1" t="str">
        <f>IF(INDEX('CAMD Facility Data 2023'!$AE$2:$AG$10000,MATCH(Z3001,'CAMD Facility Data 2023'!$AE$2:$AE$10000,0),3)&gt;0,INDEX('CAMD Facility Data 2023'!$AE$2:$AG$10000,MATCH(Z3001,'CAMD Facility Data 2023'!$AE$2:$AE$10000,0),3),"")</f>
        <v>Y</v>
      </c>
      <c r="AD3001" s="20">
        <f t="shared" si="139"/>
        <v>5.1627456458031962E-2</v>
      </c>
      <c r="AE3001" s="25">
        <f t="shared" si="140"/>
        <v>0.4329986566836781</v>
      </c>
    </row>
    <row r="3002" spans="1:31" x14ac:dyDescent="0.2">
      <c r="A3002" s="1" t="s">
        <v>3095</v>
      </c>
      <c r="B3002" s="1" t="s">
        <v>6793</v>
      </c>
      <c r="C3002" s="1">
        <v>55439</v>
      </c>
      <c r="D3002" s="1" t="s">
        <v>6799</v>
      </c>
      <c r="F3002" s="1">
        <v>2023</v>
      </c>
      <c r="G3002" s="5">
        <v>5310</v>
      </c>
      <c r="H3002" s="5">
        <v>5262.83</v>
      </c>
      <c r="I3002" s="5">
        <v>1267517.06</v>
      </c>
      <c r="K3002" s="5">
        <v>2.7120000000000002</v>
      </c>
      <c r="L3002" s="5">
        <v>1E-3</v>
      </c>
      <c r="M3002" s="5">
        <v>536098.71799999999</v>
      </c>
      <c r="N3002" s="6">
        <v>5.8999999999999997E-2</v>
      </c>
      <c r="O3002" s="5">
        <v>33.024999999999999</v>
      </c>
      <c r="P3002" s="6">
        <v>9.9000000000000008E-3</v>
      </c>
      <c r="Q3002" s="5">
        <v>9019727.0120000001</v>
      </c>
      <c r="R3002" s="1" t="s">
        <v>44</v>
      </c>
      <c r="S3002" s="1" t="s">
        <v>94</v>
      </c>
      <c r="T3002" s="1" t="s">
        <v>71</v>
      </c>
      <c r="V3002" s="1" t="s">
        <v>643</v>
      </c>
      <c r="Y3002" s="1" t="s">
        <v>1515</v>
      </c>
      <c r="Z3002" s="1" t="str">
        <f t="shared" si="138"/>
        <v>55439 CTGDB2</v>
      </c>
      <c r="AA3002" s="3">
        <f>IF(INDEX('CAMD Facility Data 2023'!$AA$2:$AE$10000,MATCH(Z3002,'CAMD Facility Data 2023'!$AE$2:$AE$10000,0),1)&gt;0,INDEX('CAMD Facility Data 2023'!$AA$2:$AE$10000,MATCH(Z3002,'CAMD Facility Data 2023'!$AE$2:$AE$10000,0),1),"")</f>
        <v>37988</v>
      </c>
      <c r="AB3002" s="5">
        <f>IF(INDEX('CAMD Facility Data 2023'!$AC$2:$AE$10000,MATCH(Z3002,'CAMD Facility Data 2023'!$AE$2:$AE$10000,0),1)&gt;0,INDEX('CAMD Facility Data 2023'!$AC$2:$AE$10000,MATCH(Z3002,'CAMD Facility Data 2023'!$AE$2:$AE$10000,0),1),"")</f>
        <v>2550</v>
      </c>
      <c r="AC3002" s="1" t="str">
        <f>IF(INDEX('CAMD Facility Data 2023'!$AE$2:$AG$10000,MATCH(Z3002,'CAMD Facility Data 2023'!$AE$2:$AE$10000,0),3)&gt;0,INDEX('CAMD Facility Data 2023'!$AE$2:$AG$10000,MATCH(Z3002,'CAMD Facility Data 2023'!$AE$2:$AE$10000,0),3),"")</f>
        <v>Y</v>
      </c>
      <c r="AD3002" s="20">
        <f t="shared" si="139"/>
        <v>5.2109752274261303E-2</v>
      </c>
      <c r="AE3002" s="25">
        <f t="shared" si="140"/>
        <v>0.40378400089533528</v>
      </c>
    </row>
    <row r="3003" spans="1:31" x14ac:dyDescent="0.2">
      <c r="A3003" s="1" t="s">
        <v>3095</v>
      </c>
      <c r="B3003" s="1" t="s">
        <v>6793</v>
      </c>
      <c r="C3003" s="1">
        <v>55439</v>
      </c>
      <c r="D3003" s="1" t="s">
        <v>6801</v>
      </c>
      <c r="F3003" s="1">
        <v>2023</v>
      </c>
      <c r="G3003" s="5">
        <v>5666</v>
      </c>
      <c r="H3003" s="5">
        <v>5618.27</v>
      </c>
      <c r="I3003" s="5">
        <v>1361379.57</v>
      </c>
      <c r="K3003" s="5">
        <v>2.9319999999999999</v>
      </c>
      <c r="L3003" s="5">
        <v>1E-3</v>
      </c>
      <c r="M3003" s="5">
        <v>572707.71900000004</v>
      </c>
      <c r="N3003" s="6">
        <v>5.8999999999999997E-2</v>
      </c>
      <c r="O3003" s="5">
        <v>36.308</v>
      </c>
      <c r="P3003" s="6">
        <v>1.0500000000000001E-2</v>
      </c>
      <c r="Q3003" s="5">
        <v>9631940.0789999999</v>
      </c>
      <c r="R3003" s="1" t="s">
        <v>44</v>
      </c>
      <c r="S3003" s="1" t="s">
        <v>94</v>
      </c>
      <c r="T3003" s="1" t="s">
        <v>71</v>
      </c>
      <c r="V3003" s="1" t="s">
        <v>643</v>
      </c>
      <c r="Y3003" s="1" t="s">
        <v>1515</v>
      </c>
      <c r="Z3003" s="1" t="str">
        <f t="shared" si="138"/>
        <v>55439 CTGDB3</v>
      </c>
      <c r="AA3003" s="3">
        <f>IF(INDEX('CAMD Facility Data 2023'!$AA$2:$AE$10000,MATCH(Z3003,'CAMD Facility Data 2023'!$AE$2:$AE$10000,0),1)&gt;0,INDEX('CAMD Facility Data 2023'!$AA$2:$AE$10000,MATCH(Z3003,'CAMD Facility Data 2023'!$AE$2:$AE$10000,0),1),"")</f>
        <v>38002</v>
      </c>
      <c r="AB3003" s="5">
        <f>IF(INDEX('CAMD Facility Data 2023'!$AC$2:$AE$10000,MATCH(Z3003,'CAMD Facility Data 2023'!$AE$2:$AE$10000,0),1)&gt;0,INDEX('CAMD Facility Data 2023'!$AC$2:$AE$10000,MATCH(Z3003,'CAMD Facility Data 2023'!$AE$2:$AE$10000,0),1),"")</f>
        <v>2550</v>
      </c>
      <c r="AC3003" s="1" t="str">
        <f>IF(INDEX('CAMD Facility Data 2023'!$AE$2:$AG$10000,MATCH(Z3003,'CAMD Facility Data 2023'!$AE$2:$AE$10000,0),3)&gt;0,INDEX('CAMD Facility Data 2023'!$AE$2:$AG$10000,MATCH(Z3003,'CAMD Facility Data 2023'!$AE$2:$AE$10000,0),3),"")</f>
        <v>Y</v>
      </c>
      <c r="AD3003" s="20">
        <f t="shared" si="139"/>
        <v>5.3340010089911953E-2</v>
      </c>
      <c r="AE3003" s="25">
        <f t="shared" si="140"/>
        <v>0.43119079948965888</v>
      </c>
    </row>
    <row r="3004" spans="1:31" x14ac:dyDescent="0.2">
      <c r="A3004" s="1" t="s">
        <v>32</v>
      </c>
      <c r="B3004" s="1" t="s">
        <v>6803</v>
      </c>
      <c r="C3004" s="1">
        <v>55440</v>
      </c>
      <c r="D3004" s="1" t="s">
        <v>6794</v>
      </c>
      <c r="F3004" s="1">
        <v>2023</v>
      </c>
      <c r="G3004" s="5">
        <v>6590</v>
      </c>
      <c r="H3004" s="5">
        <v>6520</v>
      </c>
      <c r="I3004" s="5">
        <v>1636721.25</v>
      </c>
      <c r="K3004" s="5">
        <v>3.5510000000000002</v>
      </c>
      <c r="L3004" s="5">
        <v>1E-3</v>
      </c>
      <c r="M3004" s="5">
        <v>702839.02500000002</v>
      </c>
      <c r="N3004" s="6">
        <v>5.8999999999999997E-2</v>
      </c>
      <c r="O3004" s="5">
        <v>54.439</v>
      </c>
      <c r="P3004" s="6">
        <v>1.14E-2</v>
      </c>
      <c r="Q3004" s="5">
        <v>11826626.85</v>
      </c>
      <c r="R3004" s="1" t="s">
        <v>44</v>
      </c>
      <c r="S3004" s="1" t="s">
        <v>94</v>
      </c>
      <c r="T3004" s="1" t="s">
        <v>71</v>
      </c>
      <c r="V3004" s="1" t="s">
        <v>643</v>
      </c>
      <c r="Y3004" s="1" t="s">
        <v>35</v>
      </c>
      <c r="Z3004" s="1" t="str">
        <f t="shared" si="138"/>
        <v>55440 CTGDB1</v>
      </c>
      <c r="AA3004" s="3">
        <f>IF(INDEX('CAMD Facility Data 2023'!$AA$2:$AE$10000,MATCH(Z3004,'CAMD Facility Data 2023'!$AE$2:$AE$10000,0),1)&gt;0,INDEX('CAMD Facility Data 2023'!$AA$2:$AE$10000,MATCH(Z3004,'CAMD Facility Data 2023'!$AE$2:$AE$10000,0),1),"")</f>
        <v>37636</v>
      </c>
      <c r="AB3004" s="5">
        <f>IF(INDEX('CAMD Facility Data 2023'!$AC$2:$AE$10000,MATCH(Z3004,'CAMD Facility Data 2023'!$AE$2:$AE$10000,0),1)&gt;0,INDEX('CAMD Facility Data 2023'!$AC$2:$AE$10000,MATCH(Z3004,'CAMD Facility Data 2023'!$AE$2:$AE$10000,0),1),"")</f>
        <v>2860</v>
      </c>
      <c r="AC3004" s="1" t="str">
        <f>IF(INDEX('CAMD Facility Data 2023'!$AE$2:$AG$10000,MATCH(Z3004,'CAMD Facility Data 2023'!$AE$2:$AE$10000,0),3)&gt;0,INDEX('CAMD Facility Data 2023'!$AE$2:$AG$10000,MATCH(Z3004,'CAMD Facility Data 2023'!$AE$2:$AE$10000,0),3),"")</f>
        <v>Y</v>
      </c>
      <c r="AD3004" s="20">
        <f t="shared" si="139"/>
        <v>6.6522017722932356E-2</v>
      </c>
      <c r="AE3004" s="25">
        <f t="shared" si="140"/>
        <v>0.47205299238432796</v>
      </c>
    </row>
    <row r="3005" spans="1:31" x14ac:dyDescent="0.2">
      <c r="A3005" s="1" t="s">
        <v>32</v>
      </c>
      <c r="B3005" s="1" t="s">
        <v>6803</v>
      </c>
      <c r="C3005" s="1">
        <v>55440</v>
      </c>
      <c r="D3005" s="1" t="s">
        <v>6799</v>
      </c>
      <c r="F3005" s="1">
        <v>2023</v>
      </c>
      <c r="G3005" s="5">
        <v>6459</v>
      </c>
      <c r="H3005" s="5">
        <v>6388.75</v>
      </c>
      <c r="I3005" s="5">
        <v>1599390</v>
      </c>
      <c r="K3005" s="5">
        <v>3.5110000000000001</v>
      </c>
      <c r="L3005" s="5">
        <v>1E-3</v>
      </c>
      <c r="M3005" s="5">
        <v>692718.3</v>
      </c>
      <c r="N3005" s="6">
        <v>5.8999999999999997E-2</v>
      </c>
      <c r="O3005" s="5">
        <v>53.497999999999998</v>
      </c>
      <c r="P3005" s="6">
        <v>1.12E-2</v>
      </c>
      <c r="Q3005" s="5">
        <v>11656316.1</v>
      </c>
      <c r="R3005" s="1" t="s">
        <v>44</v>
      </c>
      <c r="S3005" s="1" t="s">
        <v>94</v>
      </c>
      <c r="T3005" s="1" t="s">
        <v>71</v>
      </c>
      <c r="V3005" s="1" t="s">
        <v>643</v>
      </c>
      <c r="Y3005" s="1" t="s">
        <v>35</v>
      </c>
      <c r="Z3005" s="1" t="str">
        <f t="shared" si="138"/>
        <v>55440 CTGDB2</v>
      </c>
      <c r="AA3005" s="3">
        <f>IF(INDEX('CAMD Facility Data 2023'!$AA$2:$AE$10000,MATCH(Z3005,'CAMD Facility Data 2023'!$AE$2:$AE$10000,0),1)&gt;0,INDEX('CAMD Facility Data 2023'!$AA$2:$AE$10000,MATCH(Z3005,'CAMD Facility Data 2023'!$AE$2:$AE$10000,0),1),"")</f>
        <v>37598</v>
      </c>
      <c r="AB3005" s="5">
        <f>IF(INDEX('CAMD Facility Data 2023'!$AC$2:$AE$10000,MATCH(Z3005,'CAMD Facility Data 2023'!$AE$2:$AE$10000,0),1)&gt;0,INDEX('CAMD Facility Data 2023'!$AC$2:$AE$10000,MATCH(Z3005,'CAMD Facility Data 2023'!$AE$2:$AE$10000,0),1),"")</f>
        <v>2860</v>
      </c>
      <c r="AC3005" s="1" t="str">
        <f>IF(INDEX('CAMD Facility Data 2023'!$AE$2:$AG$10000,MATCH(Z3005,'CAMD Facility Data 2023'!$AE$2:$AE$10000,0),3)&gt;0,INDEX('CAMD Facility Data 2023'!$AE$2:$AG$10000,MATCH(Z3005,'CAMD Facility Data 2023'!$AE$2:$AE$10000,0),3),"")</f>
        <v>Y</v>
      </c>
      <c r="AD3005" s="20">
        <f t="shared" si="139"/>
        <v>6.6898004864354529E-2</v>
      </c>
      <c r="AE3005" s="25">
        <f t="shared" si="140"/>
        <v>0.46525513698630133</v>
      </c>
    </row>
    <row r="3006" spans="1:31" x14ac:dyDescent="0.2">
      <c r="A3006" s="1" t="s">
        <v>32</v>
      </c>
      <c r="B3006" s="1" t="s">
        <v>6803</v>
      </c>
      <c r="C3006" s="1">
        <v>55440</v>
      </c>
      <c r="D3006" s="1" t="s">
        <v>6801</v>
      </c>
      <c r="F3006" s="1">
        <v>2023</v>
      </c>
      <c r="G3006" s="5">
        <v>6849</v>
      </c>
      <c r="H3006" s="5">
        <v>6814</v>
      </c>
      <c r="I3006" s="5">
        <v>1682392</v>
      </c>
      <c r="K3006" s="5">
        <v>3.6120000000000001</v>
      </c>
      <c r="L3006" s="5">
        <v>1E-3</v>
      </c>
      <c r="M3006" s="5">
        <v>716851.3</v>
      </c>
      <c r="N3006" s="6">
        <v>5.8999999999999997E-2</v>
      </c>
      <c r="O3006" s="5">
        <v>54.725000000000001</v>
      </c>
      <c r="P3006" s="6">
        <v>1.04E-2</v>
      </c>
      <c r="Q3006" s="5">
        <v>12062447.35</v>
      </c>
      <c r="R3006" s="1" t="s">
        <v>44</v>
      </c>
      <c r="S3006" s="1" t="s">
        <v>94</v>
      </c>
      <c r="T3006" s="1" t="s">
        <v>71</v>
      </c>
      <c r="V3006" s="1" t="s">
        <v>643</v>
      </c>
      <c r="Y3006" s="1" t="s">
        <v>35</v>
      </c>
      <c r="Z3006" s="1" t="str">
        <f t="shared" si="138"/>
        <v>55440 CTGDB3</v>
      </c>
      <c r="AA3006" s="3">
        <f>IF(INDEX('CAMD Facility Data 2023'!$AA$2:$AE$10000,MATCH(Z3006,'CAMD Facility Data 2023'!$AE$2:$AE$10000,0),1)&gt;0,INDEX('CAMD Facility Data 2023'!$AA$2:$AE$10000,MATCH(Z3006,'CAMD Facility Data 2023'!$AE$2:$AE$10000,0),1),"")</f>
        <v>37686</v>
      </c>
      <c r="AB3006" s="5">
        <f>IF(INDEX('CAMD Facility Data 2023'!$AC$2:$AE$10000,MATCH(Z3006,'CAMD Facility Data 2023'!$AE$2:$AE$10000,0),1)&gt;0,INDEX('CAMD Facility Data 2023'!$AC$2:$AE$10000,MATCH(Z3006,'CAMD Facility Data 2023'!$AE$2:$AE$10000,0),1),"")</f>
        <v>2860</v>
      </c>
      <c r="AC3006" s="1" t="str">
        <f>IF(INDEX('CAMD Facility Data 2023'!$AE$2:$AG$10000,MATCH(Z3006,'CAMD Facility Data 2023'!$AE$2:$AE$10000,0),3)&gt;0,INDEX('CAMD Facility Data 2023'!$AE$2:$AG$10000,MATCH(Z3006,'CAMD Facility Data 2023'!$AE$2:$AE$10000,0),3),"")</f>
        <v>Y</v>
      </c>
      <c r="AD3006" s="20">
        <f t="shared" si="139"/>
        <v>6.5056181912419936E-2</v>
      </c>
      <c r="AE3006" s="25">
        <f t="shared" si="140"/>
        <v>0.48146563168566592</v>
      </c>
    </row>
    <row r="3007" spans="1:31" x14ac:dyDescent="0.2">
      <c r="A3007" s="1" t="s">
        <v>1755</v>
      </c>
      <c r="B3007" s="1" t="s">
        <v>6807</v>
      </c>
      <c r="C3007" s="1">
        <v>55447</v>
      </c>
      <c r="D3007" s="1" t="s">
        <v>993</v>
      </c>
      <c r="F3007" s="1">
        <v>2023</v>
      </c>
      <c r="G3007" s="5">
        <v>231</v>
      </c>
      <c r="H3007" s="5">
        <v>190.44</v>
      </c>
      <c r="I3007" s="5">
        <v>6508.08</v>
      </c>
      <c r="K3007" s="5">
        <v>2.4E-2</v>
      </c>
      <c r="L3007" s="5">
        <v>1E-3</v>
      </c>
      <c r="M3007" s="5">
        <v>4794.8890000000001</v>
      </c>
      <c r="N3007" s="6">
        <v>5.9200000000000003E-2</v>
      </c>
      <c r="O3007" s="5">
        <v>1.9390000000000001</v>
      </c>
      <c r="P3007" s="6">
        <v>7.0599999999999996E-2</v>
      </c>
      <c r="Q3007" s="5">
        <v>80681.376000000004</v>
      </c>
      <c r="R3007" s="1" t="s">
        <v>44</v>
      </c>
      <c r="T3007" s="1" t="s">
        <v>93</v>
      </c>
      <c r="V3007" s="1" t="s">
        <v>140</v>
      </c>
      <c r="Y3007" s="1" t="s">
        <v>1207</v>
      </c>
      <c r="Z3007" s="1" t="str">
        <f t="shared" si="138"/>
        <v>55447 CT01</v>
      </c>
      <c r="AA3007" s="3">
        <f>IF(INDEX('CAMD Facility Data 2023'!$AA$2:$AE$10000,MATCH(Z3007,'CAMD Facility Data 2023'!$AE$2:$AE$10000,0),1)&gt;0,INDEX('CAMD Facility Data 2023'!$AA$2:$AE$10000,MATCH(Z3007,'CAMD Facility Data 2023'!$AE$2:$AE$10000,0),1),"")</f>
        <v>37097</v>
      </c>
      <c r="AB3007" s="5">
        <f>IF(INDEX('CAMD Facility Data 2023'!$AC$2:$AE$10000,MATCH(Z3007,'CAMD Facility Data 2023'!$AE$2:$AE$10000,0),1)&gt;0,INDEX('CAMD Facility Data 2023'!$AC$2:$AE$10000,MATCH(Z3007,'CAMD Facility Data 2023'!$AE$2:$AE$10000,0),1),"")</f>
        <v>545</v>
      </c>
      <c r="AC3007" s="1" t="str">
        <f>IF(INDEX('CAMD Facility Data 2023'!$AE$2:$AG$10000,MATCH(Z3007,'CAMD Facility Data 2023'!$AE$2:$AE$10000,0),3)&gt;0,INDEX('CAMD Facility Data 2023'!$AE$2:$AG$10000,MATCH(Z3007,'CAMD Facility Data 2023'!$AE$2:$AE$10000,0),3),"")</f>
        <v/>
      </c>
      <c r="AD3007" s="20">
        <f t="shared" si="139"/>
        <v>0.59587466656832733</v>
      </c>
      <c r="AE3007" s="25">
        <f t="shared" si="140"/>
        <v>1.6899454568304637E-2</v>
      </c>
    </row>
    <row r="3008" spans="1:31" x14ac:dyDescent="0.2">
      <c r="A3008" s="1" t="s">
        <v>1755</v>
      </c>
      <c r="B3008" s="1" t="s">
        <v>6807</v>
      </c>
      <c r="C3008" s="1">
        <v>55447</v>
      </c>
      <c r="D3008" s="1" t="s">
        <v>998</v>
      </c>
      <c r="F3008" s="1">
        <v>2023</v>
      </c>
      <c r="G3008" s="5">
        <v>223</v>
      </c>
      <c r="H3008" s="5">
        <v>182.69</v>
      </c>
      <c r="I3008" s="5">
        <v>6134.11</v>
      </c>
      <c r="K3008" s="5">
        <v>2.3E-2</v>
      </c>
      <c r="L3008" s="5">
        <v>1E-3</v>
      </c>
      <c r="M3008" s="5">
        <v>4587.8100000000004</v>
      </c>
      <c r="N3008" s="6">
        <v>5.9299999999999999E-2</v>
      </c>
      <c r="O3008" s="5">
        <v>1.859</v>
      </c>
      <c r="P3008" s="6">
        <v>7.4899999999999994E-2</v>
      </c>
      <c r="Q3008" s="5">
        <v>77197.694000000003</v>
      </c>
      <c r="R3008" s="1" t="s">
        <v>44</v>
      </c>
      <c r="T3008" s="1" t="s">
        <v>93</v>
      </c>
      <c r="V3008" s="1" t="s">
        <v>140</v>
      </c>
      <c r="Y3008" s="1" t="s">
        <v>1207</v>
      </c>
      <c r="Z3008" s="1" t="str">
        <f t="shared" si="138"/>
        <v>55447 CT02</v>
      </c>
      <c r="AA3008" s="3">
        <f>IF(INDEX('CAMD Facility Data 2023'!$AA$2:$AE$10000,MATCH(Z3008,'CAMD Facility Data 2023'!$AE$2:$AE$10000,0),1)&gt;0,INDEX('CAMD Facility Data 2023'!$AA$2:$AE$10000,MATCH(Z3008,'CAMD Facility Data 2023'!$AE$2:$AE$10000,0),1),"")</f>
        <v>37077</v>
      </c>
      <c r="AB3008" s="5">
        <f>IF(INDEX('CAMD Facility Data 2023'!$AC$2:$AE$10000,MATCH(Z3008,'CAMD Facility Data 2023'!$AE$2:$AE$10000,0),1)&gt;0,INDEX('CAMD Facility Data 2023'!$AC$2:$AE$10000,MATCH(Z3008,'CAMD Facility Data 2023'!$AE$2:$AE$10000,0),1),"")</f>
        <v>545</v>
      </c>
      <c r="AC3008" s="1" t="str">
        <f>IF(INDEX('CAMD Facility Data 2023'!$AE$2:$AG$10000,MATCH(Z3008,'CAMD Facility Data 2023'!$AE$2:$AE$10000,0),3)&gt;0,INDEX('CAMD Facility Data 2023'!$AE$2:$AG$10000,MATCH(Z3008,'CAMD Facility Data 2023'!$AE$2:$AE$10000,0),3),"")</f>
        <v/>
      </c>
      <c r="AD3008" s="20">
        <f t="shared" si="139"/>
        <v>0.60611889907419336</v>
      </c>
      <c r="AE3008" s="25">
        <f t="shared" si="140"/>
        <v>1.6169765405722427E-2</v>
      </c>
    </row>
    <row r="3009" spans="1:31" x14ac:dyDescent="0.2">
      <c r="A3009" s="1" t="s">
        <v>1755</v>
      </c>
      <c r="B3009" s="1" t="s">
        <v>6807</v>
      </c>
      <c r="C3009" s="1">
        <v>55447</v>
      </c>
      <c r="D3009" s="1" t="s">
        <v>1043</v>
      </c>
      <c r="F3009" s="1">
        <v>2023</v>
      </c>
      <c r="G3009" s="5">
        <v>219</v>
      </c>
      <c r="H3009" s="5">
        <v>180.53</v>
      </c>
      <c r="I3009" s="5">
        <v>6187.46</v>
      </c>
      <c r="K3009" s="5">
        <v>2.3E-2</v>
      </c>
      <c r="L3009" s="5">
        <v>1E-3</v>
      </c>
      <c r="M3009" s="5">
        <v>4531.1559999999999</v>
      </c>
      <c r="N3009" s="6">
        <v>5.9200000000000003E-2</v>
      </c>
      <c r="O3009" s="5">
        <v>1.8280000000000001</v>
      </c>
      <c r="P3009" s="6">
        <v>7.2599999999999998E-2</v>
      </c>
      <c r="Q3009" s="5">
        <v>76248.562999999995</v>
      </c>
      <c r="R3009" s="1" t="s">
        <v>44</v>
      </c>
      <c r="T3009" s="1" t="s">
        <v>93</v>
      </c>
      <c r="V3009" s="1" t="s">
        <v>140</v>
      </c>
      <c r="Y3009" s="1" t="s">
        <v>1207</v>
      </c>
      <c r="Z3009" s="1" t="str">
        <f t="shared" si="138"/>
        <v>55447 CT03</v>
      </c>
      <c r="AA3009" s="3">
        <f>IF(INDEX('CAMD Facility Data 2023'!$AA$2:$AE$10000,MATCH(Z3009,'CAMD Facility Data 2023'!$AE$2:$AE$10000,0),1)&gt;0,INDEX('CAMD Facility Data 2023'!$AA$2:$AE$10000,MATCH(Z3009,'CAMD Facility Data 2023'!$AE$2:$AE$10000,0),1),"")</f>
        <v>37047</v>
      </c>
      <c r="AB3009" s="5">
        <f>IF(INDEX('CAMD Facility Data 2023'!$AC$2:$AE$10000,MATCH(Z3009,'CAMD Facility Data 2023'!$AE$2:$AE$10000,0),1)&gt;0,INDEX('CAMD Facility Data 2023'!$AC$2:$AE$10000,MATCH(Z3009,'CAMD Facility Data 2023'!$AE$2:$AE$10000,0),1),"")</f>
        <v>545</v>
      </c>
      <c r="AC3009" s="1" t="str">
        <f>IF(INDEX('CAMD Facility Data 2023'!$AE$2:$AG$10000,MATCH(Z3009,'CAMD Facility Data 2023'!$AE$2:$AE$10000,0),3)&gt;0,INDEX('CAMD Facility Data 2023'!$AE$2:$AG$10000,MATCH(Z3009,'CAMD Facility Data 2023'!$AE$2:$AE$10000,0),3),"")</f>
        <v/>
      </c>
      <c r="AD3009" s="20">
        <f t="shared" si="139"/>
        <v>0.59087250665054802</v>
      </c>
      <c r="AE3009" s="25">
        <f t="shared" si="140"/>
        <v>1.5970961208160529E-2</v>
      </c>
    </row>
    <row r="3010" spans="1:31" x14ac:dyDescent="0.2">
      <c r="A3010" s="1" t="s">
        <v>1755</v>
      </c>
      <c r="B3010" s="1" t="s">
        <v>6807</v>
      </c>
      <c r="C3010" s="1">
        <v>55447</v>
      </c>
      <c r="D3010" s="1" t="s">
        <v>1048</v>
      </c>
      <c r="F3010" s="1">
        <v>2023</v>
      </c>
      <c r="G3010" s="5">
        <v>50</v>
      </c>
      <c r="H3010" s="5">
        <v>39.64</v>
      </c>
      <c r="I3010" s="5">
        <v>1233.05</v>
      </c>
      <c r="K3010" s="5">
        <v>5.0000000000000001E-3</v>
      </c>
      <c r="L3010" s="5">
        <v>1E-3</v>
      </c>
      <c r="M3010" s="5">
        <v>932.55100000000004</v>
      </c>
      <c r="N3010" s="6">
        <v>5.9299999999999999E-2</v>
      </c>
      <c r="O3010" s="5">
        <v>1.7290000000000001</v>
      </c>
      <c r="P3010" s="6">
        <v>0.221</v>
      </c>
      <c r="Q3010" s="5">
        <v>15687.832</v>
      </c>
      <c r="R3010" s="1" t="s">
        <v>44</v>
      </c>
      <c r="T3010" s="1" t="s">
        <v>93</v>
      </c>
      <c r="V3010" s="1" t="s">
        <v>140</v>
      </c>
      <c r="Y3010" s="1" t="s">
        <v>1207</v>
      </c>
      <c r="Z3010" s="1" t="str">
        <f t="shared" si="138"/>
        <v>55447 CT04</v>
      </c>
      <c r="AA3010" s="3">
        <f>IF(INDEX('CAMD Facility Data 2023'!$AA$2:$AE$10000,MATCH(Z3010,'CAMD Facility Data 2023'!$AE$2:$AE$10000,0),1)&gt;0,INDEX('CAMD Facility Data 2023'!$AA$2:$AE$10000,MATCH(Z3010,'CAMD Facility Data 2023'!$AE$2:$AE$10000,0),1),"")</f>
        <v>37044</v>
      </c>
      <c r="AB3010" s="5">
        <f>IF(INDEX('CAMD Facility Data 2023'!$AC$2:$AE$10000,MATCH(Z3010,'CAMD Facility Data 2023'!$AE$2:$AE$10000,0),1)&gt;0,INDEX('CAMD Facility Data 2023'!$AC$2:$AE$10000,MATCH(Z3010,'CAMD Facility Data 2023'!$AE$2:$AE$10000,0),1),"")</f>
        <v>545</v>
      </c>
      <c r="AC3010" s="1" t="str">
        <f>IF(INDEX('CAMD Facility Data 2023'!$AE$2:$AG$10000,MATCH(Z3010,'CAMD Facility Data 2023'!$AE$2:$AE$10000,0),3)&gt;0,INDEX('CAMD Facility Data 2023'!$AE$2:$AG$10000,MATCH(Z3010,'CAMD Facility Data 2023'!$AE$2:$AE$10000,0),3),"")</f>
        <v/>
      </c>
      <c r="AD3010" s="20">
        <f t="shared" si="139"/>
        <v>2.804428044280443</v>
      </c>
      <c r="AE3010" s="25">
        <f t="shared" si="140"/>
        <v>3.2859603703238238E-3</v>
      </c>
    </row>
    <row r="3011" spans="1:31" x14ac:dyDescent="0.2">
      <c r="A3011" s="1" t="s">
        <v>1732</v>
      </c>
      <c r="B3011" s="1" t="s">
        <v>6812</v>
      </c>
      <c r="C3011" s="1">
        <v>55451</v>
      </c>
      <c r="D3011" s="1" t="s">
        <v>5681</v>
      </c>
      <c r="F3011" s="1">
        <v>2023</v>
      </c>
      <c r="G3011" s="5">
        <v>7520</v>
      </c>
      <c r="H3011" s="5">
        <v>7482.97</v>
      </c>
      <c r="I3011" s="5">
        <v>2028332.24</v>
      </c>
      <c r="K3011" s="5">
        <v>4.3680000000000003</v>
      </c>
      <c r="L3011" s="5">
        <v>1E-3</v>
      </c>
      <c r="M3011" s="5">
        <v>865161.94200000004</v>
      </c>
      <c r="N3011" s="6">
        <v>5.8999999999999997E-2</v>
      </c>
      <c r="O3011" s="5">
        <v>83.504999999999995</v>
      </c>
      <c r="P3011" s="6">
        <v>1.26E-2</v>
      </c>
      <c r="Q3011" s="5">
        <v>14557970.429</v>
      </c>
      <c r="R3011" s="1" t="s">
        <v>44</v>
      </c>
      <c r="T3011" s="1" t="s">
        <v>71</v>
      </c>
      <c r="V3011" s="1" t="s">
        <v>64</v>
      </c>
      <c r="Y3011" s="1" t="s">
        <v>346</v>
      </c>
      <c r="Z3011" s="1" t="str">
        <f t="shared" ref="Z3011:Z3074" si="141">C3011&amp;" "&amp;D3011</f>
        <v>55451 CTG-1</v>
      </c>
      <c r="AA3011" s="3">
        <f>IF(INDEX('CAMD Facility Data 2023'!$AA$2:$AE$10000,MATCH(Z3011,'CAMD Facility Data 2023'!$AE$2:$AE$10000,0),1)&gt;0,INDEX('CAMD Facility Data 2023'!$AA$2:$AE$10000,MATCH(Z3011,'CAMD Facility Data 2023'!$AE$2:$AE$10000,0),1),"")</f>
        <v>37609</v>
      </c>
      <c r="AB3011" s="5">
        <f>IF(INDEX('CAMD Facility Data 2023'!$AC$2:$AE$10000,MATCH(Z3011,'CAMD Facility Data 2023'!$AE$2:$AE$10000,0),1)&gt;0,INDEX('CAMD Facility Data 2023'!$AC$2:$AE$10000,MATCH(Z3011,'CAMD Facility Data 2023'!$AE$2:$AE$10000,0),1),"")</f>
        <v>2790.2</v>
      </c>
      <c r="AC3011" s="1" t="str">
        <f>IF(INDEX('CAMD Facility Data 2023'!$AE$2:$AG$10000,MATCH(Z3011,'CAMD Facility Data 2023'!$AE$2:$AE$10000,0),3)&gt;0,INDEX('CAMD Facility Data 2023'!$AE$2:$AG$10000,MATCH(Z3011,'CAMD Facility Data 2023'!$AE$2:$AE$10000,0),3),"")</f>
        <v>Y</v>
      </c>
      <c r="AD3011" s="20">
        <f t="shared" ref="AD3011:AD3074" si="142">IF(ISNUMBER(O3011*2000/I3011),O3011*2000/I3011,"")</f>
        <v>8.2338581770016142E-2</v>
      </c>
      <c r="AE3011" s="25">
        <f t="shared" ref="AE3011:AE3074" si="143">Q3011/(AB3011*8760)</f>
        <v>0.5956091930448677</v>
      </c>
    </row>
    <row r="3012" spans="1:31" x14ac:dyDescent="0.2">
      <c r="A3012" s="1" t="s">
        <v>1732</v>
      </c>
      <c r="B3012" s="1" t="s">
        <v>6812</v>
      </c>
      <c r="C3012" s="1">
        <v>55451</v>
      </c>
      <c r="D3012" s="1" t="s">
        <v>5684</v>
      </c>
      <c r="F3012" s="1">
        <v>2023</v>
      </c>
      <c r="G3012" s="5">
        <v>7439</v>
      </c>
      <c r="H3012" s="5">
        <v>7398.12</v>
      </c>
      <c r="I3012" s="5">
        <v>1989094.51</v>
      </c>
      <c r="K3012" s="5">
        <v>4.335</v>
      </c>
      <c r="L3012" s="5">
        <v>1E-3</v>
      </c>
      <c r="M3012" s="5">
        <v>858737.79200000002</v>
      </c>
      <c r="N3012" s="6">
        <v>5.8999999999999997E-2</v>
      </c>
      <c r="O3012" s="5">
        <v>84.313999999999993</v>
      </c>
      <c r="P3012" s="6">
        <v>1.3100000000000001E-2</v>
      </c>
      <c r="Q3012" s="5">
        <v>14449936.836999999</v>
      </c>
      <c r="R3012" s="1" t="s">
        <v>44</v>
      </c>
      <c r="T3012" s="1" t="s">
        <v>71</v>
      </c>
      <c r="V3012" s="1" t="s">
        <v>64</v>
      </c>
      <c r="Y3012" s="1" t="s">
        <v>346</v>
      </c>
      <c r="Z3012" s="1" t="str">
        <f t="shared" si="141"/>
        <v>55451 CTG-2</v>
      </c>
      <c r="AA3012" s="3">
        <f>IF(INDEX('CAMD Facility Data 2023'!$AA$2:$AE$10000,MATCH(Z3012,'CAMD Facility Data 2023'!$AE$2:$AE$10000,0),1)&gt;0,INDEX('CAMD Facility Data 2023'!$AA$2:$AE$10000,MATCH(Z3012,'CAMD Facility Data 2023'!$AE$2:$AE$10000,0),1),"")</f>
        <v>37612</v>
      </c>
      <c r="AB3012" s="5">
        <f>IF(INDEX('CAMD Facility Data 2023'!$AC$2:$AE$10000,MATCH(Z3012,'CAMD Facility Data 2023'!$AE$2:$AE$10000,0),1)&gt;0,INDEX('CAMD Facility Data 2023'!$AC$2:$AE$10000,MATCH(Z3012,'CAMD Facility Data 2023'!$AE$2:$AE$10000,0),1),"")</f>
        <v>2753.4</v>
      </c>
      <c r="AC3012" s="1" t="str">
        <f>IF(INDEX('CAMD Facility Data 2023'!$AE$2:$AG$10000,MATCH(Z3012,'CAMD Facility Data 2023'!$AE$2:$AE$10000,0),3)&gt;0,INDEX('CAMD Facility Data 2023'!$AE$2:$AG$10000,MATCH(Z3012,'CAMD Facility Data 2023'!$AE$2:$AE$10000,0),3),"")</f>
        <v>Y</v>
      </c>
      <c r="AD3012" s="20">
        <f t="shared" si="142"/>
        <v>8.4776263346079017E-2</v>
      </c>
      <c r="AE3012" s="25">
        <f t="shared" si="143"/>
        <v>0.59909064015664482</v>
      </c>
    </row>
    <row r="3013" spans="1:31" x14ac:dyDescent="0.2">
      <c r="A3013" s="1" t="s">
        <v>1732</v>
      </c>
      <c r="B3013" s="1" t="s">
        <v>6812</v>
      </c>
      <c r="C3013" s="1">
        <v>55451</v>
      </c>
      <c r="D3013" s="1" t="s">
        <v>5750</v>
      </c>
      <c r="F3013" s="1">
        <v>2023</v>
      </c>
      <c r="G3013" s="5">
        <v>7198</v>
      </c>
      <c r="H3013" s="5">
        <v>7172.47</v>
      </c>
      <c r="I3013" s="5">
        <v>1914089.34</v>
      </c>
      <c r="K3013" s="5">
        <v>4.2039999999999997</v>
      </c>
      <c r="L3013" s="5">
        <v>1E-3</v>
      </c>
      <c r="M3013" s="5">
        <v>832764.55799999996</v>
      </c>
      <c r="N3013" s="6">
        <v>5.8999999999999997E-2</v>
      </c>
      <c r="O3013" s="5">
        <v>79.897999999999996</v>
      </c>
      <c r="P3013" s="6">
        <v>1.23E-2</v>
      </c>
      <c r="Q3013" s="5">
        <v>14012904.517999999</v>
      </c>
      <c r="R3013" s="1" t="s">
        <v>44</v>
      </c>
      <c r="T3013" s="1" t="s">
        <v>71</v>
      </c>
      <c r="V3013" s="1" t="s">
        <v>64</v>
      </c>
      <c r="Y3013" s="1" t="s">
        <v>346</v>
      </c>
      <c r="Z3013" s="1" t="str">
        <f t="shared" si="141"/>
        <v>55451 CTG-3</v>
      </c>
      <c r="AA3013" s="3">
        <f>IF(INDEX('CAMD Facility Data 2023'!$AA$2:$AE$10000,MATCH(Z3013,'CAMD Facility Data 2023'!$AE$2:$AE$10000,0),1)&gt;0,INDEX('CAMD Facility Data 2023'!$AA$2:$AE$10000,MATCH(Z3013,'CAMD Facility Data 2023'!$AE$2:$AE$10000,0),1),"")</f>
        <v>37712</v>
      </c>
      <c r="AB3013" s="5">
        <f>IF(INDEX('CAMD Facility Data 2023'!$AC$2:$AE$10000,MATCH(Z3013,'CAMD Facility Data 2023'!$AE$2:$AE$10000,0),1)&gt;0,INDEX('CAMD Facility Data 2023'!$AC$2:$AE$10000,MATCH(Z3013,'CAMD Facility Data 2023'!$AE$2:$AE$10000,0),1),"")</f>
        <v>2751.2</v>
      </c>
      <c r="AC3013" s="1" t="str">
        <f>IF(INDEX('CAMD Facility Data 2023'!$AE$2:$AG$10000,MATCH(Z3013,'CAMD Facility Data 2023'!$AE$2:$AE$10000,0),3)&gt;0,INDEX('CAMD Facility Data 2023'!$AE$2:$AG$10000,MATCH(Z3013,'CAMD Facility Data 2023'!$AE$2:$AE$10000,0),3),"")</f>
        <v>Y</v>
      </c>
      <c r="AD3013" s="20">
        <f t="shared" si="142"/>
        <v>8.3484086484698766E-2</v>
      </c>
      <c r="AE3013" s="25">
        <f t="shared" si="143"/>
        <v>0.58143596775039463</v>
      </c>
    </row>
    <row r="3014" spans="1:31" x14ac:dyDescent="0.2">
      <c r="A3014" s="1" t="s">
        <v>516</v>
      </c>
      <c r="B3014" s="1" t="s">
        <v>6817</v>
      </c>
      <c r="C3014" s="1">
        <v>55453</v>
      </c>
      <c r="D3014" s="1">
        <v>1</v>
      </c>
      <c r="F3014" s="1">
        <v>2023</v>
      </c>
      <c r="G3014" s="5">
        <v>741</v>
      </c>
      <c r="H3014" s="5">
        <v>627.52</v>
      </c>
      <c r="I3014" s="5">
        <v>12891.33</v>
      </c>
      <c r="K3014" s="5">
        <v>4.3999999999999997E-2</v>
      </c>
      <c r="L3014" s="5">
        <v>1E-3</v>
      </c>
      <c r="M3014" s="5">
        <v>8708.277</v>
      </c>
      <c r="N3014" s="6">
        <v>5.9299999999999999E-2</v>
      </c>
      <c r="O3014" s="5">
        <v>6.9219999999999997</v>
      </c>
      <c r="P3014" s="6">
        <v>0.1104</v>
      </c>
      <c r="Q3014" s="5">
        <v>146536.894</v>
      </c>
      <c r="R3014" s="1" t="s">
        <v>44</v>
      </c>
      <c r="T3014" s="1" t="s">
        <v>93</v>
      </c>
      <c r="V3014" s="1" t="s">
        <v>95</v>
      </c>
      <c r="Y3014" s="1" t="s">
        <v>247</v>
      </c>
      <c r="Z3014" s="1" t="str">
        <f t="shared" si="141"/>
        <v>55453 1</v>
      </c>
      <c r="AA3014" s="3">
        <f>IF(INDEX('CAMD Facility Data 2023'!$AA$2:$AE$10000,MATCH(Z3014,'CAMD Facility Data 2023'!$AE$2:$AE$10000,0),1)&gt;0,INDEX('CAMD Facility Data 2023'!$AA$2:$AE$10000,MATCH(Z3014,'CAMD Facility Data 2023'!$AE$2:$AE$10000,0),1),"")</f>
        <v>37080</v>
      </c>
      <c r="AB3014" s="5">
        <f>IF(INDEX('CAMD Facility Data 2023'!$AC$2:$AE$10000,MATCH(Z3014,'CAMD Facility Data 2023'!$AE$2:$AE$10000,0),1)&gt;0,INDEX('CAMD Facility Data 2023'!$AC$2:$AE$10000,MATCH(Z3014,'CAMD Facility Data 2023'!$AE$2:$AE$10000,0),1),"")</f>
        <v>440</v>
      </c>
      <c r="AC3014" s="1" t="str">
        <f>IF(INDEX('CAMD Facility Data 2023'!$AE$2:$AG$10000,MATCH(Z3014,'CAMD Facility Data 2023'!$AE$2:$AE$10000,0),3)&gt;0,INDEX('CAMD Facility Data 2023'!$AE$2:$AG$10000,MATCH(Z3014,'CAMD Facility Data 2023'!$AE$2:$AE$10000,0),3),"")</f>
        <v/>
      </c>
      <c r="AD3014" s="20">
        <f t="shared" si="142"/>
        <v>1.0739000553084903</v>
      </c>
      <c r="AE3014" s="25">
        <f t="shared" si="143"/>
        <v>3.801808167289332E-2</v>
      </c>
    </row>
    <row r="3015" spans="1:31" x14ac:dyDescent="0.2">
      <c r="A3015" s="1" t="s">
        <v>516</v>
      </c>
      <c r="B3015" s="1" t="s">
        <v>6817</v>
      </c>
      <c r="C3015" s="1">
        <v>55453</v>
      </c>
      <c r="D3015" s="1">
        <v>2</v>
      </c>
      <c r="F3015" s="1">
        <v>2023</v>
      </c>
      <c r="G3015" s="5">
        <v>712</v>
      </c>
      <c r="H3015" s="5">
        <v>606.01</v>
      </c>
      <c r="I3015" s="5">
        <v>12980.3</v>
      </c>
      <c r="K3015" s="5">
        <v>4.3999999999999997E-2</v>
      </c>
      <c r="L3015" s="5">
        <v>1E-3</v>
      </c>
      <c r="M3015" s="5">
        <v>8736.3760000000002</v>
      </c>
      <c r="N3015" s="6">
        <v>5.9400000000000001E-2</v>
      </c>
      <c r="O3015" s="5">
        <v>7.4560000000000004</v>
      </c>
      <c r="P3015" s="6">
        <v>0.1192</v>
      </c>
      <c r="Q3015" s="5">
        <v>146995.93</v>
      </c>
      <c r="R3015" s="1" t="s">
        <v>44</v>
      </c>
      <c r="T3015" s="1" t="s">
        <v>93</v>
      </c>
      <c r="V3015" s="1" t="s">
        <v>95</v>
      </c>
      <c r="Y3015" s="1" t="s">
        <v>247</v>
      </c>
      <c r="Z3015" s="1" t="str">
        <f t="shared" si="141"/>
        <v>55453 2</v>
      </c>
      <c r="AA3015" s="3">
        <f>IF(INDEX('CAMD Facility Data 2023'!$AA$2:$AE$10000,MATCH(Z3015,'CAMD Facility Data 2023'!$AE$2:$AE$10000,0),1)&gt;0,INDEX('CAMD Facility Data 2023'!$AA$2:$AE$10000,MATCH(Z3015,'CAMD Facility Data 2023'!$AE$2:$AE$10000,0),1),"")</f>
        <v>37086</v>
      </c>
      <c r="AB3015" s="5">
        <f>IF(INDEX('CAMD Facility Data 2023'!$AC$2:$AE$10000,MATCH(Z3015,'CAMD Facility Data 2023'!$AE$2:$AE$10000,0),1)&gt;0,INDEX('CAMD Facility Data 2023'!$AC$2:$AE$10000,MATCH(Z3015,'CAMD Facility Data 2023'!$AE$2:$AE$10000,0),1),"")</f>
        <v>425</v>
      </c>
      <c r="AC3015" s="1" t="str">
        <f>IF(INDEX('CAMD Facility Data 2023'!$AE$2:$AG$10000,MATCH(Z3015,'CAMD Facility Data 2023'!$AE$2:$AE$10000,0),3)&gt;0,INDEX('CAMD Facility Data 2023'!$AE$2:$AG$10000,MATCH(Z3015,'CAMD Facility Data 2023'!$AE$2:$AE$10000,0),3),"")</f>
        <v/>
      </c>
      <c r="AD3015" s="20">
        <f t="shared" si="142"/>
        <v>1.1488178239331912</v>
      </c>
      <c r="AE3015" s="25">
        <f t="shared" si="143"/>
        <v>3.9483193661026053E-2</v>
      </c>
    </row>
    <row r="3016" spans="1:31" x14ac:dyDescent="0.2">
      <c r="A3016" s="1" t="s">
        <v>516</v>
      </c>
      <c r="B3016" s="1" t="s">
        <v>6817</v>
      </c>
      <c r="C3016" s="1">
        <v>55453</v>
      </c>
      <c r="D3016" s="1">
        <v>3</v>
      </c>
      <c r="F3016" s="1">
        <v>2023</v>
      </c>
      <c r="G3016" s="5">
        <v>767</v>
      </c>
      <c r="H3016" s="5">
        <v>646.1</v>
      </c>
      <c r="I3016" s="5">
        <v>13723.98</v>
      </c>
      <c r="K3016" s="5">
        <v>4.7E-2</v>
      </c>
      <c r="L3016" s="5">
        <v>1E-3</v>
      </c>
      <c r="M3016" s="5">
        <v>9250.6679999999997</v>
      </c>
      <c r="N3016" s="6">
        <v>5.9299999999999999E-2</v>
      </c>
      <c r="O3016" s="5">
        <v>7.9169999999999998</v>
      </c>
      <c r="P3016" s="6">
        <v>0.11749999999999999</v>
      </c>
      <c r="Q3016" s="5">
        <v>155661.78700000001</v>
      </c>
      <c r="R3016" s="1" t="s">
        <v>44</v>
      </c>
      <c r="T3016" s="1" t="s">
        <v>93</v>
      </c>
      <c r="V3016" s="1" t="s">
        <v>95</v>
      </c>
      <c r="Y3016" s="1" t="s">
        <v>247</v>
      </c>
      <c r="Z3016" s="1" t="str">
        <f t="shared" si="141"/>
        <v>55453 3</v>
      </c>
      <c r="AA3016" s="3">
        <f>IF(INDEX('CAMD Facility Data 2023'!$AA$2:$AE$10000,MATCH(Z3016,'CAMD Facility Data 2023'!$AE$2:$AE$10000,0),1)&gt;0,INDEX('CAMD Facility Data 2023'!$AA$2:$AE$10000,MATCH(Z3016,'CAMD Facility Data 2023'!$AE$2:$AE$10000,0),1),"")</f>
        <v>37096</v>
      </c>
      <c r="AB3016" s="5">
        <f>IF(INDEX('CAMD Facility Data 2023'!$AC$2:$AE$10000,MATCH(Z3016,'CAMD Facility Data 2023'!$AE$2:$AE$10000,0),1)&gt;0,INDEX('CAMD Facility Data 2023'!$AC$2:$AE$10000,MATCH(Z3016,'CAMD Facility Data 2023'!$AE$2:$AE$10000,0),1),"")</f>
        <v>430</v>
      </c>
      <c r="AC3016" s="1" t="str">
        <f>IF(INDEX('CAMD Facility Data 2023'!$AE$2:$AG$10000,MATCH(Z3016,'CAMD Facility Data 2023'!$AE$2:$AE$10000,0),3)&gt;0,INDEX('CAMD Facility Data 2023'!$AE$2:$AG$10000,MATCH(Z3016,'CAMD Facility Data 2023'!$AE$2:$AE$10000,0),3),"")</f>
        <v/>
      </c>
      <c r="AD3016" s="20">
        <f t="shared" si="142"/>
        <v>1.1537469451281626</v>
      </c>
      <c r="AE3016" s="25">
        <f t="shared" si="143"/>
        <v>4.1324675321227571E-2</v>
      </c>
    </row>
    <row r="3017" spans="1:31" x14ac:dyDescent="0.2">
      <c r="A3017" s="1" t="s">
        <v>516</v>
      </c>
      <c r="B3017" s="1" t="s">
        <v>6817</v>
      </c>
      <c r="C3017" s="1">
        <v>55453</v>
      </c>
      <c r="D3017" s="1">
        <v>4</v>
      </c>
      <c r="F3017" s="1">
        <v>2023</v>
      </c>
      <c r="G3017" s="5">
        <v>751</v>
      </c>
      <c r="H3017" s="5">
        <v>639.29</v>
      </c>
      <c r="I3017" s="5">
        <v>13363.73</v>
      </c>
      <c r="K3017" s="5">
        <v>4.4999999999999998E-2</v>
      </c>
      <c r="L3017" s="5">
        <v>1E-3</v>
      </c>
      <c r="M3017" s="5">
        <v>8910.2880000000005</v>
      </c>
      <c r="N3017" s="6">
        <v>5.9400000000000001E-2</v>
      </c>
      <c r="O3017" s="5">
        <v>7.64</v>
      </c>
      <c r="P3017" s="6">
        <v>0.1198</v>
      </c>
      <c r="Q3017" s="5">
        <v>149917.46900000001</v>
      </c>
      <c r="R3017" s="1" t="s">
        <v>44</v>
      </c>
      <c r="T3017" s="1" t="s">
        <v>93</v>
      </c>
      <c r="V3017" s="1" t="s">
        <v>95</v>
      </c>
      <c r="Y3017" s="1" t="s">
        <v>247</v>
      </c>
      <c r="Z3017" s="1" t="str">
        <f t="shared" si="141"/>
        <v>55453 4</v>
      </c>
      <c r="AA3017" s="3">
        <f>IF(INDEX('CAMD Facility Data 2023'!$AA$2:$AE$10000,MATCH(Z3017,'CAMD Facility Data 2023'!$AE$2:$AE$10000,0),1)&gt;0,INDEX('CAMD Facility Data 2023'!$AA$2:$AE$10000,MATCH(Z3017,'CAMD Facility Data 2023'!$AE$2:$AE$10000,0),1),"")</f>
        <v>37097</v>
      </c>
      <c r="AB3017" s="5">
        <f>IF(INDEX('CAMD Facility Data 2023'!$AC$2:$AE$10000,MATCH(Z3017,'CAMD Facility Data 2023'!$AE$2:$AE$10000,0),1)&gt;0,INDEX('CAMD Facility Data 2023'!$AC$2:$AE$10000,MATCH(Z3017,'CAMD Facility Data 2023'!$AE$2:$AE$10000,0),1),"")</f>
        <v>420</v>
      </c>
      <c r="AC3017" s="1" t="str">
        <f>IF(INDEX('CAMD Facility Data 2023'!$AE$2:$AG$10000,MATCH(Z3017,'CAMD Facility Data 2023'!$AE$2:$AE$10000,0),3)&gt;0,INDEX('CAMD Facility Data 2023'!$AE$2:$AG$10000,MATCH(Z3017,'CAMD Facility Data 2023'!$AE$2:$AE$10000,0),3),"")</f>
        <v/>
      </c>
      <c r="AD3017" s="20">
        <f t="shared" si="142"/>
        <v>1.1433933490125885</v>
      </c>
      <c r="AE3017" s="25">
        <f t="shared" si="143"/>
        <v>4.0747300771906941E-2</v>
      </c>
    </row>
    <row r="3018" spans="1:31" x14ac:dyDescent="0.2">
      <c r="A3018" s="1" t="s">
        <v>516</v>
      </c>
      <c r="B3018" s="1" t="s">
        <v>6817</v>
      </c>
      <c r="C3018" s="1">
        <v>55453</v>
      </c>
      <c r="D3018" s="1">
        <v>5</v>
      </c>
      <c r="F3018" s="1">
        <v>2023</v>
      </c>
      <c r="G3018" s="5">
        <v>743</v>
      </c>
      <c r="H3018" s="5">
        <v>622.91</v>
      </c>
      <c r="I3018" s="5">
        <v>13015.57</v>
      </c>
      <c r="K3018" s="5">
        <v>4.3999999999999997E-2</v>
      </c>
      <c r="L3018" s="5">
        <v>1E-3</v>
      </c>
      <c r="M3018" s="5">
        <v>8636.5249999999996</v>
      </c>
      <c r="N3018" s="6">
        <v>5.9299999999999999E-2</v>
      </c>
      <c r="O3018" s="5">
        <v>7.1210000000000004</v>
      </c>
      <c r="P3018" s="6">
        <v>0.1124</v>
      </c>
      <c r="Q3018" s="5">
        <v>145345.758</v>
      </c>
      <c r="R3018" s="1" t="s">
        <v>44</v>
      </c>
      <c r="T3018" s="1" t="s">
        <v>93</v>
      </c>
      <c r="V3018" s="1" t="s">
        <v>95</v>
      </c>
      <c r="Y3018" s="1" t="s">
        <v>247</v>
      </c>
      <c r="Z3018" s="1" t="str">
        <f t="shared" si="141"/>
        <v>55453 5</v>
      </c>
      <c r="AA3018" s="3">
        <f>IF(INDEX('CAMD Facility Data 2023'!$AA$2:$AE$10000,MATCH(Z3018,'CAMD Facility Data 2023'!$AE$2:$AE$10000,0),1)&gt;0,INDEX('CAMD Facility Data 2023'!$AA$2:$AE$10000,MATCH(Z3018,'CAMD Facility Data 2023'!$AE$2:$AE$10000,0),1),"")</f>
        <v>37101</v>
      </c>
      <c r="AB3018" s="5">
        <f>IF(INDEX('CAMD Facility Data 2023'!$AC$2:$AE$10000,MATCH(Z3018,'CAMD Facility Data 2023'!$AE$2:$AE$10000,0),1)&gt;0,INDEX('CAMD Facility Data 2023'!$AC$2:$AE$10000,MATCH(Z3018,'CAMD Facility Data 2023'!$AE$2:$AE$10000,0),1),"")</f>
        <v>420</v>
      </c>
      <c r="AC3018" s="1" t="str">
        <f>IF(INDEX('CAMD Facility Data 2023'!$AE$2:$AG$10000,MATCH(Z3018,'CAMD Facility Data 2023'!$AE$2:$AE$10000,0),3)&gt;0,INDEX('CAMD Facility Data 2023'!$AE$2:$AG$10000,MATCH(Z3018,'CAMD Facility Data 2023'!$AE$2:$AE$10000,0),3),"")</f>
        <v/>
      </c>
      <c r="AD3018" s="20">
        <f t="shared" si="142"/>
        <v>1.0942279131839789</v>
      </c>
      <c r="AE3018" s="25">
        <f t="shared" si="143"/>
        <v>3.9504717873450751E-2</v>
      </c>
    </row>
    <row r="3019" spans="1:31" x14ac:dyDescent="0.2">
      <c r="A3019" s="1" t="s">
        <v>516</v>
      </c>
      <c r="B3019" s="1" t="s">
        <v>6817</v>
      </c>
      <c r="C3019" s="1">
        <v>55453</v>
      </c>
      <c r="D3019" s="1">
        <v>6</v>
      </c>
      <c r="F3019" s="1">
        <v>2023</v>
      </c>
      <c r="G3019" s="5">
        <v>727</v>
      </c>
      <c r="H3019" s="5">
        <v>620.82000000000005</v>
      </c>
      <c r="I3019" s="5">
        <v>13106.98</v>
      </c>
      <c r="K3019" s="5">
        <v>4.3999999999999997E-2</v>
      </c>
      <c r="L3019" s="5">
        <v>1E-3</v>
      </c>
      <c r="M3019" s="5">
        <v>8679.0759999999991</v>
      </c>
      <c r="N3019" s="6">
        <v>5.9299999999999999E-2</v>
      </c>
      <c r="O3019" s="5">
        <v>7.3840000000000003</v>
      </c>
      <c r="P3019" s="6">
        <v>0.1177</v>
      </c>
      <c r="Q3019" s="5">
        <v>146046.38</v>
      </c>
      <c r="R3019" s="1" t="s">
        <v>44</v>
      </c>
      <c r="T3019" s="1" t="s">
        <v>93</v>
      </c>
      <c r="V3019" s="1" t="s">
        <v>95</v>
      </c>
      <c r="Y3019" s="1" t="s">
        <v>247</v>
      </c>
      <c r="Z3019" s="1" t="str">
        <f t="shared" si="141"/>
        <v>55453 6</v>
      </c>
      <c r="AA3019" s="3">
        <f>IF(INDEX('CAMD Facility Data 2023'!$AA$2:$AE$10000,MATCH(Z3019,'CAMD Facility Data 2023'!$AE$2:$AE$10000,0),1)&gt;0,INDEX('CAMD Facility Data 2023'!$AA$2:$AE$10000,MATCH(Z3019,'CAMD Facility Data 2023'!$AE$2:$AE$10000,0),1),"")</f>
        <v>37104</v>
      </c>
      <c r="AB3019" s="5">
        <f>IF(INDEX('CAMD Facility Data 2023'!$AC$2:$AE$10000,MATCH(Z3019,'CAMD Facility Data 2023'!$AE$2:$AE$10000,0),1)&gt;0,INDEX('CAMD Facility Data 2023'!$AC$2:$AE$10000,MATCH(Z3019,'CAMD Facility Data 2023'!$AE$2:$AE$10000,0),1),"")</f>
        <v>420</v>
      </c>
      <c r="AC3019" s="1" t="str">
        <f>IF(INDEX('CAMD Facility Data 2023'!$AE$2:$AG$10000,MATCH(Z3019,'CAMD Facility Data 2023'!$AE$2:$AE$10000,0),3)&gt;0,INDEX('CAMD Facility Data 2023'!$AE$2:$AG$10000,MATCH(Z3019,'CAMD Facility Data 2023'!$AE$2:$AE$10000,0),3),"")</f>
        <v/>
      </c>
      <c r="AD3019" s="20">
        <f t="shared" si="142"/>
        <v>1.1267278961286278</v>
      </c>
      <c r="AE3019" s="25">
        <f t="shared" si="143"/>
        <v>3.9695145683844316E-2</v>
      </c>
    </row>
    <row r="3020" spans="1:31" x14ac:dyDescent="0.2">
      <c r="A3020" s="1" t="s">
        <v>234</v>
      </c>
      <c r="B3020" s="1" t="s">
        <v>6825</v>
      </c>
      <c r="C3020" s="1">
        <v>55455</v>
      </c>
      <c r="D3020" s="1" t="s">
        <v>6826</v>
      </c>
      <c r="F3020" s="1">
        <v>2023</v>
      </c>
      <c r="G3020" s="5">
        <v>5404</v>
      </c>
      <c r="H3020" s="5">
        <v>5246.34</v>
      </c>
      <c r="I3020" s="5">
        <v>1144977.99</v>
      </c>
      <c r="K3020" s="5">
        <v>2.34</v>
      </c>
      <c r="L3020" s="5">
        <v>1E-3</v>
      </c>
      <c r="M3020" s="5">
        <v>463459.49</v>
      </c>
      <c r="N3020" s="6">
        <v>5.8999999999999997E-2</v>
      </c>
      <c r="O3020" s="5">
        <v>35.527000000000001</v>
      </c>
      <c r="P3020" s="6">
        <v>1.26E-2</v>
      </c>
      <c r="Q3020" s="5">
        <v>7798649.1069999998</v>
      </c>
      <c r="R3020" s="1" t="s">
        <v>44</v>
      </c>
      <c r="T3020" s="1" t="s">
        <v>71</v>
      </c>
      <c r="V3020" s="1" t="s">
        <v>64</v>
      </c>
      <c r="Y3020" s="1" t="s">
        <v>247</v>
      </c>
      <c r="Z3020" s="1" t="str">
        <f t="shared" si="141"/>
        <v>55455 CC1A</v>
      </c>
      <c r="AA3020" s="3">
        <f>IF(INDEX('CAMD Facility Data 2023'!$AA$2:$AE$10000,MATCH(Z3020,'CAMD Facility Data 2023'!$AE$2:$AE$10000,0),1)&gt;0,INDEX('CAMD Facility Data 2023'!$AA$2:$AE$10000,MATCH(Z3020,'CAMD Facility Data 2023'!$AE$2:$AE$10000,0),1),"")</f>
        <v>37371</v>
      </c>
      <c r="AB3020" s="5">
        <f>IF(INDEX('CAMD Facility Data 2023'!$AC$2:$AE$10000,MATCH(Z3020,'CAMD Facility Data 2023'!$AE$2:$AE$10000,0),1)&gt;0,INDEX('CAMD Facility Data 2023'!$AC$2:$AE$10000,MATCH(Z3020,'CAMD Facility Data 2023'!$AE$2:$AE$10000,0),1),"")</f>
        <v>2053</v>
      </c>
      <c r="AC3020" s="1" t="str">
        <f>IF(INDEX('CAMD Facility Data 2023'!$AE$2:$AG$10000,MATCH(Z3020,'CAMD Facility Data 2023'!$AE$2:$AE$10000,0),3)&gt;0,INDEX('CAMD Facility Data 2023'!$AE$2:$AG$10000,MATCH(Z3020,'CAMD Facility Data 2023'!$AE$2:$AE$10000,0),3),"")</f>
        <v>Y</v>
      </c>
      <c r="AD3020" s="20">
        <f t="shared" si="142"/>
        <v>6.2057088101754691E-2</v>
      </c>
      <c r="AE3020" s="25">
        <f t="shared" si="143"/>
        <v>0.43363699336309264</v>
      </c>
    </row>
    <row r="3021" spans="1:31" x14ac:dyDescent="0.2">
      <c r="A3021" s="1" t="s">
        <v>234</v>
      </c>
      <c r="B3021" s="1" t="s">
        <v>6825</v>
      </c>
      <c r="C3021" s="1">
        <v>55455</v>
      </c>
      <c r="D3021" s="1" t="s">
        <v>6829</v>
      </c>
      <c r="F3021" s="1">
        <v>2023</v>
      </c>
      <c r="G3021" s="5">
        <v>5236</v>
      </c>
      <c r="H3021" s="5">
        <v>5060.76</v>
      </c>
      <c r="I3021" s="5">
        <v>1118952.8500000001</v>
      </c>
      <c r="K3021" s="5">
        <v>2.3010000000000002</v>
      </c>
      <c r="L3021" s="5">
        <v>1E-3</v>
      </c>
      <c r="M3021" s="5">
        <v>455766.42099999997</v>
      </c>
      <c r="N3021" s="6">
        <v>5.8999999999999997E-2</v>
      </c>
      <c r="O3021" s="5">
        <v>34.828000000000003</v>
      </c>
      <c r="P3021" s="6">
        <v>1.2500000000000001E-2</v>
      </c>
      <c r="Q3021" s="5">
        <v>7669179.8559999997</v>
      </c>
      <c r="R3021" s="1" t="s">
        <v>44</v>
      </c>
      <c r="T3021" s="1" t="s">
        <v>71</v>
      </c>
      <c r="V3021" s="1" t="s">
        <v>64</v>
      </c>
      <c r="Y3021" s="1" t="s">
        <v>247</v>
      </c>
      <c r="Z3021" s="1" t="str">
        <f t="shared" si="141"/>
        <v>55455 CC1B</v>
      </c>
      <c r="AA3021" s="3">
        <f>IF(INDEX('CAMD Facility Data 2023'!$AA$2:$AE$10000,MATCH(Z3021,'CAMD Facility Data 2023'!$AE$2:$AE$10000,0),1)&gt;0,INDEX('CAMD Facility Data 2023'!$AA$2:$AE$10000,MATCH(Z3021,'CAMD Facility Data 2023'!$AE$2:$AE$10000,0),1),"")</f>
        <v>37360</v>
      </c>
      <c r="AB3021" s="5">
        <f>IF(INDEX('CAMD Facility Data 2023'!$AC$2:$AE$10000,MATCH(Z3021,'CAMD Facility Data 2023'!$AE$2:$AE$10000,0),1)&gt;0,INDEX('CAMD Facility Data 2023'!$AC$2:$AE$10000,MATCH(Z3021,'CAMD Facility Data 2023'!$AE$2:$AE$10000,0),1),"")</f>
        <v>2053</v>
      </c>
      <c r="AC3021" s="1" t="str">
        <f>IF(INDEX('CAMD Facility Data 2023'!$AE$2:$AG$10000,MATCH(Z3021,'CAMD Facility Data 2023'!$AE$2:$AE$10000,0),3)&gt;0,INDEX('CAMD Facility Data 2023'!$AE$2:$AG$10000,MATCH(Z3021,'CAMD Facility Data 2023'!$AE$2:$AE$10000,0),3),"")</f>
        <v>Y</v>
      </c>
      <c r="AD3021" s="20">
        <f t="shared" si="142"/>
        <v>6.225105910405429E-2</v>
      </c>
      <c r="AE3021" s="25">
        <f t="shared" si="143"/>
        <v>0.42643797004939871</v>
      </c>
    </row>
    <row r="3022" spans="1:31" x14ac:dyDescent="0.2">
      <c r="A3022" s="1" t="s">
        <v>234</v>
      </c>
      <c r="B3022" s="1" t="s">
        <v>6825</v>
      </c>
      <c r="C3022" s="1">
        <v>55455</v>
      </c>
      <c r="D3022" s="1" t="s">
        <v>6831</v>
      </c>
      <c r="F3022" s="1">
        <v>2023</v>
      </c>
      <c r="G3022" s="5">
        <v>5883</v>
      </c>
      <c r="H3022" s="5">
        <v>5736.43</v>
      </c>
      <c r="I3022" s="5">
        <v>1222182.69</v>
      </c>
      <c r="K3022" s="5">
        <v>2.496</v>
      </c>
      <c r="L3022" s="5">
        <v>1E-3</v>
      </c>
      <c r="M3022" s="5">
        <v>494490.49599999998</v>
      </c>
      <c r="N3022" s="6">
        <v>5.8999999999999997E-2</v>
      </c>
      <c r="O3022" s="5">
        <v>38.061999999999998</v>
      </c>
      <c r="P3022" s="6">
        <v>1.2500000000000001E-2</v>
      </c>
      <c r="Q3022" s="5">
        <v>8320749.0619999999</v>
      </c>
      <c r="R3022" s="1" t="s">
        <v>44</v>
      </c>
      <c r="T3022" s="1" t="s">
        <v>71</v>
      </c>
      <c r="V3022" s="1" t="s">
        <v>64</v>
      </c>
      <c r="Y3022" s="1" t="s">
        <v>247</v>
      </c>
      <c r="Z3022" s="1" t="str">
        <f t="shared" si="141"/>
        <v>55455 CC2A</v>
      </c>
      <c r="AA3022" s="3">
        <f>IF(INDEX('CAMD Facility Data 2023'!$AA$2:$AE$10000,MATCH(Z3022,'CAMD Facility Data 2023'!$AE$2:$AE$10000,0),1)&gt;0,INDEX('CAMD Facility Data 2023'!$AA$2:$AE$10000,MATCH(Z3022,'CAMD Facility Data 2023'!$AE$2:$AE$10000,0),1),"")</f>
        <v>37391</v>
      </c>
      <c r="AB3022" s="5">
        <f>IF(INDEX('CAMD Facility Data 2023'!$AC$2:$AE$10000,MATCH(Z3022,'CAMD Facility Data 2023'!$AE$2:$AE$10000,0),1)&gt;0,INDEX('CAMD Facility Data 2023'!$AC$2:$AE$10000,MATCH(Z3022,'CAMD Facility Data 2023'!$AE$2:$AE$10000,0),1),"")</f>
        <v>2053</v>
      </c>
      <c r="AC3022" s="1" t="str">
        <f>IF(INDEX('CAMD Facility Data 2023'!$AE$2:$AG$10000,MATCH(Z3022,'CAMD Facility Data 2023'!$AE$2:$AE$10000,0),3)&gt;0,INDEX('CAMD Facility Data 2023'!$AE$2:$AG$10000,MATCH(Z3022,'CAMD Facility Data 2023'!$AE$2:$AE$10000,0),3),"")</f>
        <v>Y</v>
      </c>
      <c r="AD3022" s="20">
        <f t="shared" si="142"/>
        <v>6.2285287316579493E-2</v>
      </c>
      <c r="AE3022" s="25">
        <f t="shared" si="143"/>
        <v>0.46266790007717851</v>
      </c>
    </row>
    <row r="3023" spans="1:31" x14ac:dyDescent="0.2">
      <c r="A3023" s="1" t="s">
        <v>234</v>
      </c>
      <c r="B3023" s="1" t="s">
        <v>6825</v>
      </c>
      <c r="C3023" s="1">
        <v>55455</v>
      </c>
      <c r="D3023" s="1" t="s">
        <v>6833</v>
      </c>
      <c r="F3023" s="1">
        <v>2023</v>
      </c>
      <c r="G3023" s="5">
        <v>4902</v>
      </c>
      <c r="H3023" s="5">
        <v>4742.45</v>
      </c>
      <c r="I3023" s="5">
        <v>1032900.22</v>
      </c>
      <c r="K3023" s="5">
        <v>2.15</v>
      </c>
      <c r="L3023" s="5">
        <v>1E-3</v>
      </c>
      <c r="M3023" s="5">
        <v>425881.408</v>
      </c>
      <c r="N3023" s="6">
        <v>5.8999999999999997E-2</v>
      </c>
      <c r="O3023" s="5">
        <v>33.491</v>
      </c>
      <c r="P3023" s="6">
        <v>1.2800000000000001E-2</v>
      </c>
      <c r="Q3023" s="5">
        <v>7166280.0690000001</v>
      </c>
      <c r="R3023" s="1" t="s">
        <v>44</v>
      </c>
      <c r="T3023" s="1" t="s">
        <v>71</v>
      </c>
      <c r="V3023" s="1" t="s">
        <v>64</v>
      </c>
      <c r="Y3023" s="1" t="s">
        <v>247</v>
      </c>
      <c r="Z3023" s="1" t="str">
        <f t="shared" si="141"/>
        <v>55455 CC2B</v>
      </c>
      <c r="AA3023" s="3">
        <f>IF(INDEX('CAMD Facility Data 2023'!$AA$2:$AE$10000,MATCH(Z3023,'CAMD Facility Data 2023'!$AE$2:$AE$10000,0),1)&gt;0,INDEX('CAMD Facility Data 2023'!$AA$2:$AE$10000,MATCH(Z3023,'CAMD Facility Data 2023'!$AE$2:$AE$10000,0),1),"")</f>
        <v>37399</v>
      </c>
      <c r="AB3023" s="5">
        <f>IF(INDEX('CAMD Facility Data 2023'!$AC$2:$AE$10000,MATCH(Z3023,'CAMD Facility Data 2023'!$AE$2:$AE$10000,0),1)&gt;0,INDEX('CAMD Facility Data 2023'!$AC$2:$AE$10000,MATCH(Z3023,'CAMD Facility Data 2023'!$AE$2:$AE$10000,0),1),"")</f>
        <v>2053</v>
      </c>
      <c r="AC3023" s="1" t="str">
        <f>IF(INDEX('CAMD Facility Data 2023'!$AE$2:$AG$10000,MATCH(Z3023,'CAMD Facility Data 2023'!$AE$2:$AE$10000,0),3)&gt;0,INDEX('CAMD Facility Data 2023'!$AE$2:$AG$10000,MATCH(Z3023,'CAMD Facility Data 2023'!$AE$2:$AE$10000,0),3),"")</f>
        <v>Y</v>
      </c>
      <c r="AD3023" s="20">
        <f t="shared" si="142"/>
        <v>6.4848471036243943E-2</v>
      </c>
      <c r="AE3023" s="25">
        <f t="shared" si="143"/>
        <v>0.39847467171329631</v>
      </c>
    </row>
    <row r="3024" spans="1:31" x14ac:dyDescent="0.2">
      <c r="A3024" s="1" t="s">
        <v>335</v>
      </c>
      <c r="B3024" s="1" t="s">
        <v>6835</v>
      </c>
      <c r="C3024" s="1">
        <v>55457</v>
      </c>
      <c r="D3024" s="1" t="s">
        <v>311</v>
      </c>
      <c r="F3024" s="1">
        <v>2023</v>
      </c>
      <c r="G3024" s="5">
        <v>6152</v>
      </c>
      <c r="H3024" s="5">
        <v>6095.09</v>
      </c>
      <c r="I3024" s="5">
        <v>848650.39</v>
      </c>
      <c r="K3024" s="5">
        <v>2.6779999999999999</v>
      </c>
      <c r="L3024" s="5">
        <v>1E-3</v>
      </c>
      <c r="M3024" s="5">
        <v>530368.80099999998</v>
      </c>
      <c r="N3024" s="6">
        <v>5.8999999999999997E-2</v>
      </c>
      <c r="O3024" s="5">
        <v>127.41</v>
      </c>
      <c r="P3024" s="6">
        <v>2.98E-2</v>
      </c>
      <c r="Q3024" s="5">
        <v>8924534.5429999996</v>
      </c>
      <c r="R3024" s="1" t="s">
        <v>44</v>
      </c>
      <c r="T3024" s="1" t="s">
        <v>71</v>
      </c>
      <c r="V3024" s="1" t="s">
        <v>140</v>
      </c>
      <c r="Y3024" s="1" t="s">
        <v>346</v>
      </c>
      <c r="Z3024" s="1" t="str">
        <f t="shared" si="141"/>
        <v>55457 CT1</v>
      </c>
      <c r="AA3024" s="3">
        <f>IF(INDEX('CAMD Facility Data 2023'!$AA$2:$AE$10000,MATCH(Z3024,'CAMD Facility Data 2023'!$AE$2:$AE$10000,0),1)&gt;0,INDEX('CAMD Facility Data 2023'!$AA$2:$AE$10000,MATCH(Z3024,'CAMD Facility Data 2023'!$AE$2:$AE$10000,0),1),"")</f>
        <v>36981</v>
      </c>
      <c r="AB3024" s="5">
        <f>IF(INDEX('CAMD Facility Data 2023'!$AC$2:$AE$10000,MATCH(Z3024,'CAMD Facility Data 2023'!$AE$2:$AE$10000,0),1)&gt;0,INDEX('CAMD Facility Data 2023'!$AC$2:$AE$10000,MATCH(Z3024,'CAMD Facility Data 2023'!$AE$2:$AE$10000,0),1),"")</f>
        <v>2083</v>
      </c>
      <c r="AC3024" s="1" t="str">
        <f>IF(INDEX('CAMD Facility Data 2023'!$AE$2:$AG$10000,MATCH(Z3024,'CAMD Facility Data 2023'!$AE$2:$AE$10000,0),3)&gt;0,INDEX('CAMD Facility Data 2023'!$AE$2:$AG$10000,MATCH(Z3024,'CAMD Facility Data 2023'!$AE$2:$AE$10000,0),3),"")</f>
        <v/>
      </c>
      <c r="AD3024" s="20">
        <f t="shared" si="142"/>
        <v>0.30026498897855924</v>
      </c>
      <c r="AE3024" s="25">
        <f t="shared" si="143"/>
        <v>0.48909384641268627</v>
      </c>
    </row>
    <row r="3025" spans="1:31" x14ac:dyDescent="0.2">
      <c r="A3025" s="1" t="s">
        <v>335</v>
      </c>
      <c r="B3025" s="1" t="s">
        <v>6835</v>
      </c>
      <c r="C3025" s="1">
        <v>55457</v>
      </c>
      <c r="D3025" s="1" t="s">
        <v>98</v>
      </c>
      <c r="F3025" s="1">
        <v>2023</v>
      </c>
      <c r="G3025" s="5">
        <v>6122</v>
      </c>
      <c r="H3025" s="5">
        <v>6073.97</v>
      </c>
      <c r="I3025" s="5">
        <v>849281.74</v>
      </c>
      <c r="K3025" s="5">
        <v>2.67</v>
      </c>
      <c r="L3025" s="5">
        <v>1E-3</v>
      </c>
      <c r="M3025" s="5">
        <v>528875.38300000003</v>
      </c>
      <c r="N3025" s="6">
        <v>5.8999999999999997E-2</v>
      </c>
      <c r="O3025" s="5">
        <v>132.81899999999999</v>
      </c>
      <c r="P3025" s="6">
        <v>3.1E-2</v>
      </c>
      <c r="Q3025" s="5">
        <v>8899364.25</v>
      </c>
      <c r="R3025" s="1" t="s">
        <v>44</v>
      </c>
      <c r="T3025" s="1" t="s">
        <v>71</v>
      </c>
      <c r="V3025" s="1" t="s">
        <v>140</v>
      </c>
      <c r="Y3025" s="1" t="s">
        <v>346</v>
      </c>
      <c r="Z3025" s="1" t="str">
        <f t="shared" si="141"/>
        <v>55457 CT2</v>
      </c>
      <c r="AA3025" s="3">
        <f>IF(INDEX('CAMD Facility Data 2023'!$AA$2:$AE$10000,MATCH(Z3025,'CAMD Facility Data 2023'!$AE$2:$AE$10000,0),1)&gt;0,INDEX('CAMD Facility Data 2023'!$AA$2:$AE$10000,MATCH(Z3025,'CAMD Facility Data 2023'!$AE$2:$AE$10000,0),1),"")</f>
        <v>36985</v>
      </c>
      <c r="AB3025" s="5">
        <f>IF(INDEX('CAMD Facility Data 2023'!$AC$2:$AE$10000,MATCH(Z3025,'CAMD Facility Data 2023'!$AE$2:$AE$10000,0),1)&gt;0,INDEX('CAMD Facility Data 2023'!$AC$2:$AE$10000,MATCH(Z3025,'CAMD Facility Data 2023'!$AE$2:$AE$10000,0),1),"")</f>
        <v>2083</v>
      </c>
      <c r="AC3025" s="1" t="str">
        <f>IF(INDEX('CAMD Facility Data 2023'!$AE$2:$AG$10000,MATCH(Z3025,'CAMD Facility Data 2023'!$AE$2:$AE$10000,0),3)&gt;0,INDEX('CAMD Facility Data 2023'!$AE$2:$AG$10000,MATCH(Z3025,'CAMD Facility Data 2023'!$AE$2:$AE$10000,0),3),"")</f>
        <v/>
      </c>
      <c r="AD3025" s="20">
        <f t="shared" si="142"/>
        <v>0.31277959655649729</v>
      </c>
      <c r="AE3025" s="25">
        <f t="shared" si="143"/>
        <v>0.48771443156932509</v>
      </c>
    </row>
    <row r="3026" spans="1:31" x14ac:dyDescent="0.2">
      <c r="A3026" s="1" t="s">
        <v>1621</v>
      </c>
      <c r="B3026" s="1" t="s">
        <v>6841</v>
      </c>
      <c r="C3026" s="1">
        <v>55460</v>
      </c>
      <c r="D3026" s="1" t="s">
        <v>6842</v>
      </c>
      <c r="F3026" s="1">
        <v>2023</v>
      </c>
      <c r="G3026" s="5">
        <v>7242</v>
      </c>
      <c r="H3026" s="5">
        <v>7214.85</v>
      </c>
      <c r="I3026" s="5">
        <v>3722861.67</v>
      </c>
      <c r="K3026" s="5">
        <v>7.2549999999999999</v>
      </c>
      <c r="L3026" s="5">
        <v>1E-3</v>
      </c>
      <c r="M3026" s="5">
        <v>1437184.919</v>
      </c>
      <c r="N3026" s="6">
        <v>5.8999999999999997E-2</v>
      </c>
      <c r="O3026" s="5">
        <v>66.706000000000003</v>
      </c>
      <c r="P3026" s="6">
        <v>5.7000000000000002E-3</v>
      </c>
      <c r="Q3026" s="5">
        <v>24183433.160999998</v>
      </c>
      <c r="R3026" s="1" t="s">
        <v>44</v>
      </c>
      <c r="T3026" s="1" t="s">
        <v>71</v>
      </c>
      <c r="V3026" s="1" t="s">
        <v>64</v>
      </c>
      <c r="Y3026" s="1" t="s">
        <v>6843</v>
      </c>
      <c r="Z3026" s="1" t="str">
        <f t="shared" si="141"/>
        <v>55460 EUCT1</v>
      </c>
      <c r="AA3026" s="3">
        <f>IF(INDEX('CAMD Facility Data 2023'!$AA$2:$AE$10000,MATCH(Z3026,'CAMD Facility Data 2023'!$AE$2:$AE$10000,0),1)&gt;0,INDEX('CAMD Facility Data 2023'!$AA$2:$AE$10000,MATCH(Z3026,'CAMD Facility Data 2023'!$AE$2:$AE$10000,0),1),"")</f>
        <v>44582</v>
      </c>
      <c r="AB3026" s="5">
        <f>IF(INDEX('CAMD Facility Data 2023'!$AC$2:$AE$10000,MATCH(Z3026,'CAMD Facility Data 2023'!$AE$2:$AE$10000,0),1)&gt;0,INDEX('CAMD Facility Data 2023'!$AC$2:$AE$10000,MATCH(Z3026,'CAMD Facility Data 2023'!$AE$2:$AE$10000,0),1),"")</f>
        <v>3722</v>
      </c>
      <c r="AC3026" s="1" t="str">
        <f>IF(INDEX('CAMD Facility Data 2023'!$AE$2:$AG$10000,MATCH(Z3026,'CAMD Facility Data 2023'!$AE$2:$AE$10000,0),3)&gt;0,INDEX('CAMD Facility Data 2023'!$AE$2:$AG$10000,MATCH(Z3026,'CAMD Facility Data 2023'!$AE$2:$AE$10000,0),3),"")</f>
        <v>Y</v>
      </c>
      <c r="AD3026" s="20">
        <f t="shared" si="142"/>
        <v>3.5835873536499141E-2</v>
      </c>
      <c r="AE3026" s="25">
        <f t="shared" si="143"/>
        <v>0.74171571358380006</v>
      </c>
    </row>
    <row r="3027" spans="1:31" x14ac:dyDescent="0.2">
      <c r="A3027" s="1" t="s">
        <v>1621</v>
      </c>
      <c r="B3027" s="1" t="s">
        <v>6841</v>
      </c>
      <c r="C3027" s="1">
        <v>55460</v>
      </c>
      <c r="D3027" s="1" t="s">
        <v>6847</v>
      </c>
      <c r="F3027" s="1">
        <v>2023</v>
      </c>
      <c r="G3027" s="5">
        <v>7001</v>
      </c>
      <c r="H3027" s="5">
        <v>6980.79</v>
      </c>
      <c r="I3027" s="5">
        <v>3745446.99</v>
      </c>
      <c r="K3027" s="5">
        <v>7.3339999999999996</v>
      </c>
      <c r="L3027" s="5">
        <v>1E-3</v>
      </c>
      <c r="M3027" s="5">
        <v>1452896.6880000001</v>
      </c>
      <c r="N3027" s="6">
        <v>5.8999999999999997E-2</v>
      </c>
      <c r="O3027" s="5">
        <v>47.128999999999998</v>
      </c>
      <c r="P3027" s="6">
        <v>4.0000000000000001E-3</v>
      </c>
      <c r="Q3027" s="5">
        <v>24447793.109000001</v>
      </c>
      <c r="R3027" s="1" t="s">
        <v>44</v>
      </c>
      <c r="T3027" s="1" t="s">
        <v>71</v>
      </c>
      <c r="V3027" s="1" t="s">
        <v>64</v>
      </c>
      <c r="Y3027" s="1" t="s">
        <v>6843</v>
      </c>
      <c r="Z3027" s="1" t="str">
        <f t="shared" si="141"/>
        <v>55460 EUCT2</v>
      </c>
      <c r="AA3027" s="3">
        <f>IF(INDEX('CAMD Facility Data 2023'!$AA$2:$AE$10000,MATCH(Z3027,'CAMD Facility Data 2023'!$AE$2:$AE$10000,0),1)&gt;0,INDEX('CAMD Facility Data 2023'!$AA$2:$AE$10000,MATCH(Z3027,'CAMD Facility Data 2023'!$AE$2:$AE$10000,0),1),"")</f>
        <v>44558</v>
      </c>
      <c r="AB3027" s="5">
        <f>IF(INDEX('CAMD Facility Data 2023'!$AC$2:$AE$10000,MATCH(Z3027,'CAMD Facility Data 2023'!$AE$2:$AE$10000,0),1)&gt;0,INDEX('CAMD Facility Data 2023'!$AC$2:$AE$10000,MATCH(Z3027,'CAMD Facility Data 2023'!$AE$2:$AE$10000,0),1),"")</f>
        <v>3722</v>
      </c>
      <c r="AC3027" s="1" t="str">
        <f>IF(INDEX('CAMD Facility Data 2023'!$AE$2:$AG$10000,MATCH(Z3027,'CAMD Facility Data 2023'!$AE$2:$AE$10000,0),3)&gt;0,INDEX('CAMD Facility Data 2023'!$AE$2:$AG$10000,MATCH(Z3027,'CAMD Facility Data 2023'!$AE$2:$AE$10000,0),3),"")</f>
        <v>Y</v>
      </c>
      <c r="AD3027" s="20">
        <f t="shared" si="142"/>
        <v>2.5166021639515982E-2</v>
      </c>
      <c r="AE3027" s="25">
        <f t="shared" si="143"/>
        <v>0.74982374051977752</v>
      </c>
    </row>
    <row r="3028" spans="1:31" x14ac:dyDescent="0.2">
      <c r="A3028" s="1" t="s">
        <v>335</v>
      </c>
      <c r="B3028" s="1" t="s">
        <v>6849</v>
      </c>
      <c r="C3028" s="1">
        <v>55463</v>
      </c>
      <c r="D3028" s="1" t="s">
        <v>6763</v>
      </c>
      <c r="F3028" s="1">
        <v>2023</v>
      </c>
      <c r="G3028" s="5">
        <v>4814</v>
      </c>
      <c r="H3028" s="5">
        <v>4708.58</v>
      </c>
      <c r="I3028" s="5">
        <v>1182001.99</v>
      </c>
      <c r="K3028" s="5">
        <v>2.6509999999999998</v>
      </c>
      <c r="L3028" s="5">
        <v>1E-3</v>
      </c>
      <c r="M3028" s="5">
        <v>525191.72499999998</v>
      </c>
      <c r="N3028" s="6">
        <v>5.8999999999999997E-2</v>
      </c>
      <c r="O3028" s="5">
        <v>57.69</v>
      </c>
      <c r="P3028" s="6">
        <v>1.7299999999999999E-2</v>
      </c>
      <c r="Q3028" s="5">
        <v>8837422.5059999991</v>
      </c>
      <c r="R3028" s="1" t="s">
        <v>44</v>
      </c>
      <c r="T3028" s="1" t="s">
        <v>71</v>
      </c>
      <c r="V3028" s="1" t="s">
        <v>64</v>
      </c>
      <c r="Y3028" s="1" t="s">
        <v>346</v>
      </c>
      <c r="Z3028" s="1" t="str">
        <f t="shared" si="141"/>
        <v>55463 CT-01</v>
      </c>
      <c r="AA3028" s="3">
        <f>IF(INDEX('CAMD Facility Data 2023'!$AA$2:$AE$10000,MATCH(Z3028,'CAMD Facility Data 2023'!$AE$2:$AE$10000,0),1)&gt;0,INDEX('CAMD Facility Data 2023'!$AA$2:$AE$10000,MATCH(Z3028,'CAMD Facility Data 2023'!$AE$2:$AE$10000,0),1),"")</f>
        <v>37820</v>
      </c>
      <c r="AB3028" s="5">
        <f>IF(INDEX('CAMD Facility Data 2023'!$AC$2:$AE$10000,MATCH(Z3028,'CAMD Facility Data 2023'!$AE$2:$AE$10000,0),1)&gt;0,INDEX('CAMD Facility Data 2023'!$AC$2:$AE$10000,MATCH(Z3028,'CAMD Facility Data 2023'!$AE$2:$AE$10000,0),1),"")</f>
        <v>2750</v>
      </c>
      <c r="AC3028" s="1" t="str">
        <f>IF(INDEX('CAMD Facility Data 2023'!$AE$2:$AG$10000,MATCH(Z3028,'CAMD Facility Data 2023'!$AE$2:$AE$10000,0),3)&gt;0,INDEX('CAMD Facility Data 2023'!$AE$2:$AG$10000,MATCH(Z3028,'CAMD Facility Data 2023'!$AE$2:$AE$10000,0),3),"")</f>
        <v>Y</v>
      </c>
      <c r="AD3028" s="20">
        <f t="shared" si="142"/>
        <v>9.7614048856212166E-2</v>
      </c>
      <c r="AE3028" s="25">
        <f t="shared" si="143"/>
        <v>0.36685024931506843</v>
      </c>
    </row>
    <row r="3029" spans="1:31" x14ac:dyDescent="0.2">
      <c r="A3029" s="1" t="s">
        <v>335</v>
      </c>
      <c r="B3029" s="1" t="s">
        <v>6849</v>
      </c>
      <c r="C3029" s="1">
        <v>55463</v>
      </c>
      <c r="D3029" s="1" t="s">
        <v>6766</v>
      </c>
      <c r="F3029" s="1">
        <v>2023</v>
      </c>
      <c r="G3029" s="5">
        <v>5376</v>
      </c>
      <c r="H3029" s="5">
        <v>5275.55</v>
      </c>
      <c r="I3029" s="5">
        <v>1316131.94</v>
      </c>
      <c r="K3029" s="5">
        <v>2.9359999999999999</v>
      </c>
      <c r="L3029" s="5">
        <v>1E-3</v>
      </c>
      <c r="M3029" s="5">
        <v>581627.88</v>
      </c>
      <c r="N3029" s="6">
        <v>5.8999999999999997E-2</v>
      </c>
      <c r="O3029" s="5">
        <v>68.308999999999997</v>
      </c>
      <c r="P3029" s="6">
        <v>1.9E-2</v>
      </c>
      <c r="Q3029" s="5">
        <v>9786940.0099999998</v>
      </c>
      <c r="R3029" s="1" t="s">
        <v>44</v>
      </c>
      <c r="T3029" s="1" t="s">
        <v>71</v>
      </c>
      <c r="V3029" s="1" t="s">
        <v>64</v>
      </c>
      <c r="Y3029" s="1" t="s">
        <v>346</v>
      </c>
      <c r="Z3029" s="1" t="str">
        <f t="shared" si="141"/>
        <v>55463 CT-02</v>
      </c>
      <c r="AA3029" s="3">
        <f>IF(INDEX('CAMD Facility Data 2023'!$AA$2:$AE$10000,MATCH(Z3029,'CAMD Facility Data 2023'!$AE$2:$AE$10000,0),1)&gt;0,INDEX('CAMD Facility Data 2023'!$AA$2:$AE$10000,MATCH(Z3029,'CAMD Facility Data 2023'!$AE$2:$AE$10000,0),1),"")</f>
        <v>37729</v>
      </c>
      <c r="AB3029" s="5">
        <f>IF(INDEX('CAMD Facility Data 2023'!$AC$2:$AE$10000,MATCH(Z3029,'CAMD Facility Data 2023'!$AE$2:$AE$10000,0),1)&gt;0,INDEX('CAMD Facility Data 2023'!$AC$2:$AE$10000,MATCH(Z3029,'CAMD Facility Data 2023'!$AE$2:$AE$10000,0),1),"")</f>
        <v>2820</v>
      </c>
      <c r="AC3029" s="1" t="str">
        <f>IF(INDEX('CAMD Facility Data 2023'!$AE$2:$AG$10000,MATCH(Z3029,'CAMD Facility Data 2023'!$AE$2:$AE$10000,0),3)&gt;0,INDEX('CAMD Facility Data 2023'!$AE$2:$AG$10000,MATCH(Z3029,'CAMD Facility Data 2023'!$AE$2:$AE$10000,0),3),"")</f>
        <v>Y</v>
      </c>
      <c r="AD3029" s="20">
        <f t="shared" si="142"/>
        <v>0.10380266282421503</v>
      </c>
      <c r="AE3029" s="25">
        <f t="shared" si="143"/>
        <v>0.39618106196768027</v>
      </c>
    </row>
    <row r="3030" spans="1:31" x14ac:dyDescent="0.2">
      <c r="A3030" s="1" t="s">
        <v>335</v>
      </c>
      <c r="B3030" s="1" t="s">
        <v>6849</v>
      </c>
      <c r="C3030" s="1">
        <v>55463</v>
      </c>
      <c r="D3030" s="1" t="s">
        <v>6768</v>
      </c>
      <c r="F3030" s="1">
        <v>2023</v>
      </c>
      <c r="G3030" s="5">
        <v>5312</v>
      </c>
      <c r="H3030" s="5">
        <v>5190.51</v>
      </c>
      <c r="I3030" s="5">
        <v>1297041.9199999999</v>
      </c>
      <c r="K3030" s="5">
        <v>2.9180000000000001</v>
      </c>
      <c r="L3030" s="5">
        <v>1E-3</v>
      </c>
      <c r="M3030" s="5">
        <v>578101.62199999997</v>
      </c>
      <c r="N3030" s="6">
        <v>5.8999999999999997E-2</v>
      </c>
      <c r="O3030" s="5">
        <v>69.39</v>
      </c>
      <c r="P3030" s="6">
        <v>2.0299999999999999E-2</v>
      </c>
      <c r="Q3030" s="5">
        <v>9727660.0079999994</v>
      </c>
      <c r="R3030" s="1" t="s">
        <v>44</v>
      </c>
      <c r="T3030" s="1" t="s">
        <v>71</v>
      </c>
      <c r="V3030" s="1" t="s">
        <v>64</v>
      </c>
      <c r="Y3030" s="1" t="s">
        <v>346</v>
      </c>
      <c r="Z3030" s="1" t="str">
        <f t="shared" si="141"/>
        <v>55463 CT-03</v>
      </c>
      <c r="AA3030" s="3">
        <f>IF(INDEX('CAMD Facility Data 2023'!$AA$2:$AE$10000,MATCH(Z3030,'CAMD Facility Data 2023'!$AE$2:$AE$10000,0),1)&gt;0,INDEX('CAMD Facility Data 2023'!$AA$2:$AE$10000,MATCH(Z3030,'CAMD Facility Data 2023'!$AE$2:$AE$10000,0),1),"")</f>
        <v>37719</v>
      </c>
      <c r="AB3030" s="5">
        <f>IF(INDEX('CAMD Facility Data 2023'!$AC$2:$AE$10000,MATCH(Z3030,'CAMD Facility Data 2023'!$AE$2:$AE$10000,0),1)&gt;0,INDEX('CAMD Facility Data 2023'!$AC$2:$AE$10000,MATCH(Z3030,'CAMD Facility Data 2023'!$AE$2:$AE$10000,0),1),"")</f>
        <v>2750</v>
      </c>
      <c r="AC3030" s="1" t="str">
        <f>IF(INDEX('CAMD Facility Data 2023'!$AE$2:$AG$10000,MATCH(Z3030,'CAMD Facility Data 2023'!$AE$2:$AE$10000,0),3)&gt;0,INDEX('CAMD Facility Data 2023'!$AE$2:$AG$10000,MATCH(Z3030,'CAMD Facility Data 2023'!$AE$2:$AE$10000,0),3),"")</f>
        <v>Y</v>
      </c>
      <c r="AD3030" s="20">
        <f t="shared" si="142"/>
        <v>0.106997312777678</v>
      </c>
      <c r="AE3030" s="25">
        <f t="shared" si="143"/>
        <v>0.40380489863013697</v>
      </c>
    </row>
    <row r="3031" spans="1:31" x14ac:dyDescent="0.2">
      <c r="A3031" s="1" t="s">
        <v>335</v>
      </c>
      <c r="B3031" s="1" t="s">
        <v>6849</v>
      </c>
      <c r="C3031" s="1">
        <v>55463</v>
      </c>
      <c r="D3031" s="1" t="s">
        <v>6770</v>
      </c>
      <c r="F3031" s="1">
        <v>2023</v>
      </c>
      <c r="G3031" s="5">
        <v>5385</v>
      </c>
      <c r="H3031" s="5">
        <v>5270.35</v>
      </c>
      <c r="I3031" s="5">
        <v>1373922.74</v>
      </c>
      <c r="K3031" s="5">
        <v>3.0920000000000001</v>
      </c>
      <c r="L3031" s="5">
        <v>1E-3</v>
      </c>
      <c r="M3031" s="5">
        <v>612545.28700000001</v>
      </c>
      <c r="N3031" s="6">
        <v>5.8999999999999997E-2</v>
      </c>
      <c r="O3031" s="5">
        <v>70.753</v>
      </c>
      <c r="P3031" s="6">
        <v>1.83E-2</v>
      </c>
      <c r="Q3031" s="5">
        <v>10307266.888</v>
      </c>
      <c r="R3031" s="1" t="s">
        <v>44</v>
      </c>
      <c r="T3031" s="1" t="s">
        <v>71</v>
      </c>
      <c r="V3031" s="1" t="s">
        <v>64</v>
      </c>
      <c r="Y3031" s="1" t="s">
        <v>346</v>
      </c>
      <c r="Z3031" s="1" t="str">
        <f t="shared" si="141"/>
        <v>55463 CT-04</v>
      </c>
      <c r="AA3031" s="3">
        <f>IF(INDEX('CAMD Facility Data 2023'!$AA$2:$AE$10000,MATCH(Z3031,'CAMD Facility Data 2023'!$AE$2:$AE$10000,0),1)&gt;0,INDEX('CAMD Facility Data 2023'!$AA$2:$AE$10000,MATCH(Z3031,'CAMD Facility Data 2023'!$AE$2:$AE$10000,0),1),"")</f>
        <v>37798</v>
      </c>
      <c r="AB3031" s="5">
        <f>IF(INDEX('CAMD Facility Data 2023'!$AC$2:$AE$10000,MATCH(Z3031,'CAMD Facility Data 2023'!$AE$2:$AE$10000,0),1)&gt;0,INDEX('CAMD Facility Data 2023'!$AC$2:$AE$10000,MATCH(Z3031,'CAMD Facility Data 2023'!$AE$2:$AE$10000,0),1),"")</f>
        <v>2750</v>
      </c>
      <c r="AC3031" s="1" t="str">
        <f>IF(INDEX('CAMD Facility Data 2023'!$AE$2:$AG$10000,MATCH(Z3031,'CAMD Facility Data 2023'!$AE$2:$AE$10000,0),3)&gt;0,INDEX('CAMD Facility Data 2023'!$AE$2:$AG$10000,MATCH(Z3031,'CAMD Facility Data 2023'!$AE$2:$AE$10000,0),3),"")</f>
        <v>Y</v>
      </c>
      <c r="AD3031" s="20">
        <f t="shared" si="142"/>
        <v>0.10299414652675448</v>
      </c>
      <c r="AE3031" s="25">
        <f t="shared" si="143"/>
        <v>0.42786496006641761</v>
      </c>
    </row>
    <row r="3032" spans="1:31" x14ac:dyDescent="0.2">
      <c r="A3032" s="1" t="s">
        <v>383</v>
      </c>
      <c r="B3032" s="1" t="s">
        <v>6855</v>
      </c>
      <c r="C3032" s="1">
        <v>55464</v>
      </c>
      <c r="D3032" s="1" t="s">
        <v>1129</v>
      </c>
      <c r="F3032" s="1">
        <v>2023</v>
      </c>
      <c r="G3032" s="5">
        <v>7057</v>
      </c>
      <c r="H3032" s="5">
        <v>7032.81</v>
      </c>
      <c r="I3032" s="5">
        <v>1411025.14</v>
      </c>
      <c r="K3032" s="5">
        <v>4.1859999999999999</v>
      </c>
      <c r="L3032" s="5">
        <v>1E-3</v>
      </c>
      <c r="M3032" s="5">
        <v>829231.80099999998</v>
      </c>
      <c r="N3032" s="6">
        <v>5.8999999999999997E-2</v>
      </c>
      <c r="O3032" s="5">
        <v>60.225999999999999</v>
      </c>
      <c r="P3032" s="6">
        <v>8.8999999999999999E-3</v>
      </c>
      <c r="Q3032" s="5">
        <v>13953427.535</v>
      </c>
      <c r="R3032" s="1" t="s">
        <v>44</v>
      </c>
      <c r="T3032" s="1" t="s">
        <v>71</v>
      </c>
      <c r="V3032" s="1" t="s">
        <v>64</v>
      </c>
      <c r="Y3032" s="1" t="s">
        <v>346</v>
      </c>
      <c r="Z3032" s="1" t="str">
        <f t="shared" si="141"/>
        <v>55464 CTG1</v>
      </c>
      <c r="AA3032" s="3">
        <f>IF(INDEX('CAMD Facility Data 2023'!$AA$2:$AE$10000,MATCH(Z3032,'CAMD Facility Data 2023'!$AE$2:$AE$10000,0),1)&gt;0,INDEX('CAMD Facility Data 2023'!$AA$2:$AE$10000,MATCH(Z3032,'CAMD Facility Data 2023'!$AE$2:$AE$10000,0),1),"")</f>
        <v>37570</v>
      </c>
      <c r="AB3032" s="5">
        <f>IF(INDEX('CAMD Facility Data 2023'!$AC$2:$AE$10000,MATCH(Z3032,'CAMD Facility Data 2023'!$AE$2:$AE$10000,0),1)&gt;0,INDEX('CAMD Facility Data 2023'!$AC$2:$AE$10000,MATCH(Z3032,'CAMD Facility Data 2023'!$AE$2:$AE$10000,0),1),"")</f>
        <v>2798</v>
      </c>
      <c r="AC3032" s="1" t="str">
        <f>IF(INDEX('CAMD Facility Data 2023'!$AE$2:$AG$10000,MATCH(Z3032,'CAMD Facility Data 2023'!$AE$2:$AE$10000,0),3)&gt;0,INDEX('CAMD Facility Data 2023'!$AE$2:$AG$10000,MATCH(Z3032,'CAMD Facility Data 2023'!$AE$2:$AE$10000,0),3),"")</f>
        <v>Y</v>
      </c>
      <c r="AD3032" s="20">
        <f t="shared" si="142"/>
        <v>8.5364885844627841E-2</v>
      </c>
      <c r="AE3032" s="25">
        <f t="shared" si="143"/>
        <v>0.5692841402942741</v>
      </c>
    </row>
    <row r="3033" spans="1:31" x14ac:dyDescent="0.2">
      <c r="A3033" s="1" t="s">
        <v>383</v>
      </c>
      <c r="B3033" s="1" t="s">
        <v>6855</v>
      </c>
      <c r="C3033" s="1">
        <v>55464</v>
      </c>
      <c r="D3033" s="1" t="s">
        <v>1135</v>
      </c>
      <c r="F3033" s="1">
        <v>2023</v>
      </c>
      <c r="G3033" s="5">
        <v>7774</v>
      </c>
      <c r="H3033" s="5">
        <v>7757.42</v>
      </c>
      <c r="I3033" s="5">
        <v>1494555.78</v>
      </c>
      <c r="K3033" s="5">
        <v>4.391</v>
      </c>
      <c r="L3033" s="5">
        <v>1E-3</v>
      </c>
      <c r="M3033" s="5">
        <v>869778.40899999999</v>
      </c>
      <c r="N3033" s="6">
        <v>5.8999999999999997E-2</v>
      </c>
      <c r="O3033" s="5">
        <v>59.271000000000001</v>
      </c>
      <c r="P3033" s="6">
        <v>8.3999999999999995E-3</v>
      </c>
      <c r="Q3033" s="5">
        <v>14635744.739</v>
      </c>
      <c r="R3033" s="1" t="s">
        <v>44</v>
      </c>
      <c r="T3033" s="1" t="s">
        <v>71</v>
      </c>
      <c r="V3033" s="1" t="s">
        <v>64</v>
      </c>
      <c r="Y3033" s="1" t="s">
        <v>346</v>
      </c>
      <c r="Z3033" s="1" t="str">
        <f t="shared" si="141"/>
        <v>55464 CTG2</v>
      </c>
      <c r="AA3033" s="3">
        <f>IF(INDEX('CAMD Facility Data 2023'!$AA$2:$AE$10000,MATCH(Z3033,'CAMD Facility Data 2023'!$AE$2:$AE$10000,0),1)&gt;0,INDEX('CAMD Facility Data 2023'!$AA$2:$AE$10000,MATCH(Z3033,'CAMD Facility Data 2023'!$AE$2:$AE$10000,0),1),"")</f>
        <v>37726</v>
      </c>
      <c r="AB3033" s="5">
        <f>IF(INDEX('CAMD Facility Data 2023'!$AC$2:$AE$10000,MATCH(Z3033,'CAMD Facility Data 2023'!$AE$2:$AE$10000,0),1)&gt;0,INDEX('CAMD Facility Data 2023'!$AC$2:$AE$10000,MATCH(Z3033,'CAMD Facility Data 2023'!$AE$2:$AE$10000,0),1),"")</f>
        <v>2707</v>
      </c>
      <c r="AC3033" s="1" t="str">
        <f>IF(INDEX('CAMD Facility Data 2023'!$AE$2:$AG$10000,MATCH(Z3033,'CAMD Facility Data 2023'!$AE$2:$AE$10000,0),3)&gt;0,INDEX('CAMD Facility Data 2023'!$AE$2:$AG$10000,MATCH(Z3033,'CAMD Facility Data 2023'!$AE$2:$AE$10000,0),3),"")</f>
        <v>Y</v>
      </c>
      <c r="AD3033" s="20">
        <f t="shared" si="142"/>
        <v>7.9315875383386497E-2</v>
      </c>
      <c r="AE3033" s="25">
        <f t="shared" si="143"/>
        <v>0.61719509284233498</v>
      </c>
    </row>
    <row r="3034" spans="1:31" x14ac:dyDescent="0.2">
      <c r="A3034" s="1" t="s">
        <v>383</v>
      </c>
      <c r="B3034" s="1" t="s">
        <v>6855</v>
      </c>
      <c r="C3034" s="1">
        <v>55464</v>
      </c>
      <c r="D3034" s="1" t="s">
        <v>6002</v>
      </c>
      <c r="F3034" s="1">
        <v>2023</v>
      </c>
      <c r="G3034" s="5">
        <v>7152</v>
      </c>
      <c r="H3034" s="5">
        <v>7122.99</v>
      </c>
      <c r="I3034" s="5">
        <v>1436332.05</v>
      </c>
      <c r="K3034" s="5">
        <v>4.3689999999999998</v>
      </c>
      <c r="L3034" s="5">
        <v>1E-3</v>
      </c>
      <c r="M3034" s="5">
        <v>865520.44499999995</v>
      </c>
      <c r="N3034" s="6">
        <v>5.8999999999999997E-2</v>
      </c>
      <c r="O3034" s="5">
        <v>63.24</v>
      </c>
      <c r="P3034" s="6">
        <v>9.1000000000000004E-3</v>
      </c>
      <c r="Q3034" s="5">
        <v>14564055.84</v>
      </c>
      <c r="R3034" s="1" t="s">
        <v>44</v>
      </c>
      <c r="T3034" s="1" t="s">
        <v>71</v>
      </c>
      <c r="V3034" s="1" t="s">
        <v>64</v>
      </c>
      <c r="Y3034" s="1" t="s">
        <v>346</v>
      </c>
      <c r="Z3034" s="1" t="str">
        <f t="shared" si="141"/>
        <v>55464 CTG3</v>
      </c>
      <c r="AA3034" s="3">
        <f>IF(INDEX('CAMD Facility Data 2023'!$AA$2:$AE$10000,MATCH(Z3034,'CAMD Facility Data 2023'!$AE$2:$AE$10000,0),1)&gt;0,INDEX('CAMD Facility Data 2023'!$AA$2:$AE$10000,MATCH(Z3034,'CAMD Facility Data 2023'!$AE$2:$AE$10000,0),1),"")</f>
        <v>37940</v>
      </c>
      <c r="AB3034" s="5">
        <f>IF(INDEX('CAMD Facility Data 2023'!$AC$2:$AE$10000,MATCH(Z3034,'CAMD Facility Data 2023'!$AE$2:$AE$10000,0),1)&gt;0,INDEX('CAMD Facility Data 2023'!$AC$2:$AE$10000,MATCH(Z3034,'CAMD Facility Data 2023'!$AE$2:$AE$10000,0),1),"")</f>
        <v>2750</v>
      </c>
      <c r="AC3034" s="1" t="str">
        <f>IF(INDEX('CAMD Facility Data 2023'!$AE$2:$AG$10000,MATCH(Z3034,'CAMD Facility Data 2023'!$AE$2:$AE$10000,0),3)&gt;0,INDEX('CAMD Facility Data 2023'!$AE$2:$AG$10000,MATCH(Z3034,'CAMD Facility Data 2023'!$AE$2:$AE$10000,0),3),"")</f>
        <v>Y</v>
      </c>
      <c r="AD3034" s="20">
        <f t="shared" si="142"/>
        <v>8.8057632634459412E-2</v>
      </c>
      <c r="AE3034" s="25">
        <f t="shared" si="143"/>
        <v>0.60456852801992522</v>
      </c>
    </row>
    <row r="3035" spans="1:31" x14ac:dyDescent="0.2">
      <c r="A3035" s="1" t="s">
        <v>383</v>
      </c>
      <c r="B3035" s="1" t="s">
        <v>6855</v>
      </c>
      <c r="C3035" s="1">
        <v>55464</v>
      </c>
      <c r="D3035" s="1" t="s">
        <v>2495</v>
      </c>
      <c r="F3035" s="1">
        <v>2023</v>
      </c>
      <c r="G3035" s="5">
        <v>7214</v>
      </c>
      <c r="H3035" s="5">
        <v>7193.84</v>
      </c>
      <c r="I3035" s="5">
        <v>1427035.5</v>
      </c>
      <c r="K3035" s="5">
        <v>4.1859999999999999</v>
      </c>
      <c r="L3035" s="5">
        <v>1E-3</v>
      </c>
      <c r="M3035" s="5">
        <v>829263.10199999996</v>
      </c>
      <c r="N3035" s="6">
        <v>5.8999999999999997E-2</v>
      </c>
      <c r="O3035" s="5">
        <v>63.344000000000001</v>
      </c>
      <c r="P3035" s="6">
        <v>9.4000000000000004E-3</v>
      </c>
      <c r="Q3035" s="5">
        <v>13953932.197000001</v>
      </c>
      <c r="R3035" s="1" t="s">
        <v>44</v>
      </c>
      <c r="T3035" s="1" t="s">
        <v>71</v>
      </c>
      <c r="V3035" s="1" t="s">
        <v>64</v>
      </c>
      <c r="Y3035" s="1" t="s">
        <v>346</v>
      </c>
      <c r="Z3035" s="1" t="str">
        <f t="shared" si="141"/>
        <v>55464 CTG4</v>
      </c>
      <c r="AA3035" s="3">
        <f>IF(INDEX('CAMD Facility Data 2023'!$AA$2:$AE$10000,MATCH(Z3035,'CAMD Facility Data 2023'!$AE$2:$AE$10000,0),1)&gt;0,INDEX('CAMD Facility Data 2023'!$AA$2:$AE$10000,MATCH(Z3035,'CAMD Facility Data 2023'!$AE$2:$AE$10000,0),1),"")</f>
        <v>38057</v>
      </c>
      <c r="AB3035" s="5">
        <f>IF(INDEX('CAMD Facility Data 2023'!$AC$2:$AE$10000,MATCH(Z3035,'CAMD Facility Data 2023'!$AE$2:$AE$10000,0),1)&gt;0,INDEX('CAMD Facility Data 2023'!$AC$2:$AE$10000,MATCH(Z3035,'CAMD Facility Data 2023'!$AE$2:$AE$10000,0),1),"")</f>
        <v>2707</v>
      </c>
      <c r="AC3035" s="1" t="str">
        <f>IF(INDEX('CAMD Facility Data 2023'!$AE$2:$AG$10000,MATCH(Z3035,'CAMD Facility Data 2023'!$AE$2:$AE$10000,0),3)&gt;0,INDEX('CAMD Facility Data 2023'!$AE$2:$AG$10000,MATCH(Z3035,'CAMD Facility Data 2023'!$AE$2:$AE$10000,0),3),"")</f>
        <v>Y</v>
      </c>
      <c r="AD3035" s="20">
        <f t="shared" si="142"/>
        <v>8.8777048643849429E-2</v>
      </c>
      <c r="AE3035" s="25">
        <f t="shared" si="143"/>
        <v>0.58844279067629501</v>
      </c>
    </row>
    <row r="3036" spans="1:31" x14ac:dyDescent="0.2">
      <c r="A3036" s="1" t="s">
        <v>383</v>
      </c>
      <c r="B3036" s="1" t="s">
        <v>6855</v>
      </c>
      <c r="C3036" s="1">
        <v>55464</v>
      </c>
      <c r="D3036" s="1" t="s">
        <v>2500</v>
      </c>
      <c r="F3036" s="1">
        <v>2023</v>
      </c>
      <c r="G3036" s="5">
        <v>6782</v>
      </c>
      <c r="H3036" s="5">
        <v>6764.29</v>
      </c>
      <c r="I3036" s="5">
        <v>1312660.4099999999</v>
      </c>
      <c r="K3036" s="5">
        <v>3.2389999999999999</v>
      </c>
      <c r="L3036" s="5">
        <v>1E-3</v>
      </c>
      <c r="M3036" s="5">
        <v>641598.39199999999</v>
      </c>
      <c r="N3036" s="6">
        <v>5.8999999999999997E-2</v>
      </c>
      <c r="O3036" s="5">
        <v>31.952000000000002</v>
      </c>
      <c r="P3036" s="6">
        <v>6.1999999999999998E-3</v>
      </c>
      <c r="Q3036" s="5">
        <v>10796189.244000001</v>
      </c>
      <c r="R3036" s="1" t="s">
        <v>44</v>
      </c>
      <c r="T3036" s="1" t="s">
        <v>71</v>
      </c>
      <c r="V3036" s="1" t="s">
        <v>64</v>
      </c>
      <c r="Y3036" s="1" t="s">
        <v>346</v>
      </c>
      <c r="Z3036" s="1" t="str">
        <f t="shared" si="141"/>
        <v>55464 CTG5</v>
      </c>
      <c r="AA3036" s="3">
        <f>IF(INDEX('CAMD Facility Data 2023'!$AA$2:$AE$10000,MATCH(Z3036,'CAMD Facility Data 2023'!$AE$2:$AE$10000,0),1)&gt;0,INDEX('CAMD Facility Data 2023'!$AA$2:$AE$10000,MATCH(Z3036,'CAMD Facility Data 2023'!$AE$2:$AE$10000,0),1),"")</f>
        <v>41780</v>
      </c>
      <c r="AB3036" s="5">
        <f>IF(INDEX('CAMD Facility Data 2023'!$AC$2:$AE$10000,MATCH(Z3036,'CAMD Facility Data 2023'!$AE$2:$AE$10000,0),1)&gt;0,INDEX('CAMD Facility Data 2023'!$AC$2:$AE$10000,MATCH(Z3036,'CAMD Facility Data 2023'!$AE$2:$AE$10000,0),1),"")</f>
        <v>2700</v>
      </c>
      <c r="AC3036" s="1" t="str">
        <f>IF(INDEX('CAMD Facility Data 2023'!$AE$2:$AG$10000,MATCH(Z3036,'CAMD Facility Data 2023'!$AE$2:$AE$10000,0),3)&gt;0,INDEX('CAMD Facility Data 2023'!$AE$2:$AG$10000,MATCH(Z3036,'CAMD Facility Data 2023'!$AE$2:$AE$10000,0),3),"")</f>
        <v>Y</v>
      </c>
      <c r="AD3036" s="20">
        <f t="shared" si="142"/>
        <v>4.8682812030569282E-2</v>
      </c>
      <c r="AE3036" s="25">
        <f t="shared" si="143"/>
        <v>0.45645988685946226</v>
      </c>
    </row>
    <row r="3037" spans="1:31" x14ac:dyDescent="0.2">
      <c r="A3037" s="1" t="s">
        <v>1426</v>
      </c>
      <c r="B3037" s="1" t="s">
        <v>6862</v>
      </c>
      <c r="C3037" s="1">
        <v>55467</v>
      </c>
      <c r="D3037" s="1" t="s">
        <v>5775</v>
      </c>
      <c r="F3037" s="1">
        <v>2023</v>
      </c>
      <c r="G3037" s="5">
        <v>4732</v>
      </c>
      <c r="H3037" s="5">
        <v>4717.9799999999996</v>
      </c>
      <c r="I3037" s="5">
        <v>1125100.44</v>
      </c>
      <c r="K3037" s="5">
        <v>2.5310000000000001</v>
      </c>
      <c r="L3037" s="5">
        <v>1E-3</v>
      </c>
      <c r="M3037" s="5">
        <v>501359.69400000002</v>
      </c>
      <c r="N3037" s="6">
        <v>5.8999999999999997E-2</v>
      </c>
      <c r="O3037" s="5">
        <v>66.292000000000002</v>
      </c>
      <c r="P3037" s="6">
        <v>1.6799999999999999E-2</v>
      </c>
      <c r="Q3037" s="5">
        <v>8436140.8479999993</v>
      </c>
      <c r="R3037" s="1" t="s">
        <v>44</v>
      </c>
      <c r="T3037" s="1" t="s">
        <v>71</v>
      </c>
      <c r="V3037" s="1" t="s">
        <v>64</v>
      </c>
      <c r="Y3037" s="1" t="s">
        <v>1428</v>
      </c>
      <c r="Z3037" s="1" t="str">
        <f t="shared" si="141"/>
        <v>55467 CTGEN1</v>
      </c>
      <c r="AA3037" s="3">
        <f>IF(INDEX('CAMD Facility Data 2023'!$AA$2:$AE$10000,MATCH(Z3037,'CAMD Facility Data 2023'!$AE$2:$AE$10000,0),1)&gt;0,INDEX('CAMD Facility Data 2023'!$AA$2:$AE$10000,MATCH(Z3037,'CAMD Facility Data 2023'!$AE$2:$AE$10000,0),1),"")</f>
        <v>37407</v>
      </c>
      <c r="AB3037" s="5">
        <f>IF(INDEX('CAMD Facility Data 2023'!$AC$2:$AE$10000,MATCH(Z3037,'CAMD Facility Data 2023'!$AE$2:$AE$10000,0),1)&gt;0,INDEX('CAMD Facility Data 2023'!$AC$2:$AE$10000,MATCH(Z3037,'CAMD Facility Data 2023'!$AE$2:$AE$10000,0),1),"")</f>
        <v>2100</v>
      </c>
      <c r="AC3037" s="1" t="str">
        <f>IF(INDEX('CAMD Facility Data 2023'!$AE$2:$AG$10000,MATCH(Z3037,'CAMD Facility Data 2023'!$AE$2:$AE$10000,0),3)&gt;0,INDEX('CAMD Facility Data 2023'!$AE$2:$AG$10000,MATCH(Z3037,'CAMD Facility Data 2023'!$AE$2:$AE$10000,0),3),"")</f>
        <v>Y</v>
      </c>
      <c r="AD3037" s="20">
        <f t="shared" si="142"/>
        <v>0.11784192351751281</v>
      </c>
      <c r="AE3037" s="25">
        <f t="shared" si="143"/>
        <v>0.45858560817569033</v>
      </c>
    </row>
    <row r="3038" spans="1:31" x14ac:dyDescent="0.2">
      <c r="A3038" s="1" t="s">
        <v>1426</v>
      </c>
      <c r="B3038" s="1" t="s">
        <v>6862</v>
      </c>
      <c r="C3038" s="1">
        <v>55467</v>
      </c>
      <c r="D3038" s="1" t="s">
        <v>5778</v>
      </c>
      <c r="F3038" s="1">
        <v>2023</v>
      </c>
      <c r="G3038" s="5">
        <v>5202</v>
      </c>
      <c r="H3038" s="5">
        <v>5187.8</v>
      </c>
      <c r="I3038" s="5">
        <v>1245768.1399999999</v>
      </c>
      <c r="K3038" s="5">
        <v>2.794</v>
      </c>
      <c r="L3038" s="5">
        <v>1E-3</v>
      </c>
      <c r="M3038" s="5">
        <v>553428.82799999998</v>
      </c>
      <c r="N3038" s="6">
        <v>5.8999999999999997E-2</v>
      </c>
      <c r="O3038" s="5">
        <v>73.915999999999997</v>
      </c>
      <c r="P3038" s="6">
        <v>1.7100000000000001E-2</v>
      </c>
      <c r="Q3038" s="5">
        <v>9312325.8149999995</v>
      </c>
      <c r="R3038" s="1" t="s">
        <v>44</v>
      </c>
      <c r="T3038" s="1" t="s">
        <v>71</v>
      </c>
      <c r="V3038" s="1" t="s">
        <v>64</v>
      </c>
      <c r="Y3038" s="1" t="s">
        <v>1428</v>
      </c>
      <c r="Z3038" s="1" t="str">
        <f t="shared" si="141"/>
        <v>55467 CTGEN2</v>
      </c>
      <c r="AA3038" s="3">
        <f>IF(INDEX('CAMD Facility Data 2023'!$AA$2:$AE$10000,MATCH(Z3038,'CAMD Facility Data 2023'!$AE$2:$AE$10000,0),1)&gt;0,INDEX('CAMD Facility Data 2023'!$AA$2:$AE$10000,MATCH(Z3038,'CAMD Facility Data 2023'!$AE$2:$AE$10000,0),1),"")</f>
        <v>37419</v>
      </c>
      <c r="AB3038" s="5">
        <f>IF(INDEX('CAMD Facility Data 2023'!$AC$2:$AE$10000,MATCH(Z3038,'CAMD Facility Data 2023'!$AE$2:$AE$10000,0),1)&gt;0,INDEX('CAMD Facility Data 2023'!$AC$2:$AE$10000,MATCH(Z3038,'CAMD Facility Data 2023'!$AE$2:$AE$10000,0),1),"")</f>
        <v>2200</v>
      </c>
      <c r="AC3038" s="1" t="str">
        <f>IF(INDEX('CAMD Facility Data 2023'!$AE$2:$AG$10000,MATCH(Z3038,'CAMD Facility Data 2023'!$AE$2:$AE$10000,0),3)&gt;0,INDEX('CAMD Facility Data 2023'!$AE$2:$AG$10000,MATCH(Z3038,'CAMD Facility Data 2023'!$AE$2:$AE$10000,0),3),"")</f>
        <v>Y</v>
      </c>
      <c r="AD3038" s="20">
        <f t="shared" si="142"/>
        <v>0.11866734687885019</v>
      </c>
      <c r="AE3038" s="25">
        <f t="shared" si="143"/>
        <v>0.48320495096513072</v>
      </c>
    </row>
    <row r="3039" spans="1:31" x14ac:dyDescent="0.2">
      <c r="A3039" s="1" t="s">
        <v>1426</v>
      </c>
      <c r="B3039" s="1" t="s">
        <v>6862</v>
      </c>
      <c r="C3039" s="1">
        <v>55467</v>
      </c>
      <c r="D3039" s="1" t="s">
        <v>5780</v>
      </c>
      <c r="F3039" s="1">
        <v>2023</v>
      </c>
      <c r="G3039" s="5">
        <v>5807</v>
      </c>
      <c r="H3039" s="5">
        <v>5785.41</v>
      </c>
      <c r="I3039" s="5">
        <v>1408981.59</v>
      </c>
      <c r="K3039" s="5">
        <v>3.1230000000000002</v>
      </c>
      <c r="L3039" s="5">
        <v>1E-3</v>
      </c>
      <c r="M3039" s="5">
        <v>618591.47699999996</v>
      </c>
      <c r="N3039" s="6">
        <v>5.8999999999999997E-2</v>
      </c>
      <c r="O3039" s="5">
        <v>77.536000000000001</v>
      </c>
      <c r="P3039" s="6">
        <v>1.61E-2</v>
      </c>
      <c r="Q3039" s="5">
        <v>10409139.523</v>
      </c>
      <c r="R3039" s="1" t="s">
        <v>44</v>
      </c>
      <c r="T3039" s="1" t="s">
        <v>71</v>
      </c>
      <c r="V3039" s="1" t="s">
        <v>64</v>
      </c>
      <c r="Y3039" s="1" t="s">
        <v>1428</v>
      </c>
      <c r="Z3039" s="1" t="str">
        <f t="shared" si="141"/>
        <v>55467 CTGEN3</v>
      </c>
      <c r="AA3039" s="3">
        <f>IF(INDEX('CAMD Facility Data 2023'!$AA$2:$AE$10000,MATCH(Z3039,'CAMD Facility Data 2023'!$AE$2:$AE$10000,0),1)&gt;0,INDEX('CAMD Facility Data 2023'!$AA$2:$AE$10000,MATCH(Z3039,'CAMD Facility Data 2023'!$AE$2:$AE$10000,0),1),"")</f>
        <v>37436</v>
      </c>
      <c r="AB3039" s="5">
        <f>IF(INDEX('CAMD Facility Data 2023'!$AC$2:$AE$10000,MATCH(Z3039,'CAMD Facility Data 2023'!$AE$2:$AE$10000,0),1)&gt;0,INDEX('CAMD Facility Data 2023'!$AC$2:$AE$10000,MATCH(Z3039,'CAMD Facility Data 2023'!$AE$2:$AE$10000,0),1),"")</f>
        <v>2200</v>
      </c>
      <c r="AC3039" s="1" t="str">
        <f>IF(INDEX('CAMD Facility Data 2023'!$AE$2:$AG$10000,MATCH(Z3039,'CAMD Facility Data 2023'!$AE$2:$AE$10000,0),3)&gt;0,INDEX('CAMD Facility Data 2023'!$AE$2:$AG$10000,MATCH(Z3039,'CAMD Facility Data 2023'!$AE$2:$AE$10000,0),3),"")</f>
        <v>Y</v>
      </c>
      <c r="AD3039" s="20">
        <f t="shared" si="142"/>
        <v>0.11005963534271586</v>
      </c>
      <c r="AE3039" s="25">
        <f t="shared" si="143"/>
        <v>0.54011724382523874</v>
      </c>
    </row>
    <row r="3040" spans="1:31" x14ac:dyDescent="0.2">
      <c r="A3040" s="1" t="s">
        <v>383</v>
      </c>
      <c r="B3040" s="1" t="s">
        <v>6865</v>
      </c>
      <c r="C3040" s="1">
        <v>55470</v>
      </c>
      <c r="D3040" s="1" t="s">
        <v>6866</v>
      </c>
      <c r="F3040" s="1">
        <v>2023</v>
      </c>
      <c r="G3040" s="5">
        <v>7742</v>
      </c>
      <c r="H3040" s="5">
        <v>7722.56</v>
      </c>
      <c r="J3040" s="5">
        <v>4177164.02</v>
      </c>
      <c r="K3040" s="5">
        <v>19.867999999999999</v>
      </c>
      <c r="L3040" s="5">
        <v>2.7000000000000001E-3</v>
      </c>
      <c r="M3040" s="5">
        <v>868954.13600000006</v>
      </c>
      <c r="N3040" s="6">
        <v>5.8999999999999997E-2</v>
      </c>
      <c r="O3040" s="5">
        <v>76.652000000000001</v>
      </c>
      <c r="P3040" s="6">
        <v>1.09E-2</v>
      </c>
      <c r="Q3040" s="5">
        <v>14621888.445</v>
      </c>
      <c r="R3040" s="1" t="s">
        <v>44</v>
      </c>
      <c r="S3040" s="1" t="s">
        <v>1432</v>
      </c>
      <c r="T3040" s="1" t="s">
        <v>71</v>
      </c>
      <c r="V3040" s="1" t="s">
        <v>64</v>
      </c>
      <c r="Y3040" s="1" t="s">
        <v>346</v>
      </c>
      <c r="Z3040" s="1" t="str">
        <f t="shared" si="141"/>
        <v>55470 EPN801</v>
      </c>
      <c r="AA3040" s="3">
        <f>IF(INDEX('CAMD Facility Data 2023'!$AA$2:$AE$10000,MATCH(Z3040,'CAMD Facility Data 2023'!$AE$2:$AE$10000,0),1)&gt;0,INDEX('CAMD Facility Data 2023'!$AA$2:$AE$10000,MATCH(Z3040,'CAMD Facility Data 2023'!$AE$2:$AE$10000,0),1),"")</f>
        <v>37892</v>
      </c>
      <c r="AB3040" s="5">
        <f>IF(INDEX('CAMD Facility Data 2023'!$AC$2:$AE$10000,MATCH(Z3040,'CAMD Facility Data 2023'!$AE$2:$AE$10000,0),1)&gt;0,INDEX('CAMD Facility Data 2023'!$AC$2:$AE$10000,MATCH(Z3040,'CAMD Facility Data 2023'!$AE$2:$AE$10000,0),1),"")</f>
        <v>2950</v>
      </c>
      <c r="AC3040" s="1" t="str">
        <f>IF(INDEX('CAMD Facility Data 2023'!$AE$2:$AG$10000,MATCH(Z3040,'CAMD Facility Data 2023'!$AE$2:$AE$10000,0),3)&gt;0,INDEX('CAMD Facility Data 2023'!$AE$2:$AG$10000,MATCH(Z3040,'CAMD Facility Data 2023'!$AE$2:$AE$10000,0),3),"")</f>
        <v>Y</v>
      </c>
      <c r="AD3040" s="20" t="str">
        <f t="shared" si="142"/>
        <v/>
      </c>
      <c r="AE3040" s="25">
        <f t="shared" si="143"/>
        <v>0.56581876189923386</v>
      </c>
    </row>
    <row r="3041" spans="1:31" x14ac:dyDescent="0.2">
      <c r="A3041" s="1" t="s">
        <v>383</v>
      </c>
      <c r="B3041" s="1" t="s">
        <v>6865</v>
      </c>
      <c r="C3041" s="1">
        <v>55470</v>
      </c>
      <c r="D3041" s="1" t="s">
        <v>6869</v>
      </c>
      <c r="F3041" s="1">
        <v>2023</v>
      </c>
      <c r="G3041" s="5">
        <v>8148</v>
      </c>
      <c r="H3041" s="5">
        <v>8137.4</v>
      </c>
      <c r="I3041" s="5">
        <v>1327877.26</v>
      </c>
      <c r="K3041" s="5">
        <v>21.263999999999999</v>
      </c>
      <c r="L3041" s="5">
        <v>2.7000000000000001E-3</v>
      </c>
      <c r="M3041" s="5">
        <v>912253.47699999996</v>
      </c>
      <c r="N3041" s="6">
        <v>5.8999999999999997E-2</v>
      </c>
      <c r="O3041" s="5">
        <v>88.933000000000007</v>
      </c>
      <c r="P3041" s="6">
        <v>1.2200000000000001E-2</v>
      </c>
      <c r="Q3041" s="5">
        <v>15350619.306</v>
      </c>
      <c r="R3041" s="1" t="s">
        <v>44</v>
      </c>
      <c r="S3041" s="1" t="s">
        <v>1432</v>
      </c>
      <c r="T3041" s="1" t="s">
        <v>71</v>
      </c>
      <c r="V3041" s="1" t="s">
        <v>64</v>
      </c>
      <c r="Y3041" s="1" t="s">
        <v>346</v>
      </c>
      <c r="Z3041" s="1" t="str">
        <f t="shared" si="141"/>
        <v>55470 EPN802</v>
      </c>
      <c r="AA3041" s="3">
        <f>IF(INDEX('CAMD Facility Data 2023'!$AA$2:$AE$10000,MATCH(Z3041,'CAMD Facility Data 2023'!$AE$2:$AE$10000,0),1)&gt;0,INDEX('CAMD Facility Data 2023'!$AA$2:$AE$10000,MATCH(Z3041,'CAMD Facility Data 2023'!$AE$2:$AE$10000,0),1),"")</f>
        <v>37897</v>
      </c>
      <c r="AB3041" s="5">
        <f>IF(INDEX('CAMD Facility Data 2023'!$AC$2:$AE$10000,MATCH(Z3041,'CAMD Facility Data 2023'!$AE$2:$AE$10000,0),1)&gt;0,INDEX('CAMD Facility Data 2023'!$AC$2:$AE$10000,MATCH(Z3041,'CAMD Facility Data 2023'!$AE$2:$AE$10000,0),1),"")</f>
        <v>2950</v>
      </c>
      <c r="AC3041" s="1" t="str">
        <f>IF(INDEX('CAMD Facility Data 2023'!$AE$2:$AG$10000,MATCH(Z3041,'CAMD Facility Data 2023'!$AE$2:$AE$10000,0),3)&gt;0,INDEX('CAMD Facility Data 2023'!$AE$2:$AG$10000,MATCH(Z3041,'CAMD Facility Data 2023'!$AE$2:$AE$10000,0),3),"")</f>
        <v>Y</v>
      </c>
      <c r="AD3041" s="20">
        <f t="shared" si="142"/>
        <v>0.13394762103238367</v>
      </c>
      <c r="AE3041" s="25">
        <f t="shared" si="143"/>
        <v>0.59401823798467612</v>
      </c>
    </row>
    <row r="3042" spans="1:31" x14ac:dyDescent="0.2">
      <c r="A3042" s="1" t="s">
        <v>383</v>
      </c>
      <c r="B3042" s="1" t="s">
        <v>6865</v>
      </c>
      <c r="C3042" s="1">
        <v>55470</v>
      </c>
      <c r="D3042" s="1" t="s">
        <v>6871</v>
      </c>
      <c r="F3042" s="1">
        <v>2023</v>
      </c>
      <c r="G3042" s="5">
        <v>7402</v>
      </c>
      <c r="H3042" s="5">
        <v>7388.49</v>
      </c>
      <c r="J3042" s="5">
        <v>5382359.3899999997</v>
      </c>
      <c r="K3042" s="5">
        <v>18.167999999999999</v>
      </c>
      <c r="L3042" s="5">
        <v>2.5999999999999999E-3</v>
      </c>
      <c r="M3042" s="5">
        <v>850395.69099999999</v>
      </c>
      <c r="N3042" s="6">
        <v>5.8999999999999997E-2</v>
      </c>
      <c r="O3042" s="5">
        <v>69.507000000000005</v>
      </c>
      <c r="P3042" s="6">
        <v>1.0999999999999999E-2</v>
      </c>
      <c r="Q3042" s="5">
        <v>14309593.74</v>
      </c>
      <c r="R3042" s="1" t="s">
        <v>44</v>
      </c>
      <c r="S3042" s="1" t="s">
        <v>1432</v>
      </c>
      <c r="T3042" s="1" t="s">
        <v>71</v>
      </c>
      <c r="V3042" s="1" t="s">
        <v>64</v>
      </c>
      <c r="Y3042" s="1" t="s">
        <v>346</v>
      </c>
      <c r="Z3042" s="1" t="str">
        <f t="shared" si="141"/>
        <v>55470 EPN803</v>
      </c>
      <c r="AA3042" s="3">
        <f>IF(INDEX('CAMD Facility Data 2023'!$AA$2:$AE$10000,MATCH(Z3042,'CAMD Facility Data 2023'!$AE$2:$AE$10000,0),1)&gt;0,INDEX('CAMD Facility Data 2023'!$AA$2:$AE$10000,MATCH(Z3042,'CAMD Facility Data 2023'!$AE$2:$AE$10000,0),1),"")</f>
        <v>37905</v>
      </c>
      <c r="AB3042" s="5">
        <f>IF(INDEX('CAMD Facility Data 2023'!$AC$2:$AE$10000,MATCH(Z3042,'CAMD Facility Data 2023'!$AE$2:$AE$10000,0),1)&gt;0,INDEX('CAMD Facility Data 2023'!$AC$2:$AE$10000,MATCH(Z3042,'CAMD Facility Data 2023'!$AE$2:$AE$10000,0),1),"")</f>
        <v>2950</v>
      </c>
      <c r="AC3042" s="1" t="str">
        <f>IF(INDEX('CAMD Facility Data 2023'!$AE$2:$AG$10000,MATCH(Z3042,'CAMD Facility Data 2023'!$AE$2:$AE$10000,0),3)&gt;0,INDEX('CAMD Facility Data 2023'!$AE$2:$AG$10000,MATCH(Z3042,'CAMD Facility Data 2023'!$AE$2:$AE$10000,0),3),"")</f>
        <v>Y</v>
      </c>
      <c r="AD3042" s="20" t="str">
        <f t="shared" si="142"/>
        <v/>
      </c>
      <c r="AE3042" s="25">
        <f t="shared" si="143"/>
        <v>0.55373398885535174</v>
      </c>
    </row>
    <row r="3043" spans="1:31" x14ac:dyDescent="0.2">
      <c r="A3043" s="1" t="s">
        <v>3253</v>
      </c>
      <c r="B3043" s="1" t="s">
        <v>6873</v>
      </c>
      <c r="C3043" s="1">
        <v>55477</v>
      </c>
      <c r="D3043" s="1" t="s">
        <v>98</v>
      </c>
      <c r="F3043" s="1">
        <v>2023</v>
      </c>
      <c r="G3043" s="5">
        <v>906</v>
      </c>
      <c r="H3043" s="5">
        <v>774.32</v>
      </c>
      <c r="I3043" s="5">
        <v>19912.8</v>
      </c>
      <c r="K3043" s="5">
        <v>6.5000000000000002E-2</v>
      </c>
      <c r="L3043" s="5">
        <v>1E-3</v>
      </c>
      <c r="M3043" s="5">
        <v>12851.911</v>
      </c>
      <c r="N3043" s="6">
        <v>5.9299999999999999E-2</v>
      </c>
      <c r="O3043" s="5">
        <v>5.7009999999999996</v>
      </c>
      <c r="P3043" s="6">
        <v>6.0100000000000001E-2</v>
      </c>
      <c r="Q3043" s="5">
        <v>216253.57500000001</v>
      </c>
      <c r="R3043" s="1" t="s">
        <v>44</v>
      </c>
      <c r="T3043" s="1" t="s">
        <v>93</v>
      </c>
      <c r="V3043" s="1" t="s">
        <v>140</v>
      </c>
      <c r="Y3043" s="1" t="s">
        <v>247</v>
      </c>
      <c r="Z3043" s="1" t="str">
        <f t="shared" si="141"/>
        <v>55477 CT2</v>
      </c>
      <c r="AA3043" s="3">
        <f>IF(INDEX('CAMD Facility Data 2023'!$AA$2:$AE$10000,MATCH(Z3043,'CAMD Facility Data 2023'!$AE$2:$AE$10000,0),1)&gt;0,INDEX('CAMD Facility Data 2023'!$AA$2:$AE$10000,MATCH(Z3043,'CAMD Facility Data 2023'!$AE$2:$AE$10000,0),1),"")</f>
        <v>37041</v>
      </c>
      <c r="AB3043" s="5">
        <f>IF(INDEX('CAMD Facility Data 2023'!$AC$2:$AE$10000,MATCH(Z3043,'CAMD Facility Data 2023'!$AE$2:$AE$10000,0),1)&gt;0,INDEX('CAMD Facility Data 2023'!$AC$2:$AE$10000,MATCH(Z3043,'CAMD Facility Data 2023'!$AE$2:$AE$10000,0),1),"")</f>
        <v>393</v>
      </c>
      <c r="AC3043" s="1" t="str">
        <f>IF(INDEX('CAMD Facility Data 2023'!$AE$2:$AG$10000,MATCH(Z3043,'CAMD Facility Data 2023'!$AE$2:$AE$10000,0),3)&gt;0,INDEX('CAMD Facility Data 2023'!$AE$2:$AG$10000,MATCH(Z3043,'CAMD Facility Data 2023'!$AE$2:$AE$10000,0),3),"")</f>
        <v/>
      </c>
      <c r="AD3043" s="20">
        <f t="shared" si="142"/>
        <v>0.57259652083082235</v>
      </c>
      <c r="AE3043" s="25">
        <f t="shared" si="143"/>
        <v>6.2815473700721533E-2</v>
      </c>
    </row>
    <row r="3044" spans="1:31" x14ac:dyDescent="0.2">
      <c r="A3044" s="1" t="s">
        <v>2750</v>
      </c>
      <c r="B3044" s="1" t="s">
        <v>6875</v>
      </c>
      <c r="C3044" s="1">
        <v>55478</v>
      </c>
      <c r="D3044" s="1" t="s">
        <v>311</v>
      </c>
      <c r="F3044" s="1">
        <v>2023</v>
      </c>
      <c r="G3044" s="5">
        <v>1706</v>
      </c>
      <c r="H3044" s="5">
        <v>1480.19</v>
      </c>
      <c r="I3044" s="5">
        <v>41610.22</v>
      </c>
      <c r="K3044" s="5">
        <v>0.13</v>
      </c>
      <c r="L3044" s="5">
        <v>1E-3</v>
      </c>
      <c r="M3044" s="5">
        <v>25821.395</v>
      </c>
      <c r="N3044" s="6">
        <v>5.9299999999999999E-2</v>
      </c>
      <c r="O3044" s="5">
        <v>12.117000000000001</v>
      </c>
      <c r="P3044" s="6">
        <v>6.1400000000000003E-2</v>
      </c>
      <c r="Q3044" s="5">
        <v>434504.478</v>
      </c>
      <c r="R3044" s="1" t="s">
        <v>44</v>
      </c>
      <c r="T3044" s="1" t="s">
        <v>93</v>
      </c>
      <c r="V3044" s="1" t="s">
        <v>140</v>
      </c>
      <c r="Y3044" s="1" t="s">
        <v>247</v>
      </c>
      <c r="Z3044" s="1" t="str">
        <f t="shared" si="141"/>
        <v>55478 CT1</v>
      </c>
      <c r="AA3044" s="3">
        <f>IF(INDEX('CAMD Facility Data 2023'!$AA$2:$AE$10000,MATCH(Z3044,'CAMD Facility Data 2023'!$AE$2:$AE$10000,0),1)&gt;0,INDEX('CAMD Facility Data 2023'!$AA$2:$AE$10000,MATCH(Z3044,'CAMD Facility Data 2023'!$AE$2:$AE$10000,0),1),"")</f>
        <v>37399</v>
      </c>
      <c r="AB3044" s="5">
        <f>IF(INDEX('CAMD Facility Data 2023'!$AC$2:$AE$10000,MATCH(Z3044,'CAMD Facility Data 2023'!$AE$2:$AE$10000,0),1)&gt;0,INDEX('CAMD Facility Data 2023'!$AC$2:$AE$10000,MATCH(Z3044,'CAMD Facility Data 2023'!$AE$2:$AE$10000,0),1),"")</f>
        <v>399</v>
      </c>
      <c r="AC3044" s="1" t="str">
        <f>IF(INDEX('CAMD Facility Data 2023'!$AE$2:$AG$10000,MATCH(Z3044,'CAMD Facility Data 2023'!$AE$2:$AE$10000,0),3)&gt;0,INDEX('CAMD Facility Data 2023'!$AE$2:$AG$10000,MATCH(Z3044,'CAMD Facility Data 2023'!$AE$2:$AE$10000,0),3),"")</f>
        <v/>
      </c>
      <c r="AD3044" s="20">
        <f t="shared" si="142"/>
        <v>0.58240499569576898</v>
      </c>
      <c r="AE3044" s="25">
        <f t="shared" si="143"/>
        <v>0.1243132025268651</v>
      </c>
    </row>
    <row r="3045" spans="1:31" x14ac:dyDescent="0.2">
      <c r="A3045" s="1" t="s">
        <v>3253</v>
      </c>
      <c r="B3045" s="1" t="s">
        <v>6880</v>
      </c>
      <c r="C3045" s="1">
        <v>55479</v>
      </c>
      <c r="D3045" s="1">
        <v>1</v>
      </c>
      <c r="F3045" s="1">
        <v>2023</v>
      </c>
      <c r="G3045" s="5">
        <v>8405</v>
      </c>
      <c r="H3045" s="5">
        <v>8391.18</v>
      </c>
      <c r="I3045" s="5">
        <v>713811.3</v>
      </c>
      <c r="K3045" s="5">
        <v>348.37900000000002</v>
      </c>
      <c r="L3045" s="5">
        <v>8.3299999999999999E-2</v>
      </c>
      <c r="M3045" s="5">
        <v>874057.44400000002</v>
      </c>
      <c r="N3045" s="6">
        <v>0.105</v>
      </c>
      <c r="O3045" s="5">
        <v>541.69100000000003</v>
      </c>
      <c r="P3045" s="6">
        <v>0.12970000000000001</v>
      </c>
      <c r="Q3045" s="5">
        <v>8333880.0439999998</v>
      </c>
      <c r="R3045" s="1" t="s">
        <v>55</v>
      </c>
      <c r="T3045" s="1" t="s">
        <v>89</v>
      </c>
      <c r="U3045" s="1" t="s">
        <v>212</v>
      </c>
      <c r="V3045" s="1" t="s">
        <v>563</v>
      </c>
      <c r="W3045" s="1" t="s">
        <v>232</v>
      </c>
      <c r="Y3045" s="1" t="s">
        <v>236</v>
      </c>
      <c r="Z3045" s="1" t="str">
        <f t="shared" si="141"/>
        <v>55479 1</v>
      </c>
      <c r="AA3045" s="3">
        <f>IF(INDEX('CAMD Facility Data 2023'!$AA$2:$AE$10000,MATCH(Z3045,'CAMD Facility Data 2023'!$AE$2:$AE$10000,0),1)&gt;0,INDEX('CAMD Facility Data 2023'!$AA$2:$AE$10000,MATCH(Z3045,'CAMD Facility Data 2023'!$AE$2:$AE$10000,0),1),"")</f>
        <v>37644</v>
      </c>
      <c r="AB3045" s="5">
        <f>IF(INDEX('CAMD Facility Data 2023'!$AC$2:$AE$10000,MATCH(Z3045,'CAMD Facility Data 2023'!$AE$2:$AE$10000,0),1)&gt;0,INDEX('CAMD Facility Data 2023'!$AC$2:$AE$10000,MATCH(Z3045,'CAMD Facility Data 2023'!$AE$2:$AE$10000,0),1),"")</f>
        <v>1300</v>
      </c>
      <c r="AC3045" s="1" t="str">
        <f>IF(INDEX('CAMD Facility Data 2023'!$AE$2:$AG$10000,MATCH(Z3045,'CAMD Facility Data 2023'!$AE$2:$AE$10000,0),3)&gt;0,INDEX('CAMD Facility Data 2023'!$AE$2:$AG$10000,MATCH(Z3045,'CAMD Facility Data 2023'!$AE$2:$AE$10000,0),3),"")</f>
        <v>Y</v>
      </c>
      <c r="AD3045" s="20">
        <f t="shared" si="142"/>
        <v>1.5177428544490679</v>
      </c>
      <c r="AE3045" s="25">
        <f t="shared" si="143"/>
        <v>0.73181243800491746</v>
      </c>
    </row>
    <row r="3046" spans="1:31" x14ac:dyDescent="0.2">
      <c r="A3046" s="1" t="s">
        <v>383</v>
      </c>
      <c r="B3046" s="1" t="s">
        <v>6883</v>
      </c>
      <c r="C3046" s="1">
        <v>55480</v>
      </c>
      <c r="D3046" s="1" t="s">
        <v>3858</v>
      </c>
      <c r="F3046" s="1">
        <v>2023</v>
      </c>
      <c r="G3046" s="5">
        <v>6553</v>
      </c>
      <c r="H3046" s="5">
        <v>6394.08</v>
      </c>
      <c r="I3046" s="5">
        <v>1694209.54</v>
      </c>
      <c r="K3046" s="5">
        <v>3.625</v>
      </c>
      <c r="L3046" s="5">
        <v>1E-3</v>
      </c>
      <c r="M3046" s="5">
        <v>717977.59499999997</v>
      </c>
      <c r="N3046" s="6">
        <v>5.8999999999999997E-2</v>
      </c>
      <c r="O3046" s="5">
        <v>197.99199999999999</v>
      </c>
      <c r="P3046" s="6">
        <v>3.8600000000000002E-2</v>
      </c>
      <c r="Q3046" s="5">
        <v>12081362.101</v>
      </c>
      <c r="R3046" s="1" t="s">
        <v>44</v>
      </c>
      <c r="T3046" s="1" t="s">
        <v>71</v>
      </c>
      <c r="V3046" s="1" t="s">
        <v>140</v>
      </c>
      <c r="Y3046" s="1" t="s">
        <v>346</v>
      </c>
      <c r="Z3046" s="1" t="str">
        <f t="shared" si="141"/>
        <v>55480 U1</v>
      </c>
      <c r="AA3046" s="3">
        <f>IF(INDEX('CAMD Facility Data 2023'!$AA$2:$AE$10000,MATCH(Z3046,'CAMD Facility Data 2023'!$AE$2:$AE$10000,0),1)&gt;0,INDEX('CAMD Facility Data 2023'!$AA$2:$AE$10000,MATCH(Z3046,'CAMD Facility Data 2023'!$AE$2:$AE$10000,0),1),"")</f>
        <v>37742</v>
      </c>
      <c r="AB3046" s="5">
        <f>IF(INDEX('CAMD Facility Data 2023'!$AC$2:$AE$10000,MATCH(Z3046,'CAMD Facility Data 2023'!$AE$2:$AE$10000,0),1)&gt;0,INDEX('CAMD Facility Data 2023'!$AC$2:$AE$10000,MATCH(Z3046,'CAMD Facility Data 2023'!$AE$2:$AE$10000,0),1),"")</f>
        <v>2445</v>
      </c>
      <c r="AC3046" s="1" t="str">
        <f>IF(INDEX('CAMD Facility Data 2023'!$AE$2:$AG$10000,MATCH(Z3046,'CAMD Facility Data 2023'!$AE$2:$AE$10000,0),3)&gt;0,INDEX('CAMD Facility Data 2023'!$AE$2:$AG$10000,MATCH(Z3046,'CAMD Facility Data 2023'!$AE$2:$AE$10000,0),3),"")</f>
        <v/>
      </c>
      <c r="AD3046" s="20">
        <f t="shared" si="142"/>
        <v>0.23372787760361685</v>
      </c>
      <c r="AE3046" s="25">
        <f t="shared" si="143"/>
        <v>0.56406990788208156</v>
      </c>
    </row>
    <row r="3047" spans="1:31" x14ac:dyDescent="0.2">
      <c r="A3047" s="1" t="s">
        <v>383</v>
      </c>
      <c r="B3047" s="1" t="s">
        <v>6883</v>
      </c>
      <c r="C3047" s="1">
        <v>55480</v>
      </c>
      <c r="D3047" s="1" t="s">
        <v>3862</v>
      </c>
      <c r="F3047" s="1">
        <v>2023</v>
      </c>
      <c r="G3047" s="5">
        <v>6812</v>
      </c>
      <c r="H3047" s="5">
        <v>6603.29</v>
      </c>
      <c r="I3047" s="5">
        <v>1697909.58</v>
      </c>
      <c r="K3047" s="5">
        <v>3.6669999999999998</v>
      </c>
      <c r="L3047" s="5">
        <v>1E-3</v>
      </c>
      <c r="M3047" s="5">
        <v>726439.16</v>
      </c>
      <c r="N3047" s="6">
        <v>5.8999999999999997E-2</v>
      </c>
      <c r="O3047" s="5">
        <v>204.41200000000001</v>
      </c>
      <c r="P3047" s="6">
        <v>4.1599999999999998E-2</v>
      </c>
      <c r="Q3047" s="5">
        <v>12223697.596000001</v>
      </c>
      <c r="R3047" s="1" t="s">
        <v>44</v>
      </c>
      <c r="T3047" s="1" t="s">
        <v>71</v>
      </c>
      <c r="V3047" s="1" t="s">
        <v>140</v>
      </c>
      <c r="Y3047" s="1" t="s">
        <v>346</v>
      </c>
      <c r="Z3047" s="1" t="str">
        <f t="shared" si="141"/>
        <v>55480 U2</v>
      </c>
      <c r="AA3047" s="3">
        <f>IF(INDEX('CAMD Facility Data 2023'!$AA$2:$AE$10000,MATCH(Z3047,'CAMD Facility Data 2023'!$AE$2:$AE$10000,0),1)&gt;0,INDEX('CAMD Facility Data 2023'!$AA$2:$AE$10000,MATCH(Z3047,'CAMD Facility Data 2023'!$AE$2:$AE$10000,0),1),"")</f>
        <v>37653</v>
      </c>
      <c r="AB3047" s="5">
        <f>IF(INDEX('CAMD Facility Data 2023'!$AC$2:$AE$10000,MATCH(Z3047,'CAMD Facility Data 2023'!$AE$2:$AE$10000,0),1)&gt;0,INDEX('CAMD Facility Data 2023'!$AC$2:$AE$10000,MATCH(Z3047,'CAMD Facility Data 2023'!$AE$2:$AE$10000,0),1),"")</f>
        <v>2445</v>
      </c>
      <c r="AC3047" s="1" t="str">
        <f>IF(INDEX('CAMD Facility Data 2023'!$AE$2:$AG$10000,MATCH(Z3047,'CAMD Facility Data 2023'!$AE$2:$AE$10000,0),3)&gt;0,INDEX('CAMD Facility Data 2023'!$AE$2:$AG$10000,MATCH(Z3047,'CAMD Facility Data 2023'!$AE$2:$AE$10000,0),3),"")</f>
        <v/>
      </c>
      <c r="AD3047" s="20">
        <f t="shared" si="142"/>
        <v>0.24078078409805542</v>
      </c>
      <c r="AE3047" s="25">
        <f t="shared" si="143"/>
        <v>0.57071544742321956</v>
      </c>
    </row>
    <row r="3048" spans="1:31" x14ac:dyDescent="0.2">
      <c r="A3048" s="1" t="s">
        <v>383</v>
      </c>
      <c r="B3048" s="1" t="s">
        <v>6883</v>
      </c>
      <c r="C3048" s="1">
        <v>55480</v>
      </c>
      <c r="D3048" s="1" t="s">
        <v>6888</v>
      </c>
      <c r="F3048" s="1">
        <v>2023</v>
      </c>
      <c r="G3048" s="5">
        <v>6728</v>
      </c>
      <c r="H3048" s="5">
        <v>6540.88</v>
      </c>
      <c r="I3048" s="5">
        <v>1682246.41</v>
      </c>
      <c r="K3048" s="5">
        <v>3.6179999999999999</v>
      </c>
      <c r="L3048" s="5">
        <v>1E-3</v>
      </c>
      <c r="M3048" s="5">
        <v>716720.353</v>
      </c>
      <c r="N3048" s="6">
        <v>5.8999999999999997E-2</v>
      </c>
      <c r="O3048" s="5">
        <v>210.54599999999999</v>
      </c>
      <c r="P3048" s="6">
        <v>4.2700000000000002E-2</v>
      </c>
      <c r="Q3048" s="5">
        <v>12060259.487</v>
      </c>
      <c r="R3048" s="1" t="s">
        <v>44</v>
      </c>
      <c r="T3048" s="1" t="s">
        <v>71</v>
      </c>
      <c r="V3048" s="1" t="s">
        <v>140</v>
      </c>
      <c r="Y3048" s="1" t="s">
        <v>346</v>
      </c>
      <c r="Z3048" s="1" t="str">
        <f t="shared" si="141"/>
        <v>55480 U3</v>
      </c>
      <c r="AA3048" s="3">
        <f>IF(INDEX('CAMD Facility Data 2023'!$AA$2:$AE$10000,MATCH(Z3048,'CAMD Facility Data 2023'!$AE$2:$AE$10000,0),1)&gt;0,INDEX('CAMD Facility Data 2023'!$AA$2:$AE$10000,MATCH(Z3048,'CAMD Facility Data 2023'!$AE$2:$AE$10000,0),1),"")</f>
        <v>37653</v>
      </c>
      <c r="AB3048" s="5">
        <f>IF(INDEX('CAMD Facility Data 2023'!$AC$2:$AE$10000,MATCH(Z3048,'CAMD Facility Data 2023'!$AE$2:$AE$10000,0),1)&gt;0,INDEX('CAMD Facility Data 2023'!$AC$2:$AE$10000,MATCH(Z3048,'CAMD Facility Data 2023'!$AE$2:$AE$10000,0),1),"")</f>
        <v>2445</v>
      </c>
      <c r="AC3048" s="1" t="str">
        <f>IF(INDEX('CAMD Facility Data 2023'!$AE$2:$AG$10000,MATCH(Z3048,'CAMD Facility Data 2023'!$AE$2:$AE$10000,0),3)&gt;0,INDEX('CAMD Facility Data 2023'!$AE$2:$AG$10000,MATCH(Z3048,'CAMD Facility Data 2023'!$AE$2:$AE$10000,0),3),"")</f>
        <v/>
      </c>
      <c r="AD3048" s="20">
        <f t="shared" si="142"/>
        <v>0.25031529120635782</v>
      </c>
      <c r="AE3048" s="25">
        <f t="shared" si="143"/>
        <v>0.5630846423602357</v>
      </c>
    </row>
    <row r="3049" spans="1:31" x14ac:dyDescent="0.2">
      <c r="A3049" s="1" t="s">
        <v>383</v>
      </c>
      <c r="B3049" s="1" t="s">
        <v>6883</v>
      </c>
      <c r="C3049" s="1">
        <v>55480</v>
      </c>
      <c r="D3049" s="1" t="s">
        <v>6890</v>
      </c>
      <c r="F3049" s="1">
        <v>2023</v>
      </c>
      <c r="G3049" s="5">
        <v>7181</v>
      </c>
      <c r="H3049" s="5">
        <v>7059.84</v>
      </c>
      <c r="I3049" s="5">
        <v>1863648.42</v>
      </c>
      <c r="K3049" s="5">
        <v>3.96</v>
      </c>
      <c r="L3049" s="5">
        <v>1E-3</v>
      </c>
      <c r="M3049" s="5">
        <v>784373.23100000003</v>
      </c>
      <c r="N3049" s="6">
        <v>5.8999999999999997E-2</v>
      </c>
      <c r="O3049" s="5">
        <v>216.33600000000001</v>
      </c>
      <c r="P3049" s="6">
        <v>3.7400000000000003E-2</v>
      </c>
      <c r="Q3049" s="5">
        <v>13198503.125</v>
      </c>
      <c r="R3049" s="1" t="s">
        <v>44</v>
      </c>
      <c r="T3049" s="1" t="s">
        <v>71</v>
      </c>
      <c r="V3049" s="1" t="s">
        <v>140</v>
      </c>
      <c r="Y3049" s="1" t="s">
        <v>346</v>
      </c>
      <c r="Z3049" s="1" t="str">
        <f t="shared" si="141"/>
        <v>55480 U4</v>
      </c>
      <c r="AA3049" s="3">
        <f>IF(INDEX('CAMD Facility Data 2023'!$AA$2:$AE$10000,MATCH(Z3049,'CAMD Facility Data 2023'!$AE$2:$AE$10000,0),1)&gt;0,INDEX('CAMD Facility Data 2023'!$AA$2:$AE$10000,MATCH(Z3049,'CAMD Facility Data 2023'!$AE$2:$AE$10000,0),1),"")</f>
        <v>37742</v>
      </c>
      <c r="AB3049" s="5">
        <f>IF(INDEX('CAMD Facility Data 2023'!$AC$2:$AE$10000,MATCH(Z3049,'CAMD Facility Data 2023'!$AE$2:$AE$10000,0),1)&gt;0,INDEX('CAMD Facility Data 2023'!$AC$2:$AE$10000,MATCH(Z3049,'CAMD Facility Data 2023'!$AE$2:$AE$10000,0),1),"")</f>
        <v>2445</v>
      </c>
      <c r="AC3049" s="1" t="str">
        <f>IF(INDEX('CAMD Facility Data 2023'!$AE$2:$AG$10000,MATCH(Z3049,'CAMD Facility Data 2023'!$AE$2:$AE$10000,0),3)&gt;0,INDEX('CAMD Facility Data 2023'!$AE$2:$AG$10000,MATCH(Z3049,'CAMD Facility Data 2023'!$AE$2:$AE$10000,0),3),"")</f>
        <v/>
      </c>
      <c r="AD3049" s="20">
        <f t="shared" si="142"/>
        <v>0.23216396148367943</v>
      </c>
      <c r="AE3049" s="25">
        <f t="shared" si="143"/>
        <v>0.61622840037911686</v>
      </c>
    </row>
    <row r="3050" spans="1:31" x14ac:dyDescent="0.2">
      <c r="A3050" s="1" t="s">
        <v>383</v>
      </c>
      <c r="B3050" s="1" t="s">
        <v>6883</v>
      </c>
      <c r="C3050" s="1">
        <v>55480</v>
      </c>
      <c r="D3050" s="1" t="s">
        <v>6892</v>
      </c>
      <c r="F3050" s="1">
        <v>2023</v>
      </c>
      <c r="G3050" s="5">
        <v>7230</v>
      </c>
      <c r="H3050" s="5">
        <v>7083.4</v>
      </c>
      <c r="I3050" s="5">
        <v>1868362.75</v>
      </c>
      <c r="K3050" s="5">
        <v>3.9470000000000001</v>
      </c>
      <c r="L3050" s="5">
        <v>1E-3</v>
      </c>
      <c r="M3050" s="5">
        <v>781942.27899999998</v>
      </c>
      <c r="N3050" s="6">
        <v>5.8999999999999997E-2</v>
      </c>
      <c r="O3050" s="5">
        <v>222.745</v>
      </c>
      <c r="P3050" s="6">
        <v>3.78E-2</v>
      </c>
      <c r="Q3050" s="5">
        <v>13157627.914999999</v>
      </c>
      <c r="R3050" s="1" t="s">
        <v>44</v>
      </c>
      <c r="T3050" s="1" t="s">
        <v>71</v>
      </c>
      <c r="V3050" s="1" t="s">
        <v>140</v>
      </c>
      <c r="Y3050" s="1" t="s">
        <v>346</v>
      </c>
      <c r="Z3050" s="1" t="str">
        <f t="shared" si="141"/>
        <v>55480 U5</v>
      </c>
      <c r="AA3050" s="3">
        <f>IF(INDEX('CAMD Facility Data 2023'!$AA$2:$AE$10000,MATCH(Z3050,'CAMD Facility Data 2023'!$AE$2:$AE$10000,0),1)&gt;0,INDEX('CAMD Facility Data 2023'!$AA$2:$AE$10000,MATCH(Z3050,'CAMD Facility Data 2023'!$AE$2:$AE$10000,0),1),"")</f>
        <v>37742</v>
      </c>
      <c r="AB3050" s="5">
        <f>IF(INDEX('CAMD Facility Data 2023'!$AC$2:$AE$10000,MATCH(Z3050,'CAMD Facility Data 2023'!$AE$2:$AE$10000,0),1)&gt;0,INDEX('CAMD Facility Data 2023'!$AC$2:$AE$10000,MATCH(Z3050,'CAMD Facility Data 2023'!$AE$2:$AE$10000,0),1),"")</f>
        <v>2445</v>
      </c>
      <c r="AC3050" s="1" t="str">
        <f>IF(INDEX('CAMD Facility Data 2023'!$AE$2:$AG$10000,MATCH(Z3050,'CAMD Facility Data 2023'!$AE$2:$AE$10000,0),3)&gt;0,INDEX('CAMD Facility Data 2023'!$AE$2:$AG$10000,MATCH(Z3050,'CAMD Facility Data 2023'!$AE$2:$AE$10000,0),3),"")</f>
        <v/>
      </c>
      <c r="AD3050" s="20">
        <f t="shared" si="142"/>
        <v>0.23843870790080782</v>
      </c>
      <c r="AE3050" s="25">
        <f t="shared" si="143"/>
        <v>0.61431996689731161</v>
      </c>
    </row>
    <row r="3051" spans="1:31" x14ac:dyDescent="0.2">
      <c r="A3051" s="1" t="s">
        <v>383</v>
      </c>
      <c r="B3051" s="1" t="s">
        <v>6883</v>
      </c>
      <c r="C3051" s="1">
        <v>55480</v>
      </c>
      <c r="D3051" s="1" t="s">
        <v>6894</v>
      </c>
      <c r="F3051" s="1">
        <v>2023</v>
      </c>
      <c r="G3051" s="5">
        <v>7269</v>
      </c>
      <c r="H3051" s="5">
        <v>7147.99</v>
      </c>
      <c r="I3051" s="5">
        <v>1886571.18</v>
      </c>
      <c r="K3051" s="5">
        <v>4.0199999999999996</v>
      </c>
      <c r="L3051" s="5">
        <v>1E-3</v>
      </c>
      <c r="M3051" s="5">
        <v>796234.04399999999</v>
      </c>
      <c r="N3051" s="6">
        <v>5.8999999999999997E-2</v>
      </c>
      <c r="O3051" s="5">
        <v>217.75700000000001</v>
      </c>
      <c r="P3051" s="6">
        <v>3.7499999999999999E-2</v>
      </c>
      <c r="Q3051" s="5">
        <v>13398161.626</v>
      </c>
      <c r="R3051" s="1" t="s">
        <v>44</v>
      </c>
      <c r="T3051" s="1" t="s">
        <v>71</v>
      </c>
      <c r="V3051" s="1" t="s">
        <v>140</v>
      </c>
      <c r="Y3051" s="1" t="s">
        <v>346</v>
      </c>
      <c r="Z3051" s="1" t="str">
        <f t="shared" si="141"/>
        <v>55480 U6</v>
      </c>
      <c r="AA3051" s="3">
        <f>IF(INDEX('CAMD Facility Data 2023'!$AA$2:$AE$10000,MATCH(Z3051,'CAMD Facility Data 2023'!$AE$2:$AE$10000,0),1)&gt;0,INDEX('CAMD Facility Data 2023'!$AA$2:$AE$10000,MATCH(Z3051,'CAMD Facility Data 2023'!$AE$2:$AE$10000,0),1),"")</f>
        <v>37742</v>
      </c>
      <c r="AB3051" s="5">
        <f>IF(INDEX('CAMD Facility Data 2023'!$AC$2:$AE$10000,MATCH(Z3051,'CAMD Facility Data 2023'!$AE$2:$AE$10000,0),1)&gt;0,INDEX('CAMD Facility Data 2023'!$AC$2:$AE$10000,MATCH(Z3051,'CAMD Facility Data 2023'!$AE$2:$AE$10000,0),1),"")</f>
        <v>2445</v>
      </c>
      <c r="AC3051" s="1" t="str">
        <f>IF(INDEX('CAMD Facility Data 2023'!$AE$2:$AG$10000,MATCH(Z3051,'CAMD Facility Data 2023'!$AE$2:$AE$10000,0),3)&gt;0,INDEX('CAMD Facility Data 2023'!$AE$2:$AG$10000,MATCH(Z3051,'CAMD Facility Data 2023'!$AE$2:$AE$10000,0),3),"")</f>
        <v/>
      </c>
      <c r="AD3051" s="20">
        <f t="shared" si="142"/>
        <v>0.23084949278192621</v>
      </c>
      <c r="AE3051" s="25">
        <f t="shared" si="143"/>
        <v>0.62555030889617247</v>
      </c>
    </row>
    <row r="3052" spans="1:31" x14ac:dyDescent="0.2">
      <c r="A3052" s="1" t="s">
        <v>234</v>
      </c>
      <c r="B3052" s="1" t="s">
        <v>6896</v>
      </c>
      <c r="C3052" s="1">
        <v>55481</v>
      </c>
      <c r="D3052" s="1">
        <v>1</v>
      </c>
      <c r="F3052" s="1">
        <v>2023</v>
      </c>
      <c r="G3052" s="5">
        <v>7233</v>
      </c>
      <c r="H3052" s="5">
        <v>7159.23</v>
      </c>
      <c r="I3052" s="5">
        <v>1918983.44</v>
      </c>
      <c r="K3052" s="5">
        <v>4.032</v>
      </c>
      <c r="L3052" s="5">
        <v>1E-3</v>
      </c>
      <c r="M3052" s="5">
        <v>798669.45799999998</v>
      </c>
      <c r="N3052" s="6">
        <v>5.8999999999999997E-2</v>
      </c>
      <c r="O3052" s="5">
        <v>57.667999999999999</v>
      </c>
      <c r="P3052" s="6">
        <v>9.9000000000000008E-3</v>
      </c>
      <c r="Q3052" s="5">
        <v>13439119.77</v>
      </c>
      <c r="R3052" s="1" t="s">
        <v>44</v>
      </c>
      <c r="T3052" s="1" t="s">
        <v>71</v>
      </c>
      <c r="V3052" s="1" t="s">
        <v>64</v>
      </c>
      <c r="Y3052" s="1" t="s">
        <v>247</v>
      </c>
      <c r="Z3052" s="1" t="str">
        <f t="shared" si="141"/>
        <v>55481 1</v>
      </c>
      <c r="AA3052" s="3">
        <f>IF(INDEX('CAMD Facility Data 2023'!$AA$2:$AE$10000,MATCH(Z3052,'CAMD Facility Data 2023'!$AE$2:$AE$10000,0),1)&gt;0,INDEX('CAMD Facility Data 2023'!$AA$2:$AE$10000,MATCH(Z3052,'CAMD Facility Data 2023'!$AE$2:$AE$10000,0),1),"")</f>
        <v>37663</v>
      </c>
      <c r="AB3052" s="5">
        <f>IF(INDEX('CAMD Facility Data 2023'!$AC$2:$AE$10000,MATCH(Z3052,'CAMD Facility Data 2023'!$AE$2:$AE$10000,0),1)&gt;0,INDEX('CAMD Facility Data 2023'!$AC$2:$AE$10000,MATCH(Z3052,'CAMD Facility Data 2023'!$AE$2:$AE$10000,0),1),"")</f>
        <v>2530</v>
      </c>
      <c r="AC3052" s="1" t="str">
        <f>IF(INDEX('CAMD Facility Data 2023'!$AE$2:$AG$10000,MATCH(Z3052,'CAMD Facility Data 2023'!$AE$2:$AE$10000,0),3)&gt;0,INDEX('CAMD Facility Data 2023'!$AE$2:$AG$10000,MATCH(Z3052,'CAMD Facility Data 2023'!$AE$2:$AE$10000,0),3),"")</f>
        <v>Y</v>
      </c>
      <c r="AD3052" s="20">
        <f t="shared" si="142"/>
        <v>6.0102655184976483E-2</v>
      </c>
      <c r="AE3052" s="25">
        <f t="shared" si="143"/>
        <v>0.60638185472954675</v>
      </c>
    </row>
    <row r="3053" spans="1:31" x14ac:dyDescent="0.2">
      <c r="A3053" s="1" t="s">
        <v>234</v>
      </c>
      <c r="B3053" s="1" t="s">
        <v>6896</v>
      </c>
      <c r="C3053" s="1">
        <v>55481</v>
      </c>
      <c r="D3053" s="1">
        <v>2</v>
      </c>
      <c r="F3053" s="1">
        <v>2023</v>
      </c>
      <c r="G3053" s="5">
        <v>7070</v>
      </c>
      <c r="H3053" s="5">
        <v>6922.13</v>
      </c>
      <c r="I3053" s="5">
        <v>1824895.63</v>
      </c>
      <c r="K3053" s="5">
        <v>3.899</v>
      </c>
      <c r="L3053" s="5">
        <v>1E-3</v>
      </c>
      <c r="M3053" s="5">
        <v>772368.647</v>
      </c>
      <c r="N3053" s="6">
        <v>5.8999999999999997E-2</v>
      </c>
      <c r="O3053" s="5">
        <v>54.061</v>
      </c>
      <c r="P3053" s="6">
        <v>0.01</v>
      </c>
      <c r="Q3053" s="5">
        <v>12996566.311000001</v>
      </c>
      <c r="R3053" s="1" t="s">
        <v>44</v>
      </c>
      <c r="T3053" s="1" t="s">
        <v>71</v>
      </c>
      <c r="V3053" s="1" t="s">
        <v>64</v>
      </c>
      <c r="Y3053" s="1" t="s">
        <v>247</v>
      </c>
      <c r="Z3053" s="1" t="str">
        <f t="shared" si="141"/>
        <v>55481 2</v>
      </c>
      <c r="AA3053" s="3">
        <f>IF(INDEX('CAMD Facility Data 2023'!$AA$2:$AE$10000,MATCH(Z3053,'CAMD Facility Data 2023'!$AE$2:$AE$10000,0),1)&gt;0,INDEX('CAMD Facility Data 2023'!$AA$2:$AE$10000,MATCH(Z3053,'CAMD Facility Data 2023'!$AE$2:$AE$10000,0),1),"")</f>
        <v>37664</v>
      </c>
      <c r="AB3053" s="5">
        <f>IF(INDEX('CAMD Facility Data 2023'!$AC$2:$AE$10000,MATCH(Z3053,'CAMD Facility Data 2023'!$AE$2:$AE$10000,0),1)&gt;0,INDEX('CAMD Facility Data 2023'!$AC$2:$AE$10000,MATCH(Z3053,'CAMD Facility Data 2023'!$AE$2:$AE$10000,0),1),"")</f>
        <v>2530</v>
      </c>
      <c r="AC3053" s="1" t="str">
        <f>IF(INDEX('CAMD Facility Data 2023'!$AE$2:$AG$10000,MATCH(Z3053,'CAMD Facility Data 2023'!$AE$2:$AE$10000,0),3)&gt;0,INDEX('CAMD Facility Data 2023'!$AE$2:$AG$10000,MATCH(Z3053,'CAMD Facility Data 2023'!$AE$2:$AE$10000,0),3),"")</f>
        <v>Y</v>
      </c>
      <c r="AD3053" s="20">
        <f t="shared" si="142"/>
        <v>5.9248319861448739E-2</v>
      </c>
      <c r="AE3053" s="25">
        <f t="shared" si="143"/>
        <v>0.58641355383796279</v>
      </c>
    </row>
    <row r="3054" spans="1:31" x14ac:dyDescent="0.2">
      <c r="A3054" s="1" t="s">
        <v>234</v>
      </c>
      <c r="B3054" s="1" t="s">
        <v>6896</v>
      </c>
      <c r="C3054" s="1">
        <v>55481</v>
      </c>
      <c r="D3054" s="1">
        <v>5</v>
      </c>
      <c r="F3054" s="1">
        <v>2023</v>
      </c>
      <c r="G3054" s="5">
        <v>8183</v>
      </c>
      <c r="H3054" s="5">
        <v>8146.1</v>
      </c>
      <c r="I3054" s="5">
        <v>2075039.81</v>
      </c>
      <c r="K3054" s="5">
        <v>4.4359999999999999</v>
      </c>
      <c r="L3054" s="5">
        <v>1E-3</v>
      </c>
      <c r="M3054" s="5">
        <v>878749.35499999998</v>
      </c>
      <c r="N3054" s="6">
        <v>5.8999999999999997E-2</v>
      </c>
      <c r="O3054" s="5">
        <v>60.054000000000002</v>
      </c>
      <c r="P3054" s="6">
        <v>8.6999999999999994E-3</v>
      </c>
      <c r="Q3054" s="5">
        <v>14786702.161</v>
      </c>
      <c r="R3054" s="1" t="s">
        <v>44</v>
      </c>
      <c r="T3054" s="1" t="s">
        <v>71</v>
      </c>
      <c r="V3054" s="1" t="s">
        <v>64</v>
      </c>
      <c r="Y3054" s="1" t="s">
        <v>247</v>
      </c>
      <c r="Z3054" s="1" t="str">
        <f t="shared" si="141"/>
        <v>55481 5</v>
      </c>
      <c r="AA3054" s="3">
        <f>IF(INDEX('CAMD Facility Data 2023'!$AA$2:$AE$10000,MATCH(Z3054,'CAMD Facility Data 2023'!$AE$2:$AE$10000,0),1)&gt;0,INDEX('CAMD Facility Data 2023'!$AA$2:$AE$10000,MATCH(Z3054,'CAMD Facility Data 2023'!$AE$2:$AE$10000,0),1),"")</f>
        <v>37834</v>
      </c>
      <c r="AB3054" s="5">
        <f>IF(INDEX('CAMD Facility Data 2023'!$AC$2:$AE$10000,MATCH(Z3054,'CAMD Facility Data 2023'!$AE$2:$AE$10000,0),1)&gt;0,INDEX('CAMD Facility Data 2023'!$AC$2:$AE$10000,MATCH(Z3054,'CAMD Facility Data 2023'!$AE$2:$AE$10000,0),1),"")</f>
        <v>2370</v>
      </c>
      <c r="AC3054" s="1" t="str">
        <f>IF(INDEX('CAMD Facility Data 2023'!$AE$2:$AG$10000,MATCH(Z3054,'CAMD Facility Data 2023'!$AE$2:$AE$10000,0),3)&gt;0,INDEX('CAMD Facility Data 2023'!$AE$2:$AG$10000,MATCH(Z3054,'CAMD Facility Data 2023'!$AE$2:$AE$10000,0),3),"")</f>
        <v>Y</v>
      </c>
      <c r="AD3054" s="20">
        <f t="shared" si="142"/>
        <v>5.7882262991378462E-2</v>
      </c>
      <c r="AE3054" s="25">
        <f t="shared" si="143"/>
        <v>0.71222772098915288</v>
      </c>
    </row>
    <row r="3055" spans="1:31" x14ac:dyDescent="0.2">
      <c r="A3055" s="1" t="s">
        <v>234</v>
      </c>
      <c r="B3055" s="1" t="s">
        <v>6896</v>
      </c>
      <c r="C3055" s="1">
        <v>55481</v>
      </c>
      <c r="D3055" s="1">
        <v>6</v>
      </c>
      <c r="F3055" s="1">
        <v>2023</v>
      </c>
      <c r="G3055" s="5">
        <v>8099</v>
      </c>
      <c r="H3055" s="5">
        <v>8032.64</v>
      </c>
      <c r="I3055" s="5">
        <v>2056556.63</v>
      </c>
      <c r="K3055" s="5">
        <v>4.3609999999999998</v>
      </c>
      <c r="L3055" s="5">
        <v>1E-3</v>
      </c>
      <c r="M3055" s="5">
        <v>863764.38500000001</v>
      </c>
      <c r="N3055" s="6">
        <v>5.8999999999999997E-2</v>
      </c>
      <c r="O3055" s="5">
        <v>68.161000000000001</v>
      </c>
      <c r="P3055" s="6">
        <v>1.09E-2</v>
      </c>
      <c r="Q3055" s="5">
        <v>14534462.567</v>
      </c>
      <c r="R3055" s="1" t="s">
        <v>44</v>
      </c>
      <c r="T3055" s="1" t="s">
        <v>71</v>
      </c>
      <c r="V3055" s="1" t="s">
        <v>64</v>
      </c>
      <c r="Y3055" s="1" t="s">
        <v>247</v>
      </c>
      <c r="Z3055" s="1" t="str">
        <f t="shared" si="141"/>
        <v>55481 6</v>
      </c>
      <c r="AA3055" s="3">
        <f>IF(INDEX('CAMD Facility Data 2023'!$AA$2:$AE$10000,MATCH(Z3055,'CAMD Facility Data 2023'!$AE$2:$AE$10000,0),1)&gt;0,INDEX('CAMD Facility Data 2023'!$AA$2:$AE$10000,MATCH(Z3055,'CAMD Facility Data 2023'!$AE$2:$AE$10000,0),1),"")</f>
        <v>37834</v>
      </c>
      <c r="AB3055" s="5">
        <f>IF(INDEX('CAMD Facility Data 2023'!$AC$2:$AE$10000,MATCH(Z3055,'CAMD Facility Data 2023'!$AE$2:$AE$10000,0),1)&gt;0,INDEX('CAMD Facility Data 2023'!$AC$2:$AE$10000,MATCH(Z3055,'CAMD Facility Data 2023'!$AE$2:$AE$10000,0),1),"")</f>
        <v>2370</v>
      </c>
      <c r="AC3055" s="1" t="str">
        <f>IF(INDEX('CAMD Facility Data 2023'!$AE$2:$AG$10000,MATCH(Z3055,'CAMD Facility Data 2023'!$AE$2:$AE$10000,0),3)&gt;0,INDEX('CAMD Facility Data 2023'!$AE$2:$AG$10000,MATCH(Z3055,'CAMD Facility Data 2023'!$AE$2:$AE$10000,0),3),"")</f>
        <v>Y</v>
      </c>
      <c r="AD3055" s="20">
        <f t="shared" si="142"/>
        <v>6.6286528662232849E-2</v>
      </c>
      <c r="AE3055" s="25">
        <f t="shared" si="143"/>
        <v>0.70007815381577176</v>
      </c>
    </row>
    <row r="3056" spans="1:31" x14ac:dyDescent="0.2">
      <c r="A3056" s="1" t="s">
        <v>690</v>
      </c>
      <c r="B3056" s="1" t="s">
        <v>6902</v>
      </c>
      <c r="C3056" s="1">
        <v>55482</v>
      </c>
      <c r="D3056" s="1" t="s">
        <v>1296</v>
      </c>
      <c r="F3056" s="1">
        <v>2023</v>
      </c>
      <c r="G3056" s="5">
        <v>7780</v>
      </c>
      <c r="H3056" s="5">
        <v>7765.15</v>
      </c>
      <c r="I3056" s="5">
        <v>2215362.11</v>
      </c>
      <c r="K3056" s="5">
        <v>4.593</v>
      </c>
      <c r="L3056" s="5">
        <v>1E-3</v>
      </c>
      <c r="M3056" s="5">
        <v>909764.3</v>
      </c>
      <c r="N3056" s="6">
        <v>5.8999999999999997E-2</v>
      </c>
      <c r="O3056" s="5">
        <v>55.027999999999999</v>
      </c>
      <c r="P3056" s="6">
        <v>8.2000000000000007E-3</v>
      </c>
      <c r="Q3056" s="5">
        <v>15308569.539000001</v>
      </c>
      <c r="R3056" s="1" t="s">
        <v>44</v>
      </c>
      <c r="T3056" s="1" t="s">
        <v>71</v>
      </c>
      <c r="V3056" s="1" t="s">
        <v>64</v>
      </c>
      <c r="Y3056" s="1" t="s">
        <v>247</v>
      </c>
      <c r="Z3056" s="1" t="str">
        <f t="shared" si="141"/>
        <v>55482 CT-1</v>
      </c>
      <c r="AA3056" s="3">
        <f>IF(INDEX('CAMD Facility Data 2023'!$AA$2:$AE$10000,MATCH(Z3056,'CAMD Facility Data 2023'!$AE$2:$AE$10000,0),1)&gt;0,INDEX('CAMD Facility Data 2023'!$AA$2:$AE$10000,MATCH(Z3056,'CAMD Facility Data 2023'!$AE$2:$AE$10000,0),1),"")</f>
        <v>38177</v>
      </c>
      <c r="AB3056" s="5">
        <f>IF(INDEX('CAMD Facility Data 2023'!$AC$2:$AE$10000,MATCH(Z3056,'CAMD Facility Data 2023'!$AE$2:$AE$10000,0),1)&gt;0,INDEX('CAMD Facility Data 2023'!$AC$2:$AE$10000,MATCH(Z3056,'CAMD Facility Data 2023'!$AE$2:$AE$10000,0),1),"")</f>
        <v>2500</v>
      </c>
      <c r="AC3056" s="1" t="str">
        <f>IF(INDEX('CAMD Facility Data 2023'!$AE$2:$AG$10000,MATCH(Z3056,'CAMD Facility Data 2023'!$AE$2:$AE$10000,0),3)&gt;0,INDEX('CAMD Facility Data 2023'!$AE$2:$AG$10000,MATCH(Z3056,'CAMD Facility Data 2023'!$AE$2:$AE$10000,0),3),"")</f>
        <v>Y</v>
      </c>
      <c r="AD3056" s="20">
        <f t="shared" si="142"/>
        <v>4.9678560224179338E-2</v>
      </c>
      <c r="AE3056" s="25">
        <f t="shared" si="143"/>
        <v>0.69902144013698631</v>
      </c>
    </row>
    <row r="3057" spans="1:31" x14ac:dyDescent="0.2">
      <c r="A3057" s="1" t="s">
        <v>1426</v>
      </c>
      <c r="B3057" s="1" t="s">
        <v>6906</v>
      </c>
      <c r="C3057" s="1">
        <v>55486</v>
      </c>
      <c r="D3057" s="1" t="s">
        <v>6907</v>
      </c>
      <c r="F3057" s="1">
        <v>2023</v>
      </c>
      <c r="G3057" s="5">
        <v>1104</v>
      </c>
      <c r="H3057" s="5">
        <v>1029.32</v>
      </c>
      <c r="I3057" s="5">
        <v>171010.75</v>
      </c>
      <c r="K3057" s="5">
        <v>0.46300000000000002</v>
      </c>
      <c r="L3057" s="5">
        <v>1E-3</v>
      </c>
      <c r="M3057" s="5">
        <v>91783.77</v>
      </c>
      <c r="N3057" s="6">
        <v>5.8999999999999997E-2</v>
      </c>
      <c r="O3057" s="5">
        <v>20.632000000000001</v>
      </c>
      <c r="P3057" s="6">
        <v>2.6200000000000001E-2</v>
      </c>
      <c r="Q3057" s="5">
        <v>1544437.9609999999</v>
      </c>
      <c r="R3057" s="1" t="s">
        <v>44</v>
      </c>
      <c r="T3057" s="1" t="s">
        <v>93</v>
      </c>
      <c r="V3057" s="1" t="s">
        <v>140</v>
      </c>
      <c r="Y3057" s="1" t="s">
        <v>1428</v>
      </c>
      <c r="Z3057" s="1" t="str">
        <f t="shared" si="141"/>
        <v>55486 CTG01</v>
      </c>
      <c r="AA3057" s="3">
        <f>IF(INDEX('CAMD Facility Data 2023'!$AA$2:$AE$10000,MATCH(Z3057,'CAMD Facility Data 2023'!$AE$2:$AE$10000,0),1)&gt;0,INDEX('CAMD Facility Data 2023'!$AA$2:$AE$10000,MATCH(Z3057,'CAMD Facility Data 2023'!$AE$2:$AE$10000,0),1),"")</f>
        <v>44093</v>
      </c>
      <c r="AB3057" s="5">
        <f>IF(INDEX('CAMD Facility Data 2023'!$AC$2:$AE$10000,MATCH(Z3057,'CAMD Facility Data 2023'!$AE$2:$AE$10000,0),1)&gt;0,INDEX('CAMD Facility Data 2023'!$AC$2:$AE$10000,MATCH(Z3057,'CAMD Facility Data 2023'!$AE$2:$AE$10000,0),1),"")</f>
        <v>2201</v>
      </c>
      <c r="AC3057" s="1" t="str">
        <f>IF(INDEX('CAMD Facility Data 2023'!$AE$2:$AG$10000,MATCH(Z3057,'CAMD Facility Data 2023'!$AE$2:$AE$10000,0),3)&gt;0,INDEX('CAMD Facility Data 2023'!$AE$2:$AG$10000,MATCH(Z3057,'CAMD Facility Data 2023'!$AE$2:$AE$10000,0),3),"")</f>
        <v/>
      </c>
      <c r="AD3057" s="20">
        <f t="shared" si="142"/>
        <v>0.24129477240465877</v>
      </c>
      <c r="AE3057" s="25">
        <f t="shared" si="143"/>
        <v>8.0102545802136424E-2</v>
      </c>
    </row>
    <row r="3058" spans="1:31" x14ac:dyDescent="0.2">
      <c r="A3058" s="1" t="s">
        <v>1426</v>
      </c>
      <c r="B3058" s="1" t="s">
        <v>6906</v>
      </c>
      <c r="C3058" s="1">
        <v>55486</v>
      </c>
      <c r="D3058" s="1" t="s">
        <v>6911</v>
      </c>
      <c r="F3058" s="1">
        <v>2023</v>
      </c>
      <c r="G3058" s="5">
        <v>1159</v>
      </c>
      <c r="H3058" s="5">
        <v>1086.68</v>
      </c>
      <c r="I3058" s="5">
        <v>178291.55</v>
      </c>
      <c r="K3058" s="5">
        <v>0.47899999999999998</v>
      </c>
      <c r="L3058" s="5">
        <v>1E-3</v>
      </c>
      <c r="M3058" s="5">
        <v>94868.784</v>
      </c>
      <c r="N3058" s="6">
        <v>5.8999999999999997E-2</v>
      </c>
      <c r="O3058" s="5">
        <v>21.263000000000002</v>
      </c>
      <c r="P3058" s="6">
        <v>2.7699999999999999E-2</v>
      </c>
      <c r="Q3058" s="5">
        <v>1596366.0090000001</v>
      </c>
      <c r="R3058" s="1" t="s">
        <v>44</v>
      </c>
      <c r="T3058" s="1" t="s">
        <v>93</v>
      </c>
      <c r="V3058" s="1" t="s">
        <v>140</v>
      </c>
      <c r="Y3058" s="1" t="s">
        <v>1428</v>
      </c>
      <c r="Z3058" s="1" t="str">
        <f t="shared" si="141"/>
        <v>55486 CTG02</v>
      </c>
      <c r="AA3058" s="3">
        <f>IF(INDEX('CAMD Facility Data 2023'!$AA$2:$AE$10000,MATCH(Z3058,'CAMD Facility Data 2023'!$AE$2:$AE$10000,0),1)&gt;0,INDEX('CAMD Facility Data 2023'!$AA$2:$AE$10000,MATCH(Z3058,'CAMD Facility Data 2023'!$AE$2:$AE$10000,0),1),"")</f>
        <v>44105</v>
      </c>
      <c r="AB3058" s="5">
        <f>IF(INDEX('CAMD Facility Data 2023'!$AC$2:$AE$10000,MATCH(Z3058,'CAMD Facility Data 2023'!$AE$2:$AE$10000,0),1)&gt;0,INDEX('CAMD Facility Data 2023'!$AC$2:$AE$10000,MATCH(Z3058,'CAMD Facility Data 2023'!$AE$2:$AE$10000,0),1),"")</f>
        <v>2201</v>
      </c>
      <c r="AC3058" s="1" t="str">
        <f>IF(INDEX('CAMD Facility Data 2023'!$AE$2:$AG$10000,MATCH(Z3058,'CAMD Facility Data 2023'!$AE$2:$AE$10000,0),3)&gt;0,INDEX('CAMD Facility Data 2023'!$AE$2:$AG$10000,MATCH(Z3058,'CAMD Facility Data 2023'!$AE$2:$AE$10000,0),3),"")</f>
        <v/>
      </c>
      <c r="AD3058" s="20">
        <f t="shared" si="142"/>
        <v>0.23851943628287489</v>
      </c>
      <c r="AE3058" s="25">
        <f t="shared" si="143"/>
        <v>8.2795803121868641E-2</v>
      </c>
    </row>
    <row r="3059" spans="1:31" x14ac:dyDescent="0.2">
      <c r="A3059" s="1" t="s">
        <v>458</v>
      </c>
      <c r="B3059" s="1" t="s">
        <v>6913</v>
      </c>
      <c r="C3059" s="1">
        <v>55496</v>
      </c>
      <c r="D3059" s="1" t="s">
        <v>6763</v>
      </c>
      <c r="F3059" s="1">
        <v>2023</v>
      </c>
      <c r="G3059" s="5">
        <v>28</v>
      </c>
      <c r="H3059" s="5">
        <v>22.46</v>
      </c>
      <c r="I3059" s="5">
        <v>1131.08</v>
      </c>
      <c r="K3059" s="5">
        <v>4.0000000000000001E-3</v>
      </c>
      <c r="L3059" s="5">
        <v>1E-3</v>
      </c>
      <c r="M3059" s="5">
        <v>813.24</v>
      </c>
      <c r="N3059" s="6">
        <v>5.9900000000000002E-2</v>
      </c>
      <c r="O3059" s="5">
        <v>0.183</v>
      </c>
      <c r="P3059" s="6">
        <v>2.5999999999999999E-2</v>
      </c>
      <c r="Q3059" s="5">
        <v>13682.627</v>
      </c>
      <c r="R3059" s="1" t="s">
        <v>44</v>
      </c>
      <c r="T3059" s="1" t="s">
        <v>93</v>
      </c>
      <c r="V3059" s="1" t="s">
        <v>140</v>
      </c>
      <c r="Y3059" s="1" t="s">
        <v>461</v>
      </c>
      <c r="Z3059" s="1" t="str">
        <f t="shared" si="141"/>
        <v>55496 CT-01</v>
      </c>
      <c r="AA3059" s="3">
        <f>IF(INDEX('CAMD Facility Data 2023'!$AA$2:$AE$10000,MATCH(Z3059,'CAMD Facility Data 2023'!$AE$2:$AE$10000,0),1)&gt;0,INDEX('CAMD Facility Data 2023'!$AA$2:$AE$10000,MATCH(Z3059,'CAMD Facility Data 2023'!$AE$2:$AE$10000,0),1),"")</f>
        <v>37636</v>
      </c>
      <c r="AB3059" s="5">
        <f>IF(INDEX('CAMD Facility Data 2023'!$AC$2:$AE$10000,MATCH(Z3059,'CAMD Facility Data 2023'!$AE$2:$AE$10000,0),1)&gt;0,INDEX('CAMD Facility Data 2023'!$AC$2:$AE$10000,MATCH(Z3059,'CAMD Facility Data 2023'!$AE$2:$AE$10000,0),1),"")</f>
        <v>1082</v>
      </c>
      <c r="AC3059" s="1" t="str">
        <f>IF(INDEX('CAMD Facility Data 2023'!$AE$2:$AG$10000,MATCH(Z3059,'CAMD Facility Data 2023'!$AE$2:$AE$10000,0),3)&gt;0,INDEX('CAMD Facility Data 2023'!$AE$2:$AG$10000,MATCH(Z3059,'CAMD Facility Data 2023'!$AE$2:$AE$10000,0),3),"")</f>
        <v/>
      </c>
      <c r="AD3059" s="20">
        <f t="shared" si="142"/>
        <v>0.32358453867100473</v>
      </c>
      <c r="AE3059" s="25">
        <f t="shared" si="143"/>
        <v>1.4435709070805796E-3</v>
      </c>
    </row>
    <row r="3060" spans="1:31" x14ac:dyDescent="0.2">
      <c r="A3060" s="1" t="s">
        <v>458</v>
      </c>
      <c r="B3060" s="1" t="s">
        <v>6913</v>
      </c>
      <c r="C3060" s="1">
        <v>55496</v>
      </c>
      <c r="D3060" s="1" t="s">
        <v>6766</v>
      </c>
      <c r="F3060" s="1">
        <v>2023</v>
      </c>
      <c r="G3060" s="5">
        <v>35</v>
      </c>
      <c r="H3060" s="5">
        <v>28.61</v>
      </c>
      <c r="I3060" s="5">
        <v>1438.9</v>
      </c>
      <c r="K3060" s="5">
        <v>5.0000000000000001E-3</v>
      </c>
      <c r="L3060" s="5">
        <v>8.9999999999999998E-4</v>
      </c>
      <c r="M3060" s="5">
        <v>1050.075</v>
      </c>
      <c r="N3060" s="6">
        <v>6.1400000000000003E-2</v>
      </c>
      <c r="O3060" s="5">
        <v>0.17</v>
      </c>
      <c r="P3060" s="6">
        <v>1.9199999999999998E-2</v>
      </c>
      <c r="Q3060" s="5">
        <v>17669.927</v>
      </c>
      <c r="R3060" s="1" t="s">
        <v>44</v>
      </c>
      <c r="T3060" s="1" t="s">
        <v>93</v>
      </c>
      <c r="V3060" s="1" t="s">
        <v>140</v>
      </c>
      <c r="Y3060" s="1" t="s">
        <v>461</v>
      </c>
      <c r="Z3060" s="1" t="str">
        <f t="shared" si="141"/>
        <v>55496 CT-02</v>
      </c>
      <c r="AA3060" s="3">
        <f>IF(INDEX('CAMD Facility Data 2023'!$AA$2:$AE$10000,MATCH(Z3060,'CAMD Facility Data 2023'!$AE$2:$AE$10000,0),1)&gt;0,INDEX('CAMD Facility Data 2023'!$AA$2:$AE$10000,MATCH(Z3060,'CAMD Facility Data 2023'!$AE$2:$AE$10000,0),1),"")</f>
        <v>37622</v>
      </c>
      <c r="AB3060" s="5">
        <f>IF(INDEX('CAMD Facility Data 2023'!$AC$2:$AE$10000,MATCH(Z3060,'CAMD Facility Data 2023'!$AE$2:$AE$10000,0),1)&gt;0,INDEX('CAMD Facility Data 2023'!$AC$2:$AE$10000,MATCH(Z3060,'CAMD Facility Data 2023'!$AE$2:$AE$10000,0),1),"")</f>
        <v>1082</v>
      </c>
      <c r="AC3060" s="1" t="str">
        <f>IF(INDEX('CAMD Facility Data 2023'!$AE$2:$AG$10000,MATCH(Z3060,'CAMD Facility Data 2023'!$AE$2:$AE$10000,0),3)&gt;0,INDEX('CAMD Facility Data 2023'!$AE$2:$AG$10000,MATCH(Z3060,'CAMD Facility Data 2023'!$AE$2:$AE$10000,0),3),"")</f>
        <v/>
      </c>
      <c r="AD3060" s="20">
        <f t="shared" si="142"/>
        <v>0.23629161164778648</v>
      </c>
      <c r="AE3060" s="25">
        <f t="shared" si="143"/>
        <v>1.8642467230479663E-3</v>
      </c>
    </row>
    <row r="3061" spans="1:31" x14ac:dyDescent="0.2">
      <c r="A3061" s="1" t="s">
        <v>458</v>
      </c>
      <c r="B3061" s="1" t="s">
        <v>6913</v>
      </c>
      <c r="C3061" s="1">
        <v>55496</v>
      </c>
      <c r="D3061" s="1" t="s">
        <v>6768</v>
      </c>
      <c r="F3061" s="1">
        <v>2023</v>
      </c>
      <c r="G3061" s="5">
        <v>31</v>
      </c>
      <c r="H3061" s="5">
        <v>24.43</v>
      </c>
      <c r="I3061" s="5">
        <v>1208.25</v>
      </c>
      <c r="K3061" s="5">
        <v>4.0000000000000001E-3</v>
      </c>
      <c r="L3061" s="5">
        <v>8.9999999999999998E-4</v>
      </c>
      <c r="M3061" s="5">
        <v>874.80499999999995</v>
      </c>
      <c r="N3061" s="6">
        <v>6.1800000000000001E-2</v>
      </c>
      <c r="O3061" s="5">
        <v>0.16200000000000001</v>
      </c>
      <c r="P3061" s="6">
        <v>2.1600000000000001E-2</v>
      </c>
      <c r="Q3061" s="5">
        <v>14722.074000000001</v>
      </c>
      <c r="R3061" s="1" t="s">
        <v>44</v>
      </c>
      <c r="T3061" s="1" t="s">
        <v>93</v>
      </c>
      <c r="V3061" s="1" t="s">
        <v>140</v>
      </c>
      <c r="Y3061" s="1" t="s">
        <v>461</v>
      </c>
      <c r="Z3061" s="1" t="str">
        <f t="shared" si="141"/>
        <v>55496 CT-03</v>
      </c>
      <c r="AA3061" s="3">
        <f>IF(INDEX('CAMD Facility Data 2023'!$AA$2:$AE$10000,MATCH(Z3061,'CAMD Facility Data 2023'!$AE$2:$AE$10000,0),1)&gt;0,INDEX('CAMD Facility Data 2023'!$AA$2:$AE$10000,MATCH(Z3061,'CAMD Facility Data 2023'!$AE$2:$AE$10000,0),1),"")</f>
        <v>37653</v>
      </c>
      <c r="AB3061" s="5">
        <f>IF(INDEX('CAMD Facility Data 2023'!$AC$2:$AE$10000,MATCH(Z3061,'CAMD Facility Data 2023'!$AE$2:$AE$10000,0),1)&gt;0,INDEX('CAMD Facility Data 2023'!$AC$2:$AE$10000,MATCH(Z3061,'CAMD Facility Data 2023'!$AE$2:$AE$10000,0),1),"")</f>
        <v>1082</v>
      </c>
      <c r="AC3061" s="1" t="str">
        <f>IF(INDEX('CAMD Facility Data 2023'!$AE$2:$AG$10000,MATCH(Z3061,'CAMD Facility Data 2023'!$AE$2:$AE$10000,0),3)&gt;0,INDEX('CAMD Facility Data 2023'!$AE$2:$AG$10000,MATCH(Z3061,'CAMD Facility Data 2023'!$AE$2:$AE$10000,0),3),"")</f>
        <v/>
      </c>
      <c r="AD3061" s="20">
        <f t="shared" si="142"/>
        <v>0.26815642458100558</v>
      </c>
      <c r="AE3061" s="25">
        <f t="shared" si="143"/>
        <v>1.5532366495328287E-3</v>
      </c>
    </row>
    <row r="3062" spans="1:31" x14ac:dyDescent="0.2">
      <c r="A3062" s="1" t="s">
        <v>458</v>
      </c>
      <c r="B3062" s="1" t="s">
        <v>6913</v>
      </c>
      <c r="C3062" s="1">
        <v>55496</v>
      </c>
      <c r="D3062" s="1" t="s">
        <v>6770</v>
      </c>
      <c r="F3062" s="1">
        <v>2023</v>
      </c>
      <c r="G3062" s="5">
        <v>29</v>
      </c>
      <c r="H3062" s="5">
        <v>24.42</v>
      </c>
      <c r="I3062" s="5">
        <v>1268.53</v>
      </c>
      <c r="K3062" s="5">
        <v>5.0000000000000001E-3</v>
      </c>
      <c r="L3062" s="5">
        <v>1E-3</v>
      </c>
      <c r="M3062" s="5">
        <v>912.39300000000003</v>
      </c>
      <c r="N3062" s="6">
        <v>5.9200000000000003E-2</v>
      </c>
      <c r="O3062" s="5">
        <v>0.182</v>
      </c>
      <c r="P3062" s="6">
        <v>2.3400000000000001E-2</v>
      </c>
      <c r="Q3062" s="5">
        <v>15349.489</v>
      </c>
      <c r="R3062" s="1" t="s">
        <v>44</v>
      </c>
      <c r="T3062" s="1" t="s">
        <v>93</v>
      </c>
      <c r="V3062" s="1" t="s">
        <v>140</v>
      </c>
      <c r="Y3062" s="1" t="s">
        <v>461</v>
      </c>
      <c r="Z3062" s="1" t="str">
        <f t="shared" si="141"/>
        <v>55496 CT-04</v>
      </c>
      <c r="AA3062" s="3">
        <f>IF(INDEX('CAMD Facility Data 2023'!$AA$2:$AE$10000,MATCH(Z3062,'CAMD Facility Data 2023'!$AE$2:$AE$10000,0),1)&gt;0,INDEX('CAMD Facility Data 2023'!$AA$2:$AE$10000,MATCH(Z3062,'CAMD Facility Data 2023'!$AE$2:$AE$10000,0),1),"")</f>
        <v>37653</v>
      </c>
      <c r="AB3062" s="5">
        <f>IF(INDEX('CAMD Facility Data 2023'!$AC$2:$AE$10000,MATCH(Z3062,'CAMD Facility Data 2023'!$AE$2:$AE$10000,0),1)&gt;0,INDEX('CAMD Facility Data 2023'!$AC$2:$AE$10000,MATCH(Z3062,'CAMD Facility Data 2023'!$AE$2:$AE$10000,0),1),"")</f>
        <v>1082</v>
      </c>
      <c r="AC3062" s="1" t="str">
        <f>IF(INDEX('CAMD Facility Data 2023'!$AE$2:$AG$10000,MATCH(Z3062,'CAMD Facility Data 2023'!$AE$2:$AE$10000,0),3)&gt;0,INDEX('CAMD Facility Data 2023'!$AE$2:$AG$10000,MATCH(Z3062,'CAMD Facility Data 2023'!$AE$2:$AE$10000,0),3),"")</f>
        <v/>
      </c>
      <c r="AD3062" s="20">
        <f t="shared" si="142"/>
        <v>0.2869463079312275</v>
      </c>
      <c r="AE3062" s="25">
        <f t="shared" si="143"/>
        <v>1.6194313971252289E-3</v>
      </c>
    </row>
    <row r="3063" spans="1:31" x14ac:dyDescent="0.2">
      <c r="A3063" s="1" t="s">
        <v>458</v>
      </c>
      <c r="B3063" s="1" t="s">
        <v>6913</v>
      </c>
      <c r="C3063" s="1">
        <v>55496</v>
      </c>
      <c r="D3063" s="1" t="s">
        <v>6916</v>
      </c>
      <c r="F3063" s="1">
        <v>2023</v>
      </c>
      <c r="G3063" s="5">
        <v>10</v>
      </c>
      <c r="H3063" s="5">
        <v>9.19</v>
      </c>
      <c r="I3063" s="5">
        <v>560.12</v>
      </c>
      <c r="K3063" s="5">
        <v>2E-3</v>
      </c>
      <c r="L3063" s="5">
        <v>1E-3</v>
      </c>
      <c r="M3063" s="5">
        <v>386.06400000000002</v>
      </c>
      <c r="N3063" s="6">
        <v>5.8999999999999997E-2</v>
      </c>
      <c r="O3063" s="5">
        <v>9.7000000000000003E-2</v>
      </c>
      <c r="P3063" s="6">
        <v>2.8899999999999999E-2</v>
      </c>
      <c r="Q3063" s="5">
        <v>6497.9179999999997</v>
      </c>
      <c r="R3063" s="1" t="s">
        <v>44</v>
      </c>
      <c r="T3063" s="1" t="s">
        <v>93</v>
      </c>
      <c r="V3063" s="1" t="s">
        <v>140</v>
      </c>
      <c r="Y3063" s="1" t="s">
        <v>461</v>
      </c>
      <c r="Z3063" s="1" t="str">
        <f t="shared" si="141"/>
        <v>55496 CT-05</v>
      </c>
      <c r="AA3063" s="3">
        <f>IF(INDEX('CAMD Facility Data 2023'!$AA$2:$AE$10000,MATCH(Z3063,'CAMD Facility Data 2023'!$AE$2:$AE$10000,0),1)&gt;0,INDEX('CAMD Facility Data 2023'!$AA$2:$AE$10000,MATCH(Z3063,'CAMD Facility Data 2023'!$AE$2:$AE$10000,0),1),"")</f>
        <v>37691</v>
      </c>
      <c r="AB3063" s="5">
        <f>IF(INDEX('CAMD Facility Data 2023'!$AC$2:$AE$10000,MATCH(Z3063,'CAMD Facility Data 2023'!$AE$2:$AE$10000,0),1)&gt;0,INDEX('CAMD Facility Data 2023'!$AC$2:$AE$10000,MATCH(Z3063,'CAMD Facility Data 2023'!$AE$2:$AE$10000,0),1),"")</f>
        <v>1082</v>
      </c>
      <c r="AC3063" s="1" t="str">
        <f>IF(INDEX('CAMD Facility Data 2023'!$AE$2:$AG$10000,MATCH(Z3063,'CAMD Facility Data 2023'!$AE$2:$AE$10000,0),3)&gt;0,INDEX('CAMD Facility Data 2023'!$AE$2:$AG$10000,MATCH(Z3063,'CAMD Facility Data 2023'!$AE$2:$AE$10000,0),3),"")</f>
        <v/>
      </c>
      <c r="AD3063" s="20">
        <f t="shared" si="142"/>
        <v>0.34635435263872028</v>
      </c>
      <c r="AE3063" s="25">
        <f t="shared" si="143"/>
        <v>6.8555587910093768E-4</v>
      </c>
    </row>
    <row r="3064" spans="1:31" x14ac:dyDescent="0.2">
      <c r="A3064" s="1" t="s">
        <v>458</v>
      </c>
      <c r="B3064" s="1" t="s">
        <v>6913</v>
      </c>
      <c r="C3064" s="1">
        <v>55496</v>
      </c>
      <c r="D3064" s="1" t="s">
        <v>6918</v>
      </c>
      <c r="F3064" s="1">
        <v>2023</v>
      </c>
      <c r="G3064" s="5">
        <v>11</v>
      </c>
      <c r="H3064" s="5">
        <v>8.6199999999999992</v>
      </c>
      <c r="I3064" s="5">
        <v>433.86</v>
      </c>
      <c r="K3064" s="5">
        <v>2E-3</v>
      </c>
      <c r="L3064" s="5">
        <v>1E-3</v>
      </c>
      <c r="M3064" s="5">
        <v>306.88200000000001</v>
      </c>
      <c r="N3064" s="6">
        <v>5.91E-2</v>
      </c>
      <c r="O3064" s="5">
        <v>6.0999999999999999E-2</v>
      </c>
      <c r="P3064" s="6">
        <v>2.3400000000000001E-2</v>
      </c>
      <c r="Q3064" s="5">
        <v>5164.1130000000003</v>
      </c>
      <c r="R3064" s="1" t="s">
        <v>44</v>
      </c>
      <c r="T3064" s="1" t="s">
        <v>93</v>
      </c>
      <c r="V3064" s="1" t="s">
        <v>140</v>
      </c>
      <c r="Y3064" s="1" t="s">
        <v>461</v>
      </c>
      <c r="Z3064" s="1" t="str">
        <f t="shared" si="141"/>
        <v>55496 CT-06</v>
      </c>
      <c r="AA3064" s="3">
        <f>IF(INDEX('CAMD Facility Data 2023'!$AA$2:$AE$10000,MATCH(Z3064,'CAMD Facility Data 2023'!$AE$2:$AE$10000,0),1)&gt;0,INDEX('CAMD Facility Data 2023'!$AA$2:$AE$10000,MATCH(Z3064,'CAMD Facility Data 2023'!$AE$2:$AE$10000,0),1),"")</f>
        <v>37706</v>
      </c>
      <c r="AB3064" s="5">
        <f>IF(INDEX('CAMD Facility Data 2023'!$AC$2:$AE$10000,MATCH(Z3064,'CAMD Facility Data 2023'!$AE$2:$AE$10000,0),1)&gt;0,INDEX('CAMD Facility Data 2023'!$AC$2:$AE$10000,MATCH(Z3064,'CAMD Facility Data 2023'!$AE$2:$AE$10000,0),1),"")</f>
        <v>1082</v>
      </c>
      <c r="AC3064" s="1" t="str">
        <f>IF(INDEX('CAMD Facility Data 2023'!$AE$2:$AG$10000,MATCH(Z3064,'CAMD Facility Data 2023'!$AE$2:$AE$10000,0),3)&gt;0,INDEX('CAMD Facility Data 2023'!$AE$2:$AG$10000,MATCH(Z3064,'CAMD Facility Data 2023'!$AE$2:$AE$10000,0),3),"")</f>
        <v/>
      </c>
      <c r="AD3064" s="20">
        <f t="shared" si="142"/>
        <v>0.28119669939611858</v>
      </c>
      <c r="AE3064" s="25">
        <f t="shared" si="143"/>
        <v>5.4483421112602238E-4</v>
      </c>
    </row>
    <row r="3065" spans="1:31" x14ac:dyDescent="0.2">
      <c r="A3065" s="1" t="s">
        <v>370</v>
      </c>
      <c r="B3065" s="1" t="s">
        <v>6920</v>
      </c>
      <c r="C3065" s="1">
        <v>55499</v>
      </c>
      <c r="D3065" s="1" t="s">
        <v>1155</v>
      </c>
      <c r="F3065" s="1">
        <v>2023</v>
      </c>
      <c r="G3065" s="5">
        <v>295</v>
      </c>
      <c r="H3065" s="5">
        <v>184.43</v>
      </c>
      <c r="I3065" s="5">
        <v>7382.72</v>
      </c>
      <c r="K3065" s="5">
        <v>2.4E-2</v>
      </c>
      <c r="L3065" s="5">
        <v>1E-3</v>
      </c>
      <c r="M3065" s="5">
        <v>4673.9769999999999</v>
      </c>
      <c r="N3065" s="6">
        <v>5.8000000000000003E-2</v>
      </c>
      <c r="O3065" s="5">
        <v>0.57999999999999996</v>
      </c>
      <c r="P3065" s="6">
        <v>0.02</v>
      </c>
      <c r="Q3065" s="5">
        <v>80265.104000000007</v>
      </c>
      <c r="R3065" s="1" t="s">
        <v>44</v>
      </c>
      <c r="T3065" s="1" t="s">
        <v>93</v>
      </c>
      <c r="V3065" s="1" t="s">
        <v>442</v>
      </c>
      <c r="Y3065" s="1" t="s">
        <v>247</v>
      </c>
      <c r="Z3065" s="1" t="str">
        <f t="shared" si="141"/>
        <v>55499 GT-1</v>
      </c>
      <c r="AA3065" s="3">
        <f>IF(INDEX('CAMD Facility Data 2023'!$AA$2:$AE$10000,MATCH(Z3065,'CAMD Facility Data 2023'!$AE$2:$AE$10000,0),1)&gt;0,INDEX('CAMD Facility Data 2023'!$AA$2:$AE$10000,MATCH(Z3065,'CAMD Facility Data 2023'!$AE$2:$AE$10000,0),1),"")</f>
        <v>37227</v>
      </c>
      <c r="AB3065" s="5">
        <f>IF(INDEX('CAMD Facility Data 2023'!$AC$2:$AE$10000,MATCH(Z3065,'CAMD Facility Data 2023'!$AE$2:$AE$10000,0),1)&gt;0,INDEX('CAMD Facility Data 2023'!$AC$2:$AE$10000,MATCH(Z3065,'CAMD Facility Data 2023'!$AE$2:$AE$10000,0),1),"")</f>
        <v>600</v>
      </c>
      <c r="AC3065" s="1" t="str">
        <f>IF(INDEX('CAMD Facility Data 2023'!$AE$2:$AG$10000,MATCH(Z3065,'CAMD Facility Data 2023'!$AE$2:$AE$10000,0),3)&gt;0,INDEX('CAMD Facility Data 2023'!$AE$2:$AG$10000,MATCH(Z3065,'CAMD Facility Data 2023'!$AE$2:$AE$10000,0),3),"")</f>
        <v>Y</v>
      </c>
      <c r="AD3065" s="20">
        <f t="shared" si="142"/>
        <v>0.15712366173984654</v>
      </c>
      <c r="AE3065" s="25">
        <f t="shared" si="143"/>
        <v>1.5271138508371387E-2</v>
      </c>
    </row>
    <row r="3066" spans="1:31" x14ac:dyDescent="0.2">
      <c r="A3066" s="1" t="s">
        <v>335</v>
      </c>
      <c r="B3066" s="1" t="s">
        <v>6925</v>
      </c>
      <c r="C3066" s="1">
        <v>55501</v>
      </c>
      <c r="D3066" s="1" t="s">
        <v>6794</v>
      </c>
      <c r="F3066" s="1">
        <v>2023</v>
      </c>
      <c r="G3066" s="5">
        <v>7229</v>
      </c>
      <c r="H3066" s="5">
        <v>7191.65</v>
      </c>
      <c r="I3066" s="5">
        <v>1688860.11</v>
      </c>
      <c r="K3066" s="5">
        <v>3.9319999999999999</v>
      </c>
      <c r="L3066" s="5">
        <v>1E-3</v>
      </c>
      <c r="M3066" s="5">
        <v>778815.14</v>
      </c>
      <c r="N3066" s="6">
        <v>5.8999999999999997E-2</v>
      </c>
      <c r="O3066" s="5">
        <v>217.572</v>
      </c>
      <c r="P3066" s="6">
        <v>3.4000000000000002E-2</v>
      </c>
      <c r="Q3066" s="5">
        <v>13105032.85</v>
      </c>
      <c r="R3066" s="1" t="s">
        <v>44</v>
      </c>
      <c r="T3066" s="1" t="s">
        <v>71</v>
      </c>
      <c r="V3066" s="1" t="s">
        <v>140</v>
      </c>
      <c r="Y3066" s="1" t="s">
        <v>346</v>
      </c>
      <c r="Z3066" s="1" t="str">
        <f t="shared" si="141"/>
        <v>55501 CTGDB1</v>
      </c>
      <c r="AA3066" s="3">
        <f>IF(INDEX('CAMD Facility Data 2023'!$AA$2:$AE$10000,MATCH(Z3066,'CAMD Facility Data 2023'!$AE$2:$AE$10000,0),1)&gt;0,INDEX('CAMD Facility Data 2023'!$AA$2:$AE$10000,MATCH(Z3066,'CAMD Facility Data 2023'!$AE$2:$AE$10000,0),1),"")</f>
        <v>37583</v>
      </c>
      <c r="AB3066" s="5">
        <f>IF(INDEX('CAMD Facility Data 2023'!$AC$2:$AE$10000,MATCH(Z3066,'CAMD Facility Data 2023'!$AE$2:$AE$10000,0),1)&gt;0,INDEX('CAMD Facility Data 2023'!$AC$2:$AE$10000,MATCH(Z3066,'CAMD Facility Data 2023'!$AE$2:$AE$10000,0),1),"")</f>
        <v>2685</v>
      </c>
      <c r="AC3066" s="1" t="str">
        <f>IF(INDEX('CAMD Facility Data 2023'!$AE$2:$AG$10000,MATCH(Z3066,'CAMD Facility Data 2023'!$AE$2:$AE$10000,0),3)&gt;0,INDEX('CAMD Facility Data 2023'!$AE$2:$AG$10000,MATCH(Z3066,'CAMD Facility Data 2023'!$AE$2:$AE$10000,0),3),"")</f>
        <v/>
      </c>
      <c r="AD3066" s="20">
        <f t="shared" si="142"/>
        <v>0.25765544311423161</v>
      </c>
      <c r="AE3066" s="25">
        <f t="shared" si="143"/>
        <v>0.55717255724768922</v>
      </c>
    </row>
    <row r="3067" spans="1:31" x14ac:dyDescent="0.2">
      <c r="A3067" s="1" t="s">
        <v>335</v>
      </c>
      <c r="B3067" s="1" t="s">
        <v>6925</v>
      </c>
      <c r="C3067" s="1">
        <v>55501</v>
      </c>
      <c r="D3067" s="1" t="s">
        <v>6799</v>
      </c>
      <c r="F3067" s="1">
        <v>2023</v>
      </c>
      <c r="G3067" s="5">
        <v>7262</v>
      </c>
      <c r="H3067" s="5">
        <v>7231.92</v>
      </c>
      <c r="I3067" s="5">
        <v>1707825.58</v>
      </c>
      <c r="K3067" s="5">
        <v>3.97</v>
      </c>
      <c r="L3067" s="5">
        <v>1E-3</v>
      </c>
      <c r="M3067" s="5">
        <v>786475.71799999999</v>
      </c>
      <c r="N3067" s="6">
        <v>5.8999999999999997E-2</v>
      </c>
      <c r="O3067" s="5">
        <v>236.60400000000001</v>
      </c>
      <c r="P3067" s="6">
        <v>3.6200000000000003E-2</v>
      </c>
      <c r="Q3067" s="5">
        <v>13233948.282</v>
      </c>
      <c r="R3067" s="1" t="s">
        <v>44</v>
      </c>
      <c r="T3067" s="1" t="s">
        <v>71</v>
      </c>
      <c r="V3067" s="1" t="s">
        <v>140</v>
      </c>
      <c r="Y3067" s="1" t="s">
        <v>346</v>
      </c>
      <c r="Z3067" s="1" t="str">
        <f t="shared" si="141"/>
        <v>55501 CTGDB2</v>
      </c>
      <c r="AA3067" s="3">
        <f>IF(INDEX('CAMD Facility Data 2023'!$AA$2:$AE$10000,MATCH(Z3067,'CAMD Facility Data 2023'!$AE$2:$AE$10000,0),1)&gt;0,INDEX('CAMD Facility Data 2023'!$AA$2:$AE$10000,MATCH(Z3067,'CAMD Facility Data 2023'!$AE$2:$AE$10000,0),1),"")</f>
        <v>37598</v>
      </c>
      <c r="AB3067" s="5">
        <f>IF(INDEX('CAMD Facility Data 2023'!$AC$2:$AE$10000,MATCH(Z3067,'CAMD Facility Data 2023'!$AE$2:$AE$10000,0),1)&gt;0,INDEX('CAMD Facility Data 2023'!$AC$2:$AE$10000,MATCH(Z3067,'CAMD Facility Data 2023'!$AE$2:$AE$10000,0),1),"")</f>
        <v>2685</v>
      </c>
      <c r="AC3067" s="1" t="str">
        <f>IF(INDEX('CAMD Facility Data 2023'!$AE$2:$AG$10000,MATCH(Z3067,'CAMD Facility Data 2023'!$AE$2:$AE$10000,0),3)&gt;0,INDEX('CAMD Facility Data 2023'!$AE$2:$AG$10000,MATCH(Z3067,'CAMD Facility Data 2023'!$AE$2:$AE$10000,0),3),"")</f>
        <v/>
      </c>
      <c r="AD3067" s="20">
        <f t="shared" si="142"/>
        <v>0.27708215964302396</v>
      </c>
      <c r="AE3067" s="25">
        <f t="shared" si="143"/>
        <v>0.56265351572663957</v>
      </c>
    </row>
    <row r="3068" spans="1:31" x14ac:dyDescent="0.2">
      <c r="A3068" s="1" t="s">
        <v>335</v>
      </c>
      <c r="B3068" s="1" t="s">
        <v>6925</v>
      </c>
      <c r="C3068" s="1">
        <v>55501</v>
      </c>
      <c r="D3068" s="1" t="s">
        <v>6801</v>
      </c>
      <c r="F3068" s="1">
        <v>2023</v>
      </c>
      <c r="G3068" s="5">
        <v>5351</v>
      </c>
      <c r="H3068" s="5">
        <v>5320.41</v>
      </c>
      <c r="I3068" s="5">
        <v>1280849.72</v>
      </c>
      <c r="K3068" s="5">
        <v>3.0489999999999999</v>
      </c>
      <c r="L3068" s="5">
        <v>1E-3</v>
      </c>
      <c r="M3068" s="5">
        <v>603910.228</v>
      </c>
      <c r="N3068" s="6">
        <v>5.8999999999999997E-2</v>
      </c>
      <c r="O3068" s="5">
        <v>176.679</v>
      </c>
      <c r="P3068" s="6">
        <v>3.6299999999999999E-2</v>
      </c>
      <c r="Q3068" s="5">
        <v>10161970.647</v>
      </c>
      <c r="R3068" s="1" t="s">
        <v>44</v>
      </c>
      <c r="T3068" s="1" t="s">
        <v>71</v>
      </c>
      <c r="V3068" s="1" t="s">
        <v>140</v>
      </c>
      <c r="Y3068" s="1" t="s">
        <v>346</v>
      </c>
      <c r="Z3068" s="1" t="str">
        <f t="shared" si="141"/>
        <v>55501 CTGDB3</v>
      </c>
      <c r="AA3068" s="3">
        <f>IF(INDEX('CAMD Facility Data 2023'!$AA$2:$AE$10000,MATCH(Z3068,'CAMD Facility Data 2023'!$AE$2:$AE$10000,0),1)&gt;0,INDEX('CAMD Facility Data 2023'!$AA$2:$AE$10000,MATCH(Z3068,'CAMD Facility Data 2023'!$AE$2:$AE$10000,0),1),"")</f>
        <v>37627</v>
      </c>
      <c r="AB3068" s="5">
        <f>IF(INDEX('CAMD Facility Data 2023'!$AC$2:$AE$10000,MATCH(Z3068,'CAMD Facility Data 2023'!$AE$2:$AE$10000,0),1)&gt;0,INDEX('CAMD Facility Data 2023'!$AC$2:$AE$10000,MATCH(Z3068,'CAMD Facility Data 2023'!$AE$2:$AE$10000,0),1),"")</f>
        <v>2685</v>
      </c>
      <c r="AC3068" s="1" t="str">
        <f>IF(INDEX('CAMD Facility Data 2023'!$AE$2:$AG$10000,MATCH(Z3068,'CAMD Facility Data 2023'!$AE$2:$AE$10000,0),3)&gt;0,INDEX('CAMD Facility Data 2023'!$AE$2:$AG$10000,MATCH(Z3068,'CAMD Facility Data 2023'!$AE$2:$AE$10000,0),3),"")</f>
        <v/>
      </c>
      <c r="AD3068" s="20">
        <f t="shared" si="142"/>
        <v>0.27587779774820109</v>
      </c>
      <c r="AE3068" s="25">
        <f t="shared" si="143"/>
        <v>0.43204555355730723</v>
      </c>
    </row>
    <row r="3069" spans="1:31" x14ac:dyDescent="0.2">
      <c r="A3069" s="1" t="s">
        <v>335</v>
      </c>
      <c r="B3069" s="1" t="s">
        <v>6925</v>
      </c>
      <c r="C3069" s="1">
        <v>55501</v>
      </c>
      <c r="D3069" s="1" t="s">
        <v>6932</v>
      </c>
      <c r="F3069" s="1">
        <v>2023</v>
      </c>
      <c r="G3069" s="5">
        <v>2286</v>
      </c>
      <c r="H3069" s="5">
        <v>2270.5300000000002</v>
      </c>
      <c r="I3069" s="5">
        <v>545095.43000000005</v>
      </c>
      <c r="K3069" s="5">
        <v>1.2869999999999999</v>
      </c>
      <c r="L3069" s="5">
        <v>1E-3</v>
      </c>
      <c r="M3069" s="5">
        <v>255018.372</v>
      </c>
      <c r="N3069" s="6">
        <v>5.8999999999999997E-2</v>
      </c>
      <c r="O3069" s="5">
        <v>76.192999999999998</v>
      </c>
      <c r="P3069" s="6">
        <v>3.6400000000000002E-2</v>
      </c>
      <c r="Q3069" s="5">
        <v>4291171.4670000002</v>
      </c>
      <c r="R3069" s="1" t="s">
        <v>44</v>
      </c>
      <c r="T3069" s="1" t="s">
        <v>71</v>
      </c>
      <c r="V3069" s="1" t="s">
        <v>140</v>
      </c>
      <c r="Y3069" s="1" t="s">
        <v>346</v>
      </c>
      <c r="Z3069" s="1" t="str">
        <f t="shared" si="141"/>
        <v>55501 CTGDB4</v>
      </c>
      <c r="AA3069" s="3">
        <f>IF(INDEX('CAMD Facility Data 2023'!$AA$2:$AE$10000,MATCH(Z3069,'CAMD Facility Data 2023'!$AE$2:$AE$10000,0),1)&gt;0,INDEX('CAMD Facility Data 2023'!$AA$2:$AE$10000,MATCH(Z3069,'CAMD Facility Data 2023'!$AE$2:$AE$10000,0),1),"")</f>
        <v>37633</v>
      </c>
      <c r="AB3069" s="5">
        <f>IF(INDEX('CAMD Facility Data 2023'!$AC$2:$AE$10000,MATCH(Z3069,'CAMD Facility Data 2023'!$AE$2:$AE$10000,0),1)&gt;0,INDEX('CAMD Facility Data 2023'!$AC$2:$AE$10000,MATCH(Z3069,'CAMD Facility Data 2023'!$AE$2:$AE$10000,0),1),"")</f>
        <v>2685</v>
      </c>
      <c r="AC3069" s="1" t="str">
        <f>IF(INDEX('CAMD Facility Data 2023'!$AE$2:$AG$10000,MATCH(Z3069,'CAMD Facility Data 2023'!$AE$2:$AE$10000,0),3)&gt;0,INDEX('CAMD Facility Data 2023'!$AE$2:$AG$10000,MATCH(Z3069,'CAMD Facility Data 2023'!$AE$2:$AE$10000,0),3),"")</f>
        <v/>
      </c>
      <c r="AD3069" s="20">
        <f t="shared" si="142"/>
        <v>0.27955838851923598</v>
      </c>
      <c r="AE3069" s="25">
        <f t="shared" si="143"/>
        <v>0.18244311229305377</v>
      </c>
    </row>
    <row r="3070" spans="1:31" x14ac:dyDescent="0.2">
      <c r="A3070" s="1" t="s">
        <v>1071</v>
      </c>
      <c r="B3070" s="1" t="s">
        <v>6934</v>
      </c>
      <c r="C3070" s="1">
        <v>55502</v>
      </c>
      <c r="D3070" s="1">
        <v>1</v>
      </c>
      <c r="F3070" s="1">
        <v>2023</v>
      </c>
      <c r="G3070" s="5">
        <v>8230</v>
      </c>
      <c r="H3070" s="5">
        <v>8203.7900000000009</v>
      </c>
      <c r="I3070" s="5">
        <v>2223905.79</v>
      </c>
      <c r="K3070" s="5">
        <v>4.8470000000000004</v>
      </c>
      <c r="L3070" s="5">
        <v>1E-3</v>
      </c>
      <c r="M3070" s="5">
        <v>960143.54700000002</v>
      </c>
      <c r="N3070" s="6">
        <v>5.8999999999999997E-2</v>
      </c>
      <c r="O3070" s="5">
        <v>76.326999999999998</v>
      </c>
      <c r="P3070" s="6">
        <v>1.09E-2</v>
      </c>
      <c r="Q3070" s="5">
        <v>16156248.107999999</v>
      </c>
      <c r="R3070" s="1" t="s">
        <v>44</v>
      </c>
      <c r="T3070" s="1" t="s">
        <v>71</v>
      </c>
      <c r="V3070" s="1" t="s">
        <v>64</v>
      </c>
      <c r="Y3070" s="1" t="s">
        <v>461</v>
      </c>
      <c r="Z3070" s="1" t="str">
        <f t="shared" si="141"/>
        <v>55502 1</v>
      </c>
      <c r="AA3070" s="3">
        <f>IF(INDEX('CAMD Facility Data 2023'!$AA$2:$AE$10000,MATCH(Z3070,'CAMD Facility Data 2023'!$AE$2:$AE$10000,0),1)&gt;0,INDEX('CAMD Facility Data 2023'!$AA$2:$AE$10000,MATCH(Z3070,'CAMD Facility Data 2023'!$AE$2:$AE$10000,0),1),"")</f>
        <v>37870</v>
      </c>
      <c r="AB3070" s="5">
        <f>IF(INDEX('CAMD Facility Data 2023'!$AC$2:$AE$10000,MATCH(Z3070,'CAMD Facility Data 2023'!$AE$2:$AE$10000,0),1)&gt;0,INDEX('CAMD Facility Data 2023'!$AC$2:$AE$10000,MATCH(Z3070,'CAMD Facility Data 2023'!$AE$2:$AE$10000,0),1),"")</f>
        <v>2411</v>
      </c>
      <c r="AC3070" s="1" t="str">
        <f>IF(INDEX('CAMD Facility Data 2023'!$AE$2:$AG$10000,MATCH(Z3070,'CAMD Facility Data 2023'!$AE$2:$AE$10000,0),3)&gt;0,INDEX('CAMD Facility Data 2023'!$AE$2:$AG$10000,MATCH(Z3070,'CAMD Facility Data 2023'!$AE$2:$AE$10000,0),3),"")</f>
        <v>Y</v>
      </c>
      <c r="AD3070" s="20">
        <f t="shared" si="142"/>
        <v>6.864229621885197E-2</v>
      </c>
      <c r="AE3070" s="25">
        <f t="shared" si="143"/>
        <v>0.76496082964494916</v>
      </c>
    </row>
    <row r="3071" spans="1:31" x14ac:dyDescent="0.2">
      <c r="A3071" s="1" t="s">
        <v>1071</v>
      </c>
      <c r="B3071" s="1" t="s">
        <v>6934</v>
      </c>
      <c r="C3071" s="1">
        <v>55502</v>
      </c>
      <c r="D3071" s="1">
        <v>2</v>
      </c>
      <c r="F3071" s="1">
        <v>2023</v>
      </c>
      <c r="G3071" s="5">
        <v>8349</v>
      </c>
      <c r="H3071" s="5">
        <v>8332.23</v>
      </c>
      <c r="I3071" s="5">
        <v>2285806.5</v>
      </c>
      <c r="K3071" s="5">
        <v>4.9249999999999998</v>
      </c>
      <c r="L3071" s="5">
        <v>1E-3</v>
      </c>
      <c r="M3071" s="5">
        <v>975542.05900000001</v>
      </c>
      <c r="N3071" s="6">
        <v>5.8999999999999997E-2</v>
      </c>
      <c r="O3071" s="5">
        <v>74.906000000000006</v>
      </c>
      <c r="P3071" s="6">
        <v>9.7999999999999997E-3</v>
      </c>
      <c r="Q3071" s="5">
        <v>16415369.558</v>
      </c>
      <c r="R3071" s="1" t="s">
        <v>44</v>
      </c>
      <c r="T3071" s="1" t="s">
        <v>71</v>
      </c>
      <c r="V3071" s="1" t="s">
        <v>64</v>
      </c>
      <c r="Y3071" s="1" t="s">
        <v>461</v>
      </c>
      <c r="Z3071" s="1" t="str">
        <f t="shared" si="141"/>
        <v>55502 2</v>
      </c>
      <c r="AA3071" s="3">
        <f>IF(INDEX('CAMD Facility Data 2023'!$AA$2:$AE$10000,MATCH(Z3071,'CAMD Facility Data 2023'!$AE$2:$AE$10000,0),1)&gt;0,INDEX('CAMD Facility Data 2023'!$AA$2:$AE$10000,MATCH(Z3071,'CAMD Facility Data 2023'!$AE$2:$AE$10000,0),1),"")</f>
        <v>37869</v>
      </c>
      <c r="AB3071" s="5">
        <f>IF(INDEX('CAMD Facility Data 2023'!$AC$2:$AE$10000,MATCH(Z3071,'CAMD Facility Data 2023'!$AE$2:$AE$10000,0),1)&gt;0,INDEX('CAMD Facility Data 2023'!$AC$2:$AE$10000,MATCH(Z3071,'CAMD Facility Data 2023'!$AE$2:$AE$10000,0),1),"")</f>
        <v>2411</v>
      </c>
      <c r="AC3071" s="1" t="str">
        <f>IF(INDEX('CAMD Facility Data 2023'!$AE$2:$AG$10000,MATCH(Z3071,'CAMD Facility Data 2023'!$AE$2:$AE$10000,0),3)&gt;0,INDEX('CAMD Facility Data 2023'!$AE$2:$AG$10000,MATCH(Z3071,'CAMD Facility Data 2023'!$AE$2:$AE$10000,0),3),"")</f>
        <v>Y</v>
      </c>
      <c r="AD3071" s="20">
        <f t="shared" si="142"/>
        <v>6.5540105866353948E-2</v>
      </c>
      <c r="AE3071" s="25">
        <f t="shared" si="143"/>
        <v>0.77722962856693734</v>
      </c>
    </row>
    <row r="3072" spans="1:31" x14ac:dyDescent="0.2">
      <c r="A3072" s="1" t="s">
        <v>1071</v>
      </c>
      <c r="B3072" s="1" t="s">
        <v>6934</v>
      </c>
      <c r="C3072" s="1">
        <v>55502</v>
      </c>
      <c r="D3072" s="1">
        <v>3</v>
      </c>
      <c r="F3072" s="1">
        <v>2023</v>
      </c>
      <c r="G3072" s="5">
        <v>7858</v>
      </c>
      <c r="H3072" s="5">
        <v>7847.56</v>
      </c>
      <c r="I3072" s="5">
        <v>2157293.7000000002</v>
      </c>
      <c r="K3072" s="5">
        <v>4.6550000000000002</v>
      </c>
      <c r="L3072" s="5">
        <v>1E-3</v>
      </c>
      <c r="M3072" s="5">
        <v>922167.67299999995</v>
      </c>
      <c r="N3072" s="6">
        <v>5.8999999999999997E-2</v>
      </c>
      <c r="O3072" s="5">
        <v>70.286000000000001</v>
      </c>
      <c r="P3072" s="6">
        <v>9.4000000000000004E-3</v>
      </c>
      <c r="Q3072" s="5">
        <v>15517288.154999999</v>
      </c>
      <c r="R3072" s="1" t="s">
        <v>44</v>
      </c>
      <c r="T3072" s="1" t="s">
        <v>71</v>
      </c>
      <c r="V3072" s="1" t="s">
        <v>64</v>
      </c>
      <c r="Y3072" s="1" t="s">
        <v>461</v>
      </c>
      <c r="Z3072" s="1" t="str">
        <f t="shared" si="141"/>
        <v>55502 3</v>
      </c>
      <c r="AA3072" s="3">
        <f>IF(INDEX('CAMD Facility Data 2023'!$AA$2:$AE$10000,MATCH(Z3072,'CAMD Facility Data 2023'!$AE$2:$AE$10000,0),1)&gt;0,INDEX('CAMD Facility Data 2023'!$AA$2:$AE$10000,MATCH(Z3072,'CAMD Facility Data 2023'!$AE$2:$AE$10000,0),1),"")</f>
        <v>37907</v>
      </c>
      <c r="AB3072" s="5">
        <f>IF(INDEX('CAMD Facility Data 2023'!$AC$2:$AE$10000,MATCH(Z3072,'CAMD Facility Data 2023'!$AE$2:$AE$10000,0),1)&gt;0,INDEX('CAMD Facility Data 2023'!$AC$2:$AE$10000,MATCH(Z3072,'CAMD Facility Data 2023'!$AE$2:$AE$10000,0),1),"")</f>
        <v>2411</v>
      </c>
      <c r="AC3072" s="1" t="str">
        <f>IF(INDEX('CAMD Facility Data 2023'!$AE$2:$AG$10000,MATCH(Z3072,'CAMD Facility Data 2023'!$AE$2:$AE$10000,0),3)&gt;0,INDEX('CAMD Facility Data 2023'!$AE$2:$AG$10000,MATCH(Z3072,'CAMD Facility Data 2023'!$AE$2:$AE$10000,0),3),"")</f>
        <v>Y</v>
      </c>
      <c r="AD3072" s="20">
        <f t="shared" si="142"/>
        <v>6.5161271272428031E-2</v>
      </c>
      <c r="AE3072" s="25">
        <f t="shared" si="143"/>
        <v>0.7347075596722783</v>
      </c>
    </row>
    <row r="3073" spans="1:31" x14ac:dyDescent="0.2">
      <c r="A3073" s="1" t="s">
        <v>1071</v>
      </c>
      <c r="B3073" s="1" t="s">
        <v>6934</v>
      </c>
      <c r="C3073" s="1">
        <v>55502</v>
      </c>
      <c r="D3073" s="1">
        <v>4</v>
      </c>
      <c r="F3073" s="1">
        <v>2023</v>
      </c>
      <c r="G3073" s="5">
        <v>7933</v>
      </c>
      <c r="H3073" s="5">
        <v>7907.01</v>
      </c>
      <c r="I3073" s="5">
        <v>2138195.0499999998</v>
      </c>
      <c r="K3073" s="5">
        <v>4.5890000000000004</v>
      </c>
      <c r="L3073" s="5">
        <v>1E-3</v>
      </c>
      <c r="M3073" s="5">
        <v>909073.696</v>
      </c>
      <c r="N3073" s="6">
        <v>5.8999999999999997E-2</v>
      </c>
      <c r="O3073" s="5">
        <v>69.632000000000005</v>
      </c>
      <c r="P3073" s="6">
        <v>1.01E-2</v>
      </c>
      <c r="Q3073" s="5">
        <v>15296975.455</v>
      </c>
      <c r="R3073" s="1" t="s">
        <v>44</v>
      </c>
      <c r="T3073" s="1" t="s">
        <v>71</v>
      </c>
      <c r="V3073" s="1" t="s">
        <v>64</v>
      </c>
      <c r="Y3073" s="1" t="s">
        <v>461</v>
      </c>
      <c r="Z3073" s="1" t="str">
        <f t="shared" si="141"/>
        <v>55502 4</v>
      </c>
      <c r="AA3073" s="3">
        <f>IF(INDEX('CAMD Facility Data 2023'!$AA$2:$AE$10000,MATCH(Z3073,'CAMD Facility Data 2023'!$AE$2:$AE$10000,0),1)&gt;0,INDEX('CAMD Facility Data 2023'!$AA$2:$AE$10000,MATCH(Z3073,'CAMD Facility Data 2023'!$AE$2:$AE$10000,0),1),"")</f>
        <v>37909</v>
      </c>
      <c r="AB3073" s="5">
        <f>IF(INDEX('CAMD Facility Data 2023'!$AC$2:$AE$10000,MATCH(Z3073,'CAMD Facility Data 2023'!$AE$2:$AE$10000,0),1)&gt;0,INDEX('CAMD Facility Data 2023'!$AC$2:$AE$10000,MATCH(Z3073,'CAMD Facility Data 2023'!$AE$2:$AE$10000,0),1),"")</f>
        <v>2411</v>
      </c>
      <c r="AC3073" s="1" t="str">
        <f>IF(INDEX('CAMD Facility Data 2023'!$AE$2:$AG$10000,MATCH(Z3073,'CAMD Facility Data 2023'!$AE$2:$AE$10000,0),3)&gt;0,INDEX('CAMD Facility Data 2023'!$AE$2:$AG$10000,MATCH(Z3073,'CAMD Facility Data 2023'!$AE$2:$AE$10000,0),3),"")</f>
        <v>Y</v>
      </c>
      <c r="AD3073" s="20">
        <f t="shared" si="142"/>
        <v>6.5131569732143943E-2</v>
      </c>
      <c r="AE3073" s="25">
        <f t="shared" si="143"/>
        <v>0.72427626494055974</v>
      </c>
    </row>
    <row r="3074" spans="1:31" x14ac:dyDescent="0.2">
      <c r="A3074" s="1" t="s">
        <v>2430</v>
      </c>
      <c r="B3074" s="1" t="s">
        <v>6942</v>
      </c>
      <c r="C3074" s="1">
        <v>55503</v>
      </c>
      <c r="D3074" s="1">
        <v>1</v>
      </c>
      <c r="F3074" s="1">
        <v>2023</v>
      </c>
      <c r="G3074" s="5">
        <v>8116</v>
      </c>
      <c r="H3074" s="5">
        <v>8111.65</v>
      </c>
      <c r="I3074" s="5">
        <v>2268827.2799999998</v>
      </c>
      <c r="K3074" s="5">
        <v>4.6619999999999999</v>
      </c>
      <c r="L3074" s="5">
        <v>1E-3</v>
      </c>
      <c r="M3074" s="5">
        <v>923530.07700000005</v>
      </c>
      <c r="N3074" s="6">
        <v>5.8999999999999997E-2</v>
      </c>
      <c r="O3074" s="5">
        <v>68.793999999999997</v>
      </c>
      <c r="P3074" s="6">
        <v>8.9999999999999993E-3</v>
      </c>
      <c r="Q3074" s="5">
        <v>15540163.173</v>
      </c>
      <c r="R3074" s="1" t="s">
        <v>44</v>
      </c>
      <c r="T3074" s="1" t="s">
        <v>71</v>
      </c>
      <c r="V3074" s="1" t="s">
        <v>64</v>
      </c>
      <c r="Y3074" s="1" t="s">
        <v>461</v>
      </c>
      <c r="Z3074" s="1" t="str">
        <f t="shared" si="141"/>
        <v>55503 1</v>
      </c>
      <c r="AA3074" s="3">
        <f>IF(INDEX('CAMD Facility Data 2023'!$AA$2:$AE$10000,MATCH(Z3074,'CAMD Facility Data 2023'!$AE$2:$AE$10000,0),1)&gt;0,INDEX('CAMD Facility Data 2023'!$AA$2:$AE$10000,MATCH(Z3074,'CAMD Facility Data 2023'!$AE$2:$AE$10000,0),1),"")</f>
        <v>37723</v>
      </c>
      <c r="AB3074" s="5">
        <f>IF(INDEX('CAMD Facility Data 2023'!$AC$2:$AE$10000,MATCH(Z3074,'CAMD Facility Data 2023'!$AE$2:$AE$10000,0),1)&gt;0,INDEX('CAMD Facility Data 2023'!$AC$2:$AE$10000,MATCH(Z3074,'CAMD Facility Data 2023'!$AE$2:$AE$10000,0),1),"")</f>
        <v>2460</v>
      </c>
      <c r="AC3074" s="1" t="str">
        <f>IF(INDEX('CAMD Facility Data 2023'!$AE$2:$AG$10000,MATCH(Z3074,'CAMD Facility Data 2023'!$AE$2:$AE$10000,0),3)&gt;0,INDEX('CAMD Facility Data 2023'!$AE$2:$AG$10000,MATCH(Z3074,'CAMD Facility Data 2023'!$AE$2:$AE$10000,0),3),"")</f>
        <v>Y</v>
      </c>
      <c r="AD3074" s="20">
        <f t="shared" si="142"/>
        <v>6.0642782821264389E-2</v>
      </c>
      <c r="AE3074" s="25">
        <f t="shared" si="143"/>
        <v>0.72113464625793522</v>
      </c>
    </row>
    <row r="3075" spans="1:31" x14ac:dyDescent="0.2">
      <c r="A3075" s="1" t="s">
        <v>2430</v>
      </c>
      <c r="B3075" s="1" t="s">
        <v>6942</v>
      </c>
      <c r="C3075" s="1">
        <v>55503</v>
      </c>
      <c r="D3075" s="1">
        <v>2</v>
      </c>
      <c r="F3075" s="1">
        <v>2023</v>
      </c>
      <c r="G3075" s="5">
        <v>5917</v>
      </c>
      <c r="H3075" s="5">
        <v>5909.01</v>
      </c>
      <c r="I3075" s="5">
        <v>1630306.55</v>
      </c>
      <c r="K3075" s="5">
        <v>3.347</v>
      </c>
      <c r="L3075" s="5">
        <v>1E-3</v>
      </c>
      <c r="M3075" s="5">
        <v>663084.51699999999</v>
      </c>
      <c r="N3075" s="6">
        <v>5.8999999999999997E-2</v>
      </c>
      <c r="O3075" s="5">
        <v>52.713000000000001</v>
      </c>
      <c r="P3075" s="6">
        <v>9.7999999999999997E-3</v>
      </c>
      <c r="Q3075" s="5">
        <v>11157711.509</v>
      </c>
      <c r="R3075" s="1" t="s">
        <v>44</v>
      </c>
      <c r="T3075" s="1" t="s">
        <v>71</v>
      </c>
      <c r="V3075" s="1" t="s">
        <v>64</v>
      </c>
      <c r="Y3075" s="1" t="s">
        <v>461</v>
      </c>
      <c r="Z3075" s="1" t="str">
        <f t="shared" ref="Z3075:Z3138" si="144">C3075&amp;" "&amp;D3075</f>
        <v>55503 2</v>
      </c>
      <c r="AA3075" s="3">
        <f>IF(INDEX('CAMD Facility Data 2023'!$AA$2:$AE$10000,MATCH(Z3075,'CAMD Facility Data 2023'!$AE$2:$AE$10000,0),1)&gt;0,INDEX('CAMD Facility Data 2023'!$AA$2:$AE$10000,MATCH(Z3075,'CAMD Facility Data 2023'!$AE$2:$AE$10000,0),1),"")</f>
        <v>37721</v>
      </c>
      <c r="AB3075" s="5">
        <f>IF(INDEX('CAMD Facility Data 2023'!$AC$2:$AE$10000,MATCH(Z3075,'CAMD Facility Data 2023'!$AE$2:$AE$10000,0),1)&gt;0,INDEX('CAMD Facility Data 2023'!$AC$2:$AE$10000,MATCH(Z3075,'CAMD Facility Data 2023'!$AE$2:$AE$10000,0),1),"")</f>
        <v>2460</v>
      </c>
      <c r="AC3075" s="1" t="str">
        <f>IF(INDEX('CAMD Facility Data 2023'!$AE$2:$AG$10000,MATCH(Z3075,'CAMD Facility Data 2023'!$AE$2:$AE$10000,0),3)&gt;0,INDEX('CAMD Facility Data 2023'!$AE$2:$AG$10000,MATCH(Z3075,'CAMD Facility Data 2023'!$AE$2:$AE$10000,0),3),"")</f>
        <v>Y</v>
      </c>
      <c r="AD3075" s="20">
        <f t="shared" ref="AD3075:AD3138" si="145">IF(ISNUMBER(O3075*2000/I3075),O3075*2000/I3075,"")</f>
        <v>6.4666365966572353E-2</v>
      </c>
      <c r="AE3075" s="25">
        <f t="shared" ref="AE3075:AE3138" si="146">Q3075/(AB3075*8760)</f>
        <v>0.51776884531499423</v>
      </c>
    </row>
    <row r="3076" spans="1:31" x14ac:dyDescent="0.2">
      <c r="A3076" s="1" t="s">
        <v>2430</v>
      </c>
      <c r="B3076" s="1" t="s">
        <v>6942</v>
      </c>
      <c r="C3076" s="1">
        <v>55503</v>
      </c>
      <c r="D3076" s="1">
        <v>3</v>
      </c>
      <c r="F3076" s="1">
        <v>2023</v>
      </c>
      <c r="G3076" s="5">
        <v>6141</v>
      </c>
      <c r="H3076" s="5">
        <v>6137.88</v>
      </c>
      <c r="I3076" s="5">
        <v>1672225.57</v>
      </c>
      <c r="K3076" s="5">
        <v>3.4319999999999999</v>
      </c>
      <c r="L3076" s="5">
        <v>1E-3</v>
      </c>
      <c r="M3076" s="5">
        <v>679818.44700000004</v>
      </c>
      <c r="N3076" s="6">
        <v>5.8999999999999997E-2</v>
      </c>
      <c r="O3076" s="5">
        <v>51.773000000000003</v>
      </c>
      <c r="P3076" s="6">
        <v>9.4000000000000004E-3</v>
      </c>
      <c r="Q3076" s="5">
        <v>11439304.437000001</v>
      </c>
      <c r="R3076" s="1" t="s">
        <v>44</v>
      </c>
      <c r="T3076" s="1" t="s">
        <v>71</v>
      </c>
      <c r="V3076" s="1" t="s">
        <v>64</v>
      </c>
      <c r="Y3076" s="1" t="s">
        <v>461</v>
      </c>
      <c r="Z3076" s="1" t="str">
        <f t="shared" si="144"/>
        <v>55503 3</v>
      </c>
      <c r="AA3076" s="3">
        <f>IF(INDEX('CAMD Facility Data 2023'!$AA$2:$AE$10000,MATCH(Z3076,'CAMD Facility Data 2023'!$AE$2:$AE$10000,0),1)&gt;0,INDEX('CAMD Facility Data 2023'!$AA$2:$AE$10000,MATCH(Z3076,'CAMD Facility Data 2023'!$AE$2:$AE$10000,0),1),"")</f>
        <v>37718</v>
      </c>
      <c r="AB3076" s="5">
        <f>IF(INDEX('CAMD Facility Data 2023'!$AC$2:$AE$10000,MATCH(Z3076,'CAMD Facility Data 2023'!$AE$2:$AE$10000,0),1)&gt;0,INDEX('CAMD Facility Data 2023'!$AC$2:$AE$10000,MATCH(Z3076,'CAMD Facility Data 2023'!$AE$2:$AE$10000,0),1),"")</f>
        <v>2460</v>
      </c>
      <c r="AC3076" s="1" t="str">
        <f>IF(INDEX('CAMD Facility Data 2023'!$AE$2:$AG$10000,MATCH(Z3076,'CAMD Facility Data 2023'!$AE$2:$AE$10000,0),3)&gt;0,INDEX('CAMD Facility Data 2023'!$AE$2:$AG$10000,MATCH(Z3076,'CAMD Facility Data 2023'!$AE$2:$AE$10000,0),3),"")</f>
        <v>Y</v>
      </c>
      <c r="AD3076" s="20">
        <f t="shared" si="145"/>
        <v>6.1921072047714229E-2</v>
      </c>
      <c r="AE3076" s="25">
        <f t="shared" si="146"/>
        <v>0.5308360450774029</v>
      </c>
    </row>
    <row r="3077" spans="1:31" x14ac:dyDescent="0.2">
      <c r="A3077" s="1" t="s">
        <v>516</v>
      </c>
      <c r="B3077" s="1" t="s">
        <v>6947</v>
      </c>
      <c r="C3077" s="1">
        <v>55504</v>
      </c>
      <c r="D3077" s="1" t="s">
        <v>6948</v>
      </c>
      <c r="F3077" s="1">
        <v>2023</v>
      </c>
      <c r="G3077" s="5">
        <v>957</v>
      </c>
      <c r="H3077" s="5">
        <v>858.07</v>
      </c>
      <c r="I3077" s="5">
        <v>40938.78</v>
      </c>
      <c r="K3077" s="5">
        <v>0.17699999999999999</v>
      </c>
      <c r="L3077" s="5">
        <v>1E-3</v>
      </c>
      <c r="M3077" s="5">
        <v>32604.22</v>
      </c>
      <c r="N3077" s="6">
        <v>5.9900000000000002E-2</v>
      </c>
      <c r="O3077" s="5">
        <v>9.782</v>
      </c>
      <c r="P3077" s="6">
        <v>4.6399999999999997E-2</v>
      </c>
      <c r="Q3077" s="5">
        <v>540716.46799999999</v>
      </c>
      <c r="R3077" s="1" t="s">
        <v>44</v>
      </c>
      <c r="S3077" s="1" t="s">
        <v>94</v>
      </c>
      <c r="T3077" s="1" t="s">
        <v>93</v>
      </c>
      <c r="V3077" s="1" t="s">
        <v>183</v>
      </c>
      <c r="Y3077" s="1" t="s">
        <v>247</v>
      </c>
      <c r="Z3077" s="1" t="str">
        <f t="shared" si="144"/>
        <v>55504 L1</v>
      </c>
      <c r="AA3077" s="3">
        <f>IF(INDEX('CAMD Facility Data 2023'!$AA$2:$AE$10000,MATCH(Z3077,'CAMD Facility Data 2023'!$AE$2:$AE$10000,0),1)&gt;0,INDEX('CAMD Facility Data 2023'!$AA$2:$AE$10000,MATCH(Z3077,'CAMD Facility Data 2023'!$AE$2:$AE$10000,0),1),"")</f>
        <v>37238</v>
      </c>
      <c r="AB3077" s="5">
        <f>IF(INDEX('CAMD Facility Data 2023'!$AC$2:$AE$10000,MATCH(Z3077,'CAMD Facility Data 2023'!$AE$2:$AE$10000,0),1)&gt;0,INDEX('CAMD Facility Data 2023'!$AC$2:$AE$10000,MATCH(Z3077,'CAMD Facility Data 2023'!$AE$2:$AE$10000,0),1),"")</f>
        <v>1075</v>
      </c>
      <c r="AC3077" s="1" t="str">
        <f>IF(INDEX('CAMD Facility Data 2023'!$AE$2:$AG$10000,MATCH(Z3077,'CAMD Facility Data 2023'!$AE$2:$AE$10000,0),3)&gt;0,INDEX('CAMD Facility Data 2023'!$AE$2:$AG$10000,MATCH(Z3077,'CAMD Facility Data 2023'!$AE$2:$AE$10000,0),3),"")</f>
        <v/>
      </c>
      <c r="AD3077" s="20">
        <f t="shared" si="145"/>
        <v>0.47788429454908038</v>
      </c>
      <c r="AE3077" s="25">
        <f t="shared" si="146"/>
        <v>5.7419185303175108E-2</v>
      </c>
    </row>
    <row r="3078" spans="1:31" x14ac:dyDescent="0.2">
      <c r="A3078" s="1" t="s">
        <v>516</v>
      </c>
      <c r="B3078" s="1" t="s">
        <v>6947</v>
      </c>
      <c r="C3078" s="1">
        <v>55504</v>
      </c>
      <c r="D3078" s="1" t="s">
        <v>6952</v>
      </c>
      <c r="F3078" s="1">
        <v>2023</v>
      </c>
      <c r="G3078" s="5">
        <v>1998</v>
      </c>
      <c r="H3078" s="5">
        <v>1860.38</v>
      </c>
      <c r="I3078" s="5">
        <v>95390.58</v>
      </c>
      <c r="K3078" s="5">
        <v>0.36799999999999999</v>
      </c>
      <c r="L3078" s="5">
        <v>1E-3</v>
      </c>
      <c r="M3078" s="5">
        <v>72398.528000000006</v>
      </c>
      <c r="N3078" s="6">
        <v>5.91E-2</v>
      </c>
      <c r="O3078" s="5">
        <v>17.847999999999999</v>
      </c>
      <c r="P3078" s="6">
        <v>3.5299999999999998E-2</v>
      </c>
      <c r="Q3078" s="5">
        <v>1216794.4180000001</v>
      </c>
      <c r="R3078" s="1" t="s">
        <v>44</v>
      </c>
      <c r="S3078" s="1" t="s">
        <v>94</v>
      </c>
      <c r="T3078" s="1" t="s">
        <v>93</v>
      </c>
      <c r="V3078" s="1" t="s">
        <v>183</v>
      </c>
      <c r="Y3078" s="1" t="s">
        <v>247</v>
      </c>
      <c r="Z3078" s="1" t="str">
        <f t="shared" si="144"/>
        <v>55504 L2</v>
      </c>
      <c r="AA3078" s="3">
        <f>IF(INDEX('CAMD Facility Data 2023'!$AA$2:$AE$10000,MATCH(Z3078,'CAMD Facility Data 2023'!$AE$2:$AE$10000,0),1)&gt;0,INDEX('CAMD Facility Data 2023'!$AA$2:$AE$10000,MATCH(Z3078,'CAMD Facility Data 2023'!$AE$2:$AE$10000,0),1),"")</f>
        <v>37246</v>
      </c>
      <c r="AB3078" s="5">
        <f>IF(INDEX('CAMD Facility Data 2023'!$AC$2:$AE$10000,MATCH(Z3078,'CAMD Facility Data 2023'!$AE$2:$AE$10000,0),1)&gt;0,INDEX('CAMD Facility Data 2023'!$AC$2:$AE$10000,MATCH(Z3078,'CAMD Facility Data 2023'!$AE$2:$AE$10000,0),1),"")</f>
        <v>1075</v>
      </c>
      <c r="AC3078" s="1" t="str">
        <f>IF(INDEX('CAMD Facility Data 2023'!$AE$2:$AG$10000,MATCH(Z3078,'CAMD Facility Data 2023'!$AE$2:$AE$10000,0),3)&gt;0,INDEX('CAMD Facility Data 2023'!$AE$2:$AG$10000,MATCH(Z3078,'CAMD Facility Data 2023'!$AE$2:$AE$10000,0),3),"")</f>
        <v/>
      </c>
      <c r="AD3078" s="20">
        <f t="shared" si="145"/>
        <v>0.37420885793964143</v>
      </c>
      <c r="AE3078" s="25">
        <f t="shared" si="146"/>
        <v>0.12921253244132952</v>
      </c>
    </row>
    <row r="3079" spans="1:31" x14ac:dyDescent="0.2">
      <c r="A3079" s="1" t="s">
        <v>516</v>
      </c>
      <c r="B3079" s="1" t="s">
        <v>6954</v>
      </c>
      <c r="C3079" s="1">
        <v>55505</v>
      </c>
      <c r="D3079" s="1" t="s">
        <v>6955</v>
      </c>
      <c r="F3079" s="1">
        <v>2023</v>
      </c>
      <c r="G3079" s="5">
        <v>2187</v>
      </c>
      <c r="H3079" s="5">
        <v>2062.25</v>
      </c>
      <c r="I3079" s="5">
        <v>114061.73</v>
      </c>
      <c r="K3079" s="5">
        <v>0.442</v>
      </c>
      <c r="L3079" s="5">
        <v>1E-3</v>
      </c>
      <c r="M3079" s="5">
        <v>86300.801999999996</v>
      </c>
      <c r="N3079" s="6">
        <v>5.8999999999999997E-2</v>
      </c>
      <c r="O3079" s="5">
        <v>22.021000000000001</v>
      </c>
      <c r="P3079" s="6">
        <v>3.4200000000000001E-2</v>
      </c>
      <c r="Q3079" s="5">
        <v>1451414.8640000001</v>
      </c>
      <c r="R3079" s="1" t="s">
        <v>44</v>
      </c>
      <c r="S3079" s="1" t="s">
        <v>94</v>
      </c>
      <c r="T3079" s="1" t="s">
        <v>93</v>
      </c>
      <c r="V3079" s="1" t="s">
        <v>183</v>
      </c>
      <c r="Y3079" s="1" t="s">
        <v>247</v>
      </c>
      <c r="Z3079" s="1" t="str">
        <f t="shared" si="144"/>
        <v>55505 BR1</v>
      </c>
      <c r="AA3079" s="3">
        <f>IF(INDEX('CAMD Facility Data 2023'!$AA$2:$AE$10000,MATCH(Z3079,'CAMD Facility Data 2023'!$AE$2:$AE$10000,0),1)&gt;0,INDEX('CAMD Facility Data 2023'!$AA$2:$AE$10000,MATCH(Z3079,'CAMD Facility Data 2023'!$AE$2:$AE$10000,0),1),"")</f>
        <v>37355</v>
      </c>
      <c r="AB3079" s="5">
        <f>IF(INDEX('CAMD Facility Data 2023'!$AC$2:$AE$10000,MATCH(Z3079,'CAMD Facility Data 2023'!$AE$2:$AE$10000,0),1)&gt;0,INDEX('CAMD Facility Data 2023'!$AC$2:$AE$10000,MATCH(Z3079,'CAMD Facility Data 2023'!$AE$2:$AE$10000,0),1),"")</f>
        <v>1048.9000000000001</v>
      </c>
      <c r="AC3079" s="1" t="str">
        <f>IF(INDEX('CAMD Facility Data 2023'!$AE$2:$AG$10000,MATCH(Z3079,'CAMD Facility Data 2023'!$AE$2:$AE$10000,0),3)&gt;0,INDEX('CAMD Facility Data 2023'!$AE$2:$AG$10000,MATCH(Z3079,'CAMD Facility Data 2023'!$AE$2:$AE$10000,0),3),"")</f>
        <v/>
      </c>
      <c r="AD3079" s="20">
        <f t="shared" si="145"/>
        <v>0.38612425043877557</v>
      </c>
      <c r="AE3079" s="25">
        <f t="shared" si="146"/>
        <v>0.15796227315330563</v>
      </c>
    </row>
    <row r="3080" spans="1:31" x14ac:dyDescent="0.2">
      <c r="A3080" s="1" t="s">
        <v>516</v>
      </c>
      <c r="B3080" s="1" t="s">
        <v>6954</v>
      </c>
      <c r="C3080" s="1">
        <v>55505</v>
      </c>
      <c r="D3080" s="1" t="s">
        <v>6957</v>
      </c>
      <c r="F3080" s="1">
        <v>2023</v>
      </c>
      <c r="G3080" s="5">
        <v>2761</v>
      </c>
      <c r="H3080" s="5">
        <v>2596.25</v>
      </c>
      <c r="I3080" s="5">
        <v>134726.60999999999</v>
      </c>
      <c r="K3080" s="5">
        <v>0.52800000000000002</v>
      </c>
      <c r="L3080" s="5">
        <v>1E-3</v>
      </c>
      <c r="M3080" s="5">
        <v>104017.625</v>
      </c>
      <c r="N3080" s="6">
        <v>5.9299999999999999E-2</v>
      </c>
      <c r="O3080" s="5">
        <v>23.981999999999999</v>
      </c>
      <c r="P3080" s="6">
        <v>3.0800000000000001E-2</v>
      </c>
      <c r="Q3080" s="5">
        <v>1749952.3030000001</v>
      </c>
      <c r="R3080" s="1" t="s">
        <v>44</v>
      </c>
      <c r="S3080" s="1" t="s">
        <v>94</v>
      </c>
      <c r="T3080" s="1" t="s">
        <v>93</v>
      </c>
      <c r="V3080" s="1" t="s">
        <v>183</v>
      </c>
      <c r="Y3080" s="1" t="s">
        <v>247</v>
      </c>
      <c r="Z3080" s="1" t="str">
        <f t="shared" si="144"/>
        <v>55505 BR2</v>
      </c>
      <c r="AA3080" s="3">
        <f>IF(INDEX('CAMD Facility Data 2023'!$AA$2:$AE$10000,MATCH(Z3080,'CAMD Facility Data 2023'!$AE$2:$AE$10000,0),1)&gt;0,INDEX('CAMD Facility Data 2023'!$AA$2:$AE$10000,MATCH(Z3080,'CAMD Facility Data 2023'!$AE$2:$AE$10000,0),1),"")</f>
        <v>37365</v>
      </c>
      <c r="AB3080" s="5">
        <f>IF(INDEX('CAMD Facility Data 2023'!$AC$2:$AE$10000,MATCH(Z3080,'CAMD Facility Data 2023'!$AE$2:$AE$10000,0),1)&gt;0,INDEX('CAMD Facility Data 2023'!$AC$2:$AE$10000,MATCH(Z3080,'CAMD Facility Data 2023'!$AE$2:$AE$10000,0),1),"")</f>
        <v>1030.7</v>
      </c>
      <c r="AC3080" s="1" t="str">
        <f>IF(INDEX('CAMD Facility Data 2023'!$AE$2:$AG$10000,MATCH(Z3080,'CAMD Facility Data 2023'!$AE$2:$AE$10000,0),3)&gt;0,INDEX('CAMD Facility Data 2023'!$AE$2:$AG$10000,MATCH(Z3080,'CAMD Facility Data 2023'!$AE$2:$AE$10000,0),3),"")</f>
        <v/>
      </c>
      <c r="AD3080" s="20">
        <f t="shared" si="145"/>
        <v>0.35600984838852551</v>
      </c>
      <c r="AE3080" s="25">
        <f t="shared" si="146"/>
        <v>0.19381609065169614</v>
      </c>
    </row>
    <row r="3081" spans="1:31" x14ac:dyDescent="0.2">
      <c r="A3081" s="1" t="s">
        <v>370</v>
      </c>
      <c r="B3081" s="1" t="s">
        <v>6959</v>
      </c>
      <c r="C3081" s="1">
        <v>55508</v>
      </c>
      <c r="D3081" s="1" t="s">
        <v>1155</v>
      </c>
      <c r="F3081" s="1">
        <v>2023</v>
      </c>
      <c r="G3081" s="5">
        <v>834</v>
      </c>
      <c r="H3081" s="5">
        <v>634.29999999999995</v>
      </c>
      <c r="I3081" s="5">
        <v>26779.77</v>
      </c>
      <c r="K3081" s="5">
        <v>8.5999999999999993E-2</v>
      </c>
      <c r="L3081" s="5">
        <v>1E-3</v>
      </c>
      <c r="M3081" s="5">
        <v>16732.600999999999</v>
      </c>
      <c r="N3081" s="6">
        <v>5.8999999999999997E-2</v>
      </c>
      <c r="O3081" s="5">
        <v>1.5429999999999999</v>
      </c>
      <c r="P3081" s="6">
        <v>1.1599999999999999E-2</v>
      </c>
      <c r="Q3081" s="5">
        <v>285129.71600000001</v>
      </c>
      <c r="R3081" s="1" t="s">
        <v>44</v>
      </c>
      <c r="T3081" s="1" t="s">
        <v>93</v>
      </c>
      <c r="V3081" s="1" t="s">
        <v>442</v>
      </c>
      <c r="Y3081" s="1" t="s">
        <v>247</v>
      </c>
      <c r="Z3081" s="1" t="str">
        <f t="shared" si="144"/>
        <v>55508 GT-1</v>
      </c>
      <c r="AA3081" s="3">
        <f>IF(INDEX('CAMD Facility Data 2023'!$AA$2:$AE$10000,MATCH(Z3081,'CAMD Facility Data 2023'!$AE$2:$AE$10000,0),1)&gt;0,INDEX('CAMD Facility Data 2023'!$AA$2:$AE$10000,MATCH(Z3081,'CAMD Facility Data 2023'!$AE$2:$AE$10000,0),1),"")</f>
        <v>37214</v>
      </c>
      <c r="AB3081" s="5">
        <f>IF(INDEX('CAMD Facility Data 2023'!$AC$2:$AE$10000,MATCH(Z3081,'CAMD Facility Data 2023'!$AE$2:$AE$10000,0),1)&gt;0,INDEX('CAMD Facility Data 2023'!$AC$2:$AE$10000,MATCH(Z3081,'CAMD Facility Data 2023'!$AE$2:$AE$10000,0),1),"")</f>
        <v>600</v>
      </c>
      <c r="AC3081" s="1" t="str">
        <f>IF(INDEX('CAMD Facility Data 2023'!$AE$2:$AG$10000,MATCH(Z3081,'CAMD Facility Data 2023'!$AE$2:$AE$10000,0),3)&gt;0,INDEX('CAMD Facility Data 2023'!$AE$2:$AG$10000,MATCH(Z3081,'CAMD Facility Data 2023'!$AE$2:$AE$10000,0),3),"")</f>
        <v>Y</v>
      </c>
      <c r="AD3081" s="20">
        <f t="shared" si="145"/>
        <v>0.11523623989302373</v>
      </c>
      <c r="AE3081" s="25">
        <f t="shared" si="146"/>
        <v>5.424842389649924E-2</v>
      </c>
    </row>
    <row r="3082" spans="1:31" x14ac:dyDescent="0.2">
      <c r="A3082" s="1" t="s">
        <v>370</v>
      </c>
      <c r="B3082" s="1" t="s">
        <v>6962</v>
      </c>
      <c r="C3082" s="1">
        <v>55510</v>
      </c>
      <c r="D3082" s="1" t="s">
        <v>1155</v>
      </c>
      <c r="F3082" s="1">
        <v>2023</v>
      </c>
      <c r="G3082" s="5">
        <v>632</v>
      </c>
      <c r="H3082" s="5">
        <v>425.7</v>
      </c>
      <c r="I3082" s="5">
        <v>13629.77</v>
      </c>
      <c r="K3082" s="5">
        <v>4.3999999999999997E-2</v>
      </c>
      <c r="L3082" s="5">
        <v>1E-3</v>
      </c>
      <c r="M3082" s="5">
        <v>8657.0589999999993</v>
      </c>
      <c r="N3082" s="6">
        <v>5.8999999999999997E-2</v>
      </c>
      <c r="O3082" s="5">
        <v>1.0820000000000001</v>
      </c>
      <c r="P3082" s="6">
        <v>1.8100000000000002E-2</v>
      </c>
      <c r="Q3082" s="5">
        <v>147374.21</v>
      </c>
      <c r="R3082" s="1" t="s">
        <v>44</v>
      </c>
      <c r="T3082" s="1" t="s">
        <v>93</v>
      </c>
      <c r="V3082" s="1" t="s">
        <v>442</v>
      </c>
      <c r="Y3082" s="1" t="s">
        <v>247</v>
      </c>
      <c r="Z3082" s="1" t="str">
        <f t="shared" si="144"/>
        <v>55510 GT-1</v>
      </c>
      <c r="AA3082" s="3">
        <f>IF(INDEX('CAMD Facility Data 2023'!$AA$2:$AE$10000,MATCH(Z3082,'CAMD Facility Data 2023'!$AE$2:$AE$10000,0),1)&gt;0,INDEX('CAMD Facility Data 2023'!$AA$2:$AE$10000,MATCH(Z3082,'CAMD Facility Data 2023'!$AE$2:$AE$10000,0),1),"")</f>
        <v>37190</v>
      </c>
      <c r="AB3082" s="5">
        <f>IF(INDEX('CAMD Facility Data 2023'!$AC$2:$AE$10000,MATCH(Z3082,'CAMD Facility Data 2023'!$AE$2:$AE$10000,0),1)&gt;0,INDEX('CAMD Facility Data 2023'!$AC$2:$AE$10000,MATCH(Z3082,'CAMD Facility Data 2023'!$AE$2:$AE$10000,0),1),"")</f>
        <v>600</v>
      </c>
      <c r="AC3082" s="1" t="str">
        <f>IF(INDEX('CAMD Facility Data 2023'!$AE$2:$AG$10000,MATCH(Z3082,'CAMD Facility Data 2023'!$AE$2:$AE$10000,0),3)&gt;0,INDEX('CAMD Facility Data 2023'!$AE$2:$AG$10000,MATCH(Z3082,'CAMD Facility Data 2023'!$AE$2:$AE$10000,0),3),"")</f>
        <v>Y</v>
      </c>
      <c r="AD3082" s="20">
        <f t="shared" si="145"/>
        <v>0.15877010397094007</v>
      </c>
      <c r="AE3082" s="25">
        <f t="shared" si="146"/>
        <v>2.8039233257229831E-2</v>
      </c>
    </row>
    <row r="3083" spans="1:31" x14ac:dyDescent="0.2">
      <c r="A3083" s="1" t="s">
        <v>370</v>
      </c>
      <c r="B3083" s="1" t="s">
        <v>6965</v>
      </c>
      <c r="C3083" s="1">
        <v>55512</v>
      </c>
      <c r="D3083" s="1" t="s">
        <v>1155</v>
      </c>
      <c r="F3083" s="1">
        <v>2023</v>
      </c>
      <c r="G3083" s="5">
        <v>474</v>
      </c>
      <c r="H3083" s="5">
        <v>404.84</v>
      </c>
      <c r="I3083" s="5">
        <v>12556.59</v>
      </c>
      <c r="K3083" s="5">
        <v>4.2000000000000003E-2</v>
      </c>
      <c r="L3083" s="5">
        <v>1E-3</v>
      </c>
      <c r="M3083" s="5">
        <v>8125.2070000000003</v>
      </c>
      <c r="N3083" s="6">
        <v>5.8599999999999999E-2</v>
      </c>
      <c r="O3083" s="5">
        <v>0.68100000000000005</v>
      </c>
      <c r="P3083" s="6">
        <v>1.0999999999999999E-2</v>
      </c>
      <c r="Q3083" s="5">
        <v>138845.25200000001</v>
      </c>
      <c r="R3083" s="1" t="s">
        <v>44</v>
      </c>
      <c r="T3083" s="1" t="s">
        <v>93</v>
      </c>
      <c r="V3083" s="1" t="s">
        <v>442</v>
      </c>
      <c r="Y3083" s="1" t="s">
        <v>247</v>
      </c>
      <c r="Z3083" s="1" t="str">
        <f t="shared" si="144"/>
        <v>55512 GT-1</v>
      </c>
      <c r="AA3083" s="3">
        <f>IF(INDEX('CAMD Facility Data 2023'!$AA$2:$AE$10000,MATCH(Z3083,'CAMD Facility Data 2023'!$AE$2:$AE$10000,0),1)&gt;0,INDEX('CAMD Facility Data 2023'!$AA$2:$AE$10000,MATCH(Z3083,'CAMD Facility Data 2023'!$AE$2:$AE$10000,0),1),"")</f>
        <v>37226</v>
      </c>
      <c r="AB3083" s="5">
        <f>IF(INDEX('CAMD Facility Data 2023'!$AC$2:$AE$10000,MATCH(Z3083,'CAMD Facility Data 2023'!$AE$2:$AE$10000,0),1)&gt;0,INDEX('CAMD Facility Data 2023'!$AC$2:$AE$10000,MATCH(Z3083,'CAMD Facility Data 2023'!$AE$2:$AE$10000,0),1),"")</f>
        <v>600</v>
      </c>
      <c r="AC3083" s="1" t="str">
        <f>IF(INDEX('CAMD Facility Data 2023'!$AE$2:$AG$10000,MATCH(Z3083,'CAMD Facility Data 2023'!$AE$2:$AE$10000,0),3)&gt;0,INDEX('CAMD Facility Data 2023'!$AE$2:$AG$10000,MATCH(Z3083,'CAMD Facility Data 2023'!$AE$2:$AE$10000,0),3),"")</f>
        <v>Y</v>
      </c>
      <c r="AD3083" s="20">
        <f t="shared" si="145"/>
        <v>0.10846893941746923</v>
      </c>
      <c r="AE3083" s="25">
        <f t="shared" si="146"/>
        <v>2.6416524353120245E-2</v>
      </c>
    </row>
    <row r="3084" spans="1:31" x14ac:dyDescent="0.2">
      <c r="A3084" s="1" t="s">
        <v>370</v>
      </c>
      <c r="B3084" s="1" t="s">
        <v>6968</v>
      </c>
      <c r="C3084" s="1">
        <v>55513</v>
      </c>
      <c r="D3084" s="1" t="s">
        <v>1155</v>
      </c>
      <c r="F3084" s="1">
        <v>2023</v>
      </c>
      <c r="G3084" s="5">
        <v>246</v>
      </c>
      <c r="H3084" s="5">
        <v>156.86000000000001</v>
      </c>
      <c r="I3084" s="5">
        <v>5711.79</v>
      </c>
      <c r="K3084" s="5">
        <v>1.7999999999999999E-2</v>
      </c>
      <c r="L3084" s="5">
        <v>1E-3</v>
      </c>
      <c r="M3084" s="5">
        <v>3566.58</v>
      </c>
      <c r="N3084" s="6">
        <v>5.8599999999999999E-2</v>
      </c>
      <c r="O3084" s="5">
        <v>0.44700000000000001</v>
      </c>
      <c r="P3084" s="6">
        <v>1.77E-2</v>
      </c>
      <c r="Q3084" s="5">
        <v>60949.834999999999</v>
      </c>
      <c r="R3084" s="1" t="s">
        <v>44</v>
      </c>
      <c r="T3084" s="1" t="s">
        <v>93</v>
      </c>
      <c r="V3084" s="1" t="s">
        <v>442</v>
      </c>
      <c r="Y3084" s="1" t="s">
        <v>247</v>
      </c>
      <c r="Z3084" s="1" t="str">
        <f t="shared" si="144"/>
        <v>55513 GT-1</v>
      </c>
      <c r="AA3084" s="3">
        <f>IF(INDEX('CAMD Facility Data 2023'!$AA$2:$AE$10000,MATCH(Z3084,'CAMD Facility Data 2023'!$AE$2:$AE$10000,0),1)&gt;0,INDEX('CAMD Facility Data 2023'!$AA$2:$AE$10000,MATCH(Z3084,'CAMD Facility Data 2023'!$AE$2:$AE$10000,0),1),"")</f>
        <v>37187</v>
      </c>
      <c r="AB3084" s="5">
        <f>IF(INDEX('CAMD Facility Data 2023'!$AC$2:$AE$10000,MATCH(Z3084,'CAMD Facility Data 2023'!$AE$2:$AE$10000,0),1)&gt;0,INDEX('CAMD Facility Data 2023'!$AC$2:$AE$10000,MATCH(Z3084,'CAMD Facility Data 2023'!$AE$2:$AE$10000,0),1),"")</f>
        <v>600</v>
      </c>
      <c r="AC3084" s="1" t="str">
        <f>IF(INDEX('CAMD Facility Data 2023'!$AE$2:$AG$10000,MATCH(Z3084,'CAMD Facility Data 2023'!$AE$2:$AE$10000,0),3)&gt;0,INDEX('CAMD Facility Data 2023'!$AE$2:$AG$10000,MATCH(Z3084,'CAMD Facility Data 2023'!$AE$2:$AE$10000,0),3),"")</f>
        <v>Y</v>
      </c>
      <c r="AD3084" s="20">
        <f t="shared" si="145"/>
        <v>0.15651835939346509</v>
      </c>
      <c r="AE3084" s="25">
        <f t="shared" si="146"/>
        <v>1.1596239535768646E-2</v>
      </c>
    </row>
    <row r="3085" spans="1:31" x14ac:dyDescent="0.2">
      <c r="A3085" s="1" t="s">
        <v>1903</v>
      </c>
      <c r="B3085" s="1" t="s">
        <v>6971</v>
      </c>
      <c r="C3085" s="1">
        <v>55514</v>
      </c>
      <c r="D3085" s="1" t="s">
        <v>6907</v>
      </c>
      <c r="F3085" s="1">
        <v>2023</v>
      </c>
      <c r="G3085" s="5">
        <v>5662</v>
      </c>
      <c r="H3085" s="5">
        <v>5525.82</v>
      </c>
      <c r="I3085" s="5">
        <v>1166465.49</v>
      </c>
      <c r="K3085" s="5">
        <v>2.37</v>
      </c>
      <c r="L3085" s="5">
        <v>1E-3</v>
      </c>
      <c r="M3085" s="5">
        <v>469372.777</v>
      </c>
      <c r="N3085" s="6">
        <v>5.8999999999999997E-2</v>
      </c>
      <c r="O3085" s="5">
        <v>43.865000000000002</v>
      </c>
      <c r="P3085" s="6">
        <v>1.84E-2</v>
      </c>
      <c r="Q3085" s="5">
        <v>7898398.2050000001</v>
      </c>
      <c r="R3085" s="1" t="s">
        <v>44</v>
      </c>
      <c r="T3085" s="1" t="s">
        <v>71</v>
      </c>
      <c r="V3085" s="1" t="s">
        <v>64</v>
      </c>
      <c r="Y3085" s="1" t="s">
        <v>247</v>
      </c>
      <c r="Z3085" s="1" t="str">
        <f t="shared" si="144"/>
        <v>55514 CTG01</v>
      </c>
      <c r="AA3085" s="3">
        <f>IF(INDEX('CAMD Facility Data 2023'!$AA$2:$AE$10000,MATCH(Z3085,'CAMD Facility Data 2023'!$AE$2:$AE$10000,0),1)&gt;0,INDEX('CAMD Facility Data 2023'!$AA$2:$AE$10000,MATCH(Z3085,'CAMD Facility Data 2023'!$AE$2:$AE$10000,0),1),"")</f>
        <v>37711</v>
      </c>
      <c r="AB3085" s="5">
        <f>IF(INDEX('CAMD Facility Data 2023'!$AC$2:$AE$10000,MATCH(Z3085,'CAMD Facility Data 2023'!$AE$2:$AE$10000,0),1)&gt;0,INDEX('CAMD Facility Data 2023'!$AC$2:$AE$10000,MATCH(Z3085,'CAMD Facility Data 2023'!$AE$2:$AE$10000,0),1),"")</f>
        <v>2410</v>
      </c>
      <c r="AC3085" s="1" t="str">
        <f>IF(INDEX('CAMD Facility Data 2023'!$AE$2:$AG$10000,MATCH(Z3085,'CAMD Facility Data 2023'!$AE$2:$AE$10000,0),3)&gt;0,INDEX('CAMD Facility Data 2023'!$AE$2:$AG$10000,MATCH(Z3085,'CAMD Facility Data 2023'!$AE$2:$AE$10000,0),3),"")</f>
        <v>Y</v>
      </c>
      <c r="AD3085" s="20">
        <f t="shared" si="145"/>
        <v>7.5210111873948368E-2</v>
      </c>
      <c r="AE3085" s="25">
        <f t="shared" si="146"/>
        <v>0.37412598784554463</v>
      </c>
    </row>
    <row r="3086" spans="1:31" x14ac:dyDescent="0.2">
      <c r="A3086" s="1" t="s">
        <v>1903</v>
      </c>
      <c r="B3086" s="1" t="s">
        <v>6971</v>
      </c>
      <c r="C3086" s="1">
        <v>55514</v>
      </c>
      <c r="D3086" s="1" t="s">
        <v>6911</v>
      </c>
      <c r="F3086" s="1">
        <v>2023</v>
      </c>
      <c r="G3086" s="5">
        <v>5479</v>
      </c>
      <c r="H3086" s="5">
        <v>5344.59</v>
      </c>
      <c r="I3086" s="5">
        <v>1136362.8799999999</v>
      </c>
      <c r="K3086" s="5">
        <v>2.4329999999999998</v>
      </c>
      <c r="L3086" s="5">
        <v>1E-3</v>
      </c>
      <c r="M3086" s="5">
        <v>481937.47700000001</v>
      </c>
      <c r="N3086" s="6">
        <v>5.8999999999999997E-2</v>
      </c>
      <c r="O3086" s="5">
        <v>47.008000000000003</v>
      </c>
      <c r="P3086" s="6">
        <v>1.9E-2</v>
      </c>
      <c r="Q3086" s="5">
        <v>8109869.8679999998</v>
      </c>
      <c r="R3086" s="1" t="s">
        <v>44</v>
      </c>
      <c r="T3086" s="1" t="s">
        <v>71</v>
      </c>
      <c r="V3086" s="1" t="s">
        <v>64</v>
      </c>
      <c r="Y3086" s="1" t="s">
        <v>247</v>
      </c>
      <c r="Z3086" s="1" t="str">
        <f t="shared" si="144"/>
        <v>55514 CTG02</v>
      </c>
      <c r="AA3086" s="3">
        <f>IF(INDEX('CAMD Facility Data 2023'!$AA$2:$AE$10000,MATCH(Z3086,'CAMD Facility Data 2023'!$AE$2:$AE$10000,0),1)&gt;0,INDEX('CAMD Facility Data 2023'!$AA$2:$AE$10000,MATCH(Z3086,'CAMD Facility Data 2023'!$AE$2:$AE$10000,0),1),"")</f>
        <v>37711</v>
      </c>
      <c r="AB3086" s="5">
        <f>IF(INDEX('CAMD Facility Data 2023'!$AC$2:$AE$10000,MATCH(Z3086,'CAMD Facility Data 2023'!$AE$2:$AE$10000,0),1)&gt;0,INDEX('CAMD Facility Data 2023'!$AC$2:$AE$10000,MATCH(Z3086,'CAMD Facility Data 2023'!$AE$2:$AE$10000,0),1),"")</f>
        <v>2410</v>
      </c>
      <c r="AC3086" s="1" t="str">
        <f>IF(INDEX('CAMD Facility Data 2023'!$AE$2:$AG$10000,MATCH(Z3086,'CAMD Facility Data 2023'!$AE$2:$AE$10000,0),3)&gt;0,INDEX('CAMD Facility Data 2023'!$AE$2:$AG$10000,MATCH(Z3086,'CAMD Facility Data 2023'!$AE$2:$AE$10000,0),3),"")</f>
        <v>Y</v>
      </c>
      <c r="AD3086" s="20">
        <f t="shared" si="145"/>
        <v>8.2734135067840303E-2</v>
      </c>
      <c r="AE3086" s="25">
        <f t="shared" si="146"/>
        <v>0.38414283465014493</v>
      </c>
    </row>
    <row r="3087" spans="1:31" x14ac:dyDescent="0.2">
      <c r="A3087" s="1" t="s">
        <v>2584</v>
      </c>
      <c r="B3087" s="1" t="s">
        <v>6975</v>
      </c>
      <c r="C3087" s="1">
        <v>55516</v>
      </c>
      <c r="D3087" s="1" t="s">
        <v>1129</v>
      </c>
      <c r="F3087" s="1">
        <v>2023</v>
      </c>
      <c r="G3087" s="5">
        <v>8474</v>
      </c>
      <c r="H3087" s="5">
        <v>8468.42</v>
      </c>
      <c r="I3087" s="5">
        <v>2798971.39</v>
      </c>
      <c r="K3087" s="5">
        <v>5.915</v>
      </c>
      <c r="L3087" s="5">
        <v>1E-3</v>
      </c>
      <c r="M3087" s="5">
        <v>1171712.736</v>
      </c>
      <c r="N3087" s="6">
        <v>5.8999999999999997E-2</v>
      </c>
      <c r="O3087" s="5">
        <v>61.055</v>
      </c>
      <c r="P3087" s="6">
        <v>6.4999999999999997E-3</v>
      </c>
      <c r="Q3087" s="5">
        <v>19716266.488000002</v>
      </c>
      <c r="R3087" s="1" t="s">
        <v>44</v>
      </c>
      <c r="T3087" s="1" t="s">
        <v>71</v>
      </c>
      <c r="V3087" s="1" t="s">
        <v>64</v>
      </c>
      <c r="Y3087" s="1" t="s">
        <v>1515</v>
      </c>
      <c r="Z3087" s="1" t="str">
        <f t="shared" si="144"/>
        <v>55516 CTG1</v>
      </c>
      <c r="AA3087" s="3">
        <f>IF(INDEX('CAMD Facility Data 2023'!$AA$2:$AE$10000,MATCH(Z3087,'CAMD Facility Data 2023'!$AE$2:$AE$10000,0),1)&gt;0,INDEX('CAMD Facility Data 2023'!$AA$2:$AE$10000,MATCH(Z3087,'CAMD Facility Data 2023'!$AE$2:$AE$10000,0),1),"")</f>
        <v>37701</v>
      </c>
      <c r="AB3087" s="5">
        <f>IF(INDEX('CAMD Facility Data 2023'!$AC$2:$AE$10000,MATCH(Z3087,'CAMD Facility Data 2023'!$AE$2:$AE$10000,0),1)&gt;0,INDEX('CAMD Facility Data 2023'!$AC$2:$AE$10000,MATCH(Z3087,'CAMD Facility Data 2023'!$AE$2:$AE$10000,0),1),"")</f>
        <v>2700</v>
      </c>
      <c r="AC3087" s="1" t="str">
        <f>IF(INDEX('CAMD Facility Data 2023'!$AE$2:$AG$10000,MATCH(Z3087,'CAMD Facility Data 2023'!$AE$2:$AE$10000,0),3)&gt;0,INDEX('CAMD Facility Data 2023'!$AE$2:$AG$10000,MATCH(Z3087,'CAMD Facility Data 2023'!$AE$2:$AE$10000,0),3),"")</f>
        <v>Y</v>
      </c>
      <c r="AD3087" s="20">
        <f t="shared" si="145"/>
        <v>4.3626741036463398E-2</v>
      </c>
      <c r="AE3087" s="25">
        <f t="shared" si="146"/>
        <v>0.83359827870793179</v>
      </c>
    </row>
    <row r="3088" spans="1:31" x14ac:dyDescent="0.2">
      <c r="A3088" s="1" t="s">
        <v>2584</v>
      </c>
      <c r="B3088" s="1" t="s">
        <v>6975</v>
      </c>
      <c r="C3088" s="1">
        <v>55516</v>
      </c>
      <c r="D3088" s="1" t="s">
        <v>1135</v>
      </c>
      <c r="F3088" s="1">
        <v>2023</v>
      </c>
      <c r="G3088" s="5">
        <v>8490</v>
      </c>
      <c r="H3088" s="5">
        <v>8481.01</v>
      </c>
      <c r="I3088" s="5">
        <v>2777594.77</v>
      </c>
      <c r="K3088" s="5">
        <v>5.8230000000000004</v>
      </c>
      <c r="L3088" s="5">
        <v>1E-3</v>
      </c>
      <c r="M3088" s="5">
        <v>1153366.727</v>
      </c>
      <c r="N3088" s="6">
        <v>5.8999999999999997E-2</v>
      </c>
      <c r="O3088" s="5">
        <v>60.356000000000002</v>
      </c>
      <c r="P3088" s="6">
        <v>6.4000000000000003E-3</v>
      </c>
      <c r="Q3088" s="5">
        <v>19407696.004000001</v>
      </c>
      <c r="R3088" s="1" t="s">
        <v>44</v>
      </c>
      <c r="T3088" s="1" t="s">
        <v>71</v>
      </c>
      <c r="V3088" s="1" t="s">
        <v>64</v>
      </c>
      <c r="Y3088" s="1" t="s">
        <v>1515</v>
      </c>
      <c r="Z3088" s="1" t="str">
        <f t="shared" si="144"/>
        <v>55516 CTG2</v>
      </c>
      <c r="AA3088" s="3">
        <f>IF(INDEX('CAMD Facility Data 2023'!$AA$2:$AE$10000,MATCH(Z3088,'CAMD Facility Data 2023'!$AE$2:$AE$10000,0),1)&gt;0,INDEX('CAMD Facility Data 2023'!$AA$2:$AE$10000,MATCH(Z3088,'CAMD Facility Data 2023'!$AE$2:$AE$10000,0),1),"")</f>
        <v>37696</v>
      </c>
      <c r="AB3088" s="5">
        <f>IF(INDEX('CAMD Facility Data 2023'!$AC$2:$AE$10000,MATCH(Z3088,'CAMD Facility Data 2023'!$AE$2:$AE$10000,0),1)&gt;0,INDEX('CAMD Facility Data 2023'!$AC$2:$AE$10000,MATCH(Z3088,'CAMD Facility Data 2023'!$AE$2:$AE$10000,0),1),"")</f>
        <v>2700</v>
      </c>
      <c r="AC3088" s="1" t="str">
        <f>IF(INDEX('CAMD Facility Data 2023'!$AE$2:$AG$10000,MATCH(Z3088,'CAMD Facility Data 2023'!$AE$2:$AE$10000,0),3)&gt;0,INDEX('CAMD Facility Data 2023'!$AE$2:$AG$10000,MATCH(Z3088,'CAMD Facility Data 2023'!$AE$2:$AE$10000,0),3),"")</f>
        <v>Y</v>
      </c>
      <c r="AD3088" s="20">
        <f t="shared" si="145"/>
        <v>4.3459183212675764E-2</v>
      </c>
      <c r="AE3088" s="25">
        <f t="shared" si="146"/>
        <v>0.82055200422797225</v>
      </c>
    </row>
    <row r="3089" spans="1:31" x14ac:dyDescent="0.2">
      <c r="A3089" s="1" t="s">
        <v>577</v>
      </c>
      <c r="B3089" s="1" t="s">
        <v>6979</v>
      </c>
      <c r="C3089" s="1">
        <v>55517</v>
      </c>
      <c r="D3089" s="1" t="s">
        <v>993</v>
      </c>
      <c r="F3089" s="1">
        <v>2023</v>
      </c>
      <c r="G3089" s="5">
        <v>727</v>
      </c>
      <c r="H3089" s="5">
        <v>534.87</v>
      </c>
      <c r="I3089" s="5">
        <v>20125.25</v>
      </c>
      <c r="K3089" s="5">
        <v>5.8000000000000003E-2</v>
      </c>
      <c r="L3089" s="5">
        <v>8.0000000000000004E-4</v>
      </c>
      <c r="M3089" s="5">
        <v>12034.325000000001</v>
      </c>
      <c r="N3089" s="6">
        <v>5.9299999999999999E-2</v>
      </c>
      <c r="O3089" s="5">
        <v>1.1379999999999999</v>
      </c>
      <c r="P3089" s="6">
        <v>1.66E-2</v>
      </c>
      <c r="Q3089" s="5">
        <v>202480.198</v>
      </c>
      <c r="R3089" s="1" t="s">
        <v>44</v>
      </c>
      <c r="T3089" s="1" t="s">
        <v>93</v>
      </c>
      <c r="V3089" s="1" t="s">
        <v>176</v>
      </c>
      <c r="Y3089" s="1" t="s">
        <v>579</v>
      </c>
      <c r="Z3089" s="1" t="str">
        <f t="shared" si="144"/>
        <v>55517 CT01</v>
      </c>
      <c r="AA3089" s="3">
        <f>IF(INDEX('CAMD Facility Data 2023'!$AA$2:$AE$10000,MATCH(Z3089,'CAMD Facility Data 2023'!$AE$2:$AE$10000,0),1)&gt;0,INDEX('CAMD Facility Data 2023'!$AA$2:$AE$10000,MATCH(Z3089,'CAMD Facility Data 2023'!$AE$2:$AE$10000,0),1),"")</f>
        <v>37167</v>
      </c>
      <c r="AB3089" s="5">
        <f>IF(INDEX('CAMD Facility Data 2023'!$AC$2:$AE$10000,MATCH(Z3089,'CAMD Facility Data 2023'!$AE$2:$AE$10000,0),1)&gt;0,INDEX('CAMD Facility Data 2023'!$AC$2:$AE$10000,MATCH(Z3089,'CAMD Facility Data 2023'!$AE$2:$AE$10000,0),1),"")</f>
        <v>530</v>
      </c>
      <c r="AC3089" s="1" t="str">
        <f>IF(INDEX('CAMD Facility Data 2023'!$AE$2:$AG$10000,MATCH(Z3089,'CAMD Facility Data 2023'!$AE$2:$AE$10000,0),3)&gt;0,INDEX('CAMD Facility Data 2023'!$AE$2:$AG$10000,MATCH(Z3089,'CAMD Facility Data 2023'!$AE$2:$AE$10000,0),3),"")</f>
        <v>Y</v>
      </c>
      <c r="AD3089" s="20">
        <f t="shared" si="145"/>
        <v>0.11309176283524429</v>
      </c>
      <c r="AE3089" s="25">
        <f t="shared" si="146"/>
        <v>4.3611656328077883E-2</v>
      </c>
    </row>
    <row r="3090" spans="1:31" x14ac:dyDescent="0.2">
      <c r="A3090" s="1" t="s">
        <v>577</v>
      </c>
      <c r="B3090" s="1" t="s">
        <v>6979</v>
      </c>
      <c r="C3090" s="1">
        <v>55517</v>
      </c>
      <c r="D3090" s="1" t="s">
        <v>998</v>
      </c>
      <c r="F3090" s="1">
        <v>2023</v>
      </c>
      <c r="G3090" s="5">
        <v>922</v>
      </c>
      <c r="H3090" s="5">
        <v>686.49</v>
      </c>
      <c r="I3090" s="5">
        <v>25824.26</v>
      </c>
      <c r="K3090" s="5">
        <v>7.6999999999999999E-2</v>
      </c>
      <c r="L3090" s="5">
        <v>8.0000000000000004E-4</v>
      </c>
      <c r="M3090" s="5">
        <v>15854.027</v>
      </c>
      <c r="N3090" s="6">
        <v>5.9299999999999999E-2</v>
      </c>
      <c r="O3090" s="5">
        <v>1.4319999999999999</v>
      </c>
      <c r="P3090" s="6">
        <v>1.49E-2</v>
      </c>
      <c r="Q3090" s="5">
        <v>266765.26199999999</v>
      </c>
      <c r="R3090" s="1" t="s">
        <v>44</v>
      </c>
      <c r="T3090" s="1" t="s">
        <v>93</v>
      </c>
      <c r="V3090" s="1" t="s">
        <v>176</v>
      </c>
      <c r="Y3090" s="1" t="s">
        <v>579</v>
      </c>
      <c r="Z3090" s="1" t="str">
        <f t="shared" si="144"/>
        <v>55517 CT02</v>
      </c>
      <c r="AA3090" s="3">
        <f>IF(INDEX('CAMD Facility Data 2023'!$AA$2:$AE$10000,MATCH(Z3090,'CAMD Facility Data 2023'!$AE$2:$AE$10000,0),1)&gt;0,INDEX('CAMD Facility Data 2023'!$AA$2:$AE$10000,MATCH(Z3090,'CAMD Facility Data 2023'!$AE$2:$AE$10000,0),1),"")</f>
        <v>37142</v>
      </c>
      <c r="AB3090" s="5">
        <f>IF(INDEX('CAMD Facility Data 2023'!$AC$2:$AE$10000,MATCH(Z3090,'CAMD Facility Data 2023'!$AE$2:$AE$10000,0),1)&gt;0,INDEX('CAMD Facility Data 2023'!$AC$2:$AE$10000,MATCH(Z3090,'CAMD Facility Data 2023'!$AE$2:$AE$10000,0),1),"")</f>
        <v>530</v>
      </c>
      <c r="AC3090" s="1" t="str">
        <f>IF(INDEX('CAMD Facility Data 2023'!$AE$2:$AG$10000,MATCH(Z3090,'CAMD Facility Data 2023'!$AE$2:$AE$10000,0),3)&gt;0,INDEX('CAMD Facility Data 2023'!$AE$2:$AG$10000,MATCH(Z3090,'CAMD Facility Data 2023'!$AE$2:$AE$10000,0),3),"")</f>
        <v>Y</v>
      </c>
      <c r="AD3090" s="20">
        <f t="shared" si="145"/>
        <v>0.11090346828912039</v>
      </c>
      <c r="AE3090" s="25">
        <f t="shared" si="146"/>
        <v>5.7457840527268024E-2</v>
      </c>
    </row>
    <row r="3091" spans="1:31" x14ac:dyDescent="0.2">
      <c r="A3091" s="1" t="s">
        <v>577</v>
      </c>
      <c r="B3091" s="1" t="s">
        <v>6979</v>
      </c>
      <c r="C3091" s="1">
        <v>55517</v>
      </c>
      <c r="D3091" s="1" t="s">
        <v>1043</v>
      </c>
      <c r="F3091" s="1">
        <v>2023</v>
      </c>
      <c r="G3091" s="5">
        <v>907</v>
      </c>
      <c r="H3091" s="5">
        <v>677.62</v>
      </c>
      <c r="I3091" s="5">
        <v>25808.99</v>
      </c>
      <c r="K3091" s="5">
        <v>7.8E-2</v>
      </c>
      <c r="L3091" s="5">
        <v>8.0000000000000004E-4</v>
      </c>
      <c r="M3091" s="5">
        <v>15826.651</v>
      </c>
      <c r="N3091" s="6">
        <v>5.9299999999999999E-2</v>
      </c>
      <c r="O3091" s="5">
        <v>1.4950000000000001</v>
      </c>
      <c r="P3091" s="6">
        <v>1.5800000000000002E-2</v>
      </c>
      <c r="Q3091" s="5">
        <v>266293.29399999999</v>
      </c>
      <c r="R3091" s="1" t="s">
        <v>44</v>
      </c>
      <c r="T3091" s="1" t="s">
        <v>93</v>
      </c>
      <c r="V3091" s="1" t="s">
        <v>176</v>
      </c>
      <c r="Y3091" s="1" t="s">
        <v>579</v>
      </c>
      <c r="Z3091" s="1" t="str">
        <f t="shared" si="144"/>
        <v>55517 CT03</v>
      </c>
      <c r="AA3091" s="3">
        <f>IF(INDEX('CAMD Facility Data 2023'!$AA$2:$AE$10000,MATCH(Z3091,'CAMD Facility Data 2023'!$AE$2:$AE$10000,0),1)&gt;0,INDEX('CAMD Facility Data 2023'!$AA$2:$AE$10000,MATCH(Z3091,'CAMD Facility Data 2023'!$AE$2:$AE$10000,0),1),"")</f>
        <v>37125</v>
      </c>
      <c r="AB3091" s="5">
        <f>IF(INDEX('CAMD Facility Data 2023'!$AC$2:$AE$10000,MATCH(Z3091,'CAMD Facility Data 2023'!$AE$2:$AE$10000,0),1)&gt;0,INDEX('CAMD Facility Data 2023'!$AC$2:$AE$10000,MATCH(Z3091,'CAMD Facility Data 2023'!$AE$2:$AE$10000,0),1),"")</f>
        <v>530</v>
      </c>
      <c r="AC3091" s="1" t="str">
        <f>IF(INDEX('CAMD Facility Data 2023'!$AE$2:$AG$10000,MATCH(Z3091,'CAMD Facility Data 2023'!$AE$2:$AE$10000,0),3)&gt;0,INDEX('CAMD Facility Data 2023'!$AE$2:$AG$10000,MATCH(Z3091,'CAMD Facility Data 2023'!$AE$2:$AE$10000,0),3),"")</f>
        <v>Y</v>
      </c>
      <c r="AD3091" s="20">
        <f t="shared" si="145"/>
        <v>0.1158511045957242</v>
      </c>
      <c r="AE3091" s="25">
        <f t="shared" si="146"/>
        <v>5.7356184629964675E-2</v>
      </c>
    </row>
    <row r="3092" spans="1:31" x14ac:dyDescent="0.2">
      <c r="A3092" s="1" t="s">
        <v>577</v>
      </c>
      <c r="B3092" s="1" t="s">
        <v>6979</v>
      </c>
      <c r="C3092" s="1">
        <v>55517</v>
      </c>
      <c r="D3092" s="1" t="s">
        <v>1048</v>
      </c>
      <c r="F3092" s="1">
        <v>2023</v>
      </c>
      <c r="G3092" s="5">
        <v>693</v>
      </c>
      <c r="H3092" s="5">
        <v>510.18</v>
      </c>
      <c r="I3092" s="5">
        <v>19246.21</v>
      </c>
      <c r="K3092" s="5">
        <v>5.7000000000000002E-2</v>
      </c>
      <c r="L3092" s="5">
        <v>8.0000000000000004E-4</v>
      </c>
      <c r="M3092" s="5">
        <v>11850.710999999999</v>
      </c>
      <c r="N3092" s="6">
        <v>5.9200000000000003E-2</v>
      </c>
      <c r="O3092" s="5">
        <v>1.034</v>
      </c>
      <c r="P3092" s="6">
        <v>1.49E-2</v>
      </c>
      <c r="Q3092" s="5">
        <v>199414.41099999999</v>
      </c>
      <c r="R3092" s="1" t="s">
        <v>44</v>
      </c>
      <c r="T3092" s="1" t="s">
        <v>93</v>
      </c>
      <c r="V3092" s="1" t="s">
        <v>176</v>
      </c>
      <c r="Y3092" s="1" t="s">
        <v>579</v>
      </c>
      <c r="Z3092" s="1" t="str">
        <f t="shared" si="144"/>
        <v>55517 CT04</v>
      </c>
      <c r="AA3092" s="3">
        <f>IF(INDEX('CAMD Facility Data 2023'!$AA$2:$AE$10000,MATCH(Z3092,'CAMD Facility Data 2023'!$AE$2:$AE$10000,0),1)&gt;0,INDEX('CAMD Facility Data 2023'!$AA$2:$AE$10000,MATCH(Z3092,'CAMD Facility Data 2023'!$AE$2:$AE$10000,0),1),"")</f>
        <v>37124</v>
      </c>
      <c r="AB3092" s="5">
        <f>IF(INDEX('CAMD Facility Data 2023'!$AC$2:$AE$10000,MATCH(Z3092,'CAMD Facility Data 2023'!$AE$2:$AE$10000,0),1)&gt;0,INDEX('CAMD Facility Data 2023'!$AC$2:$AE$10000,MATCH(Z3092,'CAMD Facility Data 2023'!$AE$2:$AE$10000,0),1),"")</f>
        <v>530</v>
      </c>
      <c r="AC3092" s="1" t="str">
        <f>IF(INDEX('CAMD Facility Data 2023'!$AE$2:$AG$10000,MATCH(Z3092,'CAMD Facility Data 2023'!$AE$2:$AE$10000,0),3)&gt;0,INDEX('CAMD Facility Data 2023'!$AE$2:$AG$10000,MATCH(Z3092,'CAMD Facility Data 2023'!$AE$2:$AE$10000,0),3),"")</f>
        <v>Y</v>
      </c>
      <c r="AD3092" s="20">
        <f t="shared" si="145"/>
        <v>0.10744972646562623</v>
      </c>
      <c r="AE3092" s="25">
        <f t="shared" si="146"/>
        <v>4.2951324847075041E-2</v>
      </c>
    </row>
    <row r="3093" spans="1:31" x14ac:dyDescent="0.2">
      <c r="A3093" s="1" t="s">
        <v>577</v>
      </c>
      <c r="B3093" s="1" t="s">
        <v>6979</v>
      </c>
      <c r="C3093" s="1">
        <v>55517</v>
      </c>
      <c r="D3093" s="1" t="s">
        <v>1050</v>
      </c>
      <c r="F3093" s="1">
        <v>2023</v>
      </c>
      <c r="G3093" s="5">
        <v>960</v>
      </c>
      <c r="H3093" s="5">
        <v>714.59</v>
      </c>
      <c r="I3093" s="5">
        <v>26032.78</v>
      </c>
      <c r="K3093" s="5">
        <v>7.3999999999999996E-2</v>
      </c>
      <c r="L3093" s="5">
        <v>8.0000000000000004E-4</v>
      </c>
      <c r="M3093" s="5">
        <v>16099.578</v>
      </c>
      <c r="N3093" s="6">
        <v>5.9299999999999999E-2</v>
      </c>
      <c r="O3093" s="5">
        <v>1.621</v>
      </c>
      <c r="P3093" s="6">
        <v>1.6899999999999998E-2</v>
      </c>
      <c r="Q3093" s="5">
        <v>270889.05900000001</v>
      </c>
      <c r="R3093" s="1" t="s">
        <v>44</v>
      </c>
      <c r="T3093" s="1" t="s">
        <v>93</v>
      </c>
      <c r="V3093" s="1" t="s">
        <v>176</v>
      </c>
      <c r="Y3093" s="1" t="s">
        <v>579</v>
      </c>
      <c r="Z3093" s="1" t="str">
        <f t="shared" si="144"/>
        <v>55517 CT05</v>
      </c>
      <c r="AA3093" s="3">
        <f>IF(INDEX('CAMD Facility Data 2023'!$AA$2:$AE$10000,MATCH(Z3093,'CAMD Facility Data 2023'!$AE$2:$AE$10000,0),1)&gt;0,INDEX('CAMD Facility Data 2023'!$AA$2:$AE$10000,MATCH(Z3093,'CAMD Facility Data 2023'!$AE$2:$AE$10000,0),1),"")</f>
        <v>37123</v>
      </c>
      <c r="AB3093" s="5">
        <f>IF(INDEX('CAMD Facility Data 2023'!$AC$2:$AE$10000,MATCH(Z3093,'CAMD Facility Data 2023'!$AE$2:$AE$10000,0),1)&gt;0,INDEX('CAMD Facility Data 2023'!$AC$2:$AE$10000,MATCH(Z3093,'CAMD Facility Data 2023'!$AE$2:$AE$10000,0),1),"")</f>
        <v>530</v>
      </c>
      <c r="AC3093" s="1" t="str">
        <f>IF(INDEX('CAMD Facility Data 2023'!$AE$2:$AG$10000,MATCH(Z3093,'CAMD Facility Data 2023'!$AE$2:$AE$10000,0),3)&gt;0,INDEX('CAMD Facility Data 2023'!$AE$2:$AG$10000,MATCH(Z3093,'CAMD Facility Data 2023'!$AE$2:$AE$10000,0),3),"")</f>
        <v>Y</v>
      </c>
      <c r="AD3093" s="20">
        <f t="shared" si="145"/>
        <v>0.12453529742117439</v>
      </c>
      <c r="AE3093" s="25">
        <f t="shared" si="146"/>
        <v>5.8346053889894028E-2</v>
      </c>
    </row>
    <row r="3094" spans="1:31" x14ac:dyDescent="0.2">
      <c r="A3094" s="1" t="s">
        <v>577</v>
      </c>
      <c r="B3094" s="1" t="s">
        <v>6979</v>
      </c>
      <c r="C3094" s="1">
        <v>55517</v>
      </c>
      <c r="D3094" s="1" t="s">
        <v>4517</v>
      </c>
      <c r="F3094" s="1">
        <v>2023</v>
      </c>
      <c r="G3094" s="5">
        <v>721</v>
      </c>
      <c r="H3094" s="5">
        <v>539.4</v>
      </c>
      <c r="I3094" s="5">
        <v>20943.48</v>
      </c>
      <c r="K3094" s="5">
        <v>6.2E-2</v>
      </c>
      <c r="L3094" s="5">
        <v>8.9999999999999998E-4</v>
      </c>
      <c r="M3094" s="5">
        <v>12693.217000000001</v>
      </c>
      <c r="N3094" s="6">
        <v>5.9200000000000003E-2</v>
      </c>
      <c r="O3094" s="5">
        <v>1.0680000000000001</v>
      </c>
      <c r="P3094" s="6">
        <v>1.5900000000000001E-2</v>
      </c>
      <c r="Q3094" s="5">
        <v>213582.473</v>
      </c>
      <c r="R3094" s="1" t="s">
        <v>44</v>
      </c>
      <c r="T3094" s="1" t="s">
        <v>93</v>
      </c>
      <c r="V3094" s="1" t="s">
        <v>176</v>
      </c>
      <c r="Y3094" s="1" t="s">
        <v>579</v>
      </c>
      <c r="Z3094" s="1" t="str">
        <f t="shared" si="144"/>
        <v>55517 CT06</v>
      </c>
      <c r="AA3094" s="3">
        <f>IF(INDEX('CAMD Facility Data 2023'!$AA$2:$AE$10000,MATCH(Z3094,'CAMD Facility Data 2023'!$AE$2:$AE$10000,0),1)&gt;0,INDEX('CAMD Facility Data 2023'!$AA$2:$AE$10000,MATCH(Z3094,'CAMD Facility Data 2023'!$AE$2:$AE$10000,0),1),"")</f>
        <v>43076</v>
      </c>
      <c r="AB3094" s="5">
        <f>IF(INDEX('CAMD Facility Data 2023'!$AC$2:$AE$10000,MATCH(Z3094,'CAMD Facility Data 2023'!$AE$2:$AE$10000,0),1)&gt;0,INDEX('CAMD Facility Data 2023'!$AC$2:$AE$10000,MATCH(Z3094,'CAMD Facility Data 2023'!$AE$2:$AE$10000,0),1),"")</f>
        <v>485</v>
      </c>
      <c r="AC3094" s="1" t="str">
        <f>IF(INDEX('CAMD Facility Data 2023'!$AE$2:$AG$10000,MATCH(Z3094,'CAMD Facility Data 2023'!$AE$2:$AE$10000,0),3)&gt;0,INDEX('CAMD Facility Data 2023'!$AE$2:$AG$10000,MATCH(Z3094,'CAMD Facility Data 2023'!$AE$2:$AE$10000,0),3),"")</f>
        <v>Y</v>
      </c>
      <c r="AD3094" s="20">
        <f t="shared" si="145"/>
        <v>0.10198878123406425</v>
      </c>
      <c r="AE3094" s="25">
        <f t="shared" si="146"/>
        <v>5.0271259473708987E-2</v>
      </c>
    </row>
    <row r="3095" spans="1:31" x14ac:dyDescent="0.2">
      <c r="A3095" s="1" t="s">
        <v>577</v>
      </c>
      <c r="B3095" s="1" t="s">
        <v>6979</v>
      </c>
      <c r="C3095" s="1">
        <v>55517</v>
      </c>
      <c r="D3095" s="1" t="s">
        <v>5961</v>
      </c>
      <c r="F3095" s="1">
        <v>2023</v>
      </c>
      <c r="G3095" s="5">
        <v>915</v>
      </c>
      <c r="H3095" s="5">
        <v>677.83</v>
      </c>
      <c r="I3095" s="5">
        <v>25877.26</v>
      </c>
      <c r="K3095" s="5">
        <v>7.5999999999999998E-2</v>
      </c>
      <c r="L3095" s="5">
        <v>8.9999999999999998E-4</v>
      </c>
      <c r="M3095" s="5">
        <v>15776.130999999999</v>
      </c>
      <c r="N3095" s="6">
        <v>5.9299999999999999E-2</v>
      </c>
      <c r="O3095" s="5">
        <v>1.292</v>
      </c>
      <c r="P3095" s="6">
        <v>1.4E-2</v>
      </c>
      <c r="Q3095" s="5">
        <v>265460.03100000002</v>
      </c>
      <c r="R3095" s="1" t="s">
        <v>44</v>
      </c>
      <c r="T3095" s="1" t="s">
        <v>93</v>
      </c>
      <c r="V3095" s="1" t="s">
        <v>176</v>
      </c>
      <c r="Y3095" s="1" t="s">
        <v>579</v>
      </c>
      <c r="Z3095" s="1" t="str">
        <f t="shared" si="144"/>
        <v>55517 CT07</v>
      </c>
      <c r="AA3095" s="3">
        <f>IF(INDEX('CAMD Facility Data 2023'!$AA$2:$AE$10000,MATCH(Z3095,'CAMD Facility Data 2023'!$AE$2:$AE$10000,0),1)&gt;0,INDEX('CAMD Facility Data 2023'!$AA$2:$AE$10000,MATCH(Z3095,'CAMD Facility Data 2023'!$AE$2:$AE$10000,0),1),"")</f>
        <v>43076</v>
      </c>
      <c r="AB3095" s="5">
        <f>IF(INDEX('CAMD Facility Data 2023'!$AC$2:$AE$10000,MATCH(Z3095,'CAMD Facility Data 2023'!$AE$2:$AE$10000,0),1)&gt;0,INDEX('CAMD Facility Data 2023'!$AC$2:$AE$10000,MATCH(Z3095,'CAMD Facility Data 2023'!$AE$2:$AE$10000,0),1),"")</f>
        <v>478</v>
      </c>
      <c r="AC3095" s="1" t="str">
        <f>IF(INDEX('CAMD Facility Data 2023'!$AE$2:$AG$10000,MATCH(Z3095,'CAMD Facility Data 2023'!$AE$2:$AE$10000,0),3)&gt;0,INDEX('CAMD Facility Data 2023'!$AE$2:$AG$10000,MATCH(Z3095,'CAMD Facility Data 2023'!$AE$2:$AE$10000,0),3),"")</f>
        <v>Y</v>
      </c>
      <c r="AD3095" s="20">
        <f t="shared" si="145"/>
        <v>9.9856012576292855E-2</v>
      </c>
      <c r="AE3095" s="25">
        <f t="shared" si="146"/>
        <v>6.3396770934831204E-2</v>
      </c>
    </row>
    <row r="3096" spans="1:31" x14ac:dyDescent="0.2">
      <c r="A3096" s="1" t="s">
        <v>370</v>
      </c>
      <c r="B3096" s="1" t="s">
        <v>6988</v>
      </c>
      <c r="C3096" s="1">
        <v>55518</v>
      </c>
      <c r="D3096" s="1" t="s">
        <v>1129</v>
      </c>
      <c r="F3096" s="1">
        <v>2023</v>
      </c>
      <c r="G3096" s="5">
        <v>5443</v>
      </c>
      <c r="H3096" s="5">
        <v>5331.19</v>
      </c>
      <c r="I3096" s="5">
        <v>1356206.48</v>
      </c>
      <c r="K3096" s="5">
        <v>2.8860000000000001</v>
      </c>
      <c r="L3096" s="5">
        <v>1E-3</v>
      </c>
      <c r="M3096" s="5">
        <v>571613.85900000005</v>
      </c>
      <c r="N3096" s="6">
        <v>5.8999999999999997E-2</v>
      </c>
      <c r="O3096" s="5">
        <v>32.079000000000001</v>
      </c>
      <c r="P3096" s="6">
        <v>8.5000000000000006E-3</v>
      </c>
      <c r="Q3096" s="5">
        <v>9618472.5280000009</v>
      </c>
      <c r="R3096" s="1" t="s">
        <v>44</v>
      </c>
      <c r="T3096" s="1" t="s">
        <v>71</v>
      </c>
      <c r="V3096" s="1" t="s">
        <v>223</v>
      </c>
      <c r="Y3096" s="1" t="s">
        <v>247</v>
      </c>
      <c r="Z3096" s="1" t="str">
        <f t="shared" si="144"/>
        <v>55518 CTG1</v>
      </c>
      <c r="AA3096" s="3">
        <f>IF(INDEX('CAMD Facility Data 2023'!$AA$2:$AE$10000,MATCH(Z3096,'CAMD Facility Data 2023'!$AE$2:$AE$10000,0),1)&gt;0,INDEX('CAMD Facility Data 2023'!$AA$2:$AE$10000,MATCH(Z3096,'CAMD Facility Data 2023'!$AE$2:$AE$10000,0),1),"")</f>
        <v>37679</v>
      </c>
      <c r="AB3096" s="5">
        <f>IF(INDEX('CAMD Facility Data 2023'!$AC$2:$AE$10000,MATCH(Z3096,'CAMD Facility Data 2023'!$AE$2:$AE$10000,0),1)&gt;0,INDEX('CAMD Facility Data 2023'!$AC$2:$AE$10000,MATCH(Z3096,'CAMD Facility Data 2023'!$AE$2:$AE$10000,0),1),"")</f>
        <v>2237</v>
      </c>
      <c r="AC3096" s="1" t="str">
        <f>IF(INDEX('CAMD Facility Data 2023'!$AE$2:$AG$10000,MATCH(Z3096,'CAMD Facility Data 2023'!$AE$2:$AE$10000,0),3)&gt;0,INDEX('CAMD Facility Data 2023'!$AE$2:$AG$10000,MATCH(Z3096,'CAMD Facility Data 2023'!$AE$2:$AE$10000,0),3),"")</f>
        <v>Y</v>
      </c>
      <c r="AD3096" s="20">
        <f t="shared" si="145"/>
        <v>4.7306955796288484E-2</v>
      </c>
      <c r="AE3096" s="25">
        <f t="shared" si="146"/>
        <v>0.49083555969242898</v>
      </c>
    </row>
    <row r="3097" spans="1:31" x14ac:dyDescent="0.2">
      <c r="A3097" s="1" t="s">
        <v>370</v>
      </c>
      <c r="B3097" s="1" t="s">
        <v>6988</v>
      </c>
      <c r="C3097" s="1">
        <v>55518</v>
      </c>
      <c r="D3097" s="1" t="s">
        <v>1135</v>
      </c>
      <c r="F3097" s="1">
        <v>2023</v>
      </c>
      <c r="G3097" s="5">
        <v>5567</v>
      </c>
      <c r="H3097" s="5">
        <v>5450.68</v>
      </c>
      <c r="I3097" s="5">
        <v>1380535.59</v>
      </c>
      <c r="K3097" s="5">
        <v>2.92</v>
      </c>
      <c r="L3097" s="5">
        <v>1E-3</v>
      </c>
      <c r="M3097" s="5">
        <v>578322.83499999996</v>
      </c>
      <c r="N3097" s="6">
        <v>5.8999999999999997E-2</v>
      </c>
      <c r="O3097" s="5">
        <v>33.534999999999997</v>
      </c>
      <c r="P3097" s="6">
        <v>8.6E-3</v>
      </c>
      <c r="Q3097" s="5">
        <v>9731427.0700000003</v>
      </c>
      <c r="R3097" s="1" t="s">
        <v>44</v>
      </c>
      <c r="T3097" s="1" t="s">
        <v>71</v>
      </c>
      <c r="V3097" s="1" t="s">
        <v>223</v>
      </c>
      <c r="Y3097" s="1" t="s">
        <v>247</v>
      </c>
      <c r="Z3097" s="1" t="str">
        <f t="shared" si="144"/>
        <v>55518 CTG2</v>
      </c>
      <c r="AA3097" s="3">
        <f>IF(INDEX('CAMD Facility Data 2023'!$AA$2:$AE$10000,MATCH(Z3097,'CAMD Facility Data 2023'!$AE$2:$AE$10000,0),1)&gt;0,INDEX('CAMD Facility Data 2023'!$AA$2:$AE$10000,MATCH(Z3097,'CAMD Facility Data 2023'!$AE$2:$AE$10000,0),1),"")</f>
        <v>37679</v>
      </c>
      <c r="AB3097" s="5">
        <f>IF(INDEX('CAMD Facility Data 2023'!$AC$2:$AE$10000,MATCH(Z3097,'CAMD Facility Data 2023'!$AE$2:$AE$10000,0),1)&gt;0,INDEX('CAMD Facility Data 2023'!$AC$2:$AE$10000,MATCH(Z3097,'CAMD Facility Data 2023'!$AE$2:$AE$10000,0),1),"")</f>
        <v>2237</v>
      </c>
      <c r="AC3097" s="1" t="str">
        <f>IF(INDEX('CAMD Facility Data 2023'!$AE$2:$AG$10000,MATCH(Z3097,'CAMD Facility Data 2023'!$AE$2:$AE$10000,0),3)&gt;0,INDEX('CAMD Facility Data 2023'!$AE$2:$AG$10000,MATCH(Z3097,'CAMD Facility Data 2023'!$AE$2:$AE$10000,0),3),"")</f>
        <v>Y</v>
      </c>
      <c r="AD3097" s="20">
        <f t="shared" si="145"/>
        <v>4.8582593948193684E-2</v>
      </c>
      <c r="AE3097" s="25">
        <f t="shared" si="146"/>
        <v>0.49659968759121703</v>
      </c>
    </row>
    <row r="3098" spans="1:31" x14ac:dyDescent="0.2">
      <c r="A3098" s="1" t="s">
        <v>370</v>
      </c>
      <c r="B3098" s="1" t="s">
        <v>6988</v>
      </c>
      <c r="C3098" s="1">
        <v>55518</v>
      </c>
      <c r="D3098" s="1" t="s">
        <v>6002</v>
      </c>
      <c r="F3098" s="1">
        <v>2023</v>
      </c>
      <c r="G3098" s="5">
        <v>5656</v>
      </c>
      <c r="H3098" s="5">
        <v>5552.29</v>
      </c>
      <c r="I3098" s="5">
        <v>1407428.82</v>
      </c>
      <c r="K3098" s="5">
        <v>3.008</v>
      </c>
      <c r="L3098" s="5">
        <v>1E-3</v>
      </c>
      <c r="M3098" s="5">
        <v>595871.65700000001</v>
      </c>
      <c r="N3098" s="6">
        <v>5.8999999999999997E-2</v>
      </c>
      <c r="O3098" s="5">
        <v>34.347000000000001</v>
      </c>
      <c r="P3098" s="6">
        <v>8.3999999999999995E-3</v>
      </c>
      <c r="Q3098" s="5">
        <v>10026657.236</v>
      </c>
      <c r="R3098" s="1" t="s">
        <v>44</v>
      </c>
      <c r="T3098" s="1" t="s">
        <v>71</v>
      </c>
      <c r="V3098" s="1" t="s">
        <v>223</v>
      </c>
      <c r="Y3098" s="1" t="s">
        <v>247</v>
      </c>
      <c r="Z3098" s="1" t="str">
        <f t="shared" si="144"/>
        <v>55518 CTG3</v>
      </c>
      <c r="AA3098" s="3">
        <f>IF(INDEX('CAMD Facility Data 2023'!$AA$2:$AE$10000,MATCH(Z3098,'CAMD Facility Data 2023'!$AE$2:$AE$10000,0),1)&gt;0,INDEX('CAMD Facility Data 2023'!$AA$2:$AE$10000,MATCH(Z3098,'CAMD Facility Data 2023'!$AE$2:$AE$10000,0),1),"")</f>
        <v>37679</v>
      </c>
      <c r="AB3098" s="5">
        <f>IF(INDEX('CAMD Facility Data 2023'!$AC$2:$AE$10000,MATCH(Z3098,'CAMD Facility Data 2023'!$AE$2:$AE$10000,0),1)&gt;0,INDEX('CAMD Facility Data 2023'!$AC$2:$AE$10000,MATCH(Z3098,'CAMD Facility Data 2023'!$AE$2:$AE$10000,0),1),"")</f>
        <v>2237</v>
      </c>
      <c r="AC3098" s="1" t="str">
        <f>IF(INDEX('CAMD Facility Data 2023'!$AE$2:$AG$10000,MATCH(Z3098,'CAMD Facility Data 2023'!$AE$2:$AE$10000,0),3)&gt;0,INDEX('CAMD Facility Data 2023'!$AE$2:$AG$10000,MATCH(Z3098,'CAMD Facility Data 2023'!$AE$2:$AE$10000,0),3),"")</f>
        <v>Y</v>
      </c>
      <c r="AD3098" s="20">
        <f t="shared" si="145"/>
        <v>4.880815215933975E-2</v>
      </c>
      <c r="AE3098" s="25">
        <f t="shared" si="146"/>
        <v>0.51166543356542005</v>
      </c>
    </row>
    <row r="3099" spans="1:31" x14ac:dyDescent="0.2">
      <c r="A3099" s="1" t="s">
        <v>234</v>
      </c>
      <c r="B3099" s="1" t="s">
        <v>6993</v>
      </c>
      <c r="C3099" s="1">
        <v>55522</v>
      </c>
      <c r="D3099" s="1" t="s">
        <v>993</v>
      </c>
      <c r="F3099" s="1">
        <v>2023</v>
      </c>
      <c r="G3099" s="5">
        <v>1632</v>
      </c>
      <c r="H3099" s="5">
        <v>1390.43</v>
      </c>
      <c r="I3099" s="5">
        <v>55668.38</v>
      </c>
      <c r="K3099" s="5">
        <v>0.17</v>
      </c>
      <c r="L3099" s="5">
        <v>1E-3</v>
      </c>
      <c r="M3099" s="5">
        <v>33597.741000000002</v>
      </c>
      <c r="N3099" s="6">
        <v>5.9200000000000003E-2</v>
      </c>
      <c r="O3099" s="5">
        <v>3.855</v>
      </c>
      <c r="P3099" s="6">
        <v>2.46E-2</v>
      </c>
      <c r="Q3099" s="5">
        <v>565348.00800000003</v>
      </c>
      <c r="R3099" s="1" t="s">
        <v>44</v>
      </c>
      <c r="T3099" s="1" t="s">
        <v>93</v>
      </c>
      <c r="V3099" s="1" t="s">
        <v>176</v>
      </c>
      <c r="Y3099" s="1" t="s">
        <v>247</v>
      </c>
      <c r="Z3099" s="1" t="str">
        <f t="shared" si="144"/>
        <v>55522 CT01</v>
      </c>
      <c r="AA3099" s="3">
        <f>IF(INDEX('CAMD Facility Data 2023'!$AA$2:$AE$10000,MATCH(Z3099,'CAMD Facility Data 2023'!$AE$2:$AE$10000,0),1)&gt;0,INDEX('CAMD Facility Data 2023'!$AA$2:$AE$10000,MATCH(Z3099,'CAMD Facility Data 2023'!$AE$2:$AE$10000,0),1),"")</f>
        <v>37404</v>
      </c>
      <c r="AB3099" s="5">
        <f>IF(INDEX('CAMD Facility Data 2023'!$AC$2:$AE$10000,MATCH(Z3099,'CAMD Facility Data 2023'!$AE$2:$AE$10000,0),1)&gt;0,INDEX('CAMD Facility Data 2023'!$AC$2:$AE$10000,MATCH(Z3099,'CAMD Facility Data 2023'!$AE$2:$AE$10000,0),1),"")</f>
        <v>495</v>
      </c>
      <c r="AC3099" s="1" t="str">
        <f>IF(INDEX('CAMD Facility Data 2023'!$AE$2:$AG$10000,MATCH(Z3099,'CAMD Facility Data 2023'!$AE$2:$AE$10000,0),3)&gt;0,INDEX('CAMD Facility Data 2023'!$AE$2:$AG$10000,MATCH(Z3099,'CAMD Facility Data 2023'!$AE$2:$AE$10000,0),3),"")</f>
        <v>Y</v>
      </c>
      <c r="AD3099" s="20">
        <f t="shared" si="145"/>
        <v>0.13849873123665535</v>
      </c>
      <c r="AE3099" s="25">
        <f t="shared" si="146"/>
        <v>0.13037867441538675</v>
      </c>
    </row>
    <row r="3100" spans="1:31" x14ac:dyDescent="0.2">
      <c r="A3100" s="1" t="s">
        <v>234</v>
      </c>
      <c r="B3100" s="1" t="s">
        <v>6993</v>
      </c>
      <c r="C3100" s="1">
        <v>55522</v>
      </c>
      <c r="D3100" s="1" t="s">
        <v>998</v>
      </c>
      <c r="F3100" s="1">
        <v>2023</v>
      </c>
      <c r="G3100" s="5">
        <v>1702</v>
      </c>
      <c r="H3100" s="5">
        <v>1437.94</v>
      </c>
      <c r="I3100" s="5">
        <v>57078.17</v>
      </c>
      <c r="K3100" s="5">
        <v>0.17100000000000001</v>
      </c>
      <c r="L3100" s="5">
        <v>1E-3</v>
      </c>
      <c r="M3100" s="5">
        <v>33917.258000000002</v>
      </c>
      <c r="N3100" s="6">
        <v>5.9299999999999999E-2</v>
      </c>
      <c r="O3100" s="5">
        <v>3.8330000000000002</v>
      </c>
      <c r="P3100" s="6">
        <v>2.7799999999999998E-2</v>
      </c>
      <c r="Q3100" s="5">
        <v>570740.826</v>
      </c>
      <c r="R3100" s="1" t="s">
        <v>44</v>
      </c>
      <c r="T3100" s="1" t="s">
        <v>93</v>
      </c>
      <c r="V3100" s="1" t="s">
        <v>176</v>
      </c>
      <c r="Y3100" s="1" t="s">
        <v>247</v>
      </c>
      <c r="Z3100" s="1" t="str">
        <f t="shared" si="144"/>
        <v>55522 CT02</v>
      </c>
      <c r="AA3100" s="3">
        <f>IF(INDEX('CAMD Facility Data 2023'!$AA$2:$AE$10000,MATCH(Z3100,'CAMD Facility Data 2023'!$AE$2:$AE$10000,0),1)&gt;0,INDEX('CAMD Facility Data 2023'!$AA$2:$AE$10000,MATCH(Z3100,'CAMD Facility Data 2023'!$AE$2:$AE$10000,0),1),"")</f>
        <v>37405</v>
      </c>
      <c r="AB3100" s="5">
        <f>IF(INDEX('CAMD Facility Data 2023'!$AC$2:$AE$10000,MATCH(Z3100,'CAMD Facility Data 2023'!$AE$2:$AE$10000,0),1)&gt;0,INDEX('CAMD Facility Data 2023'!$AC$2:$AE$10000,MATCH(Z3100,'CAMD Facility Data 2023'!$AE$2:$AE$10000,0),1),"")</f>
        <v>495</v>
      </c>
      <c r="AC3100" s="1" t="str">
        <f>IF(INDEX('CAMD Facility Data 2023'!$AE$2:$AG$10000,MATCH(Z3100,'CAMD Facility Data 2023'!$AE$2:$AE$10000,0),3)&gt;0,INDEX('CAMD Facility Data 2023'!$AE$2:$AG$10000,MATCH(Z3100,'CAMD Facility Data 2023'!$AE$2:$AE$10000,0),3),"")</f>
        <v>Y</v>
      </c>
      <c r="AD3100" s="20">
        <f t="shared" si="145"/>
        <v>0.13430703892573992</v>
      </c>
      <c r="AE3100" s="25">
        <f t="shared" si="146"/>
        <v>0.13162234813892348</v>
      </c>
    </row>
    <row r="3101" spans="1:31" x14ac:dyDescent="0.2">
      <c r="A3101" s="1" t="s">
        <v>234</v>
      </c>
      <c r="B3101" s="1" t="s">
        <v>6993</v>
      </c>
      <c r="C3101" s="1">
        <v>55522</v>
      </c>
      <c r="D3101" s="1" t="s">
        <v>1043</v>
      </c>
      <c r="F3101" s="1">
        <v>2023</v>
      </c>
      <c r="G3101" s="5">
        <v>1533</v>
      </c>
      <c r="H3101" s="5">
        <v>1299.6199999999999</v>
      </c>
      <c r="I3101" s="5">
        <v>52042.07</v>
      </c>
      <c r="K3101" s="5">
        <v>0.14899999999999999</v>
      </c>
      <c r="L3101" s="5">
        <v>1E-3</v>
      </c>
      <c r="M3101" s="5">
        <v>29514.883000000002</v>
      </c>
      <c r="N3101" s="6">
        <v>5.9200000000000003E-2</v>
      </c>
      <c r="O3101" s="5">
        <v>3.4929999999999999</v>
      </c>
      <c r="P3101" s="6">
        <v>2.8000000000000001E-2</v>
      </c>
      <c r="Q3101" s="5">
        <v>496648.72399999999</v>
      </c>
      <c r="R3101" s="1" t="s">
        <v>44</v>
      </c>
      <c r="T3101" s="1" t="s">
        <v>93</v>
      </c>
      <c r="V3101" s="1" t="s">
        <v>176</v>
      </c>
      <c r="Y3101" s="1" t="s">
        <v>247</v>
      </c>
      <c r="Z3101" s="1" t="str">
        <f t="shared" si="144"/>
        <v>55522 CT03</v>
      </c>
      <c r="AA3101" s="3">
        <f>IF(INDEX('CAMD Facility Data 2023'!$AA$2:$AE$10000,MATCH(Z3101,'CAMD Facility Data 2023'!$AE$2:$AE$10000,0),1)&gt;0,INDEX('CAMD Facility Data 2023'!$AA$2:$AE$10000,MATCH(Z3101,'CAMD Facility Data 2023'!$AE$2:$AE$10000,0),1),"")</f>
        <v>37396</v>
      </c>
      <c r="AB3101" s="5">
        <f>IF(INDEX('CAMD Facility Data 2023'!$AC$2:$AE$10000,MATCH(Z3101,'CAMD Facility Data 2023'!$AE$2:$AE$10000,0),1)&gt;0,INDEX('CAMD Facility Data 2023'!$AC$2:$AE$10000,MATCH(Z3101,'CAMD Facility Data 2023'!$AE$2:$AE$10000,0),1),"")</f>
        <v>495</v>
      </c>
      <c r="AC3101" s="1" t="str">
        <f>IF(INDEX('CAMD Facility Data 2023'!$AE$2:$AG$10000,MATCH(Z3101,'CAMD Facility Data 2023'!$AE$2:$AE$10000,0),3)&gt;0,INDEX('CAMD Facility Data 2023'!$AE$2:$AG$10000,MATCH(Z3101,'CAMD Facility Data 2023'!$AE$2:$AE$10000,0),3),"")</f>
        <v>Y</v>
      </c>
      <c r="AD3101" s="20">
        <f t="shared" si="145"/>
        <v>0.13423755050481273</v>
      </c>
      <c r="AE3101" s="25">
        <f t="shared" si="146"/>
        <v>0.11453547437848807</v>
      </c>
    </row>
    <row r="3102" spans="1:31" x14ac:dyDescent="0.2">
      <c r="A3102" s="1" t="s">
        <v>234</v>
      </c>
      <c r="B3102" s="1" t="s">
        <v>6993</v>
      </c>
      <c r="C3102" s="1">
        <v>55522</v>
      </c>
      <c r="D3102" s="1" t="s">
        <v>1048</v>
      </c>
      <c r="F3102" s="1">
        <v>2023</v>
      </c>
      <c r="G3102" s="5">
        <v>1643</v>
      </c>
      <c r="H3102" s="5">
        <v>1402.93</v>
      </c>
      <c r="I3102" s="5">
        <v>55914.16</v>
      </c>
      <c r="K3102" s="5">
        <v>0.16900000000000001</v>
      </c>
      <c r="L3102" s="5">
        <v>1E-3</v>
      </c>
      <c r="M3102" s="5">
        <v>33527.614999999998</v>
      </c>
      <c r="N3102" s="6">
        <v>5.9299999999999999E-2</v>
      </c>
      <c r="O3102" s="5">
        <v>3.883</v>
      </c>
      <c r="P3102" s="6">
        <v>3.2599999999999997E-2</v>
      </c>
      <c r="Q3102" s="5">
        <v>564149.55599999998</v>
      </c>
      <c r="R3102" s="1" t="s">
        <v>44</v>
      </c>
      <c r="T3102" s="1" t="s">
        <v>93</v>
      </c>
      <c r="V3102" s="1" t="s">
        <v>176</v>
      </c>
      <c r="Y3102" s="1" t="s">
        <v>247</v>
      </c>
      <c r="Z3102" s="1" t="str">
        <f t="shared" si="144"/>
        <v>55522 CT04</v>
      </c>
      <c r="AA3102" s="3">
        <f>IF(INDEX('CAMD Facility Data 2023'!$AA$2:$AE$10000,MATCH(Z3102,'CAMD Facility Data 2023'!$AE$2:$AE$10000,0),1)&gt;0,INDEX('CAMD Facility Data 2023'!$AA$2:$AE$10000,MATCH(Z3102,'CAMD Facility Data 2023'!$AE$2:$AE$10000,0),1),"")</f>
        <v>37396</v>
      </c>
      <c r="AB3102" s="5">
        <f>IF(INDEX('CAMD Facility Data 2023'!$AC$2:$AE$10000,MATCH(Z3102,'CAMD Facility Data 2023'!$AE$2:$AE$10000,0),1)&gt;0,INDEX('CAMD Facility Data 2023'!$AC$2:$AE$10000,MATCH(Z3102,'CAMD Facility Data 2023'!$AE$2:$AE$10000,0),1),"")</f>
        <v>495</v>
      </c>
      <c r="AC3102" s="1" t="str">
        <f>IF(INDEX('CAMD Facility Data 2023'!$AE$2:$AG$10000,MATCH(Z3102,'CAMD Facility Data 2023'!$AE$2:$AE$10000,0),3)&gt;0,INDEX('CAMD Facility Data 2023'!$AE$2:$AG$10000,MATCH(Z3102,'CAMD Facility Data 2023'!$AE$2:$AE$10000,0),3),"")</f>
        <v>Y</v>
      </c>
      <c r="AD3102" s="20">
        <f t="shared" si="145"/>
        <v>0.13889147221383635</v>
      </c>
      <c r="AE3102" s="25">
        <f t="shared" si="146"/>
        <v>0.1301022914072229</v>
      </c>
    </row>
    <row r="3103" spans="1:31" x14ac:dyDescent="0.2">
      <c r="A3103" s="1" t="s">
        <v>234</v>
      </c>
      <c r="B3103" s="1" t="s">
        <v>6993</v>
      </c>
      <c r="C3103" s="1">
        <v>55522</v>
      </c>
      <c r="D3103" s="1" t="s">
        <v>1050</v>
      </c>
      <c r="F3103" s="1">
        <v>2023</v>
      </c>
      <c r="G3103" s="5">
        <v>1603</v>
      </c>
      <c r="H3103" s="5">
        <v>1359.55</v>
      </c>
      <c r="I3103" s="5">
        <v>54109.31</v>
      </c>
      <c r="K3103" s="5">
        <v>0.159</v>
      </c>
      <c r="L3103" s="5">
        <v>1E-3</v>
      </c>
      <c r="M3103" s="5">
        <v>31589.32</v>
      </c>
      <c r="N3103" s="6">
        <v>5.9299999999999999E-2</v>
      </c>
      <c r="O3103" s="5">
        <v>3.161</v>
      </c>
      <c r="P3103" s="6">
        <v>2.29E-2</v>
      </c>
      <c r="Q3103" s="5">
        <v>531529.65800000005</v>
      </c>
      <c r="R3103" s="1" t="s">
        <v>44</v>
      </c>
      <c r="T3103" s="1" t="s">
        <v>93</v>
      </c>
      <c r="V3103" s="1" t="s">
        <v>176</v>
      </c>
      <c r="Y3103" s="1" t="s">
        <v>247</v>
      </c>
      <c r="Z3103" s="1" t="str">
        <f t="shared" si="144"/>
        <v>55522 CT05</v>
      </c>
      <c r="AA3103" s="3">
        <f>IF(INDEX('CAMD Facility Data 2023'!$AA$2:$AE$10000,MATCH(Z3103,'CAMD Facility Data 2023'!$AE$2:$AE$10000,0),1)&gt;0,INDEX('CAMD Facility Data 2023'!$AA$2:$AE$10000,MATCH(Z3103,'CAMD Facility Data 2023'!$AE$2:$AE$10000,0),1),"")</f>
        <v>37380</v>
      </c>
      <c r="AB3103" s="5">
        <f>IF(INDEX('CAMD Facility Data 2023'!$AC$2:$AE$10000,MATCH(Z3103,'CAMD Facility Data 2023'!$AE$2:$AE$10000,0),1)&gt;0,INDEX('CAMD Facility Data 2023'!$AC$2:$AE$10000,MATCH(Z3103,'CAMD Facility Data 2023'!$AE$2:$AE$10000,0),1),"")</f>
        <v>495</v>
      </c>
      <c r="AC3103" s="1" t="str">
        <f>IF(INDEX('CAMD Facility Data 2023'!$AE$2:$AG$10000,MATCH(Z3103,'CAMD Facility Data 2023'!$AE$2:$AE$10000,0),3)&gt;0,INDEX('CAMD Facility Data 2023'!$AE$2:$AG$10000,MATCH(Z3103,'CAMD Facility Data 2023'!$AE$2:$AE$10000,0),3),"")</f>
        <v>Y</v>
      </c>
      <c r="AD3103" s="20">
        <f t="shared" si="145"/>
        <v>0.11683756455219999</v>
      </c>
      <c r="AE3103" s="25">
        <f t="shared" si="146"/>
        <v>0.12257959918822933</v>
      </c>
    </row>
    <row r="3104" spans="1:31" x14ac:dyDescent="0.2">
      <c r="A3104" s="1" t="s">
        <v>234</v>
      </c>
      <c r="B3104" s="1" t="s">
        <v>6993</v>
      </c>
      <c r="C3104" s="1">
        <v>55522</v>
      </c>
      <c r="D3104" s="1" t="s">
        <v>4517</v>
      </c>
      <c r="F3104" s="1">
        <v>2023</v>
      </c>
      <c r="G3104" s="5">
        <v>1459</v>
      </c>
      <c r="H3104" s="5">
        <v>1213.6500000000001</v>
      </c>
      <c r="I3104" s="5">
        <v>48413.89</v>
      </c>
      <c r="K3104" s="5">
        <v>0.14499999999999999</v>
      </c>
      <c r="L3104" s="5">
        <v>1E-3</v>
      </c>
      <c r="M3104" s="5">
        <v>28701.462</v>
      </c>
      <c r="N3104" s="6">
        <v>5.9200000000000003E-2</v>
      </c>
      <c r="O3104" s="5">
        <v>2.7229999999999999</v>
      </c>
      <c r="P3104" s="6">
        <v>2.3300000000000001E-2</v>
      </c>
      <c r="Q3104" s="5">
        <v>482959.99099999998</v>
      </c>
      <c r="R3104" s="1" t="s">
        <v>44</v>
      </c>
      <c r="T3104" s="1" t="s">
        <v>93</v>
      </c>
      <c r="V3104" s="1" t="s">
        <v>176</v>
      </c>
      <c r="Y3104" s="1" t="s">
        <v>247</v>
      </c>
      <c r="Z3104" s="1" t="str">
        <f t="shared" si="144"/>
        <v>55522 CT06</v>
      </c>
      <c r="AA3104" s="3">
        <f>IF(INDEX('CAMD Facility Data 2023'!$AA$2:$AE$10000,MATCH(Z3104,'CAMD Facility Data 2023'!$AE$2:$AE$10000,0),1)&gt;0,INDEX('CAMD Facility Data 2023'!$AA$2:$AE$10000,MATCH(Z3104,'CAMD Facility Data 2023'!$AE$2:$AE$10000,0),1),"")</f>
        <v>37381</v>
      </c>
      <c r="AB3104" s="5">
        <f>IF(INDEX('CAMD Facility Data 2023'!$AC$2:$AE$10000,MATCH(Z3104,'CAMD Facility Data 2023'!$AE$2:$AE$10000,0),1)&gt;0,INDEX('CAMD Facility Data 2023'!$AC$2:$AE$10000,MATCH(Z3104,'CAMD Facility Data 2023'!$AE$2:$AE$10000,0),1),"")</f>
        <v>495</v>
      </c>
      <c r="AC3104" s="1" t="str">
        <f>IF(INDEX('CAMD Facility Data 2023'!$AE$2:$AG$10000,MATCH(Z3104,'CAMD Facility Data 2023'!$AE$2:$AE$10000,0),3)&gt;0,INDEX('CAMD Facility Data 2023'!$AE$2:$AG$10000,MATCH(Z3104,'CAMD Facility Data 2023'!$AE$2:$AE$10000,0),3),"")</f>
        <v>Y</v>
      </c>
      <c r="AD3104" s="20">
        <f t="shared" si="145"/>
        <v>0.11248837885160642</v>
      </c>
      <c r="AE3104" s="25">
        <f t="shared" si="146"/>
        <v>0.11137862437156958</v>
      </c>
    </row>
    <row r="3105" spans="1:31" x14ac:dyDescent="0.2">
      <c r="A3105" s="1" t="s">
        <v>234</v>
      </c>
      <c r="B3105" s="1" t="s">
        <v>6993</v>
      </c>
      <c r="C3105" s="1">
        <v>55522</v>
      </c>
      <c r="D3105" s="1" t="s">
        <v>5961</v>
      </c>
      <c r="F3105" s="1">
        <v>2023</v>
      </c>
      <c r="G3105" s="5">
        <v>1426</v>
      </c>
      <c r="H3105" s="5">
        <v>1184.68</v>
      </c>
      <c r="I3105" s="5">
        <v>46745.32</v>
      </c>
      <c r="K3105" s="5">
        <v>0.14000000000000001</v>
      </c>
      <c r="L3105" s="5">
        <v>1E-3</v>
      </c>
      <c r="M3105" s="5">
        <v>27731.642</v>
      </c>
      <c r="N3105" s="6">
        <v>5.9299999999999999E-2</v>
      </c>
      <c r="O3105" s="5">
        <v>3.5390000000000001</v>
      </c>
      <c r="P3105" s="6">
        <v>3.1099999999999999E-2</v>
      </c>
      <c r="Q3105" s="5">
        <v>466655.99800000002</v>
      </c>
      <c r="R3105" s="1" t="s">
        <v>44</v>
      </c>
      <c r="T3105" s="1" t="s">
        <v>93</v>
      </c>
      <c r="V3105" s="1" t="s">
        <v>176</v>
      </c>
      <c r="Y3105" s="1" t="s">
        <v>247</v>
      </c>
      <c r="Z3105" s="1" t="str">
        <f t="shared" si="144"/>
        <v>55522 CT07</v>
      </c>
      <c r="AA3105" s="3">
        <f>IF(INDEX('CAMD Facility Data 2023'!$AA$2:$AE$10000,MATCH(Z3105,'CAMD Facility Data 2023'!$AE$2:$AE$10000,0),1)&gt;0,INDEX('CAMD Facility Data 2023'!$AA$2:$AE$10000,MATCH(Z3105,'CAMD Facility Data 2023'!$AE$2:$AE$10000,0),1),"")</f>
        <v>37426</v>
      </c>
      <c r="AB3105" s="5">
        <f>IF(INDEX('CAMD Facility Data 2023'!$AC$2:$AE$10000,MATCH(Z3105,'CAMD Facility Data 2023'!$AE$2:$AE$10000,0),1)&gt;0,INDEX('CAMD Facility Data 2023'!$AC$2:$AE$10000,MATCH(Z3105,'CAMD Facility Data 2023'!$AE$2:$AE$10000,0),1),"")</f>
        <v>495</v>
      </c>
      <c r="AC3105" s="1" t="str">
        <f>IF(INDEX('CAMD Facility Data 2023'!$AE$2:$AG$10000,MATCH(Z3105,'CAMD Facility Data 2023'!$AE$2:$AE$10000,0),3)&gt;0,INDEX('CAMD Facility Data 2023'!$AE$2:$AG$10000,MATCH(Z3105,'CAMD Facility Data 2023'!$AE$2:$AE$10000,0),3),"")</f>
        <v>Y</v>
      </c>
      <c r="AD3105" s="20">
        <f t="shared" si="145"/>
        <v>0.15141622733569907</v>
      </c>
      <c r="AE3105" s="25">
        <f t="shared" si="146"/>
        <v>0.10761865181495318</v>
      </c>
    </row>
    <row r="3106" spans="1:31" x14ac:dyDescent="0.2">
      <c r="A3106" s="1" t="s">
        <v>234</v>
      </c>
      <c r="B3106" s="1" t="s">
        <v>6993</v>
      </c>
      <c r="C3106" s="1">
        <v>55522</v>
      </c>
      <c r="D3106" s="1" t="s">
        <v>5962</v>
      </c>
      <c r="F3106" s="1">
        <v>2023</v>
      </c>
      <c r="G3106" s="5">
        <v>1344</v>
      </c>
      <c r="H3106" s="5">
        <v>1124.8800000000001</v>
      </c>
      <c r="I3106" s="5">
        <v>44671.839999999997</v>
      </c>
      <c r="K3106" s="5">
        <v>0.13400000000000001</v>
      </c>
      <c r="L3106" s="5">
        <v>1E-3</v>
      </c>
      <c r="M3106" s="5">
        <v>26550.413</v>
      </c>
      <c r="N3106" s="6">
        <v>5.9200000000000003E-2</v>
      </c>
      <c r="O3106" s="5">
        <v>2.2519999999999998</v>
      </c>
      <c r="P3106" s="6">
        <v>0.02</v>
      </c>
      <c r="Q3106" s="5">
        <v>446743.15299999999</v>
      </c>
      <c r="R3106" s="1" t="s">
        <v>44</v>
      </c>
      <c r="T3106" s="1" t="s">
        <v>93</v>
      </c>
      <c r="V3106" s="1" t="s">
        <v>176</v>
      </c>
      <c r="Y3106" s="1" t="s">
        <v>247</v>
      </c>
      <c r="Z3106" s="1" t="str">
        <f t="shared" si="144"/>
        <v>55522 CT08</v>
      </c>
      <c r="AA3106" s="3">
        <f>IF(INDEX('CAMD Facility Data 2023'!$AA$2:$AE$10000,MATCH(Z3106,'CAMD Facility Data 2023'!$AE$2:$AE$10000,0),1)&gt;0,INDEX('CAMD Facility Data 2023'!$AA$2:$AE$10000,MATCH(Z3106,'CAMD Facility Data 2023'!$AE$2:$AE$10000,0),1),"")</f>
        <v>37434</v>
      </c>
      <c r="AB3106" s="5">
        <f>IF(INDEX('CAMD Facility Data 2023'!$AC$2:$AE$10000,MATCH(Z3106,'CAMD Facility Data 2023'!$AE$2:$AE$10000,0),1)&gt;0,INDEX('CAMD Facility Data 2023'!$AC$2:$AE$10000,MATCH(Z3106,'CAMD Facility Data 2023'!$AE$2:$AE$10000,0),1),"")</f>
        <v>495</v>
      </c>
      <c r="AC3106" s="1" t="str">
        <f>IF(INDEX('CAMD Facility Data 2023'!$AE$2:$AG$10000,MATCH(Z3106,'CAMD Facility Data 2023'!$AE$2:$AE$10000,0),3)&gt;0,INDEX('CAMD Facility Data 2023'!$AE$2:$AG$10000,MATCH(Z3106,'CAMD Facility Data 2023'!$AE$2:$AE$10000,0),3),"")</f>
        <v>Y</v>
      </c>
      <c r="AD3106" s="20">
        <f t="shared" si="145"/>
        <v>0.10082414335294898</v>
      </c>
      <c r="AE3106" s="25">
        <f t="shared" si="146"/>
        <v>0.10302641783128084</v>
      </c>
    </row>
    <row r="3107" spans="1:31" x14ac:dyDescent="0.2">
      <c r="A3107" s="1" t="s">
        <v>234</v>
      </c>
      <c r="B3107" s="1" t="s">
        <v>6993</v>
      </c>
      <c r="C3107" s="1">
        <v>55522</v>
      </c>
      <c r="D3107" s="1" t="s">
        <v>7002</v>
      </c>
      <c r="F3107" s="1">
        <v>2023</v>
      </c>
      <c r="G3107" s="5">
        <v>1367</v>
      </c>
      <c r="H3107" s="5">
        <v>1163.6600000000001</v>
      </c>
      <c r="I3107" s="5">
        <v>46298.52</v>
      </c>
      <c r="K3107" s="5">
        <v>0.13900000000000001</v>
      </c>
      <c r="L3107" s="5">
        <v>1E-3</v>
      </c>
      <c r="M3107" s="5">
        <v>27616.613000000001</v>
      </c>
      <c r="N3107" s="6">
        <v>5.9200000000000003E-2</v>
      </c>
      <c r="O3107" s="5">
        <v>3.3029999999999999</v>
      </c>
      <c r="P3107" s="6">
        <v>2.6700000000000002E-2</v>
      </c>
      <c r="Q3107" s="5">
        <v>464693.223</v>
      </c>
      <c r="R3107" s="1" t="s">
        <v>44</v>
      </c>
      <c r="T3107" s="1" t="s">
        <v>93</v>
      </c>
      <c r="V3107" s="1" t="s">
        <v>176</v>
      </c>
      <c r="Y3107" s="1" t="s">
        <v>247</v>
      </c>
      <c r="Z3107" s="1" t="str">
        <f t="shared" si="144"/>
        <v>55522 CT09</v>
      </c>
      <c r="AA3107" s="3">
        <f>IF(INDEX('CAMD Facility Data 2023'!$AA$2:$AE$10000,MATCH(Z3107,'CAMD Facility Data 2023'!$AE$2:$AE$10000,0),1)&gt;0,INDEX('CAMD Facility Data 2023'!$AA$2:$AE$10000,MATCH(Z3107,'CAMD Facility Data 2023'!$AE$2:$AE$10000,0),1),"")</f>
        <v>37436</v>
      </c>
      <c r="AB3107" s="5">
        <f>IF(INDEX('CAMD Facility Data 2023'!$AC$2:$AE$10000,MATCH(Z3107,'CAMD Facility Data 2023'!$AE$2:$AE$10000,0),1)&gt;0,INDEX('CAMD Facility Data 2023'!$AC$2:$AE$10000,MATCH(Z3107,'CAMD Facility Data 2023'!$AE$2:$AE$10000,0),1),"")</f>
        <v>495</v>
      </c>
      <c r="AC3107" s="1" t="str">
        <f>IF(INDEX('CAMD Facility Data 2023'!$AE$2:$AG$10000,MATCH(Z3107,'CAMD Facility Data 2023'!$AE$2:$AE$10000,0),3)&gt;0,INDEX('CAMD Facility Data 2023'!$AE$2:$AG$10000,MATCH(Z3107,'CAMD Facility Data 2023'!$AE$2:$AE$10000,0),3),"")</f>
        <v>Y</v>
      </c>
      <c r="AD3107" s="20">
        <f t="shared" si="145"/>
        <v>0.14268274666231232</v>
      </c>
      <c r="AE3107" s="25">
        <f t="shared" si="146"/>
        <v>0.10716600318251003</v>
      </c>
    </row>
    <row r="3108" spans="1:31" x14ac:dyDescent="0.2">
      <c r="A3108" s="1" t="s">
        <v>234</v>
      </c>
      <c r="B3108" s="1" t="s">
        <v>6993</v>
      </c>
      <c r="C3108" s="1">
        <v>55522</v>
      </c>
      <c r="D3108" s="1" t="s">
        <v>92</v>
      </c>
      <c r="F3108" s="1">
        <v>2023</v>
      </c>
      <c r="G3108" s="5">
        <v>2082</v>
      </c>
      <c r="H3108" s="5">
        <v>1850.27</v>
      </c>
      <c r="I3108" s="5">
        <v>74294.37</v>
      </c>
      <c r="K3108" s="5">
        <v>0.224</v>
      </c>
      <c r="L3108" s="5">
        <v>1E-3</v>
      </c>
      <c r="M3108" s="5">
        <v>44339.434999999998</v>
      </c>
      <c r="N3108" s="6">
        <v>5.9200000000000003E-2</v>
      </c>
      <c r="O3108" s="5">
        <v>4.681</v>
      </c>
      <c r="P3108" s="6">
        <v>2.1700000000000001E-2</v>
      </c>
      <c r="Q3108" s="5">
        <v>746111.299</v>
      </c>
      <c r="R3108" s="1" t="s">
        <v>44</v>
      </c>
      <c r="T3108" s="1" t="s">
        <v>93</v>
      </c>
      <c r="V3108" s="1" t="s">
        <v>176</v>
      </c>
      <c r="Y3108" s="1" t="s">
        <v>247</v>
      </c>
      <c r="Z3108" s="1" t="str">
        <f t="shared" si="144"/>
        <v>55522 CT10</v>
      </c>
      <c r="AA3108" s="3">
        <f>IF(INDEX('CAMD Facility Data 2023'!$AA$2:$AE$10000,MATCH(Z3108,'CAMD Facility Data 2023'!$AE$2:$AE$10000,0),1)&gt;0,INDEX('CAMD Facility Data 2023'!$AA$2:$AE$10000,MATCH(Z3108,'CAMD Facility Data 2023'!$AE$2:$AE$10000,0),1),"")</f>
        <v>37436</v>
      </c>
      <c r="AB3108" s="5">
        <f>IF(INDEX('CAMD Facility Data 2023'!$AC$2:$AE$10000,MATCH(Z3108,'CAMD Facility Data 2023'!$AE$2:$AE$10000,0),1)&gt;0,INDEX('CAMD Facility Data 2023'!$AC$2:$AE$10000,MATCH(Z3108,'CAMD Facility Data 2023'!$AE$2:$AE$10000,0),1),"")</f>
        <v>495</v>
      </c>
      <c r="AC3108" s="1" t="str">
        <f>IF(INDEX('CAMD Facility Data 2023'!$AE$2:$AG$10000,MATCH(Z3108,'CAMD Facility Data 2023'!$AE$2:$AE$10000,0),3)&gt;0,INDEX('CAMD Facility Data 2023'!$AE$2:$AG$10000,MATCH(Z3108,'CAMD Facility Data 2023'!$AE$2:$AE$10000,0),3),"")</f>
        <v>Y</v>
      </c>
      <c r="AD3108" s="20">
        <f t="shared" si="145"/>
        <v>0.12601224022762425</v>
      </c>
      <c r="AE3108" s="25">
        <f t="shared" si="146"/>
        <v>0.17206570245837369</v>
      </c>
    </row>
    <row r="3109" spans="1:31" x14ac:dyDescent="0.2">
      <c r="A3109" s="1" t="s">
        <v>2584</v>
      </c>
      <c r="B3109" s="1" t="s">
        <v>7005</v>
      </c>
      <c r="C3109" s="1">
        <v>55524</v>
      </c>
      <c r="D3109" s="1">
        <v>1</v>
      </c>
      <c r="F3109" s="1">
        <v>2023</v>
      </c>
      <c r="G3109" s="5">
        <v>7979</v>
      </c>
      <c r="H3109" s="5">
        <v>7944.42</v>
      </c>
      <c r="I3109" s="5">
        <v>1196027.22</v>
      </c>
      <c r="K3109" s="5">
        <v>2.827</v>
      </c>
      <c r="L3109" s="5">
        <v>1E-3</v>
      </c>
      <c r="M3109" s="5">
        <v>559901.81000000006</v>
      </c>
      <c r="N3109" s="6">
        <v>5.8999999999999997E-2</v>
      </c>
      <c r="O3109" s="5">
        <v>25.044</v>
      </c>
      <c r="P3109" s="6">
        <v>5.5999999999999999E-3</v>
      </c>
      <c r="Q3109" s="5">
        <v>9421293.5089999996</v>
      </c>
      <c r="R3109" s="1" t="s">
        <v>44</v>
      </c>
      <c r="S3109" s="1" t="s">
        <v>94</v>
      </c>
      <c r="T3109" s="1" t="s">
        <v>71</v>
      </c>
      <c r="V3109" s="1" t="s">
        <v>223</v>
      </c>
      <c r="Y3109" s="1" t="s">
        <v>1515</v>
      </c>
      <c r="Z3109" s="1" t="str">
        <f t="shared" si="144"/>
        <v>55524 1</v>
      </c>
      <c r="AA3109" s="3">
        <f>IF(INDEX('CAMD Facility Data 2023'!$AA$2:$AE$10000,MATCH(Z3109,'CAMD Facility Data 2023'!$AE$2:$AE$10000,0),1)&gt;0,INDEX('CAMD Facility Data 2023'!$AA$2:$AE$10000,MATCH(Z3109,'CAMD Facility Data 2023'!$AE$2:$AE$10000,0),1),"")</f>
        <v>40604</v>
      </c>
      <c r="AB3109" s="5">
        <f>IF(INDEX('CAMD Facility Data 2023'!$AC$2:$AE$10000,MATCH(Z3109,'CAMD Facility Data 2023'!$AE$2:$AE$10000,0),1)&gt;0,INDEX('CAMD Facility Data 2023'!$AC$2:$AE$10000,MATCH(Z3109,'CAMD Facility Data 2023'!$AE$2:$AE$10000,0),1),"")</f>
        <v>1675</v>
      </c>
      <c r="AC3109" s="1" t="str">
        <f>IF(INDEX('CAMD Facility Data 2023'!$AE$2:$AG$10000,MATCH(Z3109,'CAMD Facility Data 2023'!$AE$2:$AE$10000,0),3)&gt;0,INDEX('CAMD Facility Data 2023'!$AE$2:$AG$10000,MATCH(Z3109,'CAMD Facility Data 2023'!$AE$2:$AE$10000,0),3),"")</f>
        <v>Y</v>
      </c>
      <c r="AD3109" s="20">
        <f t="shared" si="145"/>
        <v>4.1878645537849882E-2</v>
      </c>
      <c r="AE3109" s="25">
        <f t="shared" si="146"/>
        <v>0.64208365767055131</v>
      </c>
    </row>
    <row r="3110" spans="1:31" x14ac:dyDescent="0.2">
      <c r="A3110" s="1" t="s">
        <v>2584</v>
      </c>
      <c r="B3110" s="1" t="s">
        <v>7005</v>
      </c>
      <c r="C3110" s="1">
        <v>55524</v>
      </c>
      <c r="D3110" s="1">
        <v>2</v>
      </c>
      <c r="F3110" s="1">
        <v>2023</v>
      </c>
      <c r="G3110" s="5">
        <v>7727</v>
      </c>
      <c r="H3110" s="5">
        <v>7621.97</v>
      </c>
      <c r="I3110" s="5">
        <v>1138441.71</v>
      </c>
      <c r="K3110" s="5">
        <v>2.6389999999999998</v>
      </c>
      <c r="L3110" s="5">
        <v>1E-3</v>
      </c>
      <c r="M3110" s="5">
        <v>522666.45500000002</v>
      </c>
      <c r="N3110" s="6">
        <v>5.8999999999999997E-2</v>
      </c>
      <c r="O3110" s="5">
        <v>23.718</v>
      </c>
      <c r="P3110" s="6">
        <v>6.3E-3</v>
      </c>
      <c r="Q3110" s="5">
        <v>8794404.4030000009</v>
      </c>
      <c r="R3110" s="1" t="s">
        <v>44</v>
      </c>
      <c r="S3110" s="1" t="s">
        <v>94</v>
      </c>
      <c r="T3110" s="1" t="s">
        <v>71</v>
      </c>
      <c r="V3110" s="1" t="s">
        <v>223</v>
      </c>
      <c r="Y3110" s="1" t="s">
        <v>1515</v>
      </c>
      <c r="Z3110" s="1" t="str">
        <f t="shared" si="144"/>
        <v>55524 2</v>
      </c>
      <c r="AA3110" s="3">
        <f>IF(INDEX('CAMD Facility Data 2023'!$AA$2:$AE$10000,MATCH(Z3110,'CAMD Facility Data 2023'!$AE$2:$AE$10000,0),1)&gt;0,INDEX('CAMD Facility Data 2023'!$AA$2:$AE$10000,MATCH(Z3110,'CAMD Facility Data 2023'!$AE$2:$AE$10000,0),1),"")</f>
        <v>40604</v>
      </c>
      <c r="AB3110" s="5">
        <f>IF(INDEX('CAMD Facility Data 2023'!$AC$2:$AE$10000,MATCH(Z3110,'CAMD Facility Data 2023'!$AE$2:$AE$10000,0),1)&gt;0,INDEX('CAMD Facility Data 2023'!$AC$2:$AE$10000,MATCH(Z3110,'CAMD Facility Data 2023'!$AE$2:$AE$10000,0),1),"")</f>
        <v>1675</v>
      </c>
      <c r="AC3110" s="1" t="str">
        <f>IF(INDEX('CAMD Facility Data 2023'!$AE$2:$AG$10000,MATCH(Z3110,'CAMD Facility Data 2023'!$AE$2:$AE$10000,0),3)&gt;0,INDEX('CAMD Facility Data 2023'!$AE$2:$AG$10000,MATCH(Z3110,'CAMD Facility Data 2023'!$AE$2:$AE$10000,0),3),"")</f>
        <v>Y</v>
      </c>
      <c r="AD3110" s="20">
        <f t="shared" si="145"/>
        <v>4.1667482474794432E-2</v>
      </c>
      <c r="AE3110" s="25">
        <f t="shared" si="146"/>
        <v>0.59935966762080017</v>
      </c>
    </row>
    <row r="3111" spans="1:31" x14ac:dyDescent="0.2">
      <c r="A3111" s="1" t="s">
        <v>2584</v>
      </c>
      <c r="B3111" s="1" t="s">
        <v>7005</v>
      </c>
      <c r="C3111" s="1">
        <v>55524</v>
      </c>
      <c r="D3111" s="1">
        <v>3</v>
      </c>
      <c r="F3111" s="1">
        <v>2023</v>
      </c>
      <c r="G3111" s="5">
        <v>7019</v>
      </c>
      <c r="H3111" s="5">
        <v>6912.38</v>
      </c>
      <c r="I3111" s="5">
        <v>1019723.64</v>
      </c>
      <c r="K3111" s="5">
        <v>2.3959999999999999</v>
      </c>
      <c r="L3111" s="5">
        <v>1E-3</v>
      </c>
      <c r="M3111" s="5">
        <v>474509.21399999998</v>
      </c>
      <c r="N3111" s="6">
        <v>5.8999999999999997E-2</v>
      </c>
      <c r="O3111" s="5">
        <v>20.106000000000002</v>
      </c>
      <c r="P3111" s="6">
        <v>5.7999999999999996E-3</v>
      </c>
      <c r="Q3111" s="5">
        <v>7983647.9890000001</v>
      </c>
      <c r="R3111" s="1" t="s">
        <v>44</v>
      </c>
      <c r="S3111" s="1" t="s">
        <v>94</v>
      </c>
      <c r="T3111" s="1" t="s">
        <v>71</v>
      </c>
      <c r="V3111" s="1" t="s">
        <v>223</v>
      </c>
      <c r="Y3111" s="1" t="s">
        <v>1515</v>
      </c>
      <c r="Z3111" s="1" t="str">
        <f t="shared" si="144"/>
        <v>55524 3</v>
      </c>
      <c r="AA3111" s="3">
        <f>IF(INDEX('CAMD Facility Data 2023'!$AA$2:$AE$10000,MATCH(Z3111,'CAMD Facility Data 2023'!$AE$2:$AE$10000,0),1)&gt;0,INDEX('CAMD Facility Data 2023'!$AA$2:$AE$10000,MATCH(Z3111,'CAMD Facility Data 2023'!$AE$2:$AE$10000,0),1),"")</f>
        <v>40604</v>
      </c>
      <c r="AB3111" s="5">
        <f>IF(INDEX('CAMD Facility Data 2023'!$AC$2:$AE$10000,MATCH(Z3111,'CAMD Facility Data 2023'!$AE$2:$AE$10000,0),1)&gt;0,INDEX('CAMD Facility Data 2023'!$AC$2:$AE$10000,MATCH(Z3111,'CAMD Facility Data 2023'!$AE$2:$AE$10000,0),1),"")</f>
        <v>1675</v>
      </c>
      <c r="AC3111" s="1" t="str">
        <f>IF(INDEX('CAMD Facility Data 2023'!$AE$2:$AG$10000,MATCH(Z3111,'CAMD Facility Data 2023'!$AE$2:$AE$10000,0),3)&gt;0,INDEX('CAMD Facility Data 2023'!$AE$2:$AG$10000,MATCH(Z3111,'CAMD Facility Data 2023'!$AE$2:$AE$10000,0),3),"")</f>
        <v>Y</v>
      </c>
      <c r="AD3111" s="20">
        <f t="shared" si="145"/>
        <v>3.9434213764035123E-2</v>
      </c>
      <c r="AE3111" s="25">
        <f t="shared" si="146"/>
        <v>0.54410468131943024</v>
      </c>
    </row>
    <row r="3112" spans="1:31" x14ac:dyDescent="0.2">
      <c r="A3112" s="1" t="s">
        <v>2584</v>
      </c>
      <c r="B3112" s="1" t="s">
        <v>7005</v>
      </c>
      <c r="C3112" s="1">
        <v>55524</v>
      </c>
      <c r="D3112" s="1">
        <v>5</v>
      </c>
      <c r="F3112" s="1">
        <v>2023</v>
      </c>
      <c r="G3112" s="5">
        <v>7546</v>
      </c>
      <c r="H3112" s="5">
        <v>7533.82</v>
      </c>
      <c r="I3112" s="5">
        <v>2776276.04</v>
      </c>
      <c r="K3112" s="5">
        <v>5.8540000000000001</v>
      </c>
      <c r="L3112" s="5">
        <v>1E-3</v>
      </c>
      <c r="M3112" s="5">
        <v>1159597.514</v>
      </c>
      <c r="N3112" s="6">
        <v>5.8999999999999997E-2</v>
      </c>
      <c r="O3112" s="5">
        <v>49.256</v>
      </c>
      <c r="P3112" s="6">
        <v>5.4000000000000003E-3</v>
      </c>
      <c r="Q3112" s="5">
        <v>19511865.138</v>
      </c>
      <c r="R3112" s="1" t="s">
        <v>44</v>
      </c>
      <c r="S3112" s="1" t="s">
        <v>94</v>
      </c>
      <c r="T3112" s="1" t="s">
        <v>71</v>
      </c>
      <c r="V3112" s="1" t="s">
        <v>643</v>
      </c>
      <c r="Y3112" s="1" t="s">
        <v>1515</v>
      </c>
      <c r="Z3112" s="1" t="str">
        <f t="shared" si="144"/>
        <v>55524 5</v>
      </c>
      <c r="AA3112" s="3">
        <f>IF(INDEX('CAMD Facility Data 2023'!$AA$2:$AE$10000,MATCH(Z3112,'CAMD Facility Data 2023'!$AE$2:$AE$10000,0),1)&gt;0,INDEX('CAMD Facility Data 2023'!$AA$2:$AE$10000,MATCH(Z3112,'CAMD Facility Data 2023'!$AE$2:$AE$10000,0),1),"")</f>
        <v>43444</v>
      </c>
      <c r="AB3112" s="5">
        <f>IF(INDEX('CAMD Facility Data 2023'!$AC$2:$AE$10000,MATCH(Z3112,'CAMD Facility Data 2023'!$AE$2:$AE$10000,0),1)&gt;0,INDEX('CAMD Facility Data 2023'!$AC$2:$AE$10000,MATCH(Z3112,'CAMD Facility Data 2023'!$AE$2:$AE$10000,0),1),"")</f>
        <v>3410</v>
      </c>
      <c r="AC3112" s="1" t="str">
        <f>IF(INDEX('CAMD Facility Data 2023'!$AE$2:$AG$10000,MATCH(Z3112,'CAMD Facility Data 2023'!$AE$2:$AE$10000,0),3)&gt;0,INDEX('CAMD Facility Data 2023'!$AE$2:$AG$10000,MATCH(Z3112,'CAMD Facility Data 2023'!$AE$2:$AE$10000,0),3),"")</f>
        <v>Y</v>
      </c>
      <c r="AD3112" s="20">
        <f t="shared" si="145"/>
        <v>3.5483503290256395E-2</v>
      </c>
      <c r="AE3112" s="25">
        <f t="shared" si="146"/>
        <v>0.65319116277668421</v>
      </c>
    </row>
    <row r="3113" spans="1:31" x14ac:dyDescent="0.2">
      <c r="A3113" s="1" t="s">
        <v>2584</v>
      </c>
      <c r="B3113" s="1" t="s">
        <v>7005</v>
      </c>
      <c r="C3113" s="1">
        <v>55524</v>
      </c>
      <c r="D3113" s="1">
        <v>6</v>
      </c>
      <c r="F3113" s="1">
        <v>2023</v>
      </c>
      <c r="G3113" s="5">
        <v>7605</v>
      </c>
      <c r="H3113" s="5">
        <v>7597.63</v>
      </c>
      <c r="I3113" s="5">
        <v>2795061.93</v>
      </c>
      <c r="K3113" s="5">
        <v>5.9619999999999997</v>
      </c>
      <c r="L3113" s="5">
        <v>1E-3</v>
      </c>
      <c r="M3113" s="5">
        <v>1180961.399</v>
      </c>
      <c r="N3113" s="6">
        <v>5.8999999999999997E-2</v>
      </c>
      <c r="O3113" s="5">
        <v>48.966000000000001</v>
      </c>
      <c r="P3113" s="6">
        <v>5.1999999999999998E-3</v>
      </c>
      <c r="Q3113" s="5">
        <v>19871770.787</v>
      </c>
      <c r="R3113" s="1" t="s">
        <v>44</v>
      </c>
      <c r="S3113" s="1" t="s">
        <v>94</v>
      </c>
      <c r="T3113" s="1" t="s">
        <v>71</v>
      </c>
      <c r="V3113" s="1" t="s">
        <v>643</v>
      </c>
      <c r="Y3113" s="1" t="s">
        <v>1515</v>
      </c>
      <c r="Z3113" s="1" t="str">
        <f t="shared" si="144"/>
        <v>55524 6</v>
      </c>
      <c r="AA3113" s="3">
        <f>IF(INDEX('CAMD Facility Data 2023'!$AA$2:$AE$10000,MATCH(Z3113,'CAMD Facility Data 2023'!$AE$2:$AE$10000,0),1)&gt;0,INDEX('CAMD Facility Data 2023'!$AA$2:$AE$10000,MATCH(Z3113,'CAMD Facility Data 2023'!$AE$2:$AE$10000,0),1),"")</f>
        <v>43450</v>
      </c>
      <c r="AB3113" s="5">
        <f>IF(INDEX('CAMD Facility Data 2023'!$AC$2:$AE$10000,MATCH(Z3113,'CAMD Facility Data 2023'!$AE$2:$AE$10000,0),1)&gt;0,INDEX('CAMD Facility Data 2023'!$AC$2:$AE$10000,MATCH(Z3113,'CAMD Facility Data 2023'!$AE$2:$AE$10000,0),1),"")</f>
        <v>3410</v>
      </c>
      <c r="AC3113" s="1" t="str">
        <f>IF(INDEX('CAMD Facility Data 2023'!$AE$2:$AG$10000,MATCH(Z3113,'CAMD Facility Data 2023'!$AE$2:$AE$10000,0),3)&gt;0,INDEX('CAMD Facility Data 2023'!$AE$2:$AG$10000,MATCH(Z3113,'CAMD Facility Data 2023'!$AE$2:$AE$10000,0),3),"")</f>
        <v>Y</v>
      </c>
      <c r="AD3113" s="20">
        <f t="shared" si="145"/>
        <v>3.5037506306702833E-2</v>
      </c>
      <c r="AE3113" s="25">
        <f t="shared" si="146"/>
        <v>0.66523958499042568</v>
      </c>
    </row>
    <row r="3114" spans="1:31" x14ac:dyDescent="0.2">
      <c r="A3114" s="1" t="s">
        <v>370</v>
      </c>
      <c r="B3114" s="1" t="s">
        <v>7012</v>
      </c>
      <c r="C3114" s="1">
        <v>55538</v>
      </c>
      <c r="D3114" s="1" t="s">
        <v>1129</v>
      </c>
      <c r="F3114" s="1">
        <v>2023</v>
      </c>
      <c r="G3114" s="5">
        <v>769</v>
      </c>
      <c r="H3114" s="5">
        <v>584.75</v>
      </c>
      <c r="I3114" s="5">
        <v>23761.57</v>
      </c>
      <c r="K3114" s="5">
        <v>7.0000000000000007E-2</v>
      </c>
      <c r="L3114" s="5">
        <v>1E-3</v>
      </c>
      <c r="M3114" s="5">
        <v>13870.692999999999</v>
      </c>
      <c r="N3114" s="6">
        <v>5.9299999999999999E-2</v>
      </c>
      <c r="O3114" s="5">
        <v>1.2509999999999999</v>
      </c>
      <c r="P3114" s="6">
        <v>1.7600000000000001E-2</v>
      </c>
      <c r="Q3114" s="5">
        <v>233398.22700000001</v>
      </c>
      <c r="R3114" s="1" t="s">
        <v>44</v>
      </c>
      <c r="T3114" s="1" t="s">
        <v>93</v>
      </c>
      <c r="V3114" s="1" t="s">
        <v>95</v>
      </c>
      <c r="Y3114" s="1" t="s">
        <v>247</v>
      </c>
      <c r="Z3114" s="1" t="str">
        <f t="shared" si="144"/>
        <v>55538 CTG1</v>
      </c>
      <c r="AA3114" s="3">
        <f>IF(INDEX('CAMD Facility Data 2023'!$AA$2:$AE$10000,MATCH(Z3114,'CAMD Facility Data 2023'!$AE$2:$AE$10000,0),1)&gt;0,INDEX('CAMD Facility Data 2023'!$AA$2:$AE$10000,MATCH(Z3114,'CAMD Facility Data 2023'!$AE$2:$AE$10000,0),1),"")</f>
        <v>41628</v>
      </c>
      <c r="AB3114" s="5">
        <f>IF(INDEX('CAMD Facility Data 2023'!$AC$2:$AE$10000,MATCH(Z3114,'CAMD Facility Data 2023'!$AE$2:$AE$10000,0),1)&gt;0,INDEX('CAMD Facility Data 2023'!$AC$2:$AE$10000,MATCH(Z3114,'CAMD Facility Data 2023'!$AE$2:$AE$10000,0),1),"")</f>
        <v>500</v>
      </c>
      <c r="AC3114" s="1" t="str">
        <f>IF(INDEX('CAMD Facility Data 2023'!$AE$2:$AG$10000,MATCH(Z3114,'CAMD Facility Data 2023'!$AE$2:$AE$10000,0),3)&gt;0,INDEX('CAMD Facility Data 2023'!$AE$2:$AG$10000,MATCH(Z3114,'CAMD Facility Data 2023'!$AE$2:$AE$10000,0),3),"")</f>
        <v/>
      </c>
      <c r="AD3114" s="20">
        <f t="shared" si="145"/>
        <v>0.10529607260799687</v>
      </c>
      <c r="AE3114" s="25">
        <f t="shared" si="146"/>
        <v>5.3287266438356171E-2</v>
      </c>
    </row>
    <row r="3115" spans="1:31" x14ac:dyDescent="0.2">
      <c r="A3115" s="1" t="s">
        <v>370</v>
      </c>
      <c r="B3115" s="1" t="s">
        <v>7015</v>
      </c>
      <c r="C3115" s="1">
        <v>55540</v>
      </c>
      <c r="D3115" s="1" t="s">
        <v>372</v>
      </c>
      <c r="E3115" s="1" t="s">
        <v>1963</v>
      </c>
      <c r="F3115" s="1">
        <v>2023</v>
      </c>
      <c r="G3115" s="5">
        <v>106</v>
      </c>
      <c r="H3115" s="5">
        <v>58.96</v>
      </c>
      <c r="I3115" s="5">
        <v>882.05</v>
      </c>
      <c r="K3115" s="5">
        <v>4.0000000000000001E-3</v>
      </c>
      <c r="L3115" s="5">
        <v>1E-3</v>
      </c>
      <c r="M3115" s="5">
        <v>876.39700000000005</v>
      </c>
      <c r="N3115" s="6">
        <v>5.9299999999999999E-2</v>
      </c>
      <c r="O3115" s="5">
        <v>0.317</v>
      </c>
      <c r="P3115" s="6">
        <v>6.0600000000000001E-2</v>
      </c>
      <c r="Q3115" s="5">
        <v>14751.471</v>
      </c>
      <c r="R3115" s="1" t="s">
        <v>44</v>
      </c>
      <c r="T3115" s="1" t="s">
        <v>93</v>
      </c>
      <c r="V3115" s="1" t="s">
        <v>4380</v>
      </c>
      <c r="Y3115" s="1" t="s">
        <v>247</v>
      </c>
      <c r="Z3115" s="1" t="str">
        <f t="shared" si="144"/>
        <v>55540 1A</v>
      </c>
      <c r="AA3115" s="3">
        <f>IF(INDEX('CAMD Facility Data 2023'!$AA$2:$AE$10000,MATCH(Z3115,'CAMD Facility Data 2023'!$AE$2:$AE$10000,0),1)&gt;0,INDEX('CAMD Facility Data 2023'!$AA$2:$AE$10000,MATCH(Z3115,'CAMD Facility Data 2023'!$AE$2:$AE$10000,0),1),"")</f>
        <v>37023</v>
      </c>
      <c r="AB3115" s="5">
        <f>IF(INDEX('CAMD Facility Data 2023'!$AC$2:$AE$10000,MATCH(Z3115,'CAMD Facility Data 2023'!$AE$2:$AE$10000,0),1)&gt;0,INDEX('CAMD Facility Data 2023'!$AC$2:$AE$10000,MATCH(Z3115,'CAMD Facility Data 2023'!$AE$2:$AE$10000,0),1),"")</f>
        <v>400</v>
      </c>
      <c r="AC3115" s="1" t="str">
        <f>IF(INDEX('CAMD Facility Data 2023'!$AE$2:$AG$10000,MATCH(Z3115,'CAMD Facility Data 2023'!$AE$2:$AE$10000,0),3)&gt;0,INDEX('CAMD Facility Data 2023'!$AE$2:$AG$10000,MATCH(Z3115,'CAMD Facility Data 2023'!$AE$2:$AE$10000,0),3),"")</f>
        <v>Y</v>
      </c>
      <c r="AD3115" s="20">
        <f t="shared" si="145"/>
        <v>0.71878011450598045</v>
      </c>
      <c r="AE3115" s="25">
        <f t="shared" si="146"/>
        <v>4.2098946917808215E-3</v>
      </c>
    </row>
    <row r="3116" spans="1:31" x14ac:dyDescent="0.2">
      <c r="A3116" s="1" t="s">
        <v>370</v>
      </c>
      <c r="B3116" s="1" t="s">
        <v>7015</v>
      </c>
      <c r="C3116" s="1">
        <v>55540</v>
      </c>
      <c r="D3116" s="1" t="s">
        <v>1199</v>
      </c>
      <c r="E3116" s="1" t="s">
        <v>1963</v>
      </c>
      <c r="F3116" s="1">
        <v>2023</v>
      </c>
      <c r="G3116" s="5">
        <v>106</v>
      </c>
      <c r="H3116" s="5">
        <v>58.97</v>
      </c>
      <c r="I3116" s="5">
        <v>874.03</v>
      </c>
      <c r="K3116" s="5">
        <v>4.0000000000000001E-3</v>
      </c>
      <c r="L3116" s="5">
        <v>1E-3</v>
      </c>
      <c r="M3116" s="5">
        <v>872.59</v>
      </c>
      <c r="N3116" s="6">
        <v>5.9299999999999999E-2</v>
      </c>
      <c r="O3116" s="5">
        <v>0.316</v>
      </c>
      <c r="P3116" s="6">
        <v>6.0600000000000001E-2</v>
      </c>
      <c r="Q3116" s="5">
        <v>14682.156999999999</v>
      </c>
      <c r="R3116" s="1" t="s">
        <v>44</v>
      </c>
      <c r="T3116" s="1" t="s">
        <v>93</v>
      </c>
      <c r="V3116" s="1" t="s">
        <v>4380</v>
      </c>
      <c r="Y3116" s="1" t="s">
        <v>247</v>
      </c>
      <c r="Z3116" s="1" t="str">
        <f t="shared" si="144"/>
        <v>55540 1B</v>
      </c>
      <c r="AA3116" s="3">
        <f>IF(INDEX('CAMD Facility Data 2023'!$AA$2:$AE$10000,MATCH(Z3116,'CAMD Facility Data 2023'!$AE$2:$AE$10000,0),1)&gt;0,INDEX('CAMD Facility Data 2023'!$AA$2:$AE$10000,MATCH(Z3116,'CAMD Facility Data 2023'!$AE$2:$AE$10000,0),1),"")</f>
        <v>37023</v>
      </c>
      <c r="AB3116" s="5">
        <f>IF(INDEX('CAMD Facility Data 2023'!$AC$2:$AE$10000,MATCH(Z3116,'CAMD Facility Data 2023'!$AE$2:$AE$10000,0),1)&gt;0,INDEX('CAMD Facility Data 2023'!$AC$2:$AE$10000,MATCH(Z3116,'CAMD Facility Data 2023'!$AE$2:$AE$10000,0),1),"")</f>
        <v>400</v>
      </c>
      <c r="AC3116" s="1" t="str">
        <f>IF(INDEX('CAMD Facility Data 2023'!$AE$2:$AG$10000,MATCH(Z3116,'CAMD Facility Data 2023'!$AE$2:$AE$10000,0),3)&gt;0,INDEX('CAMD Facility Data 2023'!$AE$2:$AG$10000,MATCH(Z3116,'CAMD Facility Data 2023'!$AE$2:$AE$10000,0),3),"")</f>
        <v>Y</v>
      </c>
      <c r="AD3116" s="20">
        <f t="shared" si="145"/>
        <v>0.72308730821596512</v>
      </c>
      <c r="AE3116" s="25">
        <f t="shared" si="146"/>
        <v>4.1901132990867576E-3</v>
      </c>
    </row>
    <row r="3117" spans="1:31" x14ac:dyDescent="0.2">
      <c r="A3117" s="1" t="s">
        <v>370</v>
      </c>
      <c r="B3117" s="1" t="s">
        <v>7018</v>
      </c>
      <c r="C3117" s="1">
        <v>55541</v>
      </c>
      <c r="D3117" s="1">
        <v>1</v>
      </c>
      <c r="F3117" s="1">
        <v>2023</v>
      </c>
      <c r="G3117" s="5">
        <v>358</v>
      </c>
      <c r="H3117" s="5">
        <v>251.78</v>
      </c>
      <c r="I3117" s="5">
        <v>8982.24</v>
      </c>
      <c r="K3117" s="5">
        <v>2.9000000000000001E-2</v>
      </c>
      <c r="L3117" s="5">
        <v>1E-3</v>
      </c>
      <c r="M3117" s="5">
        <v>5787.1</v>
      </c>
      <c r="N3117" s="6">
        <v>5.9299999999999999E-2</v>
      </c>
      <c r="O3117" s="5">
        <v>0.96199999999999997</v>
      </c>
      <c r="P3117" s="6">
        <v>3.32E-2</v>
      </c>
      <c r="Q3117" s="5">
        <v>97372.01</v>
      </c>
      <c r="R3117" s="1" t="s">
        <v>44</v>
      </c>
      <c r="T3117" s="1" t="s">
        <v>93</v>
      </c>
      <c r="V3117" s="1" t="s">
        <v>176</v>
      </c>
      <c r="Y3117" s="1" t="s">
        <v>247</v>
      </c>
      <c r="Z3117" s="1" t="str">
        <f t="shared" si="144"/>
        <v>55541 1</v>
      </c>
      <c r="AA3117" s="3">
        <f>IF(INDEX('CAMD Facility Data 2023'!$AA$2:$AE$10000,MATCH(Z3117,'CAMD Facility Data 2023'!$AE$2:$AE$10000,0),1)&gt;0,INDEX('CAMD Facility Data 2023'!$AA$2:$AE$10000,MATCH(Z3117,'CAMD Facility Data 2023'!$AE$2:$AE$10000,0),1),"")</f>
        <v>37096</v>
      </c>
      <c r="AB3117" s="5">
        <f>IF(INDEX('CAMD Facility Data 2023'!$AC$2:$AE$10000,MATCH(Z3117,'CAMD Facility Data 2023'!$AE$2:$AE$10000,0),1)&gt;0,INDEX('CAMD Facility Data 2023'!$AC$2:$AE$10000,MATCH(Z3117,'CAMD Facility Data 2023'!$AE$2:$AE$10000,0),1),"")</f>
        <v>504</v>
      </c>
      <c r="AC3117" s="1" t="str">
        <f>IF(INDEX('CAMD Facility Data 2023'!$AE$2:$AG$10000,MATCH(Z3117,'CAMD Facility Data 2023'!$AE$2:$AE$10000,0),3)&gt;0,INDEX('CAMD Facility Data 2023'!$AE$2:$AG$10000,MATCH(Z3117,'CAMD Facility Data 2023'!$AE$2:$AE$10000,0),3),"")</f>
        <v>Y</v>
      </c>
      <c r="AD3117" s="20">
        <f t="shared" si="145"/>
        <v>0.21420046669872994</v>
      </c>
      <c r="AE3117" s="25">
        <f t="shared" si="146"/>
        <v>2.2054615586721751E-2</v>
      </c>
    </row>
    <row r="3118" spans="1:31" x14ac:dyDescent="0.2">
      <c r="A3118" s="1" t="s">
        <v>370</v>
      </c>
      <c r="B3118" s="1" t="s">
        <v>7018</v>
      </c>
      <c r="C3118" s="1">
        <v>55541</v>
      </c>
      <c r="D3118" s="1">
        <v>2</v>
      </c>
      <c r="F3118" s="1">
        <v>2023</v>
      </c>
      <c r="G3118" s="5">
        <v>364</v>
      </c>
      <c r="H3118" s="5">
        <v>253.41</v>
      </c>
      <c r="I3118" s="5">
        <v>9033.9699999999993</v>
      </c>
      <c r="K3118" s="5">
        <v>2.9000000000000001E-2</v>
      </c>
      <c r="L3118" s="5">
        <v>1E-3</v>
      </c>
      <c r="M3118" s="5">
        <v>5757.47</v>
      </c>
      <c r="N3118" s="6">
        <v>5.9299999999999999E-2</v>
      </c>
      <c r="O3118" s="5">
        <v>0.999</v>
      </c>
      <c r="P3118" s="6">
        <v>2.7900000000000001E-2</v>
      </c>
      <c r="Q3118" s="5">
        <v>96883.05</v>
      </c>
      <c r="R3118" s="1" t="s">
        <v>44</v>
      </c>
      <c r="T3118" s="1" t="s">
        <v>93</v>
      </c>
      <c r="V3118" s="1" t="s">
        <v>223</v>
      </c>
      <c r="Y3118" s="1" t="s">
        <v>247</v>
      </c>
      <c r="Z3118" s="1" t="str">
        <f t="shared" si="144"/>
        <v>55541 2</v>
      </c>
      <c r="AA3118" s="3">
        <f>IF(INDEX('CAMD Facility Data 2023'!$AA$2:$AE$10000,MATCH(Z3118,'CAMD Facility Data 2023'!$AE$2:$AE$10000,0),1)&gt;0,INDEX('CAMD Facility Data 2023'!$AA$2:$AE$10000,MATCH(Z3118,'CAMD Facility Data 2023'!$AE$2:$AE$10000,0),1),"")</f>
        <v>37096</v>
      </c>
      <c r="AB3118" s="5">
        <f>IF(INDEX('CAMD Facility Data 2023'!$AC$2:$AE$10000,MATCH(Z3118,'CAMD Facility Data 2023'!$AE$2:$AE$10000,0),1)&gt;0,INDEX('CAMD Facility Data 2023'!$AC$2:$AE$10000,MATCH(Z3118,'CAMD Facility Data 2023'!$AE$2:$AE$10000,0),1),"")</f>
        <v>504</v>
      </c>
      <c r="AC3118" s="1" t="str">
        <f>IF(INDEX('CAMD Facility Data 2023'!$AE$2:$AG$10000,MATCH(Z3118,'CAMD Facility Data 2023'!$AE$2:$AE$10000,0),3)&gt;0,INDEX('CAMD Facility Data 2023'!$AE$2:$AG$10000,MATCH(Z3118,'CAMD Facility Data 2023'!$AE$2:$AE$10000,0),3),"")</f>
        <v>Y</v>
      </c>
      <c r="AD3118" s="20">
        <f t="shared" si="145"/>
        <v>0.22116522414840875</v>
      </c>
      <c r="AE3118" s="25">
        <f t="shared" si="146"/>
        <v>2.1943866873233311E-2</v>
      </c>
    </row>
    <row r="3119" spans="1:31" x14ac:dyDescent="0.2">
      <c r="A3119" s="1" t="s">
        <v>370</v>
      </c>
      <c r="B3119" s="1" t="s">
        <v>7018</v>
      </c>
      <c r="C3119" s="1">
        <v>55541</v>
      </c>
      <c r="D3119" s="1">
        <v>3</v>
      </c>
      <c r="F3119" s="1">
        <v>2023</v>
      </c>
      <c r="G3119" s="5">
        <v>347</v>
      </c>
      <c r="H3119" s="5">
        <v>244.89</v>
      </c>
      <c r="I3119" s="5">
        <v>8882.08</v>
      </c>
      <c r="K3119" s="5">
        <v>2.8000000000000001E-2</v>
      </c>
      <c r="L3119" s="5">
        <v>1E-3</v>
      </c>
      <c r="M3119" s="5">
        <v>5538.1779999999999</v>
      </c>
      <c r="N3119" s="6">
        <v>5.9200000000000003E-2</v>
      </c>
      <c r="O3119" s="5">
        <v>0.82199999999999995</v>
      </c>
      <c r="P3119" s="6">
        <v>2.5499999999999998E-2</v>
      </c>
      <c r="Q3119" s="5">
        <v>93186.894</v>
      </c>
      <c r="R3119" s="1" t="s">
        <v>44</v>
      </c>
      <c r="T3119" s="1" t="s">
        <v>93</v>
      </c>
      <c r="V3119" s="1" t="s">
        <v>223</v>
      </c>
      <c r="Y3119" s="1" t="s">
        <v>247</v>
      </c>
      <c r="Z3119" s="1" t="str">
        <f t="shared" si="144"/>
        <v>55541 3</v>
      </c>
      <c r="AA3119" s="3">
        <f>IF(INDEX('CAMD Facility Data 2023'!$AA$2:$AE$10000,MATCH(Z3119,'CAMD Facility Data 2023'!$AE$2:$AE$10000,0),1)&gt;0,INDEX('CAMD Facility Data 2023'!$AA$2:$AE$10000,MATCH(Z3119,'CAMD Facility Data 2023'!$AE$2:$AE$10000,0),1),"")</f>
        <v>37152</v>
      </c>
      <c r="AB3119" s="5">
        <f>IF(INDEX('CAMD Facility Data 2023'!$AC$2:$AE$10000,MATCH(Z3119,'CAMD Facility Data 2023'!$AE$2:$AE$10000,0),1)&gt;0,INDEX('CAMD Facility Data 2023'!$AC$2:$AE$10000,MATCH(Z3119,'CAMD Facility Data 2023'!$AE$2:$AE$10000,0),1),"")</f>
        <v>504</v>
      </c>
      <c r="AC3119" s="1" t="str">
        <f>IF(INDEX('CAMD Facility Data 2023'!$AE$2:$AG$10000,MATCH(Z3119,'CAMD Facility Data 2023'!$AE$2:$AE$10000,0),3)&gt;0,INDEX('CAMD Facility Data 2023'!$AE$2:$AG$10000,MATCH(Z3119,'CAMD Facility Data 2023'!$AE$2:$AE$10000,0),3),"")</f>
        <v>Y</v>
      </c>
      <c r="AD3119" s="20">
        <f t="shared" si="145"/>
        <v>0.18509178030371265</v>
      </c>
      <c r="AE3119" s="25">
        <f t="shared" si="146"/>
        <v>2.1106693031093717E-2</v>
      </c>
    </row>
    <row r="3120" spans="1:31" x14ac:dyDescent="0.2">
      <c r="A3120" s="1" t="s">
        <v>370</v>
      </c>
      <c r="B3120" s="1" t="s">
        <v>7023</v>
      </c>
      <c r="C3120" s="1">
        <v>55542</v>
      </c>
      <c r="D3120" s="1">
        <v>1</v>
      </c>
      <c r="F3120" s="1">
        <v>2023</v>
      </c>
      <c r="G3120" s="5">
        <v>745</v>
      </c>
      <c r="H3120" s="5">
        <v>548.22</v>
      </c>
      <c r="I3120" s="5">
        <v>21492.05</v>
      </c>
      <c r="K3120" s="5">
        <v>6.7000000000000004E-2</v>
      </c>
      <c r="L3120" s="5">
        <v>1E-3</v>
      </c>
      <c r="M3120" s="5">
        <v>13283.995000000001</v>
      </c>
      <c r="N3120" s="6">
        <v>5.9200000000000003E-2</v>
      </c>
      <c r="O3120" s="5">
        <v>1.819</v>
      </c>
      <c r="P3120" s="6">
        <v>4.8599999999999997E-2</v>
      </c>
      <c r="Q3120" s="5">
        <v>223516.274</v>
      </c>
      <c r="R3120" s="1" t="s">
        <v>44</v>
      </c>
      <c r="S3120" s="1" t="s">
        <v>94</v>
      </c>
      <c r="T3120" s="1" t="s">
        <v>93</v>
      </c>
      <c r="V3120" s="1" t="s">
        <v>223</v>
      </c>
      <c r="Y3120" s="1" t="s">
        <v>247</v>
      </c>
      <c r="Z3120" s="1" t="str">
        <f t="shared" si="144"/>
        <v>55542 1</v>
      </c>
      <c r="AA3120" s="3">
        <f>IF(INDEX('CAMD Facility Data 2023'!$AA$2:$AE$10000,MATCH(Z3120,'CAMD Facility Data 2023'!$AE$2:$AE$10000,0),1)&gt;0,INDEX('CAMD Facility Data 2023'!$AA$2:$AE$10000,MATCH(Z3120,'CAMD Facility Data 2023'!$AE$2:$AE$10000,0),1),"")</f>
        <v>37080</v>
      </c>
      <c r="AB3120" s="5">
        <f>IF(INDEX('CAMD Facility Data 2023'!$AC$2:$AE$10000,MATCH(Z3120,'CAMD Facility Data 2023'!$AE$2:$AE$10000,0),1)&gt;0,INDEX('CAMD Facility Data 2023'!$AC$2:$AE$10000,MATCH(Z3120,'CAMD Facility Data 2023'!$AE$2:$AE$10000,0),1),"")</f>
        <v>504</v>
      </c>
      <c r="AC3120" s="1" t="str">
        <f>IF(INDEX('CAMD Facility Data 2023'!$AE$2:$AG$10000,MATCH(Z3120,'CAMD Facility Data 2023'!$AE$2:$AE$10000,0),3)&gt;0,INDEX('CAMD Facility Data 2023'!$AE$2:$AG$10000,MATCH(Z3120,'CAMD Facility Data 2023'!$AE$2:$AE$10000,0),3),"")</f>
        <v>Y</v>
      </c>
      <c r="AD3120" s="20">
        <f t="shared" si="145"/>
        <v>0.16927189356064221</v>
      </c>
      <c r="AE3120" s="25">
        <f t="shared" si="146"/>
        <v>5.0626103953758064E-2</v>
      </c>
    </row>
    <row r="3121" spans="1:31" x14ac:dyDescent="0.2">
      <c r="A3121" s="1" t="s">
        <v>370</v>
      </c>
      <c r="B3121" s="1" t="s">
        <v>7023</v>
      </c>
      <c r="C3121" s="1">
        <v>55542</v>
      </c>
      <c r="D3121" s="1">
        <v>2</v>
      </c>
      <c r="F3121" s="1">
        <v>2023</v>
      </c>
      <c r="G3121" s="5">
        <v>611</v>
      </c>
      <c r="H3121" s="5">
        <v>453.34</v>
      </c>
      <c r="I3121" s="5">
        <v>18370.16</v>
      </c>
      <c r="K3121" s="5">
        <v>5.6000000000000001E-2</v>
      </c>
      <c r="L3121" s="5">
        <v>1E-3</v>
      </c>
      <c r="M3121" s="5">
        <v>11100.825999999999</v>
      </c>
      <c r="N3121" s="6">
        <v>5.9200000000000003E-2</v>
      </c>
      <c r="O3121" s="5">
        <v>1.2849999999999999</v>
      </c>
      <c r="P3121" s="6">
        <v>3.5700000000000003E-2</v>
      </c>
      <c r="Q3121" s="5">
        <v>186798.587</v>
      </c>
      <c r="R3121" s="1" t="s">
        <v>44</v>
      </c>
      <c r="S3121" s="1" t="s">
        <v>94</v>
      </c>
      <c r="T3121" s="1" t="s">
        <v>93</v>
      </c>
      <c r="V3121" s="1" t="s">
        <v>223</v>
      </c>
      <c r="Y3121" s="1" t="s">
        <v>247</v>
      </c>
      <c r="Z3121" s="1" t="str">
        <f t="shared" si="144"/>
        <v>55542 2</v>
      </c>
      <c r="AA3121" s="3">
        <f>IF(INDEX('CAMD Facility Data 2023'!$AA$2:$AE$10000,MATCH(Z3121,'CAMD Facility Data 2023'!$AE$2:$AE$10000,0),1)&gt;0,INDEX('CAMD Facility Data 2023'!$AA$2:$AE$10000,MATCH(Z3121,'CAMD Facility Data 2023'!$AE$2:$AE$10000,0),1),"")</f>
        <v>37080</v>
      </c>
      <c r="AB3121" s="5">
        <f>IF(INDEX('CAMD Facility Data 2023'!$AC$2:$AE$10000,MATCH(Z3121,'CAMD Facility Data 2023'!$AE$2:$AE$10000,0),1)&gt;0,INDEX('CAMD Facility Data 2023'!$AC$2:$AE$10000,MATCH(Z3121,'CAMD Facility Data 2023'!$AE$2:$AE$10000,0),1),"")</f>
        <v>504</v>
      </c>
      <c r="AC3121" s="1" t="str">
        <f>IF(INDEX('CAMD Facility Data 2023'!$AE$2:$AG$10000,MATCH(Z3121,'CAMD Facility Data 2023'!$AE$2:$AE$10000,0),3)&gt;0,INDEX('CAMD Facility Data 2023'!$AE$2:$AG$10000,MATCH(Z3121,'CAMD Facility Data 2023'!$AE$2:$AE$10000,0),3),"")</f>
        <v>Y</v>
      </c>
      <c r="AD3121" s="20">
        <f t="shared" si="145"/>
        <v>0.13990079563814359</v>
      </c>
      <c r="AE3121" s="25">
        <f t="shared" si="146"/>
        <v>4.2309602404508227E-2</v>
      </c>
    </row>
    <row r="3122" spans="1:31" x14ac:dyDescent="0.2">
      <c r="A3122" s="1" t="s">
        <v>4093</v>
      </c>
      <c r="B3122" s="1" t="s">
        <v>7024</v>
      </c>
      <c r="C3122" s="1">
        <v>55544</v>
      </c>
      <c r="D3122" s="1" t="s">
        <v>280</v>
      </c>
      <c r="F3122" s="1">
        <v>2023</v>
      </c>
      <c r="G3122" s="5">
        <v>2309</v>
      </c>
      <c r="H3122" s="5">
        <v>2073.36</v>
      </c>
      <c r="I3122" s="5">
        <v>45637.09</v>
      </c>
      <c r="K3122" s="5">
        <v>0.14499999999999999</v>
      </c>
      <c r="L3122" s="5">
        <v>1E-3</v>
      </c>
      <c r="M3122" s="5">
        <v>28779.940999999999</v>
      </c>
      <c r="N3122" s="6">
        <v>5.9299999999999999E-2</v>
      </c>
      <c r="O3122" s="5">
        <v>4.7480000000000002</v>
      </c>
      <c r="P3122" s="6">
        <v>2.8899999999999999E-2</v>
      </c>
      <c r="Q3122" s="5">
        <v>484261.55900000001</v>
      </c>
      <c r="R3122" s="1" t="s">
        <v>44</v>
      </c>
      <c r="T3122" s="1" t="s">
        <v>93</v>
      </c>
      <c r="V3122" s="1" t="s">
        <v>95</v>
      </c>
      <c r="Y3122" s="1" t="s">
        <v>247</v>
      </c>
      <c r="Z3122" s="1" t="str">
        <f t="shared" si="144"/>
        <v>55544 GT1</v>
      </c>
      <c r="AA3122" s="3">
        <f>IF(INDEX('CAMD Facility Data 2023'!$AA$2:$AE$10000,MATCH(Z3122,'CAMD Facility Data 2023'!$AE$2:$AE$10000,0),1)&gt;0,INDEX('CAMD Facility Data 2023'!$AA$2:$AE$10000,MATCH(Z3122,'CAMD Facility Data 2023'!$AE$2:$AE$10000,0),1),"")</f>
        <v>37377</v>
      </c>
      <c r="AB3122" s="5">
        <f>IF(INDEX('CAMD Facility Data 2023'!$AC$2:$AE$10000,MATCH(Z3122,'CAMD Facility Data 2023'!$AE$2:$AE$10000,0),1)&gt;0,INDEX('CAMD Facility Data 2023'!$AC$2:$AE$10000,MATCH(Z3122,'CAMD Facility Data 2023'!$AE$2:$AE$10000,0),1),"")</f>
        <v>280</v>
      </c>
      <c r="AC3122" s="1" t="str">
        <f>IF(INDEX('CAMD Facility Data 2023'!$AE$2:$AG$10000,MATCH(Z3122,'CAMD Facility Data 2023'!$AE$2:$AE$10000,0),3)&gt;0,INDEX('CAMD Facility Data 2023'!$AE$2:$AG$10000,MATCH(Z3122,'CAMD Facility Data 2023'!$AE$2:$AE$10000,0),3),"")</f>
        <v/>
      </c>
      <c r="AD3122" s="20">
        <f t="shared" si="145"/>
        <v>0.20807636946176894</v>
      </c>
      <c r="AE3122" s="25">
        <f t="shared" si="146"/>
        <v>0.19743214244944554</v>
      </c>
    </row>
    <row r="3123" spans="1:31" x14ac:dyDescent="0.2">
      <c r="A3123" s="1" t="s">
        <v>4093</v>
      </c>
      <c r="B3123" s="1" t="s">
        <v>7024</v>
      </c>
      <c r="C3123" s="1">
        <v>55544</v>
      </c>
      <c r="D3123" s="1" t="s">
        <v>1102</v>
      </c>
      <c r="F3123" s="1">
        <v>2023</v>
      </c>
      <c r="G3123" s="5">
        <v>2653</v>
      </c>
      <c r="H3123" s="5">
        <v>2425.83</v>
      </c>
      <c r="I3123" s="5">
        <v>51382.05</v>
      </c>
      <c r="K3123" s="5">
        <v>0.16500000000000001</v>
      </c>
      <c r="L3123" s="5">
        <v>1E-3</v>
      </c>
      <c r="M3123" s="5">
        <v>32659.491999999998</v>
      </c>
      <c r="N3123" s="6">
        <v>5.9299999999999999E-2</v>
      </c>
      <c r="O3123" s="5">
        <v>4.8040000000000003</v>
      </c>
      <c r="P3123" s="6">
        <v>2.2800000000000001E-2</v>
      </c>
      <c r="Q3123" s="5">
        <v>549614.34699999995</v>
      </c>
      <c r="R3123" s="1" t="s">
        <v>44</v>
      </c>
      <c r="T3123" s="1" t="s">
        <v>93</v>
      </c>
      <c r="V3123" s="1" t="s">
        <v>95</v>
      </c>
      <c r="Y3123" s="1" t="s">
        <v>247</v>
      </c>
      <c r="Z3123" s="1" t="str">
        <f t="shared" si="144"/>
        <v>55544 GT2</v>
      </c>
      <c r="AA3123" s="3">
        <f>IF(INDEX('CAMD Facility Data 2023'!$AA$2:$AE$10000,MATCH(Z3123,'CAMD Facility Data 2023'!$AE$2:$AE$10000,0),1)&gt;0,INDEX('CAMD Facility Data 2023'!$AA$2:$AE$10000,MATCH(Z3123,'CAMD Facility Data 2023'!$AE$2:$AE$10000,0),1),"")</f>
        <v>37377</v>
      </c>
      <c r="AB3123" s="5">
        <f>IF(INDEX('CAMD Facility Data 2023'!$AC$2:$AE$10000,MATCH(Z3123,'CAMD Facility Data 2023'!$AE$2:$AE$10000,0),1)&gt;0,INDEX('CAMD Facility Data 2023'!$AC$2:$AE$10000,MATCH(Z3123,'CAMD Facility Data 2023'!$AE$2:$AE$10000,0),1),"")</f>
        <v>280</v>
      </c>
      <c r="AC3123" s="1" t="str">
        <f>IF(INDEX('CAMD Facility Data 2023'!$AE$2:$AG$10000,MATCH(Z3123,'CAMD Facility Data 2023'!$AE$2:$AE$10000,0),3)&gt;0,INDEX('CAMD Facility Data 2023'!$AE$2:$AG$10000,MATCH(Z3123,'CAMD Facility Data 2023'!$AE$2:$AE$10000,0),3),"")</f>
        <v/>
      </c>
      <c r="AD3123" s="20">
        <f t="shared" si="145"/>
        <v>0.18699137150035858</v>
      </c>
      <c r="AE3123" s="25">
        <f t="shared" si="146"/>
        <v>0.22407629933137638</v>
      </c>
    </row>
    <row r="3124" spans="1:31" x14ac:dyDescent="0.2">
      <c r="A3124" s="1" t="s">
        <v>4093</v>
      </c>
      <c r="B3124" s="1" t="s">
        <v>7024</v>
      </c>
      <c r="C3124" s="1">
        <v>55544</v>
      </c>
      <c r="D3124" s="1" t="s">
        <v>246</v>
      </c>
      <c r="F3124" s="1">
        <v>2023</v>
      </c>
      <c r="G3124" s="5">
        <v>2255</v>
      </c>
      <c r="H3124" s="5">
        <v>1996.2</v>
      </c>
      <c r="I3124" s="5">
        <v>44481.599999999999</v>
      </c>
      <c r="K3124" s="5">
        <v>0.13400000000000001</v>
      </c>
      <c r="L3124" s="5">
        <v>1E-3</v>
      </c>
      <c r="M3124" s="5">
        <v>26520.201000000001</v>
      </c>
      <c r="N3124" s="6">
        <v>5.9299999999999999E-2</v>
      </c>
      <c r="O3124" s="5">
        <v>3.976</v>
      </c>
      <c r="P3124" s="6">
        <v>2.8500000000000001E-2</v>
      </c>
      <c r="Q3124" s="5">
        <v>446296.13</v>
      </c>
      <c r="R3124" s="1" t="s">
        <v>44</v>
      </c>
      <c r="T3124" s="1" t="s">
        <v>93</v>
      </c>
      <c r="V3124" s="1" t="s">
        <v>95</v>
      </c>
      <c r="Y3124" s="1" t="s">
        <v>247</v>
      </c>
      <c r="Z3124" s="1" t="str">
        <f t="shared" si="144"/>
        <v>55544 GT3</v>
      </c>
      <c r="AA3124" s="3">
        <f>IF(INDEX('CAMD Facility Data 2023'!$AA$2:$AE$10000,MATCH(Z3124,'CAMD Facility Data 2023'!$AE$2:$AE$10000,0),1)&gt;0,INDEX('CAMD Facility Data 2023'!$AA$2:$AE$10000,MATCH(Z3124,'CAMD Facility Data 2023'!$AE$2:$AE$10000,0),1),"")</f>
        <v>37377</v>
      </c>
      <c r="AB3124" s="5">
        <f>IF(INDEX('CAMD Facility Data 2023'!$AC$2:$AE$10000,MATCH(Z3124,'CAMD Facility Data 2023'!$AE$2:$AE$10000,0),1)&gt;0,INDEX('CAMD Facility Data 2023'!$AC$2:$AE$10000,MATCH(Z3124,'CAMD Facility Data 2023'!$AE$2:$AE$10000,0),1),"")</f>
        <v>280</v>
      </c>
      <c r="AC3124" s="1" t="str">
        <f>IF(INDEX('CAMD Facility Data 2023'!$AE$2:$AG$10000,MATCH(Z3124,'CAMD Facility Data 2023'!$AE$2:$AE$10000,0),3)&gt;0,INDEX('CAMD Facility Data 2023'!$AE$2:$AG$10000,MATCH(Z3124,'CAMD Facility Data 2023'!$AE$2:$AE$10000,0),3),"")</f>
        <v/>
      </c>
      <c r="AD3124" s="20">
        <f t="shared" si="145"/>
        <v>0.17877054782202079</v>
      </c>
      <c r="AE3124" s="25">
        <f t="shared" si="146"/>
        <v>0.18195373858447489</v>
      </c>
    </row>
    <row r="3125" spans="1:31" x14ac:dyDescent="0.2">
      <c r="A3125" s="1" t="s">
        <v>4093</v>
      </c>
      <c r="B3125" s="1" t="s">
        <v>7024</v>
      </c>
      <c r="C3125" s="1">
        <v>55544</v>
      </c>
      <c r="D3125" s="1" t="s">
        <v>251</v>
      </c>
      <c r="F3125" s="1">
        <v>2023</v>
      </c>
      <c r="G3125" s="5">
        <v>2126</v>
      </c>
      <c r="H3125" s="5">
        <v>1908.03</v>
      </c>
      <c r="I3125" s="5">
        <v>39096.04</v>
      </c>
      <c r="K3125" s="5">
        <v>0.11700000000000001</v>
      </c>
      <c r="L3125" s="5">
        <v>1E-3</v>
      </c>
      <c r="M3125" s="5">
        <v>23091.27</v>
      </c>
      <c r="N3125" s="6">
        <v>5.9400000000000001E-2</v>
      </c>
      <c r="O3125" s="5">
        <v>3.5489999999999999</v>
      </c>
      <c r="P3125" s="6">
        <v>2.6100000000000002E-2</v>
      </c>
      <c r="Q3125" s="5">
        <v>388569.93800000002</v>
      </c>
      <c r="R3125" s="1" t="s">
        <v>44</v>
      </c>
      <c r="T3125" s="1" t="s">
        <v>93</v>
      </c>
      <c r="V3125" s="1" t="s">
        <v>95</v>
      </c>
      <c r="Y3125" s="1" t="s">
        <v>247</v>
      </c>
      <c r="Z3125" s="1" t="str">
        <f t="shared" si="144"/>
        <v>55544 GT4</v>
      </c>
      <c r="AA3125" s="3">
        <f>IF(INDEX('CAMD Facility Data 2023'!$AA$2:$AE$10000,MATCH(Z3125,'CAMD Facility Data 2023'!$AE$2:$AE$10000,0),1)&gt;0,INDEX('CAMD Facility Data 2023'!$AA$2:$AE$10000,MATCH(Z3125,'CAMD Facility Data 2023'!$AE$2:$AE$10000,0),1),"")</f>
        <v>37377</v>
      </c>
      <c r="AB3125" s="5">
        <f>IF(INDEX('CAMD Facility Data 2023'!$AC$2:$AE$10000,MATCH(Z3125,'CAMD Facility Data 2023'!$AE$2:$AE$10000,0),1)&gt;0,INDEX('CAMD Facility Data 2023'!$AC$2:$AE$10000,MATCH(Z3125,'CAMD Facility Data 2023'!$AE$2:$AE$10000,0),1),"")</f>
        <v>280</v>
      </c>
      <c r="AC3125" s="1" t="str">
        <f>IF(INDEX('CAMD Facility Data 2023'!$AE$2:$AG$10000,MATCH(Z3125,'CAMD Facility Data 2023'!$AE$2:$AE$10000,0),3)&gt;0,INDEX('CAMD Facility Data 2023'!$AE$2:$AG$10000,MATCH(Z3125,'CAMD Facility Data 2023'!$AE$2:$AE$10000,0),3),"")</f>
        <v/>
      </c>
      <c r="AD3125" s="20">
        <f t="shared" si="145"/>
        <v>0.18155291431050305</v>
      </c>
      <c r="AE3125" s="25">
        <f t="shared" si="146"/>
        <v>0.15841892449445533</v>
      </c>
    </row>
    <row r="3126" spans="1:31" x14ac:dyDescent="0.2">
      <c r="A3126" s="1" t="s">
        <v>3167</v>
      </c>
      <c r="B3126" s="1" t="s">
        <v>7029</v>
      </c>
      <c r="C3126" s="1">
        <v>55558</v>
      </c>
      <c r="D3126" s="1" t="s">
        <v>7030</v>
      </c>
      <c r="F3126" s="1">
        <v>2023</v>
      </c>
      <c r="G3126" s="5">
        <v>7919</v>
      </c>
      <c r="H3126" s="5">
        <v>7891.87</v>
      </c>
      <c r="I3126" s="5">
        <v>345053.46</v>
      </c>
      <c r="K3126" s="5">
        <v>1.109</v>
      </c>
      <c r="L3126" s="5">
        <v>1E-3</v>
      </c>
      <c r="M3126" s="5">
        <v>219616.02799999999</v>
      </c>
      <c r="N3126" s="6">
        <v>5.9200000000000003E-2</v>
      </c>
      <c r="O3126" s="5">
        <v>22.151</v>
      </c>
      <c r="P3126" s="6">
        <v>1.2500000000000001E-2</v>
      </c>
      <c r="Q3126" s="5">
        <v>3695535.7880000002</v>
      </c>
      <c r="R3126" s="1" t="s">
        <v>44</v>
      </c>
      <c r="T3126" s="1" t="s">
        <v>71</v>
      </c>
      <c r="V3126" s="1" t="s">
        <v>176</v>
      </c>
      <c r="Y3126" s="1" t="s">
        <v>461</v>
      </c>
      <c r="Z3126" s="1" t="str">
        <f t="shared" si="144"/>
        <v>55558 B06</v>
      </c>
      <c r="AA3126" s="3">
        <f>IF(INDEX('CAMD Facility Data 2023'!$AA$2:$AE$10000,MATCH(Z3126,'CAMD Facility Data 2023'!$AE$2:$AE$10000,0),1)&gt;0,INDEX('CAMD Facility Data 2023'!$AA$2:$AE$10000,MATCH(Z3126,'CAMD Facility Data 2023'!$AE$2:$AE$10000,0),1),"")</f>
        <v>37347</v>
      </c>
      <c r="AB3126" s="5">
        <f>IF(INDEX('CAMD Facility Data 2023'!$AC$2:$AE$10000,MATCH(Z3126,'CAMD Facility Data 2023'!$AE$2:$AE$10000,0),1)&gt;0,INDEX('CAMD Facility Data 2023'!$AC$2:$AE$10000,MATCH(Z3126,'CAMD Facility Data 2023'!$AE$2:$AE$10000,0),1),"")</f>
        <v>587</v>
      </c>
      <c r="AC3126" s="1" t="str">
        <f>IF(INDEX('CAMD Facility Data 2023'!$AE$2:$AG$10000,MATCH(Z3126,'CAMD Facility Data 2023'!$AE$2:$AE$10000,0),3)&gt;0,INDEX('CAMD Facility Data 2023'!$AE$2:$AG$10000,MATCH(Z3126,'CAMD Facility Data 2023'!$AE$2:$AE$10000,0),3),"")</f>
        <v>Y</v>
      </c>
      <c r="AD3126" s="20">
        <f t="shared" si="145"/>
        <v>0.12839169907179021</v>
      </c>
      <c r="AE3126" s="25">
        <f t="shared" si="146"/>
        <v>0.7186794139382201</v>
      </c>
    </row>
    <row r="3127" spans="1:31" x14ac:dyDescent="0.2">
      <c r="A3127" s="1" t="s">
        <v>1426</v>
      </c>
      <c r="B3127" s="1" t="s">
        <v>7035</v>
      </c>
      <c r="C3127" s="1">
        <v>55620</v>
      </c>
      <c r="D3127" s="2">
        <v>45292</v>
      </c>
      <c r="F3127" s="1">
        <v>2023</v>
      </c>
      <c r="G3127" s="5">
        <v>7655</v>
      </c>
      <c r="H3127" s="5">
        <v>7644.53</v>
      </c>
      <c r="I3127" s="5">
        <v>2041707.07</v>
      </c>
      <c r="K3127" s="5">
        <v>4.1529999999999996</v>
      </c>
      <c r="L3127" s="5">
        <v>1E-3</v>
      </c>
      <c r="M3127" s="5">
        <v>822724.60499999998</v>
      </c>
      <c r="N3127" s="6">
        <v>5.8999999999999997E-2</v>
      </c>
      <c r="O3127" s="5">
        <v>104.291</v>
      </c>
      <c r="P3127" s="6">
        <v>1.55E-2</v>
      </c>
      <c r="Q3127" s="5">
        <v>13843922.918</v>
      </c>
      <c r="R3127" s="1" t="s">
        <v>44</v>
      </c>
      <c r="T3127" s="1" t="s">
        <v>71</v>
      </c>
      <c r="V3127" s="1" t="s">
        <v>64</v>
      </c>
      <c r="Y3127" s="1" t="s">
        <v>1428</v>
      </c>
      <c r="Z3127" s="1" t="str">
        <f t="shared" si="144"/>
        <v>55620 45292</v>
      </c>
      <c r="AA3127" s="3">
        <f>IF(INDEX('CAMD Facility Data 2023'!$AA$2:$AE$10000,MATCH(Z3127,'CAMD Facility Data 2023'!$AE$2:$AE$10000,0),1)&gt;0,INDEX('CAMD Facility Data 2023'!$AA$2:$AE$10000,MATCH(Z3127,'CAMD Facility Data 2023'!$AE$2:$AE$10000,0),1),"")</f>
        <v>37422</v>
      </c>
      <c r="AB3127" s="5">
        <f>IF(INDEX('CAMD Facility Data 2023'!$AC$2:$AE$10000,MATCH(Z3127,'CAMD Facility Data 2023'!$AE$2:$AE$10000,0),1)&gt;0,INDEX('CAMD Facility Data 2023'!$AC$2:$AE$10000,MATCH(Z3127,'CAMD Facility Data 2023'!$AE$2:$AE$10000,0),1),"")</f>
        <v>2280</v>
      </c>
      <c r="AC3127" s="1" t="str">
        <f>IF(INDEX('CAMD Facility Data 2023'!$AE$2:$AG$10000,MATCH(Z3127,'CAMD Facility Data 2023'!$AE$2:$AE$10000,0),3)&gt;0,INDEX('CAMD Facility Data 2023'!$AE$2:$AG$10000,MATCH(Z3127,'CAMD Facility Data 2023'!$AE$2:$AE$10000,0),3),"")</f>
        <v>Y</v>
      </c>
      <c r="AD3127" s="20">
        <f t="shared" si="145"/>
        <v>0.10216059054935829</v>
      </c>
      <c r="AE3127" s="25">
        <f t="shared" si="146"/>
        <v>0.69313881468797567</v>
      </c>
    </row>
    <row r="3128" spans="1:31" x14ac:dyDescent="0.2">
      <c r="A3128" s="1" t="s">
        <v>1426</v>
      </c>
      <c r="B3128" s="1" t="s">
        <v>7035</v>
      </c>
      <c r="C3128" s="1">
        <v>55620</v>
      </c>
      <c r="D3128" s="2">
        <v>45293</v>
      </c>
      <c r="F3128" s="1">
        <v>2023</v>
      </c>
      <c r="G3128" s="5">
        <v>7779</v>
      </c>
      <c r="H3128" s="5">
        <v>7770.88</v>
      </c>
      <c r="I3128" s="5">
        <v>2111162.87</v>
      </c>
      <c r="K3128" s="5">
        <v>4.2590000000000003</v>
      </c>
      <c r="L3128" s="5">
        <v>1E-3</v>
      </c>
      <c r="M3128" s="5">
        <v>843738.26100000006</v>
      </c>
      <c r="N3128" s="6">
        <v>5.8999999999999997E-2</v>
      </c>
      <c r="O3128" s="5">
        <v>101.794</v>
      </c>
      <c r="P3128" s="6">
        <v>1.47E-2</v>
      </c>
      <c r="Q3128" s="5">
        <v>14197450.073000001</v>
      </c>
      <c r="R3128" s="1" t="s">
        <v>44</v>
      </c>
      <c r="T3128" s="1" t="s">
        <v>71</v>
      </c>
      <c r="V3128" s="1" t="s">
        <v>64</v>
      </c>
      <c r="Y3128" s="1" t="s">
        <v>1428</v>
      </c>
      <c r="Z3128" s="1" t="str">
        <f t="shared" si="144"/>
        <v>55620 45293</v>
      </c>
      <c r="AA3128" s="3">
        <f>IF(INDEX('CAMD Facility Data 2023'!$AA$2:$AE$10000,MATCH(Z3128,'CAMD Facility Data 2023'!$AE$2:$AE$10000,0),1)&gt;0,INDEX('CAMD Facility Data 2023'!$AA$2:$AE$10000,MATCH(Z3128,'CAMD Facility Data 2023'!$AE$2:$AE$10000,0),1),"")</f>
        <v>37196</v>
      </c>
      <c r="AB3128" s="5">
        <f>IF(INDEX('CAMD Facility Data 2023'!$AC$2:$AE$10000,MATCH(Z3128,'CAMD Facility Data 2023'!$AE$2:$AE$10000,0),1)&gt;0,INDEX('CAMD Facility Data 2023'!$AC$2:$AE$10000,MATCH(Z3128,'CAMD Facility Data 2023'!$AE$2:$AE$10000,0),1),"")</f>
        <v>2315</v>
      </c>
      <c r="AC3128" s="1" t="str">
        <f>IF(INDEX('CAMD Facility Data 2023'!$AE$2:$AG$10000,MATCH(Z3128,'CAMD Facility Data 2023'!$AE$2:$AE$10000,0),3)&gt;0,INDEX('CAMD Facility Data 2023'!$AE$2:$AG$10000,MATCH(Z3128,'CAMD Facility Data 2023'!$AE$2:$AE$10000,0),3),"")</f>
        <v>Y</v>
      </c>
      <c r="AD3128" s="20">
        <f t="shared" si="145"/>
        <v>9.6434056743334065E-2</v>
      </c>
      <c r="AE3128" s="25">
        <f t="shared" si="146"/>
        <v>0.7000922154008502</v>
      </c>
    </row>
    <row r="3129" spans="1:31" x14ac:dyDescent="0.2">
      <c r="A3129" s="1" t="s">
        <v>1426</v>
      </c>
      <c r="B3129" s="1" t="s">
        <v>7035</v>
      </c>
      <c r="C3129" s="1">
        <v>55620</v>
      </c>
      <c r="D3129" s="2">
        <v>45323</v>
      </c>
      <c r="F3129" s="1">
        <v>2023</v>
      </c>
      <c r="G3129" s="5">
        <v>809</v>
      </c>
      <c r="H3129" s="5">
        <v>697.78</v>
      </c>
      <c r="I3129" s="5">
        <v>96126.61</v>
      </c>
      <c r="K3129" s="5">
        <v>0.30499999999999999</v>
      </c>
      <c r="L3129" s="5">
        <v>1E-3</v>
      </c>
      <c r="M3129" s="5">
        <v>60330.455999999998</v>
      </c>
      <c r="N3129" s="6">
        <v>5.9200000000000003E-2</v>
      </c>
      <c r="O3129" s="5">
        <v>17.561</v>
      </c>
      <c r="P3129" s="6">
        <v>4.6300000000000001E-2</v>
      </c>
      <c r="Q3129" s="5">
        <v>1015171.862</v>
      </c>
      <c r="R3129" s="1" t="s">
        <v>44</v>
      </c>
      <c r="T3129" s="1" t="s">
        <v>93</v>
      </c>
      <c r="V3129" s="1" t="s">
        <v>140</v>
      </c>
      <c r="Y3129" s="1" t="s">
        <v>1428</v>
      </c>
      <c r="Z3129" s="1" t="str">
        <f t="shared" si="144"/>
        <v>55620 45323</v>
      </c>
      <c r="AA3129" s="3">
        <f>IF(INDEX('CAMD Facility Data 2023'!$AA$2:$AE$10000,MATCH(Z3129,'CAMD Facility Data 2023'!$AE$2:$AE$10000,0),1)&gt;0,INDEX('CAMD Facility Data 2023'!$AA$2:$AE$10000,MATCH(Z3129,'CAMD Facility Data 2023'!$AE$2:$AE$10000,0),1),"")</f>
        <v>37021</v>
      </c>
      <c r="AB3129" s="5">
        <f>IF(INDEX('CAMD Facility Data 2023'!$AC$2:$AE$10000,MATCH(Z3129,'CAMD Facility Data 2023'!$AE$2:$AE$10000,0),1)&gt;0,INDEX('CAMD Facility Data 2023'!$AC$2:$AE$10000,MATCH(Z3129,'CAMD Facility Data 2023'!$AE$2:$AE$10000,0),1),"")</f>
        <v>2200</v>
      </c>
      <c r="AC3129" s="1" t="str">
        <f>IF(INDEX('CAMD Facility Data 2023'!$AE$2:$AG$10000,MATCH(Z3129,'CAMD Facility Data 2023'!$AE$2:$AE$10000,0),3)&gt;0,INDEX('CAMD Facility Data 2023'!$AE$2:$AG$10000,MATCH(Z3129,'CAMD Facility Data 2023'!$AE$2:$AE$10000,0),3),"")</f>
        <v/>
      </c>
      <c r="AD3129" s="20">
        <f t="shared" si="145"/>
        <v>0.36537229389447939</v>
      </c>
      <c r="AE3129" s="25">
        <f t="shared" si="146"/>
        <v>5.2675999481112491E-2</v>
      </c>
    </row>
    <row r="3130" spans="1:31" x14ac:dyDescent="0.2">
      <c r="A3130" s="1" t="s">
        <v>3076</v>
      </c>
      <c r="B3130" s="1" t="s">
        <v>7039</v>
      </c>
      <c r="C3130" s="1">
        <v>55622</v>
      </c>
      <c r="D3130" s="1" t="s">
        <v>3858</v>
      </c>
      <c r="F3130" s="1">
        <v>2023</v>
      </c>
      <c r="G3130" s="5">
        <v>4481</v>
      </c>
      <c r="H3130" s="5">
        <v>3982.28</v>
      </c>
      <c r="I3130" s="5">
        <v>134935.46</v>
      </c>
      <c r="K3130" s="5">
        <v>0.42299999999999999</v>
      </c>
      <c r="L3130" s="5">
        <v>1E-3</v>
      </c>
      <c r="M3130" s="5">
        <v>83726.383000000002</v>
      </c>
      <c r="N3130" s="6">
        <v>5.9299999999999999E-2</v>
      </c>
      <c r="O3130" s="5">
        <v>10.210000000000001</v>
      </c>
      <c r="P3130" s="6">
        <v>2.1899999999999999E-2</v>
      </c>
      <c r="Q3130" s="5">
        <v>1408849.39</v>
      </c>
      <c r="R3130" s="1" t="s">
        <v>44</v>
      </c>
      <c r="T3130" s="1" t="s">
        <v>93</v>
      </c>
      <c r="V3130" s="1" t="s">
        <v>176</v>
      </c>
      <c r="Y3130" s="1" t="s">
        <v>247</v>
      </c>
      <c r="Z3130" s="1" t="str">
        <f t="shared" si="144"/>
        <v>55622 U1</v>
      </c>
      <c r="AA3130" s="3">
        <f>IF(INDEX('CAMD Facility Data 2023'!$AA$2:$AE$10000,MATCH(Z3130,'CAMD Facility Data 2023'!$AE$2:$AE$10000,0),1)&gt;0,INDEX('CAMD Facility Data 2023'!$AA$2:$AE$10000,MATCH(Z3130,'CAMD Facility Data 2023'!$AE$2:$AE$10000,0),1),"")</f>
        <v>37418</v>
      </c>
      <c r="AB3130" s="5">
        <f>IF(INDEX('CAMD Facility Data 2023'!$AC$2:$AE$10000,MATCH(Z3130,'CAMD Facility Data 2023'!$AE$2:$AE$10000,0),1)&gt;0,INDEX('CAMD Facility Data 2023'!$AC$2:$AE$10000,MATCH(Z3130,'CAMD Facility Data 2023'!$AE$2:$AE$10000,0),1),"")</f>
        <v>545</v>
      </c>
      <c r="AC3130" s="1" t="str">
        <f>IF(INDEX('CAMD Facility Data 2023'!$AE$2:$AG$10000,MATCH(Z3130,'CAMD Facility Data 2023'!$AE$2:$AE$10000,0),3)&gt;0,INDEX('CAMD Facility Data 2023'!$AE$2:$AG$10000,MATCH(Z3130,'CAMD Facility Data 2023'!$AE$2:$AE$10000,0),3),"")</f>
        <v>Y</v>
      </c>
      <c r="AD3130" s="20">
        <f t="shared" si="145"/>
        <v>0.15133160697714301</v>
      </c>
      <c r="AE3130" s="25">
        <f t="shared" si="146"/>
        <v>0.2950964329102258</v>
      </c>
    </row>
    <row r="3131" spans="1:31" x14ac:dyDescent="0.2">
      <c r="A3131" s="1" t="s">
        <v>3076</v>
      </c>
      <c r="B3131" s="1" t="s">
        <v>7039</v>
      </c>
      <c r="C3131" s="1">
        <v>55622</v>
      </c>
      <c r="D3131" s="1" t="s">
        <v>3862</v>
      </c>
      <c r="F3131" s="1">
        <v>2023</v>
      </c>
      <c r="G3131" s="5">
        <v>3544</v>
      </c>
      <c r="H3131" s="5">
        <v>3075.32</v>
      </c>
      <c r="I3131" s="5">
        <v>105933.81</v>
      </c>
      <c r="K3131" s="5">
        <v>0.33400000000000002</v>
      </c>
      <c r="L3131" s="5">
        <v>1E-3</v>
      </c>
      <c r="M3131" s="5">
        <v>66119.635999999999</v>
      </c>
      <c r="N3131" s="6">
        <v>5.9299999999999999E-2</v>
      </c>
      <c r="O3131" s="5">
        <v>8.8699999999999992</v>
      </c>
      <c r="P3131" s="6">
        <v>2.5499999999999998E-2</v>
      </c>
      <c r="Q3131" s="5">
        <v>1112615.0970000001</v>
      </c>
      <c r="R3131" s="1" t="s">
        <v>44</v>
      </c>
      <c r="T3131" s="1" t="s">
        <v>93</v>
      </c>
      <c r="V3131" s="1" t="s">
        <v>176</v>
      </c>
      <c r="Y3131" s="1" t="s">
        <v>247</v>
      </c>
      <c r="Z3131" s="1" t="str">
        <f t="shared" si="144"/>
        <v>55622 U2</v>
      </c>
      <c r="AA3131" s="3">
        <f>IF(INDEX('CAMD Facility Data 2023'!$AA$2:$AE$10000,MATCH(Z3131,'CAMD Facility Data 2023'!$AE$2:$AE$10000,0),1)&gt;0,INDEX('CAMD Facility Data 2023'!$AA$2:$AE$10000,MATCH(Z3131,'CAMD Facility Data 2023'!$AE$2:$AE$10000,0),1),"")</f>
        <v>37419</v>
      </c>
      <c r="AB3131" s="5">
        <f>IF(INDEX('CAMD Facility Data 2023'!$AC$2:$AE$10000,MATCH(Z3131,'CAMD Facility Data 2023'!$AE$2:$AE$10000,0),1)&gt;0,INDEX('CAMD Facility Data 2023'!$AC$2:$AE$10000,MATCH(Z3131,'CAMD Facility Data 2023'!$AE$2:$AE$10000,0),1),"")</f>
        <v>545</v>
      </c>
      <c r="AC3131" s="1" t="str">
        <f>IF(INDEX('CAMD Facility Data 2023'!$AE$2:$AG$10000,MATCH(Z3131,'CAMD Facility Data 2023'!$AE$2:$AE$10000,0),3)&gt;0,INDEX('CAMD Facility Data 2023'!$AE$2:$AG$10000,MATCH(Z3131,'CAMD Facility Data 2023'!$AE$2:$AE$10000,0),3),"")</f>
        <v>Y</v>
      </c>
      <c r="AD3131" s="20">
        <f t="shared" si="145"/>
        <v>0.16746306018824397</v>
      </c>
      <c r="AE3131" s="25">
        <f t="shared" si="146"/>
        <v>0.23304744187507856</v>
      </c>
    </row>
    <row r="3132" spans="1:31" x14ac:dyDescent="0.2">
      <c r="A3132" s="1" t="s">
        <v>3076</v>
      </c>
      <c r="B3132" s="1" t="s">
        <v>7039</v>
      </c>
      <c r="C3132" s="1">
        <v>55622</v>
      </c>
      <c r="D3132" s="1" t="s">
        <v>6888</v>
      </c>
      <c r="F3132" s="1">
        <v>2023</v>
      </c>
      <c r="G3132" s="5">
        <v>5980</v>
      </c>
      <c r="H3132" s="5">
        <v>5560.82</v>
      </c>
      <c r="I3132" s="5">
        <v>193774.16</v>
      </c>
      <c r="K3132" s="5">
        <v>0.58199999999999996</v>
      </c>
      <c r="L3132" s="5">
        <v>1E-3</v>
      </c>
      <c r="M3132" s="5">
        <v>115359.613</v>
      </c>
      <c r="N3132" s="6">
        <v>5.9299999999999999E-2</v>
      </c>
      <c r="O3132" s="5">
        <v>13.122999999999999</v>
      </c>
      <c r="P3132" s="6">
        <v>1.83E-2</v>
      </c>
      <c r="Q3132" s="5">
        <v>1941116.0870000001</v>
      </c>
      <c r="R3132" s="1" t="s">
        <v>44</v>
      </c>
      <c r="T3132" s="1" t="s">
        <v>93</v>
      </c>
      <c r="V3132" s="1" t="s">
        <v>176</v>
      </c>
      <c r="Y3132" s="1" t="s">
        <v>247</v>
      </c>
      <c r="Z3132" s="1" t="str">
        <f t="shared" si="144"/>
        <v>55622 U3</v>
      </c>
      <c r="AA3132" s="3">
        <f>IF(INDEX('CAMD Facility Data 2023'!$AA$2:$AE$10000,MATCH(Z3132,'CAMD Facility Data 2023'!$AE$2:$AE$10000,0),1)&gt;0,INDEX('CAMD Facility Data 2023'!$AA$2:$AE$10000,MATCH(Z3132,'CAMD Facility Data 2023'!$AE$2:$AE$10000,0),1),"")</f>
        <v>37174</v>
      </c>
      <c r="AB3132" s="5">
        <f>IF(INDEX('CAMD Facility Data 2023'!$AC$2:$AE$10000,MATCH(Z3132,'CAMD Facility Data 2023'!$AE$2:$AE$10000,0),1)&gt;0,INDEX('CAMD Facility Data 2023'!$AC$2:$AE$10000,MATCH(Z3132,'CAMD Facility Data 2023'!$AE$2:$AE$10000,0),1),"")</f>
        <v>545</v>
      </c>
      <c r="AC3132" s="1" t="str">
        <f>IF(INDEX('CAMD Facility Data 2023'!$AE$2:$AG$10000,MATCH(Z3132,'CAMD Facility Data 2023'!$AE$2:$AE$10000,0),3)&gt;0,INDEX('CAMD Facility Data 2023'!$AE$2:$AG$10000,MATCH(Z3132,'CAMD Facility Data 2023'!$AE$2:$AE$10000,0),3),"")</f>
        <v>Y</v>
      </c>
      <c r="AD3132" s="20">
        <f t="shared" si="145"/>
        <v>0.13544633608526543</v>
      </c>
      <c r="AE3132" s="25">
        <f t="shared" si="146"/>
        <v>0.40658457689246369</v>
      </c>
    </row>
    <row r="3133" spans="1:31" x14ac:dyDescent="0.2">
      <c r="A3133" s="1" t="s">
        <v>3076</v>
      </c>
      <c r="B3133" s="1" t="s">
        <v>7039</v>
      </c>
      <c r="C3133" s="1">
        <v>55622</v>
      </c>
      <c r="D3133" s="1" t="s">
        <v>6890</v>
      </c>
      <c r="F3133" s="1">
        <v>2023</v>
      </c>
      <c r="G3133" s="5">
        <v>6022</v>
      </c>
      <c r="H3133" s="5">
        <v>5742.08</v>
      </c>
      <c r="I3133" s="5">
        <v>205862.65</v>
      </c>
      <c r="K3133" s="5">
        <v>0.61799999999999999</v>
      </c>
      <c r="L3133" s="5">
        <v>1E-3</v>
      </c>
      <c r="M3133" s="5">
        <v>122312.246</v>
      </c>
      <c r="N3133" s="6">
        <v>5.9200000000000003E-2</v>
      </c>
      <c r="O3133" s="5">
        <v>14.211</v>
      </c>
      <c r="P3133" s="6">
        <v>1.67E-2</v>
      </c>
      <c r="Q3133" s="5">
        <v>2058154.892</v>
      </c>
      <c r="R3133" s="1" t="s">
        <v>44</v>
      </c>
      <c r="T3133" s="1" t="s">
        <v>93</v>
      </c>
      <c r="V3133" s="1" t="s">
        <v>176</v>
      </c>
      <c r="Y3133" s="1" t="s">
        <v>247</v>
      </c>
      <c r="Z3133" s="1" t="str">
        <f t="shared" si="144"/>
        <v>55622 U4</v>
      </c>
      <c r="AA3133" s="3">
        <f>IF(INDEX('CAMD Facility Data 2023'!$AA$2:$AE$10000,MATCH(Z3133,'CAMD Facility Data 2023'!$AE$2:$AE$10000,0),1)&gt;0,INDEX('CAMD Facility Data 2023'!$AA$2:$AE$10000,MATCH(Z3133,'CAMD Facility Data 2023'!$AE$2:$AE$10000,0),1),"")</f>
        <v>37165</v>
      </c>
      <c r="AB3133" s="5">
        <f>IF(INDEX('CAMD Facility Data 2023'!$AC$2:$AE$10000,MATCH(Z3133,'CAMD Facility Data 2023'!$AE$2:$AE$10000,0),1)&gt;0,INDEX('CAMD Facility Data 2023'!$AC$2:$AE$10000,MATCH(Z3133,'CAMD Facility Data 2023'!$AE$2:$AE$10000,0),1),"")</f>
        <v>545</v>
      </c>
      <c r="AC3133" s="1" t="str">
        <f>IF(INDEX('CAMD Facility Data 2023'!$AE$2:$AG$10000,MATCH(Z3133,'CAMD Facility Data 2023'!$AE$2:$AE$10000,0),3)&gt;0,INDEX('CAMD Facility Data 2023'!$AE$2:$AG$10000,MATCH(Z3133,'CAMD Facility Data 2023'!$AE$2:$AE$10000,0),3),"")</f>
        <v>Y</v>
      </c>
      <c r="AD3133" s="20">
        <f t="shared" si="145"/>
        <v>0.13806292690781938</v>
      </c>
      <c r="AE3133" s="25">
        <f t="shared" si="146"/>
        <v>0.43109942859536676</v>
      </c>
    </row>
    <row r="3134" spans="1:31" x14ac:dyDescent="0.2">
      <c r="A3134" s="1" t="s">
        <v>3076</v>
      </c>
      <c r="B3134" s="1" t="s">
        <v>7039</v>
      </c>
      <c r="C3134" s="1">
        <v>55622</v>
      </c>
      <c r="D3134" s="1" t="s">
        <v>6892</v>
      </c>
      <c r="F3134" s="1">
        <v>2023</v>
      </c>
      <c r="G3134" s="5">
        <v>6077</v>
      </c>
      <c r="H3134" s="5">
        <v>5827.12</v>
      </c>
      <c r="I3134" s="5">
        <v>205414.25</v>
      </c>
      <c r="K3134" s="5">
        <v>0.625</v>
      </c>
      <c r="L3134" s="5">
        <v>1E-3</v>
      </c>
      <c r="M3134" s="5">
        <v>123857.55100000001</v>
      </c>
      <c r="N3134" s="6">
        <v>5.9200000000000003E-2</v>
      </c>
      <c r="O3134" s="5">
        <v>14.147</v>
      </c>
      <c r="P3134" s="6">
        <v>1.6199999999999999E-2</v>
      </c>
      <c r="Q3134" s="5">
        <v>2084131.192</v>
      </c>
      <c r="R3134" s="1" t="s">
        <v>44</v>
      </c>
      <c r="T3134" s="1" t="s">
        <v>93</v>
      </c>
      <c r="V3134" s="1" t="s">
        <v>176</v>
      </c>
      <c r="Y3134" s="1" t="s">
        <v>247</v>
      </c>
      <c r="Z3134" s="1" t="str">
        <f t="shared" si="144"/>
        <v>55622 U5</v>
      </c>
      <c r="AA3134" s="3">
        <f>IF(INDEX('CAMD Facility Data 2023'!$AA$2:$AE$10000,MATCH(Z3134,'CAMD Facility Data 2023'!$AE$2:$AE$10000,0),1)&gt;0,INDEX('CAMD Facility Data 2023'!$AA$2:$AE$10000,MATCH(Z3134,'CAMD Facility Data 2023'!$AE$2:$AE$10000,0),1),"")</f>
        <v>37462</v>
      </c>
      <c r="AB3134" s="5">
        <f>IF(INDEX('CAMD Facility Data 2023'!$AC$2:$AE$10000,MATCH(Z3134,'CAMD Facility Data 2023'!$AE$2:$AE$10000,0),1)&gt;0,INDEX('CAMD Facility Data 2023'!$AC$2:$AE$10000,MATCH(Z3134,'CAMD Facility Data 2023'!$AE$2:$AE$10000,0),1),"")</f>
        <v>545</v>
      </c>
      <c r="AC3134" s="1" t="str">
        <f>IF(INDEX('CAMD Facility Data 2023'!$AE$2:$AG$10000,MATCH(Z3134,'CAMD Facility Data 2023'!$AE$2:$AE$10000,0),3)&gt;0,INDEX('CAMD Facility Data 2023'!$AE$2:$AG$10000,MATCH(Z3134,'CAMD Facility Data 2023'!$AE$2:$AE$10000,0),3),"")</f>
        <v>Y</v>
      </c>
      <c r="AD3134" s="20">
        <f t="shared" si="145"/>
        <v>0.1377411742369383</v>
      </c>
      <c r="AE3134" s="25">
        <f t="shared" si="146"/>
        <v>0.4365404029994554</v>
      </c>
    </row>
    <row r="3135" spans="1:31" x14ac:dyDescent="0.2">
      <c r="A3135" s="1" t="s">
        <v>370</v>
      </c>
      <c r="B3135" s="1" t="s">
        <v>7046</v>
      </c>
      <c r="C3135" s="1">
        <v>55625</v>
      </c>
      <c r="D3135" s="1" t="s">
        <v>7047</v>
      </c>
      <c r="F3135" s="1">
        <v>2023</v>
      </c>
      <c r="G3135" s="5">
        <v>327</v>
      </c>
      <c r="H3135" s="5">
        <v>235.95</v>
      </c>
      <c r="I3135" s="5">
        <v>8440.24</v>
      </c>
      <c r="K3135" s="5">
        <v>2.7E-2</v>
      </c>
      <c r="L3135" s="5">
        <v>1E-3</v>
      </c>
      <c r="M3135" s="5">
        <v>5344.31</v>
      </c>
      <c r="N3135" s="6">
        <v>5.9299999999999999E-2</v>
      </c>
      <c r="O3135" s="5">
        <v>0.90400000000000003</v>
      </c>
      <c r="P3135" s="6">
        <v>4.1500000000000002E-2</v>
      </c>
      <c r="Q3135" s="5">
        <v>89920.152000000002</v>
      </c>
      <c r="R3135" s="1" t="s">
        <v>44</v>
      </c>
      <c r="T3135" s="1" t="s">
        <v>93</v>
      </c>
      <c r="V3135" s="1" t="s">
        <v>2111</v>
      </c>
      <c r="Y3135" s="1" t="s">
        <v>247</v>
      </c>
      <c r="Z3135" s="1" t="str">
        <f t="shared" si="144"/>
        <v>55625 UNIT1</v>
      </c>
      <c r="AA3135" s="3">
        <f>IF(INDEX('CAMD Facility Data 2023'!$AA$2:$AE$10000,MATCH(Z3135,'CAMD Facility Data 2023'!$AE$2:$AE$10000,0),1)&gt;0,INDEX('CAMD Facility Data 2023'!$AA$2:$AE$10000,MATCH(Z3135,'CAMD Facility Data 2023'!$AE$2:$AE$10000,0),1),"")</f>
        <v>37599</v>
      </c>
      <c r="AB3135" s="5">
        <f>IF(INDEX('CAMD Facility Data 2023'!$AC$2:$AE$10000,MATCH(Z3135,'CAMD Facility Data 2023'!$AE$2:$AE$10000,0),1)&gt;0,INDEX('CAMD Facility Data 2023'!$AC$2:$AE$10000,MATCH(Z3135,'CAMD Facility Data 2023'!$AE$2:$AE$10000,0),1),"")</f>
        <v>500</v>
      </c>
      <c r="AC3135" s="1" t="str">
        <f>IF(INDEX('CAMD Facility Data 2023'!$AE$2:$AG$10000,MATCH(Z3135,'CAMD Facility Data 2023'!$AE$2:$AE$10000,0),3)&gt;0,INDEX('CAMD Facility Data 2023'!$AE$2:$AG$10000,MATCH(Z3135,'CAMD Facility Data 2023'!$AE$2:$AE$10000,0),3),"")</f>
        <v>Y</v>
      </c>
      <c r="AD3135" s="20">
        <f t="shared" si="145"/>
        <v>0.21421191814450774</v>
      </c>
      <c r="AE3135" s="25">
        <f t="shared" si="146"/>
        <v>2.0529715068493153E-2</v>
      </c>
    </row>
    <row r="3136" spans="1:31" x14ac:dyDescent="0.2">
      <c r="A3136" s="1" t="s">
        <v>370</v>
      </c>
      <c r="B3136" s="1" t="s">
        <v>7049</v>
      </c>
      <c r="C3136" s="1">
        <v>55626</v>
      </c>
      <c r="D3136" s="1" t="s">
        <v>7047</v>
      </c>
      <c r="F3136" s="1">
        <v>2023</v>
      </c>
      <c r="G3136" s="5">
        <v>524</v>
      </c>
      <c r="H3136" s="5">
        <v>396.66</v>
      </c>
      <c r="I3136" s="5">
        <v>14807.99</v>
      </c>
      <c r="K3136" s="5">
        <v>4.5999999999999999E-2</v>
      </c>
      <c r="L3136" s="5">
        <v>1E-3</v>
      </c>
      <c r="M3136" s="5">
        <v>9179.0419999999995</v>
      </c>
      <c r="N3136" s="6">
        <v>5.9299999999999999E-2</v>
      </c>
      <c r="O3136" s="5">
        <v>1.5529999999999999</v>
      </c>
      <c r="P3136" s="6">
        <v>4.1000000000000002E-2</v>
      </c>
      <c r="Q3136" s="5">
        <v>154438.239</v>
      </c>
      <c r="R3136" s="1" t="s">
        <v>44</v>
      </c>
      <c r="T3136" s="1" t="s">
        <v>93</v>
      </c>
      <c r="V3136" s="1" t="s">
        <v>2111</v>
      </c>
      <c r="Y3136" s="1" t="s">
        <v>247</v>
      </c>
      <c r="Z3136" s="1" t="str">
        <f t="shared" si="144"/>
        <v>55626 UNIT1</v>
      </c>
      <c r="AA3136" s="3">
        <f>IF(INDEX('CAMD Facility Data 2023'!$AA$2:$AE$10000,MATCH(Z3136,'CAMD Facility Data 2023'!$AE$2:$AE$10000,0),1)&gt;0,INDEX('CAMD Facility Data 2023'!$AA$2:$AE$10000,MATCH(Z3136,'CAMD Facility Data 2023'!$AE$2:$AE$10000,0),1),"")</f>
        <v>37597</v>
      </c>
      <c r="AB3136" s="5">
        <f>IF(INDEX('CAMD Facility Data 2023'!$AC$2:$AE$10000,MATCH(Z3136,'CAMD Facility Data 2023'!$AE$2:$AE$10000,0),1)&gt;0,INDEX('CAMD Facility Data 2023'!$AC$2:$AE$10000,MATCH(Z3136,'CAMD Facility Data 2023'!$AE$2:$AE$10000,0),1),"")</f>
        <v>500</v>
      </c>
      <c r="AC3136" s="1" t="str">
        <f>IF(INDEX('CAMD Facility Data 2023'!$AE$2:$AG$10000,MATCH(Z3136,'CAMD Facility Data 2023'!$AE$2:$AE$10000,0),3)&gt;0,INDEX('CAMD Facility Data 2023'!$AE$2:$AG$10000,MATCH(Z3136,'CAMD Facility Data 2023'!$AE$2:$AE$10000,0),3),"")</f>
        <v>Y</v>
      </c>
      <c r="AD3136" s="20">
        <f t="shared" si="145"/>
        <v>0.20975162733092068</v>
      </c>
      <c r="AE3136" s="25">
        <f t="shared" si="146"/>
        <v>3.5259871917808217E-2</v>
      </c>
    </row>
    <row r="3137" spans="1:31" x14ac:dyDescent="0.2">
      <c r="A3137" s="1" t="s">
        <v>370</v>
      </c>
      <c r="B3137" s="1" t="s">
        <v>7051</v>
      </c>
      <c r="C3137" s="1">
        <v>55627</v>
      </c>
      <c r="D3137" s="1" t="s">
        <v>7047</v>
      </c>
      <c r="F3137" s="1">
        <v>2023</v>
      </c>
      <c r="G3137" s="5">
        <v>564</v>
      </c>
      <c r="H3137" s="5">
        <v>428.74</v>
      </c>
      <c r="I3137" s="5">
        <v>16252.72</v>
      </c>
      <c r="K3137" s="5">
        <v>5.0999999999999997E-2</v>
      </c>
      <c r="L3137" s="5">
        <v>1E-3</v>
      </c>
      <c r="M3137" s="5">
        <v>10095.489</v>
      </c>
      <c r="N3137" s="6">
        <v>5.9200000000000003E-2</v>
      </c>
      <c r="O3137" s="5">
        <v>1.7190000000000001</v>
      </c>
      <c r="P3137" s="6">
        <v>3.7999999999999999E-2</v>
      </c>
      <c r="Q3137" s="5">
        <v>169873.81400000001</v>
      </c>
      <c r="R3137" s="1" t="s">
        <v>44</v>
      </c>
      <c r="T3137" s="1" t="s">
        <v>93</v>
      </c>
      <c r="V3137" s="1" t="s">
        <v>1608</v>
      </c>
      <c r="Y3137" s="1" t="s">
        <v>247</v>
      </c>
      <c r="Z3137" s="1" t="str">
        <f t="shared" si="144"/>
        <v>55627 UNIT1</v>
      </c>
      <c r="AA3137" s="3">
        <f>IF(INDEX('CAMD Facility Data 2023'!$AA$2:$AE$10000,MATCH(Z3137,'CAMD Facility Data 2023'!$AE$2:$AE$10000,0),1)&gt;0,INDEX('CAMD Facility Data 2023'!$AA$2:$AE$10000,MATCH(Z3137,'CAMD Facility Data 2023'!$AE$2:$AE$10000,0),1),"")</f>
        <v>37598</v>
      </c>
      <c r="AB3137" s="5">
        <f>IF(INDEX('CAMD Facility Data 2023'!$AC$2:$AE$10000,MATCH(Z3137,'CAMD Facility Data 2023'!$AE$2:$AE$10000,0),1)&gt;0,INDEX('CAMD Facility Data 2023'!$AC$2:$AE$10000,MATCH(Z3137,'CAMD Facility Data 2023'!$AE$2:$AE$10000,0),1),"")</f>
        <v>500</v>
      </c>
      <c r="AC3137" s="1" t="str">
        <f>IF(INDEX('CAMD Facility Data 2023'!$AE$2:$AG$10000,MATCH(Z3137,'CAMD Facility Data 2023'!$AE$2:$AE$10000,0),3)&gt;0,INDEX('CAMD Facility Data 2023'!$AE$2:$AG$10000,MATCH(Z3137,'CAMD Facility Data 2023'!$AE$2:$AE$10000,0),3),"")</f>
        <v>Y</v>
      </c>
      <c r="AD3137" s="20">
        <f t="shared" si="145"/>
        <v>0.21153382326158329</v>
      </c>
      <c r="AE3137" s="25">
        <f t="shared" si="146"/>
        <v>3.878397579908676E-2</v>
      </c>
    </row>
    <row r="3138" spans="1:31" x14ac:dyDescent="0.2">
      <c r="A3138" s="1" t="s">
        <v>458</v>
      </c>
      <c r="B3138" s="1" t="s">
        <v>7053</v>
      </c>
      <c r="C3138" s="1">
        <v>55640</v>
      </c>
      <c r="D3138" s="1" t="s">
        <v>993</v>
      </c>
      <c r="F3138" s="1">
        <v>2023</v>
      </c>
      <c r="G3138" s="5">
        <v>345</v>
      </c>
      <c r="H3138" s="5">
        <v>310.18</v>
      </c>
      <c r="I3138" s="5">
        <v>12785.79</v>
      </c>
      <c r="K3138" s="5">
        <v>3.1E-2</v>
      </c>
      <c r="L3138" s="5">
        <v>6.9999999999999999E-4</v>
      </c>
      <c r="M3138" s="5">
        <v>7100.0230000000001</v>
      </c>
      <c r="N3138" s="6">
        <v>5.9299999999999999E-2</v>
      </c>
      <c r="O3138" s="5">
        <v>1.17</v>
      </c>
      <c r="P3138" s="6">
        <v>3.04E-2</v>
      </c>
      <c r="Q3138" s="5">
        <v>119463.232</v>
      </c>
      <c r="R3138" s="1" t="s">
        <v>44</v>
      </c>
      <c r="T3138" s="1" t="s">
        <v>93</v>
      </c>
      <c r="V3138" s="1" t="s">
        <v>176</v>
      </c>
      <c r="Y3138" s="1" t="s">
        <v>461</v>
      </c>
      <c r="Z3138" s="1" t="str">
        <f t="shared" si="144"/>
        <v>55640 CT01</v>
      </c>
      <c r="AA3138" s="3">
        <f>IF(INDEX('CAMD Facility Data 2023'!$AA$2:$AE$10000,MATCH(Z3138,'CAMD Facility Data 2023'!$AE$2:$AE$10000,0),1)&gt;0,INDEX('CAMD Facility Data 2023'!$AA$2:$AE$10000,MATCH(Z3138,'CAMD Facility Data 2023'!$AE$2:$AE$10000,0),1),"")</f>
        <v>37432</v>
      </c>
      <c r="AB3138" s="5">
        <f>IF(INDEX('CAMD Facility Data 2023'!$AC$2:$AE$10000,MATCH(Z3138,'CAMD Facility Data 2023'!$AE$2:$AE$10000,0),1)&gt;0,INDEX('CAMD Facility Data 2023'!$AC$2:$AE$10000,MATCH(Z3138,'CAMD Facility Data 2023'!$AE$2:$AE$10000,0),1),"")</f>
        <v>519</v>
      </c>
      <c r="AC3138" s="1" t="str">
        <f>IF(INDEX('CAMD Facility Data 2023'!$AE$2:$AG$10000,MATCH(Z3138,'CAMD Facility Data 2023'!$AE$2:$AE$10000,0),3)&gt;0,INDEX('CAMD Facility Data 2023'!$AE$2:$AG$10000,MATCH(Z3138,'CAMD Facility Data 2023'!$AE$2:$AE$10000,0),3),"")</f>
        <v>Y</v>
      </c>
      <c r="AD3138" s="20">
        <f t="shared" si="145"/>
        <v>0.18301567599655555</v>
      </c>
      <c r="AE3138" s="25">
        <f t="shared" si="146"/>
        <v>2.6276214356727463E-2</v>
      </c>
    </row>
    <row r="3139" spans="1:31" x14ac:dyDescent="0.2">
      <c r="A3139" s="1" t="s">
        <v>458</v>
      </c>
      <c r="B3139" s="1" t="s">
        <v>7053</v>
      </c>
      <c r="C3139" s="1">
        <v>55640</v>
      </c>
      <c r="D3139" s="1" t="s">
        <v>998</v>
      </c>
      <c r="F3139" s="1">
        <v>2023</v>
      </c>
      <c r="G3139" s="5">
        <v>790</v>
      </c>
      <c r="H3139" s="5">
        <v>715.04</v>
      </c>
      <c r="I3139" s="5">
        <v>30382.41</v>
      </c>
      <c r="K3139" s="5">
        <v>7.1999999999999995E-2</v>
      </c>
      <c r="L3139" s="5">
        <v>8.0000000000000004E-4</v>
      </c>
      <c r="M3139" s="5">
        <v>16162.492</v>
      </c>
      <c r="N3139" s="6">
        <v>5.9200000000000003E-2</v>
      </c>
      <c r="O3139" s="5">
        <v>2.202</v>
      </c>
      <c r="P3139" s="6">
        <v>2.46E-2</v>
      </c>
      <c r="Q3139" s="5">
        <v>271969.25199999998</v>
      </c>
      <c r="R3139" s="1" t="s">
        <v>44</v>
      </c>
      <c r="T3139" s="1" t="s">
        <v>93</v>
      </c>
      <c r="V3139" s="1" t="s">
        <v>176</v>
      </c>
      <c r="Y3139" s="1" t="s">
        <v>461</v>
      </c>
      <c r="Z3139" s="1" t="str">
        <f t="shared" ref="Z3139:Z3202" si="147">C3139&amp;" "&amp;D3139</f>
        <v>55640 CT02</v>
      </c>
      <c r="AA3139" s="3">
        <f>IF(INDEX('CAMD Facility Data 2023'!$AA$2:$AE$10000,MATCH(Z3139,'CAMD Facility Data 2023'!$AE$2:$AE$10000,0),1)&gt;0,INDEX('CAMD Facility Data 2023'!$AA$2:$AE$10000,MATCH(Z3139,'CAMD Facility Data 2023'!$AE$2:$AE$10000,0),1),"")</f>
        <v>37432</v>
      </c>
      <c r="AB3139" s="5">
        <f>IF(INDEX('CAMD Facility Data 2023'!$AC$2:$AE$10000,MATCH(Z3139,'CAMD Facility Data 2023'!$AE$2:$AE$10000,0),1)&gt;0,INDEX('CAMD Facility Data 2023'!$AC$2:$AE$10000,MATCH(Z3139,'CAMD Facility Data 2023'!$AE$2:$AE$10000,0),1),"")</f>
        <v>505</v>
      </c>
      <c r="AC3139" s="1" t="str">
        <f>IF(INDEX('CAMD Facility Data 2023'!$AE$2:$AG$10000,MATCH(Z3139,'CAMD Facility Data 2023'!$AE$2:$AE$10000,0),3)&gt;0,INDEX('CAMD Facility Data 2023'!$AE$2:$AG$10000,MATCH(Z3139,'CAMD Facility Data 2023'!$AE$2:$AE$10000,0),3),"")</f>
        <v>Y</v>
      </c>
      <c r="AD3139" s="20">
        <f t="shared" ref="AD3139:AD3202" si="148">IF(ISNUMBER(O3139*2000/I3139),O3139*2000/I3139,"")</f>
        <v>0.14495229311960439</v>
      </c>
      <c r="AE3139" s="25">
        <f t="shared" ref="AE3139:AE3202" si="149">Q3139/(AB3139*8760)</f>
        <v>6.1478650029386496E-2</v>
      </c>
    </row>
    <row r="3140" spans="1:31" x14ac:dyDescent="0.2">
      <c r="A3140" s="1" t="s">
        <v>458</v>
      </c>
      <c r="B3140" s="1" t="s">
        <v>7053</v>
      </c>
      <c r="C3140" s="1">
        <v>55640</v>
      </c>
      <c r="D3140" s="1" t="s">
        <v>1043</v>
      </c>
      <c r="F3140" s="1">
        <v>2023</v>
      </c>
      <c r="G3140" s="5">
        <v>194</v>
      </c>
      <c r="H3140" s="5">
        <v>159.1</v>
      </c>
      <c r="I3140" s="5">
        <v>6385.54</v>
      </c>
      <c r="K3140" s="5">
        <v>2.1000000000000001E-2</v>
      </c>
      <c r="L3140" s="5">
        <v>8.9999999999999998E-4</v>
      </c>
      <c r="M3140" s="5">
        <v>3962.9380000000001</v>
      </c>
      <c r="N3140" s="6">
        <v>5.9299999999999999E-2</v>
      </c>
      <c r="O3140" s="5">
        <v>0.68700000000000006</v>
      </c>
      <c r="P3140" s="6">
        <v>4.02E-2</v>
      </c>
      <c r="Q3140" s="5">
        <v>66670.239000000001</v>
      </c>
      <c r="R3140" s="1" t="s">
        <v>44</v>
      </c>
      <c r="T3140" s="1" t="s">
        <v>93</v>
      </c>
      <c r="V3140" s="1" t="s">
        <v>176</v>
      </c>
      <c r="Y3140" s="1" t="s">
        <v>461</v>
      </c>
      <c r="Z3140" s="1" t="str">
        <f t="shared" si="147"/>
        <v>55640 CT03</v>
      </c>
      <c r="AA3140" s="3">
        <f>IF(INDEX('CAMD Facility Data 2023'!$AA$2:$AE$10000,MATCH(Z3140,'CAMD Facility Data 2023'!$AE$2:$AE$10000,0),1)&gt;0,INDEX('CAMD Facility Data 2023'!$AA$2:$AE$10000,MATCH(Z3140,'CAMD Facility Data 2023'!$AE$2:$AE$10000,0),1),"")</f>
        <v>37424</v>
      </c>
      <c r="AB3140" s="5">
        <f>IF(INDEX('CAMD Facility Data 2023'!$AC$2:$AE$10000,MATCH(Z3140,'CAMD Facility Data 2023'!$AE$2:$AE$10000,0),1)&gt;0,INDEX('CAMD Facility Data 2023'!$AC$2:$AE$10000,MATCH(Z3140,'CAMD Facility Data 2023'!$AE$2:$AE$10000,0),1),"")</f>
        <v>517</v>
      </c>
      <c r="AC3140" s="1" t="str">
        <f>IF(INDEX('CAMD Facility Data 2023'!$AE$2:$AG$10000,MATCH(Z3140,'CAMD Facility Data 2023'!$AE$2:$AE$10000,0),3)&gt;0,INDEX('CAMD Facility Data 2023'!$AE$2:$AG$10000,MATCH(Z3140,'CAMD Facility Data 2023'!$AE$2:$AE$10000,0),3),"")</f>
        <v>Y</v>
      </c>
      <c r="AD3140" s="20">
        <f t="shared" si="148"/>
        <v>0.21517365798350649</v>
      </c>
      <c r="AE3140" s="25">
        <f t="shared" si="149"/>
        <v>1.4721001695768527E-2</v>
      </c>
    </row>
    <row r="3141" spans="1:31" x14ac:dyDescent="0.2">
      <c r="A3141" s="1" t="s">
        <v>458</v>
      </c>
      <c r="B3141" s="1" t="s">
        <v>7053</v>
      </c>
      <c r="C3141" s="1">
        <v>55640</v>
      </c>
      <c r="D3141" s="1" t="s">
        <v>1048</v>
      </c>
      <c r="F3141" s="1">
        <v>2023</v>
      </c>
      <c r="G3141" s="5">
        <v>272</v>
      </c>
      <c r="H3141" s="5">
        <v>241.28</v>
      </c>
      <c r="I3141" s="5">
        <v>10127.700000000001</v>
      </c>
      <c r="K3141" s="5">
        <v>3.3000000000000002E-2</v>
      </c>
      <c r="L3141" s="5">
        <v>8.0000000000000004E-4</v>
      </c>
      <c r="M3141" s="5">
        <v>6075.9859999999999</v>
      </c>
      <c r="N3141" s="6">
        <v>5.9200000000000003E-2</v>
      </c>
      <c r="O3141" s="5">
        <v>0.92300000000000004</v>
      </c>
      <c r="P3141" s="6">
        <v>2.9499999999999998E-2</v>
      </c>
      <c r="Q3141" s="5">
        <v>102237.497</v>
      </c>
      <c r="R3141" s="1" t="s">
        <v>44</v>
      </c>
      <c r="T3141" s="1" t="s">
        <v>93</v>
      </c>
      <c r="V3141" s="1" t="s">
        <v>176</v>
      </c>
      <c r="Y3141" s="1" t="s">
        <v>461</v>
      </c>
      <c r="Z3141" s="1" t="str">
        <f t="shared" si="147"/>
        <v>55640 CT04</v>
      </c>
      <c r="AA3141" s="3">
        <f>IF(INDEX('CAMD Facility Data 2023'!$AA$2:$AE$10000,MATCH(Z3141,'CAMD Facility Data 2023'!$AE$2:$AE$10000,0),1)&gt;0,INDEX('CAMD Facility Data 2023'!$AA$2:$AE$10000,MATCH(Z3141,'CAMD Facility Data 2023'!$AE$2:$AE$10000,0),1),"")</f>
        <v>37425</v>
      </c>
      <c r="AB3141" s="5">
        <f>IF(INDEX('CAMD Facility Data 2023'!$AC$2:$AE$10000,MATCH(Z3141,'CAMD Facility Data 2023'!$AE$2:$AE$10000,0),1)&gt;0,INDEX('CAMD Facility Data 2023'!$AC$2:$AE$10000,MATCH(Z3141,'CAMD Facility Data 2023'!$AE$2:$AE$10000,0),1),"")</f>
        <v>505</v>
      </c>
      <c r="AC3141" s="1" t="str">
        <f>IF(INDEX('CAMD Facility Data 2023'!$AE$2:$AG$10000,MATCH(Z3141,'CAMD Facility Data 2023'!$AE$2:$AE$10000,0),3)&gt;0,INDEX('CAMD Facility Data 2023'!$AE$2:$AG$10000,MATCH(Z3141,'CAMD Facility Data 2023'!$AE$2:$AE$10000,0),3),"")</f>
        <v>Y</v>
      </c>
      <c r="AD3141" s="20">
        <f t="shared" si="148"/>
        <v>0.1822723816858714</v>
      </c>
      <c r="AE3141" s="25">
        <f t="shared" si="149"/>
        <v>2.3110786427957865E-2</v>
      </c>
    </row>
    <row r="3142" spans="1:31" x14ac:dyDescent="0.2">
      <c r="A3142" s="1" t="s">
        <v>458</v>
      </c>
      <c r="B3142" s="1" t="s">
        <v>7053</v>
      </c>
      <c r="C3142" s="1">
        <v>55640</v>
      </c>
      <c r="D3142" s="1" t="s">
        <v>1050</v>
      </c>
      <c r="F3142" s="1">
        <v>2023</v>
      </c>
      <c r="G3142" s="5">
        <v>393</v>
      </c>
      <c r="H3142" s="5">
        <v>349.07</v>
      </c>
      <c r="I3142" s="5">
        <v>14657.77</v>
      </c>
      <c r="K3142" s="5">
        <v>3.5000000000000003E-2</v>
      </c>
      <c r="L3142" s="5">
        <v>1E-3</v>
      </c>
      <c r="M3142" s="5">
        <v>7324.808</v>
      </c>
      <c r="N3142" s="6">
        <v>5.9299999999999999E-2</v>
      </c>
      <c r="O3142" s="5">
        <v>1.393</v>
      </c>
      <c r="P3142" s="6">
        <v>3.3500000000000002E-2</v>
      </c>
      <c r="Q3142" s="5">
        <v>123246.159</v>
      </c>
      <c r="R3142" s="1" t="s">
        <v>44</v>
      </c>
      <c r="T3142" s="1" t="s">
        <v>93</v>
      </c>
      <c r="V3142" s="1" t="s">
        <v>176</v>
      </c>
      <c r="Y3142" s="1" t="s">
        <v>461</v>
      </c>
      <c r="Z3142" s="1" t="str">
        <f t="shared" si="147"/>
        <v>55640 CT05</v>
      </c>
      <c r="AA3142" s="3">
        <f>IF(INDEX('CAMD Facility Data 2023'!$AA$2:$AE$10000,MATCH(Z3142,'CAMD Facility Data 2023'!$AE$2:$AE$10000,0),1)&gt;0,INDEX('CAMD Facility Data 2023'!$AA$2:$AE$10000,MATCH(Z3142,'CAMD Facility Data 2023'!$AE$2:$AE$10000,0),1),"")</f>
        <v>37419</v>
      </c>
      <c r="AB3142" s="5">
        <f>IF(INDEX('CAMD Facility Data 2023'!$AC$2:$AE$10000,MATCH(Z3142,'CAMD Facility Data 2023'!$AE$2:$AE$10000,0),1)&gt;0,INDEX('CAMD Facility Data 2023'!$AC$2:$AE$10000,MATCH(Z3142,'CAMD Facility Data 2023'!$AE$2:$AE$10000,0),1),"")</f>
        <v>505</v>
      </c>
      <c r="AC3142" s="1" t="str">
        <f>IF(INDEX('CAMD Facility Data 2023'!$AE$2:$AG$10000,MATCH(Z3142,'CAMD Facility Data 2023'!$AE$2:$AE$10000,0),3)&gt;0,INDEX('CAMD Facility Data 2023'!$AE$2:$AG$10000,MATCH(Z3142,'CAMD Facility Data 2023'!$AE$2:$AE$10000,0),3),"")</f>
        <v>Y</v>
      </c>
      <c r="AD3142" s="20">
        <f t="shared" si="148"/>
        <v>0.19006984009163741</v>
      </c>
      <c r="AE3142" s="25">
        <f t="shared" si="149"/>
        <v>2.7859794520547945E-2</v>
      </c>
    </row>
    <row r="3143" spans="1:31" x14ac:dyDescent="0.2">
      <c r="A3143" s="1" t="s">
        <v>458</v>
      </c>
      <c r="B3143" s="1" t="s">
        <v>7053</v>
      </c>
      <c r="C3143" s="1">
        <v>55640</v>
      </c>
      <c r="D3143" s="1" t="s">
        <v>4517</v>
      </c>
      <c r="F3143" s="1">
        <v>2023</v>
      </c>
      <c r="G3143" s="5">
        <v>742</v>
      </c>
      <c r="H3143" s="5">
        <v>660.39</v>
      </c>
      <c r="I3143" s="5">
        <v>28011.02</v>
      </c>
      <c r="K3143" s="5">
        <v>8.4000000000000005E-2</v>
      </c>
      <c r="L3143" s="5">
        <v>8.0000000000000004E-4</v>
      </c>
      <c r="M3143" s="5">
        <v>16202.136</v>
      </c>
      <c r="N3143" s="6">
        <v>5.9200000000000003E-2</v>
      </c>
      <c r="O3143" s="5">
        <v>2.274</v>
      </c>
      <c r="P3143" s="6">
        <v>2.7199999999999998E-2</v>
      </c>
      <c r="Q3143" s="5">
        <v>272640.36499999999</v>
      </c>
      <c r="R3143" s="1" t="s">
        <v>44</v>
      </c>
      <c r="T3143" s="1" t="s">
        <v>93</v>
      </c>
      <c r="V3143" s="1" t="s">
        <v>176</v>
      </c>
      <c r="Y3143" s="1" t="s">
        <v>461</v>
      </c>
      <c r="Z3143" s="1" t="str">
        <f t="shared" si="147"/>
        <v>55640 CT06</v>
      </c>
      <c r="AA3143" s="3">
        <f>IF(INDEX('CAMD Facility Data 2023'!$AA$2:$AE$10000,MATCH(Z3143,'CAMD Facility Data 2023'!$AE$2:$AE$10000,0),1)&gt;0,INDEX('CAMD Facility Data 2023'!$AA$2:$AE$10000,MATCH(Z3143,'CAMD Facility Data 2023'!$AE$2:$AE$10000,0),1),"")</f>
        <v>37421</v>
      </c>
      <c r="AB3143" s="5">
        <f>IF(INDEX('CAMD Facility Data 2023'!$AC$2:$AE$10000,MATCH(Z3143,'CAMD Facility Data 2023'!$AE$2:$AE$10000,0),1)&gt;0,INDEX('CAMD Facility Data 2023'!$AC$2:$AE$10000,MATCH(Z3143,'CAMD Facility Data 2023'!$AE$2:$AE$10000,0),1),"")</f>
        <v>505</v>
      </c>
      <c r="AC3143" s="1" t="str">
        <f>IF(INDEX('CAMD Facility Data 2023'!$AE$2:$AG$10000,MATCH(Z3143,'CAMD Facility Data 2023'!$AE$2:$AE$10000,0),3)&gt;0,INDEX('CAMD Facility Data 2023'!$AE$2:$AG$10000,MATCH(Z3143,'CAMD Facility Data 2023'!$AE$2:$AE$10000,0),3),"")</f>
        <v>Y</v>
      </c>
      <c r="AD3143" s="20">
        <f t="shared" si="148"/>
        <v>0.16236466933371224</v>
      </c>
      <c r="AE3143" s="25">
        <f t="shared" si="149"/>
        <v>6.1630355124553546E-2</v>
      </c>
    </row>
    <row r="3144" spans="1:31" x14ac:dyDescent="0.2">
      <c r="A3144" s="1" t="s">
        <v>458</v>
      </c>
      <c r="B3144" s="1" t="s">
        <v>7053</v>
      </c>
      <c r="C3144" s="1">
        <v>55640</v>
      </c>
      <c r="D3144" s="1" t="s">
        <v>5961</v>
      </c>
      <c r="F3144" s="1">
        <v>2023</v>
      </c>
      <c r="G3144" s="5">
        <v>323</v>
      </c>
      <c r="H3144" s="5">
        <v>289.64</v>
      </c>
      <c r="I3144" s="5">
        <v>11717.33</v>
      </c>
      <c r="K3144" s="5">
        <v>3.5999999999999997E-2</v>
      </c>
      <c r="L3144" s="5">
        <v>6.9999999999999999E-4</v>
      </c>
      <c r="M3144" s="5">
        <v>6917.0479999999998</v>
      </c>
      <c r="N3144" s="6">
        <v>5.9200000000000003E-2</v>
      </c>
      <c r="O3144" s="5">
        <v>1.1060000000000001</v>
      </c>
      <c r="P3144" s="6">
        <v>2.9000000000000001E-2</v>
      </c>
      <c r="Q3144" s="5">
        <v>116421.102</v>
      </c>
      <c r="R3144" s="1" t="s">
        <v>44</v>
      </c>
      <c r="T3144" s="1" t="s">
        <v>93</v>
      </c>
      <c r="V3144" s="1" t="s">
        <v>176</v>
      </c>
      <c r="Y3144" s="1" t="s">
        <v>461</v>
      </c>
      <c r="Z3144" s="1" t="str">
        <f t="shared" si="147"/>
        <v>55640 CT07</v>
      </c>
      <c r="AA3144" s="3">
        <f>IF(INDEX('CAMD Facility Data 2023'!$AA$2:$AE$10000,MATCH(Z3144,'CAMD Facility Data 2023'!$AE$2:$AE$10000,0),1)&gt;0,INDEX('CAMD Facility Data 2023'!$AA$2:$AE$10000,MATCH(Z3144,'CAMD Facility Data 2023'!$AE$2:$AE$10000,0),1),"")</f>
        <v>37432</v>
      </c>
      <c r="AB3144" s="5">
        <f>IF(INDEX('CAMD Facility Data 2023'!$AC$2:$AE$10000,MATCH(Z3144,'CAMD Facility Data 2023'!$AE$2:$AE$10000,0),1)&gt;0,INDEX('CAMD Facility Data 2023'!$AC$2:$AE$10000,MATCH(Z3144,'CAMD Facility Data 2023'!$AE$2:$AE$10000,0),1),"")</f>
        <v>505</v>
      </c>
      <c r="AC3144" s="1" t="str">
        <f>IF(INDEX('CAMD Facility Data 2023'!$AE$2:$AG$10000,MATCH(Z3144,'CAMD Facility Data 2023'!$AE$2:$AE$10000,0),3)&gt;0,INDEX('CAMD Facility Data 2023'!$AE$2:$AG$10000,MATCH(Z3144,'CAMD Facility Data 2023'!$AE$2:$AE$10000,0),3),"")</f>
        <v>Y</v>
      </c>
      <c r="AD3144" s="20">
        <f t="shared" si="148"/>
        <v>0.18878020846045984</v>
      </c>
      <c r="AE3144" s="25">
        <f t="shared" si="149"/>
        <v>2.6316990370269903E-2</v>
      </c>
    </row>
    <row r="3145" spans="1:31" x14ac:dyDescent="0.2">
      <c r="A3145" s="1" t="s">
        <v>458</v>
      </c>
      <c r="B3145" s="1" t="s">
        <v>7053</v>
      </c>
      <c r="C3145" s="1">
        <v>55640</v>
      </c>
      <c r="D3145" s="1" t="s">
        <v>5962</v>
      </c>
      <c r="F3145" s="1">
        <v>2023</v>
      </c>
      <c r="G3145" s="5">
        <v>397</v>
      </c>
      <c r="H3145" s="5">
        <v>356.56</v>
      </c>
      <c r="I3145" s="5">
        <v>14582.38</v>
      </c>
      <c r="K3145" s="5">
        <v>4.8000000000000001E-2</v>
      </c>
      <c r="L3145" s="5">
        <v>8.0000000000000004E-4</v>
      </c>
      <c r="M3145" s="5">
        <v>8706.6119999999992</v>
      </c>
      <c r="N3145" s="6">
        <v>5.9200000000000003E-2</v>
      </c>
      <c r="O3145" s="5">
        <v>1.4159999999999999</v>
      </c>
      <c r="P3145" s="6">
        <v>0.03</v>
      </c>
      <c r="Q3145" s="5">
        <v>146481.84899999999</v>
      </c>
      <c r="R3145" s="1" t="s">
        <v>44</v>
      </c>
      <c r="T3145" s="1" t="s">
        <v>93</v>
      </c>
      <c r="V3145" s="1" t="s">
        <v>176</v>
      </c>
      <c r="Y3145" s="1" t="s">
        <v>461</v>
      </c>
      <c r="Z3145" s="1" t="str">
        <f t="shared" si="147"/>
        <v>55640 CT08</v>
      </c>
      <c r="AA3145" s="3">
        <f>IF(INDEX('CAMD Facility Data 2023'!$AA$2:$AE$10000,MATCH(Z3145,'CAMD Facility Data 2023'!$AE$2:$AE$10000,0),1)&gt;0,INDEX('CAMD Facility Data 2023'!$AA$2:$AE$10000,MATCH(Z3145,'CAMD Facility Data 2023'!$AE$2:$AE$10000,0),1),"")</f>
        <v>37435</v>
      </c>
      <c r="AB3145" s="5">
        <f>IF(INDEX('CAMD Facility Data 2023'!$AC$2:$AE$10000,MATCH(Z3145,'CAMD Facility Data 2023'!$AE$2:$AE$10000,0),1)&gt;0,INDEX('CAMD Facility Data 2023'!$AC$2:$AE$10000,MATCH(Z3145,'CAMD Facility Data 2023'!$AE$2:$AE$10000,0),1),"")</f>
        <v>505</v>
      </c>
      <c r="AC3145" s="1" t="str">
        <f>IF(INDEX('CAMD Facility Data 2023'!$AE$2:$AG$10000,MATCH(Z3145,'CAMD Facility Data 2023'!$AE$2:$AE$10000,0),3)&gt;0,INDEX('CAMD Facility Data 2023'!$AE$2:$AG$10000,MATCH(Z3145,'CAMD Facility Data 2023'!$AE$2:$AE$10000,0),3),"")</f>
        <v>Y</v>
      </c>
      <c r="AD3145" s="20">
        <f t="shared" si="148"/>
        <v>0.19420698130209199</v>
      </c>
      <c r="AE3145" s="25">
        <f t="shared" si="149"/>
        <v>3.3112222297572221E-2</v>
      </c>
    </row>
    <row r="3146" spans="1:31" x14ac:dyDescent="0.2">
      <c r="A3146" s="1" t="s">
        <v>458</v>
      </c>
      <c r="B3146" s="1" t="s">
        <v>7053</v>
      </c>
      <c r="C3146" s="1">
        <v>55640</v>
      </c>
      <c r="D3146" s="1" t="s">
        <v>7002</v>
      </c>
      <c r="F3146" s="1">
        <v>2023</v>
      </c>
      <c r="G3146" s="5">
        <v>701</v>
      </c>
      <c r="H3146" s="5">
        <v>631.41999999999996</v>
      </c>
      <c r="I3146" s="5">
        <v>26935.759999999998</v>
      </c>
      <c r="K3146" s="5">
        <v>6.5000000000000002E-2</v>
      </c>
      <c r="L3146" s="5">
        <v>5.9999999999999995E-4</v>
      </c>
      <c r="M3146" s="5">
        <v>14658.394</v>
      </c>
      <c r="N3146" s="6">
        <v>5.9200000000000003E-2</v>
      </c>
      <c r="O3146" s="5">
        <v>2.3410000000000002</v>
      </c>
      <c r="P3146" s="6">
        <v>2.6700000000000002E-2</v>
      </c>
      <c r="Q3146" s="5">
        <v>246655.78899999999</v>
      </c>
      <c r="R3146" s="1" t="s">
        <v>44</v>
      </c>
      <c r="T3146" s="1" t="s">
        <v>93</v>
      </c>
      <c r="V3146" s="1" t="s">
        <v>176</v>
      </c>
      <c r="Y3146" s="1" t="s">
        <v>461</v>
      </c>
      <c r="Z3146" s="1" t="str">
        <f t="shared" si="147"/>
        <v>55640 CT09</v>
      </c>
      <c r="AA3146" s="3">
        <f>IF(INDEX('CAMD Facility Data 2023'!$AA$2:$AE$10000,MATCH(Z3146,'CAMD Facility Data 2023'!$AE$2:$AE$10000,0),1)&gt;0,INDEX('CAMD Facility Data 2023'!$AA$2:$AE$10000,MATCH(Z3146,'CAMD Facility Data 2023'!$AE$2:$AE$10000,0),1),"")</f>
        <v>37435</v>
      </c>
      <c r="AB3146" s="5">
        <f>IF(INDEX('CAMD Facility Data 2023'!$AC$2:$AE$10000,MATCH(Z3146,'CAMD Facility Data 2023'!$AE$2:$AE$10000,0),1)&gt;0,INDEX('CAMD Facility Data 2023'!$AC$2:$AE$10000,MATCH(Z3146,'CAMD Facility Data 2023'!$AE$2:$AE$10000,0),1),"")</f>
        <v>505</v>
      </c>
      <c r="AC3146" s="1" t="str">
        <f>IF(INDEX('CAMD Facility Data 2023'!$AE$2:$AG$10000,MATCH(Z3146,'CAMD Facility Data 2023'!$AE$2:$AE$10000,0),3)&gt;0,INDEX('CAMD Facility Data 2023'!$AE$2:$AG$10000,MATCH(Z3146,'CAMD Facility Data 2023'!$AE$2:$AE$10000,0),3),"")</f>
        <v>Y</v>
      </c>
      <c r="AD3146" s="20">
        <f t="shared" si="148"/>
        <v>0.17382097256583814</v>
      </c>
      <c r="AE3146" s="25">
        <f t="shared" si="149"/>
        <v>5.5756541661015416E-2</v>
      </c>
    </row>
    <row r="3147" spans="1:31" x14ac:dyDescent="0.2">
      <c r="A3147" s="1" t="s">
        <v>458</v>
      </c>
      <c r="B3147" s="1" t="s">
        <v>7053</v>
      </c>
      <c r="C3147" s="1">
        <v>55640</v>
      </c>
      <c r="D3147" s="1" t="s">
        <v>92</v>
      </c>
      <c r="F3147" s="1">
        <v>2023</v>
      </c>
      <c r="G3147" s="5">
        <v>186</v>
      </c>
      <c r="H3147" s="5">
        <v>157.35</v>
      </c>
      <c r="I3147" s="5">
        <v>6311.09</v>
      </c>
      <c r="K3147" s="5">
        <v>1.6E-2</v>
      </c>
      <c r="L3147" s="5">
        <v>8.9999999999999998E-4</v>
      </c>
      <c r="M3147" s="5">
        <v>3467.2269999999999</v>
      </c>
      <c r="N3147" s="6">
        <v>5.9200000000000003E-2</v>
      </c>
      <c r="O3147" s="5">
        <v>0.52300000000000002</v>
      </c>
      <c r="P3147" s="6">
        <v>2.76E-2</v>
      </c>
      <c r="Q3147" s="5">
        <v>58340.178999999996</v>
      </c>
      <c r="R3147" s="1" t="s">
        <v>44</v>
      </c>
      <c r="T3147" s="1" t="s">
        <v>93</v>
      </c>
      <c r="V3147" s="1" t="s">
        <v>176</v>
      </c>
      <c r="Y3147" s="1" t="s">
        <v>461</v>
      </c>
      <c r="Z3147" s="1" t="str">
        <f t="shared" si="147"/>
        <v>55640 CT10</v>
      </c>
      <c r="AA3147" s="3">
        <f>IF(INDEX('CAMD Facility Data 2023'!$AA$2:$AE$10000,MATCH(Z3147,'CAMD Facility Data 2023'!$AE$2:$AE$10000,0),1)&gt;0,INDEX('CAMD Facility Data 2023'!$AA$2:$AE$10000,MATCH(Z3147,'CAMD Facility Data 2023'!$AE$2:$AE$10000,0),1),"")</f>
        <v>37438</v>
      </c>
      <c r="AB3147" s="5">
        <f>IF(INDEX('CAMD Facility Data 2023'!$AC$2:$AE$10000,MATCH(Z3147,'CAMD Facility Data 2023'!$AE$2:$AE$10000,0),1)&gt;0,INDEX('CAMD Facility Data 2023'!$AC$2:$AE$10000,MATCH(Z3147,'CAMD Facility Data 2023'!$AE$2:$AE$10000,0),1),"")</f>
        <v>505</v>
      </c>
      <c r="AC3147" s="1" t="str">
        <f>IF(INDEX('CAMD Facility Data 2023'!$AE$2:$AG$10000,MATCH(Z3147,'CAMD Facility Data 2023'!$AE$2:$AE$10000,0),3)&gt;0,INDEX('CAMD Facility Data 2023'!$AE$2:$AG$10000,MATCH(Z3147,'CAMD Facility Data 2023'!$AE$2:$AE$10000,0),3),"")</f>
        <v>Y</v>
      </c>
      <c r="AD3147" s="20">
        <f t="shared" si="148"/>
        <v>0.16573999103166015</v>
      </c>
      <c r="AE3147" s="25">
        <f t="shared" si="149"/>
        <v>1.3187797594827974E-2</v>
      </c>
    </row>
    <row r="3148" spans="1:31" x14ac:dyDescent="0.2">
      <c r="A3148" s="1" t="s">
        <v>458</v>
      </c>
      <c r="B3148" s="1" t="s">
        <v>7053</v>
      </c>
      <c r="C3148" s="1">
        <v>55640</v>
      </c>
      <c r="D3148" s="1" t="s">
        <v>6599</v>
      </c>
      <c r="F3148" s="1">
        <v>2023</v>
      </c>
      <c r="G3148" s="5">
        <v>751</v>
      </c>
      <c r="H3148" s="5">
        <v>674.25</v>
      </c>
      <c r="I3148" s="5">
        <v>28364.07</v>
      </c>
      <c r="K3148" s="5">
        <v>6.8000000000000005E-2</v>
      </c>
      <c r="L3148" s="5">
        <v>1E-3</v>
      </c>
      <c r="M3148" s="5">
        <v>14334.489</v>
      </c>
      <c r="N3148" s="6">
        <v>5.9200000000000003E-2</v>
      </c>
      <c r="O3148" s="5">
        <v>1.796</v>
      </c>
      <c r="P3148" s="6">
        <v>2.5700000000000001E-2</v>
      </c>
      <c r="Q3148" s="5">
        <v>241215.633</v>
      </c>
      <c r="R3148" s="1" t="s">
        <v>44</v>
      </c>
      <c r="T3148" s="1" t="s">
        <v>93</v>
      </c>
      <c r="V3148" s="1" t="s">
        <v>176</v>
      </c>
      <c r="Y3148" s="1" t="s">
        <v>461</v>
      </c>
      <c r="Z3148" s="1" t="str">
        <f t="shared" si="147"/>
        <v>55640 CT11</v>
      </c>
      <c r="AA3148" s="3">
        <f>IF(INDEX('CAMD Facility Data 2023'!$AA$2:$AE$10000,MATCH(Z3148,'CAMD Facility Data 2023'!$AE$2:$AE$10000,0),1)&gt;0,INDEX('CAMD Facility Data 2023'!$AA$2:$AE$10000,MATCH(Z3148,'CAMD Facility Data 2023'!$AE$2:$AE$10000,0),1),"")</f>
        <v>37448</v>
      </c>
      <c r="AB3148" s="5">
        <f>IF(INDEX('CAMD Facility Data 2023'!$AC$2:$AE$10000,MATCH(Z3148,'CAMD Facility Data 2023'!$AE$2:$AE$10000,0),1)&gt;0,INDEX('CAMD Facility Data 2023'!$AC$2:$AE$10000,MATCH(Z3148,'CAMD Facility Data 2023'!$AE$2:$AE$10000,0),1),"")</f>
        <v>505</v>
      </c>
      <c r="AC3148" s="1" t="str">
        <f>IF(INDEX('CAMD Facility Data 2023'!$AE$2:$AG$10000,MATCH(Z3148,'CAMD Facility Data 2023'!$AE$2:$AE$10000,0),3)&gt;0,INDEX('CAMD Facility Data 2023'!$AE$2:$AG$10000,MATCH(Z3148,'CAMD Facility Data 2023'!$AE$2:$AE$10000,0),3),"")</f>
        <v>Y</v>
      </c>
      <c r="AD3148" s="20">
        <f t="shared" si="148"/>
        <v>0.12663908952417618</v>
      </c>
      <c r="AE3148" s="25">
        <f t="shared" si="149"/>
        <v>5.4526794384917941E-2</v>
      </c>
    </row>
    <row r="3149" spans="1:31" x14ac:dyDescent="0.2">
      <c r="A3149" s="1" t="s">
        <v>458</v>
      </c>
      <c r="B3149" s="1" t="s">
        <v>7053</v>
      </c>
      <c r="C3149" s="1">
        <v>55640</v>
      </c>
      <c r="D3149" s="1" t="s">
        <v>6603</v>
      </c>
      <c r="F3149" s="1">
        <v>2023</v>
      </c>
      <c r="G3149" s="5">
        <v>482</v>
      </c>
      <c r="H3149" s="5">
        <v>428.6</v>
      </c>
      <c r="I3149" s="5">
        <v>18464.330000000002</v>
      </c>
      <c r="K3149" s="5">
        <v>6.2E-2</v>
      </c>
      <c r="L3149" s="5">
        <v>8.9999999999999998E-4</v>
      </c>
      <c r="M3149" s="5">
        <v>11074.975</v>
      </c>
      <c r="N3149" s="6">
        <v>5.9200000000000003E-2</v>
      </c>
      <c r="O3149" s="5">
        <v>1.675</v>
      </c>
      <c r="P3149" s="6">
        <v>3.95E-2</v>
      </c>
      <c r="Q3149" s="5">
        <v>186359.568</v>
      </c>
      <c r="R3149" s="1" t="s">
        <v>44</v>
      </c>
      <c r="T3149" s="1" t="s">
        <v>93</v>
      </c>
      <c r="V3149" s="1" t="s">
        <v>176</v>
      </c>
      <c r="Y3149" s="1" t="s">
        <v>461</v>
      </c>
      <c r="Z3149" s="1" t="str">
        <f t="shared" si="147"/>
        <v>55640 CT12</v>
      </c>
      <c r="AA3149" s="3">
        <f>IF(INDEX('CAMD Facility Data 2023'!$AA$2:$AE$10000,MATCH(Z3149,'CAMD Facility Data 2023'!$AE$2:$AE$10000,0),1)&gt;0,INDEX('CAMD Facility Data 2023'!$AA$2:$AE$10000,MATCH(Z3149,'CAMD Facility Data 2023'!$AE$2:$AE$10000,0),1),"")</f>
        <v>37459</v>
      </c>
      <c r="AB3149" s="5">
        <f>IF(INDEX('CAMD Facility Data 2023'!$AC$2:$AE$10000,MATCH(Z3149,'CAMD Facility Data 2023'!$AE$2:$AE$10000,0),1)&gt;0,INDEX('CAMD Facility Data 2023'!$AC$2:$AE$10000,MATCH(Z3149,'CAMD Facility Data 2023'!$AE$2:$AE$10000,0),1),"")</f>
        <v>564.29999999999995</v>
      </c>
      <c r="AC3149" s="1" t="str">
        <f>IF(INDEX('CAMD Facility Data 2023'!$AE$2:$AG$10000,MATCH(Z3149,'CAMD Facility Data 2023'!$AE$2:$AE$10000,0),3)&gt;0,INDEX('CAMD Facility Data 2023'!$AE$2:$AG$10000,MATCH(Z3149,'CAMD Facility Data 2023'!$AE$2:$AE$10000,0),3),"")</f>
        <v>Y</v>
      </c>
      <c r="AD3149" s="20">
        <f t="shared" si="148"/>
        <v>0.18143089946940938</v>
      </c>
      <c r="AE3149" s="25">
        <f t="shared" si="149"/>
        <v>3.7699669125768623E-2</v>
      </c>
    </row>
    <row r="3150" spans="1:31" x14ac:dyDescent="0.2">
      <c r="A3150" s="1" t="s">
        <v>3167</v>
      </c>
      <c r="B3150" s="1" t="s">
        <v>7067</v>
      </c>
      <c r="C3150" s="1">
        <v>55641</v>
      </c>
      <c r="D3150" s="1" t="s">
        <v>6763</v>
      </c>
      <c r="F3150" s="1">
        <v>2023</v>
      </c>
      <c r="G3150" s="5">
        <v>7349</v>
      </c>
      <c r="H3150" s="5">
        <v>7320.63</v>
      </c>
      <c r="I3150" s="5">
        <v>1859982.47</v>
      </c>
      <c r="K3150" s="5">
        <v>3.6890000000000001</v>
      </c>
      <c r="L3150" s="5">
        <v>1E-3</v>
      </c>
      <c r="M3150" s="5">
        <v>730642.16899999999</v>
      </c>
      <c r="N3150" s="6">
        <v>5.8999999999999997E-2</v>
      </c>
      <c r="O3150" s="5">
        <v>34.207999999999998</v>
      </c>
      <c r="P3150" s="6">
        <v>6.3E-3</v>
      </c>
      <c r="Q3150" s="5">
        <v>12294399.749</v>
      </c>
      <c r="R3150" s="1" t="s">
        <v>44</v>
      </c>
      <c r="T3150" s="1" t="s">
        <v>71</v>
      </c>
      <c r="V3150" s="1" t="s">
        <v>64</v>
      </c>
      <c r="Y3150" s="1" t="s">
        <v>461</v>
      </c>
      <c r="Z3150" s="1" t="str">
        <f t="shared" si="147"/>
        <v>55641 CT-01</v>
      </c>
      <c r="AA3150" s="3">
        <f>IF(INDEX('CAMD Facility Data 2023'!$AA$2:$AE$10000,MATCH(Z3150,'CAMD Facility Data 2023'!$AE$2:$AE$10000,0),1)&gt;0,INDEX('CAMD Facility Data 2023'!$AA$2:$AE$10000,MATCH(Z3150,'CAMD Facility Data 2023'!$AE$2:$AE$10000,0),1),"")</f>
        <v>38063</v>
      </c>
      <c r="AB3150" s="5">
        <f>IF(INDEX('CAMD Facility Data 2023'!$AC$2:$AE$10000,MATCH(Z3150,'CAMD Facility Data 2023'!$AE$2:$AE$10000,0),1)&gt;0,INDEX('CAMD Facility Data 2023'!$AC$2:$AE$10000,MATCH(Z3150,'CAMD Facility Data 2023'!$AE$2:$AE$10000,0),1),"")</f>
        <v>2362.5</v>
      </c>
      <c r="AC3150" s="1" t="str">
        <f>IF(INDEX('CAMD Facility Data 2023'!$AE$2:$AG$10000,MATCH(Z3150,'CAMD Facility Data 2023'!$AE$2:$AE$10000,0),3)&gt;0,INDEX('CAMD Facility Data 2023'!$AE$2:$AG$10000,MATCH(Z3150,'CAMD Facility Data 2023'!$AE$2:$AE$10000,0),3),"")</f>
        <v>Y</v>
      </c>
      <c r="AD3150" s="20">
        <f t="shared" si="148"/>
        <v>3.6783142370153628E-2</v>
      </c>
      <c r="AE3150" s="25">
        <f t="shared" si="149"/>
        <v>0.59406149882824766</v>
      </c>
    </row>
    <row r="3151" spans="1:31" x14ac:dyDescent="0.2">
      <c r="A3151" s="1" t="s">
        <v>3167</v>
      </c>
      <c r="B3151" s="1" t="s">
        <v>7067</v>
      </c>
      <c r="C3151" s="1">
        <v>55641</v>
      </c>
      <c r="D3151" s="1" t="s">
        <v>6766</v>
      </c>
      <c r="F3151" s="1">
        <v>2023</v>
      </c>
      <c r="G3151" s="5">
        <v>7229</v>
      </c>
      <c r="H3151" s="5">
        <v>7160.59</v>
      </c>
      <c r="I3151" s="5">
        <v>1812822.51</v>
      </c>
      <c r="K3151" s="5">
        <v>3.625</v>
      </c>
      <c r="L3151" s="5">
        <v>1E-3</v>
      </c>
      <c r="M3151" s="5">
        <v>718007.38899999997</v>
      </c>
      <c r="N3151" s="6">
        <v>5.8999999999999997E-2</v>
      </c>
      <c r="O3151" s="5">
        <v>35.183</v>
      </c>
      <c r="P3151" s="6">
        <v>7.1000000000000004E-3</v>
      </c>
      <c r="Q3151" s="5">
        <v>12081859.176999999</v>
      </c>
      <c r="R3151" s="1" t="s">
        <v>44</v>
      </c>
      <c r="T3151" s="1" t="s">
        <v>71</v>
      </c>
      <c r="V3151" s="1" t="s">
        <v>64</v>
      </c>
      <c r="Y3151" s="1" t="s">
        <v>461</v>
      </c>
      <c r="Z3151" s="1" t="str">
        <f t="shared" si="147"/>
        <v>55641 CT-02</v>
      </c>
      <c r="AA3151" s="3">
        <f>IF(INDEX('CAMD Facility Data 2023'!$AA$2:$AE$10000,MATCH(Z3151,'CAMD Facility Data 2023'!$AE$2:$AE$10000,0),1)&gt;0,INDEX('CAMD Facility Data 2023'!$AA$2:$AE$10000,MATCH(Z3151,'CAMD Facility Data 2023'!$AE$2:$AE$10000,0),1),"")</f>
        <v>38063</v>
      </c>
      <c r="AB3151" s="5">
        <f>IF(INDEX('CAMD Facility Data 2023'!$AC$2:$AE$10000,MATCH(Z3151,'CAMD Facility Data 2023'!$AE$2:$AE$10000,0),1)&gt;0,INDEX('CAMD Facility Data 2023'!$AC$2:$AE$10000,MATCH(Z3151,'CAMD Facility Data 2023'!$AE$2:$AE$10000,0),1),"")</f>
        <v>2362.5</v>
      </c>
      <c r="AC3151" s="1" t="str">
        <f>IF(INDEX('CAMD Facility Data 2023'!$AE$2:$AG$10000,MATCH(Z3151,'CAMD Facility Data 2023'!$AE$2:$AE$10000,0),3)&gt;0,INDEX('CAMD Facility Data 2023'!$AE$2:$AG$10000,MATCH(Z3151,'CAMD Facility Data 2023'!$AE$2:$AE$10000,0),3),"")</f>
        <v>Y</v>
      </c>
      <c r="AD3151" s="20">
        <f t="shared" si="148"/>
        <v>3.8815713955361243E-2</v>
      </c>
      <c r="AE3151" s="25">
        <f t="shared" si="149"/>
        <v>0.58379160575970623</v>
      </c>
    </row>
    <row r="3152" spans="1:31" x14ac:dyDescent="0.2">
      <c r="A3152" s="1" t="s">
        <v>3167</v>
      </c>
      <c r="B3152" s="1" t="s">
        <v>7067</v>
      </c>
      <c r="C3152" s="1">
        <v>55641</v>
      </c>
      <c r="D3152" s="1" t="s">
        <v>6768</v>
      </c>
      <c r="F3152" s="1">
        <v>2023</v>
      </c>
      <c r="G3152" s="5">
        <v>6537</v>
      </c>
      <c r="H3152" s="5">
        <v>6508.1</v>
      </c>
      <c r="I3152" s="5">
        <v>2085473.62</v>
      </c>
      <c r="K3152" s="5">
        <v>4.0789999999999997</v>
      </c>
      <c r="L3152" s="5">
        <v>1E-3</v>
      </c>
      <c r="M3152" s="5">
        <v>808066.94499999995</v>
      </c>
      <c r="N3152" s="6">
        <v>5.8999999999999997E-2</v>
      </c>
      <c r="O3152" s="5">
        <v>41.067</v>
      </c>
      <c r="P3152" s="6">
        <v>7.1000000000000004E-3</v>
      </c>
      <c r="Q3152" s="5">
        <v>13597197.913000001</v>
      </c>
      <c r="R3152" s="1" t="s">
        <v>44</v>
      </c>
      <c r="T3152" s="1" t="s">
        <v>71</v>
      </c>
      <c r="V3152" s="1" t="s">
        <v>64</v>
      </c>
      <c r="Y3152" s="1" t="s">
        <v>6843</v>
      </c>
      <c r="Z3152" s="1" t="str">
        <f t="shared" si="147"/>
        <v>55641 CT-03</v>
      </c>
      <c r="AA3152" s="3">
        <f>IF(INDEX('CAMD Facility Data 2023'!$AA$2:$AE$10000,MATCH(Z3152,'CAMD Facility Data 2023'!$AE$2:$AE$10000,0),1)&gt;0,INDEX('CAMD Facility Data 2023'!$AA$2:$AE$10000,MATCH(Z3152,'CAMD Facility Data 2023'!$AE$2:$AE$10000,0),1),"")</f>
        <v>43764</v>
      </c>
      <c r="AB3152" s="5">
        <f>IF(INDEX('CAMD Facility Data 2023'!$AC$2:$AE$10000,MATCH(Z3152,'CAMD Facility Data 2023'!$AE$2:$AE$10000,0),1)&gt;0,INDEX('CAMD Facility Data 2023'!$AC$2:$AE$10000,MATCH(Z3152,'CAMD Facility Data 2023'!$AE$2:$AE$10000,0),1),"")</f>
        <v>2524</v>
      </c>
      <c r="AC3152" s="1" t="str">
        <f>IF(INDEX('CAMD Facility Data 2023'!$AE$2:$AG$10000,MATCH(Z3152,'CAMD Facility Data 2023'!$AE$2:$AE$10000,0),3)&gt;0,INDEX('CAMD Facility Data 2023'!$AE$2:$AG$10000,MATCH(Z3152,'CAMD Facility Data 2023'!$AE$2:$AE$10000,0),3),"")</f>
        <v>Y</v>
      </c>
      <c r="AD3152" s="20">
        <f t="shared" si="148"/>
        <v>3.9383859480322747E-2</v>
      </c>
      <c r="AE3152" s="25">
        <f t="shared" si="149"/>
        <v>0.61497287740883866</v>
      </c>
    </row>
    <row r="3153" spans="1:31" x14ac:dyDescent="0.2">
      <c r="A3153" s="1" t="s">
        <v>3167</v>
      </c>
      <c r="B3153" s="1" t="s">
        <v>7067</v>
      </c>
      <c r="C3153" s="1">
        <v>55641</v>
      </c>
      <c r="D3153" s="1" t="s">
        <v>6770</v>
      </c>
      <c r="F3153" s="1">
        <v>2023</v>
      </c>
      <c r="G3153" s="5">
        <v>7178</v>
      </c>
      <c r="H3153" s="5">
        <v>7151.91</v>
      </c>
      <c r="I3153" s="5">
        <v>2219967.25</v>
      </c>
      <c r="K3153" s="5">
        <v>4.5129999999999999</v>
      </c>
      <c r="L3153" s="5">
        <v>1E-3</v>
      </c>
      <c r="M3153" s="5">
        <v>894028.978</v>
      </c>
      <c r="N3153" s="6">
        <v>5.8999999999999997E-2</v>
      </c>
      <c r="O3153" s="5">
        <v>45.048999999999999</v>
      </c>
      <c r="P3153" s="6">
        <v>6.8999999999999999E-3</v>
      </c>
      <c r="Q3153" s="5">
        <v>15043754.154999999</v>
      </c>
      <c r="R3153" s="1" t="s">
        <v>44</v>
      </c>
      <c r="T3153" s="1" t="s">
        <v>71</v>
      </c>
      <c r="V3153" s="1" t="s">
        <v>64</v>
      </c>
      <c r="Y3153" s="1" t="s">
        <v>6843</v>
      </c>
      <c r="Z3153" s="1" t="str">
        <f t="shared" si="147"/>
        <v>55641 CT-04</v>
      </c>
      <c r="AA3153" s="3">
        <f>IF(INDEX('CAMD Facility Data 2023'!$AA$2:$AE$10000,MATCH(Z3153,'CAMD Facility Data 2023'!$AE$2:$AE$10000,0),1)&gt;0,INDEX('CAMD Facility Data 2023'!$AA$2:$AE$10000,MATCH(Z3153,'CAMD Facility Data 2023'!$AE$2:$AE$10000,0),1),"")</f>
        <v>43784</v>
      </c>
      <c r="AB3153" s="5">
        <f>IF(INDEX('CAMD Facility Data 2023'!$AC$2:$AE$10000,MATCH(Z3153,'CAMD Facility Data 2023'!$AE$2:$AE$10000,0),1)&gt;0,INDEX('CAMD Facility Data 2023'!$AC$2:$AE$10000,MATCH(Z3153,'CAMD Facility Data 2023'!$AE$2:$AE$10000,0),1),"")</f>
        <v>2568</v>
      </c>
      <c r="AC3153" s="1" t="str">
        <f>IF(INDEX('CAMD Facility Data 2023'!$AE$2:$AG$10000,MATCH(Z3153,'CAMD Facility Data 2023'!$AE$2:$AE$10000,0),3)&gt;0,INDEX('CAMD Facility Data 2023'!$AE$2:$AG$10000,MATCH(Z3153,'CAMD Facility Data 2023'!$AE$2:$AE$10000,0),3),"")</f>
        <v>Y</v>
      </c>
      <c r="AD3153" s="20">
        <f t="shared" si="148"/>
        <v>4.0585283409023266E-2</v>
      </c>
      <c r="AE3153" s="25">
        <f t="shared" si="149"/>
        <v>0.66873969379898712</v>
      </c>
    </row>
    <row r="3154" spans="1:31" x14ac:dyDescent="0.2">
      <c r="A3154" s="1" t="s">
        <v>516</v>
      </c>
      <c r="B3154" s="1" t="s">
        <v>7075</v>
      </c>
      <c r="C3154" s="1">
        <v>55645</v>
      </c>
      <c r="D3154" s="1" t="s">
        <v>6763</v>
      </c>
      <c r="F3154" s="1">
        <v>2023</v>
      </c>
      <c r="G3154" s="5">
        <v>2260</v>
      </c>
      <c r="H3154" s="5">
        <v>2063.34</v>
      </c>
      <c r="I3154" s="5">
        <v>225242.9</v>
      </c>
      <c r="K3154" s="5">
        <v>0.83499999999999996</v>
      </c>
      <c r="L3154" s="5">
        <v>1E-3</v>
      </c>
      <c r="M3154" s="5">
        <v>158302.511</v>
      </c>
      <c r="N3154" s="6">
        <v>5.91E-2</v>
      </c>
      <c r="O3154" s="5">
        <v>43.293999999999997</v>
      </c>
      <c r="P3154" s="6">
        <v>4.1799999999999997E-2</v>
      </c>
      <c r="Q3154" s="5">
        <v>2659861.6039999998</v>
      </c>
      <c r="R3154" s="1" t="s">
        <v>44</v>
      </c>
      <c r="S3154" s="1" t="s">
        <v>94</v>
      </c>
      <c r="T3154" s="1" t="s">
        <v>93</v>
      </c>
      <c r="V3154" s="1" t="s">
        <v>183</v>
      </c>
      <c r="Y3154" s="1" t="s">
        <v>247</v>
      </c>
      <c r="Z3154" s="1" t="str">
        <f t="shared" si="147"/>
        <v>55645 CT-01</v>
      </c>
      <c r="AA3154" s="3">
        <f>IF(INDEX('CAMD Facility Data 2023'!$AA$2:$AE$10000,MATCH(Z3154,'CAMD Facility Data 2023'!$AE$2:$AE$10000,0),1)&gt;0,INDEX('CAMD Facility Data 2023'!$AA$2:$AE$10000,MATCH(Z3154,'CAMD Facility Data 2023'!$AE$2:$AE$10000,0),1),"")</f>
        <v>37622</v>
      </c>
      <c r="AB3154" s="5">
        <f>IF(INDEX('CAMD Facility Data 2023'!$AC$2:$AE$10000,MATCH(Z3154,'CAMD Facility Data 2023'!$AE$2:$AE$10000,0),1)&gt;0,INDEX('CAMD Facility Data 2023'!$AC$2:$AE$10000,MATCH(Z3154,'CAMD Facility Data 2023'!$AE$2:$AE$10000,0),1),"")</f>
        <v>2707</v>
      </c>
      <c r="AC3154" s="1" t="str">
        <f>IF(INDEX('CAMD Facility Data 2023'!$AE$2:$AG$10000,MATCH(Z3154,'CAMD Facility Data 2023'!$AE$2:$AE$10000,0),3)&gt;0,INDEX('CAMD Facility Data 2023'!$AE$2:$AG$10000,MATCH(Z3154,'CAMD Facility Data 2023'!$AE$2:$AE$10000,0),3),"")</f>
        <v/>
      </c>
      <c r="AD3154" s="20">
        <f t="shared" si="148"/>
        <v>0.38442055221274457</v>
      </c>
      <c r="AE3154" s="25">
        <f t="shared" si="149"/>
        <v>0.11216740650402389</v>
      </c>
    </row>
    <row r="3155" spans="1:31" x14ac:dyDescent="0.2">
      <c r="A3155" s="1" t="s">
        <v>516</v>
      </c>
      <c r="B3155" s="1" t="s">
        <v>7075</v>
      </c>
      <c r="C3155" s="1">
        <v>55645</v>
      </c>
      <c r="D3155" s="1" t="s">
        <v>6766</v>
      </c>
      <c r="F3155" s="1">
        <v>2023</v>
      </c>
      <c r="G3155" s="5">
        <v>2069</v>
      </c>
      <c r="H3155" s="5">
        <v>1887.45</v>
      </c>
      <c r="I3155" s="5">
        <v>202502.22</v>
      </c>
      <c r="K3155" s="5">
        <v>0.72</v>
      </c>
      <c r="L3155" s="5">
        <v>1E-3</v>
      </c>
      <c r="M3155" s="5">
        <v>138729.19899999999</v>
      </c>
      <c r="N3155" s="6">
        <v>5.91E-2</v>
      </c>
      <c r="O3155" s="5">
        <v>38.707000000000001</v>
      </c>
      <c r="P3155" s="6">
        <v>4.2900000000000001E-2</v>
      </c>
      <c r="Q3155" s="5">
        <v>2332235.4679999999</v>
      </c>
      <c r="R3155" s="1" t="s">
        <v>44</v>
      </c>
      <c r="S3155" s="1" t="s">
        <v>94</v>
      </c>
      <c r="T3155" s="1" t="s">
        <v>93</v>
      </c>
      <c r="V3155" s="1" t="s">
        <v>183</v>
      </c>
      <c r="Y3155" s="1" t="s">
        <v>247</v>
      </c>
      <c r="Z3155" s="1" t="str">
        <f t="shared" si="147"/>
        <v>55645 CT-02</v>
      </c>
      <c r="AA3155" s="3">
        <f>IF(INDEX('CAMD Facility Data 2023'!$AA$2:$AE$10000,MATCH(Z3155,'CAMD Facility Data 2023'!$AE$2:$AE$10000,0),1)&gt;0,INDEX('CAMD Facility Data 2023'!$AA$2:$AE$10000,MATCH(Z3155,'CAMD Facility Data 2023'!$AE$2:$AE$10000,0),1),"")</f>
        <v>37712</v>
      </c>
      <c r="AB3155" s="5">
        <f>IF(INDEX('CAMD Facility Data 2023'!$AC$2:$AE$10000,MATCH(Z3155,'CAMD Facility Data 2023'!$AE$2:$AE$10000,0),1)&gt;0,INDEX('CAMD Facility Data 2023'!$AC$2:$AE$10000,MATCH(Z3155,'CAMD Facility Data 2023'!$AE$2:$AE$10000,0),1),"")</f>
        <v>2707</v>
      </c>
      <c r="AC3155" s="1" t="str">
        <f>IF(INDEX('CAMD Facility Data 2023'!$AE$2:$AG$10000,MATCH(Z3155,'CAMD Facility Data 2023'!$AE$2:$AE$10000,0),3)&gt;0,INDEX('CAMD Facility Data 2023'!$AE$2:$AG$10000,MATCH(Z3155,'CAMD Facility Data 2023'!$AE$2:$AE$10000,0),3),"")</f>
        <v/>
      </c>
      <c r="AD3155" s="20">
        <f t="shared" si="148"/>
        <v>0.38228716702463805</v>
      </c>
      <c r="AE3155" s="25">
        <f t="shared" si="149"/>
        <v>9.8351283919754798E-2</v>
      </c>
    </row>
    <row r="3156" spans="1:31" x14ac:dyDescent="0.2">
      <c r="A3156" s="1" t="s">
        <v>335</v>
      </c>
      <c r="B3156" s="1" t="s">
        <v>7078</v>
      </c>
      <c r="C3156" s="1">
        <v>55651</v>
      </c>
      <c r="D3156" s="1" t="s">
        <v>6763</v>
      </c>
      <c r="F3156" s="1">
        <v>2023</v>
      </c>
      <c r="G3156" s="5">
        <v>1136</v>
      </c>
      <c r="H3156" s="5">
        <v>1000.33</v>
      </c>
      <c r="I3156" s="5">
        <v>49175.23</v>
      </c>
      <c r="K3156" s="5">
        <v>0.19800000000000001</v>
      </c>
      <c r="L3156" s="5">
        <v>1E-3</v>
      </c>
      <c r="M3156" s="5">
        <v>39252.351000000002</v>
      </c>
      <c r="N3156" s="6">
        <v>5.91E-2</v>
      </c>
      <c r="O3156" s="5">
        <v>9.25</v>
      </c>
      <c r="P3156" s="6">
        <v>2.8000000000000001E-2</v>
      </c>
      <c r="Q3156" s="5">
        <v>660487.66799999995</v>
      </c>
      <c r="R3156" s="1" t="s">
        <v>44</v>
      </c>
      <c r="T3156" s="1" t="s">
        <v>93</v>
      </c>
      <c r="V3156" s="1" t="s">
        <v>140</v>
      </c>
      <c r="Y3156" s="1" t="s">
        <v>346</v>
      </c>
      <c r="Z3156" s="1" t="str">
        <f t="shared" si="147"/>
        <v>55651 CT-01</v>
      </c>
      <c r="AA3156" s="3">
        <f>IF(INDEX('CAMD Facility Data 2023'!$AA$2:$AE$10000,MATCH(Z3156,'CAMD Facility Data 2023'!$AE$2:$AE$10000,0),1)&gt;0,INDEX('CAMD Facility Data 2023'!$AA$2:$AE$10000,MATCH(Z3156,'CAMD Facility Data 2023'!$AE$2:$AE$10000,0),1),"")</f>
        <v>37012</v>
      </c>
      <c r="AB3156" s="5">
        <f>IF(INDEX('CAMD Facility Data 2023'!$AC$2:$AE$10000,MATCH(Z3156,'CAMD Facility Data 2023'!$AE$2:$AE$10000,0),1)&gt;0,INDEX('CAMD Facility Data 2023'!$AC$2:$AE$10000,MATCH(Z3156,'CAMD Facility Data 2023'!$AE$2:$AE$10000,0),1),"")</f>
        <v>1200</v>
      </c>
      <c r="AC3156" s="1" t="str">
        <f>IF(INDEX('CAMD Facility Data 2023'!$AE$2:$AG$10000,MATCH(Z3156,'CAMD Facility Data 2023'!$AE$2:$AE$10000,0),3)&gt;0,INDEX('CAMD Facility Data 2023'!$AE$2:$AG$10000,MATCH(Z3156,'CAMD Facility Data 2023'!$AE$2:$AE$10000,0),3),"")</f>
        <v/>
      </c>
      <c r="AD3156" s="20">
        <f t="shared" si="148"/>
        <v>0.37620566289166313</v>
      </c>
      <c r="AE3156" s="25">
        <f t="shared" si="149"/>
        <v>6.2831779680365296E-2</v>
      </c>
    </row>
    <row r="3157" spans="1:31" x14ac:dyDescent="0.2">
      <c r="A3157" s="1" t="s">
        <v>335</v>
      </c>
      <c r="B3157" s="1" t="s">
        <v>7078</v>
      </c>
      <c r="C3157" s="1">
        <v>55651</v>
      </c>
      <c r="D3157" s="1" t="s">
        <v>6766</v>
      </c>
      <c r="F3157" s="1">
        <v>2023</v>
      </c>
      <c r="G3157" s="5">
        <v>1091</v>
      </c>
      <c r="H3157" s="5">
        <v>966.97</v>
      </c>
      <c r="I3157" s="5">
        <v>46794.89</v>
      </c>
      <c r="K3157" s="5">
        <v>0.188</v>
      </c>
      <c r="L3157" s="5">
        <v>1E-3</v>
      </c>
      <c r="M3157" s="5">
        <v>37313.675000000003</v>
      </c>
      <c r="N3157" s="6">
        <v>5.91E-2</v>
      </c>
      <c r="O3157" s="5">
        <v>7.3250000000000002</v>
      </c>
      <c r="P3157" s="6">
        <v>2.3300000000000001E-2</v>
      </c>
      <c r="Q3157" s="5">
        <v>627837.745</v>
      </c>
      <c r="R3157" s="1" t="s">
        <v>44</v>
      </c>
      <c r="T3157" s="1" t="s">
        <v>93</v>
      </c>
      <c r="V3157" s="1" t="s">
        <v>140</v>
      </c>
      <c r="Y3157" s="1" t="s">
        <v>346</v>
      </c>
      <c r="Z3157" s="1" t="str">
        <f t="shared" si="147"/>
        <v>55651 CT-02</v>
      </c>
      <c r="AA3157" s="3">
        <f>IF(INDEX('CAMD Facility Data 2023'!$AA$2:$AE$10000,MATCH(Z3157,'CAMD Facility Data 2023'!$AE$2:$AE$10000,0),1)&gt;0,INDEX('CAMD Facility Data 2023'!$AA$2:$AE$10000,MATCH(Z3157,'CAMD Facility Data 2023'!$AE$2:$AE$10000,0),1),"")</f>
        <v>37012</v>
      </c>
      <c r="AB3157" s="5">
        <f>IF(INDEX('CAMD Facility Data 2023'!$AC$2:$AE$10000,MATCH(Z3157,'CAMD Facility Data 2023'!$AE$2:$AE$10000,0),1)&gt;0,INDEX('CAMD Facility Data 2023'!$AC$2:$AE$10000,MATCH(Z3157,'CAMD Facility Data 2023'!$AE$2:$AE$10000,0),1),"")</f>
        <v>1200</v>
      </c>
      <c r="AC3157" s="1" t="str">
        <f>IF(INDEX('CAMD Facility Data 2023'!$AE$2:$AG$10000,MATCH(Z3157,'CAMD Facility Data 2023'!$AE$2:$AE$10000,0),3)&gt;0,INDEX('CAMD Facility Data 2023'!$AE$2:$AG$10000,MATCH(Z3157,'CAMD Facility Data 2023'!$AE$2:$AE$10000,0),3),"")</f>
        <v/>
      </c>
      <c r="AD3157" s="20">
        <f t="shared" si="148"/>
        <v>0.31306837135422266</v>
      </c>
      <c r="AE3157" s="25">
        <f t="shared" si="149"/>
        <v>5.9725812880517502E-2</v>
      </c>
    </row>
    <row r="3158" spans="1:31" x14ac:dyDescent="0.2">
      <c r="A3158" s="1" t="s">
        <v>335</v>
      </c>
      <c r="B3158" s="1" t="s">
        <v>7078</v>
      </c>
      <c r="C3158" s="1">
        <v>55651</v>
      </c>
      <c r="D3158" s="1" t="s">
        <v>6768</v>
      </c>
      <c r="F3158" s="1">
        <v>2023</v>
      </c>
      <c r="G3158" s="5">
        <v>1026</v>
      </c>
      <c r="H3158" s="5">
        <v>901.1</v>
      </c>
      <c r="I3158" s="5">
        <v>43929.95</v>
      </c>
      <c r="K3158" s="5">
        <v>0.17799999999999999</v>
      </c>
      <c r="L3158" s="5">
        <v>1E-3</v>
      </c>
      <c r="M3158" s="5">
        <v>35211.841999999997</v>
      </c>
      <c r="N3158" s="6">
        <v>5.91E-2</v>
      </c>
      <c r="O3158" s="5">
        <v>7.7709999999999999</v>
      </c>
      <c r="P3158" s="6">
        <v>2.6100000000000002E-2</v>
      </c>
      <c r="Q3158" s="5">
        <v>592505.36399999994</v>
      </c>
      <c r="R3158" s="1" t="s">
        <v>44</v>
      </c>
      <c r="T3158" s="1" t="s">
        <v>93</v>
      </c>
      <c r="V3158" s="1" t="s">
        <v>140</v>
      </c>
      <c r="Y3158" s="1" t="s">
        <v>346</v>
      </c>
      <c r="Z3158" s="1" t="str">
        <f t="shared" si="147"/>
        <v>55651 CT-03</v>
      </c>
      <c r="AA3158" s="3">
        <f>IF(INDEX('CAMD Facility Data 2023'!$AA$2:$AE$10000,MATCH(Z3158,'CAMD Facility Data 2023'!$AE$2:$AE$10000,0),1)&gt;0,INDEX('CAMD Facility Data 2023'!$AA$2:$AE$10000,MATCH(Z3158,'CAMD Facility Data 2023'!$AE$2:$AE$10000,0),1),"")</f>
        <v>37026</v>
      </c>
      <c r="AB3158" s="5">
        <f>IF(INDEX('CAMD Facility Data 2023'!$AC$2:$AE$10000,MATCH(Z3158,'CAMD Facility Data 2023'!$AE$2:$AE$10000,0),1)&gt;0,INDEX('CAMD Facility Data 2023'!$AC$2:$AE$10000,MATCH(Z3158,'CAMD Facility Data 2023'!$AE$2:$AE$10000,0),1),"")</f>
        <v>1200</v>
      </c>
      <c r="AC3158" s="1" t="str">
        <f>IF(INDEX('CAMD Facility Data 2023'!$AE$2:$AG$10000,MATCH(Z3158,'CAMD Facility Data 2023'!$AE$2:$AE$10000,0),3)&gt;0,INDEX('CAMD Facility Data 2023'!$AE$2:$AG$10000,MATCH(Z3158,'CAMD Facility Data 2023'!$AE$2:$AE$10000,0),3),"")</f>
        <v/>
      </c>
      <c r="AD3158" s="20">
        <f t="shared" si="148"/>
        <v>0.35379052332178845</v>
      </c>
      <c r="AE3158" s="25">
        <f t="shared" si="149"/>
        <v>5.6364665525114148E-2</v>
      </c>
    </row>
    <row r="3159" spans="1:31" x14ac:dyDescent="0.2">
      <c r="A3159" s="1" t="s">
        <v>335</v>
      </c>
      <c r="B3159" s="1" t="s">
        <v>7078</v>
      </c>
      <c r="C3159" s="1">
        <v>55651</v>
      </c>
      <c r="D3159" s="1" t="s">
        <v>6770</v>
      </c>
      <c r="F3159" s="1">
        <v>2023</v>
      </c>
      <c r="G3159" s="5">
        <v>1007</v>
      </c>
      <c r="H3159" s="5">
        <v>892.99</v>
      </c>
      <c r="I3159" s="5">
        <v>43412.42</v>
      </c>
      <c r="K3159" s="5">
        <v>0.17399999999999999</v>
      </c>
      <c r="L3159" s="5">
        <v>1E-3</v>
      </c>
      <c r="M3159" s="5">
        <v>34540.764000000003</v>
      </c>
      <c r="N3159" s="6">
        <v>5.91E-2</v>
      </c>
      <c r="O3159" s="5">
        <v>7.5119999999999996</v>
      </c>
      <c r="P3159" s="6">
        <v>2.5899999999999999E-2</v>
      </c>
      <c r="Q3159" s="5">
        <v>581209.701</v>
      </c>
      <c r="R3159" s="1" t="s">
        <v>44</v>
      </c>
      <c r="T3159" s="1" t="s">
        <v>93</v>
      </c>
      <c r="V3159" s="1" t="s">
        <v>140</v>
      </c>
      <c r="Y3159" s="1" t="s">
        <v>346</v>
      </c>
      <c r="Z3159" s="1" t="str">
        <f t="shared" si="147"/>
        <v>55651 CT-04</v>
      </c>
      <c r="AA3159" s="3">
        <f>IF(INDEX('CAMD Facility Data 2023'!$AA$2:$AE$10000,MATCH(Z3159,'CAMD Facility Data 2023'!$AE$2:$AE$10000,0),1)&gt;0,INDEX('CAMD Facility Data 2023'!$AA$2:$AE$10000,MATCH(Z3159,'CAMD Facility Data 2023'!$AE$2:$AE$10000,0),1),"")</f>
        <v>37040</v>
      </c>
      <c r="AB3159" s="5">
        <f>IF(INDEX('CAMD Facility Data 2023'!$AC$2:$AE$10000,MATCH(Z3159,'CAMD Facility Data 2023'!$AE$2:$AE$10000,0),1)&gt;0,INDEX('CAMD Facility Data 2023'!$AC$2:$AE$10000,MATCH(Z3159,'CAMD Facility Data 2023'!$AE$2:$AE$10000,0),1),"")</f>
        <v>1200</v>
      </c>
      <c r="AC3159" s="1" t="str">
        <f>IF(INDEX('CAMD Facility Data 2023'!$AE$2:$AG$10000,MATCH(Z3159,'CAMD Facility Data 2023'!$AE$2:$AE$10000,0),3)&gt;0,INDEX('CAMD Facility Data 2023'!$AE$2:$AG$10000,MATCH(Z3159,'CAMD Facility Data 2023'!$AE$2:$AE$10000,0),3),"")</f>
        <v/>
      </c>
      <c r="AD3159" s="20">
        <f t="shared" si="148"/>
        <v>0.34607607684621128</v>
      </c>
      <c r="AE3159" s="25">
        <f t="shared" si="149"/>
        <v>5.5290116152968034E-2</v>
      </c>
    </row>
    <row r="3160" spans="1:31" x14ac:dyDescent="0.2">
      <c r="A3160" s="1" t="s">
        <v>2584</v>
      </c>
      <c r="B3160" s="1" t="s">
        <v>7085</v>
      </c>
      <c r="C3160" s="1">
        <v>55654</v>
      </c>
      <c r="D3160" s="1">
        <v>12</v>
      </c>
      <c r="F3160" s="1">
        <v>2023</v>
      </c>
      <c r="G3160" s="5">
        <v>3146</v>
      </c>
      <c r="H3160" s="5">
        <v>2813.86</v>
      </c>
      <c r="I3160" s="5">
        <v>128122.56</v>
      </c>
      <c r="K3160" s="5">
        <v>0.38200000000000001</v>
      </c>
      <c r="L3160" s="5">
        <v>1E-3</v>
      </c>
      <c r="M3160" s="5">
        <v>75726.548999999999</v>
      </c>
      <c r="N3160" s="6">
        <v>5.9200000000000003E-2</v>
      </c>
      <c r="O3160" s="5">
        <v>48.012</v>
      </c>
      <c r="P3160" s="6">
        <v>8.2299999999999998E-2</v>
      </c>
      <c r="Q3160" s="5">
        <v>1274237.8959999999</v>
      </c>
      <c r="R3160" s="1" t="s">
        <v>44</v>
      </c>
      <c r="T3160" s="1" t="s">
        <v>93</v>
      </c>
      <c r="V3160" s="1" t="s">
        <v>95</v>
      </c>
      <c r="Y3160" s="1" t="s">
        <v>1515</v>
      </c>
      <c r="Z3160" s="1" t="str">
        <f t="shared" si="147"/>
        <v>55654 12</v>
      </c>
      <c r="AA3160" s="3">
        <f>IF(INDEX('CAMD Facility Data 2023'!$AA$2:$AE$10000,MATCH(Z3160,'CAMD Facility Data 2023'!$AE$2:$AE$10000,0),1)&gt;0,INDEX('CAMD Facility Data 2023'!$AA$2:$AE$10000,MATCH(Z3160,'CAMD Facility Data 2023'!$AE$2:$AE$10000,0),1),"")</f>
        <v>37226</v>
      </c>
      <c r="AB3160" s="5">
        <f>IF(INDEX('CAMD Facility Data 2023'!$AC$2:$AE$10000,MATCH(Z3160,'CAMD Facility Data 2023'!$AE$2:$AE$10000,0),1)&gt;0,INDEX('CAMD Facility Data 2023'!$AC$2:$AE$10000,MATCH(Z3160,'CAMD Facility Data 2023'!$AE$2:$AE$10000,0),1),"")</f>
        <v>510</v>
      </c>
      <c r="AC3160" s="1" t="str">
        <f>IF(INDEX('CAMD Facility Data 2023'!$AE$2:$AG$10000,MATCH(Z3160,'CAMD Facility Data 2023'!$AE$2:$AE$10000,0),3)&gt;0,INDEX('CAMD Facility Data 2023'!$AE$2:$AG$10000,MATCH(Z3160,'CAMD Facility Data 2023'!$AE$2:$AE$10000,0),3),"")</f>
        <v/>
      </c>
      <c r="AD3160" s="20">
        <f t="shared" si="148"/>
        <v>0.74946988258742253</v>
      </c>
      <c r="AE3160" s="25">
        <f t="shared" si="149"/>
        <v>0.28521754319992837</v>
      </c>
    </row>
    <row r="3161" spans="1:31" x14ac:dyDescent="0.2">
      <c r="A3161" s="1" t="s">
        <v>2584</v>
      </c>
      <c r="B3161" s="1" t="s">
        <v>7085</v>
      </c>
      <c r="C3161" s="1">
        <v>55654</v>
      </c>
      <c r="D3161" s="1">
        <v>13</v>
      </c>
      <c r="F3161" s="1">
        <v>2023</v>
      </c>
      <c r="G3161" s="5">
        <v>3106</v>
      </c>
      <c r="H3161" s="5">
        <v>2793.83</v>
      </c>
      <c r="I3161" s="5">
        <v>125858.44</v>
      </c>
      <c r="K3161" s="5">
        <v>0.37</v>
      </c>
      <c r="L3161" s="5">
        <v>1E-3</v>
      </c>
      <c r="M3161" s="5">
        <v>73236.471000000005</v>
      </c>
      <c r="N3161" s="6">
        <v>5.9200000000000003E-2</v>
      </c>
      <c r="O3161" s="5">
        <v>48.167999999999999</v>
      </c>
      <c r="P3161" s="6">
        <v>8.5400000000000004E-2</v>
      </c>
      <c r="Q3161" s="5">
        <v>1232364.4080000001</v>
      </c>
      <c r="R3161" s="1" t="s">
        <v>44</v>
      </c>
      <c r="T3161" s="1" t="s">
        <v>93</v>
      </c>
      <c r="V3161" s="1" t="s">
        <v>95</v>
      </c>
      <c r="Y3161" s="1" t="s">
        <v>1515</v>
      </c>
      <c r="Z3161" s="1" t="str">
        <f t="shared" si="147"/>
        <v>55654 13</v>
      </c>
      <c r="AA3161" s="3">
        <f>IF(INDEX('CAMD Facility Data 2023'!$AA$2:$AE$10000,MATCH(Z3161,'CAMD Facility Data 2023'!$AE$2:$AE$10000,0),1)&gt;0,INDEX('CAMD Facility Data 2023'!$AA$2:$AE$10000,MATCH(Z3161,'CAMD Facility Data 2023'!$AE$2:$AE$10000,0),1),"")</f>
        <v>37226</v>
      </c>
      <c r="AB3161" s="5">
        <f>IF(INDEX('CAMD Facility Data 2023'!$AC$2:$AE$10000,MATCH(Z3161,'CAMD Facility Data 2023'!$AE$2:$AE$10000,0),1)&gt;0,INDEX('CAMD Facility Data 2023'!$AC$2:$AE$10000,MATCH(Z3161,'CAMD Facility Data 2023'!$AE$2:$AE$10000,0),1),"")</f>
        <v>510</v>
      </c>
      <c r="AC3161" s="1" t="str">
        <f>IF(INDEX('CAMD Facility Data 2023'!$AE$2:$AG$10000,MATCH(Z3161,'CAMD Facility Data 2023'!$AE$2:$AE$10000,0),3)&gt;0,INDEX('CAMD Facility Data 2023'!$AE$2:$AG$10000,MATCH(Z3161,'CAMD Facility Data 2023'!$AE$2:$AE$10000,0),3),"")</f>
        <v/>
      </c>
      <c r="AD3161" s="20">
        <f t="shared" si="148"/>
        <v>0.7654313846572387</v>
      </c>
      <c r="AE3161" s="25">
        <f t="shared" si="149"/>
        <v>0.27584484018264843</v>
      </c>
    </row>
    <row r="3162" spans="1:31" x14ac:dyDescent="0.2">
      <c r="A3162" s="1" t="s">
        <v>370</v>
      </c>
      <c r="B3162" s="1" t="s">
        <v>7090</v>
      </c>
      <c r="C3162" s="1">
        <v>55656</v>
      </c>
      <c r="D3162" s="1" t="s">
        <v>648</v>
      </c>
      <c r="F3162" s="1">
        <v>2023</v>
      </c>
      <c r="G3162" s="5">
        <v>6712</v>
      </c>
      <c r="H3162" s="5">
        <v>6483.35</v>
      </c>
      <c r="I3162" s="5">
        <v>1323103.17</v>
      </c>
      <c r="K3162" s="5">
        <v>3.5230000000000001</v>
      </c>
      <c r="L3162" s="5">
        <v>1E-3</v>
      </c>
      <c r="M3162" s="5">
        <v>697907.745</v>
      </c>
      <c r="N3162" s="6">
        <v>5.8999999999999997E-2</v>
      </c>
      <c r="O3162" s="5">
        <v>39.302999999999997</v>
      </c>
      <c r="P3162" s="6">
        <v>9.4000000000000004E-3</v>
      </c>
      <c r="Q3162" s="5">
        <v>11743577.16</v>
      </c>
      <c r="R3162" s="1" t="s">
        <v>44</v>
      </c>
      <c r="T3162" s="1" t="s">
        <v>71</v>
      </c>
      <c r="V3162" s="1" t="s">
        <v>64</v>
      </c>
      <c r="Y3162" s="1" t="s">
        <v>247</v>
      </c>
      <c r="Z3162" s="1" t="str">
        <f t="shared" si="147"/>
        <v>55656 CT001</v>
      </c>
      <c r="AA3162" s="3">
        <f>IF(INDEX('CAMD Facility Data 2023'!$AA$2:$AE$10000,MATCH(Z3162,'CAMD Facility Data 2023'!$AE$2:$AE$10000,0),1)&gt;0,INDEX('CAMD Facility Data 2023'!$AA$2:$AE$10000,MATCH(Z3162,'CAMD Facility Data 2023'!$AE$2:$AE$10000,0),1),"")</f>
        <v>38476</v>
      </c>
      <c r="AB3162" s="5">
        <f>IF(INDEX('CAMD Facility Data 2023'!$AC$2:$AE$10000,MATCH(Z3162,'CAMD Facility Data 2023'!$AE$2:$AE$10000,0),1)&gt;0,INDEX('CAMD Facility Data 2023'!$AC$2:$AE$10000,MATCH(Z3162,'CAMD Facility Data 2023'!$AE$2:$AE$10000,0),1),"")</f>
        <v>1981</v>
      </c>
      <c r="AC3162" s="1" t="str">
        <f>IF(INDEX('CAMD Facility Data 2023'!$AE$2:$AG$10000,MATCH(Z3162,'CAMD Facility Data 2023'!$AE$2:$AE$10000,0),3)&gt;0,INDEX('CAMD Facility Data 2023'!$AE$2:$AG$10000,MATCH(Z3162,'CAMD Facility Data 2023'!$AE$2:$AE$10000,0),3),"")</f>
        <v>Y</v>
      </c>
      <c r="AD3162" s="20">
        <f t="shared" si="148"/>
        <v>5.9410333058154491E-2</v>
      </c>
      <c r="AE3162" s="25">
        <f t="shared" si="149"/>
        <v>0.67672438162544168</v>
      </c>
    </row>
    <row r="3163" spans="1:31" x14ac:dyDescent="0.2">
      <c r="A3163" s="1" t="s">
        <v>370</v>
      </c>
      <c r="B3163" s="1" t="s">
        <v>7090</v>
      </c>
      <c r="C3163" s="1">
        <v>55656</v>
      </c>
      <c r="D3163" s="1" t="s">
        <v>7093</v>
      </c>
      <c r="F3163" s="1">
        <v>2023</v>
      </c>
      <c r="G3163" s="5">
        <v>6286</v>
      </c>
      <c r="H3163" s="5">
        <v>6030.56</v>
      </c>
      <c r="I3163" s="5">
        <v>1251801.6599999999</v>
      </c>
      <c r="K3163" s="5">
        <v>3.2730000000000001</v>
      </c>
      <c r="L3163" s="5">
        <v>1E-3</v>
      </c>
      <c r="M3163" s="5">
        <v>648270.49600000004</v>
      </c>
      <c r="N3163" s="6">
        <v>5.8999999999999997E-2</v>
      </c>
      <c r="O3163" s="5">
        <v>35.040999999999997</v>
      </c>
      <c r="P3163" s="6">
        <v>9.1999999999999998E-3</v>
      </c>
      <c r="Q3163" s="5">
        <v>10908335.226</v>
      </c>
      <c r="R3163" s="1" t="s">
        <v>44</v>
      </c>
      <c r="T3163" s="1" t="s">
        <v>71</v>
      </c>
      <c r="V3163" s="1" t="s">
        <v>64</v>
      </c>
      <c r="Y3163" s="1" t="s">
        <v>247</v>
      </c>
      <c r="Z3163" s="1" t="str">
        <f t="shared" si="147"/>
        <v>55656 CT002</v>
      </c>
      <c r="AA3163" s="3">
        <f>IF(INDEX('CAMD Facility Data 2023'!$AA$2:$AE$10000,MATCH(Z3163,'CAMD Facility Data 2023'!$AE$2:$AE$10000,0),1)&gt;0,INDEX('CAMD Facility Data 2023'!$AA$2:$AE$10000,MATCH(Z3163,'CAMD Facility Data 2023'!$AE$2:$AE$10000,0),1),"")</f>
        <v>38472</v>
      </c>
      <c r="AB3163" s="5">
        <f>IF(INDEX('CAMD Facility Data 2023'!$AC$2:$AE$10000,MATCH(Z3163,'CAMD Facility Data 2023'!$AE$2:$AE$10000,0),1)&gt;0,INDEX('CAMD Facility Data 2023'!$AC$2:$AE$10000,MATCH(Z3163,'CAMD Facility Data 2023'!$AE$2:$AE$10000,0),1),"")</f>
        <v>2061</v>
      </c>
      <c r="AC3163" s="1" t="str">
        <f>IF(INDEX('CAMD Facility Data 2023'!$AE$2:$AG$10000,MATCH(Z3163,'CAMD Facility Data 2023'!$AE$2:$AE$10000,0),3)&gt;0,INDEX('CAMD Facility Data 2023'!$AE$2:$AG$10000,MATCH(Z3163,'CAMD Facility Data 2023'!$AE$2:$AE$10000,0),3),"")</f>
        <v>Y</v>
      </c>
      <c r="AD3163" s="20">
        <f t="shared" si="148"/>
        <v>5.5984907385408011E-2</v>
      </c>
      <c r="AE3163" s="25">
        <f t="shared" si="149"/>
        <v>0.60419395791376707</v>
      </c>
    </row>
    <row r="3164" spans="1:31" x14ac:dyDescent="0.2">
      <c r="A3164" s="1" t="s">
        <v>370</v>
      </c>
      <c r="B3164" s="1" t="s">
        <v>7090</v>
      </c>
      <c r="C3164" s="1">
        <v>55656</v>
      </c>
      <c r="D3164" s="1" t="s">
        <v>7095</v>
      </c>
      <c r="F3164" s="1">
        <v>2023</v>
      </c>
      <c r="G3164" s="5">
        <v>6276</v>
      </c>
      <c r="H3164" s="5">
        <v>6083.81</v>
      </c>
      <c r="I3164" s="5">
        <v>1432522.01</v>
      </c>
      <c r="K3164" s="5">
        <v>3.2120000000000002</v>
      </c>
      <c r="L3164" s="5">
        <v>1E-3</v>
      </c>
      <c r="M3164" s="5">
        <v>636287.57400000002</v>
      </c>
      <c r="N3164" s="6">
        <v>5.8999999999999997E-2</v>
      </c>
      <c r="O3164" s="5">
        <v>36.841999999999999</v>
      </c>
      <c r="P3164" s="6">
        <v>9.4999999999999998E-3</v>
      </c>
      <c r="Q3164" s="5">
        <v>10706835.107999999</v>
      </c>
      <c r="R3164" s="1" t="s">
        <v>44</v>
      </c>
      <c r="T3164" s="1" t="s">
        <v>71</v>
      </c>
      <c r="V3164" s="1" t="s">
        <v>64</v>
      </c>
      <c r="Y3164" s="1" t="s">
        <v>247</v>
      </c>
      <c r="Z3164" s="1" t="str">
        <f t="shared" si="147"/>
        <v>55656 CT004</v>
      </c>
      <c r="AA3164" s="3">
        <f>IF(INDEX('CAMD Facility Data 2023'!$AA$2:$AE$10000,MATCH(Z3164,'CAMD Facility Data 2023'!$AE$2:$AE$10000,0),1)&gt;0,INDEX('CAMD Facility Data 2023'!$AA$2:$AE$10000,MATCH(Z3164,'CAMD Facility Data 2023'!$AE$2:$AE$10000,0),1),"")</f>
        <v>38400</v>
      </c>
      <c r="AB3164" s="5">
        <f>IF(INDEX('CAMD Facility Data 2023'!$AC$2:$AE$10000,MATCH(Z3164,'CAMD Facility Data 2023'!$AE$2:$AE$10000,0),1)&gt;0,INDEX('CAMD Facility Data 2023'!$AC$2:$AE$10000,MATCH(Z3164,'CAMD Facility Data 2023'!$AE$2:$AE$10000,0),1),"")</f>
        <v>2061</v>
      </c>
      <c r="AC3164" s="1" t="str">
        <f>IF(INDEX('CAMD Facility Data 2023'!$AE$2:$AG$10000,MATCH(Z3164,'CAMD Facility Data 2023'!$AE$2:$AE$10000,0),3)&gt;0,INDEX('CAMD Facility Data 2023'!$AE$2:$AG$10000,MATCH(Z3164,'CAMD Facility Data 2023'!$AE$2:$AE$10000,0),3),"")</f>
        <v>Y</v>
      </c>
      <c r="AD3164" s="20">
        <f t="shared" si="148"/>
        <v>5.1436556985257072E-2</v>
      </c>
      <c r="AE3164" s="25">
        <f t="shared" si="149"/>
        <v>0.59303321236532336</v>
      </c>
    </row>
    <row r="3165" spans="1:31" x14ac:dyDescent="0.2">
      <c r="A3165" s="1" t="s">
        <v>1961</v>
      </c>
      <c r="B3165" s="1" t="s">
        <v>7097</v>
      </c>
      <c r="C3165" s="1">
        <v>55661</v>
      </c>
      <c r="D3165" s="1">
        <v>1</v>
      </c>
      <c r="F3165" s="1">
        <v>2023</v>
      </c>
      <c r="G3165" s="5">
        <v>2015</v>
      </c>
      <c r="H3165" s="5">
        <v>1885.93</v>
      </c>
      <c r="I3165" s="5">
        <v>430854.55</v>
      </c>
      <c r="K3165" s="5">
        <v>0.96399999999999997</v>
      </c>
      <c r="L3165" s="5">
        <v>1E-3</v>
      </c>
      <c r="M3165" s="5">
        <v>190220.50599999999</v>
      </c>
      <c r="N3165" s="6">
        <v>5.9499999999999997E-2</v>
      </c>
      <c r="O3165" s="5">
        <v>17.623000000000001</v>
      </c>
      <c r="P3165" s="6">
        <v>2.06E-2</v>
      </c>
      <c r="Q3165" s="5">
        <v>3189660.9210000001</v>
      </c>
      <c r="R3165" s="1" t="s">
        <v>44</v>
      </c>
      <c r="S3165" s="1" t="s">
        <v>94</v>
      </c>
      <c r="T3165" s="1" t="s">
        <v>71</v>
      </c>
      <c r="V3165" s="1" t="s">
        <v>787</v>
      </c>
      <c r="Y3165" s="1" t="s">
        <v>1976</v>
      </c>
      <c r="Z3165" s="1" t="str">
        <f t="shared" si="147"/>
        <v>55661 1</v>
      </c>
      <c r="AA3165" s="3">
        <f>IF(INDEX('CAMD Facility Data 2023'!$AA$2:$AE$10000,MATCH(Z3165,'CAMD Facility Data 2023'!$AE$2:$AE$10000,0),1)&gt;0,INDEX('CAMD Facility Data 2023'!$AA$2:$AE$10000,MATCH(Z3165,'CAMD Facility Data 2023'!$AE$2:$AE$10000,0),1),"")</f>
        <v>37429</v>
      </c>
      <c r="AB3165" s="5">
        <f>IF(INDEX('CAMD Facility Data 2023'!$AC$2:$AE$10000,MATCH(Z3165,'CAMD Facility Data 2023'!$AE$2:$AE$10000,0),1)&gt;0,INDEX('CAMD Facility Data 2023'!$AC$2:$AE$10000,MATCH(Z3165,'CAMD Facility Data 2023'!$AE$2:$AE$10000,0),1),"")</f>
        <v>2395</v>
      </c>
      <c r="AC3165" s="1" t="str">
        <f>IF(INDEX('CAMD Facility Data 2023'!$AE$2:$AG$10000,MATCH(Z3165,'CAMD Facility Data 2023'!$AE$2:$AE$10000,0),3)&gt;0,INDEX('CAMD Facility Data 2023'!$AE$2:$AG$10000,MATCH(Z3165,'CAMD Facility Data 2023'!$AE$2:$AE$10000,0),3),"")</f>
        <v>Y</v>
      </c>
      <c r="AD3165" s="20">
        <f t="shared" si="148"/>
        <v>8.1804868951714682E-2</v>
      </c>
      <c r="AE3165" s="25">
        <f t="shared" si="149"/>
        <v>0.15203195970486458</v>
      </c>
    </row>
    <row r="3166" spans="1:31" x14ac:dyDescent="0.2">
      <c r="A3166" s="1" t="s">
        <v>1961</v>
      </c>
      <c r="B3166" s="1" t="s">
        <v>7097</v>
      </c>
      <c r="C3166" s="1">
        <v>55661</v>
      </c>
      <c r="D3166" s="1">
        <v>2</v>
      </c>
      <c r="F3166" s="1">
        <v>2023</v>
      </c>
      <c r="G3166" s="5">
        <v>2072</v>
      </c>
      <c r="H3166" s="5">
        <v>1918.78</v>
      </c>
      <c r="I3166" s="5">
        <v>422911.23</v>
      </c>
      <c r="K3166" s="5">
        <v>0.93899999999999995</v>
      </c>
      <c r="L3166" s="5">
        <v>1E-3</v>
      </c>
      <c r="M3166" s="5">
        <v>185301.53700000001</v>
      </c>
      <c r="N3166" s="6">
        <v>5.9299999999999999E-2</v>
      </c>
      <c r="O3166" s="5">
        <v>18.82</v>
      </c>
      <c r="P3166" s="6">
        <v>2.5600000000000001E-2</v>
      </c>
      <c r="Q3166" s="5">
        <v>3114832.0120000001</v>
      </c>
      <c r="R3166" s="1" t="s">
        <v>44</v>
      </c>
      <c r="S3166" s="1" t="s">
        <v>94</v>
      </c>
      <c r="T3166" s="1" t="s">
        <v>71</v>
      </c>
      <c r="V3166" s="1" t="s">
        <v>787</v>
      </c>
      <c r="Y3166" s="1" t="s">
        <v>1976</v>
      </c>
      <c r="Z3166" s="1" t="str">
        <f t="shared" si="147"/>
        <v>55661 2</v>
      </c>
      <c r="AA3166" s="3">
        <f>IF(INDEX('CAMD Facility Data 2023'!$AA$2:$AE$10000,MATCH(Z3166,'CAMD Facility Data 2023'!$AE$2:$AE$10000,0),1)&gt;0,INDEX('CAMD Facility Data 2023'!$AA$2:$AE$10000,MATCH(Z3166,'CAMD Facility Data 2023'!$AE$2:$AE$10000,0),1),"")</f>
        <v>37429</v>
      </c>
      <c r="AB3166" s="5">
        <f>IF(INDEX('CAMD Facility Data 2023'!$AC$2:$AE$10000,MATCH(Z3166,'CAMD Facility Data 2023'!$AE$2:$AE$10000,0),1)&gt;0,INDEX('CAMD Facility Data 2023'!$AC$2:$AE$10000,MATCH(Z3166,'CAMD Facility Data 2023'!$AE$2:$AE$10000,0),1),"")</f>
        <v>2395</v>
      </c>
      <c r="AC3166" s="1" t="str">
        <f>IF(INDEX('CAMD Facility Data 2023'!$AE$2:$AG$10000,MATCH(Z3166,'CAMD Facility Data 2023'!$AE$2:$AE$10000,0),3)&gt;0,INDEX('CAMD Facility Data 2023'!$AE$2:$AG$10000,MATCH(Z3166,'CAMD Facility Data 2023'!$AE$2:$AE$10000,0),3),"")</f>
        <v>Y</v>
      </c>
      <c r="AD3166" s="20">
        <f t="shared" si="148"/>
        <v>8.9002129359392987E-2</v>
      </c>
      <c r="AE3166" s="25">
        <f t="shared" si="149"/>
        <v>0.14846531548793626</v>
      </c>
    </row>
    <row r="3167" spans="1:31" x14ac:dyDescent="0.2">
      <c r="A3167" s="1" t="s">
        <v>690</v>
      </c>
      <c r="B3167" s="1" t="s">
        <v>7101</v>
      </c>
      <c r="C3167" s="1">
        <v>55662</v>
      </c>
      <c r="D3167" s="1" t="s">
        <v>311</v>
      </c>
      <c r="F3167" s="1">
        <v>2023</v>
      </c>
      <c r="G3167" s="5">
        <v>5191</v>
      </c>
      <c r="H3167" s="5">
        <v>5147.74</v>
      </c>
      <c r="I3167" s="5">
        <v>1002116.98</v>
      </c>
      <c r="K3167" s="5">
        <v>4.6340000000000003</v>
      </c>
      <c r="L3167" s="5">
        <v>1.1999999999999999E-3</v>
      </c>
      <c r="M3167" s="5">
        <v>438337.5</v>
      </c>
      <c r="N3167" s="6">
        <v>5.8999999999999997E-2</v>
      </c>
      <c r="O3167" s="5">
        <v>34.081000000000003</v>
      </c>
      <c r="P3167" s="6">
        <v>1.09E-2</v>
      </c>
      <c r="Q3167" s="5">
        <v>7375837.2300000004</v>
      </c>
      <c r="R3167" s="1" t="s">
        <v>284</v>
      </c>
      <c r="T3167" s="1" t="s">
        <v>71</v>
      </c>
      <c r="V3167" s="1" t="s">
        <v>643</v>
      </c>
      <c r="Y3167" s="1" t="s">
        <v>247</v>
      </c>
      <c r="Z3167" s="1" t="str">
        <f t="shared" si="147"/>
        <v>55662 CT1</v>
      </c>
      <c r="AA3167" s="3">
        <f>IF(INDEX('CAMD Facility Data 2023'!$AA$2:$AE$10000,MATCH(Z3167,'CAMD Facility Data 2023'!$AE$2:$AE$10000,0),1)&gt;0,INDEX('CAMD Facility Data 2023'!$AA$2:$AE$10000,MATCH(Z3167,'CAMD Facility Data 2023'!$AE$2:$AE$10000,0),1),"")</f>
        <v>37785</v>
      </c>
      <c r="AB3167" s="5">
        <f>IF(INDEX('CAMD Facility Data 2023'!$AC$2:$AE$10000,MATCH(Z3167,'CAMD Facility Data 2023'!$AE$2:$AE$10000,0),1)&gt;0,INDEX('CAMD Facility Data 2023'!$AC$2:$AE$10000,MATCH(Z3167,'CAMD Facility Data 2023'!$AE$2:$AE$10000,0),1),"")</f>
        <v>2067</v>
      </c>
      <c r="AC3167" s="1" t="str">
        <f>IF(INDEX('CAMD Facility Data 2023'!$AE$2:$AG$10000,MATCH(Z3167,'CAMD Facility Data 2023'!$AE$2:$AE$10000,0),3)&gt;0,INDEX('CAMD Facility Data 2023'!$AE$2:$AG$10000,MATCH(Z3167,'CAMD Facility Data 2023'!$AE$2:$AE$10000,0),3),"")</f>
        <v>Y</v>
      </c>
      <c r="AD3167" s="20">
        <f t="shared" si="148"/>
        <v>6.8018007239035103E-2</v>
      </c>
      <c r="AE3167" s="25">
        <f t="shared" si="149"/>
        <v>0.40734908145615051</v>
      </c>
    </row>
    <row r="3168" spans="1:31" x14ac:dyDescent="0.2">
      <c r="A3168" s="1" t="s">
        <v>690</v>
      </c>
      <c r="B3168" s="1" t="s">
        <v>7101</v>
      </c>
      <c r="C3168" s="1">
        <v>55662</v>
      </c>
      <c r="D3168" s="1" t="s">
        <v>98</v>
      </c>
      <c r="F3168" s="1">
        <v>2023</v>
      </c>
      <c r="G3168" s="5">
        <v>6941</v>
      </c>
      <c r="H3168" s="5">
        <v>6855.53</v>
      </c>
      <c r="I3168" s="5">
        <v>1316598.73</v>
      </c>
      <c r="K3168" s="5">
        <v>6.0439999999999996</v>
      </c>
      <c r="L3168" s="5">
        <v>1.2999999999999999E-3</v>
      </c>
      <c r="M3168" s="5">
        <v>568463.99300000002</v>
      </c>
      <c r="N3168" s="6">
        <v>5.8999999999999997E-2</v>
      </c>
      <c r="O3168" s="5">
        <v>45.16</v>
      </c>
      <c r="P3168" s="6">
        <v>1.17E-2</v>
      </c>
      <c r="Q3168" s="5">
        <v>9565369.8990000002</v>
      </c>
      <c r="R3168" s="1" t="s">
        <v>284</v>
      </c>
      <c r="T3168" s="1" t="s">
        <v>71</v>
      </c>
      <c r="V3168" s="1" t="s">
        <v>643</v>
      </c>
      <c r="Y3168" s="1" t="s">
        <v>247</v>
      </c>
      <c r="Z3168" s="1" t="str">
        <f t="shared" si="147"/>
        <v>55662 CT2</v>
      </c>
      <c r="AA3168" s="3">
        <f>IF(INDEX('CAMD Facility Data 2023'!$AA$2:$AE$10000,MATCH(Z3168,'CAMD Facility Data 2023'!$AE$2:$AE$10000,0),1)&gt;0,INDEX('CAMD Facility Data 2023'!$AA$2:$AE$10000,MATCH(Z3168,'CAMD Facility Data 2023'!$AE$2:$AE$10000,0),1),"")</f>
        <v>37777</v>
      </c>
      <c r="AB3168" s="5">
        <f>IF(INDEX('CAMD Facility Data 2023'!$AC$2:$AE$10000,MATCH(Z3168,'CAMD Facility Data 2023'!$AE$2:$AE$10000,0),1)&gt;0,INDEX('CAMD Facility Data 2023'!$AC$2:$AE$10000,MATCH(Z3168,'CAMD Facility Data 2023'!$AE$2:$AE$10000,0),1),"")</f>
        <v>2067</v>
      </c>
      <c r="AC3168" s="1" t="str">
        <f>IF(INDEX('CAMD Facility Data 2023'!$AE$2:$AG$10000,MATCH(Z3168,'CAMD Facility Data 2023'!$AE$2:$AE$10000,0),3)&gt;0,INDEX('CAMD Facility Data 2023'!$AE$2:$AG$10000,MATCH(Z3168,'CAMD Facility Data 2023'!$AE$2:$AE$10000,0),3),"")</f>
        <v>Y</v>
      </c>
      <c r="AD3168" s="20">
        <f t="shared" si="148"/>
        <v>6.8601007992769372E-2</v>
      </c>
      <c r="AE3168" s="25">
        <f t="shared" si="149"/>
        <v>0.52827150608717555</v>
      </c>
    </row>
    <row r="3169" spans="1:31" x14ac:dyDescent="0.2">
      <c r="A3169" s="1" t="s">
        <v>383</v>
      </c>
      <c r="B3169" s="1" t="s">
        <v>7104</v>
      </c>
      <c r="C3169" s="1">
        <v>55664</v>
      </c>
      <c r="D3169" s="1" t="s">
        <v>1155</v>
      </c>
      <c r="F3169" s="1">
        <v>2023</v>
      </c>
      <c r="G3169" s="5">
        <v>6777</v>
      </c>
      <c r="H3169" s="5">
        <v>6732.28</v>
      </c>
      <c r="I3169" s="5">
        <v>1649487.59</v>
      </c>
      <c r="K3169" s="5">
        <v>3.4860000000000002</v>
      </c>
      <c r="L3169" s="5">
        <v>1E-3</v>
      </c>
      <c r="M3169" s="5">
        <v>690445</v>
      </c>
      <c r="N3169" s="6">
        <v>5.8999999999999997E-2</v>
      </c>
      <c r="O3169" s="5">
        <v>82.656000000000006</v>
      </c>
      <c r="P3169" s="6">
        <v>1.49E-2</v>
      </c>
      <c r="Q3169" s="5">
        <v>11618086.833000001</v>
      </c>
      <c r="R3169" s="1" t="s">
        <v>44</v>
      </c>
      <c r="T3169" s="1" t="s">
        <v>71</v>
      </c>
      <c r="V3169" s="1" t="s">
        <v>64</v>
      </c>
      <c r="Y3169" s="1" t="s">
        <v>346</v>
      </c>
      <c r="Z3169" s="1" t="str">
        <f t="shared" si="147"/>
        <v>55664 GT-1</v>
      </c>
      <c r="AA3169" s="3">
        <f>IF(INDEX('CAMD Facility Data 2023'!$AA$2:$AE$10000,MATCH(Z3169,'CAMD Facility Data 2023'!$AE$2:$AE$10000,0),1)&gt;0,INDEX('CAMD Facility Data 2023'!$AA$2:$AE$10000,MATCH(Z3169,'CAMD Facility Data 2023'!$AE$2:$AE$10000,0),1),"")</f>
        <v>37803</v>
      </c>
      <c r="AB3169" s="5">
        <f>IF(INDEX('CAMD Facility Data 2023'!$AC$2:$AE$10000,MATCH(Z3169,'CAMD Facility Data 2023'!$AE$2:$AE$10000,0),1)&gt;0,INDEX('CAMD Facility Data 2023'!$AC$2:$AE$10000,MATCH(Z3169,'CAMD Facility Data 2023'!$AE$2:$AE$10000,0),1),"")</f>
        <v>2201</v>
      </c>
      <c r="AC3169" s="1" t="str">
        <f>IF(INDEX('CAMD Facility Data 2023'!$AE$2:$AG$10000,MATCH(Z3169,'CAMD Facility Data 2023'!$AE$2:$AE$10000,0),3)&gt;0,INDEX('CAMD Facility Data 2023'!$AE$2:$AG$10000,MATCH(Z3169,'CAMD Facility Data 2023'!$AE$2:$AE$10000,0),3),"")</f>
        <v>Y</v>
      </c>
      <c r="AD3169" s="20">
        <f t="shared" si="148"/>
        <v>0.10022021444853671</v>
      </c>
      <c r="AE3169" s="25">
        <f t="shared" si="149"/>
        <v>0.60257411186073584</v>
      </c>
    </row>
    <row r="3170" spans="1:31" x14ac:dyDescent="0.2">
      <c r="A3170" s="1" t="s">
        <v>383</v>
      </c>
      <c r="B3170" s="1" t="s">
        <v>7104</v>
      </c>
      <c r="C3170" s="1">
        <v>55664</v>
      </c>
      <c r="D3170" s="1" t="s">
        <v>1162</v>
      </c>
      <c r="F3170" s="1">
        <v>2023</v>
      </c>
      <c r="G3170" s="5">
        <v>6837</v>
      </c>
      <c r="H3170" s="5">
        <v>6794.25</v>
      </c>
      <c r="I3170" s="5">
        <v>1705647.35</v>
      </c>
      <c r="K3170" s="5">
        <v>3.5139999999999998</v>
      </c>
      <c r="L3170" s="5">
        <v>1E-3</v>
      </c>
      <c r="M3170" s="5">
        <v>696155.88300000003</v>
      </c>
      <c r="N3170" s="6">
        <v>5.8999999999999997E-2</v>
      </c>
      <c r="O3170" s="5">
        <v>84.14</v>
      </c>
      <c r="P3170" s="6">
        <v>1.54E-2</v>
      </c>
      <c r="Q3170" s="5">
        <v>11714221.540999999</v>
      </c>
      <c r="R3170" s="1" t="s">
        <v>44</v>
      </c>
      <c r="T3170" s="1" t="s">
        <v>71</v>
      </c>
      <c r="V3170" s="1" t="s">
        <v>64</v>
      </c>
      <c r="Y3170" s="1" t="s">
        <v>346</v>
      </c>
      <c r="Z3170" s="1" t="str">
        <f t="shared" si="147"/>
        <v>55664 GT-2</v>
      </c>
      <c r="AA3170" s="3">
        <f>IF(INDEX('CAMD Facility Data 2023'!$AA$2:$AE$10000,MATCH(Z3170,'CAMD Facility Data 2023'!$AE$2:$AE$10000,0),1)&gt;0,INDEX('CAMD Facility Data 2023'!$AA$2:$AE$10000,MATCH(Z3170,'CAMD Facility Data 2023'!$AE$2:$AE$10000,0),1),"")</f>
        <v>37803</v>
      </c>
      <c r="AB3170" s="5">
        <f>IF(INDEX('CAMD Facility Data 2023'!$AC$2:$AE$10000,MATCH(Z3170,'CAMD Facility Data 2023'!$AE$2:$AE$10000,0),1)&gt;0,INDEX('CAMD Facility Data 2023'!$AC$2:$AE$10000,MATCH(Z3170,'CAMD Facility Data 2023'!$AE$2:$AE$10000,0),1),"")</f>
        <v>2500</v>
      </c>
      <c r="AC3170" s="1" t="str">
        <f>IF(INDEX('CAMD Facility Data 2023'!$AE$2:$AG$10000,MATCH(Z3170,'CAMD Facility Data 2023'!$AE$2:$AE$10000,0),3)&gt;0,INDEX('CAMD Facility Data 2023'!$AE$2:$AG$10000,MATCH(Z3170,'CAMD Facility Data 2023'!$AE$2:$AE$10000,0),3),"")</f>
        <v>Y</v>
      </c>
      <c r="AD3170" s="20">
        <f t="shared" si="148"/>
        <v>9.8660488054579387E-2</v>
      </c>
      <c r="AE3170" s="25">
        <f t="shared" si="149"/>
        <v>0.53489596077625567</v>
      </c>
    </row>
    <row r="3171" spans="1:31" x14ac:dyDescent="0.2">
      <c r="A3171" s="1" t="s">
        <v>2584</v>
      </c>
      <c r="B3171" s="1" t="s">
        <v>7109</v>
      </c>
      <c r="C3171" s="1">
        <v>55667</v>
      </c>
      <c r="D3171" s="1" t="s">
        <v>993</v>
      </c>
      <c r="F3171" s="1">
        <v>2023</v>
      </c>
      <c r="G3171" s="5">
        <v>7800</v>
      </c>
      <c r="H3171" s="5">
        <v>7794.14</v>
      </c>
      <c r="I3171" s="5">
        <v>2248653.65</v>
      </c>
      <c r="K3171" s="5">
        <v>4.6120000000000001</v>
      </c>
      <c r="L3171" s="5">
        <v>1E-3</v>
      </c>
      <c r="M3171" s="5">
        <v>913499.20200000005</v>
      </c>
      <c r="N3171" s="6">
        <v>5.8999999999999997E-2</v>
      </c>
      <c r="O3171" s="5">
        <v>61.917999999999999</v>
      </c>
      <c r="P3171" s="6">
        <v>8.0999999999999996E-3</v>
      </c>
      <c r="Q3171" s="5">
        <v>15371447.419</v>
      </c>
      <c r="R3171" s="1" t="s">
        <v>44</v>
      </c>
      <c r="T3171" s="1" t="s">
        <v>71</v>
      </c>
      <c r="V3171" s="1" t="s">
        <v>64</v>
      </c>
      <c r="Y3171" s="1" t="s">
        <v>1515</v>
      </c>
      <c r="Z3171" s="1" t="str">
        <f t="shared" si="147"/>
        <v>55667 CT01</v>
      </c>
      <c r="AA3171" s="3">
        <f>IF(INDEX('CAMD Facility Data 2023'!$AA$2:$AE$10000,MATCH(Z3171,'CAMD Facility Data 2023'!$AE$2:$AE$10000,0),1)&gt;0,INDEX('CAMD Facility Data 2023'!$AA$2:$AE$10000,MATCH(Z3171,'CAMD Facility Data 2023'!$AE$2:$AE$10000,0),1),"")</f>
        <v>37949</v>
      </c>
      <c r="AB3171" s="5">
        <f>IF(INDEX('CAMD Facility Data 2023'!$AC$2:$AE$10000,MATCH(Z3171,'CAMD Facility Data 2023'!$AE$2:$AE$10000,0),1)&gt;0,INDEX('CAMD Facility Data 2023'!$AC$2:$AE$10000,MATCH(Z3171,'CAMD Facility Data 2023'!$AE$2:$AE$10000,0),1),"")</f>
        <v>2400</v>
      </c>
      <c r="AC3171" s="1" t="str">
        <f>IF(INDEX('CAMD Facility Data 2023'!$AE$2:$AG$10000,MATCH(Z3171,'CAMD Facility Data 2023'!$AE$2:$AE$10000,0),3)&gt;0,INDEX('CAMD Facility Data 2023'!$AE$2:$AG$10000,MATCH(Z3171,'CAMD Facility Data 2023'!$AE$2:$AE$10000,0),3),"")</f>
        <v>Y</v>
      </c>
      <c r="AD3171" s="20">
        <f t="shared" si="148"/>
        <v>5.5071175589891316E-2</v>
      </c>
      <c r="AE3171" s="25">
        <f t="shared" si="149"/>
        <v>0.73113810021879755</v>
      </c>
    </row>
    <row r="3172" spans="1:31" x14ac:dyDescent="0.2">
      <c r="A3172" s="1" t="s">
        <v>2584</v>
      </c>
      <c r="B3172" s="1" t="s">
        <v>7109</v>
      </c>
      <c r="C3172" s="1">
        <v>55667</v>
      </c>
      <c r="D3172" s="1" t="s">
        <v>998</v>
      </c>
      <c r="F3172" s="1">
        <v>2023</v>
      </c>
      <c r="G3172" s="5">
        <v>7867</v>
      </c>
      <c r="H3172" s="5">
        <v>7863.04</v>
      </c>
      <c r="I3172" s="5">
        <v>2249010.7400000002</v>
      </c>
      <c r="K3172" s="5">
        <v>4.609</v>
      </c>
      <c r="L3172" s="5">
        <v>1E-3</v>
      </c>
      <c r="M3172" s="5">
        <v>913007.48300000001</v>
      </c>
      <c r="N3172" s="6">
        <v>5.8999999999999997E-2</v>
      </c>
      <c r="O3172" s="5">
        <v>61.652999999999999</v>
      </c>
      <c r="P3172" s="6">
        <v>8.0999999999999996E-3</v>
      </c>
      <c r="Q3172" s="5">
        <v>15363119.503</v>
      </c>
      <c r="R3172" s="1" t="s">
        <v>44</v>
      </c>
      <c r="T3172" s="1" t="s">
        <v>71</v>
      </c>
      <c r="V3172" s="1" t="s">
        <v>64</v>
      </c>
      <c r="Y3172" s="1" t="s">
        <v>1515</v>
      </c>
      <c r="Z3172" s="1" t="str">
        <f t="shared" si="147"/>
        <v>55667 CT02</v>
      </c>
      <c r="AA3172" s="3">
        <f>IF(INDEX('CAMD Facility Data 2023'!$AA$2:$AE$10000,MATCH(Z3172,'CAMD Facility Data 2023'!$AE$2:$AE$10000,0),1)&gt;0,INDEX('CAMD Facility Data 2023'!$AA$2:$AE$10000,MATCH(Z3172,'CAMD Facility Data 2023'!$AE$2:$AE$10000,0),1),"")</f>
        <v>37970</v>
      </c>
      <c r="AB3172" s="5">
        <f>IF(INDEX('CAMD Facility Data 2023'!$AC$2:$AE$10000,MATCH(Z3172,'CAMD Facility Data 2023'!$AE$2:$AE$10000,0),1)&gt;0,INDEX('CAMD Facility Data 2023'!$AC$2:$AE$10000,MATCH(Z3172,'CAMD Facility Data 2023'!$AE$2:$AE$10000,0),1),"")</f>
        <v>2400</v>
      </c>
      <c r="AC3172" s="1" t="str">
        <f>IF(INDEX('CAMD Facility Data 2023'!$AE$2:$AG$10000,MATCH(Z3172,'CAMD Facility Data 2023'!$AE$2:$AE$10000,0),3)&gt;0,INDEX('CAMD Facility Data 2023'!$AE$2:$AG$10000,MATCH(Z3172,'CAMD Facility Data 2023'!$AE$2:$AE$10000,0),3),"")</f>
        <v>Y</v>
      </c>
      <c r="AD3172" s="20">
        <f t="shared" si="148"/>
        <v>5.4826772414612833E-2</v>
      </c>
      <c r="AE3172" s="25">
        <f t="shared" si="149"/>
        <v>0.73074198549277014</v>
      </c>
    </row>
    <row r="3173" spans="1:31" x14ac:dyDescent="0.2">
      <c r="A3173" s="1" t="s">
        <v>921</v>
      </c>
      <c r="B3173" s="1" t="s">
        <v>7113</v>
      </c>
      <c r="C3173" s="1">
        <v>55672</v>
      </c>
      <c r="D3173" s="1" t="s">
        <v>311</v>
      </c>
      <c r="F3173" s="1">
        <v>2023</v>
      </c>
      <c r="G3173" s="5">
        <v>219</v>
      </c>
      <c r="H3173" s="5">
        <v>185.53</v>
      </c>
      <c r="I3173" s="5">
        <v>13032.52</v>
      </c>
      <c r="K3173" s="5">
        <v>5.0999999999999997E-2</v>
      </c>
      <c r="L3173" s="5">
        <v>8.9999999999999998E-4</v>
      </c>
      <c r="M3173" s="5">
        <v>9587.7000000000007</v>
      </c>
      <c r="N3173" s="6">
        <v>5.91E-2</v>
      </c>
      <c r="O3173" s="5">
        <v>8.6069999999999993</v>
      </c>
      <c r="P3173" s="6">
        <v>0.2036</v>
      </c>
      <c r="Q3173" s="5">
        <v>162546.1</v>
      </c>
      <c r="R3173" s="1" t="s">
        <v>44</v>
      </c>
      <c r="T3173" s="1" t="s">
        <v>93</v>
      </c>
      <c r="V3173" s="1" t="s">
        <v>140</v>
      </c>
      <c r="Y3173" s="1" t="s">
        <v>952</v>
      </c>
      <c r="Z3173" s="1" t="str">
        <f t="shared" si="147"/>
        <v>55672 CT1</v>
      </c>
      <c r="AA3173" s="3">
        <f>IF(INDEX('CAMD Facility Data 2023'!$AA$2:$AE$10000,MATCH(Z3173,'CAMD Facility Data 2023'!$AE$2:$AE$10000,0),1)&gt;0,INDEX('CAMD Facility Data 2023'!$AA$2:$AE$10000,MATCH(Z3173,'CAMD Facility Data 2023'!$AE$2:$AE$10000,0),1),"")</f>
        <v>37400</v>
      </c>
      <c r="AB3173" s="5">
        <f>IF(INDEX('CAMD Facility Data 2023'!$AC$2:$AE$10000,MATCH(Z3173,'CAMD Facility Data 2023'!$AE$2:$AE$10000,0),1)&gt;0,INDEX('CAMD Facility Data 2023'!$AC$2:$AE$10000,MATCH(Z3173,'CAMD Facility Data 2023'!$AE$2:$AE$10000,0),1),"")</f>
        <v>1150</v>
      </c>
      <c r="AC3173" s="1" t="str">
        <f>IF(INDEX('CAMD Facility Data 2023'!$AE$2:$AG$10000,MATCH(Z3173,'CAMD Facility Data 2023'!$AE$2:$AE$10000,0),3)&gt;0,INDEX('CAMD Facility Data 2023'!$AE$2:$AG$10000,MATCH(Z3173,'CAMD Facility Data 2023'!$AE$2:$AE$10000,0),3),"")</f>
        <v/>
      </c>
      <c r="AD3173" s="20">
        <f t="shared" si="148"/>
        <v>1.3208496898527682</v>
      </c>
      <c r="AE3173" s="25">
        <f t="shared" si="149"/>
        <v>1.6135209450069486E-2</v>
      </c>
    </row>
    <row r="3174" spans="1:31" x14ac:dyDescent="0.2">
      <c r="A3174" s="1" t="s">
        <v>921</v>
      </c>
      <c r="B3174" s="1" t="s">
        <v>7113</v>
      </c>
      <c r="C3174" s="1">
        <v>55672</v>
      </c>
      <c r="D3174" s="1" t="s">
        <v>98</v>
      </c>
      <c r="F3174" s="1">
        <v>2023</v>
      </c>
      <c r="G3174" s="5">
        <v>216</v>
      </c>
      <c r="H3174" s="5">
        <v>185.1</v>
      </c>
      <c r="I3174" s="5">
        <v>13229.88</v>
      </c>
      <c r="K3174" s="5">
        <v>5.1999999999999998E-2</v>
      </c>
      <c r="L3174" s="5">
        <v>8.9999999999999998E-4</v>
      </c>
      <c r="M3174" s="5">
        <v>9724.6</v>
      </c>
      <c r="N3174" s="6">
        <v>5.91E-2</v>
      </c>
      <c r="O3174" s="5">
        <v>8.5</v>
      </c>
      <c r="P3174" s="6">
        <v>0.19289999999999999</v>
      </c>
      <c r="Q3174" s="5">
        <v>164825.70000000001</v>
      </c>
      <c r="R3174" s="1" t="s">
        <v>44</v>
      </c>
      <c r="T3174" s="1" t="s">
        <v>93</v>
      </c>
      <c r="V3174" s="1" t="s">
        <v>140</v>
      </c>
      <c r="Y3174" s="1" t="s">
        <v>952</v>
      </c>
      <c r="Z3174" s="1" t="str">
        <f t="shared" si="147"/>
        <v>55672 CT2</v>
      </c>
      <c r="AA3174" s="3">
        <f>IF(INDEX('CAMD Facility Data 2023'!$AA$2:$AE$10000,MATCH(Z3174,'CAMD Facility Data 2023'!$AE$2:$AE$10000,0),1)&gt;0,INDEX('CAMD Facility Data 2023'!$AA$2:$AE$10000,MATCH(Z3174,'CAMD Facility Data 2023'!$AE$2:$AE$10000,0),1),"")</f>
        <v>37400</v>
      </c>
      <c r="AB3174" s="5">
        <f>IF(INDEX('CAMD Facility Data 2023'!$AC$2:$AE$10000,MATCH(Z3174,'CAMD Facility Data 2023'!$AE$2:$AE$10000,0),1)&gt;0,INDEX('CAMD Facility Data 2023'!$AC$2:$AE$10000,MATCH(Z3174,'CAMD Facility Data 2023'!$AE$2:$AE$10000,0),1),"")</f>
        <v>1150</v>
      </c>
      <c r="AC3174" s="1" t="str">
        <f>IF(INDEX('CAMD Facility Data 2023'!$AE$2:$AG$10000,MATCH(Z3174,'CAMD Facility Data 2023'!$AE$2:$AE$10000,0),3)&gt;0,INDEX('CAMD Facility Data 2023'!$AE$2:$AG$10000,MATCH(Z3174,'CAMD Facility Data 2023'!$AE$2:$AE$10000,0),3),"")</f>
        <v/>
      </c>
      <c r="AD3174" s="20">
        <f t="shared" si="148"/>
        <v>1.2849700828730117</v>
      </c>
      <c r="AE3174" s="25">
        <f t="shared" si="149"/>
        <v>1.6361494937462778E-2</v>
      </c>
    </row>
    <row r="3175" spans="1:31" x14ac:dyDescent="0.2">
      <c r="A3175" s="1" t="s">
        <v>921</v>
      </c>
      <c r="B3175" s="1" t="s">
        <v>7113</v>
      </c>
      <c r="C3175" s="1">
        <v>55672</v>
      </c>
      <c r="D3175" s="1" t="s">
        <v>101</v>
      </c>
      <c r="F3175" s="1">
        <v>2023</v>
      </c>
      <c r="G3175" s="5">
        <v>261</v>
      </c>
      <c r="H3175" s="5">
        <v>217.87</v>
      </c>
      <c r="I3175" s="5">
        <v>15090.34</v>
      </c>
      <c r="K3175" s="5">
        <v>5.7000000000000002E-2</v>
      </c>
      <c r="L3175" s="5">
        <v>8.0000000000000004E-4</v>
      </c>
      <c r="M3175" s="5">
        <v>11070</v>
      </c>
      <c r="N3175" s="6">
        <v>5.91E-2</v>
      </c>
      <c r="O3175" s="5">
        <v>10.396000000000001</v>
      </c>
      <c r="P3175" s="6">
        <v>0.2109</v>
      </c>
      <c r="Q3175" s="5">
        <v>187629.5</v>
      </c>
      <c r="R3175" s="1" t="s">
        <v>44</v>
      </c>
      <c r="T3175" s="1" t="s">
        <v>93</v>
      </c>
      <c r="V3175" s="1" t="s">
        <v>140</v>
      </c>
      <c r="Y3175" s="1" t="s">
        <v>952</v>
      </c>
      <c r="Z3175" s="1" t="str">
        <f t="shared" si="147"/>
        <v>55672 CT3</v>
      </c>
      <c r="AA3175" s="3">
        <f>IF(INDEX('CAMD Facility Data 2023'!$AA$2:$AE$10000,MATCH(Z3175,'CAMD Facility Data 2023'!$AE$2:$AE$10000,0),1)&gt;0,INDEX('CAMD Facility Data 2023'!$AA$2:$AE$10000,MATCH(Z3175,'CAMD Facility Data 2023'!$AE$2:$AE$10000,0),1),"")</f>
        <v>37401</v>
      </c>
      <c r="AB3175" s="5">
        <f>IF(INDEX('CAMD Facility Data 2023'!$AC$2:$AE$10000,MATCH(Z3175,'CAMD Facility Data 2023'!$AE$2:$AE$10000,0),1)&gt;0,INDEX('CAMD Facility Data 2023'!$AC$2:$AE$10000,MATCH(Z3175,'CAMD Facility Data 2023'!$AE$2:$AE$10000,0),1),"")</f>
        <v>1150</v>
      </c>
      <c r="AC3175" s="1" t="str">
        <f>IF(INDEX('CAMD Facility Data 2023'!$AE$2:$AG$10000,MATCH(Z3175,'CAMD Facility Data 2023'!$AE$2:$AE$10000,0),3)&gt;0,INDEX('CAMD Facility Data 2023'!$AE$2:$AG$10000,MATCH(Z3175,'CAMD Facility Data 2023'!$AE$2:$AE$10000,0),3),"")</f>
        <v/>
      </c>
      <c r="AD3175" s="20">
        <f t="shared" si="148"/>
        <v>1.3778350918534639</v>
      </c>
      <c r="AE3175" s="25">
        <f t="shared" si="149"/>
        <v>1.862512408179472E-2</v>
      </c>
    </row>
    <row r="3176" spans="1:31" x14ac:dyDescent="0.2">
      <c r="A3176" s="1" t="s">
        <v>921</v>
      </c>
      <c r="B3176" s="1" t="s">
        <v>7113</v>
      </c>
      <c r="C3176" s="1">
        <v>55672</v>
      </c>
      <c r="D3176" s="1" t="s">
        <v>103</v>
      </c>
      <c r="F3176" s="1">
        <v>2023</v>
      </c>
      <c r="G3176" s="5">
        <v>272</v>
      </c>
      <c r="H3176" s="5">
        <v>226.55</v>
      </c>
      <c r="I3176" s="5">
        <v>15619.27</v>
      </c>
      <c r="K3176" s="5">
        <v>5.2999999999999999E-2</v>
      </c>
      <c r="L3176" s="5">
        <v>8.0000000000000004E-4</v>
      </c>
      <c r="M3176" s="5">
        <v>10224.6</v>
      </c>
      <c r="N3176" s="6">
        <v>5.8999999999999997E-2</v>
      </c>
      <c r="O3176" s="5">
        <v>9.3379999999999992</v>
      </c>
      <c r="P3176" s="6">
        <v>0.21229999999999999</v>
      </c>
      <c r="Q3176" s="5">
        <v>173342.1</v>
      </c>
      <c r="R3176" s="1" t="s">
        <v>44</v>
      </c>
      <c r="T3176" s="1" t="s">
        <v>93</v>
      </c>
      <c r="V3176" s="1" t="s">
        <v>140</v>
      </c>
      <c r="Y3176" s="1" t="s">
        <v>952</v>
      </c>
      <c r="Z3176" s="1" t="str">
        <f t="shared" si="147"/>
        <v>55672 CT4</v>
      </c>
      <c r="AA3176" s="3">
        <f>IF(INDEX('CAMD Facility Data 2023'!$AA$2:$AE$10000,MATCH(Z3176,'CAMD Facility Data 2023'!$AE$2:$AE$10000,0),1)&gt;0,INDEX('CAMD Facility Data 2023'!$AA$2:$AE$10000,MATCH(Z3176,'CAMD Facility Data 2023'!$AE$2:$AE$10000,0),1),"")</f>
        <v>37401</v>
      </c>
      <c r="AB3176" s="5">
        <f>IF(INDEX('CAMD Facility Data 2023'!$AC$2:$AE$10000,MATCH(Z3176,'CAMD Facility Data 2023'!$AE$2:$AE$10000,0),1)&gt;0,INDEX('CAMD Facility Data 2023'!$AC$2:$AE$10000,MATCH(Z3176,'CAMD Facility Data 2023'!$AE$2:$AE$10000,0),1),"")</f>
        <v>1150</v>
      </c>
      <c r="AC3176" s="1" t="str">
        <f>IF(INDEX('CAMD Facility Data 2023'!$AE$2:$AG$10000,MATCH(Z3176,'CAMD Facility Data 2023'!$AE$2:$AE$10000,0),3)&gt;0,INDEX('CAMD Facility Data 2023'!$AE$2:$AG$10000,MATCH(Z3176,'CAMD Facility Data 2023'!$AE$2:$AE$10000,0),3),"")</f>
        <v/>
      </c>
      <c r="AD3176" s="20">
        <f t="shared" si="148"/>
        <v>1.1957024880164053</v>
      </c>
      <c r="AE3176" s="25">
        <f t="shared" si="149"/>
        <v>1.7206879094699225E-2</v>
      </c>
    </row>
    <row r="3177" spans="1:31" x14ac:dyDescent="0.2">
      <c r="A3177" s="1" t="s">
        <v>921</v>
      </c>
      <c r="B3177" s="1" t="s">
        <v>7113</v>
      </c>
      <c r="C3177" s="1">
        <v>55672</v>
      </c>
      <c r="D3177" s="1" t="s">
        <v>105</v>
      </c>
      <c r="F3177" s="1">
        <v>2023</v>
      </c>
      <c r="G3177" s="5">
        <v>128</v>
      </c>
      <c r="H3177" s="5">
        <v>110.29</v>
      </c>
      <c r="I3177" s="5">
        <v>7848.95</v>
      </c>
      <c r="K3177" s="5">
        <v>3.1E-2</v>
      </c>
      <c r="L3177" s="5">
        <v>8.9999999999999998E-4</v>
      </c>
      <c r="M3177" s="5">
        <v>5734.9</v>
      </c>
      <c r="N3177" s="6">
        <v>5.8999999999999997E-2</v>
      </c>
      <c r="O3177" s="5">
        <v>4.8179999999999996</v>
      </c>
      <c r="P3177" s="6">
        <v>0.19989999999999999</v>
      </c>
      <c r="Q3177" s="5">
        <v>97222.1</v>
      </c>
      <c r="R3177" s="1" t="s">
        <v>44</v>
      </c>
      <c r="T3177" s="1" t="s">
        <v>93</v>
      </c>
      <c r="V3177" s="1" t="s">
        <v>140</v>
      </c>
      <c r="Y3177" s="1" t="s">
        <v>952</v>
      </c>
      <c r="Z3177" s="1" t="str">
        <f t="shared" si="147"/>
        <v>55672 CT5</v>
      </c>
      <c r="AA3177" s="3">
        <f>IF(INDEX('CAMD Facility Data 2023'!$AA$2:$AE$10000,MATCH(Z3177,'CAMD Facility Data 2023'!$AE$2:$AE$10000,0),1)&gt;0,INDEX('CAMD Facility Data 2023'!$AA$2:$AE$10000,MATCH(Z3177,'CAMD Facility Data 2023'!$AE$2:$AE$10000,0),1),"")</f>
        <v>37413</v>
      </c>
      <c r="AB3177" s="5">
        <f>IF(INDEX('CAMD Facility Data 2023'!$AC$2:$AE$10000,MATCH(Z3177,'CAMD Facility Data 2023'!$AE$2:$AE$10000,0),1)&gt;0,INDEX('CAMD Facility Data 2023'!$AC$2:$AE$10000,MATCH(Z3177,'CAMD Facility Data 2023'!$AE$2:$AE$10000,0),1),"")</f>
        <v>1150</v>
      </c>
      <c r="AC3177" s="1" t="str">
        <f>IF(INDEX('CAMD Facility Data 2023'!$AE$2:$AG$10000,MATCH(Z3177,'CAMD Facility Data 2023'!$AE$2:$AE$10000,0),3)&gt;0,INDEX('CAMD Facility Data 2023'!$AE$2:$AG$10000,MATCH(Z3177,'CAMD Facility Data 2023'!$AE$2:$AE$10000,0),3),"")</f>
        <v/>
      </c>
      <c r="AD3177" s="20">
        <f t="shared" si="148"/>
        <v>1.2276801355595335</v>
      </c>
      <c r="AE3177" s="25">
        <f t="shared" si="149"/>
        <v>9.6507941234862029E-3</v>
      </c>
    </row>
    <row r="3178" spans="1:31" x14ac:dyDescent="0.2">
      <c r="A3178" s="1" t="s">
        <v>921</v>
      </c>
      <c r="B3178" s="1" t="s">
        <v>7113</v>
      </c>
      <c r="C3178" s="1">
        <v>55672</v>
      </c>
      <c r="D3178" s="1" t="s">
        <v>107</v>
      </c>
      <c r="F3178" s="1">
        <v>2023</v>
      </c>
      <c r="G3178" s="5">
        <v>93</v>
      </c>
      <c r="H3178" s="5">
        <v>79.02</v>
      </c>
      <c r="I3178" s="5">
        <v>5537.03</v>
      </c>
      <c r="K3178" s="5">
        <v>2.1999999999999999E-2</v>
      </c>
      <c r="L3178" s="5">
        <v>8.9999999999999998E-4</v>
      </c>
      <c r="M3178" s="5">
        <v>4109.2</v>
      </c>
      <c r="N3178" s="6">
        <v>5.8900000000000001E-2</v>
      </c>
      <c r="O3178" s="5">
        <v>4.077</v>
      </c>
      <c r="P3178" s="6">
        <v>0.22020000000000001</v>
      </c>
      <c r="Q3178" s="5">
        <v>69636.600000000006</v>
      </c>
      <c r="R3178" s="1" t="s">
        <v>44</v>
      </c>
      <c r="T3178" s="1" t="s">
        <v>93</v>
      </c>
      <c r="V3178" s="1" t="s">
        <v>140</v>
      </c>
      <c r="Y3178" s="1" t="s">
        <v>952</v>
      </c>
      <c r="Z3178" s="1" t="str">
        <f t="shared" si="147"/>
        <v>55672 CT6</v>
      </c>
      <c r="AA3178" s="3">
        <f>IF(INDEX('CAMD Facility Data 2023'!$AA$2:$AE$10000,MATCH(Z3178,'CAMD Facility Data 2023'!$AE$2:$AE$10000,0),1)&gt;0,INDEX('CAMD Facility Data 2023'!$AA$2:$AE$10000,MATCH(Z3178,'CAMD Facility Data 2023'!$AE$2:$AE$10000,0),1),"")</f>
        <v>37413</v>
      </c>
      <c r="AB3178" s="5">
        <f>IF(INDEX('CAMD Facility Data 2023'!$AC$2:$AE$10000,MATCH(Z3178,'CAMD Facility Data 2023'!$AE$2:$AE$10000,0),1)&gt;0,INDEX('CAMD Facility Data 2023'!$AC$2:$AE$10000,MATCH(Z3178,'CAMD Facility Data 2023'!$AE$2:$AE$10000,0),1),"")</f>
        <v>1150</v>
      </c>
      <c r="AC3178" s="1" t="str">
        <f>IF(INDEX('CAMD Facility Data 2023'!$AE$2:$AG$10000,MATCH(Z3178,'CAMD Facility Data 2023'!$AE$2:$AE$10000,0),3)&gt;0,INDEX('CAMD Facility Data 2023'!$AE$2:$AG$10000,MATCH(Z3178,'CAMD Facility Data 2023'!$AE$2:$AE$10000,0),3),"")</f>
        <v/>
      </c>
      <c r="AD3178" s="20">
        <f t="shared" si="148"/>
        <v>1.4726306341125117</v>
      </c>
      <c r="AE3178" s="25">
        <f t="shared" si="149"/>
        <v>6.9125074449076836E-3</v>
      </c>
    </row>
    <row r="3179" spans="1:31" x14ac:dyDescent="0.2">
      <c r="A3179" s="1" t="s">
        <v>921</v>
      </c>
      <c r="B3179" s="1" t="s">
        <v>7113</v>
      </c>
      <c r="C3179" s="1">
        <v>55672</v>
      </c>
      <c r="D3179" s="1" t="s">
        <v>109</v>
      </c>
      <c r="F3179" s="1">
        <v>2023</v>
      </c>
      <c r="G3179" s="5">
        <v>285</v>
      </c>
      <c r="H3179" s="5">
        <v>237.44</v>
      </c>
      <c r="I3179" s="5">
        <v>16138.02</v>
      </c>
      <c r="K3179" s="5">
        <v>5.8999999999999997E-2</v>
      </c>
      <c r="L3179" s="5">
        <v>8.9999999999999998E-4</v>
      </c>
      <c r="M3179" s="5">
        <v>11961.7</v>
      </c>
      <c r="N3179" s="6">
        <v>5.8999999999999997E-2</v>
      </c>
      <c r="O3179" s="5">
        <v>11.699</v>
      </c>
      <c r="P3179" s="6">
        <v>0.21640000000000001</v>
      </c>
      <c r="Q3179" s="5">
        <v>202760</v>
      </c>
      <c r="R3179" s="1" t="s">
        <v>44</v>
      </c>
      <c r="T3179" s="1" t="s">
        <v>93</v>
      </c>
      <c r="V3179" s="1" t="s">
        <v>140</v>
      </c>
      <c r="Y3179" s="1" t="s">
        <v>952</v>
      </c>
      <c r="Z3179" s="1" t="str">
        <f t="shared" si="147"/>
        <v>55672 CT7</v>
      </c>
      <c r="AA3179" s="3">
        <f>IF(INDEX('CAMD Facility Data 2023'!$AA$2:$AE$10000,MATCH(Z3179,'CAMD Facility Data 2023'!$AE$2:$AE$10000,0),1)&gt;0,INDEX('CAMD Facility Data 2023'!$AA$2:$AE$10000,MATCH(Z3179,'CAMD Facility Data 2023'!$AE$2:$AE$10000,0),1),"")</f>
        <v>37420</v>
      </c>
      <c r="AB3179" s="5">
        <f>IF(INDEX('CAMD Facility Data 2023'!$AC$2:$AE$10000,MATCH(Z3179,'CAMD Facility Data 2023'!$AE$2:$AE$10000,0),1)&gt;0,INDEX('CAMD Facility Data 2023'!$AC$2:$AE$10000,MATCH(Z3179,'CAMD Facility Data 2023'!$AE$2:$AE$10000,0),1),"")</f>
        <v>1150</v>
      </c>
      <c r="AC3179" s="1" t="str">
        <f>IF(INDEX('CAMD Facility Data 2023'!$AE$2:$AG$10000,MATCH(Z3179,'CAMD Facility Data 2023'!$AE$2:$AE$10000,0),3)&gt;0,INDEX('CAMD Facility Data 2023'!$AE$2:$AG$10000,MATCH(Z3179,'CAMD Facility Data 2023'!$AE$2:$AE$10000,0),3),"")</f>
        <v/>
      </c>
      <c r="AD3179" s="20">
        <f t="shared" si="148"/>
        <v>1.4498680755136009</v>
      </c>
      <c r="AE3179" s="25">
        <f t="shared" si="149"/>
        <v>2.0127059757792335E-2</v>
      </c>
    </row>
    <row r="3180" spans="1:31" x14ac:dyDescent="0.2">
      <c r="A3180" s="1" t="s">
        <v>921</v>
      </c>
      <c r="B3180" s="1" t="s">
        <v>7113</v>
      </c>
      <c r="C3180" s="1">
        <v>55672</v>
      </c>
      <c r="D3180" s="1" t="s">
        <v>111</v>
      </c>
      <c r="F3180" s="1">
        <v>2023</v>
      </c>
      <c r="G3180" s="5">
        <v>264</v>
      </c>
      <c r="H3180" s="5">
        <v>215.21</v>
      </c>
      <c r="I3180" s="5">
        <v>14653.34</v>
      </c>
      <c r="K3180" s="5">
        <v>5.8000000000000003E-2</v>
      </c>
      <c r="L3180" s="5">
        <v>8.9999999999999998E-4</v>
      </c>
      <c r="M3180" s="5">
        <v>10910.6</v>
      </c>
      <c r="N3180" s="6">
        <v>5.8900000000000001E-2</v>
      </c>
      <c r="O3180" s="5">
        <v>11.663</v>
      </c>
      <c r="P3180" s="6">
        <v>0.2437</v>
      </c>
      <c r="Q3180" s="5">
        <v>184968</v>
      </c>
      <c r="R3180" s="1" t="s">
        <v>44</v>
      </c>
      <c r="T3180" s="1" t="s">
        <v>93</v>
      </c>
      <c r="V3180" s="1" t="s">
        <v>140</v>
      </c>
      <c r="Y3180" s="1" t="s">
        <v>952</v>
      </c>
      <c r="Z3180" s="1" t="str">
        <f t="shared" si="147"/>
        <v>55672 CT8</v>
      </c>
      <c r="AA3180" s="3">
        <f>IF(INDEX('CAMD Facility Data 2023'!$AA$2:$AE$10000,MATCH(Z3180,'CAMD Facility Data 2023'!$AE$2:$AE$10000,0),1)&gt;0,INDEX('CAMD Facility Data 2023'!$AA$2:$AE$10000,MATCH(Z3180,'CAMD Facility Data 2023'!$AE$2:$AE$10000,0),1),"")</f>
        <v>37426</v>
      </c>
      <c r="AB3180" s="5">
        <f>IF(INDEX('CAMD Facility Data 2023'!$AC$2:$AE$10000,MATCH(Z3180,'CAMD Facility Data 2023'!$AE$2:$AE$10000,0),1)&gt;0,INDEX('CAMD Facility Data 2023'!$AC$2:$AE$10000,MATCH(Z3180,'CAMD Facility Data 2023'!$AE$2:$AE$10000,0),1),"")</f>
        <v>1150</v>
      </c>
      <c r="AC3180" s="1" t="str">
        <f>IF(INDEX('CAMD Facility Data 2023'!$AE$2:$AG$10000,MATCH(Z3180,'CAMD Facility Data 2023'!$AE$2:$AE$10000,0),3)&gt;0,INDEX('CAMD Facility Data 2023'!$AE$2:$AG$10000,MATCH(Z3180,'CAMD Facility Data 2023'!$AE$2:$AE$10000,0),3),"")</f>
        <v/>
      </c>
      <c r="AD3180" s="20">
        <f t="shared" si="148"/>
        <v>1.5918555087099597</v>
      </c>
      <c r="AE3180" s="25">
        <f t="shared" si="149"/>
        <v>1.8360929124478856E-2</v>
      </c>
    </row>
    <row r="3181" spans="1:31" x14ac:dyDescent="0.2">
      <c r="A3181" s="1" t="s">
        <v>1903</v>
      </c>
      <c r="B3181" s="1" t="s">
        <v>7123</v>
      </c>
      <c r="C3181" s="1">
        <v>55687</v>
      </c>
      <c r="D3181" s="1" t="s">
        <v>7124</v>
      </c>
      <c r="F3181" s="1">
        <v>2023</v>
      </c>
      <c r="G3181" s="5">
        <v>5733</v>
      </c>
      <c r="H3181" s="5">
        <v>5582.94</v>
      </c>
      <c r="I3181" s="5">
        <v>1120487.3899999999</v>
      </c>
      <c r="K3181" s="5">
        <v>2.5070000000000001</v>
      </c>
      <c r="L3181" s="5">
        <v>1E-3</v>
      </c>
      <c r="M3181" s="5">
        <v>496628.52399999998</v>
      </c>
      <c r="N3181" s="6">
        <v>5.9400000000000001E-2</v>
      </c>
      <c r="O3181" s="5">
        <v>39.451999999999998</v>
      </c>
      <c r="P3181" s="6">
        <v>1.0500000000000001E-2</v>
      </c>
      <c r="Q3181" s="5">
        <v>8356913.4840000002</v>
      </c>
      <c r="R3181" s="1" t="s">
        <v>44</v>
      </c>
      <c r="T3181" s="1" t="s">
        <v>71</v>
      </c>
      <c r="V3181" s="1" t="s">
        <v>140</v>
      </c>
      <c r="Y3181" s="1" t="s">
        <v>247</v>
      </c>
      <c r="Z3181" s="1" t="str">
        <f t="shared" si="147"/>
        <v>55687 BHG1</v>
      </c>
      <c r="AA3181" s="3">
        <f>IF(INDEX('CAMD Facility Data 2023'!$AA$2:$AE$10000,MATCH(Z3181,'CAMD Facility Data 2023'!$AE$2:$AE$10000,0),1)&gt;0,INDEX('CAMD Facility Data 2023'!$AA$2:$AE$10000,MATCH(Z3181,'CAMD Facility Data 2023'!$AE$2:$AE$10000,0),1),"")</f>
        <v>37865</v>
      </c>
      <c r="AB3181" s="5">
        <f>IF(INDEX('CAMD Facility Data 2023'!$AC$2:$AE$10000,MATCH(Z3181,'CAMD Facility Data 2023'!$AE$2:$AE$10000,0),1)&gt;0,INDEX('CAMD Facility Data 2023'!$AC$2:$AE$10000,MATCH(Z3181,'CAMD Facility Data 2023'!$AE$2:$AE$10000,0),1),"")</f>
        <v>2500</v>
      </c>
      <c r="AC3181" s="1" t="str">
        <f>IF(INDEX('CAMD Facility Data 2023'!$AE$2:$AG$10000,MATCH(Z3181,'CAMD Facility Data 2023'!$AE$2:$AE$10000,0),3)&gt;0,INDEX('CAMD Facility Data 2023'!$AE$2:$AG$10000,MATCH(Z3181,'CAMD Facility Data 2023'!$AE$2:$AE$10000,0),3),"")</f>
        <v/>
      </c>
      <c r="AD3181" s="20">
        <f t="shared" si="148"/>
        <v>7.0419355634158465E-2</v>
      </c>
      <c r="AE3181" s="25">
        <f t="shared" si="149"/>
        <v>0.38159422301369866</v>
      </c>
    </row>
    <row r="3182" spans="1:31" x14ac:dyDescent="0.2">
      <c r="A3182" s="1" t="s">
        <v>1903</v>
      </c>
      <c r="B3182" s="1" t="s">
        <v>7123</v>
      </c>
      <c r="C3182" s="1">
        <v>55687</v>
      </c>
      <c r="D3182" s="1" t="s">
        <v>7126</v>
      </c>
      <c r="F3182" s="1">
        <v>2023</v>
      </c>
      <c r="G3182" s="5">
        <v>5696</v>
      </c>
      <c r="H3182" s="5">
        <v>5558.74</v>
      </c>
      <c r="I3182" s="5">
        <v>1087467.1100000001</v>
      </c>
      <c r="K3182" s="5">
        <v>2.4529999999999998</v>
      </c>
      <c r="L3182" s="5">
        <v>1E-3</v>
      </c>
      <c r="M3182" s="5">
        <v>485933.446</v>
      </c>
      <c r="N3182" s="6">
        <v>5.9499999999999997E-2</v>
      </c>
      <c r="O3182" s="5">
        <v>38.808</v>
      </c>
      <c r="P3182" s="6">
        <v>1.0699999999999999E-2</v>
      </c>
      <c r="Q3182" s="5">
        <v>8176620.7580000004</v>
      </c>
      <c r="R3182" s="1" t="s">
        <v>44</v>
      </c>
      <c r="T3182" s="1" t="s">
        <v>71</v>
      </c>
      <c r="V3182" s="1" t="s">
        <v>140</v>
      </c>
      <c r="Y3182" s="1" t="s">
        <v>247</v>
      </c>
      <c r="Z3182" s="1" t="str">
        <f t="shared" si="147"/>
        <v>55687 BHG2</v>
      </c>
      <c r="AA3182" s="3">
        <f>IF(INDEX('CAMD Facility Data 2023'!$AA$2:$AE$10000,MATCH(Z3182,'CAMD Facility Data 2023'!$AE$2:$AE$10000,0),1)&gt;0,INDEX('CAMD Facility Data 2023'!$AA$2:$AE$10000,MATCH(Z3182,'CAMD Facility Data 2023'!$AE$2:$AE$10000,0),1),"")</f>
        <v>37865</v>
      </c>
      <c r="AB3182" s="5">
        <f>IF(INDEX('CAMD Facility Data 2023'!$AC$2:$AE$10000,MATCH(Z3182,'CAMD Facility Data 2023'!$AE$2:$AE$10000,0),1)&gt;0,INDEX('CAMD Facility Data 2023'!$AC$2:$AE$10000,MATCH(Z3182,'CAMD Facility Data 2023'!$AE$2:$AE$10000,0),1),"")</f>
        <v>2500</v>
      </c>
      <c r="AC3182" s="1" t="str">
        <f>IF(INDEX('CAMD Facility Data 2023'!$AE$2:$AG$10000,MATCH(Z3182,'CAMD Facility Data 2023'!$AE$2:$AE$10000,0),3)&gt;0,INDEX('CAMD Facility Data 2023'!$AE$2:$AG$10000,MATCH(Z3182,'CAMD Facility Data 2023'!$AE$2:$AE$10000,0),3),"")</f>
        <v/>
      </c>
      <c r="AD3182" s="20">
        <f t="shared" si="148"/>
        <v>7.1373193070639163E-2</v>
      </c>
      <c r="AE3182" s="25">
        <f t="shared" si="149"/>
        <v>0.37336167844748858</v>
      </c>
    </row>
    <row r="3183" spans="1:31" x14ac:dyDescent="0.2">
      <c r="A3183" s="1" t="s">
        <v>2584</v>
      </c>
      <c r="B3183" s="1" t="s">
        <v>7128</v>
      </c>
      <c r="C3183" s="1">
        <v>55690</v>
      </c>
      <c r="D3183" s="1">
        <v>1</v>
      </c>
      <c r="F3183" s="1">
        <v>2023</v>
      </c>
      <c r="G3183" s="5">
        <v>7013</v>
      </c>
      <c r="H3183" s="5">
        <v>6909.03</v>
      </c>
      <c r="I3183" s="5">
        <v>992681.13</v>
      </c>
      <c r="K3183" s="5">
        <v>2.3980000000000001</v>
      </c>
      <c r="L3183" s="5">
        <v>1E-3</v>
      </c>
      <c r="M3183" s="5">
        <v>475013.19199999998</v>
      </c>
      <c r="N3183" s="6">
        <v>5.8999999999999997E-2</v>
      </c>
      <c r="O3183" s="5">
        <v>26.132999999999999</v>
      </c>
      <c r="P3183" s="6">
        <v>7.6E-3</v>
      </c>
      <c r="Q3183" s="5">
        <v>7992987.8480000002</v>
      </c>
      <c r="R3183" s="1" t="s">
        <v>44</v>
      </c>
      <c r="S3183" s="1" t="s">
        <v>94</v>
      </c>
      <c r="T3183" s="1" t="s">
        <v>71</v>
      </c>
      <c r="V3183" s="1" t="s">
        <v>3913</v>
      </c>
      <c r="Y3183" s="1" t="s">
        <v>1515</v>
      </c>
      <c r="Z3183" s="1" t="str">
        <f t="shared" si="147"/>
        <v>55690 1</v>
      </c>
      <c r="AA3183" s="3">
        <f>IF(INDEX('CAMD Facility Data 2023'!$AA$2:$AE$10000,MATCH(Z3183,'CAMD Facility Data 2023'!$AE$2:$AE$10000,0),1)&gt;0,INDEX('CAMD Facility Data 2023'!$AA$2:$AE$10000,MATCH(Z3183,'CAMD Facility Data 2023'!$AE$2:$AE$10000,0),1),"")</f>
        <v>37469</v>
      </c>
      <c r="AB3183" s="5">
        <f>IF(INDEX('CAMD Facility Data 2023'!$AC$2:$AE$10000,MATCH(Z3183,'CAMD Facility Data 2023'!$AE$2:$AE$10000,0),1)&gt;0,INDEX('CAMD Facility Data 2023'!$AC$2:$AE$10000,MATCH(Z3183,'CAMD Facility Data 2023'!$AE$2:$AE$10000,0),1),"")</f>
        <v>1690</v>
      </c>
      <c r="AC3183" s="1" t="str">
        <f>IF(INDEX('CAMD Facility Data 2023'!$AE$2:$AG$10000,MATCH(Z3183,'CAMD Facility Data 2023'!$AE$2:$AE$10000,0),3)&gt;0,INDEX('CAMD Facility Data 2023'!$AE$2:$AG$10000,MATCH(Z3183,'CAMD Facility Data 2023'!$AE$2:$AE$10000,0),3),"")</f>
        <v>Y</v>
      </c>
      <c r="AD3183" s="20">
        <f t="shared" si="148"/>
        <v>5.2651348374074564E-2</v>
      </c>
      <c r="AE3183" s="25">
        <f t="shared" si="149"/>
        <v>0.53990623382237712</v>
      </c>
    </row>
    <row r="3184" spans="1:31" x14ac:dyDescent="0.2">
      <c r="A3184" s="1" t="s">
        <v>2584</v>
      </c>
      <c r="B3184" s="1" t="s">
        <v>7128</v>
      </c>
      <c r="C3184" s="1">
        <v>55690</v>
      </c>
      <c r="D3184" s="1">
        <v>2</v>
      </c>
      <c r="F3184" s="1">
        <v>2023</v>
      </c>
      <c r="G3184" s="5">
        <v>7056</v>
      </c>
      <c r="H3184" s="5">
        <v>6882.13</v>
      </c>
      <c r="I3184" s="5">
        <v>988151.3</v>
      </c>
      <c r="K3184" s="5">
        <v>2.3780000000000001</v>
      </c>
      <c r="L3184" s="5">
        <v>1E-3</v>
      </c>
      <c r="M3184" s="5">
        <v>471056.288</v>
      </c>
      <c r="N3184" s="6">
        <v>5.8999999999999997E-2</v>
      </c>
      <c r="O3184" s="5">
        <v>30.690999999999999</v>
      </c>
      <c r="P3184" s="6">
        <v>9.4000000000000004E-3</v>
      </c>
      <c r="Q3184" s="5">
        <v>7926470.9639999997</v>
      </c>
      <c r="R3184" s="1" t="s">
        <v>44</v>
      </c>
      <c r="S3184" s="1" t="s">
        <v>94</v>
      </c>
      <c r="T3184" s="1" t="s">
        <v>71</v>
      </c>
      <c r="V3184" s="1" t="s">
        <v>3913</v>
      </c>
      <c r="Y3184" s="1" t="s">
        <v>1515</v>
      </c>
      <c r="Z3184" s="1" t="str">
        <f t="shared" si="147"/>
        <v>55690 2</v>
      </c>
      <c r="AA3184" s="3">
        <f>IF(INDEX('CAMD Facility Data 2023'!$AA$2:$AE$10000,MATCH(Z3184,'CAMD Facility Data 2023'!$AE$2:$AE$10000,0),1)&gt;0,INDEX('CAMD Facility Data 2023'!$AA$2:$AE$10000,MATCH(Z3184,'CAMD Facility Data 2023'!$AE$2:$AE$10000,0),1),"")</f>
        <v>37500</v>
      </c>
      <c r="AB3184" s="5">
        <f>IF(INDEX('CAMD Facility Data 2023'!$AC$2:$AE$10000,MATCH(Z3184,'CAMD Facility Data 2023'!$AE$2:$AE$10000,0),1)&gt;0,INDEX('CAMD Facility Data 2023'!$AC$2:$AE$10000,MATCH(Z3184,'CAMD Facility Data 2023'!$AE$2:$AE$10000,0),1),"")</f>
        <v>1690</v>
      </c>
      <c r="AC3184" s="1" t="str">
        <f>IF(INDEX('CAMD Facility Data 2023'!$AE$2:$AG$10000,MATCH(Z3184,'CAMD Facility Data 2023'!$AE$2:$AE$10000,0),3)&gt;0,INDEX('CAMD Facility Data 2023'!$AE$2:$AG$10000,MATCH(Z3184,'CAMD Facility Data 2023'!$AE$2:$AE$10000,0),3),"")</f>
        <v>Y</v>
      </c>
      <c r="AD3184" s="20">
        <f t="shared" si="148"/>
        <v>6.211801775699733E-2</v>
      </c>
      <c r="AE3184" s="25">
        <f t="shared" si="149"/>
        <v>0.53541318553943418</v>
      </c>
    </row>
    <row r="3185" spans="1:31" x14ac:dyDescent="0.2">
      <c r="A3185" s="1" t="s">
        <v>2584</v>
      </c>
      <c r="B3185" s="1" t="s">
        <v>7128</v>
      </c>
      <c r="C3185" s="1">
        <v>55690</v>
      </c>
      <c r="D3185" s="1">
        <v>3</v>
      </c>
      <c r="F3185" s="1">
        <v>2023</v>
      </c>
      <c r="G3185" s="5">
        <v>7160</v>
      </c>
      <c r="H3185" s="5">
        <v>7025</v>
      </c>
      <c r="I3185" s="5">
        <v>1022988.38</v>
      </c>
      <c r="K3185" s="5">
        <v>2.4860000000000002</v>
      </c>
      <c r="L3185" s="5">
        <v>1E-3</v>
      </c>
      <c r="M3185" s="5">
        <v>492435.31599999999</v>
      </c>
      <c r="N3185" s="6">
        <v>5.8999999999999997E-2</v>
      </c>
      <c r="O3185" s="5">
        <v>27.381</v>
      </c>
      <c r="P3185" s="6">
        <v>7.7000000000000002E-3</v>
      </c>
      <c r="Q3185" s="5">
        <v>8286007.3700000001</v>
      </c>
      <c r="R3185" s="1" t="s">
        <v>44</v>
      </c>
      <c r="S3185" s="1" t="s">
        <v>94</v>
      </c>
      <c r="T3185" s="1" t="s">
        <v>71</v>
      </c>
      <c r="V3185" s="1" t="s">
        <v>3913</v>
      </c>
      <c r="Y3185" s="1" t="s">
        <v>1515</v>
      </c>
      <c r="Z3185" s="1" t="str">
        <f t="shared" si="147"/>
        <v>55690 3</v>
      </c>
      <c r="AA3185" s="3">
        <f>IF(INDEX('CAMD Facility Data 2023'!$AA$2:$AE$10000,MATCH(Z3185,'CAMD Facility Data 2023'!$AE$2:$AE$10000,0),1)&gt;0,INDEX('CAMD Facility Data 2023'!$AA$2:$AE$10000,MATCH(Z3185,'CAMD Facility Data 2023'!$AE$2:$AE$10000,0),1),"")</f>
        <v>37530</v>
      </c>
      <c r="AB3185" s="5">
        <f>IF(INDEX('CAMD Facility Data 2023'!$AC$2:$AE$10000,MATCH(Z3185,'CAMD Facility Data 2023'!$AE$2:$AE$10000,0),1)&gt;0,INDEX('CAMD Facility Data 2023'!$AC$2:$AE$10000,MATCH(Z3185,'CAMD Facility Data 2023'!$AE$2:$AE$10000,0),1),"")</f>
        <v>1690</v>
      </c>
      <c r="AC3185" s="1" t="str">
        <f>IF(INDEX('CAMD Facility Data 2023'!$AE$2:$AG$10000,MATCH(Z3185,'CAMD Facility Data 2023'!$AE$2:$AE$10000,0),3)&gt;0,INDEX('CAMD Facility Data 2023'!$AE$2:$AG$10000,MATCH(Z3185,'CAMD Facility Data 2023'!$AE$2:$AE$10000,0),3),"")</f>
        <v>Y</v>
      </c>
      <c r="AD3185" s="20">
        <f t="shared" si="148"/>
        <v>5.3531399838578811E-2</v>
      </c>
      <c r="AE3185" s="25">
        <f t="shared" si="149"/>
        <v>0.55969896584799117</v>
      </c>
    </row>
    <row r="3186" spans="1:31" x14ac:dyDescent="0.2">
      <c r="A3186" s="1" t="s">
        <v>2584</v>
      </c>
      <c r="B3186" s="1" t="s">
        <v>7128</v>
      </c>
      <c r="C3186" s="1">
        <v>55690</v>
      </c>
      <c r="D3186" s="1">
        <v>5</v>
      </c>
      <c r="F3186" s="1">
        <v>2023</v>
      </c>
      <c r="G3186" s="5">
        <v>6959</v>
      </c>
      <c r="H3186" s="5">
        <v>6868.62</v>
      </c>
      <c r="I3186" s="5">
        <v>1019691.33</v>
      </c>
      <c r="K3186" s="5">
        <v>2.3130000000000002</v>
      </c>
      <c r="L3186" s="5">
        <v>1E-3</v>
      </c>
      <c r="M3186" s="5">
        <v>458203.94199999998</v>
      </c>
      <c r="N3186" s="6">
        <v>5.8999999999999997E-2</v>
      </c>
      <c r="O3186" s="5">
        <v>17.164999999999999</v>
      </c>
      <c r="P3186" s="6">
        <v>5.3E-3</v>
      </c>
      <c r="Q3186" s="5">
        <v>7708555.102</v>
      </c>
      <c r="R3186" s="1" t="s">
        <v>44</v>
      </c>
      <c r="S3186" s="1" t="s">
        <v>94</v>
      </c>
      <c r="T3186" s="1" t="s">
        <v>71</v>
      </c>
      <c r="V3186" s="1" t="s">
        <v>3913</v>
      </c>
      <c r="Y3186" s="1" t="s">
        <v>1515</v>
      </c>
      <c r="Z3186" s="1" t="str">
        <f t="shared" si="147"/>
        <v>55690 5</v>
      </c>
      <c r="AA3186" s="3">
        <f>IF(INDEX('CAMD Facility Data 2023'!$AA$2:$AE$10000,MATCH(Z3186,'CAMD Facility Data 2023'!$AE$2:$AE$10000,0),1)&gt;0,INDEX('CAMD Facility Data 2023'!$AA$2:$AE$10000,MATCH(Z3186,'CAMD Facility Data 2023'!$AE$2:$AE$10000,0),1),"")</f>
        <v>37561</v>
      </c>
      <c r="AB3186" s="5">
        <f>IF(INDEX('CAMD Facility Data 2023'!$AC$2:$AE$10000,MATCH(Z3186,'CAMD Facility Data 2023'!$AE$2:$AE$10000,0),1)&gt;0,INDEX('CAMD Facility Data 2023'!$AC$2:$AE$10000,MATCH(Z3186,'CAMD Facility Data 2023'!$AE$2:$AE$10000,0),1),"")</f>
        <v>2047</v>
      </c>
      <c r="AC3186" s="1" t="str">
        <f>IF(INDEX('CAMD Facility Data 2023'!$AE$2:$AG$10000,MATCH(Z3186,'CAMD Facility Data 2023'!$AE$2:$AE$10000,0),3)&gt;0,INDEX('CAMD Facility Data 2023'!$AE$2:$AG$10000,MATCH(Z3186,'CAMD Facility Data 2023'!$AE$2:$AE$10000,0),3),"")</f>
        <v>Y</v>
      </c>
      <c r="AD3186" s="20">
        <f t="shared" si="148"/>
        <v>3.3667050988851699E-2</v>
      </c>
      <c r="AE3186" s="25">
        <f t="shared" si="149"/>
        <v>0.42988375359418951</v>
      </c>
    </row>
    <row r="3187" spans="1:31" x14ac:dyDescent="0.2">
      <c r="A3187" s="1" t="s">
        <v>2584</v>
      </c>
      <c r="B3187" s="1" t="s">
        <v>7128</v>
      </c>
      <c r="C3187" s="1">
        <v>55690</v>
      </c>
      <c r="D3187" s="1">
        <v>6</v>
      </c>
      <c r="F3187" s="1">
        <v>2023</v>
      </c>
      <c r="G3187" s="5">
        <v>7390</v>
      </c>
      <c r="H3187" s="5">
        <v>7321.43</v>
      </c>
      <c r="I3187" s="5">
        <v>1074470.18</v>
      </c>
      <c r="K3187" s="5">
        <v>2.468</v>
      </c>
      <c r="L3187" s="5">
        <v>1E-3</v>
      </c>
      <c r="M3187" s="5">
        <v>488954.10700000002</v>
      </c>
      <c r="N3187" s="6">
        <v>5.8999999999999997E-2</v>
      </c>
      <c r="O3187" s="5">
        <v>18.256</v>
      </c>
      <c r="P3187" s="6">
        <v>4.8999999999999998E-3</v>
      </c>
      <c r="Q3187" s="5">
        <v>8227432.284</v>
      </c>
      <c r="R3187" s="1" t="s">
        <v>44</v>
      </c>
      <c r="S3187" s="1" t="s">
        <v>94</v>
      </c>
      <c r="T3187" s="1" t="s">
        <v>71</v>
      </c>
      <c r="V3187" s="1" t="s">
        <v>3913</v>
      </c>
      <c r="Y3187" s="1" t="s">
        <v>1515</v>
      </c>
      <c r="Z3187" s="1" t="str">
        <f t="shared" si="147"/>
        <v>55690 6</v>
      </c>
      <c r="AA3187" s="3">
        <f>IF(INDEX('CAMD Facility Data 2023'!$AA$2:$AE$10000,MATCH(Z3187,'CAMD Facility Data 2023'!$AE$2:$AE$10000,0),1)&gt;0,INDEX('CAMD Facility Data 2023'!$AA$2:$AE$10000,MATCH(Z3187,'CAMD Facility Data 2023'!$AE$2:$AE$10000,0),1),"")</f>
        <v>37591</v>
      </c>
      <c r="AB3187" s="5">
        <f>IF(INDEX('CAMD Facility Data 2023'!$AC$2:$AE$10000,MATCH(Z3187,'CAMD Facility Data 2023'!$AE$2:$AE$10000,0),1)&gt;0,INDEX('CAMD Facility Data 2023'!$AC$2:$AE$10000,MATCH(Z3187,'CAMD Facility Data 2023'!$AE$2:$AE$10000,0),1),"")</f>
        <v>1690</v>
      </c>
      <c r="AC3187" s="1" t="str">
        <f>IF(INDEX('CAMD Facility Data 2023'!$AE$2:$AG$10000,MATCH(Z3187,'CAMD Facility Data 2023'!$AE$2:$AE$10000,0),3)&gt;0,INDEX('CAMD Facility Data 2023'!$AE$2:$AG$10000,MATCH(Z3187,'CAMD Facility Data 2023'!$AE$2:$AE$10000,0),3),"")</f>
        <v>Y</v>
      </c>
      <c r="AD3187" s="20">
        <f t="shared" si="148"/>
        <v>3.3981399092899912E-2</v>
      </c>
      <c r="AE3187" s="25">
        <f t="shared" si="149"/>
        <v>0.55574236605333549</v>
      </c>
    </row>
    <row r="3188" spans="1:31" x14ac:dyDescent="0.2">
      <c r="A3188" s="1" t="s">
        <v>2584</v>
      </c>
      <c r="B3188" s="1" t="s">
        <v>7128</v>
      </c>
      <c r="C3188" s="1">
        <v>55690</v>
      </c>
      <c r="D3188" s="1">
        <v>7</v>
      </c>
      <c r="F3188" s="1">
        <v>2023</v>
      </c>
      <c r="G3188" s="5">
        <v>7456</v>
      </c>
      <c r="H3188" s="5">
        <v>7359.3</v>
      </c>
      <c r="I3188" s="5">
        <v>1119561.8500000001</v>
      </c>
      <c r="K3188" s="5">
        <v>2.621</v>
      </c>
      <c r="L3188" s="5">
        <v>1E-3</v>
      </c>
      <c r="M3188" s="5">
        <v>519265.92599999998</v>
      </c>
      <c r="N3188" s="6">
        <v>5.8999999999999997E-2</v>
      </c>
      <c r="O3188" s="5">
        <v>17.344000000000001</v>
      </c>
      <c r="P3188" s="6">
        <v>4.4999999999999997E-3</v>
      </c>
      <c r="Q3188" s="5">
        <v>8737548.2060000002</v>
      </c>
      <c r="R3188" s="1" t="s">
        <v>44</v>
      </c>
      <c r="S3188" s="1" t="s">
        <v>94</v>
      </c>
      <c r="T3188" s="1" t="s">
        <v>71</v>
      </c>
      <c r="V3188" s="1" t="s">
        <v>3913</v>
      </c>
      <c r="Y3188" s="1" t="s">
        <v>1515</v>
      </c>
      <c r="Z3188" s="1" t="str">
        <f t="shared" si="147"/>
        <v>55690 7</v>
      </c>
      <c r="AA3188" s="3">
        <f>IF(INDEX('CAMD Facility Data 2023'!$AA$2:$AE$10000,MATCH(Z3188,'CAMD Facility Data 2023'!$AE$2:$AE$10000,0),1)&gt;0,INDEX('CAMD Facility Data 2023'!$AA$2:$AE$10000,MATCH(Z3188,'CAMD Facility Data 2023'!$AE$2:$AE$10000,0),1),"")</f>
        <v>37622</v>
      </c>
      <c r="AB3188" s="5">
        <f>IF(INDEX('CAMD Facility Data 2023'!$AC$2:$AE$10000,MATCH(Z3188,'CAMD Facility Data 2023'!$AE$2:$AE$10000,0),1)&gt;0,INDEX('CAMD Facility Data 2023'!$AC$2:$AE$10000,MATCH(Z3188,'CAMD Facility Data 2023'!$AE$2:$AE$10000,0),1),"")</f>
        <v>1690</v>
      </c>
      <c r="AC3188" s="1" t="str">
        <f>IF(INDEX('CAMD Facility Data 2023'!$AE$2:$AG$10000,MATCH(Z3188,'CAMD Facility Data 2023'!$AE$2:$AE$10000,0),3)&gt;0,INDEX('CAMD Facility Data 2023'!$AE$2:$AG$10000,MATCH(Z3188,'CAMD Facility Data 2023'!$AE$2:$AE$10000,0),3),"")</f>
        <v>Y</v>
      </c>
      <c r="AD3188" s="20">
        <f t="shared" si="148"/>
        <v>3.0983549501977042E-2</v>
      </c>
      <c r="AE3188" s="25">
        <f t="shared" si="149"/>
        <v>0.5901994140931075</v>
      </c>
    </row>
    <row r="3189" spans="1:31" x14ac:dyDescent="0.2">
      <c r="A3189" s="1" t="s">
        <v>1732</v>
      </c>
      <c r="B3189" s="1" t="s">
        <v>7136</v>
      </c>
      <c r="C3189" s="1">
        <v>55694</v>
      </c>
      <c r="D3189" s="1" t="s">
        <v>5546</v>
      </c>
      <c r="F3189" s="1">
        <v>2023</v>
      </c>
      <c r="G3189" s="5">
        <v>4553</v>
      </c>
      <c r="H3189" s="5">
        <v>4536.0600000000004</v>
      </c>
      <c r="I3189" s="5">
        <v>1163450.69</v>
      </c>
      <c r="K3189" s="5">
        <v>2.5739999999999998</v>
      </c>
      <c r="L3189" s="5">
        <v>1E-3</v>
      </c>
      <c r="M3189" s="5">
        <v>509933.65700000001</v>
      </c>
      <c r="N3189" s="6">
        <v>5.8999999999999997E-2</v>
      </c>
      <c r="O3189" s="5">
        <v>47.981999999999999</v>
      </c>
      <c r="P3189" s="6">
        <v>1.23E-2</v>
      </c>
      <c r="Q3189" s="5">
        <v>8580591.6160000004</v>
      </c>
      <c r="R3189" s="1" t="s">
        <v>44</v>
      </c>
      <c r="T3189" s="1" t="s">
        <v>71</v>
      </c>
      <c r="V3189" s="1" t="s">
        <v>64</v>
      </c>
      <c r="Y3189" s="1" t="s">
        <v>346</v>
      </c>
      <c r="Z3189" s="1" t="str">
        <f t="shared" si="147"/>
        <v>55694 AA-001</v>
      </c>
      <c r="AA3189" s="3">
        <f>IF(INDEX('CAMD Facility Data 2023'!$AA$2:$AE$10000,MATCH(Z3189,'CAMD Facility Data 2023'!$AE$2:$AE$10000,0),1)&gt;0,INDEX('CAMD Facility Data 2023'!$AA$2:$AE$10000,MATCH(Z3189,'CAMD Facility Data 2023'!$AE$2:$AE$10000,0),1),"")</f>
        <v>38877</v>
      </c>
      <c r="AB3189" s="5">
        <f>IF(INDEX('CAMD Facility Data 2023'!$AC$2:$AE$10000,MATCH(Z3189,'CAMD Facility Data 2023'!$AE$2:$AE$10000,0),1)&gt;0,INDEX('CAMD Facility Data 2023'!$AC$2:$AE$10000,MATCH(Z3189,'CAMD Facility Data 2023'!$AE$2:$AE$10000,0),1),"")</f>
        <v>2957</v>
      </c>
      <c r="AC3189" s="1" t="str">
        <f>IF(INDEX('CAMD Facility Data 2023'!$AE$2:$AG$10000,MATCH(Z3189,'CAMD Facility Data 2023'!$AE$2:$AE$10000,0),3)&gt;0,INDEX('CAMD Facility Data 2023'!$AE$2:$AG$10000,MATCH(Z3189,'CAMD Facility Data 2023'!$AE$2:$AE$10000,0),3),"")</f>
        <v>Y</v>
      </c>
      <c r="AD3189" s="20">
        <f t="shared" si="148"/>
        <v>8.2482223634247884E-2</v>
      </c>
      <c r="AE3189" s="25">
        <f t="shared" si="149"/>
        <v>0.3312545116224484</v>
      </c>
    </row>
    <row r="3190" spans="1:31" x14ac:dyDescent="0.2">
      <c r="A3190" s="1" t="s">
        <v>1732</v>
      </c>
      <c r="B3190" s="1" t="s">
        <v>7136</v>
      </c>
      <c r="C3190" s="1">
        <v>55694</v>
      </c>
      <c r="D3190" s="1" t="s">
        <v>5548</v>
      </c>
      <c r="F3190" s="1">
        <v>2023</v>
      </c>
      <c r="G3190" s="5">
        <v>4492</v>
      </c>
      <c r="H3190" s="5">
        <v>4478.8100000000004</v>
      </c>
      <c r="I3190" s="5">
        <v>1153288.75</v>
      </c>
      <c r="K3190" s="5">
        <v>2.5819999999999999</v>
      </c>
      <c r="L3190" s="5">
        <v>1E-3</v>
      </c>
      <c r="M3190" s="5">
        <v>511366.10499999998</v>
      </c>
      <c r="N3190" s="6">
        <v>5.8999999999999997E-2</v>
      </c>
      <c r="O3190" s="5">
        <v>48.165999999999997</v>
      </c>
      <c r="P3190" s="6">
        <v>1.1900000000000001E-2</v>
      </c>
      <c r="Q3190" s="5">
        <v>8604696.8200000003</v>
      </c>
      <c r="R3190" s="1" t="s">
        <v>44</v>
      </c>
      <c r="T3190" s="1" t="s">
        <v>71</v>
      </c>
      <c r="V3190" s="1" t="s">
        <v>64</v>
      </c>
      <c r="Y3190" s="1" t="s">
        <v>346</v>
      </c>
      <c r="Z3190" s="1" t="str">
        <f t="shared" si="147"/>
        <v>55694 AA-002</v>
      </c>
      <c r="AA3190" s="3">
        <f>IF(INDEX('CAMD Facility Data 2023'!$AA$2:$AE$10000,MATCH(Z3190,'CAMD Facility Data 2023'!$AE$2:$AE$10000,0),1)&gt;0,INDEX('CAMD Facility Data 2023'!$AA$2:$AE$10000,MATCH(Z3190,'CAMD Facility Data 2023'!$AE$2:$AE$10000,0),1),"")</f>
        <v>39023</v>
      </c>
      <c r="AB3190" s="5">
        <f>IF(INDEX('CAMD Facility Data 2023'!$AC$2:$AE$10000,MATCH(Z3190,'CAMD Facility Data 2023'!$AE$2:$AE$10000,0),1)&gt;0,INDEX('CAMD Facility Data 2023'!$AC$2:$AE$10000,MATCH(Z3190,'CAMD Facility Data 2023'!$AE$2:$AE$10000,0),1),"")</f>
        <v>2957</v>
      </c>
      <c r="AC3190" s="1" t="str">
        <f>IF(INDEX('CAMD Facility Data 2023'!$AE$2:$AG$10000,MATCH(Z3190,'CAMD Facility Data 2023'!$AE$2:$AE$10000,0),3)&gt;0,INDEX('CAMD Facility Data 2023'!$AE$2:$AG$10000,MATCH(Z3190,'CAMD Facility Data 2023'!$AE$2:$AE$10000,0),3),"")</f>
        <v>Y</v>
      </c>
      <c r="AD3190" s="20">
        <f t="shared" si="148"/>
        <v>8.3528084358752308E-2</v>
      </c>
      <c r="AE3190" s="25">
        <f t="shared" si="149"/>
        <v>0.33218509519243095</v>
      </c>
    </row>
    <row r="3191" spans="1:31" x14ac:dyDescent="0.2">
      <c r="A3191" s="1" t="s">
        <v>370</v>
      </c>
      <c r="B3191" s="1" t="s">
        <v>7139</v>
      </c>
      <c r="C3191" s="1">
        <v>55698</v>
      </c>
      <c r="D3191" s="1" t="s">
        <v>7140</v>
      </c>
      <c r="F3191" s="1">
        <v>2023</v>
      </c>
      <c r="G3191" s="5">
        <v>101</v>
      </c>
      <c r="H3191" s="5">
        <v>74.38</v>
      </c>
      <c r="I3191" s="5">
        <v>2092.73</v>
      </c>
      <c r="K3191" s="5">
        <v>6.0000000000000001E-3</v>
      </c>
      <c r="L3191" s="5">
        <v>1E-3</v>
      </c>
      <c r="M3191" s="5">
        <v>1257.8330000000001</v>
      </c>
      <c r="N3191" s="6">
        <v>5.9299999999999999E-2</v>
      </c>
      <c r="O3191" s="5">
        <v>0.193</v>
      </c>
      <c r="P3191" s="6">
        <v>2.41E-2</v>
      </c>
      <c r="Q3191" s="5">
        <v>21166.904999999999</v>
      </c>
      <c r="R3191" s="1" t="s">
        <v>44</v>
      </c>
      <c r="T3191" s="1" t="s">
        <v>93</v>
      </c>
      <c r="V3191" s="1" t="s">
        <v>176</v>
      </c>
      <c r="Y3191" s="1" t="s">
        <v>247</v>
      </c>
      <c r="Z3191" s="1" t="str">
        <f t="shared" si="147"/>
        <v>55698 HEP1</v>
      </c>
      <c r="AA3191" s="3">
        <f>IF(INDEX('CAMD Facility Data 2023'!$AA$2:$AE$10000,MATCH(Z3191,'CAMD Facility Data 2023'!$AE$2:$AE$10000,0),1)&gt;0,INDEX('CAMD Facility Data 2023'!$AA$2:$AE$10000,MATCH(Z3191,'CAMD Facility Data 2023'!$AE$2:$AE$10000,0),1),"")</f>
        <v>37135</v>
      </c>
      <c r="AB3191" s="5">
        <f>IF(INDEX('CAMD Facility Data 2023'!$AC$2:$AE$10000,MATCH(Z3191,'CAMD Facility Data 2023'!$AE$2:$AE$10000,0),1)&gt;0,INDEX('CAMD Facility Data 2023'!$AC$2:$AE$10000,MATCH(Z3191,'CAMD Facility Data 2023'!$AE$2:$AE$10000,0),1),"")</f>
        <v>540</v>
      </c>
      <c r="AC3191" s="1" t="str">
        <f>IF(INDEX('CAMD Facility Data 2023'!$AE$2:$AG$10000,MATCH(Z3191,'CAMD Facility Data 2023'!$AE$2:$AE$10000,0),3)&gt;0,INDEX('CAMD Facility Data 2023'!$AE$2:$AG$10000,MATCH(Z3191,'CAMD Facility Data 2023'!$AE$2:$AE$10000,0),3),"")</f>
        <v>Y</v>
      </c>
      <c r="AD3191" s="20">
        <f t="shared" si="148"/>
        <v>0.1844480654456141</v>
      </c>
      <c r="AE3191" s="25">
        <f t="shared" si="149"/>
        <v>4.4746543632673769E-3</v>
      </c>
    </row>
    <row r="3192" spans="1:31" x14ac:dyDescent="0.2">
      <c r="A3192" s="1" t="s">
        <v>370</v>
      </c>
      <c r="B3192" s="1" t="s">
        <v>7139</v>
      </c>
      <c r="C3192" s="1">
        <v>55698</v>
      </c>
      <c r="D3192" s="1" t="s">
        <v>7144</v>
      </c>
      <c r="F3192" s="1">
        <v>2023</v>
      </c>
      <c r="G3192" s="5">
        <v>99</v>
      </c>
      <c r="H3192" s="5">
        <v>74.67</v>
      </c>
      <c r="I3192" s="5">
        <v>2109.6799999999998</v>
      </c>
      <c r="K3192" s="5">
        <v>6.0000000000000001E-3</v>
      </c>
      <c r="L3192" s="5">
        <v>1E-3</v>
      </c>
      <c r="M3192" s="5">
        <v>1278.1110000000001</v>
      </c>
      <c r="N3192" s="6">
        <v>5.9200000000000003E-2</v>
      </c>
      <c r="O3192" s="5">
        <v>0.185</v>
      </c>
      <c r="P3192" s="6">
        <v>2.1299999999999999E-2</v>
      </c>
      <c r="Q3192" s="5">
        <v>21508.892</v>
      </c>
      <c r="R3192" s="1" t="s">
        <v>44</v>
      </c>
      <c r="T3192" s="1" t="s">
        <v>93</v>
      </c>
      <c r="V3192" s="1" t="s">
        <v>176</v>
      </c>
      <c r="Y3192" s="1" t="s">
        <v>247</v>
      </c>
      <c r="Z3192" s="1" t="str">
        <f t="shared" si="147"/>
        <v>55698 HEP2</v>
      </c>
      <c r="AA3192" s="3">
        <f>IF(INDEX('CAMD Facility Data 2023'!$AA$2:$AE$10000,MATCH(Z3192,'CAMD Facility Data 2023'!$AE$2:$AE$10000,0),1)&gt;0,INDEX('CAMD Facility Data 2023'!$AA$2:$AE$10000,MATCH(Z3192,'CAMD Facility Data 2023'!$AE$2:$AE$10000,0),1),"")</f>
        <v>37135</v>
      </c>
      <c r="AB3192" s="5">
        <f>IF(INDEX('CAMD Facility Data 2023'!$AC$2:$AE$10000,MATCH(Z3192,'CAMD Facility Data 2023'!$AE$2:$AE$10000,0),1)&gt;0,INDEX('CAMD Facility Data 2023'!$AC$2:$AE$10000,MATCH(Z3192,'CAMD Facility Data 2023'!$AE$2:$AE$10000,0),1),"")</f>
        <v>540</v>
      </c>
      <c r="AC3192" s="1" t="str">
        <f>IF(INDEX('CAMD Facility Data 2023'!$AE$2:$AG$10000,MATCH(Z3192,'CAMD Facility Data 2023'!$AE$2:$AE$10000,0),3)&gt;0,INDEX('CAMD Facility Data 2023'!$AE$2:$AG$10000,MATCH(Z3192,'CAMD Facility Data 2023'!$AE$2:$AE$10000,0),3),"")</f>
        <v>Y</v>
      </c>
      <c r="AD3192" s="20">
        <f t="shared" si="148"/>
        <v>0.17538204846232605</v>
      </c>
      <c r="AE3192" s="25">
        <f t="shared" si="149"/>
        <v>4.5469499408083884E-3</v>
      </c>
    </row>
    <row r="3193" spans="1:31" x14ac:dyDescent="0.2">
      <c r="A3193" s="1" t="s">
        <v>2089</v>
      </c>
      <c r="B3193" s="1" t="s">
        <v>7146</v>
      </c>
      <c r="C3193" s="1">
        <v>55699</v>
      </c>
      <c r="D3193" s="1">
        <v>1</v>
      </c>
      <c r="F3193" s="1">
        <v>2023</v>
      </c>
      <c r="G3193" s="5">
        <v>2346</v>
      </c>
      <c r="H3193" s="5">
        <v>1950.99</v>
      </c>
      <c r="I3193" s="5">
        <v>69096.84</v>
      </c>
      <c r="K3193" s="5">
        <v>0.23100000000000001</v>
      </c>
      <c r="L3193" s="5">
        <v>1E-3</v>
      </c>
      <c r="M3193" s="5">
        <v>45802.451999999997</v>
      </c>
      <c r="N3193" s="6">
        <v>5.9299999999999999E-2</v>
      </c>
      <c r="O3193" s="5">
        <v>4.1580000000000004</v>
      </c>
      <c r="P3193" s="6">
        <v>1.41E-2</v>
      </c>
      <c r="Q3193" s="5">
        <v>770577.94900000002</v>
      </c>
      <c r="R3193" s="1" t="s">
        <v>44</v>
      </c>
      <c r="T3193" s="1" t="s">
        <v>93</v>
      </c>
      <c r="V3193" s="1" t="s">
        <v>611</v>
      </c>
      <c r="Y3193" s="1" t="s">
        <v>1515</v>
      </c>
      <c r="Z3193" s="1" t="str">
        <f t="shared" si="147"/>
        <v>55699 1</v>
      </c>
      <c r="AA3193" s="3">
        <f>IF(INDEX('CAMD Facility Data 2023'!$AA$2:$AE$10000,MATCH(Z3193,'CAMD Facility Data 2023'!$AE$2:$AE$10000,0),1)&gt;0,INDEX('CAMD Facility Data 2023'!$AA$2:$AE$10000,MATCH(Z3193,'CAMD Facility Data 2023'!$AE$2:$AE$10000,0),1),"")</f>
        <v>37438</v>
      </c>
      <c r="AB3193" s="5">
        <f>IF(INDEX('CAMD Facility Data 2023'!$AC$2:$AE$10000,MATCH(Z3193,'CAMD Facility Data 2023'!$AE$2:$AE$10000,0),1)&gt;0,INDEX('CAMD Facility Data 2023'!$AC$2:$AE$10000,MATCH(Z3193,'CAMD Facility Data 2023'!$AE$2:$AE$10000,0),1),"")</f>
        <v>680</v>
      </c>
      <c r="AC3193" s="1" t="str">
        <f>IF(INDEX('CAMD Facility Data 2023'!$AE$2:$AG$10000,MATCH(Z3193,'CAMD Facility Data 2023'!$AE$2:$AE$10000,0),3)&gt;0,INDEX('CAMD Facility Data 2023'!$AE$2:$AG$10000,MATCH(Z3193,'CAMD Facility Data 2023'!$AE$2:$AE$10000,0),3),"")</f>
        <v>Y</v>
      </c>
      <c r="AD3193" s="20">
        <f t="shared" si="148"/>
        <v>0.12035282655473102</v>
      </c>
      <c r="AE3193" s="25">
        <f t="shared" si="149"/>
        <v>0.12936105778270213</v>
      </c>
    </row>
    <row r="3194" spans="1:31" x14ac:dyDescent="0.2">
      <c r="A3194" s="1" t="s">
        <v>2089</v>
      </c>
      <c r="B3194" s="1" t="s">
        <v>7146</v>
      </c>
      <c r="C3194" s="1">
        <v>55699</v>
      </c>
      <c r="D3194" s="1">
        <v>2</v>
      </c>
      <c r="F3194" s="1">
        <v>2023</v>
      </c>
      <c r="G3194" s="5">
        <v>1362</v>
      </c>
      <c r="H3194" s="5">
        <v>1064.81</v>
      </c>
      <c r="I3194" s="5">
        <v>54438.55</v>
      </c>
      <c r="K3194" s="5">
        <v>0.20399999999999999</v>
      </c>
      <c r="L3194" s="5">
        <v>2.5000000000000001E-3</v>
      </c>
      <c r="M3194" s="5">
        <v>37355.998</v>
      </c>
      <c r="N3194" s="6">
        <v>6.2899999999999998E-2</v>
      </c>
      <c r="O3194" s="5">
        <v>4.0999999999999996</v>
      </c>
      <c r="P3194" s="6">
        <v>2.0400000000000001E-2</v>
      </c>
      <c r="Q3194" s="5">
        <v>593639.24</v>
      </c>
      <c r="R3194" s="1" t="s">
        <v>94</v>
      </c>
      <c r="S3194" s="1" t="s">
        <v>44</v>
      </c>
      <c r="T3194" s="1" t="s">
        <v>93</v>
      </c>
      <c r="V3194" s="1" t="s">
        <v>176</v>
      </c>
      <c r="Y3194" s="1" t="s">
        <v>1515</v>
      </c>
      <c r="Z3194" s="1" t="str">
        <f t="shared" si="147"/>
        <v>55699 2</v>
      </c>
      <c r="AA3194" s="3">
        <f>IF(INDEX('CAMD Facility Data 2023'!$AA$2:$AE$10000,MATCH(Z3194,'CAMD Facility Data 2023'!$AE$2:$AE$10000,0),1)&gt;0,INDEX('CAMD Facility Data 2023'!$AA$2:$AE$10000,MATCH(Z3194,'CAMD Facility Data 2023'!$AE$2:$AE$10000,0),1),"")</f>
        <v>37804</v>
      </c>
      <c r="AB3194" s="5">
        <f>IF(INDEX('CAMD Facility Data 2023'!$AC$2:$AE$10000,MATCH(Z3194,'CAMD Facility Data 2023'!$AE$2:$AE$10000,0),1)&gt;0,INDEX('CAMD Facility Data 2023'!$AC$2:$AE$10000,MATCH(Z3194,'CAMD Facility Data 2023'!$AE$2:$AE$10000,0),1),"")</f>
        <v>680</v>
      </c>
      <c r="AC3194" s="1" t="str">
        <f>IF(INDEX('CAMD Facility Data 2023'!$AE$2:$AG$10000,MATCH(Z3194,'CAMD Facility Data 2023'!$AE$2:$AE$10000,0),3)&gt;0,INDEX('CAMD Facility Data 2023'!$AE$2:$AG$10000,MATCH(Z3194,'CAMD Facility Data 2023'!$AE$2:$AE$10000,0),3),"")</f>
        <v>Y</v>
      </c>
      <c r="AD3194" s="20">
        <f t="shared" si="148"/>
        <v>0.15062855274433282</v>
      </c>
      <c r="AE3194" s="25">
        <f t="shared" si="149"/>
        <v>9.9657406661294648E-2</v>
      </c>
    </row>
    <row r="3195" spans="1:31" x14ac:dyDescent="0.2">
      <c r="A3195" s="1" t="s">
        <v>690</v>
      </c>
      <c r="B3195" s="1" t="s">
        <v>7150</v>
      </c>
      <c r="C3195" s="1">
        <v>55700</v>
      </c>
      <c r="D3195" s="1" t="s">
        <v>1129</v>
      </c>
      <c r="F3195" s="1">
        <v>2023</v>
      </c>
      <c r="G3195" s="5">
        <v>7046</v>
      </c>
      <c r="H3195" s="5">
        <v>7037.66</v>
      </c>
      <c r="I3195" s="5">
        <v>2050113.31</v>
      </c>
      <c r="K3195" s="5">
        <v>9.5960000000000001</v>
      </c>
      <c r="L3195" s="5">
        <v>1E-3</v>
      </c>
      <c r="M3195" s="5">
        <v>879568.75199999998</v>
      </c>
      <c r="N3195" s="6">
        <v>5.8999999999999997E-2</v>
      </c>
      <c r="O3195" s="5">
        <v>59.869</v>
      </c>
      <c r="P3195" s="6">
        <v>8.5000000000000006E-3</v>
      </c>
      <c r="Q3195" s="5">
        <v>14800414.640000001</v>
      </c>
      <c r="R3195" s="1" t="s">
        <v>284</v>
      </c>
      <c r="T3195" s="1" t="s">
        <v>71</v>
      </c>
      <c r="V3195" s="1" t="s">
        <v>64</v>
      </c>
      <c r="Y3195" s="1" t="s">
        <v>247</v>
      </c>
      <c r="Z3195" s="1" t="str">
        <f t="shared" si="147"/>
        <v>55700 CTG1</v>
      </c>
      <c r="AA3195" s="3">
        <f>IF(INDEX('CAMD Facility Data 2023'!$AA$2:$AE$10000,MATCH(Z3195,'CAMD Facility Data 2023'!$AE$2:$AE$10000,0),1)&gt;0,INDEX('CAMD Facility Data 2023'!$AA$2:$AE$10000,MATCH(Z3195,'CAMD Facility Data 2023'!$AE$2:$AE$10000,0),1),"")</f>
        <v>39453</v>
      </c>
      <c r="AB3195" s="5">
        <f>IF(INDEX('CAMD Facility Data 2023'!$AC$2:$AE$10000,MATCH(Z3195,'CAMD Facility Data 2023'!$AE$2:$AE$10000,0),1)&gt;0,INDEX('CAMD Facility Data 2023'!$AC$2:$AE$10000,MATCH(Z3195,'CAMD Facility Data 2023'!$AE$2:$AE$10000,0),1),"")</f>
        <v>2735</v>
      </c>
      <c r="AC3195" s="1" t="str">
        <f>IF(INDEX('CAMD Facility Data 2023'!$AE$2:$AG$10000,MATCH(Z3195,'CAMD Facility Data 2023'!$AE$2:$AE$10000,0),3)&gt;0,INDEX('CAMD Facility Data 2023'!$AE$2:$AG$10000,MATCH(Z3195,'CAMD Facility Data 2023'!$AE$2:$AE$10000,0),3),"")</f>
        <v>Y</v>
      </c>
      <c r="AD3195" s="20">
        <f t="shared" si="148"/>
        <v>5.8405552227744913E-2</v>
      </c>
      <c r="AE3195" s="25">
        <f t="shared" si="149"/>
        <v>0.61774956132662173</v>
      </c>
    </row>
    <row r="3196" spans="1:31" x14ac:dyDescent="0.2">
      <c r="A3196" s="1" t="s">
        <v>2430</v>
      </c>
      <c r="B3196" s="1" t="s">
        <v>7154</v>
      </c>
      <c r="C3196" s="1">
        <v>55701</v>
      </c>
      <c r="D3196" s="1" t="s">
        <v>993</v>
      </c>
      <c r="F3196" s="1">
        <v>2023</v>
      </c>
      <c r="G3196" s="5">
        <v>6339</v>
      </c>
      <c r="H3196" s="5">
        <v>6303.42</v>
      </c>
      <c r="I3196" s="5">
        <v>1777286.71</v>
      </c>
      <c r="K3196" s="5">
        <v>3.6429999999999998</v>
      </c>
      <c r="L3196" s="5">
        <v>1E-3</v>
      </c>
      <c r="M3196" s="5">
        <v>721545.12100000004</v>
      </c>
      <c r="N3196" s="6">
        <v>5.8999999999999997E-2</v>
      </c>
      <c r="O3196" s="5">
        <v>60.064999999999998</v>
      </c>
      <c r="P3196" s="6">
        <v>1.09E-2</v>
      </c>
      <c r="Q3196" s="5">
        <v>12141306.134</v>
      </c>
      <c r="R3196" s="1" t="s">
        <v>44</v>
      </c>
      <c r="T3196" s="1" t="s">
        <v>71</v>
      </c>
      <c r="V3196" s="1" t="s">
        <v>7157</v>
      </c>
      <c r="Y3196" s="1" t="s">
        <v>461</v>
      </c>
      <c r="Z3196" s="1" t="str">
        <f t="shared" si="147"/>
        <v>55701 CT01</v>
      </c>
      <c r="AA3196" s="3">
        <f>IF(INDEX('CAMD Facility Data 2023'!$AA$2:$AE$10000,MATCH(Z3196,'CAMD Facility Data 2023'!$AE$2:$AE$10000,0),1)&gt;0,INDEX('CAMD Facility Data 2023'!$AA$2:$AE$10000,MATCH(Z3196,'CAMD Facility Data 2023'!$AE$2:$AE$10000,0),1),"")</f>
        <v>40446</v>
      </c>
      <c r="AB3196" s="5">
        <f>IF(INDEX('CAMD Facility Data 2023'!$AC$2:$AE$10000,MATCH(Z3196,'CAMD Facility Data 2023'!$AE$2:$AE$10000,0),1)&gt;0,INDEX('CAMD Facility Data 2023'!$AC$2:$AE$10000,MATCH(Z3196,'CAMD Facility Data 2023'!$AE$2:$AE$10000,0),1),"")</f>
        <v>2990</v>
      </c>
      <c r="AC3196" s="1" t="str">
        <f>IF(INDEX('CAMD Facility Data 2023'!$AE$2:$AG$10000,MATCH(Z3196,'CAMD Facility Data 2023'!$AE$2:$AE$10000,0),3)&gt;0,INDEX('CAMD Facility Data 2023'!$AE$2:$AG$10000,MATCH(Z3196,'CAMD Facility Data 2023'!$AE$2:$AE$10000,0),3),"")</f>
        <v>Y</v>
      </c>
      <c r="AD3196" s="20">
        <f t="shared" si="148"/>
        <v>6.7591795585980607E-2</v>
      </c>
      <c r="AE3196" s="25">
        <f t="shared" si="149"/>
        <v>0.46354309395091703</v>
      </c>
    </row>
    <row r="3197" spans="1:31" x14ac:dyDescent="0.2">
      <c r="A3197" s="1" t="s">
        <v>2430</v>
      </c>
      <c r="B3197" s="1" t="s">
        <v>7154</v>
      </c>
      <c r="C3197" s="1">
        <v>55701</v>
      </c>
      <c r="D3197" s="1" t="s">
        <v>998</v>
      </c>
      <c r="F3197" s="1">
        <v>2023</v>
      </c>
      <c r="G3197" s="5">
        <v>6118</v>
      </c>
      <c r="H3197" s="5">
        <v>6080.12</v>
      </c>
      <c r="I3197" s="5">
        <v>1683732.47</v>
      </c>
      <c r="K3197" s="5">
        <v>3.4590000000000001</v>
      </c>
      <c r="L3197" s="5">
        <v>1E-3</v>
      </c>
      <c r="M3197" s="5">
        <v>685281.87899999996</v>
      </c>
      <c r="N3197" s="6">
        <v>5.8999999999999997E-2</v>
      </c>
      <c r="O3197" s="5">
        <v>57.719000000000001</v>
      </c>
      <c r="P3197" s="6">
        <v>1.1299999999999999E-2</v>
      </c>
      <c r="Q3197" s="5">
        <v>11531221.534</v>
      </c>
      <c r="R3197" s="1" t="s">
        <v>44</v>
      </c>
      <c r="T3197" s="1" t="s">
        <v>71</v>
      </c>
      <c r="V3197" s="1" t="s">
        <v>7157</v>
      </c>
      <c r="Y3197" s="1" t="s">
        <v>461</v>
      </c>
      <c r="Z3197" s="1" t="str">
        <f t="shared" si="147"/>
        <v>55701 CT02</v>
      </c>
      <c r="AA3197" s="3">
        <f>IF(INDEX('CAMD Facility Data 2023'!$AA$2:$AE$10000,MATCH(Z3197,'CAMD Facility Data 2023'!$AE$2:$AE$10000,0),1)&gt;0,INDEX('CAMD Facility Data 2023'!$AA$2:$AE$10000,MATCH(Z3197,'CAMD Facility Data 2023'!$AE$2:$AE$10000,0),1),"")</f>
        <v>40455</v>
      </c>
      <c r="AB3197" s="5">
        <f>IF(INDEX('CAMD Facility Data 2023'!$AC$2:$AE$10000,MATCH(Z3197,'CAMD Facility Data 2023'!$AE$2:$AE$10000,0),1)&gt;0,INDEX('CAMD Facility Data 2023'!$AC$2:$AE$10000,MATCH(Z3197,'CAMD Facility Data 2023'!$AE$2:$AE$10000,0),1),"")</f>
        <v>2990</v>
      </c>
      <c r="AC3197" s="1" t="str">
        <f>IF(INDEX('CAMD Facility Data 2023'!$AE$2:$AG$10000,MATCH(Z3197,'CAMD Facility Data 2023'!$AE$2:$AE$10000,0),3)&gt;0,INDEX('CAMD Facility Data 2023'!$AE$2:$AG$10000,MATCH(Z3197,'CAMD Facility Data 2023'!$AE$2:$AE$10000,0),3),"")</f>
        <v>Y</v>
      </c>
      <c r="AD3197" s="20">
        <f t="shared" si="148"/>
        <v>6.8560773196943814E-2</v>
      </c>
      <c r="AE3197" s="25">
        <f t="shared" si="149"/>
        <v>0.44025066561292586</v>
      </c>
    </row>
    <row r="3198" spans="1:31" x14ac:dyDescent="0.2">
      <c r="A3198" s="1" t="s">
        <v>1732</v>
      </c>
      <c r="B3198" s="1" t="s">
        <v>3840</v>
      </c>
      <c r="C3198" s="1">
        <v>55706</v>
      </c>
      <c r="D3198" s="1" t="s">
        <v>1129</v>
      </c>
      <c r="F3198" s="1">
        <v>2023</v>
      </c>
      <c r="G3198" s="5">
        <v>6586</v>
      </c>
      <c r="H3198" s="5">
        <v>6579.22</v>
      </c>
      <c r="I3198" s="5">
        <v>1754238.43</v>
      </c>
      <c r="K3198" s="5">
        <v>3.5659999999999998</v>
      </c>
      <c r="L3198" s="5">
        <v>1E-3</v>
      </c>
      <c r="M3198" s="5">
        <v>706284.18500000006</v>
      </c>
      <c r="N3198" s="6">
        <v>5.8999999999999997E-2</v>
      </c>
      <c r="O3198" s="5">
        <v>56.914999999999999</v>
      </c>
      <c r="P3198" s="6">
        <v>9.7999999999999997E-3</v>
      </c>
      <c r="Q3198" s="5">
        <v>11884589.356000001</v>
      </c>
      <c r="R3198" s="1" t="s">
        <v>44</v>
      </c>
      <c r="T3198" s="1" t="s">
        <v>71</v>
      </c>
      <c r="V3198" s="1" t="s">
        <v>64</v>
      </c>
      <c r="Y3198" s="1" t="s">
        <v>346</v>
      </c>
      <c r="Z3198" s="1" t="str">
        <f t="shared" si="147"/>
        <v>55706 CTG1</v>
      </c>
      <c r="AA3198" s="3">
        <f>IF(INDEX('CAMD Facility Data 2023'!$AA$2:$AE$10000,MATCH(Z3198,'CAMD Facility Data 2023'!$AE$2:$AE$10000,0),1)&gt;0,INDEX('CAMD Facility Data 2023'!$AA$2:$AE$10000,MATCH(Z3198,'CAMD Facility Data 2023'!$AE$2:$AE$10000,0),1),"")</f>
        <v>37777</v>
      </c>
      <c r="AB3198" s="5">
        <f>IF(INDEX('CAMD Facility Data 2023'!$AC$2:$AE$10000,MATCH(Z3198,'CAMD Facility Data 2023'!$AE$2:$AE$10000,0),1)&gt;0,INDEX('CAMD Facility Data 2023'!$AC$2:$AE$10000,MATCH(Z3198,'CAMD Facility Data 2023'!$AE$2:$AE$10000,0),1),"")</f>
        <v>2800</v>
      </c>
      <c r="AC3198" s="1" t="str">
        <f>IF(INDEX('CAMD Facility Data 2023'!$AE$2:$AG$10000,MATCH(Z3198,'CAMD Facility Data 2023'!$AE$2:$AE$10000,0),3)&gt;0,INDEX('CAMD Facility Data 2023'!$AE$2:$AG$10000,MATCH(Z3198,'CAMD Facility Data 2023'!$AE$2:$AE$10000,0),3),"")</f>
        <v>Y</v>
      </c>
      <c r="AD3198" s="20">
        <f t="shared" si="148"/>
        <v>6.488855679669496E-2</v>
      </c>
      <c r="AE3198" s="25">
        <f t="shared" si="149"/>
        <v>0.4845315295172864</v>
      </c>
    </row>
    <row r="3199" spans="1:31" x14ac:dyDescent="0.2">
      <c r="A3199" s="1" t="s">
        <v>1732</v>
      </c>
      <c r="B3199" s="1" t="s">
        <v>3840</v>
      </c>
      <c r="C3199" s="1">
        <v>55706</v>
      </c>
      <c r="D3199" s="1" t="s">
        <v>1135</v>
      </c>
      <c r="F3199" s="1">
        <v>2023</v>
      </c>
      <c r="G3199" s="5">
        <v>6672</v>
      </c>
      <c r="H3199" s="5">
        <v>6665.91</v>
      </c>
      <c r="I3199" s="5">
        <v>1760967.99</v>
      </c>
      <c r="K3199" s="5">
        <v>3.645</v>
      </c>
      <c r="L3199" s="5">
        <v>1E-3</v>
      </c>
      <c r="M3199" s="5">
        <v>722041.64099999995</v>
      </c>
      <c r="N3199" s="6">
        <v>5.8999999999999997E-2</v>
      </c>
      <c r="O3199" s="5">
        <v>68.058000000000007</v>
      </c>
      <c r="P3199" s="6">
        <v>1.1299999999999999E-2</v>
      </c>
      <c r="Q3199" s="5">
        <v>12149736.439999999</v>
      </c>
      <c r="R3199" s="1" t="s">
        <v>44</v>
      </c>
      <c r="T3199" s="1" t="s">
        <v>71</v>
      </c>
      <c r="V3199" s="1" t="s">
        <v>64</v>
      </c>
      <c r="Y3199" s="1" t="s">
        <v>346</v>
      </c>
      <c r="Z3199" s="1" t="str">
        <f t="shared" si="147"/>
        <v>55706 CTG2</v>
      </c>
      <c r="AA3199" s="3">
        <f>IF(INDEX('CAMD Facility Data 2023'!$AA$2:$AE$10000,MATCH(Z3199,'CAMD Facility Data 2023'!$AE$2:$AE$10000,0),1)&gt;0,INDEX('CAMD Facility Data 2023'!$AA$2:$AE$10000,MATCH(Z3199,'CAMD Facility Data 2023'!$AE$2:$AE$10000,0),1),"")</f>
        <v>37777</v>
      </c>
      <c r="AB3199" s="5">
        <f>IF(INDEX('CAMD Facility Data 2023'!$AC$2:$AE$10000,MATCH(Z3199,'CAMD Facility Data 2023'!$AE$2:$AE$10000,0),1)&gt;0,INDEX('CAMD Facility Data 2023'!$AC$2:$AE$10000,MATCH(Z3199,'CAMD Facility Data 2023'!$AE$2:$AE$10000,0),1),"")</f>
        <v>2400</v>
      </c>
      <c r="AC3199" s="1" t="str">
        <f>IF(INDEX('CAMD Facility Data 2023'!$AE$2:$AG$10000,MATCH(Z3199,'CAMD Facility Data 2023'!$AE$2:$AE$10000,0),3)&gt;0,INDEX('CAMD Facility Data 2023'!$AE$2:$AG$10000,MATCH(Z3199,'CAMD Facility Data 2023'!$AE$2:$AE$10000,0),3),"")</f>
        <v>Y</v>
      </c>
      <c r="AD3199" s="20">
        <f t="shared" si="148"/>
        <v>7.729612393465482E-2</v>
      </c>
      <c r="AE3199" s="25">
        <f t="shared" si="149"/>
        <v>0.57789842275494674</v>
      </c>
    </row>
    <row r="3200" spans="1:31" x14ac:dyDescent="0.2">
      <c r="A3200" s="1" t="s">
        <v>1732</v>
      </c>
      <c r="B3200" s="1" t="s">
        <v>3840</v>
      </c>
      <c r="C3200" s="1">
        <v>55706</v>
      </c>
      <c r="D3200" s="1" t="s">
        <v>6002</v>
      </c>
      <c r="F3200" s="1">
        <v>2023</v>
      </c>
      <c r="G3200" s="5">
        <v>6678</v>
      </c>
      <c r="H3200" s="5">
        <v>6669.32</v>
      </c>
      <c r="I3200" s="5">
        <v>1755724.4</v>
      </c>
      <c r="K3200" s="5">
        <v>3.6339999999999999</v>
      </c>
      <c r="L3200" s="5">
        <v>1E-3</v>
      </c>
      <c r="M3200" s="5">
        <v>719817.49100000004</v>
      </c>
      <c r="N3200" s="6">
        <v>5.8999999999999997E-2</v>
      </c>
      <c r="O3200" s="5">
        <v>64.081999999999994</v>
      </c>
      <c r="P3200" s="6">
        <v>1.0999999999999999E-2</v>
      </c>
      <c r="Q3200" s="5">
        <v>12112304.237</v>
      </c>
      <c r="R3200" s="1" t="s">
        <v>44</v>
      </c>
      <c r="T3200" s="1" t="s">
        <v>71</v>
      </c>
      <c r="V3200" s="1" t="s">
        <v>64</v>
      </c>
      <c r="Y3200" s="1" t="s">
        <v>346</v>
      </c>
      <c r="Z3200" s="1" t="str">
        <f t="shared" si="147"/>
        <v>55706 CTG3</v>
      </c>
      <c r="AA3200" s="3">
        <f>IF(INDEX('CAMD Facility Data 2023'!$AA$2:$AE$10000,MATCH(Z3200,'CAMD Facility Data 2023'!$AE$2:$AE$10000,0),1)&gt;0,INDEX('CAMD Facility Data 2023'!$AA$2:$AE$10000,MATCH(Z3200,'CAMD Facility Data 2023'!$AE$2:$AE$10000,0),1),"")</f>
        <v>37777</v>
      </c>
      <c r="AB3200" s="5">
        <f>IF(INDEX('CAMD Facility Data 2023'!$AC$2:$AE$10000,MATCH(Z3200,'CAMD Facility Data 2023'!$AE$2:$AE$10000,0),1)&gt;0,INDEX('CAMD Facility Data 2023'!$AC$2:$AE$10000,MATCH(Z3200,'CAMD Facility Data 2023'!$AE$2:$AE$10000,0),1),"")</f>
        <v>2400</v>
      </c>
      <c r="AC3200" s="1" t="str">
        <f>IF(INDEX('CAMD Facility Data 2023'!$AE$2:$AG$10000,MATCH(Z3200,'CAMD Facility Data 2023'!$AE$2:$AE$10000,0),3)&gt;0,INDEX('CAMD Facility Data 2023'!$AE$2:$AG$10000,MATCH(Z3200,'CAMD Facility Data 2023'!$AE$2:$AE$10000,0),3),"")</f>
        <v>Y</v>
      </c>
      <c r="AD3200" s="20">
        <f t="shared" si="148"/>
        <v>7.2997789402482527E-2</v>
      </c>
      <c r="AE3200" s="25">
        <f t="shared" si="149"/>
        <v>0.57611797169901069</v>
      </c>
    </row>
    <row r="3201" spans="1:31" x14ac:dyDescent="0.2">
      <c r="A3201" s="1" t="s">
        <v>383</v>
      </c>
      <c r="B3201" s="1" t="s">
        <v>7163</v>
      </c>
      <c r="C3201" s="1">
        <v>55708</v>
      </c>
      <c r="D3201" s="1" t="s">
        <v>7164</v>
      </c>
      <c r="F3201" s="1">
        <v>2023</v>
      </c>
      <c r="G3201" s="5">
        <v>3752</v>
      </c>
      <c r="H3201" s="5">
        <v>3738.14</v>
      </c>
      <c r="I3201" s="5">
        <v>280402.34999999998</v>
      </c>
      <c r="K3201" s="5">
        <v>6.8090000000000002</v>
      </c>
      <c r="L3201" s="5">
        <v>3.3E-3</v>
      </c>
      <c r="M3201" s="5">
        <v>372709.85200000001</v>
      </c>
      <c r="N3201" s="6">
        <v>0.1033</v>
      </c>
      <c r="O3201" s="5">
        <v>153.65700000000001</v>
      </c>
      <c r="P3201" s="6">
        <v>8.5400000000000004E-2</v>
      </c>
      <c r="Q3201" s="5">
        <v>3576099.1430000002</v>
      </c>
      <c r="R3201" s="1" t="s">
        <v>657</v>
      </c>
      <c r="T3201" s="1" t="s">
        <v>7167</v>
      </c>
      <c r="V3201" s="1" t="s">
        <v>669</v>
      </c>
      <c r="W3201" s="1" t="s">
        <v>232</v>
      </c>
      <c r="Y3201" s="1" t="s">
        <v>346</v>
      </c>
      <c r="Z3201" s="1" t="str">
        <f t="shared" si="147"/>
        <v>55708 BFB-1</v>
      </c>
      <c r="AA3201" s="3">
        <f>IF(INDEX('CAMD Facility Data 2023'!$AA$2:$AE$10000,MATCH(Z3201,'CAMD Facility Data 2023'!$AE$2:$AE$10000,0),1)&gt;0,INDEX('CAMD Facility Data 2023'!$AA$2:$AE$10000,MATCH(Z3201,'CAMD Facility Data 2023'!$AE$2:$AE$10000,0),1),"")</f>
        <v>41035</v>
      </c>
      <c r="AB3201" s="5">
        <f>IF(INDEX('CAMD Facility Data 2023'!$AC$2:$AE$10000,MATCH(Z3201,'CAMD Facility Data 2023'!$AE$2:$AE$10000,0),1)&gt;0,INDEX('CAMD Facility Data 2023'!$AC$2:$AE$10000,MATCH(Z3201,'CAMD Facility Data 2023'!$AE$2:$AE$10000,0),1),"")</f>
        <v>1500</v>
      </c>
      <c r="AC3201" s="1" t="str">
        <f>IF(INDEX('CAMD Facility Data 2023'!$AE$2:$AG$10000,MATCH(Z3201,'CAMD Facility Data 2023'!$AE$2:$AE$10000,0),3)&gt;0,INDEX('CAMD Facility Data 2023'!$AE$2:$AG$10000,MATCH(Z3201,'CAMD Facility Data 2023'!$AE$2:$AE$10000,0),3),"")</f>
        <v>Y</v>
      </c>
      <c r="AD3201" s="20">
        <f t="shared" si="148"/>
        <v>1.0959751228903754</v>
      </c>
      <c r="AE3201" s="25">
        <f t="shared" si="149"/>
        <v>0.27215366385083717</v>
      </c>
    </row>
    <row r="3202" spans="1:31" x14ac:dyDescent="0.2">
      <c r="A3202" s="1" t="s">
        <v>2584</v>
      </c>
      <c r="B3202" s="1" t="s">
        <v>7169</v>
      </c>
      <c r="C3202" s="1">
        <v>55710</v>
      </c>
      <c r="D3202" s="1">
        <v>3</v>
      </c>
      <c r="F3202" s="1">
        <v>2023</v>
      </c>
      <c r="G3202" s="5">
        <v>8140</v>
      </c>
      <c r="H3202" s="5">
        <v>8135.69</v>
      </c>
      <c r="I3202" s="5">
        <v>1528223.66</v>
      </c>
      <c r="K3202" s="5">
        <v>4.1479999999999997</v>
      </c>
      <c r="L3202" s="5">
        <v>1E-3</v>
      </c>
      <c r="M3202" s="5">
        <v>821745.70600000001</v>
      </c>
      <c r="N3202" s="6">
        <v>5.8999999999999997E-2</v>
      </c>
      <c r="O3202" s="5">
        <v>56.015000000000001</v>
      </c>
      <c r="P3202" s="6">
        <v>8.3000000000000001E-3</v>
      </c>
      <c r="Q3202" s="5">
        <v>13827486.898</v>
      </c>
      <c r="R3202" s="1" t="s">
        <v>44</v>
      </c>
      <c r="T3202" s="1" t="s">
        <v>71</v>
      </c>
      <c r="V3202" s="1" t="s">
        <v>64</v>
      </c>
      <c r="Y3202" s="1" t="s">
        <v>1515</v>
      </c>
      <c r="Z3202" s="1" t="str">
        <f t="shared" si="147"/>
        <v>55710 3</v>
      </c>
      <c r="AA3202" s="3">
        <f>IF(INDEX('CAMD Facility Data 2023'!$AA$2:$AE$10000,MATCH(Z3202,'CAMD Facility Data 2023'!$AE$2:$AE$10000,0),1)&gt;0,INDEX('CAMD Facility Data 2023'!$AA$2:$AE$10000,MATCH(Z3202,'CAMD Facility Data 2023'!$AE$2:$AE$10000,0),1),"")</f>
        <v>37823</v>
      </c>
      <c r="AB3202" s="5">
        <f>IF(INDEX('CAMD Facility Data 2023'!$AC$2:$AE$10000,MATCH(Z3202,'CAMD Facility Data 2023'!$AE$2:$AE$10000,0),1)&gt;0,INDEX('CAMD Facility Data 2023'!$AC$2:$AE$10000,MATCH(Z3202,'CAMD Facility Data 2023'!$AE$2:$AE$10000,0),1),"")</f>
        <v>2107</v>
      </c>
      <c r="AC3202" s="1" t="str">
        <f>IF(INDEX('CAMD Facility Data 2023'!$AE$2:$AG$10000,MATCH(Z3202,'CAMD Facility Data 2023'!$AE$2:$AE$10000,0),3)&gt;0,INDEX('CAMD Facility Data 2023'!$AE$2:$AG$10000,MATCH(Z3202,'CAMD Facility Data 2023'!$AE$2:$AE$10000,0),3),"")</f>
        <v>Y</v>
      </c>
      <c r="AD3202" s="20">
        <f t="shared" si="148"/>
        <v>7.3307332514404341E-2</v>
      </c>
      <c r="AE3202" s="25">
        <f t="shared" si="149"/>
        <v>0.74916005671462593</v>
      </c>
    </row>
    <row r="3203" spans="1:31" x14ac:dyDescent="0.2">
      <c r="A3203" s="1" t="s">
        <v>2584</v>
      </c>
      <c r="B3203" s="1" t="s">
        <v>7169</v>
      </c>
      <c r="C3203" s="1">
        <v>55710</v>
      </c>
      <c r="D3203" s="1">
        <v>4</v>
      </c>
      <c r="F3203" s="1">
        <v>2023</v>
      </c>
      <c r="G3203" s="5">
        <v>8108</v>
      </c>
      <c r="H3203" s="5">
        <v>8099.21</v>
      </c>
      <c r="I3203" s="5">
        <v>1521445.45</v>
      </c>
      <c r="K3203" s="5">
        <v>4.3289999999999997</v>
      </c>
      <c r="L3203" s="5">
        <v>1E-3</v>
      </c>
      <c r="M3203" s="5">
        <v>857490.29599999997</v>
      </c>
      <c r="N3203" s="6">
        <v>5.8999999999999997E-2</v>
      </c>
      <c r="O3203" s="5">
        <v>57.892000000000003</v>
      </c>
      <c r="P3203" s="6">
        <v>8.2000000000000007E-3</v>
      </c>
      <c r="Q3203" s="5">
        <v>14428931.066</v>
      </c>
      <c r="R3203" s="1" t="s">
        <v>44</v>
      </c>
      <c r="T3203" s="1" t="s">
        <v>71</v>
      </c>
      <c r="V3203" s="1" t="s">
        <v>64</v>
      </c>
      <c r="Y3203" s="1" t="s">
        <v>1515</v>
      </c>
      <c r="Z3203" s="1" t="str">
        <f t="shared" ref="Z3203:Z3266" si="150">C3203&amp;" "&amp;D3203</f>
        <v>55710 4</v>
      </c>
      <c r="AA3203" s="3">
        <f>IF(INDEX('CAMD Facility Data 2023'!$AA$2:$AE$10000,MATCH(Z3203,'CAMD Facility Data 2023'!$AE$2:$AE$10000,0),1)&gt;0,INDEX('CAMD Facility Data 2023'!$AA$2:$AE$10000,MATCH(Z3203,'CAMD Facility Data 2023'!$AE$2:$AE$10000,0),1),"")</f>
        <v>37823</v>
      </c>
      <c r="AB3203" s="5">
        <f>IF(INDEX('CAMD Facility Data 2023'!$AC$2:$AE$10000,MATCH(Z3203,'CAMD Facility Data 2023'!$AE$2:$AE$10000,0),1)&gt;0,INDEX('CAMD Facility Data 2023'!$AC$2:$AE$10000,MATCH(Z3203,'CAMD Facility Data 2023'!$AE$2:$AE$10000,0),1),"")</f>
        <v>2108</v>
      </c>
      <c r="AC3203" s="1" t="str">
        <f>IF(INDEX('CAMD Facility Data 2023'!$AE$2:$AG$10000,MATCH(Z3203,'CAMD Facility Data 2023'!$AE$2:$AE$10000,0),3)&gt;0,INDEX('CAMD Facility Data 2023'!$AE$2:$AG$10000,MATCH(Z3203,'CAMD Facility Data 2023'!$AE$2:$AE$10000,0),3),"")</f>
        <v>Y</v>
      </c>
      <c r="AD3203" s="20">
        <f t="shared" ref="AD3203:AD3266" si="151">IF(ISNUMBER(O3203*2000/I3203),O3203*2000/I3203,"")</f>
        <v>7.6101315364280719E-2</v>
      </c>
      <c r="AE3203" s="25">
        <f t="shared" ref="AE3203:AE3266" si="152">Q3203/(AB3203*8760)</f>
        <v>0.78137488118756115</v>
      </c>
    </row>
    <row r="3204" spans="1:31" x14ac:dyDescent="0.2">
      <c r="A3204" s="1" t="s">
        <v>348</v>
      </c>
      <c r="B3204" s="1" t="s">
        <v>7173</v>
      </c>
      <c r="C3204" s="1">
        <v>55714</v>
      </c>
      <c r="D3204" s="1" t="s">
        <v>7174</v>
      </c>
      <c r="F3204" s="1">
        <v>2023</v>
      </c>
      <c r="G3204" s="5">
        <v>6229</v>
      </c>
      <c r="H3204" s="5">
        <v>6218.05</v>
      </c>
      <c r="I3204" s="5">
        <v>2234814.41</v>
      </c>
      <c r="K3204" s="5">
        <v>4.2640000000000002</v>
      </c>
      <c r="L3204" s="5">
        <v>1E-3</v>
      </c>
      <c r="M3204" s="5">
        <v>844670.39</v>
      </c>
      <c r="N3204" s="6">
        <v>5.8999999999999997E-2</v>
      </c>
      <c r="O3204" s="5">
        <v>90.37</v>
      </c>
      <c r="P3204" s="6">
        <v>1.3100000000000001E-2</v>
      </c>
      <c r="Q3204" s="5">
        <v>14213188.994999999</v>
      </c>
      <c r="R3204" s="1" t="s">
        <v>44</v>
      </c>
      <c r="T3204" s="1" t="s">
        <v>71</v>
      </c>
      <c r="V3204" s="1" t="s">
        <v>64</v>
      </c>
      <c r="Y3204" s="1" t="s">
        <v>346</v>
      </c>
      <c r="Z3204" s="1" t="str">
        <f t="shared" si="150"/>
        <v>55714 SN-01</v>
      </c>
      <c r="AA3204" s="3">
        <f>IF(INDEX('CAMD Facility Data 2023'!$AA$2:$AE$10000,MATCH(Z3204,'CAMD Facility Data 2023'!$AE$2:$AE$10000,0),1)&gt;0,INDEX('CAMD Facility Data 2023'!$AA$2:$AE$10000,MATCH(Z3204,'CAMD Facility Data 2023'!$AE$2:$AE$10000,0),1),"")</f>
        <v>38477</v>
      </c>
      <c r="AB3204" s="5">
        <f>IF(INDEX('CAMD Facility Data 2023'!$AC$2:$AE$10000,MATCH(Z3204,'CAMD Facility Data 2023'!$AE$2:$AE$10000,0),1)&gt;0,INDEX('CAMD Facility Data 2023'!$AC$2:$AE$10000,MATCH(Z3204,'CAMD Facility Data 2023'!$AE$2:$AE$10000,0),1),"")</f>
        <v>2800</v>
      </c>
      <c r="AC3204" s="1" t="str">
        <f>IF(INDEX('CAMD Facility Data 2023'!$AE$2:$AG$10000,MATCH(Z3204,'CAMD Facility Data 2023'!$AE$2:$AE$10000,0),3)&gt;0,INDEX('CAMD Facility Data 2023'!$AE$2:$AG$10000,MATCH(Z3204,'CAMD Facility Data 2023'!$AE$2:$AE$10000,0),3),"")</f>
        <v>Y</v>
      </c>
      <c r="AD3204" s="20">
        <f t="shared" si="151"/>
        <v>8.0874724626462377E-2</v>
      </c>
      <c r="AE3204" s="25">
        <f t="shared" si="152"/>
        <v>0.579467914016634</v>
      </c>
    </row>
    <row r="3205" spans="1:31" x14ac:dyDescent="0.2">
      <c r="A3205" s="1" t="s">
        <v>348</v>
      </c>
      <c r="B3205" s="1" t="s">
        <v>7173</v>
      </c>
      <c r="C3205" s="1">
        <v>55714</v>
      </c>
      <c r="D3205" s="1" t="s">
        <v>7176</v>
      </c>
      <c r="F3205" s="1">
        <v>2023</v>
      </c>
      <c r="G3205" s="5">
        <v>4201</v>
      </c>
      <c r="H3205" s="5">
        <v>4184.1499999999996</v>
      </c>
      <c r="I3205" s="5">
        <v>1453347.27</v>
      </c>
      <c r="K3205" s="5">
        <v>2.7639999999999998</v>
      </c>
      <c r="L3205" s="5">
        <v>1E-3</v>
      </c>
      <c r="M3205" s="5">
        <v>547489.73800000001</v>
      </c>
      <c r="N3205" s="6">
        <v>5.8999999999999997E-2</v>
      </c>
      <c r="O3205" s="5">
        <v>59.918999999999997</v>
      </c>
      <c r="P3205" s="6">
        <v>1.41E-2</v>
      </c>
      <c r="Q3205" s="5">
        <v>9212571.0390000008</v>
      </c>
      <c r="R3205" s="1" t="s">
        <v>44</v>
      </c>
      <c r="T3205" s="1" t="s">
        <v>71</v>
      </c>
      <c r="V3205" s="1" t="s">
        <v>64</v>
      </c>
      <c r="Y3205" s="1" t="s">
        <v>346</v>
      </c>
      <c r="Z3205" s="1" t="str">
        <f t="shared" si="150"/>
        <v>55714 SN-02</v>
      </c>
      <c r="AA3205" s="3">
        <f>IF(INDEX('CAMD Facility Data 2023'!$AA$2:$AE$10000,MATCH(Z3205,'CAMD Facility Data 2023'!$AE$2:$AE$10000,0),1)&gt;0,INDEX('CAMD Facility Data 2023'!$AA$2:$AE$10000,MATCH(Z3205,'CAMD Facility Data 2023'!$AE$2:$AE$10000,0),1),"")</f>
        <v>38642</v>
      </c>
      <c r="AB3205" s="5">
        <f>IF(INDEX('CAMD Facility Data 2023'!$AC$2:$AE$10000,MATCH(Z3205,'CAMD Facility Data 2023'!$AE$2:$AE$10000,0),1)&gt;0,INDEX('CAMD Facility Data 2023'!$AC$2:$AE$10000,MATCH(Z3205,'CAMD Facility Data 2023'!$AE$2:$AE$10000,0),1),"")</f>
        <v>2800</v>
      </c>
      <c r="AC3205" s="1" t="str">
        <f>IF(INDEX('CAMD Facility Data 2023'!$AE$2:$AG$10000,MATCH(Z3205,'CAMD Facility Data 2023'!$AE$2:$AE$10000,0),3)&gt;0,INDEX('CAMD Facility Data 2023'!$AE$2:$AG$10000,MATCH(Z3205,'CAMD Facility Data 2023'!$AE$2:$AE$10000,0),3),"")</f>
        <v>Y</v>
      </c>
      <c r="AD3205" s="20">
        <f t="shared" si="151"/>
        <v>8.2456548736627819E-2</v>
      </c>
      <c r="AE3205" s="25">
        <f t="shared" si="152"/>
        <v>0.37559405736301371</v>
      </c>
    </row>
    <row r="3206" spans="1:31" x14ac:dyDescent="0.2">
      <c r="A3206" s="1" t="s">
        <v>1621</v>
      </c>
      <c r="B3206" s="1" t="s">
        <v>7178</v>
      </c>
      <c r="C3206" s="1">
        <v>55718</v>
      </c>
      <c r="D3206" s="1">
        <v>1</v>
      </c>
      <c r="F3206" s="1">
        <v>2023</v>
      </c>
      <c r="G3206" s="5">
        <v>1882</v>
      </c>
      <c r="H3206" s="5">
        <v>1834.42</v>
      </c>
      <c r="I3206" s="5">
        <v>140718.39999999999</v>
      </c>
      <c r="K3206" s="5">
        <v>0.51</v>
      </c>
      <c r="L3206" s="5">
        <v>1E-3</v>
      </c>
      <c r="M3206" s="5">
        <v>100957.077</v>
      </c>
      <c r="N3206" s="6">
        <v>5.8999999999999997E-2</v>
      </c>
      <c r="O3206" s="5">
        <v>22.149000000000001</v>
      </c>
      <c r="P3206" s="6">
        <v>2.8000000000000001E-2</v>
      </c>
      <c r="Q3206" s="5">
        <v>1698792.02</v>
      </c>
      <c r="R3206" s="1" t="s">
        <v>44</v>
      </c>
      <c r="T3206" s="1" t="s">
        <v>93</v>
      </c>
      <c r="V3206" s="1" t="s">
        <v>140</v>
      </c>
      <c r="Y3206" s="1" t="s">
        <v>461</v>
      </c>
      <c r="Z3206" s="1" t="str">
        <f t="shared" si="150"/>
        <v>55718 1</v>
      </c>
      <c r="AA3206" s="3">
        <f>IF(INDEX('CAMD Facility Data 2023'!$AA$2:$AE$10000,MATCH(Z3206,'CAMD Facility Data 2023'!$AE$2:$AE$10000,0),1)&gt;0,INDEX('CAMD Facility Data 2023'!$AA$2:$AE$10000,MATCH(Z3206,'CAMD Facility Data 2023'!$AE$2:$AE$10000,0),1),"")</f>
        <v>37367</v>
      </c>
      <c r="AB3206" s="5">
        <f>IF(INDEX('CAMD Facility Data 2023'!$AC$2:$AE$10000,MATCH(Z3206,'CAMD Facility Data 2023'!$AE$2:$AE$10000,0),1)&gt;0,INDEX('CAMD Facility Data 2023'!$AC$2:$AE$10000,MATCH(Z3206,'CAMD Facility Data 2023'!$AE$2:$AE$10000,0),1),"")</f>
        <v>1100</v>
      </c>
      <c r="AC3206" s="1" t="str">
        <f>IF(INDEX('CAMD Facility Data 2023'!$AE$2:$AG$10000,MATCH(Z3206,'CAMD Facility Data 2023'!$AE$2:$AE$10000,0),3)&gt;0,INDEX('CAMD Facility Data 2023'!$AE$2:$AG$10000,MATCH(Z3206,'CAMD Facility Data 2023'!$AE$2:$AE$10000,0),3),"")</f>
        <v/>
      </c>
      <c r="AD3206" s="20">
        <f t="shared" si="151"/>
        <v>0.3147989175544918</v>
      </c>
      <c r="AE3206" s="25">
        <f t="shared" si="152"/>
        <v>0.1762963906185139</v>
      </c>
    </row>
    <row r="3207" spans="1:31" x14ac:dyDescent="0.2">
      <c r="A3207" s="1" t="s">
        <v>1621</v>
      </c>
      <c r="B3207" s="1" t="s">
        <v>7178</v>
      </c>
      <c r="C3207" s="1">
        <v>55718</v>
      </c>
      <c r="D3207" s="1">
        <v>2</v>
      </c>
      <c r="F3207" s="1">
        <v>2023</v>
      </c>
      <c r="G3207" s="5">
        <v>1882</v>
      </c>
      <c r="H3207" s="5">
        <v>1833.41</v>
      </c>
      <c r="I3207" s="5">
        <v>139067.01999999999</v>
      </c>
      <c r="K3207" s="5">
        <v>0.504</v>
      </c>
      <c r="L3207" s="5">
        <v>1E-3</v>
      </c>
      <c r="M3207" s="5">
        <v>99832.691000000006</v>
      </c>
      <c r="N3207" s="6">
        <v>5.8999999999999997E-2</v>
      </c>
      <c r="O3207" s="5">
        <v>20.544</v>
      </c>
      <c r="P3207" s="6">
        <v>2.63E-2</v>
      </c>
      <c r="Q3207" s="5">
        <v>1679877.3959999999</v>
      </c>
      <c r="R3207" s="1" t="s">
        <v>44</v>
      </c>
      <c r="T3207" s="1" t="s">
        <v>93</v>
      </c>
      <c r="V3207" s="1" t="s">
        <v>140</v>
      </c>
      <c r="Y3207" s="1" t="s">
        <v>461</v>
      </c>
      <c r="Z3207" s="1" t="str">
        <f t="shared" si="150"/>
        <v>55718 2</v>
      </c>
      <c r="AA3207" s="3">
        <f>IF(INDEX('CAMD Facility Data 2023'!$AA$2:$AE$10000,MATCH(Z3207,'CAMD Facility Data 2023'!$AE$2:$AE$10000,0),1)&gt;0,INDEX('CAMD Facility Data 2023'!$AA$2:$AE$10000,MATCH(Z3207,'CAMD Facility Data 2023'!$AE$2:$AE$10000,0),1),"")</f>
        <v>37380</v>
      </c>
      <c r="AB3207" s="5">
        <f>IF(INDEX('CAMD Facility Data 2023'!$AC$2:$AE$10000,MATCH(Z3207,'CAMD Facility Data 2023'!$AE$2:$AE$10000,0),1)&gt;0,INDEX('CAMD Facility Data 2023'!$AC$2:$AE$10000,MATCH(Z3207,'CAMD Facility Data 2023'!$AE$2:$AE$10000,0),1),"")</f>
        <v>1100</v>
      </c>
      <c r="AC3207" s="1" t="str">
        <f>IF(INDEX('CAMD Facility Data 2023'!$AE$2:$AG$10000,MATCH(Z3207,'CAMD Facility Data 2023'!$AE$2:$AE$10000,0),3)&gt;0,INDEX('CAMD Facility Data 2023'!$AE$2:$AG$10000,MATCH(Z3207,'CAMD Facility Data 2023'!$AE$2:$AE$10000,0),3),"")</f>
        <v/>
      </c>
      <c r="AD3207" s="20">
        <f t="shared" si="151"/>
        <v>0.29545466639034906</v>
      </c>
      <c r="AE3207" s="25">
        <f t="shared" si="152"/>
        <v>0.17433347820672479</v>
      </c>
    </row>
    <row r="3208" spans="1:31" x14ac:dyDescent="0.2">
      <c r="A3208" s="1" t="s">
        <v>1621</v>
      </c>
      <c r="B3208" s="1" t="s">
        <v>7178</v>
      </c>
      <c r="C3208" s="1">
        <v>55718</v>
      </c>
      <c r="D3208" s="1">
        <v>3</v>
      </c>
      <c r="F3208" s="1">
        <v>2023</v>
      </c>
      <c r="G3208" s="5">
        <v>2061</v>
      </c>
      <c r="H3208" s="5">
        <v>2012.83</v>
      </c>
      <c r="I3208" s="5">
        <v>154759.99</v>
      </c>
      <c r="K3208" s="5">
        <v>0.55900000000000005</v>
      </c>
      <c r="L3208" s="5">
        <v>1E-3</v>
      </c>
      <c r="M3208" s="5">
        <v>110739.46799999999</v>
      </c>
      <c r="N3208" s="6">
        <v>5.8999999999999997E-2</v>
      </c>
      <c r="O3208" s="5">
        <v>23.795000000000002</v>
      </c>
      <c r="P3208" s="6">
        <v>2.75E-2</v>
      </c>
      <c r="Q3208" s="5">
        <v>1863414.287</v>
      </c>
      <c r="R3208" s="1" t="s">
        <v>44</v>
      </c>
      <c r="T3208" s="1" t="s">
        <v>93</v>
      </c>
      <c r="V3208" s="1" t="s">
        <v>140</v>
      </c>
      <c r="Y3208" s="1" t="s">
        <v>461</v>
      </c>
      <c r="Z3208" s="1" t="str">
        <f t="shared" si="150"/>
        <v>55718 3</v>
      </c>
      <c r="AA3208" s="3">
        <f>IF(INDEX('CAMD Facility Data 2023'!$AA$2:$AE$10000,MATCH(Z3208,'CAMD Facility Data 2023'!$AE$2:$AE$10000,0),1)&gt;0,INDEX('CAMD Facility Data 2023'!$AA$2:$AE$10000,MATCH(Z3208,'CAMD Facility Data 2023'!$AE$2:$AE$10000,0),1),"")</f>
        <v>37386</v>
      </c>
      <c r="AB3208" s="5">
        <f>IF(INDEX('CAMD Facility Data 2023'!$AC$2:$AE$10000,MATCH(Z3208,'CAMD Facility Data 2023'!$AE$2:$AE$10000,0),1)&gt;0,INDEX('CAMD Facility Data 2023'!$AC$2:$AE$10000,MATCH(Z3208,'CAMD Facility Data 2023'!$AE$2:$AE$10000,0),1),"")</f>
        <v>1100</v>
      </c>
      <c r="AC3208" s="1" t="str">
        <f>IF(INDEX('CAMD Facility Data 2023'!$AE$2:$AG$10000,MATCH(Z3208,'CAMD Facility Data 2023'!$AE$2:$AE$10000,0),3)&gt;0,INDEX('CAMD Facility Data 2023'!$AE$2:$AG$10000,MATCH(Z3208,'CAMD Facility Data 2023'!$AE$2:$AE$10000,0),3),"")</f>
        <v/>
      </c>
      <c r="AD3208" s="20">
        <f t="shared" si="151"/>
        <v>0.30750841997340528</v>
      </c>
      <c r="AE3208" s="25">
        <f t="shared" si="152"/>
        <v>0.19338047810294728</v>
      </c>
    </row>
    <row r="3209" spans="1:31" x14ac:dyDescent="0.2">
      <c r="A3209" s="1" t="s">
        <v>1621</v>
      </c>
      <c r="B3209" s="1" t="s">
        <v>7178</v>
      </c>
      <c r="C3209" s="1">
        <v>55718</v>
      </c>
      <c r="D3209" s="1">
        <v>4</v>
      </c>
      <c r="F3209" s="1">
        <v>2023</v>
      </c>
      <c r="G3209" s="5">
        <v>2143</v>
      </c>
      <c r="H3209" s="5">
        <v>2091.8200000000002</v>
      </c>
      <c r="I3209" s="5">
        <v>156312.93</v>
      </c>
      <c r="K3209" s="5">
        <v>0.55800000000000005</v>
      </c>
      <c r="L3209" s="5">
        <v>1E-3</v>
      </c>
      <c r="M3209" s="5">
        <v>110622.7</v>
      </c>
      <c r="N3209" s="6">
        <v>5.8999999999999997E-2</v>
      </c>
      <c r="O3209" s="5">
        <v>24.356000000000002</v>
      </c>
      <c r="P3209" s="6">
        <v>2.7900000000000001E-2</v>
      </c>
      <c r="Q3209" s="5">
        <v>1861458.568</v>
      </c>
      <c r="R3209" s="1" t="s">
        <v>44</v>
      </c>
      <c r="T3209" s="1" t="s">
        <v>93</v>
      </c>
      <c r="V3209" s="1" t="s">
        <v>140</v>
      </c>
      <c r="Y3209" s="1" t="s">
        <v>461</v>
      </c>
      <c r="Z3209" s="1" t="str">
        <f t="shared" si="150"/>
        <v>55718 4</v>
      </c>
      <c r="AA3209" s="3">
        <f>IF(INDEX('CAMD Facility Data 2023'!$AA$2:$AE$10000,MATCH(Z3209,'CAMD Facility Data 2023'!$AE$2:$AE$10000,0),1)&gt;0,INDEX('CAMD Facility Data 2023'!$AA$2:$AE$10000,MATCH(Z3209,'CAMD Facility Data 2023'!$AE$2:$AE$10000,0),1),"")</f>
        <v>37389</v>
      </c>
      <c r="AB3209" s="5">
        <f>IF(INDEX('CAMD Facility Data 2023'!$AC$2:$AE$10000,MATCH(Z3209,'CAMD Facility Data 2023'!$AE$2:$AE$10000,0),1)&gt;0,INDEX('CAMD Facility Data 2023'!$AC$2:$AE$10000,MATCH(Z3209,'CAMD Facility Data 2023'!$AE$2:$AE$10000,0),1),"")</f>
        <v>1100</v>
      </c>
      <c r="AC3209" s="1" t="str">
        <f>IF(INDEX('CAMD Facility Data 2023'!$AE$2:$AG$10000,MATCH(Z3209,'CAMD Facility Data 2023'!$AE$2:$AE$10000,0),3)&gt;0,INDEX('CAMD Facility Data 2023'!$AE$2:$AG$10000,MATCH(Z3209,'CAMD Facility Data 2023'!$AE$2:$AE$10000,0),3),"")</f>
        <v/>
      </c>
      <c r="AD3209" s="20">
        <f t="shared" si="151"/>
        <v>0.31163128987474037</v>
      </c>
      <c r="AE3209" s="25">
        <f t="shared" si="152"/>
        <v>0.19317751847239517</v>
      </c>
    </row>
    <row r="3210" spans="1:31" x14ac:dyDescent="0.2">
      <c r="A3210" s="1" t="s">
        <v>4118</v>
      </c>
      <c r="B3210" s="1" t="s">
        <v>7184</v>
      </c>
      <c r="C3210" s="1">
        <v>55733</v>
      </c>
      <c r="D3210" s="1" t="s">
        <v>993</v>
      </c>
      <c r="F3210" s="1">
        <v>2023</v>
      </c>
      <c r="G3210" s="5">
        <v>4541</v>
      </c>
      <c r="H3210" s="5">
        <v>4424.62</v>
      </c>
      <c r="I3210" s="5">
        <v>730645.86</v>
      </c>
      <c r="K3210" s="5">
        <v>2.262</v>
      </c>
      <c r="L3210" s="5">
        <v>1E-3</v>
      </c>
      <c r="M3210" s="5">
        <v>447998.65299999999</v>
      </c>
      <c r="N3210" s="6">
        <v>5.8999999999999997E-2</v>
      </c>
      <c r="O3210" s="5">
        <v>117.523</v>
      </c>
      <c r="P3210" s="6">
        <v>3.4000000000000002E-2</v>
      </c>
      <c r="Q3210" s="5">
        <v>7538475.4390000002</v>
      </c>
      <c r="R3210" s="1" t="s">
        <v>44</v>
      </c>
      <c r="T3210" s="1" t="s">
        <v>93</v>
      </c>
      <c r="V3210" s="1" t="s">
        <v>140</v>
      </c>
      <c r="Y3210" s="1" t="s">
        <v>247</v>
      </c>
      <c r="Z3210" s="1" t="str">
        <f t="shared" si="150"/>
        <v>55733 CT01</v>
      </c>
      <c r="AA3210" s="3">
        <f>IF(INDEX('CAMD Facility Data 2023'!$AA$2:$AE$10000,MATCH(Z3210,'CAMD Facility Data 2023'!$AE$2:$AE$10000,0),1)&gt;0,INDEX('CAMD Facility Data 2023'!$AA$2:$AE$10000,MATCH(Z3210,'CAMD Facility Data 2023'!$AE$2:$AE$10000,0),1),"")</f>
        <v>38404</v>
      </c>
      <c r="AB3210" s="5">
        <f>IF(INDEX('CAMD Facility Data 2023'!$AC$2:$AE$10000,MATCH(Z3210,'CAMD Facility Data 2023'!$AE$2:$AE$10000,0),1)&gt;0,INDEX('CAMD Facility Data 2023'!$AC$2:$AE$10000,MATCH(Z3210,'CAMD Facility Data 2023'!$AE$2:$AE$10000,0),1),"")</f>
        <v>2020</v>
      </c>
      <c r="AC3210" s="1" t="str">
        <f>IF(INDEX('CAMD Facility Data 2023'!$AE$2:$AG$10000,MATCH(Z3210,'CAMD Facility Data 2023'!$AE$2:$AE$10000,0),3)&gt;0,INDEX('CAMD Facility Data 2023'!$AE$2:$AG$10000,MATCH(Z3210,'CAMD Facility Data 2023'!$AE$2:$AE$10000,0),3),"")</f>
        <v/>
      </c>
      <c r="AD3210" s="20">
        <f t="shared" si="151"/>
        <v>0.32169620450596959</v>
      </c>
      <c r="AE3210" s="25">
        <f t="shared" si="152"/>
        <v>0.42601809750666847</v>
      </c>
    </row>
    <row r="3211" spans="1:31" x14ac:dyDescent="0.2">
      <c r="A3211" s="1" t="s">
        <v>2430</v>
      </c>
      <c r="B3211" s="1" t="s">
        <v>7186</v>
      </c>
      <c r="C3211" s="1">
        <v>55736</v>
      </c>
      <c r="D3211" s="1" t="s">
        <v>1129</v>
      </c>
      <c r="F3211" s="1">
        <v>2023</v>
      </c>
      <c r="G3211" s="5">
        <v>8324</v>
      </c>
      <c r="H3211" s="5">
        <v>8318.89</v>
      </c>
      <c r="I3211" s="5">
        <v>2751279.92</v>
      </c>
      <c r="K3211" s="5">
        <v>5.7610000000000001</v>
      </c>
      <c r="L3211" s="5">
        <v>1E-3</v>
      </c>
      <c r="M3211" s="5">
        <v>1141095.889</v>
      </c>
      <c r="N3211" s="6">
        <v>5.8999999999999997E-2</v>
      </c>
      <c r="O3211" s="5">
        <v>69.135000000000005</v>
      </c>
      <c r="P3211" s="6">
        <v>7.3000000000000001E-3</v>
      </c>
      <c r="Q3211" s="5">
        <v>19201172.890999999</v>
      </c>
      <c r="R3211" s="1" t="s">
        <v>44</v>
      </c>
      <c r="T3211" s="1" t="s">
        <v>71</v>
      </c>
      <c r="V3211" s="1" t="s">
        <v>64</v>
      </c>
      <c r="Y3211" s="1" t="s">
        <v>461</v>
      </c>
      <c r="Z3211" s="1" t="str">
        <f t="shared" si="150"/>
        <v>55736 CTG1</v>
      </c>
      <c r="AA3211" s="3">
        <f>IF(INDEX('CAMD Facility Data 2023'!$AA$2:$AE$10000,MATCH(Z3211,'CAMD Facility Data 2023'!$AE$2:$AE$10000,0),1)&gt;0,INDEX('CAMD Facility Data 2023'!$AA$2:$AE$10000,MATCH(Z3211,'CAMD Facility Data 2023'!$AE$2:$AE$10000,0),1),"")</f>
        <v>37714</v>
      </c>
      <c r="AB3211" s="5">
        <f>IF(INDEX('CAMD Facility Data 2023'!$AC$2:$AE$10000,MATCH(Z3211,'CAMD Facility Data 2023'!$AE$2:$AE$10000,0),1)&gt;0,INDEX('CAMD Facility Data 2023'!$AC$2:$AE$10000,MATCH(Z3211,'CAMD Facility Data 2023'!$AE$2:$AE$10000,0),1),"")</f>
        <v>2750</v>
      </c>
      <c r="AC3211" s="1" t="str">
        <f>IF(INDEX('CAMD Facility Data 2023'!$AE$2:$AG$10000,MATCH(Z3211,'CAMD Facility Data 2023'!$AE$2:$AE$10000,0),3)&gt;0,INDEX('CAMD Facility Data 2023'!$AE$2:$AG$10000,MATCH(Z3211,'CAMD Facility Data 2023'!$AE$2:$AE$10000,0),3),"")</f>
        <v>Y</v>
      </c>
      <c r="AD3211" s="20">
        <f t="shared" si="151"/>
        <v>5.0256609294775066E-2</v>
      </c>
      <c r="AE3211" s="25">
        <f t="shared" si="152"/>
        <v>0.79705989584889991</v>
      </c>
    </row>
    <row r="3212" spans="1:31" x14ac:dyDescent="0.2">
      <c r="A3212" s="1" t="s">
        <v>2430</v>
      </c>
      <c r="B3212" s="1" t="s">
        <v>7186</v>
      </c>
      <c r="C3212" s="1">
        <v>55736</v>
      </c>
      <c r="D3212" s="1" t="s">
        <v>1135</v>
      </c>
      <c r="F3212" s="1">
        <v>2023</v>
      </c>
      <c r="G3212" s="5">
        <v>8349</v>
      </c>
      <c r="H3212" s="5">
        <v>8343.09</v>
      </c>
      <c r="I3212" s="5">
        <v>2738704.79</v>
      </c>
      <c r="K3212" s="5">
        <v>5.76</v>
      </c>
      <c r="L3212" s="5">
        <v>1E-3</v>
      </c>
      <c r="M3212" s="5">
        <v>1141031.622</v>
      </c>
      <c r="N3212" s="6">
        <v>5.8999999999999997E-2</v>
      </c>
      <c r="O3212" s="5">
        <v>74.435000000000002</v>
      </c>
      <c r="P3212" s="6">
        <v>7.9000000000000008E-3</v>
      </c>
      <c r="Q3212" s="5">
        <v>19200095.147</v>
      </c>
      <c r="R3212" s="1" t="s">
        <v>44</v>
      </c>
      <c r="T3212" s="1" t="s">
        <v>71</v>
      </c>
      <c r="V3212" s="1" t="s">
        <v>64</v>
      </c>
      <c r="Y3212" s="1" t="s">
        <v>461</v>
      </c>
      <c r="Z3212" s="1" t="str">
        <f t="shared" si="150"/>
        <v>55736 CTG2</v>
      </c>
      <c r="AA3212" s="3">
        <f>IF(INDEX('CAMD Facility Data 2023'!$AA$2:$AE$10000,MATCH(Z3212,'CAMD Facility Data 2023'!$AE$2:$AE$10000,0),1)&gt;0,INDEX('CAMD Facility Data 2023'!$AA$2:$AE$10000,MATCH(Z3212,'CAMD Facility Data 2023'!$AE$2:$AE$10000,0),1),"")</f>
        <v>37717</v>
      </c>
      <c r="AB3212" s="5">
        <f>IF(INDEX('CAMD Facility Data 2023'!$AC$2:$AE$10000,MATCH(Z3212,'CAMD Facility Data 2023'!$AE$2:$AE$10000,0),1)&gt;0,INDEX('CAMD Facility Data 2023'!$AC$2:$AE$10000,MATCH(Z3212,'CAMD Facility Data 2023'!$AE$2:$AE$10000,0),1),"")</f>
        <v>2750</v>
      </c>
      <c r="AC3212" s="1" t="str">
        <f>IF(INDEX('CAMD Facility Data 2023'!$AE$2:$AG$10000,MATCH(Z3212,'CAMD Facility Data 2023'!$AE$2:$AE$10000,0),3)&gt;0,INDEX('CAMD Facility Data 2023'!$AE$2:$AG$10000,MATCH(Z3212,'CAMD Facility Data 2023'!$AE$2:$AE$10000,0),3),"")</f>
        <v>Y</v>
      </c>
      <c r="AD3212" s="20">
        <f t="shared" si="151"/>
        <v>5.4357811964100007E-2</v>
      </c>
      <c r="AE3212" s="25">
        <f t="shared" si="152"/>
        <v>0.7970151576172686</v>
      </c>
    </row>
    <row r="3213" spans="1:31" x14ac:dyDescent="0.2">
      <c r="A3213" s="1" t="s">
        <v>2430</v>
      </c>
      <c r="B3213" s="1" t="s">
        <v>7186</v>
      </c>
      <c r="C3213" s="1">
        <v>55736</v>
      </c>
      <c r="D3213" s="1" t="s">
        <v>6002</v>
      </c>
      <c r="F3213" s="1">
        <v>2023</v>
      </c>
      <c r="G3213" s="5">
        <v>8268</v>
      </c>
      <c r="H3213" s="5">
        <v>8260.69</v>
      </c>
      <c r="I3213" s="5">
        <v>2700810.79</v>
      </c>
      <c r="K3213" s="5">
        <v>5.7450000000000001</v>
      </c>
      <c r="L3213" s="5">
        <v>1E-3</v>
      </c>
      <c r="M3213" s="5">
        <v>1138068.818</v>
      </c>
      <c r="N3213" s="6">
        <v>5.8999999999999997E-2</v>
      </c>
      <c r="O3213" s="5">
        <v>69.171000000000006</v>
      </c>
      <c r="P3213" s="6">
        <v>7.4000000000000003E-3</v>
      </c>
      <c r="Q3213" s="5">
        <v>19150194.761</v>
      </c>
      <c r="R3213" s="1" t="s">
        <v>44</v>
      </c>
      <c r="T3213" s="1" t="s">
        <v>71</v>
      </c>
      <c r="V3213" s="1" t="s">
        <v>64</v>
      </c>
      <c r="Y3213" s="1" t="s">
        <v>461</v>
      </c>
      <c r="Z3213" s="1" t="str">
        <f t="shared" si="150"/>
        <v>55736 CTG3</v>
      </c>
      <c r="AA3213" s="3">
        <f>IF(INDEX('CAMD Facility Data 2023'!$AA$2:$AE$10000,MATCH(Z3213,'CAMD Facility Data 2023'!$AE$2:$AE$10000,0),1)&gt;0,INDEX('CAMD Facility Data 2023'!$AA$2:$AE$10000,MATCH(Z3213,'CAMD Facility Data 2023'!$AE$2:$AE$10000,0),1),"")</f>
        <v>37776</v>
      </c>
      <c r="AB3213" s="5">
        <f>IF(INDEX('CAMD Facility Data 2023'!$AC$2:$AE$10000,MATCH(Z3213,'CAMD Facility Data 2023'!$AE$2:$AE$10000,0),1)&gt;0,INDEX('CAMD Facility Data 2023'!$AC$2:$AE$10000,MATCH(Z3213,'CAMD Facility Data 2023'!$AE$2:$AE$10000,0),1),"")</f>
        <v>2750</v>
      </c>
      <c r="AC3213" s="1" t="str">
        <f>IF(INDEX('CAMD Facility Data 2023'!$AE$2:$AG$10000,MATCH(Z3213,'CAMD Facility Data 2023'!$AE$2:$AE$10000,0),3)&gt;0,INDEX('CAMD Facility Data 2023'!$AE$2:$AG$10000,MATCH(Z3213,'CAMD Facility Data 2023'!$AE$2:$AE$10000,0),3),"")</f>
        <v>Y</v>
      </c>
      <c r="AD3213" s="20">
        <f t="shared" si="151"/>
        <v>5.122239607166261E-2</v>
      </c>
      <c r="AE3213" s="25">
        <f t="shared" si="152"/>
        <v>0.79494374267330847</v>
      </c>
    </row>
    <row r="3214" spans="1:31" x14ac:dyDescent="0.2">
      <c r="A3214" s="1" t="s">
        <v>2430</v>
      </c>
      <c r="B3214" s="1" t="s">
        <v>7186</v>
      </c>
      <c r="C3214" s="1">
        <v>55736</v>
      </c>
      <c r="D3214" s="1" t="s">
        <v>2495</v>
      </c>
      <c r="F3214" s="1">
        <v>2023</v>
      </c>
      <c r="G3214" s="5">
        <v>8449</v>
      </c>
      <c r="H3214" s="5">
        <v>8444.64</v>
      </c>
      <c r="I3214" s="5">
        <v>2754895.97</v>
      </c>
      <c r="K3214" s="5">
        <v>5.8410000000000002</v>
      </c>
      <c r="L3214" s="5">
        <v>1E-3</v>
      </c>
      <c r="M3214" s="5">
        <v>1157025.287</v>
      </c>
      <c r="N3214" s="6">
        <v>5.8999999999999997E-2</v>
      </c>
      <c r="O3214" s="5">
        <v>71.847999999999999</v>
      </c>
      <c r="P3214" s="6">
        <v>7.4999999999999997E-3</v>
      </c>
      <c r="Q3214" s="5">
        <v>19469102.524999999</v>
      </c>
      <c r="R3214" s="1" t="s">
        <v>44</v>
      </c>
      <c r="T3214" s="1" t="s">
        <v>71</v>
      </c>
      <c r="V3214" s="1" t="s">
        <v>64</v>
      </c>
      <c r="Y3214" s="1" t="s">
        <v>461</v>
      </c>
      <c r="Z3214" s="1" t="str">
        <f t="shared" si="150"/>
        <v>55736 CTG4</v>
      </c>
      <c r="AA3214" s="3">
        <f>IF(INDEX('CAMD Facility Data 2023'!$AA$2:$AE$10000,MATCH(Z3214,'CAMD Facility Data 2023'!$AE$2:$AE$10000,0),1)&gt;0,INDEX('CAMD Facility Data 2023'!$AA$2:$AE$10000,MATCH(Z3214,'CAMD Facility Data 2023'!$AE$2:$AE$10000,0),1),"")</f>
        <v>37787</v>
      </c>
      <c r="AB3214" s="5">
        <f>IF(INDEX('CAMD Facility Data 2023'!$AC$2:$AE$10000,MATCH(Z3214,'CAMD Facility Data 2023'!$AE$2:$AE$10000,0),1)&gt;0,INDEX('CAMD Facility Data 2023'!$AC$2:$AE$10000,MATCH(Z3214,'CAMD Facility Data 2023'!$AE$2:$AE$10000,0),1),"")</f>
        <v>2750</v>
      </c>
      <c r="AC3214" s="1" t="str">
        <f>IF(INDEX('CAMD Facility Data 2023'!$AE$2:$AG$10000,MATCH(Z3214,'CAMD Facility Data 2023'!$AE$2:$AE$10000,0),3)&gt;0,INDEX('CAMD Facility Data 2023'!$AE$2:$AG$10000,MATCH(Z3214,'CAMD Facility Data 2023'!$AE$2:$AE$10000,0),3),"")</f>
        <v>Y</v>
      </c>
      <c r="AD3214" s="20">
        <f t="shared" si="151"/>
        <v>5.2160227306151233E-2</v>
      </c>
      <c r="AE3214" s="25">
        <f t="shared" si="152"/>
        <v>0.80818192299709413</v>
      </c>
    </row>
    <row r="3215" spans="1:31" x14ac:dyDescent="0.2">
      <c r="A3215" s="1" t="s">
        <v>3095</v>
      </c>
      <c r="B3215" s="1" t="s">
        <v>7193</v>
      </c>
      <c r="C3215" s="1">
        <v>55738</v>
      </c>
      <c r="D3215" s="1">
        <v>1</v>
      </c>
      <c r="F3215" s="1">
        <v>2023</v>
      </c>
      <c r="G3215" s="5">
        <v>2877</v>
      </c>
      <c r="H3215" s="5">
        <v>2746.88</v>
      </c>
      <c r="I3215" s="5">
        <v>116141.01</v>
      </c>
      <c r="K3215" s="5">
        <v>0.35</v>
      </c>
      <c r="L3215" s="5">
        <v>1E-3</v>
      </c>
      <c r="M3215" s="5">
        <v>69312.800000000003</v>
      </c>
      <c r="N3215" s="6">
        <v>5.9200000000000003E-2</v>
      </c>
      <c r="O3215" s="5">
        <v>45.523000000000003</v>
      </c>
      <c r="P3215" s="6">
        <v>8.1900000000000001E-2</v>
      </c>
      <c r="Q3215" s="5">
        <v>1166305.291</v>
      </c>
      <c r="R3215" s="1" t="s">
        <v>44</v>
      </c>
      <c r="T3215" s="1" t="s">
        <v>93</v>
      </c>
      <c r="V3215" s="1" t="s">
        <v>95</v>
      </c>
      <c r="Y3215" s="1" t="s">
        <v>1515</v>
      </c>
      <c r="Z3215" s="1" t="str">
        <f t="shared" si="150"/>
        <v>55738 1</v>
      </c>
      <c r="AA3215" s="3">
        <f>IF(INDEX('CAMD Facility Data 2023'!$AA$2:$AE$10000,MATCH(Z3215,'CAMD Facility Data 2023'!$AE$2:$AE$10000,0),1)&gt;0,INDEX('CAMD Facility Data 2023'!$AA$2:$AE$10000,MATCH(Z3215,'CAMD Facility Data 2023'!$AE$2:$AE$10000,0),1),"")</f>
        <v>37438</v>
      </c>
      <c r="AB3215" s="5">
        <f>IF(INDEX('CAMD Facility Data 2023'!$AC$2:$AE$10000,MATCH(Z3215,'CAMD Facility Data 2023'!$AE$2:$AE$10000,0),1)&gt;0,INDEX('CAMD Facility Data 2023'!$AC$2:$AE$10000,MATCH(Z3215,'CAMD Facility Data 2023'!$AE$2:$AE$10000,0),1),"")</f>
        <v>465</v>
      </c>
      <c r="AC3215" s="1" t="str">
        <f>IF(INDEX('CAMD Facility Data 2023'!$AE$2:$AG$10000,MATCH(Z3215,'CAMD Facility Data 2023'!$AE$2:$AE$10000,0),3)&gt;0,INDEX('CAMD Facility Data 2023'!$AE$2:$AG$10000,MATCH(Z3215,'CAMD Facility Data 2023'!$AE$2:$AE$10000,0),3),"")</f>
        <v/>
      </c>
      <c r="AD3215" s="20">
        <f t="shared" si="151"/>
        <v>0.78392636675021166</v>
      </c>
      <c r="AE3215" s="25">
        <f t="shared" si="152"/>
        <v>0.28632230839102468</v>
      </c>
    </row>
    <row r="3216" spans="1:31" x14ac:dyDescent="0.2">
      <c r="A3216" s="1" t="s">
        <v>3095</v>
      </c>
      <c r="B3216" s="1" t="s">
        <v>7193</v>
      </c>
      <c r="C3216" s="1">
        <v>55738</v>
      </c>
      <c r="D3216" s="1">
        <v>2</v>
      </c>
      <c r="F3216" s="1">
        <v>2023</v>
      </c>
      <c r="G3216" s="5">
        <v>1855</v>
      </c>
      <c r="H3216" s="5">
        <v>1746.73</v>
      </c>
      <c r="I3216" s="5">
        <v>69625.27</v>
      </c>
      <c r="K3216" s="5">
        <v>0.193</v>
      </c>
      <c r="L3216" s="5">
        <v>1E-3</v>
      </c>
      <c r="M3216" s="5">
        <v>38308.231</v>
      </c>
      <c r="N3216" s="6">
        <v>5.9200000000000003E-2</v>
      </c>
      <c r="O3216" s="5">
        <v>24.850999999999999</v>
      </c>
      <c r="P3216" s="6">
        <v>8.09E-2</v>
      </c>
      <c r="Q3216" s="5">
        <v>644620.50899999996</v>
      </c>
      <c r="R3216" s="1" t="s">
        <v>44</v>
      </c>
      <c r="T3216" s="1" t="s">
        <v>93</v>
      </c>
      <c r="V3216" s="1" t="s">
        <v>95</v>
      </c>
      <c r="Y3216" s="1" t="s">
        <v>1515</v>
      </c>
      <c r="Z3216" s="1" t="str">
        <f t="shared" si="150"/>
        <v>55738 2</v>
      </c>
      <c r="AA3216" s="3">
        <f>IF(INDEX('CAMD Facility Data 2023'!$AA$2:$AE$10000,MATCH(Z3216,'CAMD Facility Data 2023'!$AE$2:$AE$10000,0),1)&gt;0,INDEX('CAMD Facility Data 2023'!$AA$2:$AE$10000,MATCH(Z3216,'CAMD Facility Data 2023'!$AE$2:$AE$10000,0),1),"")</f>
        <v>37438</v>
      </c>
      <c r="AB3216" s="5">
        <f>IF(INDEX('CAMD Facility Data 2023'!$AC$2:$AE$10000,MATCH(Z3216,'CAMD Facility Data 2023'!$AE$2:$AE$10000,0),1)&gt;0,INDEX('CAMD Facility Data 2023'!$AC$2:$AE$10000,MATCH(Z3216,'CAMD Facility Data 2023'!$AE$2:$AE$10000,0),1),"")</f>
        <v>449</v>
      </c>
      <c r="AC3216" s="1" t="str">
        <f>IF(INDEX('CAMD Facility Data 2023'!$AE$2:$AG$10000,MATCH(Z3216,'CAMD Facility Data 2023'!$AE$2:$AE$10000,0),3)&gt;0,INDEX('CAMD Facility Data 2023'!$AE$2:$AG$10000,MATCH(Z3216,'CAMD Facility Data 2023'!$AE$2:$AE$10000,0),3),"")</f>
        <v/>
      </c>
      <c r="AD3216" s="20">
        <f t="shared" si="151"/>
        <v>0.71385001451340868</v>
      </c>
      <c r="AE3216" s="25">
        <f t="shared" si="152"/>
        <v>0.16389045901089178</v>
      </c>
    </row>
    <row r="3217" spans="1:31" x14ac:dyDescent="0.2">
      <c r="A3217" s="1" t="s">
        <v>370</v>
      </c>
      <c r="B3217" s="1" t="s">
        <v>7196</v>
      </c>
      <c r="C3217" s="1">
        <v>55748</v>
      </c>
      <c r="D3217" s="1" t="s">
        <v>1129</v>
      </c>
      <c r="F3217" s="1">
        <v>2023</v>
      </c>
      <c r="G3217" s="5">
        <v>972</v>
      </c>
      <c r="H3217" s="5">
        <v>863.87</v>
      </c>
      <c r="I3217" s="5">
        <v>47358.78</v>
      </c>
      <c r="K3217" s="5">
        <v>0.12</v>
      </c>
      <c r="L3217" s="5">
        <v>1E-3</v>
      </c>
      <c r="M3217" s="5">
        <v>23866.712</v>
      </c>
      <c r="N3217" s="6">
        <v>5.9200000000000003E-2</v>
      </c>
      <c r="O3217" s="5">
        <v>1.4</v>
      </c>
      <c r="P3217" s="6">
        <v>1.14E-2</v>
      </c>
      <c r="Q3217" s="5">
        <v>401600.636</v>
      </c>
      <c r="R3217" s="1" t="s">
        <v>44</v>
      </c>
      <c r="T3217" s="1" t="s">
        <v>71</v>
      </c>
      <c r="V3217" s="1" t="s">
        <v>176</v>
      </c>
      <c r="Y3217" s="1" t="s">
        <v>247</v>
      </c>
      <c r="Z3217" s="1" t="str">
        <f t="shared" si="150"/>
        <v>55748 CTG1</v>
      </c>
      <c r="AA3217" s="3">
        <f>IF(INDEX('CAMD Facility Data 2023'!$AA$2:$AE$10000,MATCH(Z3217,'CAMD Facility Data 2023'!$AE$2:$AE$10000,0),1)&gt;0,INDEX('CAMD Facility Data 2023'!$AA$2:$AE$10000,MATCH(Z3217,'CAMD Facility Data 2023'!$AE$2:$AE$10000,0),1),"")</f>
        <v>37639</v>
      </c>
      <c r="AB3217" s="5">
        <f>IF(INDEX('CAMD Facility Data 2023'!$AC$2:$AE$10000,MATCH(Z3217,'CAMD Facility Data 2023'!$AE$2:$AE$10000,0),1)&gt;0,INDEX('CAMD Facility Data 2023'!$AC$2:$AE$10000,MATCH(Z3217,'CAMD Facility Data 2023'!$AE$2:$AE$10000,0),1),"")</f>
        <v>639</v>
      </c>
      <c r="AC3217" s="1" t="str">
        <f>IF(INDEX('CAMD Facility Data 2023'!$AE$2:$AG$10000,MATCH(Z3217,'CAMD Facility Data 2023'!$AE$2:$AE$10000,0),3)&gt;0,INDEX('CAMD Facility Data 2023'!$AE$2:$AG$10000,MATCH(Z3217,'CAMD Facility Data 2023'!$AE$2:$AE$10000,0),3),"")</f>
        <v>Y</v>
      </c>
      <c r="AD3217" s="20">
        <f t="shared" si="151"/>
        <v>5.9123144641817213E-2</v>
      </c>
      <c r="AE3217" s="25">
        <f t="shared" si="152"/>
        <v>7.1744634524549628E-2</v>
      </c>
    </row>
    <row r="3218" spans="1:31" x14ac:dyDescent="0.2">
      <c r="A3218" s="1" t="s">
        <v>370</v>
      </c>
      <c r="B3218" s="1" t="s">
        <v>7196</v>
      </c>
      <c r="C3218" s="1">
        <v>55748</v>
      </c>
      <c r="D3218" s="1" t="s">
        <v>1135</v>
      </c>
      <c r="F3218" s="1">
        <v>2023</v>
      </c>
      <c r="G3218" s="5">
        <v>1076</v>
      </c>
      <c r="H3218" s="5">
        <v>947.62</v>
      </c>
      <c r="I3218" s="5">
        <v>50696.58</v>
      </c>
      <c r="K3218" s="5">
        <v>0.129</v>
      </c>
      <c r="L3218" s="5">
        <v>1E-3</v>
      </c>
      <c r="M3218" s="5">
        <v>25551.851999999999</v>
      </c>
      <c r="N3218" s="6">
        <v>5.9200000000000003E-2</v>
      </c>
      <c r="O3218" s="5">
        <v>1.419</v>
      </c>
      <c r="P3218" s="6">
        <v>1.03E-2</v>
      </c>
      <c r="Q3218" s="5">
        <v>429964.179</v>
      </c>
      <c r="R3218" s="1" t="s">
        <v>44</v>
      </c>
      <c r="T3218" s="1" t="s">
        <v>71</v>
      </c>
      <c r="V3218" s="1" t="s">
        <v>176</v>
      </c>
      <c r="Y3218" s="1" t="s">
        <v>247</v>
      </c>
      <c r="Z3218" s="1" t="str">
        <f t="shared" si="150"/>
        <v>55748 CTG2</v>
      </c>
      <c r="AA3218" s="3">
        <f>IF(INDEX('CAMD Facility Data 2023'!$AA$2:$AE$10000,MATCH(Z3218,'CAMD Facility Data 2023'!$AE$2:$AE$10000,0),1)&gt;0,INDEX('CAMD Facility Data 2023'!$AA$2:$AE$10000,MATCH(Z3218,'CAMD Facility Data 2023'!$AE$2:$AE$10000,0),1),"")</f>
        <v>37619</v>
      </c>
      <c r="AB3218" s="5">
        <f>IF(INDEX('CAMD Facility Data 2023'!$AC$2:$AE$10000,MATCH(Z3218,'CAMD Facility Data 2023'!$AE$2:$AE$10000,0),1)&gt;0,INDEX('CAMD Facility Data 2023'!$AC$2:$AE$10000,MATCH(Z3218,'CAMD Facility Data 2023'!$AE$2:$AE$10000,0),1),"")</f>
        <v>639</v>
      </c>
      <c r="AC3218" s="1" t="str">
        <f>IF(INDEX('CAMD Facility Data 2023'!$AE$2:$AG$10000,MATCH(Z3218,'CAMD Facility Data 2023'!$AE$2:$AE$10000,0),3)&gt;0,INDEX('CAMD Facility Data 2023'!$AE$2:$AG$10000,MATCH(Z3218,'CAMD Facility Data 2023'!$AE$2:$AE$10000,0),3),"")</f>
        <v>Y</v>
      </c>
      <c r="AD3218" s="20">
        <f t="shared" si="151"/>
        <v>5.5980107533880982E-2</v>
      </c>
      <c r="AE3218" s="25">
        <f t="shared" si="152"/>
        <v>7.6811688318648569E-2</v>
      </c>
    </row>
    <row r="3219" spans="1:31" x14ac:dyDescent="0.2">
      <c r="A3219" s="1" t="s">
        <v>370</v>
      </c>
      <c r="B3219" s="1" t="s">
        <v>7196</v>
      </c>
      <c r="C3219" s="1">
        <v>55748</v>
      </c>
      <c r="D3219" s="1" t="s">
        <v>6002</v>
      </c>
      <c r="F3219" s="1">
        <v>2023</v>
      </c>
      <c r="G3219" s="5">
        <v>884</v>
      </c>
      <c r="H3219" s="5">
        <v>777.2</v>
      </c>
      <c r="I3219" s="5">
        <v>41820.629999999997</v>
      </c>
      <c r="K3219" s="5">
        <v>0.108</v>
      </c>
      <c r="L3219" s="5">
        <v>1E-3</v>
      </c>
      <c r="M3219" s="5">
        <v>21459.641</v>
      </c>
      <c r="N3219" s="6">
        <v>5.9200000000000003E-2</v>
      </c>
      <c r="O3219" s="5">
        <v>1.375</v>
      </c>
      <c r="P3219" s="6">
        <v>1.26E-2</v>
      </c>
      <c r="Q3219" s="5">
        <v>361116.49800000002</v>
      </c>
      <c r="R3219" s="1" t="s">
        <v>44</v>
      </c>
      <c r="T3219" s="1" t="s">
        <v>71</v>
      </c>
      <c r="V3219" s="1" t="s">
        <v>176</v>
      </c>
      <c r="Y3219" s="1" t="s">
        <v>247</v>
      </c>
      <c r="Z3219" s="1" t="str">
        <f t="shared" si="150"/>
        <v>55748 CTG3</v>
      </c>
      <c r="AA3219" s="3">
        <f>IF(INDEX('CAMD Facility Data 2023'!$AA$2:$AE$10000,MATCH(Z3219,'CAMD Facility Data 2023'!$AE$2:$AE$10000,0),1)&gt;0,INDEX('CAMD Facility Data 2023'!$AA$2:$AE$10000,MATCH(Z3219,'CAMD Facility Data 2023'!$AE$2:$AE$10000,0),1),"")</f>
        <v>37611</v>
      </c>
      <c r="AB3219" s="5">
        <f>IF(INDEX('CAMD Facility Data 2023'!$AC$2:$AE$10000,MATCH(Z3219,'CAMD Facility Data 2023'!$AE$2:$AE$10000,0),1)&gt;0,INDEX('CAMD Facility Data 2023'!$AC$2:$AE$10000,MATCH(Z3219,'CAMD Facility Data 2023'!$AE$2:$AE$10000,0),1),"")</f>
        <v>639</v>
      </c>
      <c r="AC3219" s="1" t="str">
        <f>IF(INDEX('CAMD Facility Data 2023'!$AE$2:$AG$10000,MATCH(Z3219,'CAMD Facility Data 2023'!$AE$2:$AE$10000,0),3)&gt;0,INDEX('CAMD Facility Data 2023'!$AE$2:$AG$10000,MATCH(Z3219,'CAMD Facility Data 2023'!$AE$2:$AE$10000,0),3),"")</f>
        <v>Y</v>
      </c>
      <c r="AD3219" s="20">
        <f t="shared" si="151"/>
        <v>6.5757019920551177E-2</v>
      </c>
      <c r="AE3219" s="25">
        <f t="shared" si="152"/>
        <v>6.4512276244988967E-2</v>
      </c>
    </row>
    <row r="3220" spans="1:31" x14ac:dyDescent="0.2">
      <c r="A3220" s="1" t="s">
        <v>370</v>
      </c>
      <c r="B3220" s="1" t="s">
        <v>7196</v>
      </c>
      <c r="C3220" s="1">
        <v>55748</v>
      </c>
      <c r="D3220" s="1" t="s">
        <v>2495</v>
      </c>
      <c r="F3220" s="1">
        <v>2023</v>
      </c>
      <c r="G3220" s="5">
        <v>1081</v>
      </c>
      <c r="H3220" s="5">
        <v>962.72</v>
      </c>
      <c r="I3220" s="5">
        <v>51302.76</v>
      </c>
      <c r="K3220" s="5">
        <v>0.13300000000000001</v>
      </c>
      <c r="L3220" s="5">
        <v>1E-3</v>
      </c>
      <c r="M3220" s="5">
        <v>26281.649000000001</v>
      </c>
      <c r="N3220" s="6">
        <v>5.9200000000000003E-2</v>
      </c>
      <c r="O3220" s="5">
        <v>1.4370000000000001</v>
      </c>
      <c r="P3220" s="6">
        <v>9.7999999999999997E-3</v>
      </c>
      <c r="Q3220" s="5">
        <v>442244.78200000001</v>
      </c>
      <c r="R3220" s="1" t="s">
        <v>44</v>
      </c>
      <c r="T3220" s="1" t="s">
        <v>71</v>
      </c>
      <c r="V3220" s="1" t="s">
        <v>176</v>
      </c>
      <c r="Y3220" s="1" t="s">
        <v>247</v>
      </c>
      <c r="Z3220" s="1" t="str">
        <f t="shared" si="150"/>
        <v>55748 CTG4</v>
      </c>
      <c r="AA3220" s="3">
        <f>IF(INDEX('CAMD Facility Data 2023'!$AA$2:$AE$10000,MATCH(Z3220,'CAMD Facility Data 2023'!$AE$2:$AE$10000,0),1)&gt;0,INDEX('CAMD Facility Data 2023'!$AA$2:$AE$10000,MATCH(Z3220,'CAMD Facility Data 2023'!$AE$2:$AE$10000,0),1),"")</f>
        <v>37632</v>
      </c>
      <c r="AB3220" s="5">
        <f>IF(INDEX('CAMD Facility Data 2023'!$AC$2:$AE$10000,MATCH(Z3220,'CAMD Facility Data 2023'!$AE$2:$AE$10000,0),1)&gt;0,INDEX('CAMD Facility Data 2023'!$AC$2:$AE$10000,MATCH(Z3220,'CAMD Facility Data 2023'!$AE$2:$AE$10000,0),1),"")</f>
        <v>639</v>
      </c>
      <c r="AC3220" s="1" t="str">
        <f>IF(INDEX('CAMD Facility Data 2023'!$AE$2:$AG$10000,MATCH(Z3220,'CAMD Facility Data 2023'!$AE$2:$AE$10000,0),3)&gt;0,INDEX('CAMD Facility Data 2023'!$AE$2:$AG$10000,MATCH(Z3220,'CAMD Facility Data 2023'!$AE$2:$AE$10000,0),3),"")</f>
        <v>Y</v>
      </c>
      <c r="AD3220" s="20">
        <f t="shared" si="151"/>
        <v>5.6020377851016198E-2</v>
      </c>
      <c r="AE3220" s="25">
        <f t="shared" si="152"/>
        <v>7.900557770774827E-2</v>
      </c>
    </row>
    <row r="3221" spans="1:31" x14ac:dyDescent="0.2">
      <c r="A3221" s="1" t="s">
        <v>1843</v>
      </c>
      <c r="B3221" s="1" t="s">
        <v>7202</v>
      </c>
      <c r="C3221" s="1">
        <v>55749</v>
      </c>
      <c r="D3221" s="1" t="s">
        <v>3858</v>
      </c>
      <c r="F3221" s="1">
        <v>2023</v>
      </c>
      <c r="G3221" s="5">
        <v>6752</v>
      </c>
      <c r="H3221" s="5">
        <v>6710.72</v>
      </c>
      <c r="I3221" s="5">
        <v>504897.98</v>
      </c>
      <c r="K3221" s="5">
        <v>286.339</v>
      </c>
      <c r="L3221" s="5">
        <v>8.3000000000000004E-2</v>
      </c>
      <c r="M3221" s="5">
        <v>722125.12399999995</v>
      </c>
      <c r="N3221" s="6">
        <v>0.1026</v>
      </c>
      <c r="O3221" s="5">
        <v>275.78699999999998</v>
      </c>
      <c r="P3221" s="6">
        <v>7.6999999999999999E-2</v>
      </c>
      <c r="Q3221" s="5">
        <v>6898018.3550000004</v>
      </c>
      <c r="R3221" s="1" t="s">
        <v>55</v>
      </c>
      <c r="T3221" s="1" t="s">
        <v>89</v>
      </c>
      <c r="U3221" s="1" t="s">
        <v>212</v>
      </c>
      <c r="V3221" s="1" t="s">
        <v>639</v>
      </c>
      <c r="W3221" s="1" t="s">
        <v>232</v>
      </c>
      <c r="Y3221" s="1" t="s">
        <v>236</v>
      </c>
      <c r="Z3221" s="1" t="str">
        <f t="shared" si="150"/>
        <v>55749 U1</v>
      </c>
      <c r="AA3221" s="3">
        <f>IF(INDEX('CAMD Facility Data 2023'!$AA$2:$AE$10000,MATCH(Z3221,'CAMD Facility Data 2023'!$AE$2:$AE$10000,0),1)&gt;0,INDEX('CAMD Facility Data 2023'!$AA$2:$AE$10000,MATCH(Z3221,'CAMD Facility Data 2023'!$AE$2:$AE$10000,0),1),"")</f>
        <v>38821</v>
      </c>
      <c r="AB3221" s="5">
        <f>IF(INDEX('CAMD Facility Data 2023'!$AC$2:$AE$10000,MATCH(Z3221,'CAMD Facility Data 2023'!$AE$2:$AE$10000,0),1)&gt;0,INDEX('CAMD Facility Data 2023'!$AC$2:$AE$10000,MATCH(Z3221,'CAMD Facility Data 2023'!$AE$2:$AE$10000,0),1),"")</f>
        <v>1670</v>
      </c>
      <c r="AC3221" s="1" t="str">
        <f>IF(INDEX('CAMD Facility Data 2023'!$AE$2:$AG$10000,MATCH(Z3221,'CAMD Facility Data 2023'!$AE$2:$AE$10000,0),3)&gt;0,INDEX('CAMD Facility Data 2023'!$AE$2:$AG$10000,MATCH(Z3221,'CAMD Facility Data 2023'!$AE$2:$AE$10000,0),3),"")</f>
        <v>Y</v>
      </c>
      <c r="AD3221" s="20">
        <f t="shared" si="151"/>
        <v>1.0924464383874144</v>
      </c>
      <c r="AE3221" s="25">
        <f t="shared" si="152"/>
        <v>0.47152396269105629</v>
      </c>
    </row>
    <row r="3222" spans="1:31" x14ac:dyDescent="0.2">
      <c r="A3222" s="1" t="s">
        <v>2089</v>
      </c>
      <c r="B3222" s="1" t="s">
        <v>7207</v>
      </c>
      <c r="C3222" s="1">
        <v>55786</v>
      </c>
      <c r="D3222" s="1" t="s">
        <v>993</v>
      </c>
      <c r="F3222" s="1">
        <v>2023</v>
      </c>
      <c r="G3222" s="5">
        <v>1694</v>
      </c>
      <c r="H3222" s="5">
        <v>1301.78</v>
      </c>
      <c r="I3222" s="5">
        <v>55349.22</v>
      </c>
      <c r="K3222" s="5">
        <v>0.16700000000000001</v>
      </c>
      <c r="L3222" s="5">
        <v>1E-3</v>
      </c>
      <c r="M3222" s="5">
        <v>33070.805</v>
      </c>
      <c r="N3222" s="6">
        <v>5.9200000000000003E-2</v>
      </c>
      <c r="O3222" s="5">
        <v>3.0289999999999999</v>
      </c>
      <c r="P3222" s="6">
        <v>2.0299999999999999E-2</v>
      </c>
      <c r="Q3222" s="5">
        <v>556489.07400000002</v>
      </c>
      <c r="R3222" s="1" t="s">
        <v>44</v>
      </c>
      <c r="T3222" s="1" t="s">
        <v>93</v>
      </c>
      <c r="V3222" s="1" t="s">
        <v>176</v>
      </c>
      <c r="Y3222" s="1" t="s">
        <v>1515</v>
      </c>
      <c r="Z3222" s="1" t="str">
        <f t="shared" si="150"/>
        <v>55786 CT01</v>
      </c>
      <c r="AA3222" s="3">
        <f>IF(INDEX('CAMD Facility Data 2023'!$AA$2:$AE$10000,MATCH(Z3222,'CAMD Facility Data 2023'!$AE$2:$AE$10000,0),1)&gt;0,INDEX('CAMD Facility Data 2023'!$AA$2:$AE$10000,MATCH(Z3222,'CAMD Facility Data 2023'!$AE$2:$AE$10000,0),1),"")</f>
        <v>37452</v>
      </c>
      <c r="AB3222" s="5">
        <f>IF(INDEX('CAMD Facility Data 2023'!$AC$2:$AE$10000,MATCH(Z3222,'CAMD Facility Data 2023'!$AE$2:$AE$10000,0),1)&gt;0,INDEX('CAMD Facility Data 2023'!$AC$2:$AE$10000,MATCH(Z3222,'CAMD Facility Data 2023'!$AE$2:$AE$10000,0),1),"")</f>
        <v>480</v>
      </c>
      <c r="AC3222" s="1" t="str">
        <f>IF(INDEX('CAMD Facility Data 2023'!$AE$2:$AG$10000,MATCH(Z3222,'CAMD Facility Data 2023'!$AE$2:$AE$10000,0),3)&gt;0,INDEX('CAMD Facility Data 2023'!$AE$2:$AG$10000,MATCH(Z3222,'CAMD Facility Data 2023'!$AE$2:$AE$10000,0),3),"")</f>
        <v>Y</v>
      </c>
      <c r="AD3222" s="20">
        <f t="shared" si="151"/>
        <v>0.10945050354819814</v>
      </c>
      <c r="AE3222" s="25">
        <f t="shared" si="152"/>
        <v>0.13234614583333335</v>
      </c>
    </row>
    <row r="3223" spans="1:31" x14ac:dyDescent="0.2">
      <c r="A3223" s="1" t="s">
        <v>2089</v>
      </c>
      <c r="B3223" s="1" t="s">
        <v>7207</v>
      </c>
      <c r="C3223" s="1">
        <v>55786</v>
      </c>
      <c r="D3223" s="1" t="s">
        <v>998</v>
      </c>
      <c r="F3223" s="1">
        <v>2023</v>
      </c>
      <c r="G3223" s="5">
        <v>1430</v>
      </c>
      <c r="H3223" s="5">
        <v>1079.77</v>
      </c>
      <c r="I3223" s="5">
        <v>45637.89</v>
      </c>
      <c r="K3223" s="5">
        <v>0.13800000000000001</v>
      </c>
      <c r="L3223" s="5">
        <v>1E-3</v>
      </c>
      <c r="M3223" s="5">
        <v>27348.017</v>
      </c>
      <c r="N3223" s="6">
        <v>5.9200000000000003E-2</v>
      </c>
      <c r="O3223" s="5">
        <v>2.3929999999999998</v>
      </c>
      <c r="P3223" s="6">
        <v>2.0799999999999999E-2</v>
      </c>
      <c r="Q3223" s="5">
        <v>460204.10399999999</v>
      </c>
      <c r="R3223" s="1" t="s">
        <v>44</v>
      </c>
      <c r="T3223" s="1" t="s">
        <v>93</v>
      </c>
      <c r="V3223" s="1" t="s">
        <v>176</v>
      </c>
      <c r="Y3223" s="1" t="s">
        <v>1515</v>
      </c>
      <c r="Z3223" s="1" t="str">
        <f t="shared" si="150"/>
        <v>55786 CT02</v>
      </c>
      <c r="AA3223" s="3">
        <f>IF(INDEX('CAMD Facility Data 2023'!$AA$2:$AE$10000,MATCH(Z3223,'CAMD Facility Data 2023'!$AE$2:$AE$10000,0),1)&gt;0,INDEX('CAMD Facility Data 2023'!$AA$2:$AE$10000,MATCH(Z3223,'CAMD Facility Data 2023'!$AE$2:$AE$10000,0),1),"")</f>
        <v>37452</v>
      </c>
      <c r="AB3223" s="5">
        <f>IF(INDEX('CAMD Facility Data 2023'!$AC$2:$AE$10000,MATCH(Z3223,'CAMD Facility Data 2023'!$AE$2:$AE$10000,0),1)&gt;0,INDEX('CAMD Facility Data 2023'!$AC$2:$AE$10000,MATCH(Z3223,'CAMD Facility Data 2023'!$AE$2:$AE$10000,0),1),"")</f>
        <v>480</v>
      </c>
      <c r="AC3223" s="1" t="str">
        <f>IF(INDEX('CAMD Facility Data 2023'!$AE$2:$AG$10000,MATCH(Z3223,'CAMD Facility Data 2023'!$AE$2:$AE$10000,0),3)&gt;0,INDEX('CAMD Facility Data 2023'!$AE$2:$AG$10000,MATCH(Z3223,'CAMD Facility Data 2023'!$AE$2:$AE$10000,0),3),"")</f>
        <v>Y</v>
      </c>
      <c r="AD3223" s="20">
        <f t="shared" si="151"/>
        <v>0.10486900248894065</v>
      </c>
      <c r="AE3223" s="25">
        <f t="shared" si="152"/>
        <v>0.10944732305936072</v>
      </c>
    </row>
    <row r="3224" spans="1:31" x14ac:dyDescent="0.2">
      <c r="A3224" s="1" t="s">
        <v>2089</v>
      </c>
      <c r="B3224" s="1" t="s">
        <v>7212</v>
      </c>
      <c r="C3224" s="1">
        <v>55787</v>
      </c>
      <c r="D3224" s="1" t="s">
        <v>993</v>
      </c>
      <c r="F3224" s="1">
        <v>2023</v>
      </c>
      <c r="G3224" s="5">
        <v>268</v>
      </c>
      <c r="H3224" s="5">
        <v>168.28</v>
      </c>
      <c r="I3224" s="5">
        <v>6418.27</v>
      </c>
      <c r="K3224" s="5">
        <v>2.1999999999999999E-2</v>
      </c>
      <c r="L3224" s="5">
        <v>8.9999999999999998E-4</v>
      </c>
      <c r="M3224" s="5">
        <v>4966.9160000000002</v>
      </c>
      <c r="N3224" s="6">
        <v>8.1000000000000003E-2</v>
      </c>
      <c r="O3224" s="5">
        <v>1.657</v>
      </c>
      <c r="P3224" s="6">
        <v>9.8900000000000002E-2</v>
      </c>
      <c r="Q3224" s="5">
        <v>61215.116999999998</v>
      </c>
      <c r="R3224" s="1" t="s">
        <v>94</v>
      </c>
      <c r="T3224" s="1" t="s">
        <v>93</v>
      </c>
      <c r="V3224" s="1" t="s">
        <v>176</v>
      </c>
      <c r="Y3224" s="1" t="s">
        <v>1515</v>
      </c>
      <c r="Z3224" s="1" t="str">
        <f t="shared" si="150"/>
        <v>55787 CT01</v>
      </c>
      <c r="AA3224" s="3">
        <f>IF(INDEX('CAMD Facility Data 2023'!$AA$2:$AE$10000,MATCH(Z3224,'CAMD Facility Data 2023'!$AE$2:$AE$10000,0),1)&gt;0,INDEX('CAMD Facility Data 2023'!$AA$2:$AE$10000,MATCH(Z3224,'CAMD Facility Data 2023'!$AE$2:$AE$10000,0),1),"")</f>
        <v>37457</v>
      </c>
      <c r="AB3224" s="5">
        <f>IF(INDEX('CAMD Facility Data 2023'!$AC$2:$AE$10000,MATCH(Z3224,'CAMD Facility Data 2023'!$AE$2:$AE$10000,0),1)&gt;0,INDEX('CAMD Facility Data 2023'!$AC$2:$AE$10000,MATCH(Z3224,'CAMD Facility Data 2023'!$AE$2:$AE$10000,0),1),"")</f>
        <v>461</v>
      </c>
      <c r="AC3224" s="1" t="str">
        <f>IF(INDEX('CAMD Facility Data 2023'!$AE$2:$AG$10000,MATCH(Z3224,'CAMD Facility Data 2023'!$AE$2:$AE$10000,0),3)&gt;0,INDEX('CAMD Facility Data 2023'!$AE$2:$AG$10000,MATCH(Z3224,'CAMD Facility Data 2023'!$AE$2:$AE$10000,0),3),"")</f>
        <v>Y</v>
      </c>
      <c r="AD3224" s="20">
        <f t="shared" si="151"/>
        <v>0.51633851489575844</v>
      </c>
      <c r="AE3224" s="25">
        <f t="shared" si="152"/>
        <v>1.5158410097168156E-2</v>
      </c>
    </row>
    <row r="3225" spans="1:31" x14ac:dyDescent="0.2">
      <c r="A3225" s="1" t="s">
        <v>2089</v>
      </c>
      <c r="B3225" s="1" t="s">
        <v>7212</v>
      </c>
      <c r="C3225" s="1">
        <v>55787</v>
      </c>
      <c r="D3225" s="1" t="s">
        <v>998</v>
      </c>
      <c r="F3225" s="1">
        <v>2023</v>
      </c>
      <c r="G3225" s="5">
        <v>268</v>
      </c>
      <c r="H3225" s="5">
        <v>182.19</v>
      </c>
      <c r="I3225" s="5">
        <v>7257.91</v>
      </c>
      <c r="K3225" s="5">
        <v>2.5000000000000001E-2</v>
      </c>
      <c r="L3225" s="5">
        <v>8.9999999999999998E-4</v>
      </c>
      <c r="M3225" s="5">
        <v>5676.067</v>
      </c>
      <c r="N3225" s="6">
        <v>8.1000000000000003E-2</v>
      </c>
      <c r="O3225" s="5">
        <v>1.6719999999999999</v>
      </c>
      <c r="P3225" s="6">
        <v>7.1199999999999999E-2</v>
      </c>
      <c r="Q3225" s="5">
        <v>69944.781000000003</v>
      </c>
      <c r="R3225" s="1" t="s">
        <v>94</v>
      </c>
      <c r="T3225" s="1" t="s">
        <v>93</v>
      </c>
      <c r="V3225" s="1" t="s">
        <v>176</v>
      </c>
      <c r="Y3225" s="1" t="s">
        <v>1515</v>
      </c>
      <c r="Z3225" s="1" t="str">
        <f t="shared" si="150"/>
        <v>55787 CT02</v>
      </c>
      <c r="AA3225" s="3">
        <f>IF(INDEX('CAMD Facility Data 2023'!$AA$2:$AE$10000,MATCH(Z3225,'CAMD Facility Data 2023'!$AE$2:$AE$10000,0),1)&gt;0,INDEX('CAMD Facility Data 2023'!$AA$2:$AE$10000,MATCH(Z3225,'CAMD Facility Data 2023'!$AE$2:$AE$10000,0),1),"")</f>
        <v>37459</v>
      </c>
      <c r="AB3225" s="5">
        <f>IF(INDEX('CAMD Facility Data 2023'!$AC$2:$AE$10000,MATCH(Z3225,'CAMD Facility Data 2023'!$AE$2:$AE$10000,0),1)&gt;0,INDEX('CAMD Facility Data 2023'!$AC$2:$AE$10000,MATCH(Z3225,'CAMD Facility Data 2023'!$AE$2:$AE$10000,0),1),"")</f>
        <v>461</v>
      </c>
      <c r="AC3225" s="1" t="str">
        <f>IF(INDEX('CAMD Facility Data 2023'!$AE$2:$AG$10000,MATCH(Z3225,'CAMD Facility Data 2023'!$AE$2:$AE$10000,0),3)&gt;0,INDEX('CAMD Facility Data 2023'!$AE$2:$AG$10000,MATCH(Z3225,'CAMD Facility Data 2023'!$AE$2:$AE$10000,0),3),"")</f>
        <v>Y</v>
      </c>
      <c r="AD3225" s="20">
        <f t="shared" si="151"/>
        <v>0.46073869750382684</v>
      </c>
      <c r="AE3225" s="25">
        <f t="shared" si="152"/>
        <v>1.7320095533830567E-2</v>
      </c>
    </row>
    <row r="3226" spans="1:31" x14ac:dyDescent="0.2">
      <c r="A3226" s="1" t="s">
        <v>2584</v>
      </c>
      <c r="B3226" s="1" t="s">
        <v>7213</v>
      </c>
      <c r="C3226" s="1">
        <v>55801</v>
      </c>
      <c r="D3226" s="1">
        <v>1</v>
      </c>
      <c r="F3226" s="1">
        <v>2023</v>
      </c>
      <c r="G3226" s="5">
        <v>7352</v>
      </c>
      <c r="H3226" s="5">
        <v>7344.32</v>
      </c>
      <c r="I3226" s="5">
        <v>2015589.96</v>
      </c>
      <c r="K3226" s="5">
        <v>4.1449999999999996</v>
      </c>
      <c r="L3226" s="5">
        <v>1E-3</v>
      </c>
      <c r="M3226" s="5">
        <v>821066.89500000002</v>
      </c>
      <c r="N3226" s="6">
        <v>5.8999999999999997E-2</v>
      </c>
      <c r="O3226" s="5">
        <v>64.319000000000003</v>
      </c>
      <c r="P3226" s="6">
        <v>9.7999999999999997E-3</v>
      </c>
      <c r="Q3226" s="5">
        <v>13816004.282</v>
      </c>
      <c r="R3226" s="1" t="s">
        <v>44</v>
      </c>
      <c r="S3226" s="1" t="s">
        <v>288</v>
      </c>
      <c r="T3226" s="1" t="s">
        <v>71</v>
      </c>
      <c r="V3226" s="1" t="s">
        <v>64</v>
      </c>
      <c r="Y3226" s="1" t="s">
        <v>1515</v>
      </c>
      <c r="Z3226" s="1" t="str">
        <f t="shared" si="150"/>
        <v>55801 1</v>
      </c>
      <c r="AA3226" s="3">
        <f>IF(INDEX('CAMD Facility Data 2023'!$AA$2:$AE$10000,MATCH(Z3226,'CAMD Facility Data 2023'!$AE$2:$AE$10000,0),1)&gt;0,INDEX('CAMD Facility Data 2023'!$AA$2:$AE$10000,MATCH(Z3226,'CAMD Facility Data 2023'!$AE$2:$AE$10000,0),1),"")</f>
        <v>38142</v>
      </c>
      <c r="AB3226" s="5">
        <f>IF(INDEX('CAMD Facility Data 2023'!$AC$2:$AE$10000,MATCH(Z3226,'CAMD Facility Data 2023'!$AE$2:$AE$10000,0),1)&gt;0,INDEX('CAMD Facility Data 2023'!$AC$2:$AE$10000,MATCH(Z3226,'CAMD Facility Data 2023'!$AE$2:$AE$10000,0),1),"")</f>
        <v>2282</v>
      </c>
      <c r="AC3226" s="1" t="str">
        <f>IF(INDEX('CAMD Facility Data 2023'!$AE$2:$AG$10000,MATCH(Z3226,'CAMD Facility Data 2023'!$AE$2:$AE$10000,0),3)&gt;0,INDEX('CAMD Facility Data 2023'!$AE$2:$AG$10000,MATCH(Z3226,'CAMD Facility Data 2023'!$AE$2:$AE$10000,0),3),"")</f>
        <v>Y</v>
      </c>
      <c r="AD3226" s="20">
        <f t="shared" si="151"/>
        <v>6.3821512585823761E-2</v>
      </c>
      <c r="AE3226" s="25">
        <f t="shared" si="152"/>
        <v>0.69113472330608017</v>
      </c>
    </row>
    <row r="3227" spans="1:31" x14ac:dyDescent="0.2">
      <c r="A3227" s="1" t="s">
        <v>2584</v>
      </c>
      <c r="B3227" s="1" t="s">
        <v>7213</v>
      </c>
      <c r="C3227" s="1">
        <v>55801</v>
      </c>
      <c r="D3227" s="1">
        <v>2</v>
      </c>
      <c r="F3227" s="1">
        <v>2023</v>
      </c>
      <c r="G3227" s="5">
        <v>7457</v>
      </c>
      <c r="H3227" s="5">
        <v>7445.36</v>
      </c>
      <c r="I3227" s="5">
        <v>2055403.97</v>
      </c>
      <c r="K3227" s="5">
        <v>4.2670000000000003</v>
      </c>
      <c r="L3227" s="5">
        <v>1E-3</v>
      </c>
      <c r="M3227" s="5">
        <v>845208.59299999999</v>
      </c>
      <c r="N3227" s="6">
        <v>5.8999999999999997E-2</v>
      </c>
      <c r="O3227" s="5">
        <v>67.497</v>
      </c>
      <c r="P3227" s="6">
        <v>9.9000000000000008E-3</v>
      </c>
      <c r="Q3227" s="5">
        <v>14222272.005999999</v>
      </c>
      <c r="R3227" s="1" t="s">
        <v>44</v>
      </c>
      <c r="S3227" s="1" t="s">
        <v>288</v>
      </c>
      <c r="T3227" s="1" t="s">
        <v>71</v>
      </c>
      <c r="V3227" s="1" t="s">
        <v>64</v>
      </c>
      <c r="Y3227" s="1" t="s">
        <v>1515</v>
      </c>
      <c r="Z3227" s="1" t="str">
        <f t="shared" si="150"/>
        <v>55801 2</v>
      </c>
      <c r="AA3227" s="3">
        <f>IF(INDEX('CAMD Facility Data 2023'!$AA$2:$AE$10000,MATCH(Z3227,'CAMD Facility Data 2023'!$AE$2:$AE$10000,0),1)&gt;0,INDEX('CAMD Facility Data 2023'!$AA$2:$AE$10000,MATCH(Z3227,'CAMD Facility Data 2023'!$AE$2:$AE$10000,0),1),"")</f>
        <v>38156</v>
      </c>
      <c r="AB3227" s="5">
        <f>IF(INDEX('CAMD Facility Data 2023'!$AC$2:$AE$10000,MATCH(Z3227,'CAMD Facility Data 2023'!$AE$2:$AE$10000,0),1)&gt;0,INDEX('CAMD Facility Data 2023'!$AC$2:$AE$10000,MATCH(Z3227,'CAMD Facility Data 2023'!$AE$2:$AE$10000,0),1),"")</f>
        <v>2282</v>
      </c>
      <c r="AC3227" s="1" t="str">
        <f>IF(INDEX('CAMD Facility Data 2023'!$AE$2:$AG$10000,MATCH(Z3227,'CAMD Facility Data 2023'!$AE$2:$AE$10000,0),3)&gt;0,INDEX('CAMD Facility Data 2023'!$AE$2:$AG$10000,MATCH(Z3227,'CAMD Facility Data 2023'!$AE$2:$AE$10000,0),3),"")</f>
        <v>Y</v>
      </c>
      <c r="AD3227" s="20">
        <f t="shared" si="151"/>
        <v>6.5677600106999898E-2</v>
      </c>
      <c r="AE3227" s="25">
        <f t="shared" si="152"/>
        <v>0.71145794594583778</v>
      </c>
    </row>
    <row r="3228" spans="1:31" x14ac:dyDescent="0.2">
      <c r="A3228" s="1" t="s">
        <v>2584</v>
      </c>
      <c r="B3228" s="1" t="s">
        <v>7213</v>
      </c>
      <c r="C3228" s="1">
        <v>55801</v>
      </c>
      <c r="D3228" s="1">
        <v>3</v>
      </c>
      <c r="F3228" s="1">
        <v>2023</v>
      </c>
      <c r="G3228" s="5">
        <v>7244</v>
      </c>
      <c r="H3228" s="5">
        <v>7231.62</v>
      </c>
      <c r="I3228" s="5">
        <v>1985232.39</v>
      </c>
      <c r="K3228" s="5">
        <v>4.0149999999999997</v>
      </c>
      <c r="L3228" s="5">
        <v>1E-3</v>
      </c>
      <c r="M3228" s="5">
        <v>795280.22600000002</v>
      </c>
      <c r="N3228" s="6">
        <v>5.8999999999999997E-2</v>
      </c>
      <c r="O3228" s="5">
        <v>61.77</v>
      </c>
      <c r="P3228" s="6">
        <v>9.7000000000000003E-3</v>
      </c>
      <c r="Q3228" s="5">
        <v>13382096.523</v>
      </c>
      <c r="R3228" s="1" t="s">
        <v>44</v>
      </c>
      <c r="S3228" s="1" t="s">
        <v>288</v>
      </c>
      <c r="T3228" s="1" t="s">
        <v>71</v>
      </c>
      <c r="V3228" s="1" t="s">
        <v>64</v>
      </c>
      <c r="Y3228" s="1" t="s">
        <v>1515</v>
      </c>
      <c r="Z3228" s="1" t="str">
        <f t="shared" si="150"/>
        <v>55801 3</v>
      </c>
      <c r="AA3228" s="3">
        <f>IF(INDEX('CAMD Facility Data 2023'!$AA$2:$AE$10000,MATCH(Z3228,'CAMD Facility Data 2023'!$AE$2:$AE$10000,0),1)&gt;0,INDEX('CAMD Facility Data 2023'!$AA$2:$AE$10000,MATCH(Z3228,'CAMD Facility Data 2023'!$AE$2:$AE$10000,0),1),"")</f>
        <v>38188</v>
      </c>
      <c r="AB3228" s="5">
        <f>IF(INDEX('CAMD Facility Data 2023'!$AC$2:$AE$10000,MATCH(Z3228,'CAMD Facility Data 2023'!$AE$2:$AE$10000,0),1)&gt;0,INDEX('CAMD Facility Data 2023'!$AC$2:$AE$10000,MATCH(Z3228,'CAMD Facility Data 2023'!$AE$2:$AE$10000,0),1),"")</f>
        <v>2282</v>
      </c>
      <c r="AC3228" s="1" t="str">
        <f>IF(INDEX('CAMD Facility Data 2023'!$AE$2:$AG$10000,MATCH(Z3228,'CAMD Facility Data 2023'!$AE$2:$AE$10000,0),3)&gt;0,INDEX('CAMD Facility Data 2023'!$AE$2:$AG$10000,MATCH(Z3228,'CAMD Facility Data 2023'!$AE$2:$AE$10000,0),3),"")</f>
        <v>Y</v>
      </c>
      <c r="AD3228" s="20">
        <f t="shared" si="151"/>
        <v>6.2229490422529329E-2</v>
      </c>
      <c r="AE3228" s="25">
        <f t="shared" si="152"/>
        <v>0.66942882970357653</v>
      </c>
    </row>
    <row r="3229" spans="1:31" x14ac:dyDescent="0.2">
      <c r="A3229" s="1" t="s">
        <v>2054</v>
      </c>
      <c r="B3229" s="1" t="s">
        <v>7218</v>
      </c>
      <c r="C3229" s="1">
        <v>55802</v>
      </c>
      <c r="D3229" s="1" t="s">
        <v>1129</v>
      </c>
      <c r="F3229" s="1">
        <v>2023</v>
      </c>
      <c r="G3229" s="5">
        <v>2346</v>
      </c>
      <c r="H3229" s="5">
        <v>2101.4899999999998</v>
      </c>
      <c r="I3229" s="5">
        <v>247273.67</v>
      </c>
      <c r="K3229" s="5">
        <v>0.81200000000000006</v>
      </c>
      <c r="L3229" s="5">
        <v>1E-3</v>
      </c>
      <c r="M3229" s="5">
        <v>160833.80600000001</v>
      </c>
      <c r="N3229" s="6">
        <v>5.8999999999999997E-2</v>
      </c>
      <c r="O3229" s="5">
        <v>50.622999999999998</v>
      </c>
      <c r="P3229" s="6">
        <v>5.1900000000000002E-2</v>
      </c>
      <c r="Q3229" s="5">
        <v>2706346.73</v>
      </c>
      <c r="R3229" s="1" t="s">
        <v>44</v>
      </c>
      <c r="T3229" s="1" t="s">
        <v>93</v>
      </c>
      <c r="V3229" s="1" t="s">
        <v>140</v>
      </c>
      <c r="Y3229" s="1" t="s">
        <v>247</v>
      </c>
      <c r="Z3229" s="1" t="str">
        <f t="shared" si="150"/>
        <v>55802 CTG1</v>
      </c>
      <c r="AA3229" s="3">
        <f>IF(INDEX('CAMD Facility Data 2023'!$AA$2:$AE$10000,MATCH(Z3229,'CAMD Facility Data 2023'!$AE$2:$AE$10000,0),1)&gt;0,INDEX('CAMD Facility Data 2023'!$AA$2:$AE$10000,MATCH(Z3229,'CAMD Facility Data 2023'!$AE$2:$AE$10000,0),1),"")</f>
        <v>39588</v>
      </c>
      <c r="AB3229" s="5">
        <f>IF(INDEX('CAMD Facility Data 2023'!$AC$2:$AE$10000,MATCH(Z3229,'CAMD Facility Data 2023'!$AE$2:$AE$10000,0),1)&gt;0,INDEX('CAMD Facility Data 2023'!$AC$2:$AE$10000,MATCH(Z3229,'CAMD Facility Data 2023'!$AE$2:$AE$10000,0),1),"")</f>
        <v>1682</v>
      </c>
      <c r="AC3229" s="1" t="str">
        <f>IF(INDEX('CAMD Facility Data 2023'!$AE$2:$AG$10000,MATCH(Z3229,'CAMD Facility Data 2023'!$AE$2:$AE$10000,0),3)&gt;0,INDEX('CAMD Facility Data 2023'!$AE$2:$AG$10000,MATCH(Z3229,'CAMD Facility Data 2023'!$AE$2:$AE$10000,0),3),"")</f>
        <v/>
      </c>
      <c r="AD3229" s="20">
        <f t="shared" si="151"/>
        <v>0.40944917426914074</v>
      </c>
      <c r="AE3229" s="25">
        <f t="shared" si="152"/>
        <v>0.18367639158101629</v>
      </c>
    </row>
    <row r="3230" spans="1:31" x14ac:dyDescent="0.2">
      <c r="A3230" s="1" t="s">
        <v>370</v>
      </c>
      <c r="B3230" s="1" t="s">
        <v>7222</v>
      </c>
      <c r="C3230" s="1">
        <v>55807</v>
      </c>
      <c r="D3230" s="1" t="s">
        <v>7223</v>
      </c>
      <c r="F3230" s="1">
        <v>2023</v>
      </c>
      <c r="G3230" s="5">
        <v>91</v>
      </c>
      <c r="H3230" s="5">
        <v>66.77</v>
      </c>
      <c r="I3230" s="5">
        <v>2049.9</v>
      </c>
      <c r="K3230" s="5">
        <v>6.0000000000000001E-3</v>
      </c>
      <c r="L3230" s="5">
        <v>1E-3</v>
      </c>
      <c r="M3230" s="5">
        <v>1247.905</v>
      </c>
      <c r="N3230" s="6">
        <v>5.9299999999999999E-2</v>
      </c>
      <c r="O3230" s="5">
        <v>0.183</v>
      </c>
      <c r="P3230" s="6">
        <v>2.9100000000000001E-2</v>
      </c>
      <c r="Q3230" s="5">
        <v>21004.966</v>
      </c>
      <c r="R3230" s="1" t="s">
        <v>44</v>
      </c>
      <c r="T3230" s="1" t="s">
        <v>93</v>
      </c>
      <c r="V3230" s="1" t="s">
        <v>176</v>
      </c>
      <c r="Y3230" s="1" t="s">
        <v>247</v>
      </c>
      <c r="Z3230" s="1" t="str">
        <f t="shared" si="150"/>
        <v>55807 HPP1</v>
      </c>
      <c r="AA3230" s="3">
        <f>IF(INDEX('CAMD Facility Data 2023'!$AA$2:$AE$10000,MATCH(Z3230,'CAMD Facility Data 2023'!$AE$2:$AE$10000,0),1)&gt;0,INDEX('CAMD Facility Data 2023'!$AA$2:$AE$10000,MATCH(Z3230,'CAMD Facility Data 2023'!$AE$2:$AE$10000,0),1),"")</f>
        <v>37438</v>
      </c>
      <c r="AB3230" s="5">
        <f>IF(INDEX('CAMD Facility Data 2023'!$AC$2:$AE$10000,MATCH(Z3230,'CAMD Facility Data 2023'!$AE$2:$AE$10000,0),1)&gt;0,INDEX('CAMD Facility Data 2023'!$AC$2:$AE$10000,MATCH(Z3230,'CAMD Facility Data 2023'!$AE$2:$AE$10000,0),1),"")</f>
        <v>540</v>
      </c>
      <c r="AC3230" s="1" t="str">
        <f>IF(INDEX('CAMD Facility Data 2023'!$AE$2:$AG$10000,MATCH(Z3230,'CAMD Facility Data 2023'!$AE$2:$AE$10000,0),3)&gt;0,INDEX('CAMD Facility Data 2023'!$AE$2:$AG$10000,MATCH(Z3230,'CAMD Facility Data 2023'!$AE$2:$AE$10000,0),3),"")</f>
        <v>Y</v>
      </c>
      <c r="AD3230" s="20">
        <f t="shared" si="151"/>
        <v>0.17854529489243376</v>
      </c>
      <c r="AE3230" s="25">
        <f t="shared" si="152"/>
        <v>4.4404206832403181E-3</v>
      </c>
    </row>
    <row r="3231" spans="1:31" x14ac:dyDescent="0.2">
      <c r="A3231" s="1" t="s">
        <v>370</v>
      </c>
      <c r="B3231" s="1" t="s">
        <v>7222</v>
      </c>
      <c r="C3231" s="1">
        <v>55807</v>
      </c>
      <c r="D3231" s="1" t="s">
        <v>7225</v>
      </c>
      <c r="F3231" s="1">
        <v>2023</v>
      </c>
      <c r="G3231" s="5">
        <v>79</v>
      </c>
      <c r="H3231" s="5">
        <v>55.8</v>
      </c>
      <c r="I3231" s="5">
        <v>1626.87</v>
      </c>
      <c r="K3231" s="5">
        <v>5.0000000000000001E-3</v>
      </c>
      <c r="L3231" s="5">
        <v>1E-3</v>
      </c>
      <c r="M3231" s="5">
        <v>1007.168</v>
      </c>
      <c r="N3231" s="6">
        <v>5.9299999999999999E-2</v>
      </c>
      <c r="O3231" s="5">
        <v>0.14599999999999999</v>
      </c>
      <c r="P3231" s="6">
        <v>3.8100000000000002E-2</v>
      </c>
      <c r="Q3231" s="5">
        <v>16946.286</v>
      </c>
      <c r="R3231" s="1" t="s">
        <v>44</v>
      </c>
      <c r="T3231" s="1" t="s">
        <v>93</v>
      </c>
      <c r="V3231" s="1" t="s">
        <v>176</v>
      </c>
      <c r="Y3231" s="1" t="s">
        <v>247</v>
      </c>
      <c r="Z3231" s="1" t="str">
        <f t="shared" si="150"/>
        <v>55807 HPP2</v>
      </c>
      <c r="AA3231" s="3">
        <f>IF(INDEX('CAMD Facility Data 2023'!$AA$2:$AE$10000,MATCH(Z3231,'CAMD Facility Data 2023'!$AE$2:$AE$10000,0),1)&gt;0,INDEX('CAMD Facility Data 2023'!$AA$2:$AE$10000,MATCH(Z3231,'CAMD Facility Data 2023'!$AE$2:$AE$10000,0),1),"")</f>
        <v>37438</v>
      </c>
      <c r="AB3231" s="5">
        <f>IF(INDEX('CAMD Facility Data 2023'!$AC$2:$AE$10000,MATCH(Z3231,'CAMD Facility Data 2023'!$AE$2:$AE$10000,0),1)&gt;0,INDEX('CAMD Facility Data 2023'!$AC$2:$AE$10000,MATCH(Z3231,'CAMD Facility Data 2023'!$AE$2:$AE$10000,0),1),"")</f>
        <v>540</v>
      </c>
      <c r="AC3231" s="1" t="str">
        <f>IF(INDEX('CAMD Facility Data 2023'!$AE$2:$AG$10000,MATCH(Z3231,'CAMD Facility Data 2023'!$AE$2:$AE$10000,0),3)&gt;0,INDEX('CAMD Facility Data 2023'!$AE$2:$AG$10000,MATCH(Z3231,'CAMD Facility Data 2023'!$AE$2:$AE$10000,0),3),"")</f>
        <v>Y</v>
      </c>
      <c r="AD3231" s="20">
        <f t="shared" si="151"/>
        <v>0.17948576100118635</v>
      </c>
      <c r="AE3231" s="25">
        <f t="shared" si="152"/>
        <v>3.5824213597158805E-3</v>
      </c>
    </row>
    <row r="3232" spans="1:31" x14ac:dyDescent="0.2">
      <c r="A3232" s="1" t="s">
        <v>370</v>
      </c>
      <c r="B3232" s="1" t="s">
        <v>7227</v>
      </c>
      <c r="C3232" s="1">
        <v>55810</v>
      </c>
      <c r="D3232" s="1" t="s">
        <v>890</v>
      </c>
      <c r="F3232" s="1">
        <v>2023</v>
      </c>
      <c r="G3232" s="5">
        <v>485</v>
      </c>
      <c r="H3232" s="5">
        <v>329.36</v>
      </c>
      <c r="I3232" s="5">
        <v>9891.48</v>
      </c>
      <c r="K3232" s="5">
        <v>2.8000000000000001E-2</v>
      </c>
      <c r="L3232" s="5">
        <v>1E-3</v>
      </c>
      <c r="M3232" s="5">
        <v>5495.8990000000003</v>
      </c>
      <c r="N3232" s="6">
        <v>5.9299999999999999E-2</v>
      </c>
      <c r="O3232" s="5">
        <v>1.3440000000000001</v>
      </c>
      <c r="P3232" s="6">
        <v>5.9900000000000002E-2</v>
      </c>
      <c r="Q3232" s="5">
        <v>92471.133000000002</v>
      </c>
      <c r="R3232" s="1" t="s">
        <v>44</v>
      </c>
      <c r="T3232" s="1" t="s">
        <v>93</v>
      </c>
      <c r="V3232" s="1" t="s">
        <v>1608</v>
      </c>
      <c r="Y3232" s="1" t="s">
        <v>247</v>
      </c>
      <c r="Z3232" s="1" t="str">
        <f t="shared" si="150"/>
        <v>55810 S-3</v>
      </c>
      <c r="AA3232" s="3">
        <f>IF(INDEX('CAMD Facility Data 2023'!$AA$2:$AE$10000,MATCH(Z3232,'CAMD Facility Data 2023'!$AE$2:$AE$10000,0),1)&gt;0,INDEX('CAMD Facility Data 2023'!$AA$2:$AE$10000,MATCH(Z3232,'CAMD Facility Data 2023'!$AE$2:$AE$10000,0),1),"")</f>
        <v>37224</v>
      </c>
      <c r="AB3232" s="5">
        <f>IF(INDEX('CAMD Facility Data 2023'!$AC$2:$AE$10000,MATCH(Z3232,'CAMD Facility Data 2023'!$AE$2:$AE$10000,0),1)&gt;0,INDEX('CAMD Facility Data 2023'!$AC$2:$AE$10000,MATCH(Z3232,'CAMD Facility Data 2023'!$AE$2:$AE$10000,0),1),"")</f>
        <v>500</v>
      </c>
      <c r="AC3232" s="1" t="str">
        <f>IF(INDEX('CAMD Facility Data 2023'!$AE$2:$AG$10000,MATCH(Z3232,'CAMD Facility Data 2023'!$AE$2:$AE$10000,0),3)&gt;0,INDEX('CAMD Facility Data 2023'!$AE$2:$AG$10000,MATCH(Z3232,'CAMD Facility Data 2023'!$AE$2:$AE$10000,0),3),"")</f>
        <v>Y</v>
      </c>
      <c r="AD3232" s="20">
        <f t="shared" si="151"/>
        <v>0.27174902036904491</v>
      </c>
      <c r="AE3232" s="25">
        <f t="shared" si="152"/>
        <v>2.1112130821917808E-2</v>
      </c>
    </row>
    <row r="3233" spans="1:31" x14ac:dyDescent="0.2">
      <c r="A3233" s="1" t="s">
        <v>370</v>
      </c>
      <c r="B3233" s="1" t="s">
        <v>7227</v>
      </c>
      <c r="C3233" s="1">
        <v>55810</v>
      </c>
      <c r="D3233" s="1" t="s">
        <v>1340</v>
      </c>
      <c r="F3233" s="1">
        <v>2023</v>
      </c>
      <c r="G3233" s="5">
        <v>349</v>
      </c>
      <c r="H3233" s="5">
        <v>244.09</v>
      </c>
      <c r="I3233" s="5">
        <v>7387.7</v>
      </c>
      <c r="K3233" s="5">
        <v>3.1E-2</v>
      </c>
      <c r="L3233" s="5">
        <v>1E-3</v>
      </c>
      <c r="M3233" s="5">
        <v>6067.3609999999999</v>
      </c>
      <c r="N3233" s="6">
        <v>5.9200000000000003E-2</v>
      </c>
      <c r="O3233" s="5">
        <v>1.2549999999999999</v>
      </c>
      <c r="P3233" s="6">
        <v>3.8199999999999998E-2</v>
      </c>
      <c r="Q3233" s="5">
        <v>102095.58199999999</v>
      </c>
      <c r="R3233" s="1" t="s">
        <v>44</v>
      </c>
      <c r="T3233" s="1" t="s">
        <v>93</v>
      </c>
      <c r="V3233" s="1" t="s">
        <v>1608</v>
      </c>
      <c r="Y3233" s="1" t="s">
        <v>247</v>
      </c>
      <c r="Z3233" s="1" t="str">
        <f t="shared" si="150"/>
        <v>55810 S-4</v>
      </c>
      <c r="AA3233" s="3">
        <f>IF(INDEX('CAMD Facility Data 2023'!$AA$2:$AE$10000,MATCH(Z3233,'CAMD Facility Data 2023'!$AE$2:$AE$10000,0),1)&gt;0,INDEX('CAMD Facility Data 2023'!$AA$2:$AE$10000,MATCH(Z3233,'CAMD Facility Data 2023'!$AE$2:$AE$10000,0),1),"")</f>
        <v>37224</v>
      </c>
      <c r="AB3233" s="5">
        <f>IF(INDEX('CAMD Facility Data 2023'!$AC$2:$AE$10000,MATCH(Z3233,'CAMD Facility Data 2023'!$AE$2:$AE$10000,0),1)&gt;0,INDEX('CAMD Facility Data 2023'!$AC$2:$AE$10000,MATCH(Z3233,'CAMD Facility Data 2023'!$AE$2:$AE$10000,0),1),"")</f>
        <v>500</v>
      </c>
      <c r="AC3233" s="1" t="str">
        <f>IF(INDEX('CAMD Facility Data 2023'!$AE$2:$AG$10000,MATCH(Z3233,'CAMD Facility Data 2023'!$AE$2:$AE$10000,0),3)&gt;0,INDEX('CAMD Facility Data 2023'!$AE$2:$AG$10000,MATCH(Z3233,'CAMD Facility Data 2023'!$AE$2:$AE$10000,0),3),"")</f>
        <v>Y</v>
      </c>
      <c r="AD3233" s="20">
        <f t="shared" si="151"/>
        <v>0.3397539152916334</v>
      </c>
      <c r="AE3233" s="25">
        <f t="shared" si="152"/>
        <v>2.3309493607305935E-2</v>
      </c>
    </row>
    <row r="3234" spans="1:31" x14ac:dyDescent="0.2">
      <c r="A3234" s="1" t="s">
        <v>370</v>
      </c>
      <c r="B3234" s="1" t="s">
        <v>7227</v>
      </c>
      <c r="C3234" s="1">
        <v>55810</v>
      </c>
      <c r="D3234" s="1" t="s">
        <v>1342</v>
      </c>
      <c r="F3234" s="1">
        <v>2023</v>
      </c>
      <c r="G3234" s="5">
        <v>455</v>
      </c>
      <c r="H3234" s="5">
        <v>287.73</v>
      </c>
      <c r="I3234" s="5">
        <v>7989.83</v>
      </c>
      <c r="K3234" s="5">
        <v>2.5999999999999999E-2</v>
      </c>
      <c r="L3234" s="5">
        <v>1E-3</v>
      </c>
      <c r="M3234" s="5">
        <v>5079.0060000000003</v>
      </c>
      <c r="N3234" s="6">
        <v>5.9299999999999999E-2</v>
      </c>
      <c r="O3234" s="5">
        <v>1.216</v>
      </c>
      <c r="P3234" s="6">
        <v>5.5899999999999998E-2</v>
      </c>
      <c r="Q3234" s="5">
        <v>85470.642000000007</v>
      </c>
      <c r="R3234" s="1" t="s">
        <v>44</v>
      </c>
      <c r="T3234" s="1" t="s">
        <v>93</v>
      </c>
      <c r="V3234" s="1" t="s">
        <v>1608</v>
      </c>
      <c r="Y3234" s="1" t="s">
        <v>247</v>
      </c>
      <c r="Z3234" s="1" t="str">
        <f t="shared" si="150"/>
        <v>55810 S-5</v>
      </c>
      <c r="AA3234" s="3">
        <f>IF(INDEX('CAMD Facility Data 2023'!$AA$2:$AE$10000,MATCH(Z3234,'CAMD Facility Data 2023'!$AE$2:$AE$10000,0),1)&gt;0,INDEX('CAMD Facility Data 2023'!$AA$2:$AE$10000,MATCH(Z3234,'CAMD Facility Data 2023'!$AE$2:$AE$10000,0),1),"")</f>
        <v>37301</v>
      </c>
      <c r="AB3234" s="5">
        <f>IF(INDEX('CAMD Facility Data 2023'!$AC$2:$AE$10000,MATCH(Z3234,'CAMD Facility Data 2023'!$AE$2:$AE$10000,0),1)&gt;0,INDEX('CAMD Facility Data 2023'!$AC$2:$AE$10000,MATCH(Z3234,'CAMD Facility Data 2023'!$AE$2:$AE$10000,0),1),"")</f>
        <v>500</v>
      </c>
      <c r="AC3234" s="1" t="str">
        <f>IF(INDEX('CAMD Facility Data 2023'!$AE$2:$AG$10000,MATCH(Z3234,'CAMD Facility Data 2023'!$AE$2:$AE$10000,0),3)&gt;0,INDEX('CAMD Facility Data 2023'!$AE$2:$AG$10000,MATCH(Z3234,'CAMD Facility Data 2023'!$AE$2:$AE$10000,0),3),"")</f>
        <v>Y</v>
      </c>
      <c r="AD3234" s="20">
        <f t="shared" si="151"/>
        <v>0.30438695191261894</v>
      </c>
      <c r="AE3234" s="25">
        <f t="shared" si="152"/>
        <v>1.9513845205479455E-2</v>
      </c>
    </row>
    <row r="3235" spans="1:31" x14ac:dyDescent="0.2">
      <c r="A3235" s="1" t="s">
        <v>690</v>
      </c>
      <c r="B3235" s="1" t="s">
        <v>7231</v>
      </c>
      <c r="C3235" s="1">
        <v>55818</v>
      </c>
      <c r="D3235" s="1" t="s">
        <v>7232</v>
      </c>
      <c r="F3235" s="1">
        <v>2023</v>
      </c>
      <c r="G3235" s="5">
        <v>7378</v>
      </c>
      <c r="H3235" s="5">
        <v>7366.4</v>
      </c>
      <c r="I3235" s="5">
        <v>1843501.05</v>
      </c>
      <c r="K3235" s="5">
        <v>3.94</v>
      </c>
      <c r="L3235" s="5">
        <v>1E-3</v>
      </c>
      <c r="M3235" s="5">
        <v>780419.92200000002</v>
      </c>
      <c r="N3235" s="6">
        <v>5.8999999999999997E-2</v>
      </c>
      <c r="O3235" s="5">
        <v>68.841999999999999</v>
      </c>
      <c r="P3235" s="6">
        <v>1.1599999999999999E-2</v>
      </c>
      <c r="Q3235" s="5">
        <v>13132044.697000001</v>
      </c>
      <c r="R3235" s="1" t="s">
        <v>44</v>
      </c>
      <c r="T3235" s="1" t="s">
        <v>71</v>
      </c>
      <c r="V3235" s="1" t="s">
        <v>442</v>
      </c>
      <c r="Y3235" s="1" t="s">
        <v>247</v>
      </c>
      <c r="Z3235" s="1" t="str">
        <f t="shared" si="150"/>
        <v>55818 F1CT</v>
      </c>
      <c r="AA3235" s="3">
        <f>IF(INDEX('CAMD Facility Data 2023'!$AA$2:$AE$10000,MATCH(Z3235,'CAMD Facility Data 2023'!$AE$2:$AE$10000,0),1)&gt;0,INDEX('CAMD Facility Data 2023'!$AA$2:$AE$10000,MATCH(Z3235,'CAMD Facility Data 2023'!$AE$2:$AE$10000,0),1),"")</f>
        <v>37487</v>
      </c>
      <c r="AB3235" s="5">
        <f>IF(INDEX('CAMD Facility Data 2023'!$AC$2:$AE$10000,MATCH(Z3235,'CAMD Facility Data 2023'!$AE$2:$AE$10000,0),1)&gt;0,INDEX('CAMD Facility Data 2023'!$AC$2:$AE$10000,MATCH(Z3235,'CAMD Facility Data 2023'!$AE$2:$AE$10000,0),1),"")</f>
        <v>2137</v>
      </c>
      <c r="AC3235" s="1" t="str">
        <f>IF(INDEX('CAMD Facility Data 2023'!$AE$2:$AG$10000,MATCH(Z3235,'CAMD Facility Data 2023'!$AE$2:$AE$10000,0),3)&gt;0,INDEX('CAMD Facility Data 2023'!$AE$2:$AG$10000,MATCH(Z3235,'CAMD Facility Data 2023'!$AE$2:$AE$10000,0),3),"")</f>
        <v>Y</v>
      </c>
      <c r="AD3235" s="20">
        <f t="shared" si="151"/>
        <v>7.4686152199370859E-2</v>
      </c>
      <c r="AE3235" s="25">
        <f t="shared" si="152"/>
        <v>0.7014936174020252</v>
      </c>
    </row>
    <row r="3236" spans="1:31" x14ac:dyDescent="0.2">
      <c r="A3236" s="1" t="s">
        <v>304</v>
      </c>
      <c r="B3236" s="1" t="s">
        <v>7237</v>
      </c>
      <c r="C3236" s="1">
        <v>55821</v>
      </c>
      <c r="D3236" s="1">
        <v>25</v>
      </c>
      <c r="F3236" s="1">
        <v>2023</v>
      </c>
      <c r="G3236" s="5">
        <v>6948</v>
      </c>
      <c r="H3236" s="5">
        <v>6915.29</v>
      </c>
      <c r="I3236" s="5">
        <v>1792284.92</v>
      </c>
      <c r="K3236" s="5">
        <v>3.6160000000000001</v>
      </c>
      <c r="L3236" s="5">
        <v>1E-3</v>
      </c>
      <c r="M3236" s="5">
        <v>716232.96200000006</v>
      </c>
      <c r="N3236" s="6">
        <v>5.8999999999999997E-2</v>
      </c>
      <c r="O3236" s="5">
        <v>70.254000000000005</v>
      </c>
      <c r="P3236" s="6">
        <v>1.2800000000000001E-2</v>
      </c>
      <c r="Q3236" s="5">
        <v>12051997.736</v>
      </c>
      <c r="R3236" s="1" t="s">
        <v>44</v>
      </c>
      <c r="S3236" s="1" t="s">
        <v>94</v>
      </c>
      <c r="T3236" s="1" t="s">
        <v>71</v>
      </c>
      <c r="V3236" s="1" t="s">
        <v>643</v>
      </c>
      <c r="Y3236" s="1" t="s">
        <v>247</v>
      </c>
      <c r="Z3236" s="1" t="str">
        <f t="shared" si="150"/>
        <v>55821 25</v>
      </c>
      <c r="AA3236" s="3">
        <f>IF(INDEX('CAMD Facility Data 2023'!$AA$2:$AE$10000,MATCH(Z3236,'CAMD Facility Data 2023'!$AE$2:$AE$10000,0),1)&gt;0,INDEX('CAMD Facility Data 2023'!$AA$2:$AE$10000,MATCH(Z3236,'CAMD Facility Data 2023'!$AE$2:$AE$10000,0),1),"")</f>
        <v>37825</v>
      </c>
      <c r="AB3236" s="5">
        <f>IF(INDEX('CAMD Facility Data 2023'!$AC$2:$AE$10000,MATCH(Z3236,'CAMD Facility Data 2023'!$AE$2:$AE$10000,0),1)&gt;0,INDEX('CAMD Facility Data 2023'!$AC$2:$AE$10000,MATCH(Z3236,'CAMD Facility Data 2023'!$AE$2:$AE$10000,0),1),"")</f>
        <v>2402</v>
      </c>
      <c r="AC3236" s="1" t="str">
        <f>IF(INDEX('CAMD Facility Data 2023'!$AE$2:$AG$10000,MATCH(Z3236,'CAMD Facility Data 2023'!$AE$2:$AE$10000,0),3)&gt;0,INDEX('CAMD Facility Data 2023'!$AE$2:$AG$10000,MATCH(Z3236,'CAMD Facility Data 2023'!$AE$2:$AE$10000,0),3),"")</f>
        <v>Y</v>
      </c>
      <c r="AD3236" s="20">
        <f t="shared" si="151"/>
        <v>7.8396017526052728E-2</v>
      </c>
      <c r="AE3236" s="25">
        <f t="shared" si="152"/>
        <v>0.57277220162801923</v>
      </c>
    </row>
    <row r="3237" spans="1:31" x14ac:dyDescent="0.2">
      <c r="A3237" s="1" t="s">
        <v>304</v>
      </c>
      <c r="B3237" s="1" t="s">
        <v>7237</v>
      </c>
      <c r="C3237" s="1">
        <v>55821</v>
      </c>
      <c r="D3237" s="1">
        <v>26</v>
      </c>
      <c r="F3237" s="1">
        <v>2023</v>
      </c>
      <c r="G3237" s="5">
        <v>7198</v>
      </c>
      <c r="H3237" s="5">
        <v>7162.38</v>
      </c>
      <c r="I3237" s="5">
        <v>1858365.68</v>
      </c>
      <c r="K3237" s="5">
        <v>3.7839999999999998</v>
      </c>
      <c r="L3237" s="5">
        <v>1E-3</v>
      </c>
      <c r="M3237" s="5">
        <v>749594.70900000003</v>
      </c>
      <c r="N3237" s="6">
        <v>5.8999999999999997E-2</v>
      </c>
      <c r="O3237" s="5">
        <v>73.757000000000005</v>
      </c>
      <c r="P3237" s="6">
        <v>1.24E-2</v>
      </c>
      <c r="Q3237" s="5">
        <v>12613401.812000001</v>
      </c>
      <c r="R3237" s="1" t="s">
        <v>44</v>
      </c>
      <c r="S3237" s="1" t="s">
        <v>94</v>
      </c>
      <c r="T3237" s="1" t="s">
        <v>71</v>
      </c>
      <c r="V3237" s="1" t="s">
        <v>643</v>
      </c>
      <c r="Y3237" s="1" t="s">
        <v>247</v>
      </c>
      <c r="Z3237" s="1" t="str">
        <f t="shared" si="150"/>
        <v>55821 26</v>
      </c>
      <c r="AA3237" s="3">
        <f>IF(INDEX('CAMD Facility Data 2023'!$AA$2:$AE$10000,MATCH(Z3237,'CAMD Facility Data 2023'!$AE$2:$AE$10000,0),1)&gt;0,INDEX('CAMD Facility Data 2023'!$AA$2:$AE$10000,MATCH(Z3237,'CAMD Facility Data 2023'!$AE$2:$AE$10000,0),1),"")</f>
        <v>37853</v>
      </c>
      <c r="AB3237" s="5">
        <f>IF(INDEX('CAMD Facility Data 2023'!$AC$2:$AE$10000,MATCH(Z3237,'CAMD Facility Data 2023'!$AE$2:$AE$10000,0),1)&gt;0,INDEX('CAMD Facility Data 2023'!$AC$2:$AE$10000,MATCH(Z3237,'CAMD Facility Data 2023'!$AE$2:$AE$10000,0),1),"")</f>
        <v>2402</v>
      </c>
      <c r="AC3237" s="1" t="str">
        <f>IF(INDEX('CAMD Facility Data 2023'!$AE$2:$AG$10000,MATCH(Z3237,'CAMD Facility Data 2023'!$AE$2:$AE$10000,0),3)&gt;0,INDEX('CAMD Facility Data 2023'!$AE$2:$AG$10000,MATCH(Z3237,'CAMD Facility Data 2023'!$AE$2:$AE$10000,0),3),"")</f>
        <v>Y</v>
      </c>
      <c r="AD3237" s="20">
        <f t="shared" si="151"/>
        <v>7.9378349260087494E-2</v>
      </c>
      <c r="AE3237" s="25">
        <f t="shared" si="152"/>
        <v>0.59945297735144609</v>
      </c>
    </row>
    <row r="3238" spans="1:31" x14ac:dyDescent="0.2">
      <c r="A3238" s="1" t="s">
        <v>516</v>
      </c>
      <c r="B3238" s="1" t="s">
        <v>7241</v>
      </c>
      <c r="C3238" s="1">
        <v>55835</v>
      </c>
      <c r="D3238" s="1">
        <v>1</v>
      </c>
      <c r="F3238" s="1">
        <v>2023</v>
      </c>
      <c r="G3238" s="5">
        <v>5762</v>
      </c>
      <c r="H3238" s="5">
        <v>5703.84</v>
      </c>
      <c r="I3238" s="5">
        <v>1143189.76</v>
      </c>
      <c r="K3238" s="5">
        <v>2.7040000000000002</v>
      </c>
      <c r="L3238" s="5">
        <v>1E-3</v>
      </c>
      <c r="M3238" s="5">
        <v>535579.51300000004</v>
      </c>
      <c r="N3238" s="6">
        <v>5.8999999999999997E-2</v>
      </c>
      <c r="O3238" s="5">
        <v>38.981000000000002</v>
      </c>
      <c r="P3238" s="6">
        <v>1.04E-2</v>
      </c>
      <c r="Q3238" s="5">
        <v>9012151.2850000001</v>
      </c>
      <c r="R3238" s="1" t="s">
        <v>44</v>
      </c>
      <c r="T3238" s="1" t="s">
        <v>71</v>
      </c>
      <c r="V3238" s="1" t="s">
        <v>64</v>
      </c>
      <c r="Y3238" s="1" t="s">
        <v>247</v>
      </c>
      <c r="Z3238" s="1" t="str">
        <f t="shared" si="150"/>
        <v>55835 1</v>
      </c>
      <c r="AA3238" s="3">
        <f>IF(INDEX('CAMD Facility Data 2023'!$AA$2:$AE$10000,MATCH(Z3238,'CAMD Facility Data 2023'!$AE$2:$AE$10000,0),1)&gt;0,INDEX('CAMD Facility Data 2023'!$AA$2:$AE$10000,MATCH(Z3238,'CAMD Facility Data 2023'!$AE$2:$AE$10000,0),1),"")</f>
        <v>38055</v>
      </c>
      <c r="AB3238" s="5">
        <f>IF(INDEX('CAMD Facility Data 2023'!$AC$2:$AE$10000,MATCH(Z3238,'CAMD Facility Data 2023'!$AE$2:$AE$10000,0),1)&gt;0,INDEX('CAMD Facility Data 2023'!$AC$2:$AE$10000,MATCH(Z3238,'CAMD Facility Data 2023'!$AE$2:$AE$10000,0),1),"")</f>
        <v>2460</v>
      </c>
      <c r="AC3238" s="1" t="str">
        <f>IF(INDEX('CAMD Facility Data 2023'!$AE$2:$AG$10000,MATCH(Z3238,'CAMD Facility Data 2023'!$AE$2:$AE$10000,0),3)&gt;0,INDEX('CAMD Facility Data 2023'!$AE$2:$AG$10000,MATCH(Z3238,'CAMD Facility Data 2023'!$AE$2:$AE$10000,0),3),"")</f>
        <v>Y</v>
      </c>
      <c r="AD3238" s="20">
        <f t="shared" si="151"/>
        <v>6.8196901973649582E-2</v>
      </c>
      <c r="AE3238" s="25">
        <f t="shared" si="152"/>
        <v>0.41820503791253666</v>
      </c>
    </row>
    <row r="3239" spans="1:31" x14ac:dyDescent="0.2">
      <c r="A3239" s="1" t="s">
        <v>516</v>
      </c>
      <c r="B3239" s="1" t="s">
        <v>7241</v>
      </c>
      <c r="C3239" s="1">
        <v>55835</v>
      </c>
      <c r="D3239" s="1">
        <v>2</v>
      </c>
      <c r="F3239" s="1">
        <v>2023</v>
      </c>
      <c r="G3239" s="5">
        <v>6936</v>
      </c>
      <c r="H3239" s="5">
        <v>6910.19</v>
      </c>
      <c r="I3239" s="5">
        <v>1369567.98</v>
      </c>
      <c r="K3239" s="5">
        <v>3.2690000000000001</v>
      </c>
      <c r="L3239" s="5">
        <v>1E-3</v>
      </c>
      <c r="M3239" s="5">
        <v>647561.76500000001</v>
      </c>
      <c r="N3239" s="6">
        <v>5.8999999999999997E-2</v>
      </c>
      <c r="O3239" s="5">
        <v>45.613</v>
      </c>
      <c r="P3239" s="6">
        <v>9.1000000000000004E-3</v>
      </c>
      <c r="Q3239" s="5">
        <v>10896445.463</v>
      </c>
      <c r="R3239" s="1" t="s">
        <v>44</v>
      </c>
      <c r="T3239" s="1" t="s">
        <v>71</v>
      </c>
      <c r="V3239" s="1" t="s">
        <v>64</v>
      </c>
      <c r="Y3239" s="1" t="s">
        <v>247</v>
      </c>
      <c r="Z3239" s="1" t="str">
        <f t="shared" si="150"/>
        <v>55835 2</v>
      </c>
      <c r="AA3239" s="3">
        <f>IF(INDEX('CAMD Facility Data 2023'!$AA$2:$AE$10000,MATCH(Z3239,'CAMD Facility Data 2023'!$AE$2:$AE$10000,0),1)&gt;0,INDEX('CAMD Facility Data 2023'!$AA$2:$AE$10000,MATCH(Z3239,'CAMD Facility Data 2023'!$AE$2:$AE$10000,0),1),"")</f>
        <v>38047</v>
      </c>
      <c r="AB3239" s="5">
        <f>IF(INDEX('CAMD Facility Data 2023'!$AC$2:$AE$10000,MATCH(Z3239,'CAMD Facility Data 2023'!$AE$2:$AE$10000,0),1)&gt;0,INDEX('CAMD Facility Data 2023'!$AC$2:$AE$10000,MATCH(Z3239,'CAMD Facility Data 2023'!$AE$2:$AE$10000,0),1),"")</f>
        <v>2500</v>
      </c>
      <c r="AC3239" s="1" t="str">
        <f>IF(INDEX('CAMD Facility Data 2023'!$AE$2:$AG$10000,MATCH(Z3239,'CAMD Facility Data 2023'!$AE$2:$AE$10000,0),3)&gt;0,INDEX('CAMD Facility Data 2023'!$AE$2:$AG$10000,MATCH(Z3239,'CAMD Facility Data 2023'!$AE$2:$AE$10000,0),3),"")</f>
        <v>Y</v>
      </c>
      <c r="AD3239" s="20">
        <f t="shared" si="151"/>
        <v>6.6609325956934251E-2</v>
      </c>
      <c r="AE3239" s="25">
        <f t="shared" si="152"/>
        <v>0.49755458735159813</v>
      </c>
    </row>
    <row r="3240" spans="1:31" x14ac:dyDescent="0.2">
      <c r="A3240" s="1" t="s">
        <v>3167</v>
      </c>
      <c r="B3240" s="1" t="s">
        <v>7244</v>
      </c>
      <c r="C3240" s="1">
        <v>55836</v>
      </c>
      <c r="D3240" s="1" t="s">
        <v>372</v>
      </c>
      <c r="F3240" s="1">
        <v>2023</v>
      </c>
      <c r="G3240" s="5">
        <v>449</v>
      </c>
      <c r="H3240" s="5">
        <v>330.55</v>
      </c>
      <c r="I3240" s="5">
        <v>3966.94</v>
      </c>
      <c r="K3240" s="5">
        <v>1.6E-2</v>
      </c>
      <c r="L3240" s="5">
        <v>1E-3</v>
      </c>
      <c r="M3240" s="5">
        <v>3136.2559999999999</v>
      </c>
      <c r="N3240" s="6">
        <v>5.9400000000000001E-2</v>
      </c>
      <c r="O3240" s="5">
        <v>2.786</v>
      </c>
      <c r="P3240" s="6">
        <v>0.1095</v>
      </c>
      <c r="Q3240" s="5">
        <v>52780.137000000002</v>
      </c>
      <c r="R3240" s="1" t="s">
        <v>44</v>
      </c>
      <c r="T3240" s="1" t="s">
        <v>93</v>
      </c>
      <c r="V3240" s="1" t="s">
        <v>95</v>
      </c>
      <c r="Y3240" s="1" t="s">
        <v>461</v>
      </c>
      <c r="Z3240" s="1" t="str">
        <f t="shared" si="150"/>
        <v>55836 1A</v>
      </c>
      <c r="AA3240" s="3">
        <f>IF(INDEX('CAMD Facility Data 2023'!$AA$2:$AE$10000,MATCH(Z3240,'CAMD Facility Data 2023'!$AE$2:$AE$10000,0),1)&gt;0,INDEX('CAMD Facility Data 2023'!$AA$2:$AE$10000,MATCH(Z3240,'CAMD Facility Data 2023'!$AE$2:$AE$10000,0),1),"")</f>
        <v>38080</v>
      </c>
      <c r="AB3240" s="5">
        <f>IF(INDEX('CAMD Facility Data 2023'!$AC$2:$AE$10000,MATCH(Z3240,'CAMD Facility Data 2023'!$AE$2:$AE$10000,0),1)&gt;0,INDEX('CAMD Facility Data 2023'!$AC$2:$AE$10000,MATCH(Z3240,'CAMD Facility Data 2023'!$AE$2:$AE$10000,0),1),"")</f>
        <v>325</v>
      </c>
      <c r="AC3240" s="1" t="str">
        <f>IF(INDEX('CAMD Facility Data 2023'!$AE$2:$AG$10000,MATCH(Z3240,'CAMD Facility Data 2023'!$AE$2:$AE$10000,0),3)&gt;0,INDEX('CAMD Facility Data 2023'!$AE$2:$AG$10000,MATCH(Z3240,'CAMD Facility Data 2023'!$AE$2:$AE$10000,0),3),"")</f>
        <v/>
      </c>
      <c r="AD3240" s="20">
        <f t="shared" si="151"/>
        <v>1.4046090941632594</v>
      </c>
      <c r="AE3240" s="25">
        <f t="shared" si="152"/>
        <v>1.8538860906217071E-2</v>
      </c>
    </row>
    <row r="3241" spans="1:31" x14ac:dyDescent="0.2">
      <c r="A3241" s="1" t="s">
        <v>3167</v>
      </c>
      <c r="B3241" s="1" t="s">
        <v>7244</v>
      </c>
      <c r="C3241" s="1">
        <v>55836</v>
      </c>
      <c r="D3241" s="1" t="s">
        <v>1199</v>
      </c>
      <c r="F3241" s="1">
        <v>2023</v>
      </c>
      <c r="G3241" s="5">
        <v>455</v>
      </c>
      <c r="H3241" s="5">
        <v>334.36</v>
      </c>
      <c r="I3241" s="5">
        <v>3841.78</v>
      </c>
      <c r="K3241" s="5">
        <v>1.6E-2</v>
      </c>
      <c r="L3241" s="5">
        <v>1E-3</v>
      </c>
      <c r="M3241" s="5">
        <v>3133.547</v>
      </c>
      <c r="N3241" s="6">
        <v>5.9400000000000001E-2</v>
      </c>
      <c r="O3241" s="5">
        <v>2.5790000000000002</v>
      </c>
      <c r="P3241" s="6">
        <v>0.1008</v>
      </c>
      <c r="Q3241" s="5">
        <v>52732.175000000003</v>
      </c>
      <c r="R3241" s="1" t="s">
        <v>44</v>
      </c>
      <c r="T3241" s="1" t="s">
        <v>93</v>
      </c>
      <c r="V3241" s="1" t="s">
        <v>95</v>
      </c>
      <c r="Y3241" s="1" t="s">
        <v>461</v>
      </c>
      <c r="Z3241" s="1" t="str">
        <f t="shared" si="150"/>
        <v>55836 1B</v>
      </c>
      <c r="AA3241" s="3">
        <f>IF(INDEX('CAMD Facility Data 2023'!$AA$2:$AE$10000,MATCH(Z3241,'CAMD Facility Data 2023'!$AE$2:$AE$10000,0),1)&gt;0,INDEX('CAMD Facility Data 2023'!$AA$2:$AE$10000,MATCH(Z3241,'CAMD Facility Data 2023'!$AE$2:$AE$10000,0),1),"")</f>
        <v>38080</v>
      </c>
      <c r="AB3241" s="5">
        <f>IF(INDEX('CAMD Facility Data 2023'!$AC$2:$AE$10000,MATCH(Z3241,'CAMD Facility Data 2023'!$AE$2:$AE$10000,0),1)&gt;0,INDEX('CAMD Facility Data 2023'!$AC$2:$AE$10000,MATCH(Z3241,'CAMD Facility Data 2023'!$AE$2:$AE$10000,0),1),"")</f>
        <v>325</v>
      </c>
      <c r="AC3241" s="1" t="str">
        <f>IF(INDEX('CAMD Facility Data 2023'!$AE$2:$AG$10000,MATCH(Z3241,'CAMD Facility Data 2023'!$AE$2:$AE$10000,0),3)&gt;0,INDEX('CAMD Facility Data 2023'!$AE$2:$AG$10000,MATCH(Z3241,'CAMD Facility Data 2023'!$AE$2:$AE$10000,0),3),"")</f>
        <v/>
      </c>
      <c r="AD3241" s="20">
        <f t="shared" si="151"/>
        <v>1.3426068124671375</v>
      </c>
      <c r="AE3241" s="25">
        <f t="shared" si="152"/>
        <v>1.8522014401123992E-2</v>
      </c>
    </row>
    <row r="3242" spans="1:31" x14ac:dyDescent="0.2">
      <c r="A3242" s="1" t="s">
        <v>1903</v>
      </c>
      <c r="B3242" s="1" t="s">
        <v>7247</v>
      </c>
      <c r="C3242" s="1">
        <v>55841</v>
      </c>
      <c r="D3242" s="1" t="s">
        <v>5299</v>
      </c>
      <c r="F3242" s="1">
        <v>2023</v>
      </c>
      <c r="G3242" s="5">
        <v>6686</v>
      </c>
      <c r="H3242" s="5">
        <v>6525.72</v>
      </c>
      <c r="I3242" s="5">
        <v>1301529.6599999999</v>
      </c>
      <c r="K3242" s="5">
        <v>2.907</v>
      </c>
      <c r="L3242" s="5">
        <v>1E-3</v>
      </c>
      <c r="M3242" s="5">
        <v>575925.23400000005</v>
      </c>
      <c r="N3242" s="6">
        <v>5.8999999999999997E-2</v>
      </c>
      <c r="O3242" s="5">
        <v>48.819000000000003</v>
      </c>
      <c r="P3242" s="6">
        <v>1.5100000000000001E-2</v>
      </c>
      <c r="Q3242" s="5">
        <v>9691083.8259999994</v>
      </c>
      <c r="R3242" s="1" t="s">
        <v>44</v>
      </c>
      <c r="T3242" s="1" t="s">
        <v>71</v>
      </c>
      <c r="V3242" s="1" t="s">
        <v>64</v>
      </c>
      <c r="Y3242" s="1" t="s">
        <v>247</v>
      </c>
      <c r="Z3242" s="1" t="str">
        <f t="shared" si="150"/>
        <v>55841 A01</v>
      </c>
      <c r="AA3242" s="3">
        <f>IF(INDEX('CAMD Facility Data 2023'!$AA$2:$AE$10000,MATCH(Z3242,'CAMD Facility Data 2023'!$AE$2:$AE$10000,0),1)&gt;0,INDEX('CAMD Facility Data 2023'!$AA$2:$AE$10000,MATCH(Z3242,'CAMD Facility Data 2023'!$AE$2:$AE$10000,0),1),"")</f>
        <v>37987</v>
      </c>
      <c r="AB3242" s="5">
        <f>IF(INDEX('CAMD Facility Data 2023'!$AC$2:$AE$10000,MATCH(Z3242,'CAMD Facility Data 2023'!$AE$2:$AE$10000,0),1)&gt;0,INDEX('CAMD Facility Data 2023'!$AC$2:$AE$10000,MATCH(Z3242,'CAMD Facility Data 2023'!$AE$2:$AE$10000,0),1),"")</f>
        <v>2463</v>
      </c>
      <c r="AC3242" s="1" t="str">
        <f>IF(INDEX('CAMD Facility Data 2023'!$AE$2:$AG$10000,MATCH(Z3242,'CAMD Facility Data 2023'!$AE$2:$AE$10000,0),3)&gt;0,INDEX('CAMD Facility Data 2023'!$AE$2:$AG$10000,MATCH(Z3242,'CAMD Facility Data 2023'!$AE$2:$AE$10000,0),3),"")</f>
        <v>Y</v>
      </c>
      <c r="AD3242" s="20">
        <f t="shared" si="151"/>
        <v>7.5017883188309362E-2</v>
      </c>
      <c r="AE3242" s="25">
        <f t="shared" si="152"/>
        <v>0.44916285342706763</v>
      </c>
    </row>
    <row r="3243" spans="1:31" x14ac:dyDescent="0.2">
      <c r="A3243" s="1" t="s">
        <v>1903</v>
      </c>
      <c r="B3243" s="1" t="s">
        <v>7247</v>
      </c>
      <c r="C3243" s="1">
        <v>55841</v>
      </c>
      <c r="D3243" s="1" t="s">
        <v>7250</v>
      </c>
      <c r="F3243" s="1">
        <v>2023</v>
      </c>
      <c r="G3243" s="5">
        <v>6253</v>
      </c>
      <c r="H3243" s="5">
        <v>6072.12</v>
      </c>
      <c r="I3243" s="5">
        <v>1219488.46</v>
      </c>
      <c r="K3243" s="5">
        <v>2.726</v>
      </c>
      <c r="L3243" s="5">
        <v>1E-3</v>
      </c>
      <c r="M3243" s="5">
        <v>539943.89500000002</v>
      </c>
      <c r="N3243" s="6">
        <v>5.8999999999999997E-2</v>
      </c>
      <c r="O3243" s="5">
        <v>42.393000000000001</v>
      </c>
      <c r="P3243" s="6">
        <v>1.4200000000000001E-2</v>
      </c>
      <c r="Q3243" s="5">
        <v>9085604.0879999995</v>
      </c>
      <c r="R3243" s="1" t="s">
        <v>44</v>
      </c>
      <c r="T3243" s="1" t="s">
        <v>71</v>
      </c>
      <c r="V3243" s="1" t="s">
        <v>64</v>
      </c>
      <c r="Y3243" s="1" t="s">
        <v>247</v>
      </c>
      <c r="Z3243" s="1" t="str">
        <f t="shared" si="150"/>
        <v>55841 A03</v>
      </c>
      <c r="AA3243" s="3">
        <f>IF(INDEX('CAMD Facility Data 2023'!$AA$2:$AE$10000,MATCH(Z3243,'CAMD Facility Data 2023'!$AE$2:$AE$10000,0),1)&gt;0,INDEX('CAMD Facility Data 2023'!$AA$2:$AE$10000,MATCH(Z3243,'CAMD Facility Data 2023'!$AE$2:$AE$10000,0),1),"")</f>
        <v>37987</v>
      </c>
      <c r="AB3243" s="5">
        <f>IF(INDEX('CAMD Facility Data 2023'!$AC$2:$AE$10000,MATCH(Z3243,'CAMD Facility Data 2023'!$AE$2:$AE$10000,0),1)&gt;0,INDEX('CAMD Facility Data 2023'!$AC$2:$AE$10000,MATCH(Z3243,'CAMD Facility Data 2023'!$AE$2:$AE$10000,0),1),"")</f>
        <v>2463</v>
      </c>
      <c r="AC3243" s="1" t="str">
        <f>IF(INDEX('CAMD Facility Data 2023'!$AE$2:$AG$10000,MATCH(Z3243,'CAMD Facility Data 2023'!$AE$2:$AE$10000,0),3)&gt;0,INDEX('CAMD Facility Data 2023'!$AE$2:$AG$10000,MATCH(Z3243,'CAMD Facility Data 2023'!$AE$2:$AE$10000,0),3),"")</f>
        <v>Y</v>
      </c>
      <c r="AD3243" s="20">
        <f t="shared" si="151"/>
        <v>6.9525873168164304E-2</v>
      </c>
      <c r="AE3243" s="25">
        <f t="shared" si="152"/>
        <v>0.42110004727501266</v>
      </c>
    </row>
    <row r="3244" spans="1:31" x14ac:dyDescent="0.2">
      <c r="A3244" s="1" t="s">
        <v>370</v>
      </c>
      <c r="B3244" s="1" t="s">
        <v>7252</v>
      </c>
      <c r="C3244" s="1">
        <v>55847</v>
      </c>
      <c r="D3244" s="1" t="s">
        <v>7047</v>
      </c>
      <c r="F3244" s="1">
        <v>2023</v>
      </c>
      <c r="G3244" s="5">
        <v>1813</v>
      </c>
      <c r="H3244" s="5">
        <v>1597.86</v>
      </c>
      <c r="I3244" s="5">
        <v>47875.03</v>
      </c>
      <c r="K3244" s="5">
        <v>0.16200000000000001</v>
      </c>
      <c r="L3244" s="5">
        <v>1E-3</v>
      </c>
      <c r="M3244" s="5">
        <v>32167.185000000001</v>
      </c>
      <c r="N3244" s="6">
        <v>5.9299999999999999E-2</v>
      </c>
      <c r="O3244" s="5">
        <v>13.333</v>
      </c>
      <c r="P3244" s="6">
        <v>0.1603</v>
      </c>
      <c r="Q3244" s="5">
        <v>541290.15700000001</v>
      </c>
      <c r="R3244" s="1" t="s">
        <v>44</v>
      </c>
      <c r="T3244" s="1" t="s">
        <v>93</v>
      </c>
      <c r="V3244" s="1" t="s">
        <v>176</v>
      </c>
      <c r="Y3244" s="1" t="s">
        <v>247</v>
      </c>
      <c r="Z3244" s="1" t="str">
        <f t="shared" si="150"/>
        <v>55847 UNIT1</v>
      </c>
      <c r="AA3244" s="3">
        <f>IF(INDEX('CAMD Facility Data 2023'!$AA$2:$AE$10000,MATCH(Z3244,'CAMD Facility Data 2023'!$AE$2:$AE$10000,0),1)&gt;0,INDEX('CAMD Facility Data 2023'!$AA$2:$AE$10000,MATCH(Z3244,'CAMD Facility Data 2023'!$AE$2:$AE$10000,0),1),"")</f>
        <v>37605</v>
      </c>
      <c r="AB3244" s="5">
        <f>IF(INDEX('CAMD Facility Data 2023'!$AC$2:$AE$10000,MATCH(Z3244,'CAMD Facility Data 2023'!$AE$2:$AE$10000,0),1)&gt;0,INDEX('CAMD Facility Data 2023'!$AC$2:$AE$10000,MATCH(Z3244,'CAMD Facility Data 2023'!$AE$2:$AE$10000,0),1),"")</f>
        <v>500</v>
      </c>
      <c r="AC3244" s="1" t="str">
        <f>IF(INDEX('CAMD Facility Data 2023'!$AE$2:$AG$10000,MATCH(Z3244,'CAMD Facility Data 2023'!$AE$2:$AE$10000,0),3)&gt;0,INDEX('CAMD Facility Data 2023'!$AE$2:$AG$10000,MATCH(Z3244,'CAMD Facility Data 2023'!$AE$2:$AE$10000,0),3),"")</f>
        <v>Y</v>
      </c>
      <c r="AD3244" s="20">
        <f t="shared" si="151"/>
        <v>0.55699181807301223</v>
      </c>
      <c r="AE3244" s="25">
        <f t="shared" si="152"/>
        <v>0.12358222762557078</v>
      </c>
    </row>
    <row r="3245" spans="1:31" x14ac:dyDescent="0.2">
      <c r="A3245" s="1" t="s">
        <v>370</v>
      </c>
      <c r="B3245" s="1" t="s">
        <v>7254</v>
      </c>
      <c r="C3245" s="1">
        <v>55855</v>
      </c>
      <c r="D3245" s="1" t="s">
        <v>7047</v>
      </c>
      <c r="F3245" s="1">
        <v>2023</v>
      </c>
      <c r="G3245" s="5">
        <v>336</v>
      </c>
      <c r="H3245" s="5">
        <v>236.95</v>
      </c>
      <c r="I3245" s="5">
        <v>8269.0300000000007</v>
      </c>
      <c r="K3245" s="5">
        <v>2.7E-2</v>
      </c>
      <c r="L3245" s="5">
        <v>1E-3</v>
      </c>
      <c r="M3245" s="5">
        <v>5302.6750000000002</v>
      </c>
      <c r="N3245" s="6">
        <v>5.9200000000000003E-2</v>
      </c>
      <c r="O3245" s="5">
        <v>0.94799999999999995</v>
      </c>
      <c r="P3245" s="6">
        <v>4.7500000000000001E-2</v>
      </c>
      <c r="Q3245" s="5">
        <v>89227.126999999993</v>
      </c>
      <c r="R3245" s="1" t="s">
        <v>44</v>
      </c>
      <c r="T3245" s="1" t="s">
        <v>93</v>
      </c>
      <c r="V3245" s="1" t="s">
        <v>1608</v>
      </c>
      <c r="Y3245" s="1" t="s">
        <v>247</v>
      </c>
      <c r="Z3245" s="1" t="str">
        <f t="shared" si="150"/>
        <v>55855 UNIT1</v>
      </c>
      <c r="AA3245" s="3">
        <f>IF(INDEX('CAMD Facility Data 2023'!$AA$2:$AE$10000,MATCH(Z3245,'CAMD Facility Data 2023'!$AE$2:$AE$10000,0),1)&gt;0,INDEX('CAMD Facility Data 2023'!$AA$2:$AE$10000,MATCH(Z3245,'CAMD Facility Data 2023'!$AE$2:$AE$10000,0),1),"")</f>
        <v>37629</v>
      </c>
      <c r="AB3245" s="5">
        <f>IF(INDEX('CAMD Facility Data 2023'!$AC$2:$AE$10000,MATCH(Z3245,'CAMD Facility Data 2023'!$AE$2:$AE$10000,0),1)&gt;0,INDEX('CAMD Facility Data 2023'!$AC$2:$AE$10000,MATCH(Z3245,'CAMD Facility Data 2023'!$AE$2:$AE$10000,0),1),"")</f>
        <v>500</v>
      </c>
      <c r="AC3245" s="1" t="str">
        <f>IF(INDEX('CAMD Facility Data 2023'!$AE$2:$AG$10000,MATCH(Z3245,'CAMD Facility Data 2023'!$AE$2:$AE$10000,0),3)&gt;0,INDEX('CAMD Facility Data 2023'!$AE$2:$AG$10000,MATCH(Z3245,'CAMD Facility Data 2023'!$AE$2:$AE$10000,0),3),"")</f>
        <v>Y</v>
      </c>
      <c r="AD3245" s="20">
        <f t="shared" si="151"/>
        <v>0.22928928786084943</v>
      </c>
      <c r="AE3245" s="25">
        <f t="shared" si="152"/>
        <v>2.0371490182648399E-2</v>
      </c>
    </row>
    <row r="3246" spans="1:31" x14ac:dyDescent="0.2">
      <c r="A3246" s="1" t="s">
        <v>458</v>
      </c>
      <c r="B3246" s="1" t="s">
        <v>7255</v>
      </c>
      <c r="C3246" s="1">
        <v>55856</v>
      </c>
      <c r="D3246" s="1">
        <v>1</v>
      </c>
      <c r="F3246" s="1">
        <v>2023</v>
      </c>
      <c r="G3246" s="5">
        <v>7708</v>
      </c>
      <c r="H3246" s="5">
        <v>7700.82</v>
      </c>
      <c r="I3246" s="5">
        <v>6477751.9800000004</v>
      </c>
      <c r="K3246" s="5">
        <v>4615.4520000000002</v>
      </c>
      <c r="L3246" s="5">
        <v>0.15690000000000001</v>
      </c>
      <c r="M3246" s="5">
        <v>6043155.3899999997</v>
      </c>
      <c r="N3246" s="6">
        <v>0.10299999999999999</v>
      </c>
      <c r="O3246" s="5">
        <v>1906.384</v>
      </c>
      <c r="P3246" s="6">
        <v>6.6699999999999995E-2</v>
      </c>
      <c r="Q3246" s="5">
        <v>58900131.925999999</v>
      </c>
      <c r="R3246" s="1" t="s">
        <v>55</v>
      </c>
      <c r="T3246" s="1" t="s">
        <v>89</v>
      </c>
      <c r="U3246" s="1" t="s">
        <v>241</v>
      </c>
      <c r="V3246" s="1" t="s">
        <v>223</v>
      </c>
      <c r="W3246" s="1" t="s">
        <v>7258</v>
      </c>
      <c r="X3246" s="1" t="s">
        <v>344</v>
      </c>
      <c r="Y3246" s="1" t="s">
        <v>1005</v>
      </c>
      <c r="Z3246" s="1" t="str">
        <f t="shared" si="150"/>
        <v>55856 1</v>
      </c>
      <c r="AA3246" s="3">
        <f>IF(INDEX('CAMD Facility Data 2023'!$AA$2:$AE$10000,MATCH(Z3246,'CAMD Facility Data 2023'!$AE$2:$AE$10000,0),1)&gt;0,INDEX('CAMD Facility Data 2023'!$AA$2:$AE$10000,MATCH(Z3246,'CAMD Facility Data 2023'!$AE$2:$AE$10000,0),1),"")</f>
        <v>40824</v>
      </c>
      <c r="AB3246" s="5">
        <f>IF(INDEX('CAMD Facility Data 2023'!$AC$2:$AE$10000,MATCH(Z3246,'CAMD Facility Data 2023'!$AE$2:$AE$10000,0),1)&gt;0,INDEX('CAMD Facility Data 2023'!$AC$2:$AE$10000,MATCH(Z3246,'CAMD Facility Data 2023'!$AE$2:$AE$10000,0),1),"")</f>
        <v>10000</v>
      </c>
      <c r="AC3246" s="1" t="str">
        <f>IF(INDEX('CAMD Facility Data 2023'!$AE$2:$AG$10000,MATCH(Z3246,'CAMD Facility Data 2023'!$AE$2:$AE$10000,0),3)&gt;0,INDEX('CAMD Facility Data 2023'!$AE$2:$AG$10000,MATCH(Z3246,'CAMD Facility Data 2023'!$AE$2:$AE$10000,0),3),"")</f>
        <v>Y</v>
      </c>
      <c r="AD3246" s="20">
        <f t="shared" si="151"/>
        <v>0.58859431663513606</v>
      </c>
      <c r="AE3246" s="25">
        <f t="shared" si="152"/>
        <v>0.67237593522831052</v>
      </c>
    </row>
    <row r="3247" spans="1:31" x14ac:dyDescent="0.2">
      <c r="A3247" s="1" t="s">
        <v>458</v>
      </c>
      <c r="B3247" s="1" t="s">
        <v>7255</v>
      </c>
      <c r="C3247" s="1">
        <v>55856</v>
      </c>
      <c r="D3247" s="1">
        <v>2</v>
      </c>
      <c r="F3247" s="1">
        <v>2023</v>
      </c>
      <c r="G3247" s="5">
        <v>8195</v>
      </c>
      <c r="H3247" s="5">
        <v>8185.79</v>
      </c>
      <c r="I3247" s="5">
        <v>6922028.7000000002</v>
      </c>
      <c r="K3247" s="5">
        <v>4664.9660000000003</v>
      </c>
      <c r="L3247" s="5">
        <v>0.15359999999999999</v>
      </c>
      <c r="M3247" s="5">
        <v>6390984.4850000003</v>
      </c>
      <c r="N3247" s="6">
        <v>0.10299999999999999</v>
      </c>
      <c r="O3247" s="5">
        <v>2017.441</v>
      </c>
      <c r="P3247" s="6">
        <v>6.7000000000000004E-2</v>
      </c>
      <c r="Q3247" s="5">
        <v>62290273.469999999</v>
      </c>
      <c r="R3247" s="1" t="s">
        <v>55</v>
      </c>
      <c r="T3247" s="1" t="s">
        <v>89</v>
      </c>
      <c r="U3247" s="1" t="s">
        <v>241</v>
      </c>
      <c r="V3247" s="1" t="s">
        <v>223</v>
      </c>
      <c r="W3247" s="1" t="s">
        <v>7258</v>
      </c>
      <c r="X3247" s="1" t="s">
        <v>344</v>
      </c>
      <c r="Y3247" s="1" t="s">
        <v>1005</v>
      </c>
      <c r="Z3247" s="1" t="str">
        <f t="shared" si="150"/>
        <v>55856 2</v>
      </c>
      <c r="AA3247" s="3">
        <f>IF(INDEX('CAMD Facility Data 2023'!$AA$2:$AE$10000,MATCH(Z3247,'CAMD Facility Data 2023'!$AE$2:$AE$10000,0),1)&gt;0,INDEX('CAMD Facility Data 2023'!$AA$2:$AE$10000,MATCH(Z3247,'CAMD Facility Data 2023'!$AE$2:$AE$10000,0),1),"")</f>
        <v>40934</v>
      </c>
      <c r="AB3247" s="5">
        <f>IF(INDEX('CAMD Facility Data 2023'!$AC$2:$AE$10000,MATCH(Z3247,'CAMD Facility Data 2023'!$AE$2:$AE$10000,0),1)&gt;0,INDEX('CAMD Facility Data 2023'!$AC$2:$AE$10000,MATCH(Z3247,'CAMD Facility Data 2023'!$AE$2:$AE$10000,0),1),"")</f>
        <v>10000</v>
      </c>
      <c r="AC3247" s="1" t="str">
        <f>IF(INDEX('CAMD Facility Data 2023'!$AE$2:$AG$10000,MATCH(Z3247,'CAMD Facility Data 2023'!$AE$2:$AE$10000,0),3)&gt;0,INDEX('CAMD Facility Data 2023'!$AE$2:$AG$10000,MATCH(Z3247,'CAMD Facility Data 2023'!$AE$2:$AE$10000,0),3),"")</f>
        <v>Y</v>
      </c>
      <c r="AD3247" s="20">
        <f t="shared" si="151"/>
        <v>0.58290454646626932</v>
      </c>
      <c r="AE3247" s="25">
        <f t="shared" si="152"/>
        <v>0.71107618116438354</v>
      </c>
    </row>
    <row r="3248" spans="1:31" x14ac:dyDescent="0.2">
      <c r="A3248" s="1" t="s">
        <v>291</v>
      </c>
      <c r="B3248" s="1" t="s">
        <v>7261</v>
      </c>
      <c r="C3248" s="1">
        <v>55927</v>
      </c>
      <c r="D3248" s="1" t="s">
        <v>993</v>
      </c>
      <c r="F3248" s="1">
        <v>2023</v>
      </c>
      <c r="G3248" s="5">
        <v>7766</v>
      </c>
      <c r="H3248" s="5">
        <v>7753.73</v>
      </c>
      <c r="I3248" s="5">
        <v>1804059.82</v>
      </c>
      <c r="K3248" s="5">
        <v>3.7829999999999999</v>
      </c>
      <c r="L3248" s="5">
        <v>1E-3</v>
      </c>
      <c r="M3248" s="5">
        <v>749230.71699999995</v>
      </c>
      <c r="N3248" s="6">
        <v>5.8999999999999997E-2</v>
      </c>
      <c r="O3248" s="5">
        <v>52.237000000000002</v>
      </c>
      <c r="P3248" s="6">
        <v>8.6999999999999994E-3</v>
      </c>
      <c r="Q3248" s="5">
        <v>12606032.689999999</v>
      </c>
      <c r="R3248" s="1" t="s">
        <v>44</v>
      </c>
      <c r="S3248" s="1" t="s">
        <v>94</v>
      </c>
      <c r="T3248" s="1" t="s">
        <v>71</v>
      </c>
      <c r="V3248" s="1" t="s">
        <v>7263</v>
      </c>
      <c r="Y3248" s="1" t="s">
        <v>2690</v>
      </c>
      <c r="Z3248" s="1" t="str">
        <f t="shared" si="150"/>
        <v>55927 CT01</v>
      </c>
      <c r="AA3248" s="3">
        <f>IF(INDEX('CAMD Facility Data 2023'!$AA$2:$AE$10000,MATCH(Z3248,'CAMD Facility Data 2023'!$AE$2:$AE$10000,0),1)&gt;0,INDEX('CAMD Facility Data 2023'!$AA$2:$AE$10000,MATCH(Z3248,'CAMD Facility Data 2023'!$AE$2:$AE$10000,0),1),"")</f>
        <v>37943</v>
      </c>
      <c r="AB3248" s="5">
        <f>IF(INDEX('CAMD Facility Data 2023'!$AC$2:$AE$10000,MATCH(Z3248,'CAMD Facility Data 2023'!$AE$2:$AE$10000,0),1)&gt;0,INDEX('CAMD Facility Data 2023'!$AC$2:$AE$10000,MATCH(Z3248,'CAMD Facility Data 2023'!$AE$2:$AE$10000,0),1),"")</f>
        <v>2448.5</v>
      </c>
      <c r="AC3248" s="1" t="str">
        <f>IF(INDEX('CAMD Facility Data 2023'!$AE$2:$AG$10000,MATCH(Z3248,'CAMD Facility Data 2023'!$AE$2:$AE$10000,0),3)&gt;0,INDEX('CAMD Facility Data 2023'!$AE$2:$AG$10000,MATCH(Z3248,'CAMD Facility Data 2023'!$AE$2:$AE$10000,0),3),"")</f>
        <v/>
      </c>
      <c r="AD3248" s="20">
        <f t="shared" si="151"/>
        <v>5.7910496559920054E-2</v>
      </c>
      <c r="AE3248" s="25">
        <f t="shared" si="152"/>
        <v>0.58772506743948161</v>
      </c>
    </row>
    <row r="3249" spans="1:31" x14ac:dyDescent="0.2">
      <c r="A3249" s="1" t="s">
        <v>291</v>
      </c>
      <c r="B3249" s="1" t="s">
        <v>7261</v>
      </c>
      <c r="C3249" s="1">
        <v>55927</v>
      </c>
      <c r="D3249" s="1" t="s">
        <v>998</v>
      </c>
      <c r="F3249" s="1">
        <v>2023</v>
      </c>
      <c r="G3249" s="5">
        <v>8085</v>
      </c>
      <c r="H3249" s="5">
        <v>8076.22</v>
      </c>
      <c r="I3249" s="5">
        <v>1861993.07</v>
      </c>
      <c r="K3249" s="5">
        <v>3.9140000000000001</v>
      </c>
      <c r="L3249" s="5">
        <v>1E-3</v>
      </c>
      <c r="M3249" s="5">
        <v>775202.25899999996</v>
      </c>
      <c r="N3249" s="6">
        <v>5.8999999999999997E-2</v>
      </c>
      <c r="O3249" s="5">
        <v>53.887999999999998</v>
      </c>
      <c r="P3249" s="6">
        <v>8.6E-3</v>
      </c>
      <c r="Q3249" s="5">
        <v>13043739.785</v>
      </c>
      <c r="R3249" s="1" t="s">
        <v>44</v>
      </c>
      <c r="S3249" s="1" t="s">
        <v>94</v>
      </c>
      <c r="T3249" s="1" t="s">
        <v>71</v>
      </c>
      <c r="V3249" s="1" t="s">
        <v>7263</v>
      </c>
      <c r="Y3249" s="1" t="s">
        <v>2690</v>
      </c>
      <c r="Z3249" s="1" t="str">
        <f t="shared" si="150"/>
        <v>55927 CT02</v>
      </c>
      <c r="AA3249" s="3">
        <f>IF(INDEX('CAMD Facility Data 2023'!$AA$2:$AE$10000,MATCH(Z3249,'CAMD Facility Data 2023'!$AE$2:$AE$10000,0),1)&gt;0,INDEX('CAMD Facility Data 2023'!$AA$2:$AE$10000,MATCH(Z3249,'CAMD Facility Data 2023'!$AE$2:$AE$10000,0),1),"")</f>
        <v>37950</v>
      </c>
      <c r="AB3249" s="5">
        <f>IF(INDEX('CAMD Facility Data 2023'!$AC$2:$AE$10000,MATCH(Z3249,'CAMD Facility Data 2023'!$AE$2:$AE$10000,0),1)&gt;0,INDEX('CAMD Facility Data 2023'!$AC$2:$AE$10000,MATCH(Z3249,'CAMD Facility Data 2023'!$AE$2:$AE$10000,0),1),"")</f>
        <v>2448.5</v>
      </c>
      <c r="AC3249" s="1" t="str">
        <f>IF(INDEX('CAMD Facility Data 2023'!$AE$2:$AG$10000,MATCH(Z3249,'CAMD Facility Data 2023'!$AE$2:$AE$10000,0),3)&gt;0,INDEX('CAMD Facility Data 2023'!$AE$2:$AG$10000,MATCH(Z3249,'CAMD Facility Data 2023'!$AE$2:$AE$10000,0),3),"")</f>
        <v/>
      </c>
      <c r="AD3249" s="20">
        <f t="shared" si="151"/>
        <v>5.7882062901555266E-2</v>
      </c>
      <c r="AE3249" s="25">
        <f t="shared" si="152"/>
        <v>0.60813207718265683</v>
      </c>
    </row>
    <row r="3250" spans="1:31" x14ac:dyDescent="0.2">
      <c r="A3250" s="1" t="s">
        <v>291</v>
      </c>
      <c r="B3250" s="1" t="s">
        <v>7261</v>
      </c>
      <c r="C3250" s="1">
        <v>55927</v>
      </c>
      <c r="D3250" s="1" t="s">
        <v>1043</v>
      </c>
      <c r="F3250" s="1">
        <v>2023</v>
      </c>
      <c r="G3250" s="5">
        <v>7736</v>
      </c>
      <c r="H3250" s="5">
        <v>7717.37</v>
      </c>
      <c r="I3250" s="5">
        <v>1785582.76</v>
      </c>
      <c r="K3250" s="5">
        <v>3.7250000000000001</v>
      </c>
      <c r="L3250" s="5">
        <v>1E-3</v>
      </c>
      <c r="M3250" s="5">
        <v>737637.603</v>
      </c>
      <c r="N3250" s="6">
        <v>5.8999999999999997E-2</v>
      </c>
      <c r="O3250" s="5">
        <v>53.241</v>
      </c>
      <c r="P3250" s="6">
        <v>9.4999999999999998E-3</v>
      </c>
      <c r="Q3250" s="5">
        <v>12411376.220000001</v>
      </c>
      <c r="R3250" s="1" t="s">
        <v>44</v>
      </c>
      <c r="S3250" s="1" t="s">
        <v>94</v>
      </c>
      <c r="T3250" s="1" t="s">
        <v>71</v>
      </c>
      <c r="V3250" s="1" t="s">
        <v>7263</v>
      </c>
      <c r="Y3250" s="1" t="s">
        <v>2690</v>
      </c>
      <c r="Z3250" s="1" t="str">
        <f t="shared" si="150"/>
        <v>55927 CT03</v>
      </c>
      <c r="AA3250" s="3">
        <f>IF(INDEX('CAMD Facility Data 2023'!$AA$2:$AE$10000,MATCH(Z3250,'CAMD Facility Data 2023'!$AE$2:$AE$10000,0),1)&gt;0,INDEX('CAMD Facility Data 2023'!$AA$2:$AE$10000,MATCH(Z3250,'CAMD Facility Data 2023'!$AE$2:$AE$10000,0),1),"")</f>
        <v>37960</v>
      </c>
      <c r="AB3250" s="5">
        <f>IF(INDEX('CAMD Facility Data 2023'!$AC$2:$AE$10000,MATCH(Z3250,'CAMD Facility Data 2023'!$AE$2:$AE$10000,0),1)&gt;0,INDEX('CAMD Facility Data 2023'!$AC$2:$AE$10000,MATCH(Z3250,'CAMD Facility Data 2023'!$AE$2:$AE$10000,0),1),"")</f>
        <v>2448.5</v>
      </c>
      <c r="AC3250" s="1" t="str">
        <f>IF(INDEX('CAMD Facility Data 2023'!$AE$2:$AG$10000,MATCH(Z3250,'CAMD Facility Data 2023'!$AE$2:$AE$10000,0),3)&gt;0,INDEX('CAMD Facility Data 2023'!$AE$2:$AG$10000,MATCH(Z3250,'CAMD Facility Data 2023'!$AE$2:$AE$10000,0),3),"")</f>
        <v/>
      </c>
      <c r="AD3250" s="20">
        <f t="shared" si="151"/>
        <v>5.9634312329494038E-2</v>
      </c>
      <c r="AE3250" s="25">
        <f t="shared" si="152"/>
        <v>0.57864969140551059</v>
      </c>
    </row>
    <row r="3251" spans="1:31" x14ac:dyDescent="0.2">
      <c r="A3251" s="1" t="s">
        <v>370</v>
      </c>
      <c r="B3251" s="1" t="s">
        <v>7267</v>
      </c>
      <c r="C3251" s="1">
        <v>55933</v>
      </c>
      <c r="D3251" s="1" t="s">
        <v>7268</v>
      </c>
      <c r="F3251" s="1">
        <v>2023</v>
      </c>
      <c r="G3251" s="5">
        <v>3536</v>
      </c>
      <c r="H3251" s="5">
        <v>3347.45</v>
      </c>
      <c r="I3251" s="5">
        <v>434141.85</v>
      </c>
      <c r="K3251" s="5">
        <v>1.0509999999999999</v>
      </c>
      <c r="L3251" s="5">
        <v>1E-3</v>
      </c>
      <c r="M3251" s="5">
        <v>208168.19500000001</v>
      </c>
      <c r="N3251" s="6">
        <v>5.8999999999999997E-2</v>
      </c>
      <c r="O3251" s="5">
        <v>20.943999999999999</v>
      </c>
      <c r="P3251" s="6">
        <v>1.9E-2</v>
      </c>
      <c r="Q3251" s="5">
        <v>3502824.6039999998</v>
      </c>
      <c r="R3251" s="1" t="s">
        <v>44</v>
      </c>
      <c r="T3251" s="1" t="s">
        <v>71</v>
      </c>
      <c r="V3251" s="1" t="s">
        <v>858</v>
      </c>
      <c r="Y3251" s="1" t="s">
        <v>247</v>
      </c>
      <c r="Z3251" s="1" t="str">
        <f t="shared" si="150"/>
        <v>55933 TPP1</v>
      </c>
      <c r="AA3251" s="3">
        <f>IF(INDEX('CAMD Facility Data 2023'!$AA$2:$AE$10000,MATCH(Z3251,'CAMD Facility Data 2023'!$AE$2:$AE$10000,0),1)&gt;0,INDEX('CAMD Facility Data 2023'!$AA$2:$AE$10000,MATCH(Z3251,'CAMD Facility Data 2023'!$AE$2:$AE$10000,0),1),"")</f>
        <v>37713</v>
      </c>
      <c r="AB3251" s="5">
        <f>IF(INDEX('CAMD Facility Data 2023'!$AC$2:$AE$10000,MATCH(Z3251,'CAMD Facility Data 2023'!$AE$2:$AE$10000,0),1)&gt;0,INDEX('CAMD Facility Data 2023'!$AC$2:$AE$10000,MATCH(Z3251,'CAMD Facility Data 2023'!$AE$2:$AE$10000,0),1),"")</f>
        <v>1415</v>
      </c>
      <c r="AC3251" s="1" t="str">
        <f>IF(INDEX('CAMD Facility Data 2023'!$AE$2:$AG$10000,MATCH(Z3251,'CAMD Facility Data 2023'!$AE$2:$AE$10000,0),3)&gt;0,INDEX('CAMD Facility Data 2023'!$AE$2:$AG$10000,MATCH(Z3251,'CAMD Facility Data 2023'!$AE$2:$AE$10000,0),3),"")</f>
        <v>Y</v>
      </c>
      <c r="AD3251" s="20">
        <f t="shared" si="151"/>
        <v>9.6484593687524031E-2</v>
      </c>
      <c r="AE3251" s="25">
        <f t="shared" si="152"/>
        <v>0.28259068719040931</v>
      </c>
    </row>
    <row r="3252" spans="1:31" x14ac:dyDescent="0.2">
      <c r="A3252" s="1" t="s">
        <v>370</v>
      </c>
      <c r="B3252" s="1" t="s">
        <v>7267</v>
      </c>
      <c r="C3252" s="1">
        <v>55933</v>
      </c>
      <c r="D3252" s="1" t="s">
        <v>7270</v>
      </c>
      <c r="F3252" s="1">
        <v>2023</v>
      </c>
      <c r="G3252" s="5">
        <v>3617</v>
      </c>
      <c r="H3252" s="5">
        <v>3426.69</v>
      </c>
      <c r="I3252" s="5">
        <v>441787.1</v>
      </c>
      <c r="K3252" s="5">
        <v>1.071</v>
      </c>
      <c r="L3252" s="5">
        <v>1E-3</v>
      </c>
      <c r="M3252" s="5">
        <v>212094.027</v>
      </c>
      <c r="N3252" s="6">
        <v>5.8999999999999997E-2</v>
      </c>
      <c r="O3252" s="5">
        <v>20.97</v>
      </c>
      <c r="P3252" s="6">
        <v>1.9E-2</v>
      </c>
      <c r="Q3252" s="5">
        <v>3568894.7680000002</v>
      </c>
      <c r="R3252" s="1" t="s">
        <v>44</v>
      </c>
      <c r="T3252" s="1" t="s">
        <v>71</v>
      </c>
      <c r="V3252" s="1" t="s">
        <v>858</v>
      </c>
      <c r="Y3252" s="1" t="s">
        <v>247</v>
      </c>
      <c r="Z3252" s="1" t="str">
        <f t="shared" si="150"/>
        <v>55933 TPP2</v>
      </c>
      <c r="AA3252" s="3">
        <f>IF(INDEX('CAMD Facility Data 2023'!$AA$2:$AE$10000,MATCH(Z3252,'CAMD Facility Data 2023'!$AE$2:$AE$10000,0),1)&gt;0,INDEX('CAMD Facility Data 2023'!$AA$2:$AE$10000,MATCH(Z3252,'CAMD Facility Data 2023'!$AE$2:$AE$10000,0),1),"")</f>
        <v>37713</v>
      </c>
      <c r="AB3252" s="5">
        <f>IF(INDEX('CAMD Facility Data 2023'!$AC$2:$AE$10000,MATCH(Z3252,'CAMD Facility Data 2023'!$AE$2:$AE$10000,0),1)&gt;0,INDEX('CAMD Facility Data 2023'!$AC$2:$AE$10000,MATCH(Z3252,'CAMD Facility Data 2023'!$AE$2:$AE$10000,0),1),"")</f>
        <v>1415</v>
      </c>
      <c r="AC3252" s="1" t="str">
        <f>IF(INDEX('CAMD Facility Data 2023'!$AE$2:$AG$10000,MATCH(Z3252,'CAMD Facility Data 2023'!$AE$2:$AE$10000,0),3)&gt;0,INDEX('CAMD Facility Data 2023'!$AE$2:$AG$10000,MATCH(Z3252,'CAMD Facility Data 2023'!$AE$2:$AE$10000,0),3),"")</f>
        <v>Y</v>
      </c>
      <c r="AD3252" s="20">
        <f t="shared" si="151"/>
        <v>9.4932604415113073E-2</v>
      </c>
      <c r="AE3252" s="25">
        <f t="shared" si="152"/>
        <v>0.28792090356099842</v>
      </c>
    </row>
    <row r="3253" spans="1:31" x14ac:dyDescent="0.2">
      <c r="A3253" s="1" t="s">
        <v>458</v>
      </c>
      <c r="B3253" s="1" t="s">
        <v>7272</v>
      </c>
      <c r="C3253" s="1">
        <v>55936</v>
      </c>
      <c r="D3253" s="1" t="s">
        <v>3858</v>
      </c>
      <c r="F3253" s="1">
        <v>2023</v>
      </c>
      <c r="G3253" s="5">
        <v>336</v>
      </c>
      <c r="H3253" s="5">
        <v>300.81</v>
      </c>
      <c r="I3253" s="5">
        <v>46742.97</v>
      </c>
      <c r="K3253" s="5">
        <v>0.13600000000000001</v>
      </c>
      <c r="L3253" s="5">
        <v>1E-3</v>
      </c>
      <c r="M3253" s="5">
        <v>27357.49</v>
      </c>
      <c r="N3253" s="6">
        <v>5.91E-2</v>
      </c>
      <c r="O3253" s="5">
        <v>11.938000000000001</v>
      </c>
      <c r="P3253" s="6">
        <v>5.6099999999999997E-2</v>
      </c>
      <c r="Q3253" s="5">
        <v>460334.93099999998</v>
      </c>
      <c r="R3253" s="1" t="s">
        <v>44</v>
      </c>
      <c r="T3253" s="1" t="s">
        <v>93</v>
      </c>
      <c r="V3253" s="1" t="s">
        <v>140</v>
      </c>
      <c r="Y3253" s="1" t="s">
        <v>461</v>
      </c>
      <c r="Z3253" s="1" t="str">
        <f t="shared" si="150"/>
        <v>55936 U1</v>
      </c>
      <c r="AA3253" s="3">
        <f>IF(INDEX('CAMD Facility Data 2023'!$AA$2:$AE$10000,MATCH(Z3253,'CAMD Facility Data 2023'!$AE$2:$AE$10000,0),1)&gt;0,INDEX('CAMD Facility Data 2023'!$AA$2:$AE$10000,MATCH(Z3253,'CAMD Facility Data 2023'!$AE$2:$AE$10000,0),1),"")</f>
        <v>37389</v>
      </c>
      <c r="AB3253" s="5">
        <f>IF(INDEX('CAMD Facility Data 2023'!$AC$2:$AE$10000,MATCH(Z3253,'CAMD Facility Data 2023'!$AE$2:$AE$10000,0),1)&gt;0,INDEX('CAMD Facility Data 2023'!$AC$2:$AE$10000,MATCH(Z3253,'CAMD Facility Data 2023'!$AE$2:$AE$10000,0),1),"")</f>
        <v>1721.9</v>
      </c>
      <c r="AC3253" s="1" t="str">
        <f>IF(INDEX('CAMD Facility Data 2023'!$AE$2:$AG$10000,MATCH(Z3253,'CAMD Facility Data 2023'!$AE$2:$AE$10000,0),3)&gt;0,INDEX('CAMD Facility Data 2023'!$AE$2:$AG$10000,MATCH(Z3253,'CAMD Facility Data 2023'!$AE$2:$AE$10000,0),3),"")</f>
        <v/>
      </c>
      <c r="AD3253" s="20">
        <f t="shared" si="151"/>
        <v>0.51079338775435112</v>
      </c>
      <c r="AE3253" s="25">
        <f t="shared" si="152"/>
        <v>3.051840969715677E-2</v>
      </c>
    </row>
    <row r="3254" spans="1:31" x14ac:dyDescent="0.2">
      <c r="A3254" s="1" t="s">
        <v>1980</v>
      </c>
      <c r="B3254" s="1" t="s">
        <v>7274</v>
      </c>
      <c r="C3254" s="1">
        <v>55938</v>
      </c>
      <c r="D3254" s="1" t="s">
        <v>7275</v>
      </c>
      <c r="F3254" s="1">
        <v>2023</v>
      </c>
      <c r="G3254" s="5">
        <v>850</v>
      </c>
      <c r="H3254" s="5">
        <v>786.21</v>
      </c>
      <c r="I3254" s="5">
        <v>120019.76</v>
      </c>
      <c r="K3254" s="5">
        <v>0.378</v>
      </c>
      <c r="L3254" s="5">
        <v>1E-3</v>
      </c>
      <c r="M3254" s="5">
        <v>74908.008000000002</v>
      </c>
      <c r="N3254" s="6">
        <v>5.91E-2</v>
      </c>
      <c r="O3254" s="5">
        <v>20.244</v>
      </c>
      <c r="P3254" s="6">
        <v>4.0099999999999997E-2</v>
      </c>
      <c r="Q3254" s="5">
        <v>1260481.003</v>
      </c>
      <c r="R3254" s="1" t="s">
        <v>44</v>
      </c>
      <c r="T3254" s="1" t="s">
        <v>93</v>
      </c>
      <c r="V3254" s="1" t="s">
        <v>140</v>
      </c>
      <c r="Y3254" s="1" t="s">
        <v>1515</v>
      </c>
      <c r="Z3254" s="1" t="str">
        <f t="shared" si="150"/>
        <v>55938 OPP3</v>
      </c>
      <c r="AA3254" s="3">
        <f>IF(INDEX('CAMD Facility Data 2023'!$AA$2:$AE$10000,MATCH(Z3254,'CAMD Facility Data 2023'!$AE$2:$AE$10000,0),1)&gt;0,INDEX('CAMD Facility Data 2023'!$AA$2:$AE$10000,MATCH(Z3254,'CAMD Facility Data 2023'!$AE$2:$AE$10000,0),1),"")</f>
        <v>37629</v>
      </c>
      <c r="AB3254" s="5">
        <f>IF(INDEX('CAMD Facility Data 2023'!$AC$2:$AE$10000,MATCH(Z3254,'CAMD Facility Data 2023'!$AE$2:$AE$10000,0),1)&gt;0,INDEX('CAMD Facility Data 2023'!$AC$2:$AE$10000,MATCH(Z3254,'CAMD Facility Data 2023'!$AE$2:$AE$10000,0),1),"")</f>
        <v>1959</v>
      </c>
      <c r="AC3254" s="1" t="str">
        <f>IF(INDEX('CAMD Facility Data 2023'!$AE$2:$AG$10000,MATCH(Z3254,'CAMD Facility Data 2023'!$AE$2:$AE$10000,0),3)&gt;0,INDEX('CAMD Facility Data 2023'!$AE$2:$AG$10000,MATCH(Z3254,'CAMD Facility Data 2023'!$AE$2:$AE$10000,0),3),"")</f>
        <v/>
      </c>
      <c r="AD3254" s="20">
        <f t="shared" si="151"/>
        <v>0.33734445061379892</v>
      </c>
      <c r="AE3254" s="25">
        <f t="shared" si="152"/>
        <v>7.3451008400521184E-2</v>
      </c>
    </row>
    <row r="3255" spans="1:31" x14ac:dyDescent="0.2">
      <c r="A3255" s="1" t="s">
        <v>1980</v>
      </c>
      <c r="B3255" s="1" t="s">
        <v>7274</v>
      </c>
      <c r="C3255" s="1">
        <v>55938</v>
      </c>
      <c r="D3255" s="1" t="s">
        <v>7278</v>
      </c>
      <c r="F3255" s="1">
        <v>2023</v>
      </c>
      <c r="G3255" s="5">
        <v>794</v>
      </c>
      <c r="H3255" s="5">
        <v>732.08</v>
      </c>
      <c r="I3255" s="5">
        <v>112173.55</v>
      </c>
      <c r="K3255" s="5">
        <v>0.35599999999999998</v>
      </c>
      <c r="L3255" s="5">
        <v>1E-3</v>
      </c>
      <c r="M3255" s="5">
        <v>70508.231</v>
      </c>
      <c r="N3255" s="6">
        <v>5.91E-2</v>
      </c>
      <c r="O3255" s="5">
        <v>21.058</v>
      </c>
      <c r="P3255" s="6">
        <v>4.5400000000000003E-2</v>
      </c>
      <c r="Q3255" s="5">
        <v>1186445.422</v>
      </c>
      <c r="R3255" s="1" t="s">
        <v>44</v>
      </c>
      <c r="T3255" s="1" t="s">
        <v>93</v>
      </c>
      <c r="V3255" s="1" t="s">
        <v>140</v>
      </c>
      <c r="Y3255" s="1" t="s">
        <v>1515</v>
      </c>
      <c r="Z3255" s="1" t="str">
        <f t="shared" si="150"/>
        <v>55938 OPP4</v>
      </c>
      <c r="AA3255" s="3">
        <f>IF(INDEX('CAMD Facility Data 2023'!$AA$2:$AE$10000,MATCH(Z3255,'CAMD Facility Data 2023'!$AE$2:$AE$10000,0),1)&gt;0,INDEX('CAMD Facility Data 2023'!$AA$2:$AE$10000,MATCH(Z3255,'CAMD Facility Data 2023'!$AE$2:$AE$10000,0),1),"")</f>
        <v>37707</v>
      </c>
      <c r="AB3255" s="5">
        <f>IF(INDEX('CAMD Facility Data 2023'!$AC$2:$AE$10000,MATCH(Z3255,'CAMD Facility Data 2023'!$AE$2:$AE$10000,0),1)&gt;0,INDEX('CAMD Facility Data 2023'!$AC$2:$AE$10000,MATCH(Z3255,'CAMD Facility Data 2023'!$AE$2:$AE$10000,0),1),"")</f>
        <v>1959</v>
      </c>
      <c r="AC3255" s="1" t="str">
        <f>IF(INDEX('CAMD Facility Data 2023'!$AE$2:$AG$10000,MATCH(Z3255,'CAMD Facility Data 2023'!$AE$2:$AE$10000,0),3)&gt;0,INDEX('CAMD Facility Data 2023'!$AE$2:$AG$10000,MATCH(Z3255,'CAMD Facility Data 2023'!$AE$2:$AE$10000,0),3),"")</f>
        <v/>
      </c>
      <c r="AD3255" s="20">
        <f t="shared" si="151"/>
        <v>0.37545392831019431</v>
      </c>
      <c r="AE3255" s="25">
        <f t="shared" si="152"/>
        <v>6.9136791788746946E-2</v>
      </c>
    </row>
    <row r="3256" spans="1:31" x14ac:dyDescent="0.2">
      <c r="A3256" s="1" t="s">
        <v>3095</v>
      </c>
      <c r="B3256" s="1" t="s">
        <v>7280</v>
      </c>
      <c r="C3256" s="1">
        <v>55939</v>
      </c>
      <c r="D3256" s="1" t="s">
        <v>372</v>
      </c>
      <c r="F3256" s="1">
        <v>2023</v>
      </c>
      <c r="G3256" s="5">
        <v>7254</v>
      </c>
      <c r="H3256" s="5">
        <v>7250.68</v>
      </c>
      <c r="I3256" s="5">
        <v>2909927.72</v>
      </c>
      <c r="K3256" s="5">
        <v>5.9169999999999998</v>
      </c>
      <c r="L3256" s="5">
        <v>1E-3</v>
      </c>
      <c r="M3256" s="5">
        <v>1172108.2420000001</v>
      </c>
      <c r="N3256" s="6">
        <v>5.8999999999999997E-2</v>
      </c>
      <c r="O3256" s="5">
        <v>56.816000000000003</v>
      </c>
      <c r="P3256" s="6">
        <v>6.1000000000000004E-3</v>
      </c>
      <c r="Q3256" s="5">
        <v>19723057.252999999</v>
      </c>
      <c r="R3256" s="1" t="s">
        <v>44</v>
      </c>
      <c r="T3256" s="1" t="s">
        <v>71</v>
      </c>
      <c r="V3256" s="1" t="s">
        <v>64</v>
      </c>
      <c r="Y3256" s="1" t="s">
        <v>1515</v>
      </c>
      <c r="Z3256" s="1" t="str">
        <f t="shared" si="150"/>
        <v>55939 1A</v>
      </c>
      <c r="AA3256" s="3">
        <f>IF(INDEX('CAMD Facility Data 2023'!$AA$2:$AE$10000,MATCH(Z3256,'CAMD Facility Data 2023'!$AE$2:$AE$10000,0),1)&gt;0,INDEX('CAMD Facility Data 2023'!$AA$2:$AE$10000,MATCH(Z3256,'CAMD Facility Data 2023'!$AE$2:$AE$10000,0),1),"")</f>
        <v>41896</v>
      </c>
      <c r="AB3256" s="5">
        <f>IF(INDEX('CAMD Facility Data 2023'!$AC$2:$AE$10000,MATCH(Z3256,'CAMD Facility Data 2023'!$AE$2:$AE$10000,0),1)&gt;0,INDEX('CAMD Facility Data 2023'!$AC$2:$AE$10000,MATCH(Z3256,'CAMD Facility Data 2023'!$AE$2:$AE$10000,0),1),"")</f>
        <v>3496</v>
      </c>
      <c r="AC3256" s="1" t="str">
        <f>IF(INDEX('CAMD Facility Data 2023'!$AE$2:$AG$10000,MATCH(Z3256,'CAMD Facility Data 2023'!$AE$2:$AE$10000,0),3)&gt;0,INDEX('CAMD Facility Data 2023'!$AE$2:$AG$10000,MATCH(Z3256,'CAMD Facility Data 2023'!$AE$2:$AE$10000,0),3),"")</f>
        <v>Y</v>
      </c>
      <c r="AD3256" s="20">
        <f t="shared" si="151"/>
        <v>3.9049767188031735E-2</v>
      </c>
      <c r="AE3256" s="25">
        <f t="shared" si="152"/>
        <v>0.64401903718404852</v>
      </c>
    </row>
    <row r="3257" spans="1:31" x14ac:dyDescent="0.2">
      <c r="A3257" s="1" t="s">
        <v>3095</v>
      </c>
      <c r="B3257" s="1" t="s">
        <v>7280</v>
      </c>
      <c r="C3257" s="1">
        <v>55939</v>
      </c>
      <c r="D3257" s="1" t="s">
        <v>1199</v>
      </c>
      <c r="F3257" s="1">
        <v>2023</v>
      </c>
      <c r="G3257" s="5">
        <v>6993</v>
      </c>
      <c r="H3257" s="5">
        <v>6985.6</v>
      </c>
      <c r="I3257" s="5">
        <v>2819359.37</v>
      </c>
      <c r="K3257" s="5">
        <v>5.6740000000000004</v>
      </c>
      <c r="L3257" s="5">
        <v>1E-3</v>
      </c>
      <c r="M3257" s="5">
        <v>1124029.112</v>
      </c>
      <c r="N3257" s="6">
        <v>5.8999999999999997E-2</v>
      </c>
      <c r="O3257" s="5">
        <v>54.615000000000002</v>
      </c>
      <c r="P3257" s="6">
        <v>6.1000000000000004E-3</v>
      </c>
      <c r="Q3257" s="5">
        <v>18913955.331999999</v>
      </c>
      <c r="R3257" s="1" t="s">
        <v>44</v>
      </c>
      <c r="T3257" s="1" t="s">
        <v>71</v>
      </c>
      <c r="V3257" s="1" t="s">
        <v>64</v>
      </c>
      <c r="Y3257" s="1" t="s">
        <v>1515</v>
      </c>
      <c r="Z3257" s="1" t="str">
        <f t="shared" si="150"/>
        <v>55939 1B</v>
      </c>
      <c r="AA3257" s="3">
        <f>IF(INDEX('CAMD Facility Data 2023'!$AA$2:$AE$10000,MATCH(Z3257,'CAMD Facility Data 2023'!$AE$2:$AE$10000,0),1)&gt;0,INDEX('CAMD Facility Data 2023'!$AA$2:$AE$10000,MATCH(Z3257,'CAMD Facility Data 2023'!$AE$2:$AE$10000,0),1),"")</f>
        <v>41879</v>
      </c>
      <c r="AB3257" s="5">
        <f>IF(INDEX('CAMD Facility Data 2023'!$AC$2:$AE$10000,MATCH(Z3257,'CAMD Facility Data 2023'!$AE$2:$AE$10000,0),1)&gt;0,INDEX('CAMD Facility Data 2023'!$AC$2:$AE$10000,MATCH(Z3257,'CAMD Facility Data 2023'!$AE$2:$AE$10000,0),1),"")</f>
        <v>3496</v>
      </c>
      <c r="AC3257" s="1" t="str">
        <f>IF(INDEX('CAMD Facility Data 2023'!$AE$2:$AG$10000,MATCH(Z3257,'CAMD Facility Data 2023'!$AE$2:$AE$10000,0),3)&gt;0,INDEX('CAMD Facility Data 2023'!$AE$2:$AG$10000,MATCH(Z3257,'CAMD Facility Data 2023'!$AE$2:$AE$10000,0),3),"")</f>
        <v>Y</v>
      </c>
      <c r="AD3257" s="20">
        <f t="shared" si="151"/>
        <v>3.8742843910671808E-2</v>
      </c>
      <c r="AE3257" s="25">
        <f t="shared" si="152"/>
        <v>0.6175993481134342</v>
      </c>
    </row>
    <row r="3258" spans="1:31" x14ac:dyDescent="0.2">
      <c r="A3258" s="1" t="s">
        <v>3095</v>
      </c>
      <c r="B3258" s="1" t="s">
        <v>7280</v>
      </c>
      <c r="C3258" s="1">
        <v>55939</v>
      </c>
      <c r="D3258" s="1" t="s">
        <v>3753</v>
      </c>
      <c r="F3258" s="1">
        <v>2023</v>
      </c>
      <c r="G3258" s="5">
        <v>7212</v>
      </c>
      <c r="H3258" s="5">
        <v>7207.16</v>
      </c>
      <c r="I3258" s="5">
        <v>2893606.59</v>
      </c>
      <c r="K3258" s="5">
        <v>5.835</v>
      </c>
      <c r="L3258" s="5">
        <v>1E-3</v>
      </c>
      <c r="M3258" s="5">
        <v>1155826.3230000001</v>
      </c>
      <c r="N3258" s="6">
        <v>5.8999999999999997E-2</v>
      </c>
      <c r="O3258" s="5">
        <v>55.328000000000003</v>
      </c>
      <c r="P3258" s="6">
        <v>5.7999999999999996E-3</v>
      </c>
      <c r="Q3258" s="5">
        <v>19449017.759</v>
      </c>
      <c r="R3258" s="1" t="s">
        <v>44</v>
      </c>
      <c r="T3258" s="1" t="s">
        <v>71</v>
      </c>
      <c r="V3258" s="1" t="s">
        <v>64</v>
      </c>
      <c r="Y3258" s="1" t="s">
        <v>1515</v>
      </c>
      <c r="Z3258" s="1" t="str">
        <f t="shared" si="150"/>
        <v>55939 1C</v>
      </c>
      <c r="AA3258" s="3">
        <f>IF(INDEX('CAMD Facility Data 2023'!$AA$2:$AE$10000,MATCH(Z3258,'CAMD Facility Data 2023'!$AE$2:$AE$10000,0),1)&gt;0,INDEX('CAMD Facility Data 2023'!$AA$2:$AE$10000,MATCH(Z3258,'CAMD Facility Data 2023'!$AE$2:$AE$10000,0),1),"")</f>
        <v>41859</v>
      </c>
      <c r="AB3258" s="5">
        <f>IF(INDEX('CAMD Facility Data 2023'!$AC$2:$AE$10000,MATCH(Z3258,'CAMD Facility Data 2023'!$AE$2:$AE$10000,0),1)&gt;0,INDEX('CAMD Facility Data 2023'!$AC$2:$AE$10000,MATCH(Z3258,'CAMD Facility Data 2023'!$AE$2:$AE$10000,0),1),"")</f>
        <v>3496</v>
      </c>
      <c r="AC3258" s="1" t="str">
        <f>IF(INDEX('CAMD Facility Data 2023'!$AE$2:$AG$10000,MATCH(Z3258,'CAMD Facility Data 2023'!$AE$2:$AE$10000,0),3)&gt;0,INDEX('CAMD Facility Data 2023'!$AE$2:$AG$10000,MATCH(Z3258,'CAMD Facility Data 2023'!$AE$2:$AE$10000,0),3),"")</f>
        <v>Y</v>
      </c>
      <c r="AD3258" s="20">
        <f t="shared" si="151"/>
        <v>3.8241549622680393E-2</v>
      </c>
      <c r="AE3258" s="25">
        <f t="shared" si="152"/>
        <v>0.63507079712104109</v>
      </c>
    </row>
    <row r="3259" spans="1:31" x14ac:dyDescent="0.2">
      <c r="A3259" s="1" t="s">
        <v>370</v>
      </c>
      <c r="B3259" s="1" t="s">
        <v>7285</v>
      </c>
      <c r="C3259" s="1">
        <v>55951</v>
      </c>
      <c r="D3259" s="1" t="s">
        <v>7286</v>
      </c>
      <c r="F3259" s="1">
        <v>2023</v>
      </c>
      <c r="G3259" s="5">
        <v>339</v>
      </c>
      <c r="H3259" s="5">
        <v>282</v>
      </c>
      <c r="I3259" s="5">
        <v>10908.5</v>
      </c>
      <c r="K3259" s="5">
        <v>3.4000000000000002E-2</v>
      </c>
      <c r="L3259" s="5">
        <v>1E-3</v>
      </c>
      <c r="M3259" s="5">
        <v>6739.2</v>
      </c>
      <c r="N3259" s="6">
        <v>5.9299999999999999E-2</v>
      </c>
      <c r="O3259" s="5">
        <v>0.86699999999999999</v>
      </c>
      <c r="P3259" s="6">
        <v>3.2000000000000001E-2</v>
      </c>
      <c r="Q3259" s="5">
        <v>113397.47500000001</v>
      </c>
      <c r="R3259" s="1" t="s">
        <v>44</v>
      </c>
      <c r="T3259" s="1" t="s">
        <v>93</v>
      </c>
      <c r="V3259" s="1" t="s">
        <v>176</v>
      </c>
      <c r="Y3259" s="1" t="s">
        <v>247</v>
      </c>
      <c r="Z3259" s="1" t="str">
        <f t="shared" si="150"/>
        <v>55951 AMP-1</v>
      </c>
      <c r="AA3259" s="3">
        <f>IF(INDEX('CAMD Facility Data 2023'!$AA$2:$AE$10000,MATCH(Z3259,'CAMD Facility Data 2023'!$AE$2:$AE$10000,0),1)&gt;0,INDEX('CAMD Facility Data 2023'!$AA$2:$AE$10000,MATCH(Z3259,'CAMD Facility Data 2023'!$AE$2:$AE$10000,0),1),"")</f>
        <v>37780</v>
      </c>
      <c r="AB3259" s="5">
        <f>IF(INDEX('CAMD Facility Data 2023'!$AC$2:$AE$10000,MATCH(Z3259,'CAMD Facility Data 2023'!$AE$2:$AE$10000,0),1)&gt;0,INDEX('CAMD Facility Data 2023'!$AC$2:$AE$10000,MATCH(Z3259,'CAMD Facility Data 2023'!$AE$2:$AE$10000,0),1),"")</f>
        <v>470</v>
      </c>
      <c r="AC3259" s="1" t="str">
        <f>IF(INDEX('CAMD Facility Data 2023'!$AE$2:$AG$10000,MATCH(Z3259,'CAMD Facility Data 2023'!$AE$2:$AE$10000,0),3)&gt;0,INDEX('CAMD Facility Data 2023'!$AE$2:$AG$10000,MATCH(Z3259,'CAMD Facility Data 2023'!$AE$2:$AE$10000,0),3),"")</f>
        <v>Y</v>
      </c>
      <c r="AD3259" s="20">
        <f t="shared" si="151"/>
        <v>0.15895861025805563</v>
      </c>
      <c r="AE3259" s="25">
        <f t="shared" si="152"/>
        <v>2.754237710094239E-2</v>
      </c>
    </row>
    <row r="3260" spans="1:31" x14ac:dyDescent="0.2">
      <c r="A3260" s="1" t="s">
        <v>370</v>
      </c>
      <c r="B3260" s="1" t="s">
        <v>7289</v>
      </c>
      <c r="C3260" s="1">
        <v>55963</v>
      </c>
      <c r="D3260" s="1">
        <v>1</v>
      </c>
      <c r="F3260" s="1">
        <v>2023</v>
      </c>
      <c r="G3260" s="5">
        <v>934</v>
      </c>
      <c r="H3260" s="5">
        <v>724.38</v>
      </c>
      <c r="I3260" s="5">
        <v>28708.54</v>
      </c>
      <c r="K3260" s="5">
        <v>8.8999999999999996E-2</v>
      </c>
      <c r="L3260" s="5">
        <v>1E-3</v>
      </c>
      <c r="M3260" s="5">
        <v>17628.531999999999</v>
      </c>
      <c r="N3260" s="6">
        <v>5.9299999999999999E-2</v>
      </c>
      <c r="O3260" s="5">
        <v>2.9529999999999998</v>
      </c>
      <c r="P3260" s="6">
        <v>3.6200000000000003E-2</v>
      </c>
      <c r="Q3260" s="5">
        <v>296606.57900000003</v>
      </c>
      <c r="R3260" s="1" t="s">
        <v>44</v>
      </c>
      <c r="T3260" s="1" t="s">
        <v>93</v>
      </c>
      <c r="V3260" s="1" t="s">
        <v>2111</v>
      </c>
      <c r="Y3260" s="1" t="s">
        <v>247</v>
      </c>
      <c r="Z3260" s="1" t="str">
        <f t="shared" si="150"/>
        <v>55963 1</v>
      </c>
      <c r="AA3260" s="3">
        <f>IF(INDEX('CAMD Facility Data 2023'!$AA$2:$AE$10000,MATCH(Z3260,'CAMD Facility Data 2023'!$AE$2:$AE$10000,0),1)&gt;0,INDEX('CAMD Facility Data 2023'!$AA$2:$AE$10000,MATCH(Z3260,'CAMD Facility Data 2023'!$AE$2:$AE$10000,0),1),"")</f>
        <v>37730</v>
      </c>
      <c r="AB3260" s="5">
        <f>IF(INDEX('CAMD Facility Data 2023'!$AC$2:$AE$10000,MATCH(Z3260,'CAMD Facility Data 2023'!$AE$2:$AE$10000,0),1)&gt;0,INDEX('CAMD Facility Data 2023'!$AC$2:$AE$10000,MATCH(Z3260,'CAMD Facility Data 2023'!$AE$2:$AE$10000,0),1),"")</f>
        <v>500</v>
      </c>
      <c r="AC3260" s="1" t="str">
        <f>IF(INDEX('CAMD Facility Data 2023'!$AE$2:$AG$10000,MATCH(Z3260,'CAMD Facility Data 2023'!$AE$2:$AE$10000,0),3)&gt;0,INDEX('CAMD Facility Data 2023'!$AE$2:$AG$10000,MATCH(Z3260,'CAMD Facility Data 2023'!$AE$2:$AE$10000,0),3),"")</f>
        <v>Y</v>
      </c>
      <c r="AD3260" s="20">
        <f t="shared" si="151"/>
        <v>0.20572275706113929</v>
      </c>
      <c r="AE3260" s="25">
        <f t="shared" si="152"/>
        <v>6.7718397031963473E-2</v>
      </c>
    </row>
    <row r="3261" spans="1:31" x14ac:dyDescent="0.2">
      <c r="A3261" s="1" t="s">
        <v>921</v>
      </c>
      <c r="B3261" s="1" t="s">
        <v>7290</v>
      </c>
      <c r="C3261" s="1">
        <v>55965</v>
      </c>
      <c r="D3261" s="1" t="s">
        <v>70</v>
      </c>
      <c r="F3261" s="1">
        <v>2023</v>
      </c>
      <c r="G3261" s="5">
        <v>8383</v>
      </c>
      <c r="H3261" s="5">
        <v>8376.1200000000008</v>
      </c>
      <c r="I3261" s="5">
        <v>2311468.77</v>
      </c>
      <c r="K3261" s="5">
        <v>4.7210000000000001</v>
      </c>
      <c r="L3261" s="5">
        <v>1E-3</v>
      </c>
      <c r="M3261" s="5">
        <v>935229.90300000005</v>
      </c>
      <c r="N3261" s="6">
        <v>5.8999999999999997E-2</v>
      </c>
      <c r="O3261" s="5">
        <v>64.576999999999998</v>
      </c>
      <c r="P3261" s="6">
        <v>8.6E-3</v>
      </c>
      <c r="Q3261" s="5">
        <v>15737030.200999999</v>
      </c>
      <c r="R3261" s="1" t="s">
        <v>44</v>
      </c>
      <c r="T3261" s="1" t="s">
        <v>71</v>
      </c>
      <c r="V3261" s="1" t="s">
        <v>64</v>
      </c>
      <c r="Y3261" s="1" t="s">
        <v>952</v>
      </c>
      <c r="Z3261" s="1" t="str">
        <f t="shared" si="150"/>
        <v>55965 6A</v>
      </c>
      <c r="AA3261" s="3">
        <f>IF(INDEX('CAMD Facility Data 2023'!$AA$2:$AE$10000,MATCH(Z3261,'CAMD Facility Data 2023'!$AE$2:$AE$10000,0),1)&gt;0,INDEX('CAMD Facility Data 2023'!$AA$2:$AE$10000,MATCH(Z3261,'CAMD Facility Data 2023'!$AE$2:$AE$10000,0),1),"")</f>
        <v>37238</v>
      </c>
      <c r="AB3261" s="5">
        <f>IF(INDEX('CAMD Facility Data 2023'!$AC$2:$AE$10000,MATCH(Z3261,'CAMD Facility Data 2023'!$AE$2:$AE$10000,0),1)&gt;0,INDEX('CAMD Facility Data 2023'!$AC$2:$AE$10000,MATCH(Z3261,'CAMD Facility Data 2023'!$AE$2:$AE$10000,0),1),"")</f>
        <v>2350</v>
      </c>
      <c r="AC3261" s="1" t="str">
        <f>IF(INDEX('CAMD Facility Data 2023'!$AE$2:$AG$10000,MATCH(Z3261,'CAMD Facility Data 2023'!$AE$2:$AE$10000,0),3)&gt;0,INDEX('CAMD Facility Data 2023'!$AE$2:$AG$10000,MATCH(Z3261,'CAMD Facility Data 2023'!$AE$2:$AE$10000,0),3),"")</f>
        <v>Y</v>
      </c>
      <c r="AD3261" s="20">
        <f t="shared" si="151"/>
        <v>5.587529525653076E-2</v>
      </c>
      <c r="AE3261" s="25">
        <f t="shared" si="152"/>
        <v>0.76445303609249005</v>
      </c>
    </row>
    <row r="3262" spans="1:31" x14ac:dyDescent="0.2">
      <c r="A3262" s="1" t="s">
        <v>921</v>
      </c>
      <c r="B3262" s="1" t="s">
        <v>7290</v>
      </c>
      <c r="C3262" s="1">
        <v>55965</v>
      </c>
      <c r="D3262" s="1" t="s">
        <v>73</v>
      </c>
      <c r="F3262" s="1">
        <v>2023</v>
      </c>
      <c r="G3262" s="5">
        <v>8351</v>
      </c>
      <c r="H3262" s="5">
        <v>8338.4</v>
      </c>
      <c r="I3262" s="5">
        <v>2328235.61</v>
      </c>
      <c r="K3262" s="5">
        <v>4.7149999999999999</v>
      </c>
      <c r="L3262" s="5">
        <v>1E-3</v>
      </c>
      <c r="M3262" s="5">
        <v>933978.14399999997</v>
      </c>
      <c r="N3262" s="6">
        <v>5.8999999999999997E-2</v>
      </c>
      <c r="O3262" s="5">
        <v>65.534999999999997</v>
      </c>
      <c r="P3262" s="6">
        <v>8.8000000000000005E-3</v>
      </c>
      <c r="Q3262" s="5">
        <v>15715921.458000001</v>
      </c>
      <c r="R3262" s="1" t="s">
        <v>44</v>
      </c>
      <c r="T3262" s="1" t="s">
        <v>71</v>
      </c>
      <c r="V3262" s="1" t="s">
        <v>64</v>
      </c>
      <c r="Y3262" s="1" t="s">
        <v>952</v>
      </c>
      <c r="Z3262" s="1" t="str">
        <f t="shared" si="150"/>
        <v>55965 6B</v>
      </c>
      <c r="AA3262" s="3">
        <f>IF(INDEX('CAMD Facility Data 2023'!$AA$2:$AE$10000,MATCH(Z3262,'CAMD Facility Data 2023'!$AE$2:$AE$10000,0),1)&gt;0,INDEX('CAMD Facility Data 2023'!$AA$2:$AE$10000,MATCH(Z3262,'CAMD Facility Data 2023'!$AE$2:$AE$10000,0),1),"")</f>
        <v>37238</v>
      </c>
      <c r="AB3262" s="5">
        <f>IF(INDEX('CAMD Facility Data 2023'!$AC$2:$AE$10000,MATCH(Z3262,'CAMD Facility Data 2023'!$AE$2:$AE$10000,0),1)&gt;0,INDEX('CAMD Facility Data 2023'!$AC$2:$AE$10000,MATCH(Z3262,'CAMD Facility Data 2023'!$AE$2:$AE$10000,0),1),"")</f>
        <v>2350</v>
      </c>
      <c r="AC3262" s="1" t="str">
        <f>IF(INDEX('CAMD Facility Data 2023'!$AE$2:$AG$10000,MATCH(Z3262,'CAMD Facility Data 2023'!$AE$2:$AE$10000,0),3)&gt;0,INDEX('CAMD Facility Data 2023'!$AE$2:$AG$10000,MATCH(Z3262,'CAMD Facility Data 2023'!$AE$2:$AE$10000,0),3),"")</f>
        <v>Y</v>
      </c>
      <c r="AD3262" s="20">
        <f t="shared" si="151"/>
        <v>5.6295848855262551E-2</v>
      </c>
      <c r="AE3262" s="25">
        <f t="shared" si="152"/>
        <v>0.76342764296123578</v>
      </c>
    </row>
    <row r="3263" spans="1:31" x14ac:dyDescent="0.2">
      <c r="A3263" s="1" t="s">
        <v>921</v>
      </c>
      <c r="B3263" s="1" t="s">
        <v>7290</v>
      </c>
      <c r="C3263" s="1">
        <v>55965</v>
      </c>
      <c r="D3263" s="1" t="s">
        <v>75</v>
      </c>
      <c r="F3263" s="1">
        <v>2023</v>
      </c>
      <c r="G3263" s="5">
        <v>8425</v>
      </c>
      <c r="H3263" s="5">
        <v>8413.42</v>
      </c>
      <c r="I3263" s="5">
        <v>2289407.7599999998</v>
      </c>
      <c r="K3263" s="5">
        <v>4.6749999999999998</v>
      </c>
      <c r="L3263" s="5">
        <v>1E-3</v>
      </c>
      <c r="M3263" s="5">
        <v>926088.32400000002</v>
      </c>
      <c r="N3263" s="6">
        <v>5.8999999999999997E-2</v>
      </c>
      <c r="O3263" s="5">
        <v>72.355000000000004</v>
      </c>
      <c r="P3263" s="6">
        <v>9.5999999999999992E-3</v>
      </c>
      <c r="Q3263" s="5">
        <v>15583249.464</v>
      </c>
      <c r="R3263" s="1" t="s">
        <v>44</v>
      </c>
      <c r="T3263" s="1" t="s">
        <v>71</v>
      </c>
      <c r="V3263" s="1" t="s">
        <v>64</v>
      </c>
      <c r="Y3263" s="1" t="s">
        <v>952</v>
      </c>
      <c r="Z3263" s="1" t="str">
        <f t="shared" si="150"/>
        <v>55965 7A</v>
      </c>
      <c r="AA3263" s="3">
        <f>IF(INDEX('CAMD Facility Data 2023'!$AA$2:$AE$10000,MATCH(Z3263,'CAMD Facility Data 2023'!$AE$2:$AE$10000,0),1)&gt;0,INDEX('CAMD Facility Data 2023'!$AA$2:$AE$10000,MATCH(Z3263,'CAMD Facility Data 2023'!$AE$2:$AE$10000,0),1),"")</f>
        <v>37238</v>
      </c>
      <c r="AB3263" s="5">
        <f>IF(INDEX('CAMD Facility Data 2023'!$AC$2:$AE$10000,MATCH(Z3263,'CAMD Facility Data 2023'!$AE$2:$AE$10000,0),1)&gt;0,INDEX('CAMD Facility Data 2023'!$AC$2:$AE$10000,MATCH(Z3263,'CAMD Facility Data 2023'!$AE$2:$AE$10000,0),1),"")</f>
        <v>2350</v>
      </c>
      <c r="AC3263" s="1" t="str">
        <f>IF(INDEX('CAMD Facility Data 2023'!$AE$2:$AG$10000,MATCH(Z3263,'CAMD Facility Data 2023'!$AE$2:$AE$10000,0),3)&gt;0,INDEX('CAMD Facility Data 2023'!$AE$2:$AG$10000,MATCH(Z3263,'CAMD Facility Data 2023'!$AE$2:$AE$10000,0),3),"")</f>
        <v>Y</v>
      </c>
      <c r="AD3263" s="20">
        <f t="shared" si="151"/>
        <v>6.3208486722347801E-2</v>
      </c>
      <c r="AE3263" s="25">
        <f t="shared" si="152"/>
        <v>0.75698287496356742</v>
      </c>
    </row>
    <row r="3264" spans="1:31" x14ac:dyDescent="0.2">
      <c r="A3264" s="1" t="s">
        <v>921</v>
      </c>
      <c r="B3264" s="1" t="s">
        <v>7290</v>
      </c>
      <c r="C3264" s="1">
        <v>55965</v>
      </c>
      <c r="D3264" s="1" t="s">
        <v>78</v>
      </c>
      <c r="F3264" s="1">
        <v>2023</v>
      </c>
      <c r="G3264" s="5">
        <v>8396</v>
      </c>
      <c r="H3264" s="5">
        <v>8386.83</v>
      </c>
      <c r="I3264" s="5">
        <v>2316228.21</v>
      </c>
      <c r="K3264" s="5">
        <v>4.726</v>
      </c>
      <c r="L3264" s="5">
        <v>1E-3</v>
      </c>
      <c r="M3264" s="5">
        <v>936198.13800000004</v>
      </c>
      <c r="N3264" s="6">
        <v>5.8999999999999997E-2</v>
      </c>
      <c r="O3264" s="5">
        <v>66.132000000000005</v>
      </c>
      <c r="P3264" s="6">
        <v>8.6999999999999994E-3</v>
      </c>
      <c r="Q3264" s="5">
        <v>15753410.937000001</v>
      </c>
      <c r="R3264" s="1" t="s">
        <v>44</v>
      </c>
      <c r="T3264" s="1" t="s">
        <v>71</v>
      </c>
      <c r="V3264" s="1" t="s">
        <v>64</v>
      </c>
      <c r="Y3264" s="1" t="s">
        <v>952</v>
      </c>
      <c r="Z3264" s="1" t="str">
        <f t="shared" si="150"/>
        <v>55965 7B</v>
      </c>
      <c r="AA3264" s="3">
        <f>IF(INDEX('CAMD Facility Data 2023'!$AA$2:$AE$10000,MATCH(Z3264,'CAMD Facility Data 2023'!$AE$2:$AE$10000,0),1)&gt;0,INDEX('CAMD Facility Data 2023'!$AA$2:$AE$10000,MATCH(Z3264,'CAMD Facility Data 2023'!$AE$2:$AE$10000,0),1),"")</f>
        <v>37238</v>
      </c>
      <c r="AB3264" s="5">
        <f>IF(INDEX('CAMD Facility Data 2023'!$AC$2:$AE$10000,MATCH(Z3264,'CAMD Facility Data 2023'!$AE$2:$AE$10000,0),1)&gt;0,INDEX('CAMD Facility Data 2023'!$AC$2:$AE$10000,MATCH(Z3264,'CAMD Facility Data 2023'!$AE$2:$AE$10000,0),1),"")</f>
        <v>2350</v>
      </c>
      <c r="AC3264" s="1" t="str">
        <f>IF(INDEX('CAMD Facility Data 2023'!$AE$2:$AG$10000,MATCH(Z3264,'CAMD Facility Data 2023'!$AE$2:$AE$10000,0),3)&gt;0,INDEX('CAMD Facility Data 2023'!$AE$2:$AG$10000,MATCH(Z3264,'CAMD Facility Data 2023'!$AE$2:$AE$10000,0),3),"")</f>
        <v>Y</v>
      </c>
      <c r="AD3264" s="20">
        <f t="shared" si="151"/>
        <v>5.7103181555672358E-2</v>
      </c>
      <c r="AE3264" s="25">
        <f t="shared" si="152"/>
        <v>0.76524875823375116</v>
      </c>
    </row>
    <row r="3265" spans="1:31" x14ac:dyDescent="0.2">
      <c r="A3265" s="1" t="s">
        <v>2089</v>
      </c>
      <c r="B3265" s="1" t="s">
        <v>7295</v>
      </c>
      <c r="C3265" s="1">
        <v>55969</v>
      </c>
      <c r="D3265" s="1" t="s">
        <v>7296</v>
      </c>
      <c r="F3265" s="1">
        <v>2023</v>
      </c>
      <c r="G3265" s="5">
        <v>433</v>
      </c>
      <c r="H3265" s="5">
        <v>352.35</v>
      </c>
      <c r="I3265" s="5">
        <v>16585.5</v>
      </c>
      <c r="K3265" s="5">
        <v>8.5000000000000006E-2</v>
      </c>
      <c r="L3265" s="5">
        <v>1E-3</v>
      </c>
      <c r="M3265" s="5">
        <v>14140.644</v>
      </c>
      <c r="N3265" s="6">
        <v>8.1000000000000003E-2</v>
      </c>
      <c r="O3265" s="5">
        <v>2.5550000000000002</v>
      </c>
      <c r="P3265" s="6">
        <v>5.2400000000000002E-2</v>
      </c>
      <c r="Q3265" s="5">
        <v>174273.84</v>
      </c>
      <c r="R3265" s="1" t="s">
        <v>94</v>
      </c>
      <c r="T3265" s="1" t="s">
        <v>93</v>
      </c>
      <c r="V3265" s="1" t="s">
        <v>176</v>
      </c>
      <c r="Y3265" s="1" t="s">
        <v>1515</v>
      </c>
      <c r="Z3265" s="1" t="str">
        <f t="shared" si="150"/>
        <v>55969 U-01</v>
      </c>
      <c r="AA3265" s="3">
        <f>IF(INDEX('CAMD Facility Data 2023'!$AA$2:$AE$10000,MATCH(Z3265,'CAMD Facility Data 2023'!$AE$2:$AE$10000,0),1)&gt;0,INDEX('CAMD Facility Data 2023'!$AA$2:$AE$10000,MATCH(Z3265,'CAMD Facility Data 2023'!$AE$2:$AE$10000,0),1),"")</f>
        <v>37795</v>
      </c>
      <c r="AB3265" s="5">
        <f>IF(INDEX('CAMD Facility Data 2023'!$AC$2:$AE$10000,MATCH(Z3265,'CAMD Facility Data 2023'!$AE$2:$AE$10000,0),1)&gt;0,INDEX('CAMD Facility Data 2023'!$AC$2:$AE$10000,MATCH(Z3265,'CAMD Facility Data 2023'!$AE$2:$AE$10000,0),1),"")</f>
        <v>560</v>
      </c>
      <c r="AC3265" s="1" t="str">
        <f>IF(INDEX('CAMD Facility Data 2023'!$AE$2:$AG$10000,MATCH(Z3265,'CAMD Facility Data 2023'!$AE$2:$AE$10000,0),3)&gt;0,INDEX('CAMD Facility Data 2023'!$AE$2:$AG$10000,MATCH(Z3265,'CAMD Facility Data 2023'!$AE$2:$AE$10000,0),3),"")</f>
        <v>Y</v>
      </c>
      <c r="AD3265" s="20">
        <f t="shared" si="151"/>
        <v>0.30810044918754331</v>
      </c>
      <c r="AE3265" s="25">
        <f t="shared" si="152"/>
        <v>3.5525489236790608E-2</v>
      </c>
    </row>
    <row r="3266" spans="1:31" x14ac:dyDescent="0.2">
      <c r="A3266" s="1" t="s">
        <v>370</v>
      </c>
      <c r="B3266" s="1" t="s">
        <v>7299</v>
      </c>
      <c r="C3266" s="1">
        <v>55970</v>
      </c>
      <c r="D3266" s="1">
        <v>2</v>
      </c>
      <c r="F3266" s="1">
        <v>2023</v>
      </c>
      <c r="G3266" s="5">
        <v>5539</v>
      </c>
      <c r="H3266" s="5">
        <v>5525.4</v>
      </c>
      <c r="I3266" s="5">
        <v>1401020.6</v>
      </c>
      <c r="K3266" s="5">
        <v>2.8959999999999999</v>
      </c>
      <c r="L3266" s="5">
        <v>1E-3</v>
      </c>
      <c r="M3266" s="5">
        <v>581215.88300000003</v>
      </c>
      <c r="N3266" s="6">
        <v>0.06</v>
      </c>
      <c r="O3266" s="5">
        <v>28.62</v>
      </c>
      <c r="P3266" s="6">
        <v>6.3E-3</v>
      </c>
      <c r="Q3266" s="5">
        <v>9654476.4670000002</v>
      </c>
      <c r="R3266" s="1" t="s">
        <v>288</v>
      </c>
      <c r="T3266" s="1" t="s">
        <v>71</v>
      </c>
      <c r="V3266" s="1" t="s">
        <v>64</v>
      </c>
      <c r="Y3266" s="1" t="s">
        <v>247</v>
      </c>
      <c r="Z3266" s="1" t="str">
        <f t="shared" si="150"/>
        <v>55970 2</v>
      </c>
      <c r="AA3266" s="3">
        <f>IF(INDEX('CAMD Facility Data 2023'!$AA$2:$AE$10000,MATCH(Z3266,'CAMD Facility Data 2023'!$AE$2:$AE$10000,0),1)&gt;0,INDEX('CAMD Facility Data 2023'!$AA$2:$AE$10000,MATCH(Z3266,'CAMD Facility Data 2023'!$AE$2:$AE$10000,0),1),"")</f>
        <v>38726</v>
      </c>
      <c r="AB3266" s="5">
        <f>IF(INDEX('CAMD Facility Data 2023'!$AC$2:$AE$10000,MATCH(Z3266,'CAMD Facility Data 2023'!$AE$2:$AE$10000,0),1)&gt;0,INDEX('CAMD Facility Data 2023'!$AC$2:$AE$10000,MATCH(Z3266,'CAMD Facility Data 2023'!$AE$2:$AE$10000,0),1),"")</f>
        <v>2200</v>
      </c>
      <c r="AC3266" s="1" t="str">
        <f>IF(INDEX('CAMD Facility Data 2023'!$AE$2:$AG$10000,MATCH(Z3266,'CAMD Facility Data 2023'!$AE$2:$AE$10000,0),3)&gt;0,INDEX('CAMD Facility Data 2023'!$AE$2:$AG$10000,MATCH(Z3266,'CAMD Facility Data 2023'!$AE$2:$AE$10000,0),3),"")</f>
        <v>Y</v>
      </c>
      <c r="AD3266" s="20">
        <f t="shared" si="151"/>
        <v>4.0855930312516456E-2</v>
      </c>
      <c r="AE3266" s="25">
        <f t="shared" si="152"/>
        <v>0.5009587207866335</v>
      </c>
    </row>
    <row r="3267" spans="1:31" x14ac:dyDescent="0.2">
      <c r="A3267" s="1" t="s">
        <v>370</v>
      </c>
      <c r="B3267" s="1" t="s">
        <v>7299</v>
      </c>
      <c r="C3267" s="1">
        <v>55970</v>
      </c>
      <c r="D3267" s="1">
        <v>3</v>
      </c>
      <c r="F3267" s="1">
        <v>2023</v>
      </c>
      <c r="G3267" s="5">
        <v>6588</v>
      </c>
      <c r="H3267" s="5">
        <v>6575.36</v>
      </c>
      <c r="K3267" s="5">
        <v>3.32</v>
      </c>
      <c r="L3267" s="5">
        <v>1E-3</v>
      </c>
      <c r="M3267" s="5">
        <v>666516.40800000005</v>
      </c>
      <c r="N3267" s="6">
        <v>6.0100000000000001E-2</v>
      </c>
      <c r="O3267" s="5">
        <v>28.882000000000001</v>
      </c>
      <c r="P3267" s="6">
        <v>5.4000000000000003E-3</v>
      </c>
      <c r="Q3267" s="5">
        <v>11065393.001</v>
      </c>
      <c r="R3267" s="1" t="s">
        <v>288</v>
      </c>
      <c r="T3267" s="1" t="s">
        <v>71</v>
      </c>
      <c r="V3267" s="1" t="s">
        <v>64</v>
      </c>
      <c r="Y3267" s="1" t="s">
        <v>247</v>
      </c>
      <c r="Z3267" s="1" t="str">
        <f t="shared" ref="Z3267:Z3330" si="153">C3267&amp;" "&amp;D3267</f>
        <v>55970 3</v>
      </c>
      <c r="AA3267" s="3">
        <f>IF(INDEX('CAMD Facility Data 2023'!$AA$2:$AE$10000,MATCH(Z3267,'CAMD Facility Data 2023'!$AE$2:$AE$10000,0),1)&gt;0,INDEX('CAMD Facility Data 2023'!$AA$2:$AE$10000,MATCH(Z3267,'CAMD Facility Data 2023'!$AE$2:$AE$10000,0),1),"")</f>
        <v>38726</v>
      </c>
      <c r="AB3267" s="5">
        <f>IF(INDEX('CAMD Facility Data 2023'!$AC$2:$AE$10000,MATCH(Z3267,'CAMD Facility Data 2023'!$AE$2:$AE$10000,0),1)&gt;0,INDEX('CAMD Facility Data 2023'!$AC$2:$AE$10000,MATCH(Z3267,'CAMD Facility Data 2023'!$AE$2:$AE$10000,0),1),"")</f>
        <v>2200</v>
      </c>
      <c r="AC3267" s="1" t="str">
        <f>IF(INDEX('CAMD Facility Data 2023'!$AE$2:$AG$10000,MATCH(Z3267,'CAMD Facility Data 2023'!$AE$2:$AE$10000,0),3)&gt;0,INDEX('CAMD Facility Data 2023'!$AE$2:$AG$10000,MATCH(Z3267,'CAMD Facility Data 2023'!$AE$2:$AE$10000,0),3),"")</f>
        <v>Y</v>
      </c>
      <c r="AD3267" s="20" t="str">
        <f t="shared" ref="AD3267:AD3330" si="154">IF(ISNUMBER(O3267*2000/I3267),O3267*2000/I3267,"")</f>
        <v/>
      </c>
      <c r="AE3267" s="25">
        <f t="shared" ref="AE3267:AE3330" si="155">Q3267/(AB3267*8760)</f>
        <v>0.57416941682233291</v>
      </c>
    </row>
    <row r="3268" spans="1:31" x14ac:dyDescent="0.2">
      <c r="A3268" s="1" t="s">
        <v>203</v>
      </c>
      <c r="B3268" s="1" t="s">
        <v>7302</v>
      </c>
      <c r="C3268" s="1">
        <v>55972</v>
      </c>
      <c r="D3268" s="1" t="s">
        <v>311</v>
      </c>
      <c r="F3268" s="1">
        <v>2023</v>
      </c>
      <c r="G3268" s="5">
        <v>920</v>
      </c>
      <c r="H3268" s="5">
        <v>836.17</v>
      </c>
      <c r="I3268" s="5">
        <v>104955.19</v>
      </c>
      <c r="K3268" s="5">
        <v>0.36499999999999999</v>
      </c>
      <c r="L3268" s="5">
        <v>1E-3</v>
      </c>
      <c r="M3268" s="5">
        <v>72328.842999999993</v>
      </c>
      <c r="N3268" s="6">
        <v>5.8999999999999997E-2</v>
      </c>
      <c r="O3268" s="5">
        <v>33.936</v>
      </c>
      <c r="P3268" s="6">
        <v>5.5800000000000002E-2</v>
      </c>
      <c r="Q3268" s="5">
        <v>1217095.4029999999</v>
      </c>
      <c r="R3268" s="1" t="s">
        <v>44</v>
      </c>
      <c r="T3268" s="1" t="s">
        <v>93</v>
      </c>
      <c r="V3268" s="1" t="s">
        <v>140</v>
      </c>
      <c r="Y3268" s="1" t="s">
        <v>1666</v>
      </c>
      <c r="Z3268" s="1" t="str">
        <f t="shared" si="153"/>
        <v>55972 CT1</v>
      </c>
      <c r="AA3268" s="3">
        <f>IF(INDEX('CAMD Facility Data 2023'!$AA$2:$AE$10000,MATCH(Z3268,'CAMD Facility Data 2023'!$AE$2:$AE$10000,0),1)&gt;0,INDEX('CAMD Facility Data 2023'!$AA$2:$AE$10000,MATCH(Z3268,'CAMD Facility Data 2023'!$AE$2:$AE$10000,0),1),"")</f>
        <v>37681</v>
      </c>
      <c r="AB3268" s="5">
        <f>IF(INDEX('CAMD Facility Data 2023'!$AC$2:$AE$10000,MATCH(Z3268,'CAMD Facility Data 2023'!$AE$2:$AE$10000,0),1)&gt;0,INDEX('CAMD Facility Data 2023'!$AC$2:$AE$10000,MATCH(Z3268,'CAMD Facility Data 2023'!$AE$2:$AE$10000,0),1),"")</f>
        <v>2065</v>
      </c>
      <c r="AC3268" s="1" t="str">
        <f>IF(INDEX('CAMD Facility Data 2023'!$AE$2:$AG$10000,MATCH(Z3268,'CAMD Facility Data 2023'!$AE$2:$AE$10000,0),3)&gt;0,INDEX('CAMD Facility Data 2023'!$AE$2:$AG$10000,MATCH(Z3268,'CAMD Facility Data 2023'!$AE$2:$AE$10000,0),3),"")</f>
        <v/>
      </c>
      <c r="AD3268" s="20">
        <f t="shared" si="154"/>
        <v>0.64667597667156806</v>
      </c>
      <c r="AE3268" s="25">
        <f t="shared" si="155"/>
        <v>6.7282242805178721E-2</v>
      </c>
    </row>
    <row r="3269" spans="1:31" x14ac:dyDescent="0.2">
      <c r="A3269" s="1" t="s">
        <v>203</v>
      </c>
      <c r="B3269" s="1" t="s">
        <v>7302</v>
      </c>
      <c r="C3269" s="1">
        <v>55972</v>
      </c>
      <c r="D3269" s="1" t="s">
        <v>98</v>
      </c>
      <c r="F3269" s="1">
        <v>2023</v>
      </c>
      <c r="G3269" s="5">
        <v>942</v>
      </c>
      <c r="H3269" s="5">
        <v>860.67</v>
      </c>
      <c r="I3269" s="5">
        <v>109158.26</v>
      </c>
      <c r="K3269" s="5">
        <v>0.38300000000000001</v>
      </c>
      <c r="L3269" s="5">
        <v>1E-3</v>
      </c>
      <c r="M3269" s="5">
        <v>75825.070999999996</v>
      </c>
      <c r="N3269" s="6">
        <v>5.8999999999999997E-2</v>
      </c>
      <c r="O3269" s="5">
        <v>33.904000000000003</v>
      </c>
      <c r="P3269" s="6">
        <v>5.3699999999999998E-2</v>
      </c>
      <c r="Q3269" s="5">
        <v>1275875.665</v>
      </c>
      <c r="R3269" s="1" t="s">
        <v>44</v>
      </c>
      <c r="T3269" s="1" t="s">
        <v>93</v>
      </c>
      <c r="V3269" s="1" t="s">
        <v>140</v>
      </c>
      <c r="Y3269" s="1" t="s">
        <v>1666</v>
      </c>
      <c r="Z3269" s="1" t="str">
        <f t="shared" si="153"/>
        <v>55972 CT2</v>
      </c>
      <c r="AA3269" s="3">
        <f>IF(INDEX('CAMD Facility Data 2023'!$AA$2:$AE$10000,MATCH(Z3269,'CAMD Facility Data 2023'!$AE$2:$AE$10000,0),1)&gt;0,INDEX('CAMD Facility Data 2023'!$AA$2:$AE$10000,MATCH(Z3269,'CAMD Facility Data 2023'!$AE$2:$AE$10000,0),1),"")</f>
        <v>37681</v>
      </c>
      <c r="AB3269" s="5">
        <f>IF(INDEX('CAMD Facility Data 2023'!$AC$2:$AE$10000,MATCH(Z3269,'CAMD Facility Data 2023'!$AE$2:$AE$10000,0),1)&gt;0,INDEX('CAMD Facility Data 2023'!$AC$2:$AE$10000,MATCH(Z3269,'CAMD Facility Data 2023'!$AE$2:$AE$10000,0),1),"")</f>
        <v>2065</v>
      </c>
      <c r="AC3269" s="1" t="str">
        <f>IF(INDEX('CAMD Facility Data 2023'!$AE$2:$AG$10000,MATCH(Z3269,'CAMD Facility Data 2023'!$AE$2:$AE$10000,0),3)&gt;0,INDEX('CAMD Facility Data 2023'!$AE$2:$AG$10000,MATCH(Z3269,'CAMD Facility Data 2023'!$AE$2:$AE$10000,0),3),"")</f>
        <v/>
      </c>
      <c r="AD3269" s="20">
        <f t="shared" si="154"/>
        <v>0.62118982109095544</v>
      </c>
      <c r="AE3269" s="25">
        <f t="shared" si="155"/>
        <v>7.0531674074319775E-2</v>
      </c>
    </row>
    <row r="3270" spans="1:31" x14ac:dyDescent="0.2">
      <c r="A3270" s="1" t="s">
        <v>2584</v>
      </c>
      <c r="B3270" s="1" t="s">
        <v>7306</v>
      </c>
      <c r="C3270" s="1">
        <v>55976</v>
      </c>
      <c r="D3270" s="1" t="s">
        <v>7307</v>
      </c>
      <c r="F3270" s="1">
        <v>2023</v>
      </c>
      <c r="G3270" s="5">
        <v>5918</v>
      </c>
      <c r="H3270" s="5">
        <v>5906.74</v>
      </c>
      <c r="I3270" s="5">
        <v>1020758.35</v>
      </c>
      <c r="K3270" s="5">
        <v>3.4079999999999999</v>
      </c>
      <c r="L3270" s="5">
        <v>1E-3</v>
      </c>
      <c r="M3270" s="5">
        <v>675145.55299999996</v>
      </c>
      <c r="N3270" s="6">
        <v>5.8999999999999997E-2</v>
      </c>
      <c r="O3270" s="5">
        <v>36.935000000000002</v>
      </c>
      <c r="P3270" s="6">
        <v>6.6E-3</v>
      </c>
      <c r="Q3270" s="5">
        <v>11360608.204</v>
      </c>
      <c r="R3270" s="1" t="s">
        <v>44</v>
      </c>
      <c r="T3270" s="1" t="s">
        <v>71</v>
      </c>
      <c r="V3270" s="1" t="s">
        <v>64</v>
      </c>
      <c r="Y3270" s="1" t="s">
        <v>1515</v>
      </c>
      <c r="Z3270" s="1" t="str">
        <f t="shared" si="153"/>
        <v>55976 CT101</v>
      </c>
      <c r="AA3270" s="3">
        <f>IF(INDEX('CAMD Facility Data 2023'!$AA$2:$AE$10000,MATCH(Z3270,'CAMD Facility Data 2023'!$AE$2:$AE$10000,0),1)&gt;0,INDEX('CAMD Facility Data 2023'!$AA$2:$AE$10000,MATCH(Z3270,'CAMD Facility Data 2023'!$AE$2:$AE$10000,0),1),"")</f>
        <v>37347</v>
      </c>
      <c r="AB3270" s="5">
        <f>IF(INDEX('CAMD Facility Data 2023'!$AC$2:$AE$10000,MATCH(Z3270,'CAMD Facility Data 2023'!$AE$2:$AE$10000,0),1)&gt;0,INDEX('CAMD Facility Data 2023'!$AC$2:$AE$10000,MATCH(Z3270,'CAMD Facility Data 2023'!$AE$2:$AE$10000,0),1),"")</f>
        <v>2455</v>
      </c>
      <c r="AC3270" s="1" t="str">
        <f>IF(INDEX('CAMD Facility Data 2023'!$AE$2:$AG$10000,MATCH(Z3270,'CAMD Facility Data 2023'!$AE$2:$AE$10000,0),3)&gt;0,INDEX('CAMD Facility Data 2023'!$AE$2:$AG$10000,MATCH(Z3270,'CAMD Facility Data 2023'!$AE$2:$AE$10000,0),3),"")</f>
        <v>Y</v>
      </c>
      <c r="AD3270" s="20">
        <f t="shared" si="154"/>
        <v>7.2367764613436664E-2</v>
      </c>
      <c r="AE3270" s="25">
        <f t="shared" si="155"/>
        <v>0.52825787480586628</v>
      </c>
    </row>
    <row r="3271" spans="1:31" x14ac:dyDescent="0.2">
      <c r="A3271" s="1" t="s">
        <v>2584</v>
      </c>
      <c r="B3271" s="1" t="s">
        <v>7306</v>
      </c>
      <c r="C3271" s="1">
        <v>55976</v>
      </c>
      <c r="D3271" s="1" t="s">
        <v>7311</v>
      </c>
      <c r="F3271" s="1">
        <v>2023</v>
      </c>
      <c r="G3271" s="5">
        <v>6474</v>
      </c>
      <c r="H3271" s="5">
        <v>6464.49</v>
      </c>
      <c r="I3271" s="5">
        <v>1106903.3999999999</v>
      </c>
      <c r="K3271" s="5">
        <v>3.7120000000000002</v>
      </c>
      <c r="L3271" s="5">
        <v>1E-3</v>
      </c>
      <c r="M3271" s="5">
        <v>735328.98600000003</v>
      </c>
      <c r="N3271" s="6">
        <v>5.8999999999999997E-2</v>
      </c>
      <c r="O3271" s="5">
        <v>49.16</v>
      </c>
      <c r="P3271" s="6">
        <v>8.0999999999999996E-3</v>
      </c>
      <c r="Q3271" s="5">
        <v>12373323.716</v>
      </c>
      <c r="R3271" s="1" t="s">
        <v>44</v>
      </c>
      <c r="T3271" s="1" t="s">
        <v>71</v>
      </c>
      <c r="V3271" s="1" t="s">
        <v>64</v>
      </c>
      <c r="Y3271" s="1" t="s">
        <v>1515</v>
      </c>
      <c r="Z3271" s="1" t="str">
        <f t="shared" si="153"/>
        <v>55976 CT201</v>
      </c>
      <c r="AA3271" s="3">
        <f>IF(INDEX('CAMD Facility Data 2023'!$AA$2:$AE$10000,MATCH(Z3271,'CAMD Facility Data 2023'!$AE$2:$AE$10000,0),1)&gt;0,INDEX('CAMD Facility Data 2023'!$AA$2:$AE$10000,MATCH(Z3271,'CAMD Facility Data 2023'!$AE$2:$AE$10000,0),1),"")</f>
        <v>37740</v>
      </c>
      <c r="AB3271" s="5">
        <f>IF(INDEX('CAMD Facility Data 2023'!$AC$2:$AE$10000,MATCH(Z3271,'CAMD Facility Data 2023'!$AE$2:$AE$10000,0),1)&gt;0,INDEX('CAMD Facility Data 2023'!$AC$2:$AE$10000,MATCH(Z3271,'CAMD Facility Data 2023'!$AE$2:$AE$10000,0),1),"")</f>
        <v>2455</v>
      </c>
      <c r="AC3271" s="1" t="str">
        <f>IF(INDEX('CAMD Facility Data 2023'!$AE$2:$AG$10000,MATCH(Z3271,'CAMD Facility Data 2023'!$AE$2:$AE$10000,0),3)&gt;0,INDEX('CAMD Facility Data 2023'!$AE$2:$AG$10000,MATCH(Z3271,'CAMD Facility Data 2023'!$AE$2:$AE$10000,0),3),"")</f>
        <v>Y</v>
      </c>
      <c r="AD3271" s="20">
        <f t="shared" si="154"/>
        <v>8.8824372569458188E-2</v>
      </c>
      <c r="AE3271" s="25">
        <f t="shared" si="155"/>
        <v>0.57534821843409689</v>
      </c>
    </row>
    <row r="3272" spans="1:31" x14ac:dyDescent="0.2">
      <c r="A3272" s="1" t="s">
        <v>2584</v>
      </c>
      <c r="B3272" s="1" t="s">
        <v>7306</v>
      </c>
      <c r="C3272" s="1">
        <v>55976</v>
      </c>
      <c r="D3272" s="1" t="s">
        <v>7313</v>
      </c>
      <c r="F3272" s="1">
        <v>2023</v>
      </c>
      <c r="G3272" s="5">
        <v>6492</v>
      </c>
      <c r="H3272" s="5">
        <v>6487.98</v>
      </c>
      <c r="I3272" s="5">
        <v>1103411.76</v>
      </c>
      <c r="K3272" s="5">
        <v>3.7360000000000002</v>
      </c>
      <c r="L3272" s="5">
        <v>1E-3</v>
      </c>
      <c r="M3272" s="5">
        <v>740133.5</v>
      </c>
      <c r="N3272" s="6">
        <v>5.8999999999999997E-2</v>
      </c>
      <c r="O3272" s="5">
        <v>22.512</v>
      </c>
      <c r="P3272" s="6">
        <v>3.8E-3</v>
      </c>
      <c r="Q3272" s="5">
        <v>12454142.612</v>
      </c>
      <c r="R3272" s="1" t="s">
        <v>44</v>
      </c>
      <c r="T3272" s="1" t="s">
        <v>71</v>
      </c>
      <c r="V3272" s="1" t="s">
        <v>64</v>
      </c>
      <c r="Y3272" s="1" t="s">
        <v>1515</v>
      </c>
      <c r="Z3272" s="1" t="str">
        <f t="shared" si="153"/>
        <v>55976 CT301</v>
      </c>
      <c r="AA3272" s="3">
        <f>IF(INDEX('CAMD Facility Data 2023'!$AA$2:$AE$10000,MATCH(Z3272,'CAMD Facility Data 2023'!$AE$2:$AE$10000,0),1)&gt;0,INDEX('CAMD Facility Data 2023'!$AA$2:$AE$10000,MATCH(Z3272,'CAMD Facility Data 2023'!$AE$2:$AE$10000,0),1),"")</f>
        <v>37740</v>
      </c>
      <c r="AB3272" s="5">
        <f>IF(INDEX('CAMD Facility Data 2023'!$AC$2:$AE$10000,MATCH(Z3272,'CAMD Facility Data 2023'!$AE$2:$AE$10000,0),1)&gt;0,INDEX('CAMD Facility Data 2023'!$AC$2:$AE$10000,MATCH(Z3272,'CAMD Facility Data 2023'!$AE$2:$AE$10000,0),1),"")</f>
        <v>2455</v>
      </c>
      <c r="AC3272" s="1" t="str">
        <f>IF(INDEX('CAMD Facility Data 2023'!$AE$2:$AG$10000,MATCH(Z3272,'CAMD Facility Data 2023'!$AE$2:$AE$10000,0),3)&gt;0,INDEX('CAMD Facility Data 2023'!$AE$2:$AG$10000,MATCH(Z3272,'CAMD Facility Data 2023'!$AE$2:$AE$10000,0),3),"")</f>
        <v>Y</v>
      </c>
      <c r="AD3272" s="20">
        <f t="shared" si="154"/>
        <v>4.0804350317962895E-2</v>
      </c>
      <c r="AE3272" s="25">
        <f t="shared" si="155"/>
        <v>0.5791062230654056</v>
      </c>
    </row>
    <row r="3273" spans="1:31" x14ac:dyDescent="0.2">
      <c r="A3273" s="1" t="s">
        <v>2054</v>
      </c>
      <c r="B3273" s="1" t="s">
        <v>7315</v>
      </c>
      <c r="C3273" s="1">
        <v>55977</v>
      </c>
      <c r="D3273" s="1" t="s">
        <v>5681</v>
      </c>
      <c r="F3273" s="1">
        <v>2023</v>
      </c>
      <c r="G3273" s="5">
        <v>8223</v>
      </c>
      <c r="H3273" s="5">
        <v>8207.48</v>
      </c>
      <c r="I3273" s="5">
        <v>432702.32</v>
      </c>
      <c r="K3273" s="5">
        <v>1.085</v>
      </c>
      <c r="L3273" s="5">
        <v>1E-3</v>
      </c>
      <c r="M3273" s="5">
        <v>214977.136</v>
      </c>
      <c r="N3273" s="6">
        <v>5.9200000000000003E-2</v>
      </c>
      <c r="O3273" s="5">
        <v>81.787000000000006</v>
      </c>
      <c r="P3273" s="6">
        <v>4.5199999999999997E-2</v>
      </c>
      <c r="Q3273" s="5">
        <v>3617472.8650000002</v>
      </c>
      <c r="R3273" s="1" t="s">
        <v>44</v>
      </c>
      <c r="T3273" s="1" t="s">
        <v>71</v>
      </c>
      <c r="V3273" s="1" t="s">
        <v>64</v>
      </c>
      <c r="Y3273" s="1" t="s">
        <v>247</v>
      </c>
      <c r="Z3273" s="1" t="str">
        <f t="shared" si="153"/>
        <v>55977 CTG-1</v>
      </c>
      <c r="AA3273" s="3">
        <f>IF(INDEX('CAMD Facility Data 2023'!$AA$2:$AE$10000,MATCH(Z3273,'CAMD Facility Data 2023'!$AE$2:$AE$10000,0),1)&gt;0,INDEX('CAMD Facility Data 2023'!$AA$2:$AE$10000,MATCH(Z3273,'CAMD Facility Data 2023'!$AE$2:$AE$10000,0),1),"")</f>
        <v>38462</v>
      </c>
      <c r="AB3273" s="5">
        <f>IF(INDEX('CAMD Facility Data 2023'!$AC$2:$AE$10000,MATCH(Z3273,'CAMD Facility Data 2023'!$AE$2:$AE$10000,0),1)&gt;0,INDEX('CAMD Facility Data 2023'!$AC$2:$AE$10000,MATCH(Z3273,'CAMD Facility Data 2023'!$AE$2:$AE$10000,0),1),"")</f>
        <v>532</v>
      </c>
      <c r="AC3273" s="1" t="str">
        <f>IF(INDEX('CAMD Facility Data 2023'!$AE$2:$AG$10000,MATCH(Z3273,'CAMD Facility Data 2023'!$AE$2:$AE$10000,0),3)&gt;0,INDEX('CAMD Facility Data 2023'!$AE$2:$AG$10000,MATCH(Z3273,'CAMD Facility Data 2023'!$AE$2:$AE$10000,0),3),"")</f>
        <v>Y</v>
      </c>
      <c r="AD3273" s="20">
        <f t="shared" si="154"/>
        <v>0.37802894146719618</v>
      </c>
      <c r="AE3273" s="25">
        <f t="shared" si="155"/>
        <v>0.77622842744704235</v>
      </c>
    </row>
    <row r="3274" spans="1:31" x14ac:dyDescent="0.2">
      <c r="A3274" s="1" t="s">
        <v>370</v>
      </c>
      <c r="B3274" s="1" t="s">
        <v>7318</v>
      </c>
      <c r="C3274" s="1">
        <v>55985</v>
      </c>
      <c r="D3274" s="1" t="s">
        <v>1129</v>
      </c>
      <c r="F3274" s="1">
        <v>2023</v>
      </c>
      <c r="G3274" s="5">
        <v>2407</v>
      </c>
      <c r="H3274" s="5">
        <v>2315.6999999999998</v>
      </c>
      <c r="I3274" s="5">
        <v>548882.42000000004</v>
      </c>
      <c r="K3274" s="5">
        <v>1.151</v>
      </c>
      <c r="L3274" s="5">
        <v>1E-3</v>
      </c>
      <c r="M3274" s="5">
        <v>227962.94500000001</v>
      </c>
      <c r="N3274" s="6">
        <v>5.8999999999999997E-2</v>
      </c>
      <c r="O3274" s="5">
        <v>12.51</v>
      </c>
      <c r="P3274" s="6">
        <v>9.5999999999999992E-3</v>
      </c>
      <c r="Q3274" s="5">
        <v>3835924.9780000001</v>
      </c>
      <c r="R3274" s="1" t="s">
        <v>44</v>
      </c>
      <c r="T3274" s="1" t="s">
        <v>71</v>
      </c>
      <c r="V3274" s="1" t="s">
        <v>64</v>
      </c>
      <c r="Y3274" s="1" t="s">
        <v>247</v>
      </c>
      <c r="Z3274" s="1" t="str">
        <f t="shared" si="153"/>
        <v>55985 CTG1</v>
      </c>
      <c r="AA3274" s="3">
        <f>IF(INDEX('CAMD Facility Data 2023'!$AA$2:$AE$10000,MATCH(Z3274,'CAMD Facility Data 2023'!$AE$2:$AE$10000,0),1)&gt;0,INDEX('CAMD Facility Data 2023'!$AA$2:$AE$10000,MATCH(Z3274,'CAMD Facility Data 2023'!$AE$2:$AE$10000,0),1),"")</f>
        <v>38655</v>
      </c>
      <c r="AB3274" s="5">
        <f>IF(INDEX('CAMD Facility Data 2023'!$AC$2:$AE$10000,MATCH(Z3274,'CAMD Facility Data 2023'!$AE$2:$AE$10000,0),1)&gt;0,INDEX('CAMD Facility Data 2023'!$AC$2:$AE$10000,MATCH(Z3274,'CAMD Facility Data 2023'!$AE$2:$AE$10000,0),1),"")</f>
        <v>3926.7</v>
      </c>
      <c r="AC3274" s="1" t="str">
        <f>IF(INDEX('CAMD Facility Data 2023'!$AE$2:$AG$10000,MATCH(Z3274,'CAMD Facility Data 2023'!$AE$2:$AE$10000,0),3)&gt;0,INDEX('CAMD Facility Data 2023'!$AE$2:$AG$10000,MATCH(Z3274,'CAMD Facility Data 2023'!$AE$2:$AE$10000,0),3),"")</f>
        <v>Y</v>
      </c>
      <c r="AD3274" s="20">
        <f t="shared" si="154"/>
        <v>4.5583533172733059E-2</v>
      </c>
      <c r="AE3274" s="25">
        <f t="shared" si="155"/>
        <v>0.11151628064882581</v>
      </c>
    </row>
    <row r="3275" spans="1:31" x14ac:dyDescent="0.2">
      <c r="A3275" s="1" t="s">
        <v>370</v>
      </c>
      <c r="B3275" s="1" t="s">
        <v>7318</v>
      </c>
      <c r="C3275" s="1">
        <v>55985</v>
      </c>
      <c r="D3275" s="1" t="s">
        <v>1135</v>
      </c>
      <c r="F3275" s="1">
        <v>2023</v>
      </c>
      <c r="G3275" s="5">
        <v>3247</v>
      </c>
      <c r="H3275" s="5">
        <v>3140.66</v>
      </c>
      <c r="I3275" s="5">
        <v>748174.08</v>
      </c>
      <c r="K3275" s="5">
        <v>1.5620000000000001</v>
      </c>
      <c r="L3275" s="5">
        <v>1E-3</v>
      </c>
      <c r="M3275" s="5">
        <v>309421.83</v>
      </c>
      <c r="N3275" s="6">
        <v>5.8999999999999997E-2</v>
      </c>
      <c r="O3275" s="5">
        <v>16.460999999999999</v>
      </c>
      <c r="P3275" s="6">
        <v>8.6E-3</v>
      </c>
      <c r="Q3275" s="5">
        <v>5206622.3859999999</v>
      </c>
      <c r="R3275" s="1" t="s">
        <v>44</v>
      </c>
      <c r="T3275" s="1" t="s">
        <v>71</v>
      </c>
      <c r="V3275" s="1" t="s">
        <v>64</v>
      </c>
      <c r="Y3275" s="1" t="s">
        <v>247</v>
      </c>
      <c r="Z3275" s="1" t="str">
        <f t="shared" si="153"/>
        <v>55985 CTG2</v>
      </c>
      <c r="AA3275" s="3">
        <f>IF(INDEX('CAMD Facility Data 2023'!$AA$2:$AE$10000,MATCH(Z3275,'CAMD Facility Data 2023'!$AE$2:$AE$10000,0),1)&gt;0,INDEX('CAMD Facility Data 2023'!$AA$2:$AE$10000,MATCH(Z3275,'CAMD Facility Data 2023'!$AE$2:$AE$10000,0),1),"")</f>
        <v>38658</v>
      </c>
      <c r="AB3275" s="5">
        <f>IF(INDEX('CAMD Facility Data 2023'!$AC$2:$AE$10000,MATCH(Z3275,'CAMD Facility Data 2023'!$AE$2:$AE$10000,0),1)&gt;0,INDEX('CAMD Facility Data 2023'!$AC$2:$AE$10000,MATCH(Z3275,'CAMD Facility Data 2023'!$AE$2:$AE$10000,0),1),"")</f>
        <v>3926.7</v>
      </c>
      <c r="AC3275" s="1" t="str">
        <f>IF(INDEX('CAMD Facility Data 2023'!$AE$2:$AG$10000,MATCH(Z3275,'CAMD Facility Data 2023'!$AE$2:$AE$10000,0),3)&gt;0,INDEX('CAMD Facility Data 2023'!$AE$2:$AG$10000,MATCH(Z3275,'CAMD Facility Data 2023'!$AE$2:$AE$10000,0),3),"")</f>
        <v>Y</v>
      </c>
      <c r="AD3275" s="20">
        <f t="shared" si="154"/>
        <v>4.4003128255926754E-2</v>
      </c>
      <c r="AE3275" s="25">
        <f t="shared" si="155"/>
        <v>0.15136457739910342</v>
      </c>
    </row>
    <row r="3276" spans="1:31" x14ac:dyDescent="0.2">
      <c r="A3276" s="1" t="s">
        <v>1186</v>
      </c>
      <c r="B3276" s="1" t="s">
        <v>7321</v>
      </c>
      <c r="C3276" s="1">
        <v>56013</v>
      </c>
      <c r="D3276" s="1" t="s">
        <v>7322</v>
      </c>
      <c r="F3276" s="1">
        <v>2023</v>
      </c>
      <c r="G3276" s="5">
        <v>3675</v>
      </c>
      <c r="H3276" s="5">
        <v>3247.82</v>
      </c>
      <c r="I3276" s="5">
        <v>94161.29</v>
      </c>
      <c r="K3276" s="5">
        <v>0.499</v>
      </c>
      <c r="L3276" s="5">
        <v>1.4E-3</v>
      </c>
      <c r="M3276" s="5">
        <v>57800.608</v>
      </c>
      <c r="N3276" s="6">
        <v>5.9499999999999997E-2</v>
      </c>
      <c r="O3276" s="5">
        <v>44.945999999999998</v>
      </c>
      <c r="P3276" s="6">
        <v>9.8599999999999993E-2</v>
      </c>
      <c r="Q3276" s="5">
        <v>969619.70600000001</v>
      </c>
      <c r="R3276" s="1" t="s">
        <v>44</v>
      </c>
      <c r="S3276" s="1" t="s">
        <v>94</v>
      </c>
      <c r="T3276" s="1" t="s">
        <v>93</v>
      </c>
      <c r="V3276" s="1" t="s">
        <v>95</v>
      </c>
      <c r="Y3276" s="1" t="s">
        <v>1207</v>
      </c>
      <c r="Z3276" s="1" t="str">
        <f t="shared" si="153"/>
        <v>56013 U-1</v>
      </c>
      <c r="AA3276" s="3">
        <f>IF(INDEX('CAMD Facility Data 2023'!$AA$2:$AE$10000,MATCH(Z3276,'CAMD Facility Data 2023'!$AE$2:$AE$10000,0),1)&gt;0,INDEX('CAMD Facility Data 2023'!$AA$2:$AE$10000,MATCH(Z3276,'CAMD Facility Data 2023'!$AE$2:$AE$10000,0),1),"")</f>
        <v>38128</v>
      </c>
      <c r="AB3276" s="5">
        <f>IF(INDEX('CAMD Facility Data 2023'!$AC$2:$AE$10000,MATCH(Z3276,'CAMD Facility Data 2023'!$AE$2:$AE$10000,0),1)&gt;0,INDEX('CAMD Facility Data 2023'!$AC$2:$AE$10000,MATCH(Z3276,'CAMD Facility Data 2023'!$AE$2:$AE$10000,0),1),"")</f>
        <v>495</v>
      </c>
      <c r="AC3276" s="1" t="str">
        <f>IF(INDEX('CAMD Facility Data 2023'!$AE$2:$AG$10000,MATCH(Z3276,'CAMD Facility Data 2023'!$AE$2:$AE$10000,0),3)&gt;0,INDEX('CAMD Facility Data 2023'!$AE$2:$AG$10000,MATCH(Z3276,'CAMD Facility Data 2023'!$AE$2:$AE$10000,0),3),"")</f>
        <v/>
      </c>
      <c r="AD3276" s="20">
        <f t="shared" si="154"/>
        <v>0.95465981827564184</v>
      </c>
      <c r="AE3276" s="25">
        <f t="shared" si="155"/>
        <v>0.22361046676813801</v>
      </c>
    </row>
    <row r="3277" spans="1:31" x14ac:dyDescent="0.2">
      <c r="A3277" s="1" t="s">
        <v>1186</v>
      </c>
      <c r="B3277" s="1" t="s">
        <v>7321</v>
      </c>
      <c r="C3277" s="1">
        <v>56013</v>
      </c>
      <c r="D3277" s="1" t="s">
        <v>7327</v>
      </c>
      <c r="F3277" s="1">
        <v>2023</v>
      </c>
      <c r="G3277" s="5">
        <v>3027</v>
      </c>
      <c r="H3277" s="5">
        <v>2662.71</v>
      </c>
      <c r="I3277" s="5">
        <v>78568.17</v>
      </c>
      <c r="K3277" s="5">
        <v>0.45200000000000001</v>
      </c>
      <c r="L3277" s="5">
        <v>1.5E-3</v>
      </c>
      <c r="M3277" s="5">
        <v>48404.563999999998</v>
      </c>
      <c r="N3277" s="6">
        <v>5.9499999999999997E-2</v>
      </c>
      <c r="O3277" s="5">
        <v>38.143000000000001</v>
      </c>
      <c r="P3277" s="6">
        <v>9.8500000000000004E-2</v>
      </c>
      <c r="Q3277" s="5">
        <v>811422.64300000004</v>
      </c>
      <c r="R3277" s="1" t="s">
        <v>44</v>
      </c>
      <c r="S3277" s="1" t="s">
        <v>94</v>
      </c>
      <c r="T3277" s="1" t="s">
        <v>93</v>
      </c>
      <c r="V3277" s="1" t="s">
        <v>95</v>
      </c>
      <c r="Y3277" s="1" t="s">
        <v>1207</v>
      </c>
      <c r="Z3277" s="1" t="str">
        <f t="shared" si="153"/>
        <v>56013 U-2</v>
      </c>
      <c r="AA3277" s="3">
        <f>IF(INDEX('CAMD Facility Data 2023'!$AA$2:$AE$10000,MATCH(Z3277,'CAMD Facility Data 2023'!$AE$2:$AE$10000,0),1)&gt;0,INDEX('CAMD Facility Data 2023'!$AA$2:$AE$10000,MATCH(Z3277,'CAMD Facility Data 2023'!$AE$2:$AE$10000,0),1),"")</f>
        <v>38128</v>
      </c>
      <c r="AB3277" s="5">
        <f>IF(INDEX('CAMD Facility Data 2023'!$AC$2:$AE$10000,MATCH(Z3277,'CAMD Facility Data 2023'!$AE$2:$AE$10000,0),1)&gt;0,INDEX('CAMD Facility Data 2023'!$AC$2:$AE$10000,MATCH(Z3277,'CAMD Facility Data 2023'!$AE$2:$AE$10000,0),1),"")</f>
        <v>495</v>
      </c>
      <c r="AC3277" s="1" t="str">
        <f>IF(INDEX('CAMD Facility Data 2023'!$AE$2:$AG$10000,MATCH(Z3277,'CAMD Facility Data 2023'!$AE$2:$AE$10000,0),3)&gt;0,INDEX('CAMD Facility Data 2023'!$AE$2:$AG$10000,MATCH(Z3277,'CAMD Facility Data 2023'!$AE$2:$AE$10000,0),3),"")</f>
        <v/>
      </c>
      <c r="AD3277" s="20">
        <f t="shared" si="154"/>
        <v>0.9709529953414977</v>
      </c>
      <c r="AE3277" s="25">
        <f t="shared" si="155"/>
        <v>0.18712758705779253</v>
      </c>
    </row>
    <row r="3278" spans="1:31" x14ac:dyDescent="0.2">
      <c r="A3278" s="1" t="s">
        <v>1186</v>
      </c>
      <c r="B3278" s="1" t="s">
        <v>7321</v>
      </c>
      <c r="C3278" s="1">
        <v>56013</v>
      </c>
      <c r="D3278" s="1" t="s">
        <v>7329</v>
      </c>
      <c r="F3278" s="1">
        <v>2023</v>
      </c>
      <c r="G3278" s="5">
        <v>2431</v>
      </c>
      <c r="H3278" s="5">
        <v>2134.86</v>
      </c>
      <c r="I3278" s="5">
        <v>61736.94</v>
      </c>
      <c r="K3278" s="5">
        <v>0.40300000000000002</v>
      </c>
      <c r="L3278" s="5">
        <v>1.6000000000000001E-3</v>
      </c>
      <c r="M3278" s="5">
        <v>38736.957000000002</v>
      </c>
      <c r="N3278" s="6">
        <v>5.96E-2</v>
      </c>
      <c r="O3278" s="5">
        <v>30.344999999999999</v>
      </c>
      <c r="P3278" s="6">
        <v>9.9500000000000005E-2</v>
      </c>
      <c r="Q3278" s="5">
        <v>648784.897</v>
      </c>
      <c r="R3278" s="1" t="s">
        <v>44</v>
      </c>
      <c r="S3278" s="1" t="s">
        <v>94</v>
      </c>
      <c r="T3278" s="1" t="s">
        <v>93</v>
      </c>
      <c r="V3278" s="1" t="s">
        <v>95</v>
      </c>
      <c r="Y3278" s="1" t="s">
        <v>1207</v>
      </c>
      <c r="Z3278" s="1" t="str">
        <f t="shared" si="153"/>
        <v>56013 U-3</v>
      </c>
      <c r="AA3278" s="3">
        <f>IF(INDEX('CAMD Facility Data 2023'!$AA$2:$AE$10000,MATCH(Z3278,'CAMD Facility Data 2023'!$AE$2:$AE$10000,0),1)&gt;0,INDEX('CAMD Facility Data 2023'!$AA$2:$AE$10000,MATCH(Z3278,'CAMD Facility Data 2023'!$AE$2:$AE$10000,0),1),"")</f>
        <v>39161</v>
      </c>
      <c r="AB3278" s="5">
        <f>IF(INDEX('CAMD Facility Data 2023'!$AC$2:$AE$10000,MATCH(Z3278,'CAMD Facility Data 2023'!$AE$2:$AE$10000,0),1)&gt;0,INDEX('CAMD Facility Data 2023'!$AC$2:$AE$10000,MATCH(Z3278,'CAMD Facility Data 2023'!$AE$2:$AE$10000,0),1),"")</f>
        <v>495</v>
      </c>
      <c r="AC3278" s="1" t="str">
        <f>IF(INDEX('CAMD Facility Data 2023'!$AE$2:$AG$10000,MATCH(Z3278,'CAMD Facility Data 2023'!$AE$2:$AE$10000,0),3)&gt;0,INDEX('CAMD Facility Data 2023'!$AE$2:$AG$10000,MATCH(Z3278,'CAMD Facility Data 2023'!$AE$2:$AE$10000,0),3),"")</f>
        <v/>
      </c>
      <c r="AD3278" s="20">
        <f t="shared" si="154"/>
        <v>0.9830419194731711</v>
      </c>
      <c r="AE3278" s="25">
        <f t="shared" si="155"/>
        <v>0.14962061182602279</v>
      </c>
    </row>
    <row r="3279" spans="1:31" x14ac:dyDescent="0.2">
      <c r="A3279" s="1" t="s">
        <v>921</v>
      </c>
      <c r="B3279" s="1" t="s">
        <v>7331</v>
      </c>
      <c r="C3279" s="1">
        <v>56015</v>
      </c>
      <c r="D3279" s="1" t="s">
        <v>7332</v>
      </c>
      <c r="F3279" s="1">
        <v>2023</v>
      </c>
      <c r="G3279" s="5">
        <v>7</v>
      </c>
      <c r="H3279" s="5">
        <v>2.73</v>
      </c>
      <c r="I3279" s="5">
        <v>37.33</v>
      </c>
      <c r="K3279" s="5">
        <v>8.2000000000000003E-2</v>
      </c>
      <c r="L3279" s="5">
        <v>0.2016</v>
      </c>
      <c r="O3279" s="5">
        <v>8.8999999999999996E-2</v>
      </c>
      <c r="P3279" s="6">
        <v>0.218</v>
      </c>
      <c r="Q3279" s="5">
        <v>816.2</v>
      </c>
      <c r="R3279" s="1" t="s">
        <v>94</v>
      </c>
      <c r="T3279" s="1" t="s">
        <v>93</v>
      </c>
      <c r="V3279" s="1" t="s">
        <v>95</v>
      </c>
      <c r="Y3279" s="1" t="s">
        <v>944</v>
      </c>
      <c r="Z3279" s="1" t="str">
        <f t="shared" si="153"/>
        <v>56015 P1A</v>
      </c>
      <c r="AA3279" s="3">
        <f>IF(INDEX('CAMD Facility Data 2023'!$AA$2:$AE$10000,MATCH(Z3279,'CAMD Facility Data 2023'!$AE$2:$AE$10000,0),1)&gt;0,INDEX('CAMD Facility Data 2023'!$AA$2:$AE$10000,MATCH(Z3279,'CAMD Facility Data 2023'!$AE$2:$AE$10000,0),1),"")</f>
        <v>28398</v>
      </c>
      <c r="AB3279" s="5">
        <f>IF(INDEX('CAMD Facility Data 2023'!$AC$2:$AE$10000,MATCH(Z3279,'CAMD Facility Data 2023'!$AE$2:$AE$10000,0),1)&gt;0,INDEX('CAMD Facility Data 2023'!$AC$2:$AE$10000,MATCH(Z3279,'CAMD Facility Data 2023'!$AE$2:$AE$10000,0),1),"")</f>
        <v>299</v>
      </c>
      <c r="AC3279" s="1" t="str">
        <f>IF(INDEX('CAMD Facility Data 2023'!$AE$2:$AG$10000,MATCH(Z3279,'CAMD Facility Data 2023'!$AE$2:$AE$10000,0),3)&gt;0,INDEX('CAMD Facility Data 2023'!$AE$2:$AG$10000,MATCH(Z3279,'CAMD Facility Data 2023'!$AE$2:$AE$10000,0),3),"")</f>
        <v/>
      </c>
      <c r="AD3279" s="20">
        <f t="shared" si="154"/>
        <v>4.7682828824002144</v>
      </c>
      <c r="AE3279" s="25">
        <f t="shared" si="155"/>
        <v>3.1161711030680658E-4</v>
      </c>
    </row>
    <row r="3280" spans="1:31" x14ac:dyDescent="0.2">
      <c r="A3280" s="1" t="s">
        <v>921</v>
      </c>
      <c r="B3280" s="1" t="s">
        <v>7331</v>
      </c>
      <c r="C3280" s="1">
        <v>56015</v>
      </c>
      <c r="D3280" s="1" t="s">
        <v>7337</v>
      </c>
      <c r="F3280" s="1">
        <v>2023</v>
      </c>
      <c r="G3280" s="5">
        <v>7</v>
      </c>
      <c r="H3280" s="5">
        <v>2.73</v>
      </c>
      <c r="I3280" s="5">
        <v>35.799999999999997</v>
      </c>
      <c r="K3280" s="5">
        <v>8.3000000000000004E-2</v>
      </c>
      <c r="L3280" s="5">
        <v>0.2011</v>
      </c>
      <c r="O3280" s="5">
        <v>8.8999999999999996E-2</v>
      </c>
      <c r="P3280" s="6">
        <v>0.21759999999999999</v>
      </c>
      <c r="Q3280" s="5">
        <v>817.7</v>
      </c>
      <c r="R3280" s="1" t="s">
        <v>94</v>
      </c>
      <c r="T3280" s="1" t="s">
        <v>93</v>
      </c>
      <c r="V3280" s="1" t="s">
        <v>95</v>
      </c>
      <c r="Y3280" s="1" t="s">
        <v>944</v>
      </c>
      <c r="Z3280" s="1" t="str">
        <f t="shared" si="153"/>
        <v>56015 P1B</v>
      </c>
      <c r="AA3280" s="3">
        <f>IF(INDEX('CAMD Facility Data 2023'!$AA$2:$AE$10000,MATCH(Z3280,'CAMD Facility Data 2023'!$AE$2:$AE$10000,0),1)&gt;0,INDEX('CAMD Facility Data 2023'!$AA$2:$AE$10000,MATCH(Z3280,'CAMD Facility Data 2023'!$AE$2:$AE$10000,0),1),"")</f>
        <v>28398</v>
      </c>
      <c r="AB3280" s="5">
        <f>IF(INDEX('CAMD Facility Data 2023'!$AC$2:$AE$10000,MATCH(Z3280,'CAMD Facility Data 2023'!$AE$2:$AE$10000,0),1)&gt;0,INDEX('CAMD Facility Data 2023'!$AC$2:$AE$10000,MATCH(Z3280,'CAMD Facility Data 2023'!$AE$2:$AE$10000,0),1),"")</f>
        <v>299.5</v>
      </c>
      <c r="AC3280" s="1" t="str">
        <f>IF(INDEX('CAMD Facility Data 2023'!$AE$2:$AG$10000,MATCH(Z3280,'CAMD Facility Data 2023'!$AE$2:$AE$10000,0),3)&gt;0,INDEX('CAMD Facility Data 2023'!$AE$2:$AG$10000,MATCH(Z3280,'CAMD Facility Data 2023'!$AE$2:$AE$10000,0),3),"")</f>
        <v/>
      </c>
      <c r="AD3280" s="20">
        <f t="shared" si="154"/>
        <v>4.9720670391061459</v>
      </c>
      <c r="AE3280" s="25">
        <f t="shared" si="155"/>
        <v>3.1166861054573455E-4</v>
      </c>
    </row>
    <row r="3281" spans="1:31" x14ac:dyDescent="0.2">
      <c r="A3281" s="1" t="s">
        <v>921</v>
      </c>
      <c r="B3281" s="1" t="s">
        <v>7331</v>
      </c>
      <c r="C3281" s="1">
        <v>56015</v>
      </c>
      <c r="D3281" s="1" t="s">
        <v>7338</v>
      </c>
      <c r="F3281" s="1">
        <v>2023</v>
      </c>
      <c r="G3281" s="5">
        <v>7</v>
      </c>
      <c r="H3281" s="5">
        <v>2.75</v>
      </c>
      <c r="I3281" s="5">
        <v>37.33</v>
      </c>
      <c r="K3281" s="5">
        <v>8.6999999999999994E-2</v>
      </c>
      <c r="L3281" s="5">
        <v>0.20130000000000001</v>
      </c>
      <c r="O3281" s="5">
        <v>8.3000000000000004E-2</v>
      </c>
      <c r="P3281" s="6">
        <v>0.1923</v>
      </c>
      <c r="Q3281" s="5">
        <v>865.2</v>
      </c>
      <c r="R3281" s="1" t="s">
        <v>94</v>
      </c>
      <c r="T3281" s="1" t="s">
        <v>93</v>
      </c>
      <c r="V3281" s="1" t="s">
        <v>95</v>
      </c>
      <c r="Y3281" s="1" t="s">
        <v>944</v>
      </c>
      <c r="Z3281" s="1" t="str">
        <f t="shared" si="153"/>
        <v>56015 P2A</v>
      </c>
      <c r="AA3281" s="3">
        <f>IF(INDEX('CAMD Facility Data 2023'!$AA$2:$AE$10000,MATCH(Z3281,'CAMD Facility Data 2023'!$AE$2:$AE$10000,0),1)&gt;0,INDEX('CAMD Facility Data 2023'!$AA$2:$AE$10000,MATCH(Z3281,'CAMD Facility Data 2023'!$AE$2:$AE$10000,0),1),"")</f>
        <v>28398</v>
      </c>
      <c r="AB3281" s="5">
        <f>IF(INDEX('CAMD Facility Data 2023'!$AC$2:$AE$10000,MATCH(Z3281,'CAMD Facility Data 2023'!$AE$2:$AE$10000,0),1)&gt;0,INDEX('CAMD Facility Data 2023'!$AC$2:$AE$10000,MATCH(Z3281,'CAMD Facility Data 2023'!$AE$2:$AE$10000,0),1),"")</f>
        <v>314.60000000000002</v>
      </c>
      <c r="AC3281" s="1" t="str">
        <f>IF(INDEX('CAMD Facility Data 2023'!$AE$2:$AG$10000,MATCH(Z3281,'CAMD Facility Data 2023'!$AE$2:$AE$10000,0),3)&gt;0,INDEX('CAMD Facility Data 2023'!$AE$2:$AG$10000,MATCH(Z3281,'CAMD Facility Data 2023'!$AE$2:$AE$10000,0),3),"")</f>
        <v/>
      </c>
      <c r="AD3281" s="20">
        <f t="shared" si="154"/>
        <v>4.4468256094294132</v>
      </c>
      <c r="AE3281" s="25">
        <f t="shared" si="155"/>
        <v>3.1394508355903127E-4</v>
      </c>
    </row>
    <row r="3282" spans="1:31" x14ac:dyDescent="0.2">
      <c r="A3282" s="1" t="s">
        <v>921</v>
      </c>
      <c r="B3282" s="1" t="s">
        <v>7331</v>
      </c>
      <c r="C3282" s="1">
        <v>56015</v>
      </c>
      <c r="D3282" s="1" t="s">
        <v>7340</v>
      </c>
      <c r="F3282" s="1">
        <v>2023</v>
      </c>
      <c r="G3282" s="5">
        <v>7</v>
      </c>
      <c r="H3282" s="5">
        <v>2.74</v>
      </c>
      <c r="I3282" s="5">
        <v>37.33</v>
      </c>
      <c r="K3282" s="5">
        <v>8.2000000000000003E-2</v>
      </c>
      <c r="L3282" s="5">
        <v>0.20269999999999999</v>
      </c>
      <c r="O3282" s="5">
        <v>7.8E-2</v>
      </c>
      <c r="P3282" s="6">
        <v>0.1933</v>
      </c>
      <c r="Q3282" s="5">
        <v>807.7</v>
      </c>
      <c r="R3282" s="1" t="s">
        <v>94</v>
      </c>
      <c r="T3282" s="1" t="s">
        <v>93</v>
      </c>
      <c r="V3282" s="1" t="s">
        <v>95</v>
      </c>
      <c r="Y3282" s="1" t="s">
        <v>944</v>
      </c>
      <c r="Z3282" s="1" t="str">
        <f t="shared" si="153"/>
        <v>56015 P2B</v>
      </c>
      <c r="AA3282" s="3">
        <f>IF(INDEX('CAMD Facility Data 2023'!$AA$2:$AE$10000,MATCH(Z3282,'CAMD Facility Data 2023'!$AE$2:$AE$10000,0),1)&gt;0,INDEX('CAMD Facility Data 2023'!$AA$2:$AE$10000,MATCH(Z3282,'CAMD Facility Data 2023'!$AE$2:$AE$10000,0),1),"")</f>
        <v>28398</v>
      </c>
      <c r="AB3282" s="5">
        <f>IF(INDEX('CAMD Facility Data 2023'!$AC$2:$AE$10000,MATCH(Z3282,'CAMD Facility Data 2023'!$AE$2:$AE$10000,0),1)&gt;0,INDEX('CAMD Facility Data 2023'!$AC$2:$AE$10000,MATCH(Z3282,'CAMD Facility Data 2023'!$AE$2:$AE$10000,0),1),"")</f>
        <v>294.8</v>
      </c>
      <c r="AC3282" s="1" t="str">
        <f>IF(INDEX('CAMD Facility Data 2023'!$AE$2:$AG$10000,MATCH(Z3282,'CAMD Facility Data 2023'!$AE$2:$AE$10000,0),3)&gt;0,INDEX('CAMD Facility Data 2023'!$AE$2:$AG$10000,MATCH(Z3282,'CAMD Facility Data 2023'!$AE$2:$AE$10000,0),3),"")</f>
        <v/>
      </c>
      <c r="AD3282" s="20">
        <f t="shared" si="154"/>
        <v>4.1789445486204126</v>
      </c>
      <c r="AE3282" s="25">
        <f t="shared" si="155"/>
        <v>3.1276525219481674E-4</v>
      </c>
    </row>
    <row r="3283" spans="1:31" x14ac:dyDescent="0.2">
      <c r="A3283" s="1" t="s">
        <v>32</v>
      </c>
      <c r="B3283" s="1" t="s">
        <v>7341</v>
      </c>
      <c r="C3283" s="1">
        <v>56018</v>
      </c>
      <c r="D3283" s="1">
        <v>1</v>
      </c>
      <c r="F3283" s="1">
        <v>2023</v>
      </c>
      <c r="G3283" s="5">
        <v>498</v>
      </c>
      <c r="H3283" s="5">
        <v>498</v>
      </c>
      <c r="I3283" s="5">
        <v>23793</v>
      </c>
      <c r="K3283" s="5">
        <v>8.3000000000000004E-2</v>
      </c>
      <c r="L3283" s="5">
        <v>1E-3</v>
      </c>
      <c r="M3283" s="5">
        <v>15507.2</v>
      </c>
      <c r="N3283" s="6">
        <v>5.8999999999999997E-2</v>
      </c>
      <c r="O3283" s="5">
        <v>11.298</v>
      </c>
      <c r="P3283" s="6">
        <v>8.5999999999999993E-2</v>
      </c>
      <c r="Q3283" s="5">
        <v>262668.3</v>
      </c>
      <c r="R3283" s="1" t="s">
        <v>44</v>
      </c>
      <c r="T3283" s="1" t="s">
        <v>93</v>
      </c>
      <c r="V3283" s="1" t="s">
        <v>95</v>
      </c>
      <c r="Y3283" s="1" t="s">
        <v>35</v>
      </c>
      <c r="Z3283" s="1" t="str">
        <f t="shared" si="153"/>
        <v>56018 1</v>
      </c>
      <c r="AA3283" s="3">
        <f>IF(INDEX('CAMD Facility Data 2023'!$AA$2:$AE$10000,MATCH(Z3283,'CAMD Facility Data 2023'!$AE$2:$AE$10000,0),1)&gt;0,INDEX('CAMD Facility Data 2023'!$AA$2:$AE$10000,MATCH(Z3283,'CAMD Facility Data 2023'!$AE$2:$AE$10000,0),1),"")</f>
        <v>38111</v>
      </c>
      <c r="AB3283" s="5">
        <f>IF(INDEX('CAMD Facility Data 2023'!$AC$2:$AE$10000,MATCH(Z3283,'CAMD Facility Data 2023'!$AE$2:$AE$10000,0),1)&gt;0,INDEX('CAMD Facility Data 2023'!$AC$2:$AE$10000,MATCH(Z3283,'CAMD Facility Data 2023'!$AE$2:$AE$10000,0),1),"")</f>
        <v>500</v>
      </c>
      <c r="AC3283" s="1" t="str">
        <f>IF(INDEX('CAMD Facility Data 2023'!$AE$2:$AG$10000,MATCH(Z3283,'CAMD Facility Data 2023'!$AE$2:$AE$10000,0),3)&gt;0,INDEX('CAMD Facility Data 2023'!$AE$2:$AG$10000,MATCH(Z3283,'CAMD Facility Data 2023'!$AE$2:$AE$10000,0),3),"")</f>
        <v/>
      </c>
      <c r="AD3283" s="20">
        <f t="shared" si="154"/>
        <v>0.94969108561341575</v>
      </c>
      <c r="AE3283" s="25">
        <f t="shared" si="155"/>
        <v>5.996993150684931E-2</v>
      </c>
    </row>
    <row r="3284" spans="1:31" x14ac:dyDescent="0.2">
      <c r="A3284" s="1" t="s">
        <v>32</v>
      </c>
      <c r="B3284" s="1" t="s">
        <v>7341</v>
      </c>
      <c r="C3284" s="1">
        <v>56018</v>
      </c>
      <c r="D3284" s="1">
        <v>2</v>
      </c>
      <c r="F3284" s="1">
        <v>2023</v>
      </c>
      <c r="G3284" s="5">
        <v>498</v>
      </c>
      <c r="H3284" s="5">
        <v>498</v>
      </c>
      <c r="I3284" s="5">
        <v>23869</v>
      </c>
      <c r="K3284" s="5">
        <v>8.3000000000000004E-2</v>
      </c>
      <c r="L3284" s="5">
        <v>1E-3</v>
      </c>
      <c r="M3284" s="5">
        <v>15770.1</v>
      </c>
      <c r="N3284" s="6">
        <v>5.8999999999999997E-2</v>
      </c>
      <c r="O3284" s="5">
        <v>11.356999999999999</v>
      </c>
      <c r="P3284" s="6">
        <v>8.5000000000000006E-2</v>
      </c>
      <c r="Q3284" s="5">
        <v>267253.3</v>
      </c>
      <c r="R3284" s="1" t="s">
        <v>44</v>
      </c>
      <c r="T3284" s="1" t="s">
        <v>93</v>
      </c>
      <c r="V3284" s="1" t="s">
        <v>95</v>
      </c>
      <c r="Y3284" s="1" t="s">
        <v>35</v>
      </c>
      <c r="Z3284" s="1" t="str">
        <f t="shared" si="153"/>
        <v>56018 2</v>
      </c>
      <c r="AA3284" s="3">
        <f>IF(INDEX('CAMD Facility Data 2023'!$AA$2:$AE$10000,MATCH(Z3284,'CAMD Facility Data 2023'!$AE$2:$AE$10000,0),1)&gt;0,INDEX('CAMD Facility Data 2023'!$AA$2:$AE$10000,MATCH(Z3284,'CAMD Facility Data 2023'!$AE$2:$AE$10000,0),1),"")</f>
        <v>38111</v>
      </c>
      <c r="AB3284" s="5">
        <f>IF(INDEX('CAMD Facility Data 2023'!$AC$2:$AE$10000,MATCH(Z3284,'CAMD Facility Data 2023'!$AE$2:$AE$10000,0),1)&gt;0,INDEX('CAMD Facility Data 2023'!$AC$2:$AE$10000,MATCH(Z3284,'CAMD Facility Data 2023'!$AE$2:$AE$10000,0),1),"")</f>
        <v>500</v>
      </c>
      <c r="AC3284" s="1" t="str">
        <f>IF(INDEX('CAMD Facility Data 2023'!$AE$2:$AG$10000,MATCH(Z3284,'CAMD Facility Data 2023'!$AE$2:$AE$10000,0),3)&gt;0,INDEX('CAMD Facility Data 2023'!$AE$2:$AG$10000,MATCH(Z3284,'CAMD Facility Data 2023'!$AE$2:$AE$10000,0),3),"")</f>
        <v/>
      </c>
      <c r="AD3284" s="20">
        <f t="shared" si="154"/>
        <v>0.95161087603167294</v>
      </c>
      <c r="AE3284" s="25">
        <f t="shared" si="155"/>
        <v>6.1016735159817349E-2</v>
      </c>
    </row>
    <row r="3285" spans="1:31" x14ac:dyDescent="0.2">
      <c r="A3285" s="1" t="s">
        <v>370</v>
      </c>
      <c r="B3285" s="1" t="s">
        <v>7347</v>
      </c>
      <c r="C3285" s="1">
        <v>56026</v>
      </c>
      <c r="D3285" s="1" t="s">
        <v>7348</v>
      </c>
      <c r="F3285" s="1">
        <v>2023</v>
      </c>
      <c r="G3285" s="5">
        <v>6803</v>
      </c>
      <c r="H3285" s="5">
        <v>6716.57</v>
      </c>
      <c r="I3285" s="5">
        <v>440870.71</v>
      </c>
      <c r="K3285" s="5">
        <v>1.02</v>
      </c>
      <c r="L3285" s="5">
        <v>1E-3</v>
      </c>
      <c r="M3285" s="5">
        <v>201951.19200000001</v>
      </c>
      <c r="N3285" s="6">
        <v>5.91E-2</v>
      </c>
      <c r="O3285" s="5">
        <v>11.49</v>
      </c>
      <c r="P3285" s="6">
        <v>7.7999999999999996E-3</v>
      </c>
      <c r="Q3285" s="5">
        <v>3398227.8160000001</v>
      </c>
      <c r="R3285" s="1" t="s">
        <v>44</v>
      </c>
      <c r="T3285" s="1" t="s">
        <v>71</v>
      </c>
      <c r="V3285" s="1" t="s">
        <v>643</v>
      </c>
      <c r="Y3285" s="1" t="s">
        <v>247</v>
      </c>
      <c r="Z3285" s="1" t="str">
        <f t="shared" si="153"/>
        <v>56026 PCT1</v>
      </c>
      <c r="AA3285" s="3">
        <f>IF(INDEX('CAMD Facility Data 2023'!$AA$2:$AE$10000,MATCH(Z3285,'CAMD Facility Data 2023'!$AE$2:$AE$10000,0),1)&gt;0,INDEX('CAMD Facility Data 2023'!$AA$2:$AE$10000,MATCH(Z3285,'CAMD Facility Data 2023'!$AE$2:$AE$10000,0),1),"")</f>
        <v>38426</v>
      </c>
      <c r="AB3285" s="5">
        <f>IF(INDEX('CAMD Facility Data 2023'!$AC$2:$AE$10000,MATCH(Z3285,'CAMD Facility Data 2023'!$AE$2:$AE$10000,0),1)&gt;0,INDEX('CAMD Facility Data 2023'!$AC$2:$AE$10000,MATCH(Z3285,'CAMD Facility Data 2023'!$AE$2:$AE$10000,0),1),"")</f>
        <v>610.6</v>
      </c>
      <c r="AC3285" s="1" t="str">
        <f>IF(INDEX('CAMD Facility Data 2023'!$AE$2:$AG$10000,MATCH(Z3285,'CAMD Facility Data 2023'!$AE$2:$AE$10000,0),3)&gt;0,INDEX('CAMD Facility Data 2023'!$AE$2:$AG$10000,MATCH(Z3285,'CAMD Facility Data 2023'!$AE$2:$AE$10000,0),3),"")</f>
        <v>Y</v>
      </c>
      <c r="AD3285" s="20">
        <f t="shared" si="154"/>
        <v>5.212412500707974E-2</v>
      </c>
      <c r="AE3285" s="25">
        <f t="shared" si="155"/>
        <v>0.63531862065458489</v>
      </c>
    </row>
    <row r="3286" spans="1:31" x14ac:dyDescent="0.2">
      <c r="A3286" s="1" t="s">
        <v>370</v>
      </c>
      <c r="B3286" s="1" t="s">
        <v>7347</v>
      </c>
      <c r="C3286" s="1">
        <v>56026</v>
      </c>
      <c r="D3286" s="1" t="s">
        <v>7351</v>
      </c>
      <c r="F3286" s="1">
        <v>2023</v>
      </c>
      <c r="G3286" s="5">
        <v>7226</v>
      </c>
      <c r="H3286" s="5">
        <v>7141.58</v>
      </c>
      <c r="I3286" s="5">
        <v>460406.2</v>
      </c>
      <c r="K3286" s="5">
        <v>1.091</v>
      </c>
      <c r="L3286" s="5">
        <v>1E-3</v>
      </c>
      <c r="M3286" s="5">
        <v>216118.02499999999</v>
      </c>
      <c r="N3286" s="6">
        <v>5.91E-2</v>
      </c>
      <c r="O3286" s="5">
        <v>11.534000000000001</v>
      </c>
      <c r="P3286" s="6">
        <v>7.4000000000000003E-3</v>
      </c>
      <c r="Q3286" s="5">
        <v>3636640.8149999999</v>
      </c>
      <c r="R3286" s="1" t="s">
        <v>44</v>
      </c>
      <c r="T3286" s="1" t="s">
        <v>71</v>
      </c>
      <c r="V3286" s="1" t="s">
        <v>643</v>
      </c>
      <c r="Y3286" s="1" t="s">
        <v>247</v>
      </c>
      <c r="Z3286" s="1" t="str">
        <f t="shared" si="153"/>
        <v>56026 PCT2</v>
      </c>
      <c r="AA3286" s="3">
        <f>IF(INDEX('CAMD Facility Data 2023'!$AA$2:$AE$10000,MATCH(Z3286,'CAMD Facility Data 2023'!$AE$2:$AE$10000,0),1)&gt;0,INDEX('CAMD Facility Data 2023'!$AA$2:$AE$10000,MATCH(Z3286,'CAMD Facility Data 2023'!$AE$2:$AE$10000,0),1),"")</f>
        <v>38426</v>
      </c>
      <c r="AB3286" s="5">
        <f>IF(INDEX('CAMD Facility Data 2023'!$AC$2:$AE$10000,MATCH(Z3286,'CAMD Facility Data 2023'!$AE$2:$AE$10000,0),1)&gt;0,INDEX('CAMD Facility Data 2023'!$AC$2:$AE$10000,MATCH(Z3286,'CAMD Facility Data 2023'!$AE$2:$AE$10000,0),1),"")</f>
        <v>610.6</v>
      </c>
      <c r="AC3286" s="1" t="str">
        <f>IF(INDEX('CAMD Facility Data 2023'!$AE$2:$AG$10000,MATCH(Z3286,'CAMD Facility Data 2023'!$AE$2:$AE$10000,0),3)&gt;0,INDEX('CAMD Facility Data 2023'!$AE$2:$AG$10000,MATCH(Z3286,'CAMD Facility Data 2023'!$AE$2:$AE$10000,0),3),"")</f>
        <v>Y</v>
      </c>
      <c r="AD3286" s="20">
        <f t="shared" si="154"/>
        <v>5.0103582445240748E-2</v>
      </c>
      <c r="AE3286" s="25">
        <f t="shared" si="155"/>
        <v>0.67989132909915684</v>
      </c>
    </row>
    <row r="3287" spans="1:31" x14ac:dyDescent="0.2">
      <c r="A3287" s="1" t="s">
        <v>3167</v>
      </c>
      <c r="B3287" s="1" t="s">
        <v>7353</v>
      </c>
      <c r="C3287" s="1">
        <v>56031</v>
      </c>
      <c r="D3287" s="1" t="s">
        <v>5681</v>
      </c>
      <c r="F3287" s="1">
        <v>2023</v>
      </c>
      <c r="G3287" s="5">
        <v>7627</v>
      </c>
      <c r="H3287" s="5">
        <v>7562.56</v>
      </c>
      <c r="I3287" s="5">
        <v>2204441.67</v>
      </c>
      <c r="K3287" s="5">
        <v>4.4710000000000001</v>
      </c>
      <c r="L3287" s="5">
        <v>1E-3</v>
      </c>
      <c r="M3287" s="5">
        <v>885602.64099999995</v>
      </c>
      <c r="N3287" s="6">
        <v>5.8999999999999997E-2</v>
      </c>
      <c r="O3287" s="5">
        <v>65.194000000000003</v>
      </c>
      <c r="P3287" s="6">
        <v>9.4999999999999998E-3</v>
      </c>
      <c r="Q3287" s="5">
        <v>14902065.827</v>
      </c>
      <c r="R3287" s="1" t="s">
        <v>44</v>
      </c>
      <c r="T3287" s="1" t="s">
        <v>71</v>
      </c>
      <c r="V3287" s="1" t="s">
        <v>64</v>
      </c>
      <c r="Y3287" s="1" t="s">
        <v>461</v>
      </c>
      <c r="Z3287" s="1" t="str">
        <f t="shared" si="153"/>
        <v>56031 CTG-1</v>
      </c>
      <c r="AA3287" s="3">
        <f>IF(INDEX('CAMD Facility Data 2023'!$AA$2:$AE$10000,MATCH(Z3287,'CAMD Facility Data 2023'!$AE$2:$AE$10000,0),1)&gt;0,INDEX('CAMD Facility Data 2023'!$AA$2:$AE$10000,MATCH(Z3287,'CAMD Facility Data 2023'!$AE$2:$AE$10000,0),1),"")</f>
        <v>38640</v>
      </c>
      <c r="AB3287" s="5">
        <f>IF(INDEX('CAMD Facility Data 2023'!$AC$2:$AE$10000,MATCH(Z3287,'CAMD Facility Data 2023'!$AE$2:$AE$10000,0),1)&gt;0,INDEX('CAMD Facility Data 2023'!$AC$2:$AE$10000,MATCH(Z3287,'CAMD Facility Data 2023'!$AE$2:$AE$10000,0),1),"")</f>
        <v>2873.3</v>
      </c>
      <c r="AC3287" s="1" t="str">
        <f>IF(INDEX('CAMD Facility Data 2023'!$AE$2:$AG$10000,MATCH(Z3287,'CAMD Facility Data 2023'!$AE$2:$AE$10000,0),3)&gt;0,INDEX('CAMD Facility Data 2023'!$AE$2:$AG$10000,MATCH(Z3287,'CAMD Facility Data 2023'!$AE$2:$AE$10000,0),3),"")</f>
        <v>Y</v>
      </c>
      <c r="AD3287" s="20">
        <f t="shared" si="154"/>
        <v>5.9147856699696667E-2</v>
      </c>
      <c r="AE3287" s="25">
        <f t="shared" si="155"/>
        <v>0.59205410747542286</v>
      </c>
    </row>
    <row r="3288" spans="1:31" x14ac:dyDescent="0.2">
      <c r="A3288" s="1" t="s">
        <v>3167</v>
      </c>
      <c r="B3288" s="1" t="s">
        <v>7353</v>
      </c>
      <c r="C3288" s="1">
        <v>56031</v>
      </c>
      <c r="D3288" s="1" t="s">
        <v>5684</v>
      </c>
      <c r="F3288" s="1">
        <v>2023</v>
      </c>
      <c r="G3288" s="5">
        <v>7752</v>
      </c>
      <c r="H3288" s="5">
        <v>7711.1</v>
      </c>
      <c r="I3288" s="5">
        <v>2228287.4</v>
      </c>
      <c r="K3288" s="5">
        <v>4.5510000000000002</v>
      </c>
      <c r="L3288" s="5">
        <v>1E-3</v>
      </c>
      <c r="M3288" s="5">
        <v>901414.36399999994</v>
      </c>
      <c r="N3288" s="6">
        <v>5.8999999999999997E-2</v>
      </c>
      <c r="O3288" s="5">
        <v>62.884999999999998</v>
      </c>
      <c r="P3288" s="6">
        <v>8.8999999999999999E-3</v>
      </c>
      <c r="Q3288" s="5">
        <v>15168024.232999999</v>
      </c>
      <c r="R3288" s="1" t="s">
        <v>44</v>
      </c>
      <c r="T3288" s="1" t="s">
        <v>71</v>
      </c>
      <c r="V3288" s="1" t="s">
        <v>64</v>
      </c>
      <c r="Y3288" s="1" t="s">
        <v>461</v>
      </c>
      <c r="Z3288" s="1" t="str">
        <f t="shared" si="153"/>
        <v>56031 CTG-2</v>
      </c>
      <c r="AA3288" s="3">
        <f>IF(INDEX('CAMD Facility Data 2023'!$AA$2:$AE$10000,MATCH(Z3288,'CAMD Facility Data 2023'!$AE$2:$AE$10000,0),1)&gt;0,INDEX('CAMD Facility Data 2023'!$AA$2:$AE$10000,MATCH(Z3288,'CAMD Facility Data 2023'!$AE$2:$AE$10000,0),1),"")</f>
        <v>38470</v>
      </c>
      <c r="AB3288" s="5">
        <f>IF(INDEX('CAMD Facility Data 2023'!$AC$2:$AE$10000,MATCH(Z3288,'CAMD Facility Data 2023'!$AE$2:$AE$10000,0),1)&gt;0,INDEX('CAMD Facility Data 2023'!$AC$2:$AE$10000,MATCH(Z3288,'CAMD Facility Data 2023'!$AE$2:$AE$10000,0),1),"")</f>
        <v>2587</v>
      </c>
      <c r="AC3288" s="1" t="str">
        <f>IF(INDEX('CAMD Facility Data 2023'!$AE$2:$AG$10000,MATCH(Z3288,'CAMD Facility Data 2023'!$AE$2:$AE$10000,0),3)&gt;0,INDEX('CAMD Facility Data 2023'!$AE$2:$AG$10000,MATCH(Z3288,'CAMD Facility Data 2023'!$AE$2:$AE$10000,0),3),"")</f>
        <v>Y</v>
      </c>
      <c r="AD3288" s="20">
        <f t="shared" si="154"/>
        <v>5.6442449928137642E-2</v>
      </c>
      <c r="AE3288" s="25">
        <f t="shared" si="155"/>
        <v>0.66931179576315014</v>
      </c>
    </row>
    <row r="3289" spans="1:31" x14ac:dyDescent="0.2">
      <c r="A3289" s="1" t="s">
        <v>2089</v>
      </c>
      <c r="B3289" s="1" t="s">
        <v>7356</v>
      </c>
      <c r="C3289" s="1">
        <v>56032</v>
      </c>
      <c r="D3289" s="1">
        <v>1</v>
      </c>
      <c r="F3289" s="1">
        <v>2023</v>
      </c>
      <c r="G3289" s="5">
        <v>1640</v>
      </c>
      <c r="H3289" s="5">
        <v>1266.8699999999999</v>
      </c>
      <c r="I3289" s="5">
        <v>57166.65</v>
      </c>
      <c r="K3289" s="5">
        <v>0.17</v>
      </c>
      <c r="L3289" s="5">
        <v>1E-3</v>
      </c>
      <c r="M3289" s="5">
        <v>33757.620999999999</v>
      </c>
      <c r="N3289" s="6">
        <v>5.9200000000000003E-2</v>
      </c>
      <c r="O3289" s="5">
        <v>4.1849999999999996</v>
      </c>
      <c r="P3289" s="6">
        <v>2.76E-2</v>
      </c>
      <c r="Q3289" s="5">
        <v>568045.28200000001</v>
      </c>
      <c r="R3289" s="1" t="s">
        <v>44</v>
      </c>
      <c r="S3289" s="1" t="s">
        <v>94</v>
      </c>
      <c r="T3289" s="1" t="s">
        <v>93</v>
      </c>
      <c r="V3289" s="1" t="s">
        <v>176</v>
      </c>
      <c r="Y3289" s="1" t="s">
        <v>1515</v>
      </c>
      <c r="Z3289" s="1" t="str">
        <f t="shared" si="153"/>
        <v>56032 1</v>
      </c>
      <c r="AA3289" s="3">
        <f>IF(INDEX('CAMD Facility Data 2023'!$AA$2:$AE$10000,MATCH(Z3289,'CAMD Facility Data 2023'!$AE$2:$AE$10000,0),1)&gt;0,INDEX('CAMD Facility Data 2023'!$AA$2:$AE$10000,MATCH(Z3289,'CAMD Facility Data 2023'!$AE$2:$AE$10000,0),1),"")</f>
        <v>38169</v>
      </c>
      <c r="AB3289" s="5">
        <f>IF(INDEX('CAMD Facility Data 2023'!$AC$2:$AE$10000,MATCH(Z3289,'CAMD Facility Data 2023'!$AE$2:$AE$10000,0),1)&gt;0,INDEX('CAMD Facility Data 2023'!$AC$2:$AE$10000,MATCH(Z3289,'CAMD Facility Data 2023'!$AE$2:$AE$10000,0),1),"")</f>
        <v>520.70000000000005</v>
      </c>
      <c r="AC3289" s="1" t="str">
        <f>IF(INDEX('CAMD Facility Data 2023'!$AE$2:$AG$10000,MATCH(Z3289,'CAMD Facility Data 2023'!$AE$2:$AE$10000,0),3)&gt;0,INDEX('CAMD Facility Data 2023'!$AE$2:$AG$10000,MATCH(Z3289,'CAMD Facility Data 2023'!$AE$2:$AE$10000,0),3),"")</f>
        <v>Y</v>
      </c>
      <c r="AD3289" s="20">
        <f t="shared" si="154"/>
        <v>0.14641403685540433</v>
      </c>
      <c r="AE3289" s="25">
        <f t="shared" si="155"/>
        <v>0.12453495645570198</v>
      </c>
    </row>
    <row r="3290" spans="1:31" x14ac:dyDescent="0.2">
      <c r="A3290" s="1" t="s">
        <v>370</v>
      </c>
      <c r="B3290" s="1" t="s">
        <v>7358</v>
      </c>
      <c r="C3290" s="1">
        <v>56041</v>
      </c>
      <c r="D3290" s="1" t="s">
        <v>7359</v>
      </c>
      <c r="F3290" s="1">
        <v>2023</v>
      </c>
      <c r="G3290" s="5">
        <v>4025</v>
      </c>
      <c r="H3290" s="5">
        <v>4006.9</v>
      </c>
      <c r="I3290" s="5">
        <v>159089.17000000001</v>
      </c>
      <c r="K3290" s="5">
        <v>0.39500000000000002</v>
      </c>
      <c r="L3290" s="5">
        <v>1E-3</v>
      </c>
      <c r="M3290" s="5">
        <v>77469.591</v>
      </c>
      <c r="N3290" s="6">
        <v>5.9200000000000003E-2</v>
      </c>
      <c r="O3290" s="5">
        <v>4.7889999999999997</v>
      </c>
      <c r="P3290" s="6">
        <v>8.0999999999999996E-3</v>
      </c>
      <c r="Q3290" s="5">
        <v>1303795.9040000001</v>
      </c>
      <c r="R3290" s="1" t="s">
        <v>44</v>
      </c>
      <c r="T3290" s="1" t="s">
        <v>71</v>
      </c>
      <c r="V3290" s="1" t="s">
        <v>64</v>
      </c>
      <c r="Y3290" s="1" t="s">
        <v>247</v>
      </c>
      <c r="Z3290" s="1" t="str">
        <f t="shared" si="153"/>
        <v>56041 M1</v>
      </c>
      <c r="AA3290" s="3">
        <f>IF(INDEX('CAMD Facility Data 2023'!$AA$2:$AE$10000,MATCH(Z3290,'CAMD Facility Data 2023'!$AE$2:$AE$10000,0),1)&gt;0,INDEX('CAMD Facility Data 2023'!$AA$2:$AE$10000,MATCH(Z3290,'CAMD Facility Data 2023'!$AE$2:$AE$10000,0),1),"")</f>
        <v>38556</v>
      </c>
      <c r="AB3290" s="5">
        <f>IF(INDEX('CAMD Facility Data 2023'!$AC$2:$AE$10000,MATCH(Z3290,'CAMD Facility Data 2023'!$AE$2:$AE$10000,0),1)&gt;0,INDEX('CAMD Facility Data 2023'!$AC$2:$AE$10000,MATCH(Z3290,'CAMD Facility Data 2023'!$AE$2:$AE$10000,0),1),"")</f>
        <v>594</v>
      </c>
      <c r="AC3290" s="1" t="str">
        <f>IF(INDEX('CAMD Facility Data 2023'!$AE$2:$AG$10000,MATCH(Z3290,'CAMD Facility Data 2023'!$AE$2:$AE$10000,0),3)&gt;0,INDEX('CAMD Facility Data 2023'!$AE$2:$AG$10000,MATCH(Z3290,'CAMD Facility Data 2023'!$AE$2:$AE$10000,0),3),"")</f>
        <v>Y</v>
      </c>
      <c r="AD3290" s="20">
        <f t="shared" si="154"/>
        <v>6.0205229557737959E-2</v>
      </c>
      <c r="AE3290" s="25">
        <f t="shared" si="155"/>
        <v>0.25056422366742004</v>
      </c>
    </row>
    <row r="3291" spans="1:31" x14ac:dyDescent="0.2">
      <c r="A3291" s="1" t="s">
        <v>370</v>
      </c>
      <c r="B3291" s="1" t="s">
        <v>7358</v>
      </c>
      <c r="C3291" s="1">
        <v>56041</v>
      </c>
      <c r="D3291" s="1" t="s">
        <v>7362</v>
      </c>
      <c r="F3291" s="1">
        <v>2023</v>
      </c>
      <c r="G3291" s="5">
        <v>4421</v>
      </c>
      <c r="H3291" s="5">
        <v>4405.7700000000004</v>
      </c>
      <c r="I3291" s="5">
        <v>172770.63</v>
      </c>
      <c r="K3291" s="5">
        <v>0.42799999999999999</v>
      </c>
      <c r="L3291" s="5">
        <v>1E-3</v>
      </c>
      <c r="M3291" s="5">
        <v>84847.684999999998</v>
      </c>
      <c r="N3291" s="6">
        <v>5.9200000000000003E-2</v>
      </c>
      <c r="O3291" s="5">
        <v>4.9359999999999999</v>
      </c>
      <c r="P3291" s="6">
        <v>7.4000000000000003E-3</v>
      </c>
      <c r="Q3291" s="5">
        <v>1427599.2479999999</v>
      </c>
      <c r="R3291" s="1" t="s">
        <v>44</v>
      </c>
      <c r="T3291" s="1" t="s">
        <v>71</v>
      </c>
      <c r="V3291" s="1" t="s">
        <v>64</v>
      </c>
      <c r="Y3291" s="1" t="s">
        <v>247</v>
      </c>
      <c r="Z3291" s="1" t="str">
        <f t="shared" si="153"/>
        <v>56041 M2</v>
      </c>
      <c r="AA3291" s="3">
        <f>IF(INDEX('CAMD Facility Data 2023'!$AA$2:$AE$10000,MATCH(Z3291,'CAMD Facility Data 2023'!$AE$2:$AE$10000,0),1)&gt;0,INDEX('CAMD Facility Data 2023'!$AA$2:$AE$10000,MATCH(Z3291,'CAMD Facility Data 2023'!$AE$2:$AE$10000,0),1),"")</f>
        <v>38558</v>
      </c>
      <c r="AB3291" s="5">
        <f>IF(INDEX('CAMD Facility Data 2023'!$AC$2:$AE$10000,MATCH(Z3291,'CAMD Facility Data 2023'!$AE$2:$AE$10000,0),1)&gt;0,INDEX('CAMD Facility Data 2023'!$AC$2:$AE$10000,MATCH(Z3291,'CAMD Facility Data 2023'!$AE$2:$AE$10000,0),1),"")</f>
        <v>594</v>
      </c>
      <c r="AC3291" s="1" t="str">
        <f>IF(INDEX('CAMD Facility Data 2023'!$AE$2:$AG$10000,MATCH(Z3291,'CAMD Facility Data 2023'!$AE$2:$AE$10000,0),3)&gt;0,INDEX('CAMD Facility Data 2023'!$AE$2:$AG$10000,MATCH(Z3291,'CAMD Facility Data 2023'!$AE$2:$AE$10000,0),3),"")</f>
        <v>Y</v>
      </c>
      <c r="AD3291" s="20">
        <f t="shared" si="154"/>
        <v>5.7139341333651443E-2</v>
      </c>
      <c r="AE3291" s="25">
        <f t="shared" si="155"/>
        <v>0.27435681933490152</v>
      </c>
    </row>
    <row r="3292" spans="1:31" x14ac:dyDescent="0.2">
      <c r="A3292" s="1" t="s">
        <v>370</v>
      </c>
      <c r="B3292" s="1" t="s">
        <v>7364</v>
      </c>
      <c r="C3292" s="1">
        <v>56046</v>
      </c>
      <c r="D3292" s="1">
        <v>1</v>
      </c>
      <c r="F3292" s="1">
        <v>2023</v>
      </c>
      <c r="G3292" s="5">
        <v>8447</v>
      </c>
      <c r="H3292" s="5">
        <v>8441.25</v>
      </c>
      <c r="I3292" s="5">
        <v>1529074.28</v>
      </c>
      <c r="K3292" s="5">
        <v>3.4</v>
      </c>
      <c r="L3292" s="5">
        <v>1E-3</v>
      </c>
      <c r="M3292" s="5">
        <v>672946.38199999998</v>
      </c>
      <c r="N3292" s="6">
        <v>5.8999999999999997E-2</v>
      </c>
      <c r="O3292" s="5">
        <v>28.41</v>
      </c>
      <c r="P3292" s="6">
        <v>5.1999999999999998E-3</v>
      </c>
      <c r="Q3292" s="5">
        <v>11323616.159</v>
      </c>
      <c r="R3292" s="1" t="s">
        <v>44</v>
      </c>
      <c r="T3292" s="1" t="s">
        <v>71</v>
      </c>
      <c r="V3292" s="1" t="s">
        <v>64</v>
      </c>
      <c r="Y3292" s="1" t="s">
        <v>247</v>
      </c>
      <c r="Z3292" s="1" t="str">
        <f t="shared" si="153"/>
        <v>56046 1</v>
      </c>
      <c r="AA3292" s="3">
        <f>IF(INDEX('CAMD Facility Data 2023'!$AA$2:$AE$10000,MATCH(Z3292,'CAMD Facility Data 2023'!$AE$2:$AE$10000,0),1)&gt;0,INDEX('CAMD Facility Data 2023'!$AA$2:$AE$10000,MATCH(Z3292,'CAMD Facility Data 2023'!$AE$2:$AE$10000,0),1),"")</f>
        <v>38604</v>
      </c>
      <c r="AB3292" s="5">
        <f>IF(INDEX('CAMD Facility Data 2023'!$AC$2:$AE$10000,MATCH(Z3292,'CAMD Facility Data 2023'!$AE$2:$AE$10000,0),1)&gt;0,INDEX('CAMD Facility Data 2023'!$AC$2:$AE$10000,MATCH(Z3292,'CAMD Facility Data 2023'!$AE$2:$AE$10000,0),1),"")</f>
        <v>2370</v>
      </c>
      <c r="AC3292" s="1" t="str">
        <f>IF(INDEX('CAMD Facility Data 2023'!$AE$2:$AG$10000,MATCH(Z3292,'CAMD Facility Data 2023'!$AE$2:$AE$10000,0),3)&gt;0,INDEX('CAMD Facility Data 2023'!$AE$2:$AG$10000,MATCH(Z3292,'CAMD Facility Data 2023'!$AE$2:$AE$10000,0),3),"")</f>
        <v>Y</v>
      </c>
      <c r="AD3292" s="20">
        <f t="shared" si="154"/>
        <v>3.7159738243716975E-2</v>
      </c>
      <c r="AE3292" s="25">
        <f t="shared" si="155"/>
        <v>0.54542204492033219</v>
      </c>
    </row>
    <row r="3293" spans="1:31" x14ac:dyDescent="0.2">
      <c r="A3293" s="1" t="s">
        <v>577</v>
      </c>
      <c r="B3293" s="1" t="s">
        <v>7367</v>
      </c>
      <c r="C3293" s="1">
        <v>56047</v>
      </c>
      <c r="D3293" s="1">
        <v>1</v>
      </c>
      <c r="F3293" s="1">
        <v>2023</v>
      </c>
      <c r="G3293" s="5">
        <v>8098</v>
      </c>
      <c r="H3293" s="5">
        <v>8064.71</v>
      </c>
      <c r="I3293" s="5">
        <v>2870026.35</v>
      </c>
      <c r="K3293" s="5">
        <v>5.601</v>
      </c>
      <c r="L3293" s="5">
        <v>1E-3</v>
      </c>
      <c r="M3293" s="5">
        <v>1077539.513</v>
      </c>
      <c r="N3293" s="6">
        <v>5.8000000000000003E-2</v>
      </c>
      <c r="O3293" s="5">
        <v>52.671999999999997</v>
      </c>
      <c r="P3293" s="6">
        <v>5.7999999999999996E-3</v>
      </c>
      <c r="Q3293" s="5">
        <v>18657964.377</v>
      </c>
      <c r="R3293" s="1" t="s">
        <v>44</v>
      </c>
      <c r="S3293" s="1" t="s">
        <v>94</v>
      </c>
      <c r="T3293" s="1" t="s">
        <v>71</v>
      </c>
      <c r="V3293" s="1" t="s">
        <v>643</v>
      </c>
      <c r="Y3293" s="1" t="s">
        <v>7368</v>
      </c>
      <c r="Z3293" s="1" t="str">
        <f t="shared" si="153"/>
        <v>56047 1</v>
      </c>
      <c r="AA3293" s="3">
        <f>IF(INDEX('CAMD Facility Data 2023'!$AA$2:$AE$10000,MATCH(Z3293,'CAMD Facility Data 2023'!$AE$2:$AE$10000,0),1)&gt;0,INDEX('CAMD Facility Data 2023'!$AA$2:$AE$10000,MATCH(Z3293,'CAMD Facility Data 2023'!$AE$2:$AE$10000,0),1),"")</f>
        <v>43127</v>
      </c>
      <c r="AB3293" s="5">
        <f>IF(INDEX('CAMD Facility Data 2023'!$AC$2:$AE$10000,MATCH(Z3293,'CAMD Facility Data 2023'!$AE$2:$AE$10000,0),1)&gt;0,INDEX('CAMD Facility Data 2023'!$AC$2:$AE$10000,MATCH(Z3293,'CAMD Facility Data 2023'!$AE$2:$AE$10000,0),1),"")</f>
        <v>2899</v>
      </c>
      <c r="AC3293" s="1" t="str">
        <f>IF(INDEX('CAMD Facility Data 2023'!$AE$2:$AG$10000,MATCH(Z3293,'CAMD Facility Data 2023'!$AE$2:$AE$10000,0),3)&gt;0,INDEX('CAMD Facility Data 2023'!$AE$2:$AG$10000,MATCH(Z3293,'CAMD Facility Data 2023'!$AE$2:$AE$10000,0),3),"")</f>
        <v>Y</v>
      </c>
      <c r="AD3293" s="20">
        <f t="shared" si="154"/>
        <v>3.6704889486467607E-2</v>
      </c>
      <c r="AE3293" s="25">
        <f t="shared" si="155"/>
        <v>0.73470321119233373</v>
      </c>
    </row>
    <row r="3294" spans="1:31" x14ac:dyDescent="0.2">
      <c r="A3294" s="1" t="s">
        <v>577</v>
      </c>
      <c r="B3294" s="1" t="s">
        <v>7367</v>
      </c>
      <c r="C3294" s="1">
        <v>56047</v>
      </c>
      <c r="D3294" s="1">
        <v>2</v>
      </c>
      <c r="F3294" s="1">
        <v>2023</v>
      </c>
      <c r="G3294" s="5">
        <v>7992</v>
      </c>
      <c r="H3294" s="5">
        <v>7930.38</v>
      </c>
      <c r="I3294" s="5">
        <v>2800770.97</v>
      </c>
      <c r="K3294" s="5">
        <v>5.4909999999999997</v>
      </c>
      <c r="L3294" s="5">
        <v>1E-3</v>
      </c>
      <c r="M3294" s="5">
        <v>1056434.4709999999</v>
      </c>
      <c r="N3294" s="6">
        <v>5.8000000000000003E-2</v>
      </c>
      <c r="O3294" s="5">
        <v>48.798000000000002</v>
      </c>
      <c r="P3294" s="6">
        <v>5.7000000000000002E-3</v>
      </c>
      <c r="Q3294" s="5">
        <v>18292637.728999998</v>
      </c>
      <c r="R3294" s="1" t="s">
        <v>44</v>
      </c>
      <c r="S3294" s="1" t="s">
        <v>94</v>
      </c>
      <c r="T3294" s="1" t="s">
        <v>71</v>
      </c>
      <c r="V3294" s="1" t="s">
        <v>643</v>
      </c>
      <c r="Y3294" s="1" t="s">
        <v>7368</v>
      </c>
      <c r="Z3294" s="1" t="str">
        <f t="shared" si="153"/>
        <v>56047 2</v>
      </c>
      <c r="AA3294" s="3">
        <f>IF(INDEX('CAMD Facility Data 2023'!$AA$2:$AE$10000,MATCH(Z3294,'CAMD Facility Data 2023'!$AE$2:$AE$10000,0),1)&gt;0,INDEX('CAMD Facility Data 2023'!$AA$2:$AE$10000,MATCH(Z3294,'CAMD Facility Data 2023'!$AE$2:$AE$10000,0),1),"")</f>
        <v>43157</v>
      </c>
      <c r="AB3294" s="5">
        <f>IF(INDEX('CAMD Facility Data 2023'!$AC$2:$AE$10000,MATCH(Z3294,'CAMD Facility Data 2023'!$AE$2:$AE$10000,0),1)&gt;0,INDEX('CAMD Facility Data 2023'!$AC$2:$AE$10000,MATCH(Z3294,'CAMD Facility Data 2023'!$AE$2:$AE$10000,0),1),"")</f>
        <v>2899</v>
      </c>
      <c r="AC3294" s="1" t="str">
        <f>IF(INDEX('CAMD Facility Data 2023'!$AE$2:$AG$10000,MATCH(Z3294,'CAMD Facility Data 2023'!$AE$2:$AE$10000,0),3)&gt;0,INDEX('CAMD Facility Data 2023'!$AE$2:$AG$10000,MATCH(Z3294,'CAMD Facility Data 2023'!$AE$2:$AE$10000,0),3),"")</f>
        <v>Y</v>
      </c>
      <c r="AD3294" s="20">
        <f t="shared" si="154"/>
        <v>3.4846119531151805E-2</v>
      </c>
      <c r="AE3294" s="25">
        <f t="shared" si="155"/>
        <v>0.72031757640408201</v>
      </c>
    </row>
    <row r="3295" spans="1:31" x14ac:dyDescent="0.2">
      <c r="A3295" s="1" t="s">
        <v>3167</v>
      </c>
      <c r="B3295" s="1" t="s">
        <v>7372</v>
      </c>
      <c r="C3295" s="1">
        <v>56068</v>
      </c>
      <c r="D3295" s="1">
        <v>1</v>
      </c>
      <c r="F3295" s="1">
        <v>2023</v>
      </c>
      <c r="G3295" s="5">
        <v>5845</v>
      </c>
      <c r="H3295" s="5">
        <v>5835.33</v>
      </c>
      <c r="I3295" s="5">
        <v>3234647.37</v>
      </c>
      <c r="K3295" s="5">
        <v>145.08099999999999</v>
      </c>
      <c r="L3295" s="5">
        <v>1.17E-2</v>
      </c>
      <c r="M3295" s="5">
        <v>2971756.1850000001</v>
      </c>
      <c r="N3295" s="6">
        <v>0.10440000000000001</v>
      </c>
      <c r="O3295" s="5">
        <v>896.74400000000003</v>
      </c>
      <c r="P3295" s="6">
        <v>6.4500000000000002E-2</v>
      </c>
      <c r="Q3295" s="5">
        <v>28351023.669</v>
      </c>
      <c r="R3295" s="1" t="s">
        <v>55</v>
      </c>
      <c r="S3295" s="1" t="s">
        <v>44</v>
      </c>
      <c r="T3295" s="1" t="s">
        <v>89</v>
      </c>
      <c r="U3295" s="1" t="s">
        <v>56</v>
      </c>
      <c r="V3295" s="1" t="s">
        <v>223</v>
      </c>
      <c r="W3295" s="1" t="s">
        <v>7374</v>
      </c>
      <c r="Y3295" s="1" t="s">
        <v>1005</v>
      </c>
      <c r="Z3295" s="1" t="str">
        <f t="shared" si="153"/>
        <v>56068 1</v>
      </c>
      <c r="AA3295" s="3">
        <f>IF(INDEX('CAMD Facility Data 2023'!$AA$2:$AE$10000,MATCH(Z3295,'CAMD Facility Data 2023'!$AE$2:$AE$10000,0),1)&gt;0,INDEX('CAMD Facility Data 2023'!$AA$2:$AE$10000,MATCH(Z3295,'CAMD Facility Data 2023'!$AE$2:$AE$10000,0),1),"")</f>
        <v>40093</v>
      </c>
      <c r="AB3295" s="5">
        <f>IF(INDEX('CAMD Facility Data 2023'!$AC$2:$AE$10000,MATCH(Z3295,'CAMD Facility Data 2023'!$AE$2:$AE$10000,0),1)&gt;0,INDEX('CAMD Facility Data 2023'!$AC$2:$AE$10000,MATCH(Z3295,'CAMD Facility Data 2023'!$AE$2:$AE$10000,0),1),"")</f>
        <v>6750</v>
      </c>
      <c r="AC3295" s="1" t="str">
        <f>IF(INDEX('CAMD Facility Data 2023'!$AE$2:$AG$10000,MATCH(Z3295,'CAMD Facility Data 2023'!$AE$2:$AE$10000,0),3)&gt;0,INDEX('CAMD Facility Data 2023'!$AE$2:$AG$10000,MATCH(Z3295,'CAMD Facility Data 2023'!$AE$2:$AE$10000,0),3),"")</f>
        <v>Y</v>
      </c>
      <c r="AD3295" s="20">
        <f t="shared" si="154"/>
        <v>0.55446167536957824</v>
      </c>
      <c r="AE3295" s="25">
        <f t="shared" si="155"/>
        <v>0.47946936697108067</v>
      </c>
    </row>
    <row r="3296" spans="1:31" x14ac:dyDescent="0.2">
      <c r="A3296" s="1" t="s">
        <v>3167</v>
      </c>
      <c r="B3296" s="1" t="s">
        <v>7372</v>
      </c>
      <c r="C3296" s="1">
        <v>56068</v>
      </c>
      <c r="D3296" s="1">
        <v>2</v>
      </c>
      <c r="F3296" s="1">
        <v>2023</v>
      </c>
      <c r="G3296" s="5">
        <v>6952</v>
      </c>
      <c r="H3296" s="5">
        <v>6932.2</v>
      </c>
      <c r="I3296" s="5">
        <v>3845184.4</v>
      </c>
      <c r="K3296" s="5">
        <v>161.66900000000001</v>
      </c>
      <c r="L3296" s="5">
        <v>1.04E-2</v>
      </c>
      <c r="M3296" s="5">
        <v>3471453.861</v>
      </c>
      <c r="N3296" s="6">
        <v>0.1043</v>
      </c>
      <c r="O3296" s="5">
        <v>1057.596</v>
      </c>
      <c r="P3296" s="6">
        <v>6.4899999999999999E-2</v>
      </c>
      <c r="Q3296" s="5">
        <v>33120412.063000001</v>
      </c>
      <c r="R3296" s="1" t="s">
        <v>55</v>
      </c>
      <c r="S3296" s="1" t="s">
        <v>44</v>
      </c>
      <c r="T3296" s="1" t="s">
        <v>89</v>
      </c>
      <c r="U3296" s="1" t="s">
        <v>56</v>
      </c>
      <c r="V3296" s="1" t="s">
        <v>223</v>
      </c>
      <c r="W3296" s="1" t="s">
        <v>7374</v>
      </c>
      <c r="Y3296" s="1" t="s">
        <v>1005</v>
      </c>
      <c r="Z3296" s="1" t="str">
        <f t="shared" si="153"/>
        <v>56068 2</v>
      </c>
      <c r="AA3296" s="3">
        <f>IF(INDEX('CAMD Facility Data 2023'!$AA$2:$AE$10000,MATCH(Z3296,'CAMD Facility Data 2023'!$AE$2:$AE$10000,0),1)&gt;0,INDEX('CAMD Facility Data 2023'!$AA$2:$AE$10000,MATCH(Z3296,'CAMD Facility Data 2023'!$AE$2:$AE$10000,0),1),"")</f>
        <v>40375</v>
      </c>
      <c r="AB3296" s="5">
        <f>IF(INDEX('CAMD Facility Data 2023'!$AC$2:$AE$10000,MATCH(Z3296,'CAMD Facility Data 2023'!$AE$2:$AE$10000,0),1)&gt;0,INDEX('CAMD Facility Data 2023'!$AC$2:$AE$10000,MATCH(Z3296,'CAMD Facility Data 2023'!$AE$2:$AE$10000,0),1),"")</f>
        <v>6750</v>
      </c>
      <c r="AC3296" s="1" t="str">
        <f>IF(INDEX('CAMD Facility Data 2023'!$AE$2:$AG$10000,MATCH(Z3296,'CAMD Facility Data 2023'!$AE$2:$AE$10000,0),3)&gt;0,INDEX('CAMD Facility Data 2023'!$AE$2:$AG$10000,MATCH(Z3296,'CAMD Facility Data 2023'!$AE$2:$AE$10000,0),3),"")</f>
        <v>Y</v>
      </c>
      <c r="AD3296" s="20">
        <f t="shared" si="154"/>
        <v>0.55008857312538773</v>
      </c>
      <c r="AE3296" s="25">
        <f t="shared" si="155"/>
        <v>0.56012873436495858</v>
      </c>
    </row>
    <row r="3297" spans="1:31" x14ac:dyDescent="0.2">
      <c r="A3297" s="1" t="s">
        <v>370</v>
      </c>
      <c r="B3297" s="1" t="s">
        <v>7377</v>
      </c>
      <c r="C3297" s="1">
        <v>56078</v>
      </c>
      <c r="D3297" s="1">
        <v>1</v>
      </c>
      <c r="F3297" s="1">
        <v>2023</v>
      </c>
      <c r="G3297" s="5">
        <v>7592</v>
      </c>
      <c r="H3297" s="5">
        <v>7580.56</v>
      </c>
      <c r="I3297" s="5">
        <v>804308.57</v>
      </c>
      <c r="K3297" s="5">
        <v>1.9510000000000001</v>
      </c>
      <c r="L3297" s="5">
        <v>1E-3</v>
      </c>
      <c r="M3297" s="5">
        <v>386385.48499999999</v>
      </c>
      <c r="N3297" s="6">
        <v>5.8999999999999997E-2</v>
      </c>
      <c r="O3297" s="5">
        <v>22.8</v>
      </c>
      <c r="P3297" s="6">
        <v>7.3000000000000001E-3</v>
      </c>
      <c r="Q3297" s="5">
        <v>6502091.324</v>
      </c>
      <c r="R3297" s="1" t="s">
        <v>44</v>
      </c>
      <c r="T3297" s="1" t="s">
        <v>71</v>
      </c>
      <c r="V3297" s="1" t="s">
        <v>442</v>
      </c>
      <c r="Y3297" s="1" t="s">
        <v>247</v>
      </c>
      <c r="Z3297" s="1" t="str">
        <f t="shared" si="153"/>
        <v>56078 1</v>
      </c>
      <c r="AA3297" s="3">
        <f>IF(INDEX('CAMD Facility Data 2023'!$AA$2:$AE$10000,MATCH(Z3297,'CAMD Facility Data 2023'!$AE$2:$AE$10000,0),1)&gt;0,INDEX('CAMD Facility Data 2023'!$AA$2:$AE$10000,MATCH(Z3297,'CAMD Facility Data 2023'!$AE$2:$AE$10000,0),1),"")</f>
        <v>38677</v>
      </c>
      <c r="AB3297" s="5">
        <f>IF(INDEX('CAMD Facility Data 2023'!$AC$2:$AE$10000,MATCH(Z3297,'CAMD Facility Data 2023'!$AE$2:$AE$10000,0),1)&gt;0,INDEX('CAMD Facility Data 2023'!$AC$2:$AE$10000,MATCH(Z3297,'CAMD Facility Data 2023'!$AE$2:$AE$10000,0),1),"")</f>
        <v>1047</v>
      </c>
      <c r="AC3297" s="1" t="str">
        <f>IF(INDEX('CAMD Facility Data 2023'!$AE$2:$AG$10000,MATCH(Z3297,'CAMD Facility Data 2023'!$AE$2:$AE$10000,0),3)&gt;0,INDEX('CAMD Facility Data 2023'!$AE$2:$AG$10000,MATCH(Z3297,'CAMD Facility Data 2023'!$AE$2:$AE$10000,0),3),"")</f>
        <v>Y</v>
      </c>
      <c r="AD3297" s="20">
        <f t="shared" si="154"/>
        <v>5.6694658867056463E-2</v>
      </c>
      <c r="AE3297" s="25">
        <f t="shared" si="155"/>
        <v>0.70892824072256899</v>
      </c>
    </row>
    <row r="3298" spans="1:31" x14ac:dyDescent="0.2">
      <c r="A3298" s="1" t="s">
        <v>370</v>
      </c>
      <c r="B3298" s="1" t="s">
        <v>7377</v>
      </c>
      <c r="C3298" s="1">
        <v>56078</v>
      </c>
      <c r="D3298" s="1">
        <v>2</v>
      </c>
      <c r="F3298" s="1">
        <v>2023</v>
      </c>
      <c r="G3298" s="5">
        <v>7699</v>
      </c>
      <c r="H3298" s="5">
        <v>7693.89</v>
      </c>
      <c r="I3298" s="5">
        <v>817105.67</v>
      </c>
      <c r="K3298" s="5">
        <v>1.982</v>
      </c>
      <c r="L3298" s="5">
        <v>1E-3</v>
      </c>
      <c r="M3298" s="5">
        <v>392520.87599999999</v>
      </c>
      <c r="N3298" s="6">
        <v>5.8999999999999997E-2</v>
      </c>
      <c r="O3298" s="5">
        <v>22.053000000000001</v>
      </c>
      <c r="P3298" s="6">
        <v>6.7999999999999996E-3</v>
      </c>
      <c r="Q3298" s="5">
        <v>6605101.0559999999</v>
      </c>
      <c r="R3298" s="1" t="s">
        <v>44</v>
      </c>
      <c r="T3298" s="1" t="s">
        <v>71</v>
      </c>
      <c r="V3298" s="1" t="s">
        <v>442</v>
      </c>
      <c r="Y3298" s="1" t="s">
        <v>247</v>
      </c>
      <c r="Z3298" s="1" t="str">
        <f t="shared" si="153"/>
        <v>56078 2</v>
      </c>
      <c r="AA3298" s="3">
        <f>IF(INDEX('CAMD Facility Data 2023'!$AA$2:$AE$10000,MATCH(Z3298,'CAMD Facility Data 2023'!$AE$2:$AE$10000,0),1)&gt;0,INDEX('CAMD Facility Data 2023'!$AA$2:$AE$10000,MATCH(Z3298,'CAMD Facility Data 2023'!$AE$2:$AE$10000,0),1),"")</f>
        <v>38650</v>
      </c>
      <c r="AB3298" s="5">
        <f>IF(INDEX('CAMD Facility Data 2023'!$AC$2:$AE$10000,MATCH(Z3298,'CAMD Facility Data 2023'!$AE$2:$AE$10000,0),1)&gt;0,INDEX('CAMD Facility Data 2023'!$AC$2:$AE$10000,MATCH(Z3298,'CAMD Facility Data 2023'!$AE$2:$AE$10000,0),1),"")</f>
        <v>1047</v>
      </c>
      <c r="AC3298" s="1" t="str">
        <f>IF(INDEX('CAMD Facility Data 2023'!$AE$2:$AG$10000,MATCH(Z3298,'CAMD Facility Data 2023'!$AE$2:$AE$10000,0),3)&gt;0,INDEX('CAMD Facility Data 2023'!$AE$2:$AG$10000,MATCH(Z3298,'CAMD Facility Data 2023'!$AE$2:$AE$10000,0),3),"")</f>
        <v>Y</v>
      </c>
      <c r="AD3298" s="20">
        <f t="shared" si="154"/>
        <v>5.3978330611755512E-2</v>
      </c>
      <c r="AE3298" s="25">
        <f t="shared" si="155"/>
        <v>0.72015947455875229</v>
      </c>
    </row>
    <row r="3299" spans="1:31" x14ac:dyDescent="0.2">
      <c r="A3299" s="1" t="s">
        <v>3076</v>
      </c>
      <c r="B3299" s="1" t="s">
        <v>7381</v>
      </c>
      <c r="C3299" s="1">
        <v>56102</v>
      </c>
      <c r="D3299" s="1" t="s">
        <v>7382</v>
      </c>
      <c r="F3299" s="1">
        <v>2023</v>
      </c>
      <c r="G3299" s="5">
        <v>7887</v>
      </c>
      <c r="H3299" s="5">
        <v>7794.47</v>
      </c>
      <c r="I3299" s="5">
        <v>1452718.28</v>
      </c>
      <c r="K3299" s="5">
        <v>3.1389999999999998</v>
      </c>
      <c r="L3299" s="5">
        <v>1E-3</v>
      </c>
      <c r="M3299" s="5">
        <v>621782.41799999995</v>
      </c>
      <c r="N3299" s="6">
        <v>5.8999999999999997E-2</v>
      </c>
      <c r="O3299" s="5">
        <v>44.307000000000002</v>
      </c>
      <c r="P3299" s="6">
        <v>1.1299999999999999E-2</v>
      </c>
      <c r="Q3299" s="5">
        <v>10462734.895</v>
      </c>
      <c r="R3299" s="1" t="s">
        <v>44</v>
      </c>
      <c r="T3299" s="1" t="s">
        <v>71</v>
      </c>
      <c r="V3299" s="1" t="s">
        <v>223</v>
      </c>
      <c r="Y3299" s="1" t="s">
        <v>247</v>
      </c>
      <c r="Z3299" s="1" t="str">
        <f t="shared" si="153"/>
        <v>56102 CTG1A</v>
      </c>
      <c r="AA3299" s="3">
        <f>IF(INDEX('CAMD Facility Data 2023'!$AA$2:$AE$10000,MATCH(Z3299,'CAMD Facility Data 2023'!$AE$2:$AE$10000,0),1)&gt;0,INDEX('CAMD Facility Data 2023'!$AA$2:$AE$10000,MATCH(Z3299,'CAMD Facility Data 2023'!$AE$2:$AE$10000,0),1),"")</f>
        <v>38412</v>
      </c>
      <c r="AB3299" s="5">
        <f>IF(INDEX('CAMD Facility Data 2023'!$AC$2:$AE$10000,MATCH(Z3299,'CAMD Facility Data 2023'!$AE$2:$AE$10000,0),1)&gt;0,INDEX('CAMD Facility Data 2023'!$AC$2:$AE$10000,MATCH(Z3299,'CAMD Facility Data 2023'!$AE$2:$AE$10000,0),1),"")</f>
        <v>2165</v>
      </c>
      <c r="AC3299" s="1" t="str">
        <f>IF(INDEX('CAMD Facility Data 2023'!$AE$2:$AG$10000,MATCH(Z3299,'CAMD Facility Data 2023'!$AE$2:$AE$10000,0),3)&gt;0,INDEX('CAMD Facility Data 2023'!$AE$2:$AG$10000,MATCH(Z3299,'CAMD Facility Data 2023'!$AE$2:$AE$10000,0),3),"")</f>
        <v>Y</v>
      </c>
      <c r="AD3299" s="20">
        <f t="shared" si="154"/>
        <v>6.0998750562979077E-2</v>
      </c>
      <c r="AE3299" s="25">
        <f t="shared" si="155"/>
        <v>0.55167488663566278</v>
      </c>
    </row>
    <row r="3300" spans="1:31" x14ac:dyDescent="0.2">
      <c r="A3300" s="1" t="s">
        <v>3076</v>
      </c>
      <c r="B3300" s="1" t="s">
        <v>7381</v>
      </c>
      <c r="C3300" s="1">
        <v>56102</v>
      </c>
      <c r="D3300" s="1" t="s">
        <v>7386</v>
      </c>
      <c r="F3300" s="1">
        <v>2023</v>
      </c>
      <c r="G3300" s="5">
        <v>8056</v>
      </c>
      <c r="H3300" s="5">
        <v>7980.12</v>
      </c>
      <c r="I3300" s="5">
        <v>1489486.57</v>
      </c>
      <c r="K3300" s="5">
        <v>3.2080000000000002</v>
      </c>
      <c r="L3300" s="5">
        <v>1E-3</v>
      </c>
      <c r="M3300" s="5">
        <v>635370.64099999995</v>
      </c>
      <c r="N3300" s="6">
        <v>5.8999999999999997E-2</v>
      </c>
      <c r="O3300" s="5">
        <v>43.624000000000002</v>
      </c>
      <c r="P3300" s="6">
        <v>1.06E-2</v>
      </c>
      <c r="Q3300" s="5">
        <v>10691309.562999999</v>
      </c>
      <c r="R3300" s="1" t="s">
        <v>44</v>
      </c>
      <c r="T3300" s="1" t="s">
        <v>71</v>
      </c>
      <c r="V3300" s="1" t="s">
        <v>223</v>
      </c>
      <c r="Y3300" s="1" t="s">
        <v>247</v>
      </c>
      <c r="Z3300" s="1" t="str">
        <f t="shared" si="153"/>
        <v>56102 CTG1B</v>
      </c>
      <c r="AA3300" s="3">
        <f>IF(INDEX('CAMD Facility Data 2023'!$AA$2:$AE$10000,MATCH(Z3300,'CAMD Facility Data 2023'!$AE$2:$AE$10000,0),1)&gt;0,INDEX('CAMD Facility Data 2023'!$AA$2:$AE$10000,MATCH(Z3300,'CAMD Facility Data 2023'!$AE$2:$AE$10000,0),1),"")</f>
        <v>38422</v>
      </c>
      <c r="AB3300" s="5">
        <f>IF(INDEX('CAMD Facility Data 2023'!$AC$2:$AE$10000,MATCH(Z3300,'CAMD Facility Data 2023'!$AE$2:$AE$10000,0),1)&gt;0,INDEX('CAMD Facility Data 2023'!$AC$2:$AE$10000,MATCH(Z3300,'CAMD Facility Data 2023'!$AE$2:$AE$10000,0),1),"")</f>
        <v>2156</v>
      </c>
      <c r="AC3300" s="1" t="str">
        <f>IF(INDEX('CAMD Facility Data 2023'!$AE$2:$AG$10000,MATCH(Z3300,'CAMD Facility Data 2023'!$AE$2:$AE$10000,0),3)&gt;0,INDEX('CAMD Facility Data 2023'!$AE$2:$AG$10000,MATCH(Z3300,'CAMD Facility Data 2023'!$AE$2:$AE$10000,0),3),"")</f>
        <v>Y</v>
      </c>
      <c r="AD3300" s="20">
        <f t="shared" si="154"/>
        <v>5.8575889005833735E-2</v>
      </c>
      <c r="AE3300" s="25">
        <f t="shared" si="155"/>
        <v>0.56608030064765624</v>
      </c>
    </row>
    <row r="3301" spans="1:31" x14ac:dyDescent="0.2">
      <c r="A3301" s="1" t="s">
        <v>1663</v>
      </c>
      <c r="B3301" s="1" t="s">
        <v>7388</v>
      </c>
      <c r="C3301" s="1">
        <v>56104</v>
      </c>
      <c r="D3301" s="1" t="s">
        <v>1296</v>
      </c>
      <c r="F3301" s="1">
        <v>2023</v>
      </c>
      <c r="G3301" s="5">
        <v>5371</v>
      </c>
      <c r="H3301" s="5">
        <v>5278.73</v>
      </c>
      <c r="I3301" s="5">
        <v>1467657.09</v>
      </c>
      <c r="K3301" s="5">
        <v>3.282</v>
      </c>
      <c r="L3301" s="5">
        <v>1E-3</v>
      </c>
      <c r="M3301" s="5">
        <v>650032.93400000001</v>
      </c>
      <c r="N3301" s="6">
        <v>5.8999999999999997E-2</v>
      </c>
      <c r="O3301" s="5">
        <v>45.44</v>
      </c>
      <c r="P3301" s="6">
        <v>1.0800000000000001E-2</v>
      </c>
      <c r="Q3301" s="5">
        <v>10938083.618000001</v>
      </c>
      <c r="R3301" s="1" t="s">
        <v>44</v>
      </c>
      <c r="T3301" s="1" t="s">
        <v>71</v>
      </c>
      <c r="V3301" s="1" t="s">
        <v>442</v>
      </c>
      <c r="Y3301" s="1" t="s">
        <v>7389</v>
      </c>
      <c r="Z3301" s="1" t="str">
        <f t="shared" si="153"/>
        <v>56104 CT-1</v>
      </c>
      <c r="AA3301" s="3">
        <f>IF(INDEX('CAMD Facility Data 2023'!$AA$2:$AE$10000,MATCH(Z3301,'CAMD Facility Data 2023'!$AE$2:$AE$10000,0),1)&gt;0,INDEX('CAMD Facility Data 2023'!$AA$2:$AE$10000,MATCH(Z3301,'CAMD Facility Data 2023'!$AE$2:$AE$10000,0),1),"")</f>
        <v>43506</v>
      </c>
      <c r="AB3301" s="5">
        <f>IF(INDEX('CAMD Facility Data 2023'!$AC$2:$AE$10000,MATCH(Z3301,'CAMD Facility Data 2023'!$AE$2:$AE$10000,0),1)&gt;0,INDEX('CAMD Facility Data 2023'!$AC$2:$AE$10000,MATCH(Z3301,'CAMD Facility Data 2023'!$AE$2:$AE$10000,0),1),"")</f>
        <v>3000</v>
      </c>
      <c r="AC3301" s="1" t="str">
        <f>IF(INDEX('CAMD Facility Data 2023'!$AE$2:$AG$10000,MATCH(Z3301,'CAMD Facility Data 2023'!$AE$2:$AE$10000,0),3)&gt;0,INDEX('CAMD Facility Data 2023'!$AE$2:$AG$10000,MATCH(Z3301,'CAMD Facility Data 2023'!$AE$2:$AE$10000,0),3),"")</f>
        <v>Y</v>
      </c>
      <c r="AD3301" s="20">
        <f t="shared" si="154"/>
        <v>6.1921821261395601E-2</v>
      </c>
      <c r="AE3301" s="25">
        <f t="shared" si="155"/>
        <v>0.41621322747336381</v>
      </c>
    </row>
    <row r="3302" spans="1:31" x14ac:dyDescent="0.2">
      <c r="A3302" s="1" t="s">
        <v>1663</v>
      </c>
      <c r="B3302" s="1" t="s">
        <v>7388</v>
      </c>
      <c r="C3302" s="1">
        <v>56104</v>
      </c>
      <c r="D3302" s="1" t="s">
        <v>1300</v>
      </c>
      <c r="F3302" s="1">
        <v>2023</v>
      </c>
      <c r="G3302" s="5">
        <v>4689</v>
      </c>
      <c r="H3302" s="5">
        <v>4619.3100000000004</v>
      </c>
      <c r="I3302" s="5">
        <v>1240804.05</v>
      </c>
      <c r="K3302" s="5">
        <v>2.68</v>
      </c>
      <c r="L3302" s="5">
        <v>1E-3</v>
      </c>
      <c r="M3302" s="5">
        <v>530374.41500000004</v>
      </c>
      <c r="N3302" s="6">
        <v>5.8999999999999997E-2</v>
      </c>
      <c r="O3302" s="5">
        <v>38.737000000000002</v>
      </c>
      <c r="P3302" s="6">
        <v>1.01E-2</v>
      </c>
      <c r="Q3302" s="5">
        <v>8924053.8320000004</v>
      </c>
      <c r="R3302" s="1" t="s">
        <v>44</v>
      </c>
      <c r="S3302" s="1" t="s">
        <v>94</v>
      </c>
      <c r="T3302" s="1" t="s">
        <v>71</v>
      </c>
      <c r="V3302" s="1" t="s">
        <v>787</v>
      </c>
      <c r="Y3302" s="1" t="s">
        <v>1666</v>
      </c>
      <c r="Z3302" s="1" t="str">
        <f t="shared" si="153"/>
        <v>56104 CT-2</v>
      </c>
      <c r="AA3302" s="3">
        <f>IF(INDEX('CAMD Facility Data 2023'!$AA$2:$AE$10000,MATCH(Z3302,'CAMD Facility Data 2023'!$AE$2:$AE$10000,0),1)&gt;0,INDEX('CAMD Facility Data 2023'!$AA$2:$AE$10000,MATCH(Z3302,'CAMD Facility Data 2023'!$AE$2:$AE$10000,0),1),"")</f>
        <v>38865</v>
      </c>
      <c r="AB3302" s="5">
        <f>IF(INDEX('CAMD Facility Data 2023'!$AC$2:$AE$10000,MATCH(Z3302,'CAMD Facility Data 2023'!$AE$2:$AE$10000,0),1)&gt;0,INDEX('CAMD Facility Data 2023'!$AC$2:$AE$10000,MATCH(Z3302,'CAMD Facility Data 2023'!$AE$2:$AE$10000,0),1),"")</f>
        <v>2844</v>
      </c>
      <c r="AC3302" s="1" t="str">
        <f>IF(INDEX('CAMD Facility Data 2023'!$AE$2:$AG$10000,MATCH(Z3302,'CAMD Facility Data 2023'!$AE$2:$AE$10000,0),3)&gt;0,INDEX('CAMD Facility Data 2023'!$AE$2:$AG$10000,MATCH(Z3302,'CAMD Facility Data 2023'!$AE$2:$AE$10000,0),3),"")</f>
        <v>Y</v>
      </c>
      <c r="AD3302" s="20">
        <f t="shared" si="154"/>
        <v>6.2438545393206923E-2</v>
      </c>
      <c r="AE3302" s="25">
        <f t="shared" si="155"/>
        <v>0.35820239324637626</v>
      </c>
    </row>
    <row r="3303" spans="1:31" x14ac:dyDescent="0.2">
      <c r="A3303" s="1" t="s">
        <v>1426</v>
      </c>
      <c r="B3303" s="1" t="s">
        <v>7395</v>
      </c>
      <c r="C3303" s="1">
        <v>56108</v>
      </c>
      <c r="D3303" s="1" t="s">
        <v>7322</v>
      </c>
      <c r="F3303" s="1">
        <v>2023</v>
      </c>
      <c r="G3303" s="5">
        <v>861</v>
      </c>
      <c r="H3303" s="5">
        <v>678.11</v>
      </c>
      <c r="I3303" s="5">
        <v>26898.22</v>
      </c>
      <c r="K3303" s="5">
        <v>7.9000000000000001E-2</v>
      </c>
      <c r="L3303" s="5">
        <v>1E-3</v>
      </c>
      <c r="M3303" s="5">
        <v>15709.72</v>
      </c>
      <c r="N3303" s="6">
        <v>5.9200000000000003E-2</v>
      </c>
      <c r="O3303" s="5">
        <v>11.186999999999999</v>
      </c>
      <c r="P3303" s="6">
        <v>9.2799999999999994E-2</v>
      </c>
      <c r="Q3303" s="5">
        <v>264364.97200000001</v>
      </c>
      <c r="R3303" s="1" t="s">
        <v>44</v>
      </c>
      <c r="T3303" s="1" t="s">
        <v>93</v>
      </c>
      <c r="V3303" s="1" t="s">
        <v>95</v>
      </c>
      <c r="Y3303" s="1" t="s">
        <v>1428</v>
      </c>
      <c r="Z3303" s="1" t="str">
        <f t="shared" si="153"/>
        <v>56108 U-1</v>
      </c>
      <c r="AA3303" s="3">
        <f>IF(INDEX('CAMD Facility Data 2023'!$AA$2:$AE$10000,MATCH(Z3303,'CAMD Facility Data 2023'!$AE$2:$AE$10000,0),1)&gt;0,INDEX('CAMD Facility Data 2023'!$AA$2:$AE$10000,MATCH(Z3303,'CAMD Facility Data 2023'!$AE$2:$AE$10000,0),1),"")</f>
        <v>38527</v>
      </c>
      <c r="AB3303" s="5">
        <f>IF(INDEX('CAMD Facility Data 2023'!$AC$2:$AE$10000,MATCH(Z3303,'CAMD Facility Data 2023'!$AE$2:$AE$10000,0),1)&gt;0,INDEX('CAMD Facility Data 2023'!$AC$2:$AE$10000,MATCH(Z3303,'CAMD Facility Data 2023'!$AE$2:$AE$10000,0),1),"")</f>
        <v>510</v>
      </c>
      <c r="AC3303" s="1" t="str">
        <f>IF(INDEX('CAMD Facility Data 2023'!$AE$2:$AG$10000,MATCH(Z3303,'CAMD Facility Data 2023'!$AE$2:$AE$10000,0),3)&gt;0,INDEX('CAMD Facility Data 2023'!$AE$2:$AG$10000,MATCH(Z3303,'CAMD Facility Data 2023'!$AE$2:$AE$10000,0),3),"")</f>
        <v/>
      </c>
      <c r="AD3303" s="20">
        <f t="shared" si="154"/>
        <v>0.83180225308589184</v>
      </c>
      <c r="AE3303" s="25">
        <f t="shared" si="155"/>
        <v>5.9173823081744112E-2</v>
      </c>
    </row>
    <row r="3304" spans="1:31" x14ac:dyDescent="0.2">
      <c r="A3304" s="1" t="s">
        <v>1426</v>
      </c>
      <c r="B3304" s="1" t="s">
        <v>7395</v>
      </c>
      <c r="C3304" s="1">
        <v>56108</v>
      </c>
      <c r="D3304" s="1" t="s">
        <v>7327</v>
      </c>
      <c r="F3304" s="1">
        <v>2023</v>
      </c>
      <c r="G3304" s="5">
        <v>804</v>
      </c>
      <c r="H3304" s="5">
        <v>625.33000000000004</v>
      </c>
      <c r="I3304" s="5">
        <v>25898.02</v>
      </c>
      <c r="K3304" s="5">
        <v>7.5999999999999998E-2</v>
      </c>
      <c r="L3304" s="5">
        <v>1E-3</v>
      </c>
      <c r="M3304" s="5">
        <v>15069.999</v>
      </c>
      <c r="N3304" s="6">
        <v>5.9200000000000003E-2</v>
      </c>
      <c r="O3304" s="5">
        <v>10.875</v>
      </c>
      <c r="P3304" s="6">
        <v>9.5799999999999996E-2</v>
      </c>
      <c r="Q3304" s="5">
        <v>253592.48699999999</v>
      </c>
      <c r="R3304" s="1" t="s">
        <v>44</v>
      </c>
      <c r="T3304" s="1" t="s">
        <v>93</v>
      </c>
      <c r="V3304" s="1" t="s">
        <v>95</v>
      </c>
      <c r="Y3304" s="1" t="s">
        <v>1428</v>
      </c>
      <c r="Z3304" s="1" t="str">
        <f t="shared" si="153"/>
        <v>56108 U-2</v>
      </c>
      <c r="AA3304" s="3">
        <f>IF(INDEX('CAMD Facility Data 2023'!$AA$2:$AE$10000,MATCH(Z3304,'CAMD Facility Data 2023'!$AE$2:$AE$10000,0),1)&gt;0,INDEX('CAMD Facility Data 2023'!$AA$2:$AE$10000,MATCH(Z3304,'CAMD Facility Data 2023'!$AE$2:$AE$10000,0),1),"")</f>
        <v>38534</v>
      </c>
      <c r="AB3304" s="5">
        <f>IF(INDEX('CAMD Facility Data 2023'!$AC$2:$AE$10000,MATCH(Z3304,'CAMD Facility Data 2023'!$AE$2:$AE$10000,0),1)&gt;0,INDEX('CAMD Facility Data 2023'!$AC$2:$AE$10000,MATCH(Z3304,'CAMD Facility Data 2023'!$AE$2:$AE$10000,0),1),"")</f>
        <v>510</v>
      </c>
      <c r="AC3304" s="1" t="str">
        <f>IF(INDEX('CAMD Facility Data 2023'!$AE$2:$AG$10000,MATCH(Z3304,'CAMD Facility Data 2023'!$AE$2:$AE$10000,0),3)&gt;0,INDEX('CAMD Facility Data 2023'!$AE$2:$AG$10000,MATCH(Z3304,'CAMD Facility Data 2023'!$AE$2:$AE$10000,0),3),"")</f>
        <v/>
      </c>
      <c r="AD3304" s="20">
        <f t="shared" si="154"/>
        <v>0.83983254318283795</v>
      </c>
      <c r="AE3304" s="25">
        <f t="shared" si="155"/>
        <v>5.6762576551168412E-2</v>
      </c>
    </row>
    <row r="3305" spans="1:31" x14ac:dyDescent="0.2">
      <c r="A3305" s="1" t="s">
        <v>370</v>
      </c>
      <c r="B3305" s="1" t="s">
        <v>7401</v>
      </c>
      <c r="C3305" s="1">
        <v>56135</v>
      </c>
      <c r="D3305" s="1">
        <v>1</v>
      </c>
      <c r="F3305" s="1">
        <v>2023</v>
      </c>
      <c r="G3305" s="5">
        <v>398</v>
      </c>
      <c r="H3305" s="5">
        <v>316.51</v>
      </c>
      <c r="I3305" s="5">
        <v>7830.71</v>
      </c>
      <c r="K3305" s="5">
        <v>2.9000000000000001E-2</v>
      </c>
      <c r="L3305" s="5">
        <v>1E-3</v>
      </c>
      <c r="M3305" s="5">
        <v>5776.6379999999999</v>
      </c>
      <c r="N3305" s="6">
        <v>5.9299999999999999E-2</v>
      </c>
      <c r="O3305" s="5">
        <v>0.60499999999999998</v>
      </c>
      <c r="P3305" s="6">
        <v>4.4200000000000003E-2</v>
      </c>
      <c r="Q3305" s="5">
        <v>97217.054000000004</v>
      </c>
      <c r="R3305" s="1" t="s">
        <v>44</v>
      </c>
      <c r="T3305" s="1" t="s">
        <v>93</v>
      </c>
      <c r="V3305" s="1" t="s">
        <v>176</v>
      </c>
      <c r="Y3305" s="1" t="s">
        <v>247</v>
      </c>
      <c r="Z3305" s="1" t="str">
        <f t="shared" si="153"/>
        <v>56135 1</v>
      </c>
      <c r="AA3305" s="3">
        <f>IF(INDEX('CAMD Facility Data 2023'!$AA$2:$AE$10000,MATCH(Z3305,'CAMD Facility Data 2023'!$AE$2:$AE$10000,0),1)&gt;0,INDEX('CAMD Facility Data 2023'!$AA$2:$AE$10000,MATCH(Z3305,'CAMD Facility Data 2023'!$AE$2:$AE$10000,0),1),"")</f>
        <v>38889</v>
      </c>
      <c r="AB3305" s="5">
        <f>IF(INDEX('CAMD Facility Data 2023'!$AC$2:$AE$10000,MATCH(Z3305,'CAMD Facility Data 2023'!$AE$2:$AE$10000,0),1)&gt;0,INDEX('CAMD Facility Data 2023'!$AC$2:$AE$10000,MATCH(Z3305,'CAMD Facility Data 2023'!$AE$2:$AE$10000,0),1),"")</f>
        <v>525</v>
      </c>
      <c r="AC3305" s="1" t="str">
        <f>IF(INDEX('CAMD Facility Data 2023'!$AE$2:$AG$10000,MATCH(Z3305,'CAMD Facility Data 2023'!$AE$2:$AE$10000,0),3)&gt;0,INDEX('CAMD Facility Data 2023'!$AE$2:$AG$10000,MATCH(Z3305,'CAMD Facility Data 2023'!$AE$2:$AE$10000,0),3),"")</f>
        <v>Y</v>
      </c>
      <c r="AD3305" s="20">
        <f t="shared" si="154"/>
        <v>0.15451983281209494</v>
      </c>
      <c r="AE3305" s="25">
        <f t="shared" si="155"/>
        <v>2.1138737551641661E-2</v>
      </c>
    </row>
    <row r="3306" spans="1:31" x14ac:dyDescent="0.2">
      <c r="A3306" s="1" t="s">
        <v>370</v>
      </c>
      <c r="B3306" s="1" t="s">
        <v>7401</v>
      </c>
      <c r="C3306" s="1">
        <v>56135</v>
      </c>
      <c r="D3306" s="1">
        <v>2</v>
      </c>
      <c r="F3306" s="1">
        <v>2023</v>
      </c>
      <c r="G3306" s="5">
        <v>168</v>
      </c>
      <c r="H3306" s="5">
        <v>123.13</v>
      </c>
      <c r="I3306" s="5">
        <v>3778.97</v>
      </c>
      <c r="K3306" s="5">
        <v>1.0999999999999999E-2</v>
      </c>
      <c r="L3306" s="5">
        <v>1E-3</v>
      </c>
      <c r="M3306" s="5">
        <v>2203.183</v>
      </c>
      <c r="N3306" s="6">
        <v>5.9400000000000001E-2</v>
      </c>
      <c r="O3306" s="5">
        <v>0.25800000000000001</v>
      </c>
      <c r="P3306" s="6">
        <v>4.5699999999999998E-2</v>
      </c>
      <c r="Q3306" s="5">
        <v>37072.161</v>
      </c>
      <c r="R3306" s="1" t="s">
        <v>44</v>
      </c>
      <c r="T3306" s="1" t="s">
        <v>93</v>
      </c>
      <c r="V3306" s="1" t="s">
        <v>176</v>
      </c>
      <c r="Y3306" s="1" t="s">
        <v>247</v>
      </c>
      <c r="Z3306" s="1" t="str">
        <f t="shared" si="153"/>
        <v>56135 2</v>
      </c>
      <c r="AA3306" s="3">
        <f>IF(INDEX('CAMD Facility Data 2023'!$AA$2:$AE$10000,MATCH(Z3306,'CAMD Facility Data 2023'!$AE$2:$AE$10000,0),1)&gt;0,INDEX('CAMD Facility Data 2023'!$AA$2:$AE$10000,MATCH(Z3306,'CAMD Facility Data 2023'!$AE$2:$AE$10000,0),1),"")</f>
        <v>38889</v>
      </c>
      <c r="AB3306" s="5">
        <f>IF(INDEX('CAMD Facility Data 2023'!$AC$2:$AE$10000,MATCH(Z3306,'CAMD Facility Data 2023'!$AE$2:$AE$10000,0),1)&gt;0,INDEX('CAMD Facility Data 2023'!$AC$2:$AE$10000,MATCH(Z3306,'CAMD Facility Data 2023'!$AE$2:$AE$10000,0),1),"")</f>
        <v>525</v>
      </c>
      <c r="AC3306" s="1" t="str">
        <f>IF(INDEX('CAMD Facility Data 2023'!$AE$2:$AG$10000,MATCH(Z3306,'CAMD Facility Data 2023'!$AE$2:$AE$10000,0),3)&gt;0,INDEX('CAMD Facility Data 2023'!$AE$2:$AG$10000,MATCH(Z3306,'CAMD Facility Data 2023'!$AE$2:$AE$10000,0),3),"")</f>
        <v>Y</v>
      </c>
      <c r="AD3306" s="20">
        <f t="shared" si="154"/>
        <v>0.13654514325332034</v>
      </c>
      <c r="AE3306" s="25">
        <f t="shared" si="155"/>
        <v>8.0609178082191781E-3</v>
      </c>
    </row>
    <row r="3307" spans="1:31" x14ac:dyDescent="0.2">
      <c r="A3307" s="1" t="s">
        <v>370</v>
      </c>
      <c r="B3307" s="1" t="s">
        <v>7404</v>
      </c>
      <c r="C3307" s="1">
        <v>56143</v>
      </c>
      <c r="D3307" s="1">
        <v>1</v>
      </c>
      <c r="F3307" s="1">
        <v>2023</v>
      </c>
      <c r="G3307" s="5">
        <v>478</v>
      </c>
      <c r="H3307" s="5">
        <v>354.62</v>
      </c>
      <c r="I3307" s="5">
        <v>13652.24</v>
      </c>
      <c r="K3307" s="5">
        <v>4.1000000000000002E-2</v>
      </c>
      <c r="L3307" s="5">
        <v>1E-3</v>
      </c>
      <c r="M3307" s="5">
        <v>8080.2830000000004</v>
      </c>
      <c r="N3307" s="6">
        <v>5.9200000000000003E-2</v>
      </c>
      <c r="O3307" s="5">
        <v>0.68100000000000005</v>
      </c>
      <c r="P3307" s="6">
        <v>2.3800000000000002E-2</v>
      </c>
      <c r="Q3307" s="5">
        <v>135974.21</v>
      </c>
      <c r="R3307" s="1" t="s">
        <v>44</v>
      </c>
      <c r="T3307" s="1" t="s">
        <v>93</v>
      </c>
      <c r="V3307" s="1" t="s">
        <v>176</v>
      </c>
      <c r="Y3307" s="1" t="s">
        <v>247</v>
      </c>
      <c r="Z3307" s="1" t="str">
        <f t="shared" si="153"/>
        <v>56143 1</v>
      </c>
      <c r="AA3307" s="3">
        <f>IF(INDEX('CAMD Facility Data 2023'!$AA$2:$AE$10000,MATCH(Z3307,'CAMD Facility Data 2023'!$AE$2:$AE$10000,0),1)&gt;0,INDEX('CAMD Facility Data 2023'!$AA$2:$AE$10000,MATCH(Z3307,'CAMD Facility Data 2023'!$AE$2:$AE$10000,0),1),"")</f>
        <v>38798</v>
      </c>
      <c r="AB3307" s="5">
        <f>IF(INDEX('CAMD Facility Data 2023'!$AC$2:$AE$10000,MATCH(Z3307,'CAMD Facility Data 2023'!$AE$2:$AE$10000,0),1)&gt;0,INDEX('CAMD Facility Data 2023'!$AC$2:$AE$10000,MATCH(Z3307,'CAMD Facility Data 2023'!$AE$2:$AE$10000,0),1),"")</f>
        <v>525</v>
      </c>
      <c r="AC3307" s="1" t="str">
        <f>IF(INDEX('CAMD Facility Data 2023'!$AE$2:$AG$10000,MATCH(Z3307,'CAMD Facility Data 2023'!$AE$2:$AE$10000,0),3)&gt;0,INDEX('CAMD Facility Data 2023'!$AE$2:$AG$10000,MATCH(Z3307,'CAMD Facility Data 2023'!$AE$2:$AE$10000,0),3),"")</f>
        <v>Y</v>
      </c>
      <c r="AD3307" s="20">
        <f t="shared" si="154"/>
        <v>9.97638482769128E-2</v>
      </c>
      <c r="AE3307" s="25">
        <f t="shared" si="155"/>
        <v>2.9566038269188952E-2</v>
      </c>
    </row>
    <row r="3308" spans="1:31" x14ac:dyDescent="0.2">
      <c r="A3308" s="1" t="s">
        <v>370</v>
      </c>
      <c r="B3308" s="1" t="s">
        <v>7404</v>
      </c>
      <c r="C3308" s="1">
        <v>56143</v>
      </c>
      <c r="D3308" s="1">
        <v>2</v>
      </c>
      <c r="F3308" s="1">
        <v>2023</v>
      </c>
      <c r="G3308" s="5">
        <v>487</v>
      </c>
      <c r="H3308" s="5">
        <v>333.52</v>
      </c>
      <c r="I3308" s="5">
        <v>12096.07</v>
      </c>
      <c r="K3308" s="5">
        <v>3.7999999999999999E-2</v>
      </c>
      <c r="L3308" s="5">
        <v>1E-3</v>
      </c>
      <c r="M3308" s="5">
        <v>7598.3450000000003</v>
      </c>
      <c r="N3308" s="6">
        <v>5.9299999999999999E-2</v>
      </c>
      <c r="O3308" s="5">
        <v>0.70099999999999996</v>
      </c>
      <c r="P3308" s="6">
        <v>2.1999999999999999E-2</v>
      </c>
      <c r="Q3308" s="5">
        <v>127857.075</v>
      </c>
      <c r="R3308" s="1" t="s">
        <v>44</v>
      </c>
      <c r="T3308" s="1" t="s">
        <v>93</v>
      </c>
      <c r="V3308" s="1" t="s">
        <v>176</v>
      </c>
      <c r="Y3308" s="1" t="s">
        <v>247</v>
      </c>
      <c r="Z3308" s="1" t="str">
        <f t="shared" si="153"/>
        <v>56143 2</v>
      </c>
      <c r="AA3308" s="3">
        <f>IF(INDEX('CAMD Facility Data 2023'!$AA$2:$AE$10000,MATCH(Z3308,'CAMD Facility Data 2023'!$AE$2:$AE$10000,0),1)&gt;0,INDEX('CAMD Facility Data 2023'!$AA$2:$AE$10000,MATCH(Z3308,'CAMD Facility Data 2023'!$AE$2:$AE$10000,0),1),"")</f>
        <v>38806</v>
      </c>
      <c r="AB3308" s="5">
        <f>IF(INDEX('CAMD Facility Data 2023'!$AC$2:$AE$10000,MATCH(Z3308,'CAMD Facility Data 2023'!$AE$2:$AE$10000,0),1)&gt;0,INDEX('CAMD Facility Data 2023'!$AC$2:$AE$10000,MATCH(Z3308,'CAMD Facility Data 2023'!$AE$2:$AE$10000,0),1),"")</f>
        <v>525</v>
      </c>
      <c r="AC3308" s="1" t="str">
        <f>IF(INDEX('CAMD Facility Data 2023'!$AE$2:$AG$10000,MATCH(Z3308,'CAMD Facility Data 2023'!$AE$2:$AE$10000,0),3)&gt;0,INDEX('CAMD Facility Data 2023'!$AE$2:$AG$10000,MATCH(Z3308,'CAMD Facility Data 2023'!$AE$2:$AE$10000,0),3),"")</f>
        <v>Y</v>
      </c>
      <c r="AD3308" s="20">
        <f t="shared" si="154"/>
        <v>0.11590541390716158</v>
      </c>
      <c r="AE3308" s="25">
        <f t="shared" si="155"/>
        <v>2.7801060013046313E-2</v>
      </c>
    </row>
    <row r="3309" spans="1:31" x14ac:dyDescent="0.2">
      <c r="A3309" s="1" t="s">
        <v>370</v>
      </c>
      <c r="B3309" s="1" t="s">
        <v>7404</v>
      </c>
      <c r="C3309" s="1">
        <v>56143</v>
      </c>
      <c r="D3309" s="1">
        <v>3</v>
      </c>
      <c r="F3309" s="1">
        <v>2023</v>
      </c>
      <c r="G3309" s="5">
        <v>671</v>
      </c>
      <c r="H3309" s="5">
        <v>461.13</v>
      </c>
      <c r="I3309" s="5">
        <v>16079.75</v>
      </c>
      <c r="K3309" s="5">
        <v>4.9000000000000002E-2</v>
      </c>
      <c r="L3309" s="5">
        <v>1E-3</v>
      </c>
      <c r="M3309" s="5">
        <v>9756.7710000000006</v>
      </c>
      <c r="N3309" s="6">
        <v>5.9299999999999999E-2</v>
      </c>
      <c r="O3309" s="5">
        <v>0.88800000000000001</v>
      </c>
      <c r="P3309" s="6">
        <v>2.1999999999999999E-2</v>
      </c>
      <c r="Q3309" s="5">
        <v>164177.85699999999</v>
      </c>
      <c r="R3309" s="1" t="s">
        <v>44</v>
      </c>
      <c r="T3309" s="1" t="s">
        <v>93</v>
      </c>
      <c r="V3309" s="1" t="s">
        <v>176</v>
      </c>
      <c r="Y3309" s="1" t="s">
        <v>247</v>
      </c>
      <c r="Z3309" s="1" t="str">
        <f t="shared" si="153"/>
        <v>56143 3</v>
      </c>
      <c r="AA3309" s="3">
        <f>IF(INDEX('CAMD Facility Data 2023'!$AA$2:$AE$10000,MATCH(Z3309,'CAMD Facility Data 2023'!$AE$2:$AE$10000,0),1)&gt;0,INDEX('CAMD Facility Data 2023'!$AA$2:$AE$10000,MATCH(Z3309,'CAMD Facility Data 2023'!$AE$2:$AE$10000,0),1),"")</f>
        <v>40572</v>
      </c>
      <c r="AB3309" s="5">
        <f>IF(INDEX('CAMD Facility Data 2023'!$AC$2:$AE$10000,MATCH(Z3309,'CAMD Facility Data 2023'!$AE$2:$AE$10000,0),1)&gt;0,INDEX('CAMD Facility Data 2023'!$AC$2:$AE$10000,MATCH(Z3309,'CAMD Facility Data 2023'!$AE$2:$AE$10000,0),1),"")</f>
        <v>525</v>
      </c>
      <c r="AC3309" s="1" t="str">
        <f>IF(INDEX('CAMD Facility Data 2023'!$AE$2:$AG$10000,MATCH(Z3309,'CAMD Facility Data 2023'!$AE$2:$AE$10000,0),3)&gt;0,INDEX('CAMD Facility Data 2023'!$AE$2:$AG$10000,MATCH(Z3309,'CAMD Facility Data 2023'!$AE$2:$AE$10000,0),3),"")</f>
        <v>Y</v>
      </c>
      <c r="AD3309" s="20">
        <f t="shared" si="154"/>
        <v>0.11044947838119373</v>
      </c>
      <c r="AE3309" s="25">
        <f t="shared" si="155"/>
        <v>3.5698599043270274E-2</v>
      </c>
    </row>
    <row r="3310" spans="1:31" x14ac:dyDescent="0.2">
      <c r="A3310" s="1" t="s">
        <v>370</v>
      </c>
      <c r="B3310" s="1" t="s">
        <v>7404</v>
      </c>
      <c r="C3310" s="1">
        <v>56143</v>
      </c>
      <c r="D3310" s="1">
        <v>4</v>
      </c>
      <c r="F3310" s="1">
        <v>2023</v>
      </c>
      <c r="G3310" s="5">
        <v>605</v>
      </c>
      <c r="H3310" s="5">
        <v>410.58</v>
      </c>
      <c r="I3310" s="5">
        <v>13774.32</v>
      </c>
      <c r="K3310" s="5">
        <v>4.2000000000000003E-2</v>
      </c>
      <c r="L3310" s="5">
        <v>1E-3</v>
      </c>
      <c r="M3310" s="5">
        <v>8364.3439999999991</v>
      </c>
      <c r="N3310" s="6">
        <v>5.9299999999999999E-2</v>
      </c>
      <c r="O3310" s="5">
        <v>0.66700000000000004</v>
      </c>
      <c r="P3310" s="6">
        <v>1.7100000000000001E-2</v>
      </c>
      <c r="Q3310" s="5">
        <v>140747.38099999999</v>
      </c>
      <c r="R3310" s="1" t="s">
        <v>44</v>
      </c>
      <c r="T3310" s="1" t="s">
        <v>93</v>
      </c>
      <c r="V3310" s="1" t="s">
        <v>176</v>
      </c>
      <c r="Y3310" s="1" t="s">
        <v>247</v>
      </c>
      <c r="Z3310" s="1" t="str">
        <f t="shared" si="153"/>
        <v>56143 4</v>
      </c>
      <c r="AA3310" s="3">
        <f>IF(INDEX('CAMD Facility Data 2023'!$AA$2:$AE$10000,MATCH(Z3310,'CAMD Facility Data 2023'!$AE$2:$AE$10000,0),1)&gt;0,INDEX('CAMD Facility Data 2023'!$AA$2:$AE$10000,MATCH(Z3310,'CAMD Facility Data 2023'!$AE$2:$AE$10000,0),1),"")</f>
        <v>40480</v>
      </c>
      <c r="AB3310" s="5">
        <f>IF(INDEX('CAMD Facility Data 2023'!$AC$2:$AE$10000,MATCH(Z3310,'CAMD Facility Data 2023'!$AE$2:$AE$10000,0),1)&gt;0,INDEX('CAMD Facility Data 2023'!$AC$2:$AE$10000,MATCH(Z3310,'CAMD Facility Data 2023'!$AE$2:$AE$10000,0),1),"")</f>
        <v>525</v>
      </c>
      <c r="AC3310" s="1" t="str">
        <f>IF(INDEX('CAMD Facility Data 2023'!$AE$2:$AG$10000,MATCH(Z3310,'CAMD Facility Data 2023'!$AE$2:$AE$10000,0),3)&gt;0,INDEX('CAMD Facility Data 2023'!$AE$2:$AG$10000,MATCH(Z3310,'CAMD Facility Data 2023'!$AE$2:$AE$10000,0),3),"")</f>
        <v>Y</v>
      </c>
      <c r="AD3310" s="20">
        <f t="shared" si="154"/>
        <v>9.6846886089476655E-2</v>
      </c>
      <c r="AE3310" s="25">
        <f t="shared" si="155"/>
        <v>3.0603909762991953E-2</v>
      </c>
    </row>
    <row r="3311" spans="1:31" x14ac:dyDescent="0.2">
      <c r="A3311" s="1" t="s">
        <v>921</v>
      </c>
      <c r="B3311" s="1" t="s">
        <v>7406</v>
      </c>
      <c r="C3311" s="1">
        <v>56150</v>
      </c>
      <c r="D3311" s="1" t="s">
        <v>7407</v>
      </c>
      <c r="F3311" s="1">
        <v>2023</v>
      </c>
      <c r="G3311" s="5">
        <v>7947</v>
      </c>
      <c r="H3311" s="5">
        <v>7923.99</v>
      </c>
      <c r="I3311" s="5">
        <v>2344897</v>
      </c>
      <c r="K3311" s="5">
        <v>4.8550000000000004</v>
      </c>
      <c r="L3311" s="5">
        <v>1E-3</v>
      </c>
      <c r="M3311" s="5">
        <v>961320.85600000003</v>
      </c>
      <c r="N3311" s="6">
        <v>5.8999999999999997E-2</v>
      </c>
      <c r="O3311" s="5">
        <v>50.454999999999998</v>
      </c>
      <c r="P3311" s="6">
        <v>7.0000000000000001E-3</v>
      </c>
      <c r="Q3311" s="5">
        <v>16173594.305</v>
      </c>
      <c r="R3311" s="1" t="s">
        <v>44</v>
      </c>
      <c r="S3311" s="1" t="s">
        <v>94</v>
      </c>
      <c r="T3311" s="1" t="s">
        <v>71</v>
      </c>
      <c r="V3311" s="1" t="s">
        <v>643</v>
      </c>
      <c r="Y3311" s="1" t="s">
        <v>952</v>
      </c>
      <c r="Z3311" s="1" t="str">
        <f t="shared" si="153"/>
        <v>56150 10A</v>
      </c>
      <c r="AA3311" s="3">
        <f>IF(INDEX('CAMD Facility Data 2023'!$AA$2:$AE$10000,MATCH(Z3311,'CAMD Facility Data 2023'!$AE$2:$AE$10000,0),1)&gt;0,INDEX('CAMD Facility Data 2023'!$AA$2:$AE$10000,MATCH(Z3311,'CAMD Facility Data 2023'!$AE$2:$AE$10000,0),1),"")</f>
        <v>38447</v>
      </c>
      <c r="AB3311" s="5">
        <f>IF(INDEX('CAMD Facility Data 2023'!$AC$2:$AE$10000,MATCH(Z3311,'CAMD Facility Data 2023'!$AE$2:$AE$10000,0),1)&gt;0,INDEX('CAMD Facility Data 2023'!$AC$2:$AE$10000,MATCH(Z3311,'CAMD Facility Data 2023'!$AE$2:$AE$10000,0),1),"")</f>
        <v>3500</v>
      </c>
      <c r="AC3311" s="1" t="str">
        <f>IF(INDEX('CAMD Facility Data 2023'!$AE$2:$AG$10000,MATCH(Z3311,'CAMD Facility Data 2023'!$AE$2:$AE$10000,0),3)&gt;0,INDEX('CAMD Facility Data 2023'!$AE$2:$AG$10000,MATCH(Z3311,'CAMD Facility Data 2023'!$AE$2:$AE$10000,0),3),"")</f>
        <v>Y</v>
      </c>
      <c r="AD3311" s="20">
        <f t="shared" si="154"/>
        <v>4.3033873129608678E-2</v>
      </c>
      <c r="AE3311" s="25">
        <f t="shared" si="155"/>
        <v>0.52751449135681672</v>
      </c>
    </row>
    <row r="3312" spans="1:31" x14ac:dyDescent="0.2">
      <c r="A3312" s="1" t="s">
        <v>921</v>
      </c>
      <c r="B3312" s="1" t="s">
        <v>7406</v>
      </c>
      <c r="C3312" s="1">
        <v>56150</v>
      </c>
      <c r="D3312" s="1" t="s">
        <v>7409</v>
      </c>
      <c r="F3312" s="1">
        <v>2023</v>
      </c>
      <c r="G3312" s="5">
        <v>7880</v>
      </c>
      <c r="H3312" s="5">
        <v>7864.04</v>
      </c>
      <c r="I3312" s="5">
        <v>2328690.71</v>
      </c>
      <c r="K3312" s="5">
        <v>4.899</v>
      </c>
      <c r="L3312" s="5">
        <v>1E-3</v>
      </c>
      <c r="M3312" s="5">
        <v>969518.32499999995</v>
      </c>
      <c r="N3312" s="6">
        <v>5.8999999999999997E-2</v>
      </c>
      <c r="O3312" s="5">
        <v>47.473999999999997</v>
      </c>
      <c r="P3312" s="6">
        <v>6.4000000000000003E-3</v>
      </c>
      <c r="Q3312" s="5">
        <v>16308896.732000001</v>
      </c>
      <c r="R3312" s="1" t="s">
        <v>44</v>
      </c>
      <c r="S3312" s="1" t="s">
        <v>94</v>
      </c>
      <c r="T3312" s="1" t="s">
        <v>71</v>
      </c>
      <c r="V3312" s="1" t="s">
        <v>643</v>
      </c>
      <c r="Y3312" s="1" t="s">
        <v>952</v>
      </c>
      <c r="Z3312" s="1" t="str">
        <f t="shared" si="153"/>
        <v>56150 10B</v>
      </c>
      <c r="AA3312" s="3">
        <f>IF(INDEX('CAMD Facility Data 2023'!$AA$2:$AE$10000,MATCH(Z3312,'CAMD Facility Data 2023'!$AE$2:$AE$10000,0),1)&gt;0,INDEX('CAMD Facility Data 2023'!$AA$2:$AE$10000,MATCH(Z3312,'CAMD Facility Data 2023'!$AE$2:$AE$10000,0),1),"")</f>
        <v>38448</v>
      </c>
      <c r="AB3312" s="5">
        <f>IF(INDEX('CAMD Facility Data 2023'!$AC$2:$AE$10000,MATCH(Z3312,'CAMD Facility Data 2023'!$AE$2:$AE$10000,0),1)&gt;0,INDEX('CAMD Facility Data 2023'!$AC$2:$AE$10000,MATCH(Z3312,'CAMD Facility Data 2023'!$AE$2:$AE$10000,0),1),"")</f>
        <v>3500</v>
      </c>
      <c r="AC3312" s="1" t="str">
        <f>IF(INDEX('CAMD Facility Data 2023'!$AE$2:$AG$10000,MATCH(Z3312,'CAMD Facility Data 2023'!$AE$2:$AE$10000,0),3)&gt;0,INDEX('CAMD Facility Data 2023'!$AE$2:$AG$10000,MATCH(Z3312,'CAMD Facility Data 2023'!$AE$2:$AE$10000,0),3),"")</f>
        <v>Y</v>
      </c>
      <c r="AD3312" s="20">
        <f t="shared" si="154"/>
        <v>4.0773126114287628E-2</v>
      </c>
      <c r="AE3312" s="25">
        <f t="shared" si="155"/>
        <v>0.53192748636660148</v>
      </c>
    </row>
    <row r="3313" spans="1:31" x14ac:dyDescent="0.2">
      <c r="A3313" s="1" t="s">
        <v>921</v>
      </c>
      <c r="B3313" s="1" t="s">
        <v>7406</v>
      </c>
      <c r="C3313" s="1">
        <v>56150</v>
      </c>
      <c r="D3313" s="1" t="s">
        <v>616</v>
      </c>
      <c r="F3313" s="1">
        <v>2023</v>
      </c>
      <c r="G3313" s="5">
        <v>7696</v>
      </c>
      <c r="H3313" s="5">
        <v>7665.23</v>
      </c>
      <c r="I3313" s="5">
        <v>2244126.38</v>
      </c>
      <c r="K3313" s="5">
        <v>4.6829999999999998</v>
      </c>
      <c r="L3313" s="5">
        <v>1E-3</v>
      </c>
      <c r="M3313" s="5">
        <v>927665.38</v>
      </c>
      <c r="N3313" s="6">
        <v>5.8999999999999997E-2</v>
      </c>
      <c r="O3313" s="5">
        <v>46.478999999999999</v>
      </c>
      <c r="P3313" s="6">
        <v>6.8999999999999999E-3</v>
      </c>
      <c r="Q3313" s="5">
        <v>15609778.257999999</v>
      </c>
      <c r="R3313" s="1" t="s">
        <v>44</v>
      </c>
      <c r="S3313" s="1" t="s">
        <v>94</v>
      </c>
      <c r="T3313" s="1" t="s">
        <v>71</v>
      </c>
      <c r="V3313" s="1" t="s">
        <v>643</v>
      </c>
      <c r="Y3313" s="1" t="s">
        <v>952</v>
      </c>
      <c r="Z3313" s="1" t="str">
        <f t="shared" si="153"/>
        <v>56150 11A</v>
      </c>
      <c r="AA3313" s="3">
        <f>IF(INDEX('CAMD Facility Data 2023'!$AA$2:$AE$10000,MATCH(Z3313,'CAMD Facility Data 2023'!$AE$2:$AE$10000,0),1)&gt;0,INDEX('CAMD Facility Data 2023'!$AA$2:$AE$10000,MATCH(Z3313,'CAMD Facility Data 2023'!$AE$2:$AE$10000,0),1),"")</f>
        <v>38448</v>
      </c>
      <c r="AB3313" s="5">
        <f>IF(INDEX('CAMD Facility Data 2023'!$AC$2:$AE$10000,MATCH(Z3313,'CAMD Facility Data 2023'!$AE$2:$AE$10000,0),1)&gt;0,INDEX('CAMD Facility Data 2023'!$AC$2:$AE$10000,MATCH(Z3313,'CAMD Facility Data 2023'!$AE$2:$AE$10000,0),1),"")</f>
        <v>3500</v>
      </c>
      <c r="AC3313" s="1" t="str">
        <f>IF(INDEX('CAMD Facility Data 2023'!$AE$2:$AG$10000,MATCH(Z3313,'CAMD Facility Data 2023'!$AE$2:$AE$10000,0),3)&gt;0,INDEX('CAMD Facility Data 2023'!$AE$2:$AG$10000,MATCH(Z3313,'CAMD Facility Data 2023'!$AE$2:$AE$10000,0),3),"")</f>
        <v>Y</v>
      </c>
      <c r="AD3313" s="20">
        <f t="shared" si="154"/>
        <v>4.1422800796094207E-2</v>
      </c>
      <c r="AE3313" s="25">
        <f t="shared" si="155"/>
        <v>0.50912518780169602</v>
      </c>
    </row>
    <row r="3314" spans="1:31" x14ac:dyDescent="0.2">
      <c r="A3314" s="1" t="s">
        <v>921</v>
      </c>
      <c r="B3314" s="1" t="s">
        <v>7406</v>
      </c>
      <c r="C3314" s="1">
        <v>56150</v>
      </c>
      <c r="D3314" s="1" t="s">
        <v>623</v>
      </c>
      <c r="F3314" s="1">
        <v>2023</v>
      </c>
      <c r="G3314" s="5">
        <v>8011</v>
      </c>
      <c r="H3314" s="5">
        <v>8002.86</v>
      </c>
      <c r="I3314" s="5">
        <v>2320128.88</v>
      </c>
      <c r="K3314" s="5">
        <v>4.9089999999999998</v>
      </c>
      <c r="L3314" s="5">
        <v>1E-3</v>
      </c>
      <c r="M3314" s="5">
        <v>972469.93400000001</v>
      </c>
      <c r="N3314" s="6">
        <v>5.8999999999999997E-2</v>
      </c>
      <c r="O3314" s="5">
        <v>46.741</v>
      </c>
      <c r="P3314" s="6">
        <v>6.1999999999999998E-3</v>
      </c>
      <c r="Q3314" s="5">
        <v>16363667.335000001</v>
      </c>
      <c r="R3314" s="1" t="s">
        <v>44</v>
      </c>
      <c r="S3314" s="1" t="s">
        <v>94</v>
      </c>
      <c r="T3314" s="1" t="s">
        <v>71</v>
      </c>
      <c r="V3314" s="1" t="s">
        <v>643</v>
      </c>
      <c r="Y3314" s="1" t="s">
        <v>952</v>
      </c>
      <c r="Z3314" s="1" t="str">
        <f t="shared" si="153"/>
        <v>56150 11B</v>
      </c>
      <c r="AA3314" s="3">
        <f>IF(INDEX('CAMD Facility Data 2023'!$AA$2:$AE$10000,MATCH(Z3314,'CAMD Facility Data 2023'!$AE$2:$AE$10000,0),1)&gt;0,INDEX('CAMD Facility Data 2023'!$AA$2:$AE$10000,MATCH(Z3314,'CAMD Facility Data 2023'!$AE$2:$AE$10000,0),1),"")</f>
        <v>38447</v>
      </c>
      <c r="AB3314" s="5">
        <f>IF(INDEX('CAMD Facility Data 2023'!$AC$2:$AE$10000,MATCH(Z3314,'CAMD Facility Data 2023'!$AE$2:$AE$10000,0),1)&gt;0,INDEX('CAMD Facility Data 2023'!$AC$2:$AE$10000,MATCH(Z3314,'CAMD Facility Data 2023'!$AE$2:$AE$10000,0),1),"")</f>
        <v>3500</v>
      </c>
      <c r="AC3314" s="1" t="str">
        <f>IF(INDEX('CAMD Facility Data 2023'!$AE$2:$AG$10000,MATCH(Z3314,'CAMD Facility Data 2023'!$AE$2:$AE$10000,0),3)&gt;0,INDEX('CAMD Facility Data 2023'!$AE$2:$AG$10000,MATCH(Z3314,'CAMD Facility Data 2023'!$AE$2:$AE$10000,0),3),"")</f>
        <v>Y</v>
      </c>
      <c r="AD3314" s="20">
        <f t="shared" si="154"/>
        <v>4.0291727242324576E-2</v>
      </c>
      <c r="AE3314" s="25">
        <f t="shared" si="155"/>
        <v>0.53371387263535552</v>
      </c>
    </row>
    <row r="3315" spans="1:31" x14ac:dyDescent="0.2">
      <c r="A3315" s="1" t="s">
        <v>1755</v>
      </c>
      <c r="B3315" s="1" t="s">
        <v>7413</v>
      </c>
      <c r="C3315" s="1">
        <v>56151</v>
      </c>
      <c r="D3315" s="1">
        <v>1</v>
      </c>
      <c r="F3315" s="1">
        <v>2023</v>
      </c>
      <c r="G3315" s="5">
        <v>832</v>
      </c>
      <c r="H3315" s="5">
        <v>766.23</v>
      </c>
      <c r="I3315" s="5">
        <v>61331.94</v>
      </c>
      <c r="K3315" s="5">
        <v>0.249</v>
      </c>
      <c r="L3315" s="5">
        <v>1E-3</v>
      </c>
      <c r="M3315" s="5">
        <v>49353.815000000002</v>
      </c>
      <c r="N3315" s="6">
        <v>5.8999999999999997E-2</v>
      </c>
      <c r="O3315" s="5">
        <v>21.777999999999999</v>
      </c>
      <c r="P3315" s="6">
        <v>5.2699999999999997E-2</v>
      </c>
      <c r="Q3315" s="5">
        <v>830480.82400000002</v>
      </c>
      <c r="R3315" s="1" t="s">
        <v>44</v>
      </c>
      <c r="T3315" s="1" t="s">
        <v>93</v>
      </c>
      <c r="Y3315" s="1" t="s">
        <v>1207</v>
      </c>
      <c r="Z3315" s="1" t="str">
        <f t="shared" si="153"/>
        <v>56151 1</v>
      </c>
      <c r="AA3315" s="3">
        <f>IF(INDEX('CAMD Facility Data 2023'!$AA$2:$AE$10000,MATCH(Z3315,'CAMD Facility Data 2023'!$AE$2:$AE$10000,0),1)&gt;0,INDEX('CAMD Facility Data 2023'!$AA$2:$AE$10000,MATCH(Z3315,'CAMD Facility Data 2023'!$AE$2:$AE$10000,0),1),"")</f>
        <v>38544</v>
      </c>
      <c r="AB3315" s="5">
        <f>IF(INDEX('CAMD Facility Data 2023'!$AC$2:$AE$10000,MATCH(Z3315,'CAMD Facility Data 2023'!$AE$2:$AE$10000,0),1)&gt;0,INDEX('CAMD Facility Data 2023'!$AC$2:$AE$10000,MATCH(Z3315,'CAMD Facility Data 2023'!$AE$2:$AE$10000,0),1),"")</f>
        <v>1581</v>
      </c>
      <c r="AC3315" s="1" t="str">
        <f>IF(INDEX('CAMD Facility Data 2023'!$AE$2:$AG$10000,MATCH(Z3315,'CAMD Facility Data 2023'!$AE$2:$AE$10000,0),3)&gt;0,INDEX('CAMD Facility Data 2023'!$AE$2:$AG$10000,MATCH(Z3315,'CAMD Facility Data 2023'!$AE$2:$AE$10000,0),3),"")</f>
        <v/>
      </c>
      <c r="AD3315" s="20">
        <f t="shared" si="154"/>
        <v>0.7101683070843674</v>
      </c>
      <c r="AE3315" s="25">
        <f t="shared" si="155"/>
        <v>5.9964419375055963E-2</v>
      </c>
    </row>
    <row r="3316" spans="1:31" x14ac:dyDescent="0.2">
      <c r="A3316" s="1" t="s">
        <v>1755</v>
      </c>
      <c r="B3316" s="1" t="s">
        <v>7413</v>
      </c>
      <c r="C3316" s="1">
        <v>56151</v>
      </c>
      <c r="D3316" s="1">
        <v>2</v>
      </c>
      <c r="F3316" s="1">
        <v>2023</v>
      </c>
      <c r="G3316" s="5">
        <v>783</v>
      </c>
      <c r="H3316" s="5">
        <v>723.51</v>
      </c>
      <c r="I3316" s="5">
        <v>61737.29</v>
      </c>
      <c r="K3316" s="5">
        <v>0.23499999999999999</v>
      </c>
      <c r="L3316" s="5">
        <v>1E-3</v>
      </c>
      <c r="M3316" s="5">
        <v>46606.391000000003</v>
      </c>
      <c r="N3316" s="6">
        <v>5.8999999999999997E-2</v>
      </c>
      <c r="O3316" s="5">
        <v>21.114000000000001</v>
      </c>
      <c r="P3316" s="6">
        <v>5.3900000000000003E-2</v>
      </c>
      <c r="Q3316" s="5">
        <v>784240.84600000002</v>
      </c>
      <c r="R3316" s="1" t="s">
        <v>44</v>
      </c>
      <c r="T3316" s="1" t="s">
        <v>93</v>
      </c>
      <c r="Y3316" s="1" t="s">
        <v>1207</v>
      </c>
      <c r="Z3316" s="1" t="str">
        <f t="shared" si="153"/>
        <v>56151 2</v>
      </c>
      <c r="AA3316" s="3">
        <f>IF(INDEX('CAMD Facility Data 2023'!$AA$2:$AE$10000,MATCH(Z3316,'CAMD Facility Data 2023'!$AE$2:$AE$10000,0),1)&gt;0,INDEX('CAMD Facility Data 2023'!$AA$2:$AE$10000,MATCH(Z3316,'CAMD Facility Data 2023'!$AE$2:$AE$10000,0),1),"")</f>
        <v>38527</v>
      </c>
      <c r="AB3316" s="5">
        <f>IF(INDEX('CAMD Facility Data 2023'!$AC$2:$AE$10000,MATCH(Z3316,'CAMD Facility Data 2023'!$AE$2:$AE$10000,0),1)&gt;0,INDEX('CAMD Facility Data 2023'!$AC$2:$AE$10000,MATCH(Z3316,'CAMD Facility Data 2023'!$AE$2:$AE$10000,0),1),"")</f>
        <v>1581</v>
      </c>
      <c r="AC3316" s="1" t="str">
        <f>IF(INDEX('CAMD Facility Data 2023'!$AE$2:$AG$10000,MATCH(Z3316,'CAMD Facility Data 2023'!$AE$2:$AE$10000,0),3)&gt;0,INDEX('CAMD Facility Data 2023'!$AE$2:$AG$10000,MATCH(Z3316,'CAMD Facility Data 2023'!$AE$2:$AE$10000,0),3),"")</f>
        <v/>
      </c>
      <c r="AD3316" s="20">
        <f t="shared" si="154"/>
        <v>0.68399503768305991</v>
      </c>
      <c r="AE3316" s="25">
        <f t="shared" si="155"/>
        <v>5.6625686736618351E-2</v>
      </c>
    </row>
    <row r="3317" spans="1:31" x14ac:dyDescent="0.2">
      <c r="A3317" s="1" t="s">
        <v>1755</v>
      </c>
      <c r="B3317" s="1" t="s">
        <v>7413</v>
      </c>
      <c r="C3317" s="1">
        <v>56151</v>
      </c>
      <c r="D3317" s="1">
        <v>3</v>
      </c>
      <c r="F3317" s="1">
        <v>2023</v>
      </c>
      <c r="G3317" s="5">
        <v>730</v>
      </c>
      <c r="H3317" s="5">
        <v>674.89</v>
      </c>
      <c r="I3317" s="5">
        <v>56621.22</v>
      </c>
      <c r="K3317" s="5">
        <v>0.22</v>
      </c>
      <c r="L3317" s="5">
        <v>1E-3</v>
      </c>
      <c r="M3317" s="5">
        <v>43625.006999999998</v>
      </c>
      <c r="N3317" s="6">
        <v>5.8999999999999997E-2</v>
      </c>
      <c r="O3317" s="5">
        <v>19.492000000000001</v>
      </c>
      <c r="P3317" s="6">
        <v>5.33E-2</v>
      </c>
      <c r="Q3317" s="5">
        <v>734087.15700000001</v>
      </c>
      <c r="R3317" s="1" t="s">
        <v>44</v>
      </c>
      <c r="T3317" s="1" t="s">
        <v>93</v>
      </c>
      <c r="Y3317" s="1" t="s">
        <v>1207</v>
      </c>
      <c r="Z3317" s="1" t="str">
        <f t="shared" si="153"/>
        <v>56151 3</v>
      </c>
      <c r="AA3317" s="3">
        <f>IF(INDEX('CAMD Facility Data 2023'!$AA$2:$AE$10000,MATCH(Z3317,'CAMD Facility Data 2023'!$AE$2:$AE$10000,0),1)&gt;0,INDEX('CAMD Facility Data 2023'!$AA$2:$AE$10000,MATCH(Z3317,'CAMD Facility Data 2023'!$AE$2:$AE$10000,0),1),"")</f>
        <v>38523</v>
      </c>
      <c r="AB3317" s="5">
        <f>IF(INDEX('CAMD Facility Data 2023'!$AC$2:$AE$10000,MATCH(Z3317,'CAMD Facility Data 2023'!$AE$2:$AE$10000,0),1)&gt;0,INDEX('CAMD Facility Data 2023'!$AC$2:$AE$10000,MATCH(Z3317,'CAMD Facility Data 2023'!$AE$2:$AE$10000,0),1),"")</f>
        <v>1581</v>
      </c>
      <c r="AC3317" s="1" t="str">
        <f>IF(INDEX('CAMD Facility Data 2023'!$AE$2:$AG$10000,MATCH(Z3317,'CAMD Facility Data 2023'!$AE$2:$AE$10000,0),3)&gt;0,INDEX('CAMD Facility Data 2023'!$AE$2:$AG$10000,MATCH(Z3317,'CAMD Facility Data 2023'!$AE$2:$AE$10000,0),3),"")</f>
        <v/>
      </c>
      <c r="AD3317" s="20">
        <f t="shared" si="154"/>
        <v>0.68850512228454275</v>
      </c>
      <c r="AE3317" s="25">
        <f t="shared" si="155"/>
        <v>5.300436670912289E-2</v>
      </c>
    </row>
    <row r="3318" spans="1:31" x14ac:dyDescent="0.2">
      <c r="A3318" s="1" t="s">
        <v>1663</v>
      </c>
      <c r="B3318" s="1" t="s">
        <v>7417</v>
      </c>
      <c r="C3318" s="1">
        <v>56164</v>
      </c>
      <c r="D3318" s="1" t="s">
        <v>7418</v>
      </c>
      <c r="F3318" s="1">
        <v>2023</v>
      </c>
      <c r="G3318" s="5">
        <v>4979</v>
      </c>
      <c r="H3318" s="5">
        <v>4756.51</v>
      </c>
      <c r="I3318" s="5">
        <v>1096536.3700000001</v>
      </c>
      <c r="K3318" s="5">
        <v>2.1739999999999999</v>
      </c>
      <c r="L3318" s="5">
        <v>1E-3</v>
      </c>
      <c r="M3318" s="5">
        <v>430593.13699999999</v>
      </c>
      <c r="N3318" s="6">
        <v>5.8999999999999997E-2</v>
      </c>
      <c r="O3318" s="5">
        <v>46.755000000000003</v>
      </c>
      <c r="P3318" s="6">
        <v>1.9300000000000001E-2</v>
      </c>
      <c r="Q3318" s="5">
        <v>7245578.8600000003</v>
      </c>
      <c r="R3318" s="1" t="s">
        <v>44</v>
      </c>
      <c r="S3318" s="1" t="s">
        <v>94</v>
      </c>
      <c r="T3318" s="1" t="s">
        <v>71</v>
      </c>
      <c r="V3318" s="1" t="s">
        <v>643</v>
      </c>
      <c r="Y3318" s="1" t="s">
        <v>1666</v>
      </c>
      <c r="Z3318" s="1" t="str">
        <f t="shared" si="153"/>
        <v>56164 EU006</v>
      </c>
      <c r="AA3318" s="3">
        <f>IF(INDEX('CAMD Facility Data 2023'!$AA$2:$AE$10000,MATCH(Z3318,'CAMD Facility Data 2023'!$AE$2:$AE$10000,0),1)&gt;0,INDEX('CAMD Facility Data 2023'!$AA$2:$AE$10000,MATCH(Z3318,'CAMD Facility Data 2023'!$AE$2:$AE$10000,0),1),"")</f>
        <v>38482</v>
      </c>
      <c r="AB3318" s="5">
        <f>IF(INDEX('CAMD Facility Data 2023'!$AC$2:$AE$10000,MATCH(Z3318,'CAMD Facility Data 2023'!$AE$2:$AE$10000,0),1)&gt;0,INDEX('CAMD Facility Data 2023'!$AC$2:$AE$10000,MATCH(Z3318,'CAMD Facility Data 2023'!$AE$2:$AE$10000,0),1),"")</f>
        <v>2260</v>
      </c>
      <c r="AC3318" s="1" t="str">
        <f>IF(INDEX('CAMD Facility Data 2023'!$AE$2:$AG$10000,MATCH(Z3318,'CAMD Facility Data 2023'!$AE$2:$AE$10000,0),3)&gt;0,INDEX('CAMD Facility Data 2023'!$AE$2:$AG$10000,MATCH(Z3318,'CAMD Facility Data 2023'!$AE$2:$AE$10000,0),3),"")</f>
        <v>Y</v>
      </c>
      <c r="AD3318" s="20">
        <f t="shared" si="154"/>
        <v>8.5277609168585983E-2</v>
      </c>
      <c r="AE3318" s="25">
        <f t="shared" si="155"/>
        <v>0.3659826878005415</v>
      </c>
    </row>
    <row r="3319" spans="1:31" x14ac:dyDescent="0.2">
      <c r="A3319" s="1" t="s">
        <v>3167</v>
      </c>
      <c r="B3319" s="1" t="s">
        <v>7423</v>
      </c>
      <c r="C3319" s="1">
        <v>56166</v>
      </c>
      <c r="D3319" s="1">
        <v>1</v>
      </c>
      <c r="F3319" s="1">
        <v>2023</v>
      </c>
      <c r="G3319" s="5">
        <v>2387</v>
      </c>
      <c r="H3319" s="5">
        <v>2207.48</v>
      </c>
      <c r="I3319" s="5">
        <v>317524.43</v>
      </c>
      <c r="K3319" s="5">
        <v>1.0649999999999999</v>
      </c>
      <c r="L3319" s="5">
        <v>1E-3</v>
      </c>
      <c r="M3319" s="5">
        <v>211024.06</v>
      </c>
      <c r="N3319" s="6">
        <v>5.8999999999999997E-2</v>
      </c>
      <c r="O3319" s="5">
        <v>56.862000000000002</v>
      </c>
      <c r="P3319" s="6">
        <v>3.9E-2</v>
      </c>
      <c r="Q3319" s="5">
        <v>3550841.8629999999</v>
      </c>
      <c r="R3319" s="1" t="s">
        <v>44</v>
      </c>
      <c r="T3319" s="1" t="s">
        <v>93</v>
      </c>
      <c r="V3319" s="1" t="s">
        <v>140</v>
      </c>
      <c r="Y3319" s="1" t="s">
        <v>461</v>
      </c>
      <c r="Z3319" s="1" t="str">
        <f t="shared" si="153"/>
        <v>56166 1</v>
      </c>
      <c r="AA3319" s="3">
        <f>IF(INDEX('CAMD Facility Data 2023'!$AA$2:$AE$10000,MATCH(Z3319,'CAMD Facility Data 2023'!$AE$2:$AE$10000,0),1)&gt;0,INDEX('CAMD Facility Data 2023'!$AA$2:$AE$10000,MATCH(Z3319,'CAMD Facility Data 2023'!$AE$2:$AE$10000,0),1),"")</f>
        <v>38477</v>
      </c>
      <c r="AB3319" s="5">
        <f>IF(INDEX('CAMD Facility Data 2023'!$AC$2:$AE$10000,MATCH(Z3319,'CAMD Facility Data 2023'!$AE$2:$AE$10000,0),1)&gt;0,INDEX('CAMD Facility Data 2023'!$AC$2:$AE$10000,MATCH(Z3319,'CAMD Facility Data 2023'!$AE$2:$AE$10000,0),1),"")</f>
        <v>1949</v>
      </c>
      <c r="AC3319" s="1" t="str">
        <f>IF(INDEX('CAMD Facility Data 2023'!$AE$2:$AG$10000,MATCH(Z3319,'CAMD Facility Data 2023'!$AE$2:$AE$10000,0),3)&gt;0,INDEX('CAMD Facility Data 2023'!$AE$2:$AG$10000,MATCH(Z3319,'CAMD Facility Data 2023'!$AE$2:$AE$10000,0),3),"")</f>
        <v/>
      </c>
      <c r="AD3319" s="20">
        <f t="shared" si="154"/>
        <v>0.35815826832599934</v>
      </c>
      <c r="AE3319" s="25">
        <f t="shared" si="155"/>
        <v>0.20797703675459372</v>
      </c>
    </row>
    <row r="3320" spans="1:31" x14ac:dyDescent="0.2">
      <c r="A3320" s="1" t="s">
        <v>3167</v>
      </c>
      <c r="B3320" s="1" t="s">
        <v>7423</v>
      </c>
      <c r="C3320" s="1">
        <v>56166</v>
      </c>
      <c r="D3320" s="1">
        <v>2</v>
      </c>
      <c r="F3320" s="1">
        <v>2023</v>
      </c>
      <c r="G3320" s="5">
        <v>1807</v>
      </c>
      <c r="H3320" s="5">
        <v>1656.35</v>
      </c>
      <c r="I3320" s="5">
        <v>235997.66</v>
      </c>
      <c r="K3320" s="5">
        <v>0.78600000000000003</v>
      </c>
      <c r="L3320" s="5">
        <v>1E-3</v>
      </c>
      <c r="M3320" s="5">
        <v>155643.05799999999</v>
      </c>
      <c r="N3320" s="6">
        <v>5.8999999999999997E-2</v>
      </c>
      <c r="O3320" s="5">
        <v>37.767000000000003</v>
      </c>
      <c r="P3320" s="6">
        <v>3.61E-2</v>
      </c>
      <c r="Q3320" s="5">
        <v>2619001.7540000002</v>
      </c>
      <c r="R3320" s="1" t="s">
        <v>44</v>
      </c>
      <c r="T3320" s="1" t="s">
        <v>93</v>
      </c>
      <c r="V3320" s="1" t="s">
        <v>140</v>
      </c>
      <c r="Y3320" s="1" t="s">
        <v>461</v>
      </c>
      <c r="Z3320" s="1" t="str">
        <f t="shared" si="153"/>
        <v>56166 2</v>
      </c>
      <c r="AA3320" s="3">
        <f>IF(INDEX('CAMD Facility Data 2023'!$AA$2:$AE$10000,MATCH(Z3320,'CAMD Facility Data 2023'!$AE$2:$AE$10000,0),1)&gt;0,INDEX('CAMD Facility Data 2023'!$AA$2:$AE$10000,MATCH(Z3320,'CAMD Facility Data 2023'!$AE$2:$AE$10000,0),1),"")</f>
        <v>38487</v>
      </c>
      <c r="AB3320" s="5">
        <f>IF(INDEX('CAMD Facility Data 2023'!$AC$2:$AE$10000,MATCH(Z3320,'CAMD Facility Data 2023'!$AE$2:$AE$10000,0),1)&gt;0,INDEX('CAMD Facility Data 2023'!$AC$2:$AE$10000,MATCH(Z3320,'CAMD Facility Data 2023'!$AE$2:$AE$10000,0),1),"")</f>
        <v>1953</v>
      </c>
      <c r="AC3320" s="1" t="str">
        <f>IF(INDEX('CAMD Facility Data 2023'!$AE$2:$AG$10000,MATCH(Z3320,'CAMD Facility Data 2023'!$AE$2:$AE$10000,0),3)&gt;0,INDEX('CAMD Facility Data 2023'!$AE$2:$AG$10000,MATCH(Z3320,'CAMD Facility Data 2023'!$AE$2:$AE$10000,0),3),"")</f>
        <v/>
      </c>
      <c r="AD3320" s="20">
        <f t="shared" si="154"/>
        <v>0.32006249553491334</v>
      </c>
      <c r="AE3320" s="25">
        <f t="shared" si="155"/>
        <v>0.1530838724874739</v>
      </c>
    </row>
    <row r="3321" spans="1:31" x14ac:dyDescent="0.2">
      <c r="A3321" s="1" t="s">
        <v>3076</v>
      </c>
      <c r="B3321" s="1" t="s">
        <v>7426</v>
      </c>
      <c r="C3321" s="1">
        <v>56177</v>
      </c>
      <c r="D3321" s="1" t="s">
        <v>3858</v>
      </c>
      <c r="F3321" s="1">
        <v>2023</v>
      </c>
      <c r="G3321" s="5">
        <v>7620</v>
      </c>
      <c r="H3321" s="5">
        <v>7541.03</v>
      </c>
      <c r="I3321" s="5">
        <v>854366</v>
      </c>
      <c r="K3321" s="5">
        <v>1.915</v>
      </c>
      <c r="L3321" s="5">
        <v>1E-3</v>
      </c>
      <c r="M3321" s="5">
        <v>379292.62599999999</v>
      </c>
      <c r="N3321" s="6">
        <v>5.8999999999999997E-2</v>
      </c>
      <c r="O3321" s="5">
        <v>120.41200000000001</v>
      </c>
      <c r="P3321" s="6">
        <v>4.4400000000000002E-2</v>
      </c>
      <c r="Q3321" s="5">
        <v>6382297.5489999996</v>
      </c>
      <c r="R3321" s="1" t="s">
        <v>44</v>
      </c>
      <c r="T3321" s="1" t="s">
        <v>71</v>
      </c>
      <c r="V3321" s="1" t="s">
        <v>64</v>
      </c>
      <c r="Y3321" s="1" t="s">
        <v>247</v>
      </c>
      <c r="Z3321" s="1" t="str">
        <f t="shared" si="153"/>
        <v>56177 U1</v>
      </c>
      <c r="AA3321" s="3">
        <f>IF(INDEX('CAMD Facility Data 2023'!$AA$2:$AE$10000,MATCH(Z3321,'CAMD Facility Data 2023'!$AE$2:$AE$10000,0),1)&gt;0,INDEX('CAMD Facility Data 2023'!$AA$2:$AE$10000,MATCH(Z3321,'CAMD Facility Data 2023'!$AE$2:$AE$10000,0),1),"")</f>
        <v>38155</v>
      </c>
      <c r="AB3321" s="5">
        <f>IF(INDEX('CAMD Facility Data 2023'!$AC$2:$AE$10000,MATCH(Z3321,'CAMD Facility Data 2023'!$AE$2:$AE$10000,0),1)&gt;0,INDEX('CAMD Facility Data 2023'!$AC$2:$AE$10000,MATCH(Z3321,'CAMD Facility Data 2023'!$AE$2:$AE$10000,0),1),"")</f>
        <v>1300</v>
      </c>
      <c r="AC3321" s="1" t="str">
        <f>IF(INDEX('CAMD Facility Data 2023'!$AE$2:$AG$10000,MATCH(Z3321,'CAMD Facility Data 2023'!$AE$2:$AE$10000,0),3)&gt;0,INDEX('CAMD Facility Data 2023'!$AE$2:$AG$10000,MATCH(Z3321,'CAMD Facility Data 2023'!$AE$2:$AE$10000,0),3),"")</f>
        <v>Y</v>
      </c>
      <c r="AD3321" s="20">
        <f t="shared" si="154"/>
        <v>0.28187451279662346</v>
      </c>
      <c r="AE3321" s="25">
        <f t="shared" si="155"/>
        <v>0.56044059966631543</v>
      </c>
    </row>
    <row r="3322" spans="1:31" x14ac:dyDescent="0.2">
      <c r="A3322" s="1" t="s">
        <v>2089</v>
      </c>
      <c r="B3322" s="1" t="s">
        <v>7432</v>
      </c>
      <c r="C3322" s="1">
        <v>56188</v>
      </c>
      <c r="D3322" s="1">
        <v>1</v>
      </c>
      <c r="F3322" s="1">
        <v>2023</v>
      </c>
      <c r="G3322" s="5">
        <v>1515</v>
      </c>
      <c r="H3322" s="5">
        <v>1380.76</v>
      </c>
      <c r="I3322" s="5">
        <v>86464.14</v>
      </c>
      <c r="K3322" s="5">
        <v>0.19900000000000001</v>
      </c>
      <c r="L3322" s="5">
        <v>1E-3</v>
      </c>
      <c r="M3322" s="5">
        <v>39506.928999999996</v>
      </c>
      <c r="N3322" s="6">
        <v>5.9200000000000003E-2</v>
      </c>
      <c r="O3322" s="5">
        <v>2.8149999999999999</v>
      </c>
      <c r="P3322" s="6">
        <v>1.3100000000000001E-2</v>
      </c>
      <c r="Q3322" s="5">
        <v>664769.47600000002</v>
      </c>
      <c r="R3322" s="1" t="s">
        <v>44</v>
      </c>
      <c r="S3322" s="1" t="s">
        <v>1292</v>
      </c>
      <c r="T3322" s="1" t="s">
        <v>71</v>
      </c>
      <c r="V3322" s="1" t="s">
        <v>176</v>
      </c>
      <c r="Y3322" s="1" t="s">
        <v>1515</v>
      </c>
      <c r="Z3322" s="1" t="str">
        <f t="shared" si="153"/>
        <v>56188 1</v>
      </c>
      <c r="AA3322" s="3">
        <f>IF(INDEX('CAMD Facility Data 2023'!$AA$2:$AE$10000,MATCH(Z3322,'CAMD Facility Data 2023'!$AE$2:$AE$10000,0),1)&gt;0,INDEX('CAMD Facility Data 2023'!$AA$2:$AE$10000,MATCH(Z3322,'CAMD Facility Data 2023'!$AE$2:$AE$10000,0),1),"")</f>
        <v>38517</v>
      </c>
      <c r="AB3322" s="5">
        <f>IF(INDEX('CAMD Facility Data 2023'!$AC$2:$AE$10000,MATCH(Z3322,'CAMD Facility Data 2023'!$AE$2:$AE$10000,0),1)&gt;0,INDEX('CAMD Facility Data 2023'!$AC$2:$AE$10000,MATCH(Z3322,'CAMD Facility Data 2023'!$AE$2:$AE$10000,0),1),"")</f>
        <v>850</v>
      </c>
      <c r="AC3322" s="1" t="str">
        <f>IF(INDEX('CAMD Facility Data 2023'!$AE$2:$AG$10000,MATCH(Z3322,'CAMD Facility Data 2023'!$AE$2:$AE$10000,0),3)&gt;0,INDEX('CAMD Facility Data 2023'!$AE$2:$AG$10000,MATCH(Z3322,'CAMD Facility Data 2023'!$AE$2:$AE$10000,0),3),"")</f>
        <v>Y</v>
      </c>
      <c r="AD3322" s="20">
        <f t="shared" si="154"/>
        <v>6.5113699158980826E-2</v>
      </c>
      <c r="AE3322" s="25">
        <f t="shared" si="155"/>
        <v>8.9278737040021497E-2</v>
      </c>
    </row>
    <row r="3323" spans="1:31" x14ac:dyDescent="0.2">
      <c r="A3323" s="1" t="s">
        <v>2089</v>
      </c>
      <c r="B3323" s="1" t="s">
        <v>7434</v>
      </c>
      <c r="C3323" s="1">
        <v>56196</v>
      </c>
      <c r="D3323" s="1" t="s">
        <v>7435</v>
      </c>
      <c r="F3323" s="1">
        <v>2023</v>
      </c>
      <c r="G3323" s="5">
        <v>7269</v>
      </c>
      <c r="H3323" s="5">
        <v>7235.5</v>
      </c>
      <c r="I3323" s="5">
        <v>1754139.69</v>
      </c>
      <c r="K3323" s="5">
        <v>3.57</v>
      </c>
      <c r="L3323" s="5">
        <v>1E-3</v>
      </c>
      <c r="M3323" s="5">
        <v>703727.08900000004</v>
      </c>
      <c r="N3323" s="6">
        <v>5.91E-2</v>
      </c>
      <c r="O3323" s="5">
        <v>37.878</v>
      </c>
      <c r="P3323" s="6">
        <v>7.1999999999999998E-3</v>
      </c>
      <c r="Q3323" s="5">
        <v>11823254.354</v>
      </c>
      <c r="R3323" s="1" t="s">
        <v>44</v>
      </c>
      <c r="S3323" s="1" t="s">
        <v>94</v>
      </c>
      <c r="T3323" s="1" t="s">
        <v>71</v>
      </c>
      <c r="V3323" s="1" t="s">
        <v>643</v>
      </c>
      <c r="Y3323" s="1" t="s">
        <v>1515</v>
      </c>
      <c r="Z3323" s="1" t="str">
        <f t="shared" si="153"/>
        <v>56196 CTG7A</v>
      </c>
      <c r="AA3323" s="3">
        <f>IF(INDEX('CAMD Facility Data 2023'!$AA$2:$AE$10000,MATCH(Z3323,'CAMD Facility Data 2023'!$AE$2:$AE$10000,0),1)&gt;0,INDEX('CAMD Facility Data 2023'!$AA$2:$AE$10000,MATCH(Z3323,'CAMD Facility Data 2023'!$AE$2:$AE$10000,0),1),"")</f>
        <v>38717</v>
      </c>
      <c r="AB3323" s="5">
        <f>IF(INDEX('CAMD Facility Data 2023'!$AC$2:$AE$10000,MATCH(Z3323,'CAMD Facility Data 2023'!$AE$2:$AE$10000,0),1)&gt;0,INDEX('CAMD Facility Data 2023'!$AC$2:$AE$10000,MATCH(Z3323,'CAMD Facility Data 2023'!$AE$2:$AE$10000,0),1),"")</f>
        <v>2080</v>
      </c>
      <c r="AC3323" s="1" t="str">
        <f>IF(INDEX('CAMD Facility Data 2023'!$AE$2:$AG$10000,MATCH(Z3323,'CAMD Facility Data 2023'!$AE$2:$AE$10000,0),3)&gt;0,INDEX('CAMD Facility Data 2023'!$AE$2:$AG$10000,MATCH(Z3323,'CAMD Facility Data 2023'!$AE$2:$AE$10000,0),3),"")</f>
        <v>Y</v>
      </c>
      <c r="AD3323" s="20">
        <f t="shared" si="154"/>
        <v>4.3186982446078742E-2</v>
      </c>
      <c r="AE3323" s="25">
        <f t="shared" si="155"/>
        <v>0.64888777408236742</v>
      </c>
    </row>
    <row r="3324" spans="1:31" x14ac:dyDescent="0.2">
      <c r="A3324" s="1" t="s">
        <v>2089</v>
      </c>
      <c r="B3324" s="1" t="s">
        <v>7434</v>
      </c>
      <c r="C3324" s="1">
        <v>56196</v>
      </c>
      <c r="D3324" s="1" t="s">
        <v>7437</v>
      </c>
      <c r="F3324" s="1">
        <v>2023</v>
      </c>
      <c r="G3324" s="5">
        <v>7376</v>
      </c>
      <c r="H3324" s="5">
        <v>7356.48</v>
      </c>
      <c r="I3324" s="5">
        <v>1741317.57</v>
      </c>
      <c r="K3324" s="5">
        <v>3.593</v>
      </c>
      <c r="L3324" s="5">
        <v>1E-3</v>
      </c>
      <c r="M3324" s="5">
        <v>709710.21600000001</v>
      </c>
      <c r="N3324" s="6">
        <v>5.91E-2</v>
      </c>
      <c r="O3324" s="5">
        <v>39.046999999999997</v>
      </c>
      <c r="P3324" s="6">
        <v>7.4999999999999997E-3</v>
      </c>
      <c r="Q3324" s="5">
        <v>11931334.688999999</v>
      </c>
      <c r="R3324" s="1" t="s">
        <v>44</v>
      </c>
      <c r="S3324" s="1" t="s">
        <v>94</v>
      </c>
      <c r="T3324" s="1" t="s">
        <v>71</v>
      </c>
      <c r="V3324" s="1" t="s">
        <v>643</v>
      </c>
      <c r="Y3324" s="1" t="s">
        <v>1515</v>
      </c>
      <c r="Z3324" s="1" t="str">
        <f t="shared" si="153"/>
        <v>56196 CTG7B</v>
      </c>
      <c r="AA3324" s="3">
        <f>IF(INDEX('CAMD Facility Data 2023'!$AA$2:$AE$10000,MATCH(Z3324,'CAMD Facility Data 2023'!$AE$2:$AE$10000,0),1)&gt;0,INDEX('CAMD Facility Data 2023'!$AA$2:$AE$10000,MATCH(Z3324,'CAMD Facility Data 2023'!$AE$2:$AE$10000,0),1),"")</f>
        <v>38717</v>
      </c>
      <c r="AB3324" s="5">
        <f>IF(INDEX('CAMD Facility Data 2023'!$AC$2:$AE$10000,MATCH(Z3324,'CAMD Facility Data 2023'!$AE$2:$AE$10000,0),1)&gt;0,INDEX('CAMD Facility Data 2023'!$AC$2:$AE$10000,MATCH(Z3324,'CAMD Facility Data 2023'!$AE$2:$AE$10000,0),1),"")</f>
        <v>2041</v>
      </c>
      <c r="AC3324" s="1" t="str">
        <f>IF(INDEX('CAMD Facility Data 2023'!$AE$2:$AG$10000,MATCH(Z3324,'CAMD Facility Data 2023'!$AE$2:$AE$10000,0),3)&gt;0,INDEX('CAMD Facility Data 2023'!$AE$2:$AG$10000,MATCH(Z3324,'CAMD Facility Data 2023'!$AE$2:$AE$10000,0),3),"")</f>
        <v>Y</v>
      </c>
      <c r="AD3324" s="20">
        <f t="shared" si="154"/>
        <v>4.4847649472692104E-2</v>
      </c>
      <c r="AE3324" s="25">
        <f t="shared" si="155"/>
        <v>0.66733194898418047</v>
      </c>
    </row>
    <row r="3325" spans="1:31" x14ac:dyDescent="0.2">
      <c r="A3325" s="1" t="s">
        <v>1903</v>
      </c>
      <c r="B3325" s="1" t="s">
        <v>7439</v>
      </c>
      <c r="C3325" s="1">
        <v>56224</v>
      </c>
      <c r="D3325" s="1">
        <v>1</v>
      </c>
      <c r="F3325" s="1">
        <v>2023</v>
      </c>
      <c r="G3325" s="5">
        <v>7534</v>
      </c>
      <c r="H3325" s="5">
        <v>7527.73</v>
      </c>
      <c r="I3325" s="5">
        <v>1186632.75</v>
      </c>
      <c r="K3325" s="5">
        <v>121.648</v>
      </c>
      <c r="L3325" s="5">
        <v>2.1399999999999999E-2</v>
      </c>
      <c r="M3325" s="5">
        <v>1190832.7150000001</v>
      </c>
      <c r="N3325" s="6">
        <v>0.1048</v>
      </c>
      <c r="O3325" s="5">
        <v>263.101</v>
      </c>
      <c r="P3325" s="6">
        <v>4.53E-2</v>
      </c>
      <c r="Q3325" s="5">
        <v>11362175.718</v>
      </c>
      <c r="R3325" s="1" t="s">
        <v>55</v>
      </c>
      <c r="S3325" s="1" t="s">
        <v>94</v>
      </c>
      <c r="T3325" s="1" t="s">
        <v>89</v>
      </c>
      <c r="U3325" s="1" t="s">
        <v>212</v>
      </c>
      <c r="V3325" s="1" t="s">
        <v>563</v>
      </c>
      <c r="W3325" s="1" t="s">
        <v>232</v>
      </c>
      <c r="X3325" s="1" t="s">
        <v>214</v>
      </c>
      <c r="Y3325" s="1" t="s">
        <v>236</v>
      </c>
      <c r="Z3325" s="1" t="str">
        <f t="shared" si="153"/>
        <v>56224 1</v>
      </c>
      <c r="AA3325" s="3">
        <f>IF(INDEX('CAMD Facility Data 2023'!$AA$2:$AE$10000,MATCH(Z3325,'CAMD Facility Data 2023'!$AE$2:$AE$10000,0),1)&gt;0,INDEX('CAMD Facility Data 2023'!$AA$2:$AE$10000,MATCH(Z3325,'CAMD Facility Data 2023'!$AE$2:$AE$10000,0),1),"")</f>
        <v>39465</v>
      </c>
      <c r="AB3325" s="5">
        <f>IF(INDEX('CAMD Facility Data 2023'!$AC$2:$AE$10000,MATCH(Z3325,'CAMD Facility Data 2023'!$AE$2:$AE$10000,0),1)&gt;0,INDEX('CAMD Facility Data 2023'!$AC$2:$AE$10000,MATCH(Z3325,'CAMD Facility Data 2023'!$AE$2:$AE$10000,0),1),"")</f>
        <v>2462</v>
      </c>
      <c r="AC3325" s="1" t="str">
        <f>IF(INDEX('CAMD Facility Data 2023'!$AE$2:$AG$10000,MATCH(Z3325,'CAMD Facility Data 2023'!$AE$2:$AE$10000,0),3)&gt;0,INDEX('CAMD Facility Data 2023'!$AE$2:$AG$10000,MATCH(Z3325,'CAMD Facility Data 2023'!$AE$2:$AE$10000,0),3),"")</f>
        <v>Y</v>
      </c>
      <c r="AD3325" s="20">
        <f t="shared" si="154"/>
        <v>0.44344132588621038</v>
      </c>
      <c r="AE3325" s="25">
        <f t="shared" si="155"/>
        <v>0.52682860381914698</v>
      </c>
    </row>
    <row r="3326" spans="1:31" x14ac:dyDescent="0.2">
      <c r="A3326" s="1" t="s">
        <v>4093</v>
      </c>
      <c r="B3326" s="1" t="s">
        <v>7444</v>
      </c>
      <c r="C3326" s="1">
        <v>56227</v>
      </c>
      <c r="D3326" s="1" t="s">
        <v>7445</v>
      </c>
      <c r="F3326" s="1">
        <v>2023</v>
      </c>
      <c r="G3326" s="5">
        <v>8180</v>
      </c>
      <c r="H3326" s="5">
        <v>8177.93</v>
      </c>
      <c r="I3326" s="5">
        <v>3137089.68</v>
      </c>
      <c r="K3326" s="5">
        <v>5.4960000000000004</v>
      </c>
      <c r="L3326" s="5">
        <v>1E-3</v>
      </c>
      <c r="M3326" s="5">
        <v>1255485.04</v>
      </c>
      <c r="N3326" s="6">
        <v>5.8999999999999997E-2</v>
      </c>
      <c r="O3326" s="5">
        <v>86.188000000000002</v>
      </c>
      <c r="P3326" s="6">
        <v>8.3000000000000001E-3</v>
      </c>
      <c r="Q3326" s="5">
        <v>21125974.620000001</v>
      </c>
      <c r="R3326" s="1" t="s">
        <v>284</v>
      </c>
      <c r="T3326" s="1" t="s">
        <v>71</v>
      </c>
      <c r="V3326" s="1" t="s">
        <v>64</v>
      </c>
      <c r="Y3326" s="1" t="s">
        <v>247</v>
      </c>
      <c r="Z3326" s="1" t="str">
        <f t="shared" si="153"/>
        <v>56227 PWEU1</v>
      </c>
      <c r="AA3326" s="3">
        <f>IF(INDEX('CAMD Facility Data 2023'!$AA$2:$AE$10000,MATCH(Z3326,'CAMD Facility Data 2023'!$AE$2:$AE$10000,0),1)&gt;0,INDEX('CAMD Facility Data 2023'!$AA$2:$AE$10000,MATCH(Z3326,'CAMD Facility Data 2023'!$AE$2:$AE$10000,0),1),"")</f>
        <v>39245</v>
      </c>
      <c r="AB3326" s="5">
        <f>IF(INDEX('CAMD Facility Data 2023'!$AC$2:$AE$10000,MATCH(Z3326,'CAMD Facility Data 2023'!$AE$2:$AE$10000,0),1)&gt;0,INDEX('CAMD Facility Data 2023'!$AC$2:$AE$10000,MATCH(Z3326,'CAMD Facility Data 2023'!$AE$2:$AE$10000,0),1),"")</f>
        <v>4000</v>
      </c>
      <c r="AC3326" s="1" t="str">
        <f>IF(INDEX('CAMD Facility Data 2023'!$AE$2:$AG$10000,MATCH(Z3326,'CAMD Facility Data 2023'!$AE$2:$AE$10000,0),3)&gt;0,INDEX('CAMD Facility Data 2023'!$AE$2:$AG$10000,MATCH(Z3326,'CAMD Facility Data 2023'!$AE$2:$AE$10000,0),3),"")</f>
        <v>Y</v>
      </c>
      <c r="AD3326" s="20">
        <f t="shared" si="154"/>
        <v>5.4947743795453113E-2</v>
      </c>
      <c r="AE3326" s="25">
        <f t="shared" si="155"/>
        <v>0.60291023458904114</v>
      </c>
    </row>
    <row r="3327" spans="1:31" x14ac:dyDescent="0.2">
      <c r="A3327" s="1" t="s">
        <v>370</v>
      </c>
      <c r="B3327" s="1" t="s">
        <v>7448</v>
      </c>
      <c r="C3327" s="1">
        <v>56232</v>
      </c>
      <c r="D3327" s="1">
        <v>1</v>
      </c>
      <c r="F3327" s="1">
        <v>2023</v>
      </c>
      <c r="G3327" s="5">
        <v>375</v>
      </c>
      <c r="H3327" s="5">
        <v>300.57</v>
      </c>
      <c r="I3327" s="5">
        <v>11994.34</v>
      </c>
      <c r="K3327" s="5">
        <v>3.5999999999999997E-2</v>
      </c>
      <c r="L3327" s="5">
        <v>1E-3</v>
      </c>
      <c r="M3327" s="5">
        <v>7104.27</v>
      </c>
      <c r="N3327" s="6">
        <v>5.9200000000000003E-2</v>
      </c>
      <c r="O3327" s="5">
        <v>1.153</v>
      </c>
      <c r="P3327" s="6">
        <v>3.2899999999999999E-2</v>
      </c>
      <c r="Q3327" s="5">
        <v>119538.65700000001</v>
      </c>
      <c r="R3327" s="1" t="s">
        <v>44</v>
      </c>
      <c r="T3327" s="1" t="s">
        <v>93</v>
      </c>
      <c r="V3327" s="1" t="s">
        <v>176</v>
      </c>
      <c r="Y3327" s="1" t="s">
        <v>247</v>
      </c>
      <c r="Z3327" s="1" t="str">
        <f t="shared" si="153"/>
        <v>56232 1</v>
      </c>
      <c r="AA3327" s="3">
        <f>IF(INDEX('CAMD Facility Data 2023'!$AA$2:$AE$10000,MATCH(Z3327,'CAMD Facility Data 2023'!$AE$2:$AE$10000,0),1)&gt;0,INDEX('CAMD Facility Data 2023'!$AA$2:$AE$10000,MATCH(Z3327,'CAMD Facility Data 2023'!$AE$2:$AE$10000,0),1),"")</f>
        <v>38488</v>
      </c>
      <c r="AB3327" s="5">
        <f>IF(INDEX('CAMD Facility Data 2023'!$AC$2:$AE$10000,MATCH(Z3327,'CAMD Facility Data 2023'!$AE$2:$AE$10000,0),1)&gt;0,INDEX('CAMD Facility Data 2023'!$AC$2:$AE$10000,MATCH(Z3327,'CAMD Facility Data 2023'!$AE$2:$AE$10000,0),1),"")</f>
        <v>500</v>
      </c>
      <c r="AC3327" s="1" t="str">
        <f>IF(INDEX('CAMD Facility Data 2023'!$AE$2:$AG$10000,MATCH(Z3327,'CAMD Facility Data 2023'!$AE$2:$AE$10000,0),3)&gt;0,INDEX('CAMD Facility Data 2023'!$AE$2:$AG$10000,MATCH(Z3327,'CAMD Facility Data 2023'!$AE$2:$AE$10000,0),3),"")</f>
        <v>Y</v>
      </c>
      <c r="AD3327" s="20">
        <f t="shared" si="154"/>
        <v>0.1922573480491632</v>
      </c>
      <c r="AE3327" s="25">
        <f t="shared" si="155"/>
        <v>2.7291930821917811E-2</v>
      </c>
    </row>
    <row r="3328" spans="1:31" x14ac:dyDescent="0.2">
      <c r="A3328" s="1" t="s">
        <v>370</v>
      </c>
      <c r="B3328" s="1" t="s">
        <v>7448</v>
      </c>
      <c r="C3328" s="1">
        <v>56232</v>
      </c>
      <c r="D3328" s="1">
        <v>2</v>
      </c>
      <c r="F3328" s="1">
        <v>2023</v>
      </c>
      <c r="G3328" s="5">
        <v>367</v>
      </c>
      <c r="H3328" s="5">
        <v>291.70999999999998</v>
      </c>
      <c r="I3328" s="5">
        <v>11742.1</v>
      </c>
      <c r="K3328" s="5">
        <v>3.5000000000000003E-2</v>
      </c>
      <c r="L3328" s="5">
        <v>1E-3</v>
      </c>
      <c r="M3328" s="5">
        <v>6980.3869999999997</v>
      </c>
      <c r="N3328" s="6">
        <v>5.9200000000000003E-2</v>
      </c>
      <c r="O3328" s="5">
        <v>1.198</v>
      </c>
      <c r="P3328" s="6">
        <v>3.1600000000000003E-2</v>
      </c>
      <c r="Q3328" s="5">
        <v>117467.689</v>
      </c>
      <c r="R3328" s="1" t="s">
        <v>44</v>
      </c>
      <c r="T3328" s="1" t="s">
        <v>93</v>
      </c>
      <c r="V3328" s="1" t="s">
        <v>176</v>
      </c>
      <c r="Y3328" s="1" t="s">
        <v>247</v>
      </c>
      <c r="Z3328" s="1" t="str">
        <f t="shared" si="153"/>
        <v>56232 2</v>
      </c>
      <c r="AA3328" s="3">
        <f>IF(INDEX('CAMD Facility Data 2023'!$AA$2:$AE$10000,MATCH(Z3328,'CAMD Facility Data 2023'!$AE$2:$AE$10000,0),1)&gt;0,INDEX('CAMD Facility Data 2023'!$AA$2:$AE$10000,MATCH(Z3328,'CAMD Facility Data 2023'!$AE$2:$AE$10000,0),1),"")</f>
        <v>39949</v>
      </c>
      <c r="AB3328" s="5">
        <f>IF(INDEX('CAMD Facility Data 2023'!$AC$2:$AE$10000,MATCH(Z3328,'CAMD Facility Data 2023'!$AE$2:$AE$10000,0),1)&gt;0,INDEX('CAMD Facility Data 2023'!$AC$2:$AE$10000,MATCH(Z3328,'CAMD Facility Data 2023'!$AE$2:$AE$10000,0),1),"")</f>
        <v>490</v>
      </c>
      <c r="AC3328" s="1" t="str">
        <f>IF(INDEX('CAMD Facility Data 2023'!$AE$2:$AG$10000,MATCH(Z3328,'CAMD Facility Data 2023'!$AE$2:$AE$10000,0),3)&gt;0,INDEX('CAMD Facility Data 2023'!$AE$2:$AG$10000,MATCH(Z3328,'CAMD Facility Data 2023'!$AE$2:$AE$10000,0),3),"")</f>
        <v>Y</v>
      </c>
      <c r="AD3328" s="20">
        <f t="shared" si="154"/>
        <v>0.20405208608340927</v>
      </c>
      <c r="AE3328" s="25">
        <f t="shared" si="155"/>
        <v>2.7366435793495479E-2</v>
      </c>
    </row>
    <row r="3329" spans="1:31" x14ac:dyDescent="0.2">
      <c r="A3329" s="1" t="s">
        <v>2089</v>
      </c>
      <c r="B3329" s="1" t="s">
        <v>7451</v>
      </c>
      <c r="C3329" s="1">
        <v>56234</v>
      </c>
      <c r="D3329" s="1">
        <v>1</v>
      </c>
      <c r="F3329" s="1">
        <v>2023</v>
      </c>
      <c r="G3329" s="5">
        <v>8311</v>
      </c>
      <c r="H3329" s="5">
        <v>8306.82</v>
      </c>
      <c r="I3329" s="5">
        <v>2557228.0699999998</v>
      </c>
      <c r="K3329" s="5">
        <v>4.9939999999999998</v>
      </c>
      <c r="L3329" s="5">
        <v>1E-3</v>
      </c>
      <c r="M3329" s="5">
        <v>989177.53500000003</v>
      </c>
      <c r="N3329" s="6">
        <v>5.8999999999999997E-2</v>
      </c>
      <c r="O3329" s="5">
        <v>56.511000000000003</v>
      </c>
      <c r="P3329" s="6">
        <v>6.7999999999999996E-3</v>
      </c>
      <c r="Q3329" s="5">
        <v>16644721.095000001</v>
      </c>
      <c r="R3329" s="1" t="s">
        <v>44</v>
      </c>
      <c r="S3329" s="1" t="s">
        <v>94</v>
      </c>
      <c r="T3329" s="1" t="s">
        <v>71</v>
      </c>
      <c r="V3329" s="1" t="s">
        <v>787</v>
      </c>
      <c r="Y3329" s="1" t="s">
        <v>1515</v>
      </c>
      <c r="Z3329" s="1" t="str">
        <f t="shared" si="153"/>
        <v>56234 1</v>
      </c>
      <c r="AA3329" s="3">
        <f>IF(INDEX('CAMD Facility Data 2023'!$AA$2:$AE$10000,MATCH(Z3329,'CAMD Facility Data 2023'!$AE$2:$AE$10000,0),1)&gt;0,INDEX('CAMD Facility Data 2023'!$AA$2:$AE$10000,MATCH(Z3329,'CAMD Facility Data 2023'!$AE$2:$AE$10000,0),1),"")</f>
        <v>39920</v>
      </c>
      <c r="AB3329" s="5">
        <f>IF(INDEX('CAMD Facility Data 2023'!$AC$2:$AE$10000,MATCH(Z3329,'CAMD Facility Data 2023'!$AE$2:$AE$10000,0),1)&gt;0,INDEX('CAMD Facility Data 2023'!$AC$2:$AE$10000,MATCH(Z3329,'CAMD Facility Data 2023'!$AE$2:$AE$10000,0),1),"")</f>
        <v>2650</v>
      </c>
      <c r="AC3329" s="1" t="str">
        <f>IF(INDEX('CAMD Facility Data 2023'!$AE$2:$AG$10000,MATCH(Z3329,'CAMD Facility Data 2023'!$AE$2:$AE$10000,0),3)&gt;0,INDEX('CAMD Facility Data 2023'!$AE$2:$AG$10000,MATCH(Z3329,'CAMD Facility Data 2023'!$AE$2:$AE$10000,0),3),"")</f>
        <v>Y</v>
      </c>
      <c r="AD3329" s="20">
        <f t="shared" si="154"/>
        <v>4.4197074686420132E-2</v>
      </c>
      <c r="AE3329" s="25">
        <f t="shared" si="155"/>
        <v>0.71701219501163094</v>
      </c>
    </row>
    <row r="3330" spans="1:31" x14ac:dyDescent="0.2">
      <c r="A3330" s="1" t="s">
        <v>3076</v>
      </c>
      <c r="B3330" s="1" t="s">
        <v>7454</v>
      </c>
      <c r="C3330" s="1">
        <v>56237</v>
      </c>
      <c r="D3330" s="1" t="s">
        <v>993</v>
      </c>
      <c r="F3330" s="1">
        <v>2023</v>
      </c>
      <c r="G3330" s="5">
        <v>7957</v>
      </c>
      <c r="H3330" s="5">
        <v>7935.26</v>
      </c>
      <c r="I3330" s="5">
        <v>1636454.61</v>
      </c>
      <c r="K3330" s="5">
        <v>3.488</v>
      </c>
      <c r="L3330" s="5">
        <v>1E-3</v>
      </c>
      <c r="M3330" s="5">
        <v>690876.77899999998</v>
      </c>
      <c r="N3330" s="6">
        <v>5.8999999999999997E-2</v>
      </c>
      <c r="O3330" s="5">
        <v>36.731999999999999</v>
      </c>
      <c r="P3330" s="6">
        <v>6.4999999999999997E-3</v>
      </c>
      <c r="Q3330" s="5">
        <v>11625253.247</v>
      </c>
      <c r="R3330" s="1" t="s">
        <v>44</v>
      </c>
      <c r="T3330" s="1" t="s">
        <v>71</v>
      </c>
      <c r="V3330" s="1" t="s">
        <v>223</v>
      </c>
      <c r="Y3330" s="1" t="s">
        <v>247</v>
      </c>
      <c r="Z3330" s="1" t="str">
        <f t="shared" si="153"/>
        <v>56237 CT01</v>
      </c>
      <c r="AA3330" s="3">
        <f>IF(INDEX('CAMD Facility Data 2023'!$AA$2:$AE$10000,MATCH(Z3330,'CAMD Facility Data 2023'!$AE$2:$AE$10000,0),1)&gt;0,INDEX('CAMD Facility Data 2023'!$AA$2:$AE$10000,MATCH(Z3330,'CAMD Facility Data 2023'!$AE$2:$AE$10000,0),1),"")</f>
        <v>39227</v>
      </c>
      <c r="AB3330" s="5">
        <f>IF(INDEX('CAMD Facility Data 2023'!$AC$2:$AE$10000,MATCH(Z3330,'CAMD Facility Data 2023'!$AE$2:$AE$10000,0),1)&gt;0,INDEX('CAMD Facility Data 2023'!$AC$2:$AE$10000,MATCH(Z3330,'CAMD Facility Data 2023'!$AE$2:$AE$10000,0),1),"")</f>
        <v>2200</v>
      </c>
      <c r="AC3330" s="1" t="str">
        <f>IF(INDEX('CAMD Facility Data 2023'!$AE$2:$AG$10000,MATCH(Z3330,'CAMD Facility Data 2023'!$AE$2:$AE$10000,0),3)&gt;0,INDEX('CAMD Facility Data 2023'!$AE$2:$AG$10000,MATCH(Z3330,'CAMD Facility Data 2023'!$AE$2:$AE$10000,0),3),"")</f>
        <v>Y</v>
      </c>
      <c r="AD3330" s="20">
        <f t="shared" si="154"/>
        <v>4.4892170886426233E-2</v>
      </c>
      <c r="AE3330" s="25">
        <f t="shared" si="155"/>
        <v>0.60321986545246986</v>
      </c>
    </row>
    <row r="3331" spans="1:31" x14ac:dyDescent="0.2">
      <c r="A3331" s="1" t="s">
        <v>3076</v>
      </c>
      <c r="B3331" s="1" t="s">
        <v>7454</v>
      </c>
      <c r="C3331" s="1">
        <v>56237</v>
      </c>
      <c r="D3331" s="1" t="s">
        <v>998</v>
      </c>
      <c r="F3331" s="1">
        <v>2023</v>
      </c>
      <c r="G3331" s="5">
        <v>7802</v>
      </c>
      <c r="H3331" s="5">
        <v>7587.42</v>
      </c>
      <c r="I3331" s="5">
        <v>1564740.98</v>
      </c>
      <c r="K3331" s="5">
        <v>3.3359999999999999</v>
      </c>
      <c r="L3331" s="5">
        <v>1E-3</v>
      </c>
      <c r="M3331" s="5">
        <v>660735.25399999996</v>
      </c>
      <c r="N3331" s="6">
        <v>5.8999999999999997E-2</v>
      </c>
      <c r="O3331" s="5">
        <v>39.100999999999999</v>
      </c>
      <c r="P3331" s="6">
        <v>8.6999999999999994E-3</v>
      </c>
      <c r="Q3331" s="5">
        <v>11118157.217</v>
      </c>
      <c r="R3331" s="1" t="s">
        <v>44</v>
      </c>
      <c r="T3331" s="1" t="s">
        <v>71</v>
      </c>
      <c r="V3331" s="1" t="s">
        <v>223</v>
      </c>
      <c r="Y3331" s="1" t="s">
        <v>247</v>
      </c>
      <c r="Z3331" s="1" t="str">
        <f t="shared" ref="Z3331:Z3394" si="156">C3331&amp;" "&amp;D3331</f>
        <v>56237 CT02</v>
      </c>
      <c r="AA3331" s="3">
        <f>IF(INDEX('CAMD Facility Data 2023'!$AA$2:$AE$10000,MATCH(Z3331,'CAMD Facility Data 2023'!$AE$2:$AE$10000,0),1)&gt;0,INDEX('CAMD Facility Data 2023'!$AA$2:$AE$10000,MATCH(Z3331,'CAMD Facility Data 2023'!$AE$2:$AE$10000,0),1),"")</f>
        <v>39235</v>
      </c>
      <c r="AB3331" s="5">
        <f>IF(INDEX('CAMD Facility Data 2023'!$AC$2:$AE$10000,MATCH(Z3331,'CAMD Facility Data 2023'!$AE$2:$AE$10000,0),1)&gt;0,INDEX('CAMD Facility Data 2023'!$AC$2:$AE$10000,MATCH(Z3331,'CAMD Facility Data 2023'!$AE$2:$AE$10000,0),1),"")</f>
        <v>2200</v>
      </c>
      <c r="AC3331" s="1" t="str">
        <f>IF(INDEX('CAMD Facility Data 2023'!$AE$2:$AG$10000,MATCH(Z3331,'CAMD Facility Data 2023'!$AE$2:$AE$10000,0),3)&gt;0,INDEX('CAMD Facility Data 2023'!$AE$2:$AG$10000,MATCH(Z3331,'CAMD Facility Data 2023'!$AE$2:$AE$10000,0),3),"")</f>
        <v>Y</v>
      </c>
      <c r="AD3331" s="20">
        <f t="shared" ref="AD3331:AD3394" si="157">IF(ISNUMBER(O3331*2000/I3331),O3331*2000/I3331,"")</f>
        <v>4.9977600765591247E-2</v>
      </c>
      <c r="AE3331" s="25">
        <f t="shared" ref="AE3331:AE3394" si="158">Q3331/(AB3331*8760)</f>
        <v>0.5769072860626816</v>
      </c>
    </row>
    <row r="3332" spans="1:31" x14ac:dyDescent="0.2">
      <c r="A3332" s="1" t="s">
        <v>3076</v>
      </c>
      <c r="B3332" s="1" t="s">
        <v>7454</v>
      </c>
      <c r="C3332" s="1">
        <v>56237</v>
      </c>
      <c r="D3332" s="1" t="s">
        <v>1043</v>
      </c>
      <c r="F3332" s="1">
        <v>2023</v>
      </c>
      <c r="G3332" s="5">
        <v>7698</v>
      </c>
      <c r="H3332" s="5">
        <v>7692.52</v>
      </c>
      <c r="I3332" s="5">
        <v>1781349.45</v>
      </c>
      <c r="K3332" s="5">
        <v>3.6520000000000001</v>
      </c>
      <c r="L3332" s="5">
        <v>1E-3</v>
      </c>
      <c r="M3332" s="5">
        <v>723473.55900000001</v>
      </c>
      <c r="N3332" s="6">
        <v>5.8999999999999997E-2</v>
      </c>
      <c r="O3332" s="5">
        <v>37.347000000000001</v>
      </c>
      <c r="P3332" s="6">
        <v>6.3E-3</v>
      </c>
      <c r="Q3332" s="5">
        <v>12173906.213</v>
      </c>
      <c r="R3332" s="1" t="s">
        <v>44</v>
      </c>
      <c r="T3332" s="1" t="s">
        <v>71</v>
      </c>
      <c r="V3332" s="1" t="s">
        <v>223</v>
      </c>
      <c r="Y3332" s="1" t="s">
        <v>247</v>
      </c>
      <c r="Z3332" s="1" t="str">
        <f t="shared" si="156"/>
        <v>56237 CT03</v>
      </c>
      <c r="AA3332" s="3">
        <f>IF(INDEX('CAMD Facility Data 2023'!$AA$2:$AE$10000,MATCH(Z3332,'CAMD Facility Data 2023'!$AE$2:$AE$10000,0),1)&gt;0,INDEX('CAMD Facility Data 2023'!$AA$2:$AE$10000,MATCH(Z3332,'CAMD Facility Data 2023'!$AE$2:$AE$10000,0),1),"")</f>
        <v>41662</v>
      </c>
      <c r="AB3332" s="5">
        <f>IF(INDEX('CAMD Facility Data 2023'!$AC$2:$AE$10000,MATCH(Z3332,'CAMD Facility Data 2023'!$AE$2:$AE$10000,0),1)&gt;0,INDEX('CAMD Facility Data 2023'!$AC$2:$AE$10000,MATCH(Z3332,'CAMD Facility Data 2023'!$AE$2:$AE$10000,0),1),"")</f>
        <v>2310</v>
      </c>
      <c r="AC3332" s="1" t="str">
        <f>IF(INDEX('CAMD Facility Data 2023'!$AE$2:$AG$10000,MATCH(Z3332,'CAMD Facility Data 2023'!$AE$2:$AE$10000,0),3)&gt;0,INDEX('CAMD Facility Data 2023'!$AE$2:$AG$10000,MATCH(Z3332,'CAMD Facility Data 2023'!$AE$2:$AE$10000,0),3),"")</f>
        <v>Y</v>
      </c>
      <c r="AD3332" s="20">
        <f t="shared" si="157"/>
        <v>4.1931132602870257E-2</v>
      </c>
      <c r="AE3332" s="25">
        <f t="shared" si="158"/>
        <v>0.60160836412065866</v>
      </c>
    </row>
    <row r="3333" spans="1:31" x14ac:dyDescent="0.2">
      <c r="A3333" s="1" t="s">
        <v>3076</v>
      </c>
      <c r="B3333" s="1" t="s">
        <v>7454</v>
      </c>
      <c r="C3333" s="1">
        <v>56237</v>
      </c>
      <c r="D3333" s="1" t="s">
        <v>1048</v>
      </c>
      <c r="F3333" s="1">
        <v>2023</v>
      </c>
      <c r="G3333" s="5">
        <v>7207</v>
      </c>
      <c r="H3333" s="5">
        <v>7109.91</v>
      </c>
      <c r="I3333" s="5">
        <v>1647933.38</v>
      </c>
      <c r="K3333" s="5">
        <v>3.4089999999999998</v>
      </c>
      <c r="L3333" s="5">
        <v>1E-3</v>
      </c>
      <c r="M3333" s="5">
        <v>675231.72499999998</v>
      </c>
      <c r="N3333" s="6">
        <v>5.8999999999999997E-2</v>
      </c>
      <c r="O3333" s="5">
        <v>37.164000000000001</v>
      </c>
      <c r="P3333" s="6">
        <v>7.1000000000000004E-3</v>
      </c>
      <c r="Q3333" s="5">
        <v>11362036.805</v>
      </c>
      <c r="R3333" s="1" t="s">
        <v>44</v>
      </c>
      <c r="T3333" s="1" t="s">
        <v>71</v>
      </c>
      <c r="V3333" s="1" t="s">
        <v>223</v>
      </c>
      <c r="Y3333" s="1" t="s">
        <v>247</v>
      </c>
      <c r="Z3333" s="1" t="str">
        <f t="shared" si="156"/>
        <v>56237 CT04</v>
      </c>
      <c r="AA3333" s="3">
        <f>IF(INDEX('CAMD Facility Data 2023'!$AA$2:$AE$10000,MATCH(Z3333,'CAMD Facility Data 2023'!$AE$2:$AE$10000,0),1)&gt;0,INDEX('CAMD Facility Data 2023'!$AA$2:$AE$10000,MATCH(Z3333,'CAMD Facility Data 2023'!$AE$2:$AE$10000,0),1),"")</f>
        <v>41671</v>
      </c>
      <c r="AB3333" s="5">
        <f>IF(INDEX('CAMD Facility Data 2023'!$AC$2:$AE$10000,MATCH(Z3333,'CAMD Facility Data 2023'!$AE$2:$AE$10000,0),1)&gt;0,INDEX('CAMD Facility Data 2023'!$AC$2:$AE$10000,MATCH(Z3333,'CAMD Facility Data 2023'!$AE$2:$AE$10000,0),1),"")</f>
        <v>2310</v>
      </c>
      <c r="AC3333" s="1" t="str">
        <f>IF(INDEX('CAMD Facility Data 2023'!$AE$2:$AG$10000,MATCH(Z3333,'CAMD Facility Data 2023'!$AE$2:$AE$10000,0),3)&gt;0,INDEX('CAMD Facility Data 2023'!$AE$2:$AG$10000,MATCH(Z3333,'CAMD Facility Data 2023'!$AE$2:$AE$10000,0),3),"")</f>
        <v>Y</v>
      </c>
      <c r="AD3333" s="20">
        <f t="shared" si="157"/>
        <v>4.5103765056327703E-2</v>
      </c>
      <c r="AE3333" s="25">
        <f t="shared" si="158"/>
        <v>0.56148751729625013</v>
      </c>
    </row>
    <row r="3334" spans="1:31" x14ac:dyDescent="0.2">
      <c r="A3334" s="1" t="s">
        <v>2750</v>
      </c>
      <c r="B3334" s="1" t="s">
        <v>7459</v>
      </c>
      <c r="C3334" s="1">
        <v>56238</v>
      </c>
      <c r="D3334" s="1" t="s">
        <v>648</v>
      </c>
      <c r="F3334" s="1">
        <v>2023</v>
      </c>
      <c r="G3334" s="5">
        <v>1593</v>
      </c>
      <c r="H3334" s="5">
        <v>1477.65</v>
      </c>
      <c r="I3334" s="5">
        <v>76513.94</v>
      </c>
      <c r="K3334" s="5">
        <v>0.23200000000000001</v>
      </c>
      <c r="L3334" s="5">
        <v>1E-3</v>
      </c>
      <c r="M3334" s="5">
        <v>45986.822</v>
      </c>
      <c r="N3334" s="6">
        <v>5.91E-2</v>
      </c>
      <c r="O3334" s="5">
        <v>40.835999999999999</v>
      </c>
      <c r="P3334" s="6">
        <v>0.1051</v>
      </c>
      <c r="Q3334" s="5">
        <v>773831.66599999997</v>
      </c>
      <c r="R3334" s="1" t="s">
        <v>44</v>
      </c>
      <c r="T3334" s="1" t="s">
        <v>93</v>
      </c>
      <c r="V3334" s="1" t="s">
        <v>95</v>
      </c>
      <c r="Y3334" s="1" t="s">
        <v>247</v>
      </c>
      <c r="Z3334" s="1" t="str">
        <f t="shared" si="156"/>
        <v>56238 CT001</v>
      </c>
      <c r="AA3334" s="3">
        <f>IF(INDEX('CAMD Facility Data 2023'!$AA$2:$AE$10000,MATCH(Z3334,'CAMD Facility Data 2023'!$AE$2:$AE$10000,0),1)&gt;0,INDEX('CAMD Facility Data 2023'!$AA$2:$AE$10000,MATCH(Z3334,'CAMD Facility Data 2023'!$AE$2:$AE$10000,0),1),"")</f>
        <v>38890</v>
      </c>
      <c r="AB3334" s="5">
        <f>IF(INDEX('CAMD Facility Data 2023'!$AC$2:$AE$10000,MATCH(Z3334,'CAMD Facility Data 2023'!$AE$2:$AE$10000,0),1)&gt;0,INDEX('CAMD Facility Data 2023'!$AC$2:$AE$10000,MATCH(Z3334,'CAMD Facility Data 2023'!$AE$2:$AE$10000,0),1),"")</f>
        <v>840</v>
      </c>
      <c r="AC3334" s="1" t="str">
        <f>IF(INDEX('CAMD Facility Data 2023'!$AE$2:$AG$10000,MATCH(Z3334,'CAMD Facility Data 2023'!$AE$2:$AE$10000,0),3)&gt;0,INDEX('CAMD Facility Data 2023'!$AE$2:$AG$10000,MATCH(Z3334,'CAMD Facility Data 2023'!$AE$2:$AE$10000,0),3),"")</f>
        <v/>
      </c>
      <c r="AD3334" s="20">
        <f t="shared" si="157"/>
        <v>1.0674133367070104</v>
      </c>
      <c r="AE3334" s="25">
        <f t="shared" si="158"/>
        <v>0.10516303353989997</v>
      </c>
    </row>
    <row r="3335" spans="1:31" x14ac:dyDescent="0.2">
      <c r="A3335" s="1" t="s">
        <v>2750</v>
      </c>
      <c r="B3335" s="1" t="s">
        <v>7459</v>
      </c>
      <c r="C3335" s="1">
        <v>56238</v>
      </c>
      <c r="D3335" s="1" t="s">
        <v>7093</v>
      </c>
      <c r="F3335" s="1">
        <v>2023</v>
      </c>
      <c r="G3335" s="5">
        <v>2709</v>
      </c>
      <c r="H3335" s="5">
        <v>2404.5300000000002</v>
      </c>
      <c r="I3335" s="5">
        <v>137263.26999999999</v>
      </c>
      <c r="K3335" s="5">
        <v>0.26500000000000001</v>
      </c>
      <c r="L3335" s="5">
        <v>1E-3</v>
      </c>
      <c r="M3335" s="5">
        <v>52477.218999999997</v>
      </c>
      <c r="N3335" s="6">
        <v>5.9200000000000003E-2</v>
      </c>
      <c r="O3335" s="5">
        <v>37.088999999999999</v>
      </c>
      <c r="P3335" s="6">
        <v>8.5300000000000001E-2</v>
      </c>
      <c r="Q3335" s="5">
        <v>883026.86399999994</v>
      </c>
      <c r="R3335" s="1" t="s">
        <v>44</v>
      </c>
      <c r="T3335" s="1" t="s">
        <v>93</v>
      </c>
      <c r="V3335" s="1" t="s">
        <v>95</v>
      </c>
      <c r="Y3335" s="1" t="s">
        <v>247</v>
      </c>
      <c r="Z3335" s="1" t="str">
        <f t="shared" si="156"/>
        <v>56238 CT002</v>
      </c>
      <c r="AA3335" s="3">
        <f>IF(INDEX('CAMD Facility Data 2023'!$AA$2:$AE$10000,MATCH(Z3335,'CAMD Facility Data 2023'!$AE$2:$AE$10000,0),1)&gt;0,INDEX('CAMD Facility Data 2023'!$AA$2:$AE$10000,MATCH(Z3335,'CAMD Facility Data 2023'!$AE$2:$AE$10000,0),1),"")</f>
        <v>39630</v>
      </c>
      <c r="AB3335" s="5">
        <f>IF(INDEX('CAMD Facility Data 2023'!$AC$2:$AE$10000,MATCH(Z3335,'CAMD Facility Data 2023'!$AE$2:$AE$10000,0),1)&gt;0,INDEX('CAMD Facility Data 2023'!$AC$2:$AE$10000,MATCH(Z3335,'CAMD Facility Data 2023'!$AE$2:$AE$10000,0),1),"")</f>
        <v>786.5</v>
      </c>
      <c r="AC3335" s="1" t="str">
        <f>IF(INDEX('CAMD Facility Data 2023'!$AE$2:$AG$10000,MATCH(Z3335,'CAMD Facility Data 2023'!$AE$2:$AE$10000,0),3)&gt;0,INDEX('CAMD Facility Data 2023'!$AE$2:$AG$10000,MATCH(Z3335,'CAMD Facility Data 2023'!$AE$2:$AE$10000,0),3),"")</f>
        <v/>
      </c>
      <c r="AD3335" s="20">
        <f t="shared" si="157"/>
        <v>0.54040676722913572</v>
      </c>
      <c r="AE3335" s="25">
        <f t="shared" si="158"/>
        <v>0.12816548432887162</v>
      </c>
    </row>
    <row r="3336" spans="1:31" x14ac:dyDescent="0.2">
      <c r="A3336" s="1" t="s">
        <v>370</v>
      </c>
      <c r="B3336" s="1" t="s">
        <v>7462</v>
      </c>
      <c r="C3336" s="1">
        <v>56239</v>
      </c>
      <c r="D3336" s="1" t="s">
        <v>1155</v>
      </c>
      <c r="F3336" s="1">
        <v>2023</v>
      </c>
      <c r="G3336" s="5">
        <v>356</v>
      </c>
      <c r="H3336" s="5">
        <v>216.52</v>
      </c>
      <c r="I3336" s="5">
        <v>5232.78</v>
      </c>
      <c r="K3336" s="5">
        <v>1.7000000000000001E-2</v>
      </c>
      <c r="L3336" s="5">
        <v>1E-3</v>
      </c>
      <c r="M3336" s="5">
        <v>3333.1280000000002</v>
      </c>
      <c r="N3336" s="6">
        <v>5.9299999999999999E-2</v>
      </c>
      <c r="O3336" s="5">
        <v>0.73099999999999998</v>
      </c>
      <c r="P3336" s="6">
        <v>4.4900000000000002E-2</v>
      </c>
      <c r="Q3336" s="5">
        <v>56098.23</v>
      </c>
      <c r="R3336" s="1" t="s">
        <v>44</v>
      </c>
      <c r="T3336" s="1" t="s">
        <v>93</v>
      </c>
      <c r="V3336" s="1" t="s">
        <v>223</v>
      </c>
      <c r="Y3336" s="1" t="s">
        <v>247</v>
      </c>
      <c r="Z3336" s="1" t="str">
        <f t="shared" si="156"/>
        <v>56239 GT-1</v>
      </c>
      <c r="AA3336" s="3">
        <f>IF(INDEX('CAMD Facility Data 2023'!$AA$2:$AE$10000,MATCH(Z3336,'CAMD Facility Data 2023'!$AE$2:$AE$10000,0),1)&gt;0,INDEX('CAMD Facility Data 2023'!$AA$2:$AE$10000,MATCH(Z3336,'CAMD Facility Data 2023'!$AE$2:$AE$10000,0),1),"")</f>
        <v>38504</v>
      </c>
      <c r="AB3336" s="5">
        <f>IF(INDEX('CAMD Facility Data 2023'!$AC$2:$AE$10000,MATCH(Z3336,'CAMD Facility Data 2023'!$AE$2:$AE$10000,0),1)&gt;0,INDEX('CAMD Facility Data 2023'!$AC$2:$AE$10000,MATCH(Z3336,'CAMD Facility Data 2023'!$AE$2:$AE$10000,0),1),"")</f>
        <v>490</v>
      </c>
      <c r="AC3336" s="1" t="str">
        <f>IF(INDEX('CAMD Facility Data 2023'!$AE$2:$AG$10000,MATCH(Z3336,'CAMD Facility Data 2023'!$AE$2:$AE$10000,0),3)&gt;0,INDEX('CAMD Facility Data 2023'!$AE$2:$AG$10000,MATCH(Z3336,'CAMD Facility Data 2023'!$AE$2:$AE$10000,0),3),"")</f>
        <v>Y</v>
      </c>
      <c r="AD3336" s="20">
        <f t="shared" si="157"/>
        <v>0.27939259819828083</v>
      </c>
      <c r="AE3336" s="25">
        <f t="shared" si="158"/>
        <v>1.3069199049482807E-2</v>
      </c>
    </row>
    <row r="3337" spans="1:31" x14ac:dyDescent="0.2">
      <c r="A3337" s="1" t="s">
        <v>370</v>
      </c>
      <c r="B3337" s="1" t="s">
        <v>7462</v>
      </c>
      <c r="C3337" s="1">
        <v>56239</v>
      </c>
      <c r="D3337" s="1" t="s">
        <v>1162</v>
      </c>
      <c r="F3337" s="1">
        <v>2023</v>
      </c>
      <c r="G3337" s="5">
        <v>362</v>
      </c>
      <c r="H3337" s="5">
        <v>218.38</v>
      </c>
      <c r="I3337" s="5">
        <v>5191.72</v>
      </c>
      <c r="K3337" s="5">
        <v>1.7000000000000001E-2</v>
      </c>
      <c r="L3337" s="5">
        <v>1E-3</v>
      </c>
      <c r="M3337" s="5">
        <v>3306.0279999999998</v>
      </c>
      <c r="N3337" s="6">
        <v>5.9299999999999999E-2</v>
      </c>
      <c r="O3337" s="5">
        <v>0.48399999999999999</v>
      </c>
      <c r="P3337" s="6">
        <v>3.0499999999999999E-2</v>
      </c>
      <c r="Q3337" s="5">
        <v>55634.565000000002</v>
      </c>
      <c r="R3337" s="1" t="s">
        <v>44</v>
      </c>
      <c r="T3337" s="1" t="s">
        <v>93</v>
      </c>
      <c r="V3337" s="1" t="s">
        <v>223</v>
      </c>
      <c r="Y3337" s="1" t="s">
        <v>247</v>
      </c>
      <c r="Z3337" s="1" t="str">
        <f t="shared" si="156"/>
        <v>56239 GT-2</v>
      </c>
      <c r="AA3337" s="3">
        <f>IF(INDEX('CAMD Facility Data 2023'!$AA$2:$AE$10000,MATCH(Z3337,'CAMD Facility Data 2023'!$AE$2:$AE$10000,0),1)&gt;0,INDEX('CAMD Facility Data 2023'!$AA$2:$AE$10000,MATCH(Z3337,'CAMD Facility Data 2023'!$AE$2:$AE$10000,0),1),"")</f>
        <v>38504</v>
      </c>
      <c r="AB3337" s="5">
        <f>IF(INDEX('CAMD Facility Data 2023'!$AC$2:$AE$10000,MATCH(Z3337,'CAMD Facility Data 2023'!$AE$2:$AE$10000,0),1)&gt;0,INDEX('CAMD Facility Data 2023'!$AC$2:$AE$10000,MATCH(Z3337,'CAMD Facility Data 2023'!$AE$2:$AE$10000,0),1),"")</f>
        <v>480</v>
      </c>
      <c r="AC3337" s="1" t="str">
        <f>IF(INDEX('CAMD Facility Data 2023'!$AE$2:$AG$10000,MATCH(Z3337,'CAMD Facility Data 2023'!$AE$2:$AE$10000,0),3)&gt;0,INDEX('CAMD Facility Data 2023'!$AE$2:$AG$10000,MATCH(Z3337,'CAMD Facility Data 2023'!$AE$2:$AE$10000,0),3),"")</f>
        <v>Y</v>
      </c>
      <c r="AD3337" s="20">
        <f t="shared" si="157"/>
        <v>0.18645073309038238</v>
      </c>
      <c r="AE3337" s="25">
        <f t="shared" si="158"/>
        <v>1.3231203624429224E-2</v>
      </c>
    </row>
    <row r="3338" spans="1:31" x14ac:dyDescent="0.2">
      <c r="A3338" s="1" t="s">
        <v>1663</v>
      </c>
      <c r="B3338" s="1" t="s">
        <v>7466</v>
      </c>
      <c r="C3338" s="1">
        <v>56241</v>
      </c>
      <c r="D3338" s="1" t="s">
        <v>6763</v>
      </c>
      <c r="F3338" s="1">
        <v>2023</v>
      </c>
      <c r="G3338" s="5">
        <v>2467</v>
      </c>
      <c r="H3338" s="5">
        <v>2344.6</v>
      </c>
      <c r="I3338" s="5">
        <v>340392.03</v>
      </c>
      <c r="K3338" s="5">
        <v>1.155</v>
      </c>
      <c r="L3338" s="5">
        <v>1E-3</v>
      </c>
      <c r="M3338" s="5">
        <v>225603.3</v>
      </c>
      <c r="N3338" s="6">
        <v>5.8999999999999997E-2</v>
      </c>
      <c r="O3338" s="5">
        <v>65.841999999999999</v>
      </c>
      <c r="P3338" s="6">
        <v>6.8000000000000005E-2</v>
      </c>
      <c r="Q3338" s="5">
        <v>3823662.7</v>
      </c>
      <c r="R3338" s="1" t="s">
        <v>44</v>
      </c>
      <c r="S3338" s="1" t="s">
        <v>94</v>
      </c>
      <c r="T3338" s="1" t="s">
        <v>93</v>
      </c>
      <c r="V3338" s="1" t="s">
        <v>183</v>
      </c>
      <c r="Y3338" s="1" t="s">
        <v>1666</v>
      </c>
      <c r="Z3338" s="1" t="str">
        <f t="shared" si="156"/>
        <v>56241 CT-01</v>
      </c>
      <c r="AA3338" s="3">
        <f>IF(INDEX('CAMD Facility Data 2023'!$AA$2:$AE$10000,MATCH(Z3338,'CAMD Facility Data 2023'!$AE$2:$AE$10000,0),1)&gt;0,INDEX('CAMD Facility Data 2023'!$AA$2:$AE$10000,MATCH(Z3338,'CAMD Facility Data 2023'!$AE$2:$AE$10000,0),1),"")</f>
        <v>39513</v>
      </c>
      <c r="AB3338" s="5">
        <f>IF(INDEX('CAMD Facility Data 2023'!$AC$2:$AE$10000,MATCH(Z3338,'CAMD Facility Data 2023'!$AE$2:$AE$10000,0),1)&gt;0,INDEX('CAMD Facility Data 2023'!$AC$2:$AE$10000,MATCH(Z3338,'CAMD Facility Data 2023'!$AE$2:$AE$10000,0),1),"")</f>
        <v>2300</v>
      </c>
      <c r="AC3338" s="1" t="str">
        <f>IF(INDEX('CAMD Facility Data 2023'!$AE$2:$AG$10000,MATCH(Z3338,'CAMD Facility Data 2023'!$AE$2:$AE$10000,0),3)&gt;0,INDEX('CAMD Facility Data 2023'!$AE$2:$AG$10000,MATCH(Z3338,'CAMD Facility Data 2023'!$AE$2:$AE$10000,0),3),"")</f>
        <v/>
      </c>
      <c r="AD3338" s="20">
        <f t="shared" si="157"/>
        <v>0.38685982160040583</v>
      </c>
      <c r="AE3338" s="25">
        <f t="shared" si="158"/>
        <v>0.18977877208655947</v>
      </c>
    </row>
    <row r="3339" spans="1:31" x14ac:dyDescent="0.2">
      <c r="A3339" s="1" t="s">
        <v>1663</v>
      </c>
      <c r="B3339" s="1" t="s">
        <v>7466</v>
      </c>
      <c r="C3339" s="1">
        <v>56241</v>
      </c>
      <c r="D3339" s="1" t="s">
        <v>6766</v>
      </c>
      <c r="F3339" s="1">
        <v>2023</v>
      </c>
      <c r="G3339" s="5">
        <v>2746</v>
      </c>
      <c r="H3339" s="5">
        <v>2623.99</v>
      </c>
      <c r="I3339" s="5">
        <v>359868.08</v>
      </c>
      <c r="K3339" s="5">
        <v>1.25</v>
      </c>
      <c r="L3339" s="5">
        <v>1E-3</v>
      </c>
      <c r="M3339" s="5">
        <v>244592.1</v>
      </c>
      <c r="N3339" s="6">
        <v>5.8999999999999997E-2</v>
      </c>
      <c r="O3339" s="5">
        <v>70.076999999999998</v>
      </c>
      <c r="P3339" s="6">
        <v>6.08E-2</v>
      </c>
      <c r="Q3339" s="5">
        <v>4145502.2</v>
      </c>
      <c r="R3339" s="1" t="s">
        <v>44</v>
      </c>
      <c r="S3339" s="1" t="s">
        <v>94</v>
      </c>
      <c r="T3339" s="1" t="s">
        <v>93</v>
      </c>
      <c r="V3339" s="1" t="s">
        <v>183</v>
      </c>
      <c r="Y3339" s="1" t="s">
        <v>1666</v>
      </c>
      <c r="Z3339" s="1" t="str">
        <f t="shared" si="156"/>
        <v>56241 CT-02</v>
      </c>
      <c r="AA3339" s="3">
        <f>IF(INDEX('CAMD Facility Data 2023'!$AA$2:$AE$10000,MATCH(Z3339,'CAMD Facility Data 2023'!$AE$2:$AE$10000,0),1)&gt;0,INDEX('CAMD Facility Data 2023'!$AA$2:$AE$10000,MATCH(Z3339,'CAMD Facility Data 2023'!$AE$2:$AE$10000,0),1),"")</f>
        <v>39525</v>
      </c>
      <c r="AB3339" s="5">
        <f>IF(INDEX('CAMD Facility Data 2023'!$AC$2:$AE$10000,MATCH(Z3339,'CAMD Facility Data 2023'!$AE$2:$AE$10000,0),1)&gt;0,INDEX('CAMD Facility Data 2023'!$AC$2:$AE$10000,MATCH(Z3339,'CAMD Facility Data 2023'!$AE$2:$AE$10000,0),1),"")</f>
        <v>2300</v>
      </c>
      <c r="AC3339" s="1" t="str">
        <f>IF(INDEX('CAMD Facility Data 2023'!$AE$2:$AG$10000,MATCH(Z3339,'CAMD Facility Data 2023'!$AE$2:$AE$10000,0),3)&gt;0,INDEX('CAMD Facility Data 2023'!$AE$2:$AG$10000,MATCH(Z3339,'CAMD Facility Data 2023'!$AE$2:$AE$10000,0),3),"")</f>
        <v/>
      </c>
      <c r="AD3339" s="20">
        <f t="shared" si="157"/>
        <v>0.38945938189349827</v>
      </c>
      <c r="AE3339" s="25">
        <f t="shared" si="158"/>
        <v>0.20575254119515585</v>
      </c>
    </row>
    <row r="3340" spans="1:31" x14ac:dyDescent="0.2">
      <c r="A3340" s="1" t="s">
        <v>1153</v>
      </c>
      <c r="B3340" s="1" t="s">
        <v>7471</v>
      </c>
      <c r="C3340" s="1">
        <v>56249</v>
      </c>
      <c r="D3340" s="1" t="s">
        <v>7472</v>
      </c>
      <c r="F3340" s="1">
        <v>2023</v>
      </c>
      <c r="G3340" s="5">
        <v>349</v>
      </c>
      <c r="H3340" s="5">
        <v>332.77</v>
      </c>
      <c r="I3340" s="5">
        <v>8543.44</v>
      </c>
      <c r="K3340" s="5">
        <v>2.7E-2</v>
      </c>
      <c r="L3340" s="5">
        <v>1E-3</v>
      </c>
      <c r="M3340" s="5">
        <v>5172.6490000000003</v>
      </c>
      <c r="N3340" s="6">
        <v>6.0299999999999999E-2</v>
      </c>
      <c r="O3340" s="5">
        <v>3.9140000000000001</v>
      </c>
      <c r="P3340" s="6">
        <v>9.1999999999999998E-2</v>
      </c>
      <c r="Q3340" s="5">
        <v>85860.740999999995</v>
      </c>
      <c r="R3340" s="1" t="s">
        <v>44</v>
      </c>
      <c r="S3340" s="1" t="s">
        <v>94</v>
      </c>
      <c r="T3340" s="1" t="s">
        <v>93</v>
      </c>
      <c r="V3340" s="1" t="s">
        <v>95</v>
      </c>
      <c r="Y3340" s="1" t="s">
        <v>2319</v>
      </c>
      <c r="Z3340" s="1" t="str">
        <f t="shared" si="156"/>
        <v>56249 ES1-A</v>
      </c>
      <c r="AA3340" s="3">
        <f>IF(INDEX('CAMD Facility Data 2023'!$AA$2:$AE$10000,MATCH(Z3340,'CAMD Facility Data 2023'!$AE$2:$AE$10000,0),1)&gt;0,INDEX('CAMD Facility Data 2023'!$AA$2:$AE$10000,MATCH(Z3340,'CAMD Facility Data 2023'!$AE$2:$AE$10000,0),1),"")</f>
        <v>39105</v>
      </c>
      <c r="AB3340" s="5">
        <f>IF(INDEX('CAMD Facility Data 2023'!$AC$2:$AE$10000,MATCH(Z3340,'CAMD Facility Data 2023'!$AE$2:$AE$10000,0),1)&gt;0,INDEX('CAMD Facility Data 2023'!$AC$2:$AE$10000,MATCH(Z3340,'CAMD Facility Data 2023'!$AE$2:$AE$10000,0),1),"")</f>
        <v>330</v>
      </c>
      <c r="AC3340" s="1" t="str">
        <f>IF(INDEX('CAMD Facility Data 2023'!$AE$2:$AG$10000,MATCH(Z3340,'CAMD Facility Data 2023'!$AE$2:$AE$10000,0),3)&gt;0,INDEX('CAMD Facility Data 2023'!$AE$2:$AG$10000,MATCH(Z3340,'CAMD Facility Data 2023'!$AE$2:$AE$10000,0),3),"")</f>
        <v/>
      </c>
      <c r="AD3340" s="20">
        <f t="shared" si="157"/>
        <v>0.91625855627241481</v>
      </c>
      <c r="AE3340" s="25">
        <f t="shared" si="158"/>
        <v>2.9701377127438769E-2</v>
      </c>
    </row>
    <row r="3341" spans="1:31" x14ac:dyDescent="0.2">
      <c r="A3341" s="1" t="s">
        <v>1153</v>
      </c>
      <c r="B3341" s="1" t="s">
        <v>7471</v>
      </c>
      <c r="C3341" s="1">
        <v>56249</v>
      </c>
      <c r="D3341" s="1" t="s">
        <v>7475</v>
      </c>
      <c r="F3341" s="1">
        <v>2023</v>
      </c>
      <c r="G3341" s="5">
        <v>354</v>
      </c>
      <c r="H3341" s="5">
        <v>329.17</v>
      </c>
      <c r="I3341" s="5">
        <v>8620.2900000000009</v>
      </c>
      <c r="K3341" s="5">
        <v>2.7E-2</v>
      </c>
      <c r="L3341" s="5">
        <v>1E-3</v>
      </c>
      <c r="M3341" s="5">
        <v>5169.5230000000001</v>
      </c>
      <c r="N3341" s="6">
        <v>6.0299999999999999E-2</v>
      </c>
      <c r="O3341" s="5">
        <v>3.9550000000000001</v>
      </c>
      <c r="P3341" s="6">
        <v>9.2899999999999996E-2</v>
      </c>
      <c r="Q3341" s="5">
        <v>85828.956000000006</v>
      </c>
      <c r="R3341" s="1" t="s">
        <v>44</v>
      </c>
      <c r="S3341" s="1" t="s">
        <v>94</v>
      </c>
      <c r="T3341" s="1" t="s">
        <v>93</v>
      </c>
      <c r="V3341" s="1" t="s">
        <v>95</v>
      </c>
      <c r="Y3341" s="1" t="s">
        <v>2319</v>
      </c>
      <c r="Z3341" s="1" t="str">
        <f t="shared" si="156"/>
        <v>56249 ES1-B</v>
      </c>
      <c r="AA3341" s="3">
        <f>IF(INDEX('CAMD Facility Data 2023'!$AA$2:$AE$10000,MATCH(Z3341,'CAMD Facility Data 2023'!$AE$2:$AE$10000,0),1)&gt;0,INDEX('CAMD Facility Data 2023'!$AA$2:$AE$10000,MATCH(Z3341,'CAMD Facility Data 2023'!$AE$2:$AE$10000,0),1),"")</f>
        <v>39105</v>
      </c>
      <c r="AB3341" s="5">
        <f>IF(INDEX('CAMD Facility Data 2023'!$AC$2:$AE$10000,MATCH(Z3341,'CAMD Facility Data 2023'!$AE$2:$AE$10000,0),1)&gt;0,INDEX('CAMD Facility Data 2023'!$AC$2:$AE$10000,MATCH(Z3341,'CAMD Facility Data 2023'!$AE$2:$AE$10000,0),1),"")</f>
        <v>330</v>
      </c>
      <c r="AC3341" s="1" t="str">
        <f>IF(INDEX('CAMD Facility Data 2023'!$AE$2:$AG$10000,MATCH(Z3341,'CAMD Facility Data 2023'!$AE$2:$AE$10000,0),3)&gt;0,INDEX('CAMD Facility Data 2023'!$AE$2:$AG$10000,MATCH(Z3341,'CAMD Facility Data 2023'!$AE$2:$AE$10000,0),3),"")</f>
        <v/>
      </c>
      <c r="AD3341" s="20">
        <f t="shared" si="157"/>
        <v>0.91760254005375685</v>
      </c>
      <c r="AE3341" s="25">
        <f t="shared" si="158"/>
        <v>2.9690381901203822E-2</v>
      </c>
    </row>
    <row r="3342" spans="1:31" x14ac:dyDescent="0.2">
      <c r="A3342" s="1" t="s">
        <v>1153</v>
      </c>
      <c r="B3342" s="1" t="s">
        <v>7471</v>
      </c>
      <c r="C3342" s="1">
        <v>56249</v>
      </c>
      <c r="D3342" s="1" t="s">
        <v>7476</v>
      </c>
      <c r="F3342" s="1">
        <v>2023</v>
      </c>
      <c r="G3342" s="5">
        <v>362</v>
      </c>
      <c r="H3342" s="5">
        <v>340.12</v>
      </c>
      <c r="I3342" s="5">
        <v>8389.25</v>
      </c>
      <c r="K3342" s="5">
        <v>2.7E-2</v>
      </c>
      <c r="L3342" s="5">
        <v>1E-3</v>
      </c>
      <c r="M3342" s="5">
        <v>5210.9369999999999</v>
      </c>
      <c r="N3342" s="6">
        <v>6.0299999999999999E-2</v>
      </c>
      <c r="O3342" s="5">
        <v>4.0990000000000002</v>
      </c>
      <c r="P3342" s="6">
        <v>9.4899999999999998E-2</v>
      </c>
      <c r="Q3342" s="5">
        <v>86570.682000000001</v>
      </c>
      <c r="R3342" s="1" t="s">
        <v>44</v>
      </c>
      <c r="S3342" s="1" t="s">
        <v>94</v>
      </c>
      <c r="T3342" s="1" t="s">
        <v>93</v>
      </c>
      <c r="V3342" s="1" t="s">
        <v>95</v>
      </c>
      <c r="Y3342" s="1" t="s">
        <v>2319</v>
      </c>
      <c r="Z3342" s="1" t="str">
        <f t="shared" si="156"/>
        <v>56249 ES2-A</v>
      </c>
      <c r="AA3342" s="3">
        <f>IF(INDEX('CAMD Facility Data 2023'!$AA$2:$AE$10000,MATCH(Z3342,'CAMD Facility Data 2023'!$AE$2:$AE$10000,0),1)&gt;0,INDEX('CAMD Facility Data 2023'!$AA$2:$AE$10000,MATCH(Z3342,'CAMD Facility Data 2023'!$AE$2:$AE$10000,0),1),"")</f>
        <v>39106</v>
      </c>
      <c r="AB3342" s="5">
        <f>IF(INDEX('CAMD Facility Data 2023'!$AC$2:$AE$10000,MATCH(Z3342,'CAMD Facility Data 2023'!$AE$2:$AE$10000,0),1)&gt;0,INDEX('CAMD Facility Data 2023'!$AC$2:$AE$10000,MATCH(Z3342,'CAMD Facility Data 2023'!$AE$2:$AE$10000,0),1),"")</f>
        <v>330</v>
      </c>
      <c r="AC3342" s="1" t="str">
        <f>IF(INDEX('CAMD Facility Data 2023'!$AE$2:$AG$10000,MATCH(Z3342,'CAMD Facility Data 2023'!$AE$2:$AE$10000,0),3)&gt;0,INDEX('CAMD Facility Data 2023'!$AE$2:$AG$10000,MATCH(Z3342,'CAMD Facility Data 2023'!$AE$2:$AE$10000,0),3),"")</f>
        <v/>
      </c>
      <c r="AD3342" s="20">
        <f t="shared" si="157"/>
        <v>0.9772029680841553</v>
      </c>
      <c r="AE3342" s="25">
        <f t="shared" si="158"/>
        <v>2.9946963470319634E-2</v>
      </c>
    </row>
    <row r="3343" spans="1:31" x14ac:dyDescent="0.2">
      <c r="A3343" s="1" t="s">
        <v>1153</v>
      </c>
      <c r="B3343" s="1" t="s">
        <v>7471</v>
      </c>
      <c r="C3343" s="1">
        <v>56249</v>
      </c>
      <c r="D3343" s="1" t="s">
        <v>7478</v>
      </c>
      <c r="F3343" s="1">
        <v>2023</v>
      </c>
      <c r="G3343" s="5">
        <v>362</v>
      </c>
      <c r="H3343" s="5">
        <v>339.08</v>
      </c>
      <c r="I3343" s="5">
        <v>8611.4500000000007</v>
      </c>
      <c r="K3343" s="5">
        <v>2.8000000000000001E-2</v>
      </c>
      <c r="L3343" s="5">
        <v>1E-3</v>
      </c>
      <c r="M3343" s="5">
        <v>5319.3760000000002</v>
      </c>
      <c r="N3343" s="6">
        <v>6.0299999999999999E-2</v>
      </c>
      <c r="O3343" s="5">
        <v>4.0430000000000001</v>
      </c>
      <c r="P3343" s="6">
        <v>9.2200000000000004E-2</v>
      </c>
      <c r="Q3343" s="5">
        <v>88367.865999999995</v>
      </c>
      <c r="R3343" s="1" t="s">
        <v>44</v>
      </c>
      <c r="S3343" s="1" t="s">
        <v>94</v>
      </c>
      <c r="T3343" s="1" t="s">
        <v>93</v>
      </c>
      <c r="V3343" s="1" t="s">
        <v>95</v>
      </c>
      <c r="Y3343" s="1" t="s">
        <v>2319</v>
      </c>
      <c r="Z3343" s="1" t="str">
        <f t="shared" si="156"/>
        <v>56249 ES2-B</v>
      </c>
      <c r="AA3343" s="3">
        <f>IF(INDEX('CAMD Facility Data 2023'!$AA$2:$AE$10000,MATCH(Z3343,'CAMD Facility Data 2023'!$AE$2:$AE$10000,0),1)&gt;0,INDEX('CAMD Facility Data 2023'!$AA$2:$AE$10000,MATCH(Z3343,'CAMD Facility Data 2023'!$AE$2:$AE$10000,0),1),"")</f>
        <v>39106</v>
      </c>
      <c r="AB3343" s="5">
        <f>IF(INDEX('CAMD Facility Data 2023'!$AC$2:$AE$10000,MATCH(Z3343,'CAMD Facility Data 2023'!$AE$2:$AE$10000,0),1)&gt;0,INDEX('CAMD Facility Data 2023'!$AC$2:$AE$10000,MATCH(Z3343,'CAMD Facility Data 2023'!$AE$2:$AE$10000,0),1),"")</f>
        <v>330</v>
      </c>
      <c r="AC3343" s="1" t="str">
        <f>IF(INDEX('CAMD Facility Data 2023'!$AE$2:$AG$10000,MATCH(Z3343,'CAMD Facility Data 2023'!$AE$2:$AE$10000,0),3)&gt;0,INDEX('CAMD Facility Data 2023'!$AE$2:$AG$10000,MATCH(Z3343,'CAMD Facility Data 2023'!$AE$2:$AE$10000,0),3),"")</f>
        <v/>
      </c>
      <c r="AD3343" s="20">
        <f t="shared" si="157"/>
        <v>0.93898240133775368</v>
      </c>
      <c r="AE3343" s="25">
        <f t="shared" si="158"/>
        <v>3.0568654351736543E-2</v>
      </c>
    </row>
    <row r="3344" spans="1:31" x14ac:dyDescent="0.2">
      <c r="A3344" s="1" t="s">
        <v>1153</v>
      </c>
      <c r="B3344" s="1" t="s">
        <v>7471</v>
      </c>
      <c r="C3344" s="1">
        <v>56249</v>
      </c>
      <c r="D3344" s="1" t="s">
        <v>7479</v>
      </c>
      <c r="F3344" s="1">
        <v>2023</v>
      </c>
      <c r="G3344" s="5">
        <v>353</v>
      </c>
      <c r="H3344" s="5">
        <v>329.53</v>
      </c>
      <c r="I3344" s="5">
        <v>8323.7000000000007</v>
      </c>
      <c r="K3344" s="5">
        <v>2.7E-2</v>
      </c>
      <c r="L3344" s="5">
        <v>1E-3</v>
      </c>
      <c r="M3344" s="5">
        <v>5039.1059999999998</v>
      </c>
      <c r="N3344" s="6">
        <v>6.0299999999999999E-2</v>
      </c>
      <c r="O3344" s="5">
        <v>3.895</v>
      </c>
      <c r="P3344" s="6">
        <v>9.3799999999999994E-2</v>
      </c>
      <c r="Q3344" s="5">
        <v>83645.486999999994</v>
      </c>
      <c r="R3344" s="1" t="s">
        <v>44</v>
      </c>
      <c r="S3344" s="1" t="s">
        <v>94</v>
      </c>
      <c r="T3344" s="1" t="s">
        <v>93</v>
      </c>
      <c r="V3344" s="1" t="s">
        <v>95</v>
      </c>
      <c r="Y3344" s="1" t="s">
        <v>2319</v>
      </c>
      <c r="Z3344" s="1" t="str">
        <f t="shared" si="156"/>
        <v>56249 ES3-A</v>
      </c>
      <c r="AA3344" s="3">
        <f>IF(INDEX('CAMD Facility Data 2023'!$AA$2:$AE$10000,MATCH(Z3344,'CAMD Facility Data 2023'!$AE$2:$AE$10000,0),1)&gt;0,INDEX('CAMD Facility Data 2023'!$AA$2:$AE$10000,MATCH(Z3344,'CAMD Facility Data 2023'!$AE$2:$AE$10000,0),1),"")</f>
        <v>39125</v>
      </c>
      <c r="AB3344" s="5">
        <f>IF(INDEX('CAMD Facility Data 2023'!$AC$2:$AE$10000,MATCH(Z3344,'CAMD Facility Data 2023'!$AE$2:$AE$10000,0),1)&gt;0,INDEX('CAMD Facility Data 2023'!$AC$2:$AE$10000,MATCH(Z3344,'CAMD Facility Data 2023'!$AE$2:$AE$10000,0),1),"")</f>
        <v>330</v>
      </c>
      <c r="AC3344" s="1" t="str">
        <f>IF(INDEX('CAMD Facility Data 2023'!$AE$2:$AG$10000,MATCH(Z3344,'CAMD Facility Data 2023'!$AE$2:$AE$10000,0),3)&gt;0,INDEX('CAMD Facility Data 2023'!$AE$2:$AG$10000,MATCH(Z3344,'CAMD Facility Data 2023'!$AE$2:$AE$10000,0),3),"")</f>
        <v/>
      </c>
      <c r="AD3344" s="20">
        <f t="shared" si="157"/>
        <v>0.93588187945264723</v>
      </c>
      <c r="AE3344" s="25">
        <f t="shared" si="158"/>
        <v>2.8935065379825653E-2</v>
      </c>
    </row>
    <row r="3345" spans="1:31" x14ac:dyDescent="0.2">
      <c r="A3345" s="1" t="s">
        <v>1153</v>
      </c>
      <c r="B3345" s="1" t="s">
        <v>7471</v>
      </c>
      <c r="C3345" s="1">
        <v>56249</v>
      </c>
      <c r="D3345" s="1" t="s">
        <v>7481</v>
      </c>
      <c r="F3345" s="1">
        <v>2023</v>
      </c>
      <c r="G3345" s="5">
        <v>361</v>
      </c>
      <c r="H3345" s="5">
        <v>330.66</v>
      </c>
      <c r="I3345" s="5">
        <v>8315.0400000000009</v>
      </c>
      <c r="K3345" s="5">
        <v>2.7E-2</v>
      </c>
      <c r="L3345" s="5">
        <v>1E-3</v>
      </c>
      <c r="M3345" s="5">
        <v>5068.8050000000003</v>
      </c>
      <c r="N3345" s="6">
        <v>6.0499999999999998E-2</v>
      </c>
      <c r="O3345" s="5">
        <v>3.847</v>
      </c>
      <c r="P3345" s="6">
        <v>9.2700000000000005E-2</v>
      </c>
      <c r="Q3345" s="5">
        <v>83822.876999999993</v>
      </c>
      <c r="R3345" s="1" t="s">
        <v>44</v>
      </c>
      <c r="S3345" s="1" t="s">
        <v>94</v>
      </c>
      <c r="T3345" s="1" t="s">
        <v>93</v>
      </c>
      <c r="V3345" s="1" t="s">
        <v>95</v>
      </c>
      <c r="Y3345" s="1" t="s">
        <v>2319</v>
      </c>
      <c r="Z3345" s="1" t="str">
        <f t="shared" si="156"/>
        <v>56249 ES3-B</v>
      </c>
      <c r="AA3345" s="3">
        <f>IF(INDEX('CAMD Facility Data 2023'!$AA$2:$AE$10000,MATCH(Z3345,'CAMD Facility Data 2023'!$AE$2:$AE$10000,0),1)&gt;0,INDEX('CAMD Facility Data 2023'!$AA$2:$AE$10000,MATCH(Z3345,'CAMD Facility Data 2023'!$AE$2:$AE$10000,0),1),"")</f>
        <v>39125</v>
      </c>
      <c r="AB3345" s="5">
        <f>IF(INDEX('CAMD Facility Data 2023'!$AC$2:$AE$10000,MATCH(Z3345,'CAMD Facility Data 2023'!$AE$2:$AE$10000,0),1)&gt;0,INDEX('CAMD Facility Data 2023'!$AC$2:$AE$10000,MATCH(Z3345,'CAMD Facility Data 2023'!$AE$2:$AE$10000,0),1),"")</f>
        <v>330</v>
      </c>
      <c r="AC3345" s="1" t="str">
        <f>IF(INDEX('CAMD Facility Data 2023'!$AE$2:$AG$10000,MATCH(Z3345,'CAMD Facility Data 2023'!$AE$2:$AE$10000,0),3)&gt;0,INDEX('CAMD Facility Data 2023'!$AE$2:$AG$10000,MATCH(Z3345,'CAMD Facility Data 2023'!$AE$2:$AE$10000,0),3),"")</f>
        <v/>
      </c>
      <c r="AD3345" s="20">
        <f t="shared" si="157"/>
        <v>0.92531124324116287</v>
      </c>
      <c r="AE3345" s="25">
        <f t="shared" si="158"/>
        <v>2.8996429016189287E-2</v>
      </c>
    </row>
    <row r="3346" spans="1:31" x14ac:dyDescent="0.2">
      <c r="A3346" s="1" t="s">
        <v>1153</v>
      </c>
      <c r="B3346" s="1" t="s">
        <v>7471</v>
      </c>
      <c r="C3346" s="1">
        <v>56249</v>
      </c>
      <c r="D3346" s="1" t="s">
        <v>7482</v>
      </c>
      <c r="F3346" s="1">
        <v>2023</v>
      </c>
      <c r="G3346" s="5">
        <v>222</v>
      </c>
      <c r="H3346" s="5">
        <v>206.8</v>
      </c>
      <c r="I3346" s="5">
        <v>5217.42</v>
      </c>
      <c r="K3346" s="5">
        <v>1.7999999999999999E-2</v>
      </c>
      <c r="L3346" s="5">
        <v>1E-3</v>
      </c>
      <c r="M3346" s="5">
        <v>3247.1779999999999</v>
      </c>
      <c r="N3346" s="6">
        <v>6.1600000000000002E-2</v>
      </c>
      <c r="O3346" s="5">
        <v>2.605</v>
      </c>
      <c r="P3346" s="6">
        <v>9.9599999999999994E-2</v>
      </c>
      <c r="Q3346" s="5">
        <v>52919.038</v>
      </c>
      <c r="R3346" s="1" t="s">
        <v>44</v>
      </c>
      <c r="S3346" s="1" t="s">
        <v>94</v>
      </c>
      <c r="T3346" s="1" t="s">
        <v>93</v>
      </c>
      <c r="V3346" s="1" t="s">
        <v>95</v>
      </c>
      <c r="Y3346" s="1" t="s">
        <v>2319</v>
      </c>
      <c r="Z3346" s="1" t="str">
        <f t="shared" si="156"/>
        <v>56249 ES4-A</v>
      </c>
      <c r="AA3346" s="3">
        <f>IF(INDEX('CAMD Facility Data 2023'!$AA$2:$AE$10000,MATCH(Z3346,'CAMD Facility Data 2023'!$AE$2:$AE$10000,0),1)&gt;0,INDEX('CAMD Facility Data 2023'!$AA$2:$AE$10000,MATCH(Z3346,'CAMD Facility Data 2023'!$AE$2:$AE$10000,0),1),"")</f>
        <v>39126</v>
      </c>
      <c r="AB3346" s="5">
        <f>IF(INDEX('CAMD Facility Data 2023'!$AC$2:$AE$10000,MATCH(Z3346,'CAMD Facility Data 2023'!$AE$2:$AE$10000,0),1)&gt;0,INDEX('CAMD Facility Data 2023'!$AC$2:$AE$10000,MATCH(Z3346,'CAMD Facility Data 2023'!$AE$2:$AE$10000,0),1),"")</f>
        <v>330</v>
      </c>
      <c r="AC3346" s="1" t="str">
        <f>IF(INDEX('CAMD Facility Data 2023'!$AE$2:$AG$10000,MATCH(Z3346,'CAMD Facility Data 2023'!$AE$2:$AE$10000,0),3)&gt;0,INDEX('CAMD Facility Data 2023'!$AE$2:$AG$10000,MATCH(Z3346,'CAMD Facility Data 2023'!$AE$2:$AE$10000,0),3),"")</f>
        <v/>
      </c>
      <c r="AD3346" s="20">
        <f t="shared" si="157"/>
        <v>0.99857784115520698</v>
      </c>
      <c r="AE3346" s="25">
        <f t="shared" si="158"/>
        <v>1.8306018403210184E-2</v>
      </c>
    </row>
    <row r="3347" spans="1:31" x14ac:dyDescent="0.2">
      <c r="A3347" s="1" t="s">
        <v>1153</v>
      </c>
      <c r="B3347" s="1" t="s">
        <v>7471</v>
      </c>
      <c r="C3347" s="1">
        <v>56249</v>
      </c>
      <c r="D3347" s="1" t="s">
        <v>7484</v>
      </c>
      <c r="F3347" s="1">
        <v>2023</v>
      </c>
      <c r="G3347" s="5">
        <v>193</v>
      </c>
      <c r="H3347" s="5">
        <v>179.14</v>
      </c>
      <c r="I3347" s="5">
        <v>4679.57</v>
      </c>
      <c r="K3347" s="5">
        <v>1.6E-2</v>
      </c>
      <c r="L3347" s="5">
        <v>1E-3</v>
      </c>
      <c r="M3347" s="5">
        <v>2860.1469999999999</v>
      </c>
      <c r="N3347" s="6">
        <v>6.08E-2</v>
      </c>
      <c r="O3347" s="5">
        <v>11.467000000000001</v>
      </c>
      <c r="P3347" s="6">
        <v>0.50419999999999998</v>
      </c>
      <c r="Q3347" s="5">
        <v>46995.875999999997</v>
      </c>
      <c r="R3347" s="1" t="s">
        <v>44</v>
      </c>
      <c r="S3347" s="1" t="s">
        <v>94</v>
      </c>
      <c r="T3347" s="1" t="s">
        <v>93</v>
      </c>
      <c r="V3347" s="1" t="s">
        <v>95</v>
      </c>
      <c r="Y3347" s="1" t="s">
        <v>2319</v>
      </c>
      <c r="Z3347" s="1" t="str">
        <f t="shared" si="156"/>
        <v>56249 ES4-B</v>
      </c>
      <c r="AA3347" s="3">
        <f>IF(INDEX('CAMD Facility Data 2023'!$AA$2:$AE$10000,MATCH(Z3347,'CAMD Facility Data 2023'!$AE$2:$AE$10000,0),1)&gt;0,INDEX('CAMD Facility Data 2023'!$AA$2:$AE$10000,MATCH(Z3347,'CAMD Facility Data 2023'!$AE$2:$AE$10000,0),1),"")</f>
        <v>39126</v>
      </c>
      <c r="AB3347" s="5">
        <f>IF(INDEX('CAMD Facility Data 2023'!$AC$2:$AE$10000,MATCH(Z3347,'CAMD Facility Data 2023'!$AE$2:$AE$10000,0),1)&gt;0,INDEX('CAMD Facility Data 2023'!$AC$2:$AE$10000,MATCH(Z3347,'CAMD Facility Data 2023'!$AE$2:$AE$10000,0),1),"")</f>
        <v>330</v>
      </c>
      <c r="AC3347" s="1" t="str">
        <f>IF(INDEX('CAMD Facility Data 2023'!$AE$2:$AG$10000,MATCH(Z3347,'CAMD Facility Data 2023'!$AE$2:$AE$10000,0),3)&gt;0,INDEX('CAMD Facility Data 2023'!$AE$2:$AG$10000,MATCH(Z3347,'CAMD Facility Data 2023'!$AE$2:$AE$10000,0),3),"")</f>
        <v/>
      </c>
      <c r="AD3347" s="20">
        <f t="shared" si="157"/>
        <v>4.9008776447408628</v>
      </c>
      <c r="AE3347" s="25">
        <f t="shared" si="158"/>
        <v>1.6257048567870483E-2</v>
      </c>
    </row>
    <row r="3348" spans="1:31" x14ac:dyDescent="0.2">
      <c r="A3348" s="1" t="s">
        <v>1153</v>
      </c>
      <c r="B3348" s="1" t="s">
        <v>7471</v>
      </c>
      <c r="C3348" s="1">
        <v>56249</v>
      </c>
      <c r="D3348" s="1" t="s">
        <v>7485</v>
      </c>
      <c r="F3348" s="1">
        <v>2023</v>
      </c>
      <c r="G3348" s="5">
        <v>353</v>
      </c>
      <c r="H3348" s="5">
        <v>333.34</v>
      </c>
      <c r="I3348" s="5">
        <v>8566.25</v>
      </c>
      <c r="K3348" s="5">
        <v>2.5999999999999999E-2</v>
      </c>
      <c r="L3348" s="5">
        <v>1E-3</v>
      </c>
      <c r="M3348" s="5">
        <v>4992.0889999999999</v>
      </c>
      <c r="N3348" s="6">
        <v>6.0299999999999999E-2</v>
      </c>
      <c r="O3348" s="5">
        <v>3.8530000000000002</v>
      </c>
      <c r="P3348" s="6">
        <v>9.35E-2</v>
      </c>
      <c r="Q3348" s="5">
        <v>82787.929000000004</v>
      </c>
      <c r="R3348" s="1" t="s">
        <v>44</v>
      </c>
      <c r="S3348" s="1" t="s">
        <v>94</v>
      </c>
      <c r="T3348" s="1" t="s">
        <v>93</v>
      </c>
      <c r="V3348" s="1" t="s">
        <v>95</v>
      </c>
      <c r="Y3348" s="1" t="s">
        <v>2319</v>
      </c>
      <c r="Z3348" s="1" t="str">
        <f t="shared" si="156"/>
        <v>56249 ES5-A</v>
      </c>
      <c r="AA3348" s="3">
        <f>IF(INDEX('CAMD Facility Data 2023'!$AA$2:$AE$10000,MATCH(Z3348,'CAMD Facility Data 2023'!$AE$2:$AE$10000,0),1)&gt;0,INDEX('CAMD Facility Data 2023'!$AA$2:$AE$10000,MATCH(Z3348,'CAMD Facility Data 2023'!$AE$2:$AE$10000,0),1),"")</f>
        <v>39195</v>
      </c>
      <c r="AB3348" s="5">
        <f>IF(INDEX('CAMD Facility Data 2023'!$AC$2:$AE$10000,MATCH(Z3348,'CAMD Facility Data 2023'!$AE$2:$AE$10000,0),1)&gt;0,INDEX('CAMD Facility Data 2023'!$AC$2:$AE$10000,MATCH(Z3348,'CAMD Facility Data 2023'!$AE$2:$AE$10000,0),1),"")</f>
        <v>330</v>
      </c>
      <c r="AC3348" s="1" t="str">
        <f>IF(INDEX('CAMD Facility Data 2023'!$AE$2:$AG$10000,MATCH(Z3348,'CAMD Facility Data 2023'!$AE$2:$AE$10000,0),3)&gt;0,INDEX('CAMD Facility Data 2023'!$AE$2:$AG$10000,MATCH(Z3348,'CAMD Facility Data 2023'!$AE$2:$AE$10000,0),3),"")</f>
        <v/>
      </c>
      <c r="AD3348" s="20">
        <f t="shared" si="157"/>
        <v>0.89957682766671532</v>
      </c>
      <c r="AE3348" s="25">
        <f t="shared" si="158"/>
        <v>2.8638414625709149E-2</v>
      </c>
    </row>
    <row r="3349" spans="1:31" x14ac:dyDescent="0.2">
      <c r="A3349" s="1" t="s">
        <v>1153</v>
      </c>
      <c r="B3349" s="1" t="s">
        <v>7471</v>
      </c>
      <c r="C3349" s="1">
        <v>56249</v>
      </c>
      <c r="D3349" s="1" t="s">
        <v>7487</v>
      </c>
      <c r="F3349" s="1">
        <v>2023</v>
      </c>
      <c r="G3349" s="5">
        <v>351</v>
      </c>
      <c r="H3349" s="5">
        <v>327.45999999999998</v>
      </c>
      <c r="I3349" s="5">
        <v>8861.39</v>
      </c>
      <c r="K3349" s="5">
        <v>2.7E-2</v>
      </c>
      <c r="L3349" s="5">
        <v>1E-3</v>
      </c>
      <c r="M3349" s="5">
        <v>5115.5479999999998</v>
      </c>
      <c r="N3349" s="6">
        <v>6.0299999999999999E-2</v>
      </c>
      <c r="O3349" s="5">
        <v>3.88</v>
      </c>
      <c r="P3349" s="6">
        <v>9.1999999999999998E-2</v>
      </c>
      <c r="Q3349" s="5">
        <v>84939.925000000003</v>
      </c>
      <c r="R3349" s="1" t="s">
        <v>44</v>
      </c>
      <c r="S3349" s="1" t="s">
        <v>94</v>
      </c>
      <c r="T3349" s="1" t="s">
        <v>93</v>
      </c>
      <c r="V3349" s="1" t="s">
        <v>95</v>
      </c>
      <c r="Y3349" s="1" t="s">
        <v>2319</v>
      </c>
      <c r="Z3349" s="1" t="str">
        <f t="shared" si="156"/>
        <v>56249 ES5-B</v>
      </c>
      <c r="AA3349" s="3">
        <f>IF(INDEX('CAMD Facility Data 2023'!$AA$2:$AE$10000,MATCH(Z3349,'CAMD Facility Data 2023'!$AE$2:$AE$10000,0),1)&gt;0,INDEX('CAMD Facility Data 2023'!$AA$2:$AE$10000,MATCH(Z3349,'CAMD Facility Data 2023'!$AE$2:$AE$10000,0),1),"")</f>
        <v>39195</v>
      </c>
      <c r="AB3349" s="5">
        <f>IF(INDEX('CAMD Facility Data 2023'!$AC$2:$AE$10000,MATCH(Z3349,'CAMD Facility Data 2023'!$AE$2:$AE$10000,0),1)&gt;0,INDEX('CAMD Facility Data 2023'!$AC$2:$AE$10000,MATCH(Z3349,'CAMD Facility Data 2023'!$AE$2:$AE$10000,0),1),"")</f>
        <v>330</v>
      </c>
      <c r="AC3349" s="1" t="str">
        <f>IF(INDEX('CAMD Facility Data 2023'!$AE$2:$AG$10000,MATCH(Z3349,'CAMD Facility Data 2023'!$AE$2:$AE$10000,0),3)&gt;0,INDEX('CAMD Facility Data 2023'!$AE$2:$AG$10000,MATCH(Z3349,'CAMD Facility Data 2023'!$AE$2:$AE$10000,0),3),"")</f>
        <v/>
      </c>
      <c r="AD3349" s="20">
        <f t="shared" si="157"/>
        <v>0.87570911561278764</v>
      </c>
      <c r="AE3349" s="25">
        <f t="shared" si="158"/>
        <v>2.938284384945344E-2</v>
      </c>
    </row>
    <row r="3350" spans="1:31" x14ac:dyDescent="0.2">
      <c r="A3350" s="1" t="s">
        <v>1153</v>
      </c>
      <c r="B3350" s="1" t="s">
        <v>7471</v>
      </c>
      <c r="C3350" s="1">
        <v>56249</v>
      </c>
      <c r="D3350" s="1" t="s">
        <v>7488</v>
      </c>
      <c r="F3350" s="1">
        <v>2023</v>
      </c>
      <c r="G3350" s="5">
        <v>371</v>
      </c>
      <c r="H3350" s="5">
        <v>353.54</v>
      </c>
      <c r="I3350" s="5">
        <v>9321.93</v>
      </c>
      <c r="K3350" s="5">
        <v>2.9000000000000001E-2</v>
      </c>
      <c r="L3350" s="5">
        <v>1E-3</v>
      </c>
      <c r="M3350" s="5">
        <v>5566.5230000000001</v>
      </c>
      <c r="N3350" s="6">
        <v>6.0299999999999999E-2</v>
      </c>
      <c r="O3350" s="5">
        <v>4.2389999999999999</v>
      </c>
      <c r="P3350" s="6">
        <v>9.2399999999999996E-2</v>
      </c>
      <c r="Q3350" s="5">
        <v>92441.671000000002</v>
      </c>
      <c r="R3350" s="1" t="s">
        <v>44</v>
      </c>
      <c r="S3350" s="1" t="s">
        <v>94</v>
      </c>
      <c r="T3350" s="1" t="s">
        <v>93</v>
      </c>
      <c r="V3350" s="1" t="s">
        <v>95</v>
      </c>
      <c r="Y3350" s="1" t="s">
        <v>2319</v>
      </c>
      <c r="Z3350" s="1" t="str">
        <f t="shared" si="156"/>
        <v>56249 ES6-A</v>
      </c>
      <c r="AA3350" s="3">
        <f>IF(INDEX('CAMD Facility Data 2023'!$AA$2:$AE$10000,MATCH(Z3350,'CAMD Facility Data 2023'!$AE$2:$AE$10000,0),1)&gt;0,INDEX('CAMD Facility Data 2023'!$AA$2:$AE$10000,MATCH(Z3350,'CAMD Facility Data 2023'!$AE$2:$AE$10000,0),1),"")</f>
        <v>39196</v>
      </c>
      <c r="AB3350" s="5">
        <f>IF(INDEX('CAMD Facility Data 2023'!$AC$2:$AE$10000,MATCH(Z3350,'CAMD Facility Data 2023'!$AE$2:$AE$10000,0),1)&gt;0,INDEX('CAMD Facility Data 2023'!$AC$2:$AE$10000,MATCH(Z3350,'CAMD Facility Data 2023'!$AE$2:$AE$10000,0),1),"")</f>
        <v>330</v>
      </c>
      <c r="AC3350" s="1" t="str">
        <f>IF(INDEX('CAMD Facility Data 2023'!$AE$2:$AG$10000,MATCH(Z3350,'CAMD Facility Data 2023'!$AE$2:$AE$10000,0),3)&gt;0,INDEX('CAMD Facility Data 2023'!$AE$2:$AG$10000,MATCH(Z3350,'CAMD Facility Data 2023'!$AE$2:$AE$10000,0),3),"")</f>
        <v/>
      </c>
      <c r="AD3350" s="20">
        <f t="shared" si="157"/>
        <v>0.9094683182559834</v>
      </c>
      <c r="AE3350" s="25">
        <f t="shared" si="158"/>
        <v>3.1977885360453852E-2</v>
      </c>
    </row>
    <row r="3351" spans="1:31" x14ac:dyDescent="0.2">
      <c r="A3351" s="1" t="s">
        <v>1153</v>
      </c>
      <c r="B3351" s="1" t="s">
        <v>7471</v>
      </c>
      <c r="C3351" s="1">
        <v>56249</v>
      </c>
      <c r="D3351" s="1" t="s">
        <v>7490</v>
      </c>
      <c r="F3351" s="1">
        <v>2023</v>
      </c>
      <c r="G3351" s="5">
        <v>367</v>
      </c>
      <c r="H3351" s="5">
        <v>346.95</v>
      </c>
      <c r="I3351" s="5">
        <v>9206.01</v>
      </c>
      <c r="K3351" s="5">
        <v>2.9000000000000001E-2</v>
      </c>
      <c r="L3351" s="5">
        <v>1E-3</v>
      </c>
      <c r="M3351" s="5">
        <v>5479.0569999999998</v>
      </c>
      <c r="N3351" s="6">
        <v>6.0199999999999997E-2</v>
      </c>
      <c r="O3351" s="5">
        <v>4.1050000000000004</v>
      </c>
      <c r="P3351" s="6">
        <v>9.0700000000000003E-2</v>
      </c>
      <c r="Q3351" s="5">
        <v>91004.566000000006</v>
      </c>
      <c r="R3351" s="1" t="s">
        <v>44</v>
      </c>
      <c r="S3351" s="1" t="s">
        <v>94</v>
      </c>
      <c r="T3351" s="1" t="s">
        <v>93</v>
      </c>
      <c r="V3351" s="1" t="s">
        <v>95</v>
      </c>
      <c r="Y3351" s="1" t="s">
        <v>2319</v>
      </c>
      <c r="Z3351" s="1" t="str">
        <f t="shared" si="156"/>
        <v>56249 ES6-B</v>
      </c>
      <c r="AA3351" s="3">
        <f>IF(INDEX('CAMD Facility Data 2023'!$AA$2:$AE$10000,MATCH(Z3351,'CAMD Facility Data 2023'!$AE$2:$AE$10000,0),1)&gt;0,INDEX('CAMD Facility Data 2023'!$AA$2:$AE$10000,MATCH(Z3351,'CAMD Facility Data 2023'!$AE$2:$AE$10000,0),1),"")</f>
        <v>39196</v>
      </c>
      <c r="AB3351" s="5">
        <f>IF(INDEX('CAMD Facility Data 2023'!$AC$2:$AE$10000,MATCH(Z3351,'CAMD Facility Data 2023'!$AE$2:$AE$10000,0),1)&gt;0,INDEX('CAMD Facility Data 2023'!$AC$2:$AE$10000,MATCH(Z3351,'CAMD Facility Data 2023'!$AE$2:$AE$10000,0),1),"")</f>
        <v>330</v>
      </c>
      <c r="AC3351" s="1" t="str">
        <f>IF(INDEX('CAMD Facility Data 2023'!$AE$2:$AG$10000,MATCH(Z3351,'CAMD Facility Data 2023'!$AE$2:$AE$10000,0),3)&gt;0,INDEX('CAMD Facility Data 2023'!$AE$2:$AG$10000,MATCH(Z3351,'CAMD Facility Data 2023'!$AE$2:$AE$10000,0),3),"")</f>
        <v/>
      </c>
      <c r="AD3351" s="20">
        <f t="shared" si="157"/>
        <v>0.89180872060751615</v>
      </c>
      <c r="AE3351" s="25">
        <f t="shared" si="158"/>
        <v>3.1480754808357547E-2</v>
      </c>
    </row>
    <row r="3352" spans="1:31" x14ac:dyDescent="0.2">
      <c r="A3352" s="1" t="s">
        <v>3076</v>
      </c>
      <c r="B3352" s="1" t="s">
        <v>7491</v>
      </c>
      <c r="C3352" s="1">
        <v>56253</v>
      </c>
      <c r="D3352" s="1" t="s">
        <v>7492</v>
      </c>
      <c r="F3352" s="1">
        <v>2023</v>
      </c>
      <c r="G3352" s="5">
        <v>1616</v>
      </c>
      <c r="H3352" s="5">
        <v>1445.42</v>
      </c>
      <c r="I3352" s="5">
        <v>52996.6</v>
      </c>
      <c r="K3352" s="5">
        <v>0.14699999999999999</v>
      </c>
      <c r="L3352" s="5">
        <v>8.9999999999999998E-4</v>
      </c>
      <c r="M3352" s="5">
        <v>30649.599999999999</v>
      </c>
      <c r="N3352" s="6">
        <v>5.8999999999999997E-2</v>
      </c>
      <c r="O3352" s="5">
        <v>19.652000000000001</v>
      </c>
      <c r="P3352" s="6">
        <v>0.11210000000000001</v>
      </c>
      <c r="Q3352" s="5">
        <v>520351.2</v>
      </c>
      <c r="R3352" s="1" t="s">
        <v>44</v>
      </c>
      <c r="T3352" s="1" t="s">
        <v>93</v>
      </c>
      <c r="V3352" s="1" t="s">
        <v>140</v>
      </c>
      <c r="Y3352" s="1" t="s">
        <v>247</v>
      </c>
      <c r="Z3352" s="1" t="str">
        <f t="shared" si="156"/>
        <v>56253 MC-1</v>
      </c>
      <c r="AA3352" s="3">
        <f>IF(INDEX('CAMD Facility Data 2023'!$AA$2:$AE$10000,MATCH(Z3352,'CAMD Facility Data 2023'!$AE$2:$AE$10000,0),1)&gt;0,INDEX('CAMD Facility Data 2023'!$AA$2:$AE$10000,MATCH(Z3352,'CAMD Facility Data 2023'!$AE$2:$AE$10000,0),1),"")</f>
        <v>38810</v>
      </c>
      <c r="AB3352" s="5">
        <f>IF(INDEX('CAMD Facility Data 2023'!$AC$2:$AE$10000,MATCH(Z3352,'CAMD Facility Data 2023'!$AE$2:$AE$10000,0),1)&gt;0,INDEX('CAMD Facility Data 2023'!$AC$2:$AE$10000,MATCH(Z3352,'CAMD Facility Data 2023'!$AE$2:$AE$10000,0),1),"")</f>
        <v>360</v>
      </c>
      <c r="AC3352" s="1" t="str">
        <f>IF(INDEX('CAMD Facility Data 2023'!$AE$2:$AG$10000,MATCH(Z3352,'CAMD Facility Data 2023'!$AE$2:$AE$10000,0),3)&gt;0,INDEX('CAMD Facility Data 2023'!$AE$2:$AG$10000,MATCH(Z3352,'CAMD Facility Data 2023'!$AE$2:$AE$10000,0),3),"")</f>
        <v/>
      </c>
      <c r="AD3352" s="20">
        <f t="shared" si="157"/>
        <v>0.74163248208375632</v>
      </c>
      <c r="AE3352" s="25">
        <f t="shared" si="158"/>
        <v>0.16500228310502282</v>
      </c>
    </row>
    <row r="3353" spans="1:31" x14ac:dyDescent="0.2">
      <c r="A3353" s="1" t="s">
        <v>3076</v>
      </c>
      <c r="B3353" s="1" t="s">
        <v>7491</v>
      </c>
      <c r="C3353" s="1">
        <v>56253</v>
      </c>
      <c r="D3353" s="1" t="s">
        <v>7496</v>
      </c>
      <c r="F3353" s="1">
        <v>2023</v>
      </c>
      <c r="G3353" s="5">
        <v>2036</v>
      </c>
      <c r="H3353" s="5">
        <v>1936.52</v>
      </c>
      <c r="I3353" s="5">
        <v>72596.61</v>
      </c>
      <c r="K3353" s="5">
        <v>0.20899999999999999</v>
      </c>
      <c r="L3353" s="5">
        <v>1E-3</v>
      </c>
      <c r="M3353" s="5">
        <v>41457.349000000002</v>
      </c>
      <c r="N3353" s="6">
        <v>5.9200000000000003E-2</v>
      </c>
      <c r="O3353" s="5">
        <v>2.407</v>
      </c>
      <c r="P3353" s="6">
        <v>7.7999999999999996E-3</v>
      </c>
      <c r="Q3353" s="5">
        <v>697688.59199999995</v>
      </c>
      <c r="R3353" s="1" t="s">
        <v>44</v>
      </c>
      <c r="T3353" s="1" t="s">
        <v>93</v>
      </c>
      <c r="V3353" s="1" t="s">
        <v>64</v>
      </c>
      <c r="Y3353" s="1" t="s">
        <v>247</v>
      </c>
      <c r="Z3353" s="1" t="str">
        <f t="shared" si="156"/>
        <v>56253 MC-2</v>
      </c>
      <c r="AA3353" s="3">
        <f>IF(INDEX('CAMD Facility Data 2023'!$AA$2:$AE$10000,MATCH(Z3353,'CAMD Facility Data 2023'!$AE$2:$AE$10000,0),1)&gt;0,INDEX('CAMD Facility Data 2023'!$AA$2:$AE$10000,MATCH(Z3353,'CAMD Facility Data 2023'!$AE$2:$AE$10000,0),1),"")</f>
        <v>40293</v>
      </c>
      <c r="AB3353" s="5">
        <f>IF(INDEX('CAMD Facility Data 2023'!$AC$2:$AE$10000,MATCH(Z3353,'CAMD Facility Data 2023'!$AE$2:$AE$10000,0),1)&gt;0,INDEX('CAMD Facility Data 2023'!$AC$2:$AE$10000,MATCH(Z3353,'CAMD Facility Data 2023'!$AE$2:$AE$10000,0),1),"")</f>
        <v>420</v>
      </c>
      <c r="AC3353" s="1" t="str">
        <f>IF(INDEX('CAMD Facility Data 2023'!$AE$2:$AG$10000,MATCH(Z3353,'CAMD Facility Data 2023'!$AE$2:$AE$10000,0),3)&gt;0,INDEX('CAMD Facility Data 2023'!$AE$2:$AG$10000,MATCH(Z3353,'CAMD Facility Data 2023'!$AE$2:$AE$10000,0),3),"")</f>
        <v>Y</v>
      </c>
      <c r="AD3353" s="20">
        <f t="shared" si="157"/>
        <v>6.6311636314698441E-2</v>
      </c>
      <c r="AE3353" s="25">
        <f t="shared" si="158"/>
        <v>0.18963051532941944</v>
      </c>
    </row>
    <row r="3354" spans="1:31" x14ac:dyDescent="0.2">
      <c r="A3354" s="1" t="s">
        <v>2089</v>
      </c>
      <c r="B3354" s="1" t="s">
        <v>7498</v>
      </c>
      <c r="C3354" s="1">
        <v>56259</v>
      </c>
      <c r="D3354" s="1" t="s">
        <v>1296</v>
      </c>
      <c r="F3354" s="1">
        <v>2023</v>
      </c>
      <c r="G3354" s="5">
        <v>5958</v>
      </c>
      <c r="H3354" s="5">
        <v>5921.4</v>
      </c>
      <c r="I3354" s="5">
        <v>1374664.88</v>
      </c>
      <c r="K3354" s="5">
        <v>2.9809999999999999</v>
      </c>
      <c r="L3354" s="5">
        <v>1E-3</v>
      </c>
      <c r="M3354" s="5">
        <v>589158.07400000002</v>
      </c>
      <c r="N3354" s="6">
        <v>5.91E-2</v>
      </c>
      <c r="O3354" s="5">
        <v>33.656999999999996</v>
      </c>
      <c r="P3354" s="6">
        <v>8.3000000000000001E-3</v>
      </c>
      <c r="Q3354" s="5">
        <v>9906960.0069999993</v>
      </c>
      <c r="R3354" s="1" t="s">
        <v>44</v>
      </c>
      <c r="S3354" s="1" t="s">
        <v>94</v>
      </c>
      <c r="T3354" s="1" t="s">
        <v>71</v>
      </c>
      <c r="V3354" s="1" t="s">
        <v>643</v>
      </c>
      <c r="Y3354" s="1" t="s">
        <v>1515</v>
      </c>
      <c r="Z3354" s="1" t="str">
        <f t="shared" si="156"/>
        <v>56259 CT-1</v>
      </c>
      <c r="AA3354" s="3">
        <f>IF(INDEX('CAMD Facility Data 2023'!$AA$2:$AE$10000,MATCH(Z3354,'CAMD Facility Data 2023'!$AE$2:$AE$10000,0),1)&gt;0,INDEX('CAMD Facility Data 2023'!$AA$2:$AE$10000,MATCH(Z3354,'CAMD Facility Data 2023'!$AE$2:$AE$10000,0),1),"")</f>
        <v>40324</v>
      </c>
      <c r="AB3354" s="5">
        <f>IF(INDEX('CAMD Facility Data 2023'!$AC$2:$AE$10000,MATCH(Z3354,'CAMD Facility Data 2023'!$AE$2:$AE$10000,0),1)&gt;0,INDEX('CAMD Facility Data 2023'!$AC$2:$AE$10000,MATCH(Z3354,'CAMD Facility Data 2023'!$AE$2:$AE$10000,0),1),"")</f>
        <v>2750</v>
      </c>
      <c r="AC3354" s="1" t="str">
        <f>IF(INDEX('CAMD Facility Data 2023'!$AE$2:$AG$10000,MATCH(Z3354,'CAMD Facility Data 2023'!$AE$2:$AE$10000,0),3)&gt;0,INDEX('CAMD Facility Data 2023'!$AE$2:$AG$10000,MATCH(Z3354,'CAMD Facility Data 2023'!$AE$2:$AE$10000,0),3),"")</f>
        <v>Y</v>
      </c>
      <c r="AD3354" s="20">
        <f t="shared" si="157"/>
        <v>4.8967570918084416E-2</v>
      </c>
      <c r="AE3354" s="25">
        <f t="shared" si="158"/>
        <v>0.41124782096305518</v>
      </c>
    </row>
    <row r="3355" spans="1:31" x14ac:dyDescent="0.2">
      <c r="A3355" s="1" t="s">
        <v>2089</v>
      </c>
      <c r="B3355" s="1" t="s">
        <v>7498</v>
      </c>
      <c r="C3355" s="1">
        <v>56259</v>
      </c>
      <c r="D3355" s="1" t="s">
        <v>1300</v>
      </c>
      <c r="F3355" s="1">
        <v>2023</v>
      </c>
      <c r="G3355" s="5">
        <v>7462</v>
      </c>
      <c r="H3355" s="5">
        <v>7431.83</v>
      </c>
      <c r="I3355" s="5">
        <v>1756919.55</v>
      </c>
      <c r="K3355" s="5">
        <v>3.8069999999999999</v>
      </c>
      <c r="L3355" s="5">
        <v>1E-3</v>
      </c>
      <c r="M3355" s="5">
        <v>753577.42</v>
      </c>
      <c r="N3355" s="6">
        <v>5.8999999999999997E-2</v>
      </c>
      <c r="O3355" s="5">
        <v>41.262</v>
      </c>
      <c r="P3355" s="6">
        <v>7.1999999999999998E-3</v>
      </c>
      <c r="Q3355" s="5">
        <v>12677742.901000001</v>
      </c>
      <c r="R3355" s="1" t="s">
        <v>44</v>
      </c>
      <c r="S3355" s="1" t="s">
        <v>94</v>
      </c>
      <c r="T3355" s="1" t="s">
        <v>71</v>
      </c>
      <c r="V3355" s="1" t="s">
        <v>643</v>
      </c>
      <c r="Y3355" s="1" t="s">
        <v>1515</v>
      </c>
      <c r="Z3355" s="1" t="str">
        <f t="shared" si="156"/>
        <v>56259 CT-2</v>
      </c>
      <c r="AA3355" s="3">
        <f>IF(INDEX('CAMD Facility Data 2023'!$AA$2:$AE$10000,MATCH(Z3355,'CAMD Facility Data 2023'!$AE$2:$AE$10000,0),1)&gt;0,INDEX('CAMD Facility Data 2023'!$AA$2:$AE$10000,MATCH(Z3355,'CAMD Facility Data 2023'!$AE$2:$AE$10000,0),1),"")</f>
        <v>40332</v>
      </c>
      <c r="AB3355" s="5">
        <f>IF(INDEX('CAMD Facility Data 2023'!$AC$2:$AE$10000,MATCH(Z3355,'CAMD Facility Data 2023'!$AE$2:$AE$10000,0),1)&gt;0,INDEX('CAMD Facility Data 2023'!$AC$2:$AE$10000,MATCH(Z3355,'CAMD Facility Data 2023'!$AE$2:$AE$10000,0),1),"")</f>
        <v>2750</v>
      </c>
      <c r="AC3355" s="1" t="str">
        <f>IF(INDEX('CAMD Facility Data 2023'!$AE$2:$AG$10000,MATCH(Z3355,'CAMD Facility Data 2023'!$AE$2:$AE$10000,0),3)&gt;0,INDEX('CAMD Facility Data 2023'!$AE$2:$AG$10000,MATCH(Z3355,'CAMD Facility Data 2023'!$AE$2:$AE$10000,0),3),"")</f>
        <v>Y</v>
      </c>
      <c r="AD3355" s="20">
        <f t="shared" si="157"/>
        <v>4.6970847356101193E-2</v>
      </c>
      <c r="AE3355" s="25">
        <f t="shared" si="158"/>
        <v>0.52626579082606895</v>
      </c>
    </row>
    <row r="3356" spans="1:31" x14ac:dyDescent="0.2">
      <c r="A3356" s="1" t="s">
        <v>1426</v>
      </c>
      <c r="B3356" s="1" t="s">
        <v>7502</v>
      </c>
      <c r="C3356" s="1">
        <v>56283</v>
      </c>
      <c r="D3356" s="1" t="s">
        <v>7322</v>
      </c>
      <c r="F3356" s="1">
        <v>2023</v>
      </c>
      <c r="G3356" s="5">
        <v>914</v>
      </c>
      <c r="H3356" s="5">
        <v>730.48</v>
      </c>
      <c r="I3356" s="5">
        <v>26870.44</v>
      </c>
      <c r="K3356" s="5">
        <v>0.08</v>
      </c>
      <c r="L3356" s="5">
        <v>1E-3</v>
      </c>
      <c r="M3356" s="5">
        <v>15819.39</v>
      </c>
      <c r="N3356" s="6">
        <v>5.9299999999999999E-2</v>
      </c>
      <c r="O3356" s="5">
        <v>10.823</v>
      </c>
      <c r="P3356" s="6">
        <v>8.9800000000000005E-2</v>
      </c>
      <c r="Q3356" s="5">
        <v>266177.10700000002</v>
      </c>
      <c r="R3356" s="1" t="s">
        <v>44</v>
      </c>
      <c r="T3356" s="1" t="s">
        <v>93</v>
      </c>
      <c r="V3356" s="1" t="s">
        <v>95</v>
      </c>
      <c r="Y3356" s="1" t="s">
        <v>1428</v>
      </c>
      <c r="Z3356" s="1" t="str">
        <f t="shared" si="156"/>
        <v>56283 U-1</v>
      </c>
      <c r="AA3356" s="3">
        <f>IF(INDEX('CAMD Facility Data 2023'!$AA$2:$AE$10000,MATCH(Z3356,'CAMD Facility Data 2023'!$AE$2:$AE$10000,0),1)&gt;0,INDEX('CAMD Facility Data 2023'!$AA$2:$AE$10000,MATCH(Z3356,'CAMD Facility Data 2023'!$AE$2:$AE$10000,0),1),"")</f>
        <v>38834</v>
      </c>
      <c r="AB3356" s="5">
        <f>IF(INDEX('CAMD Facility Data 2023'!$AC$2:$AE$10000,MATCH(Z3356,'CAMD Facility Data 2023'!$AE$2:$AE$10000,0),1)&gt;0,INDEX('CAMD Facility Data 2023'!$AC$2:$AE$10000,MATCH(Z3356,'CAMD Facility Data 2023'!$AE$2:$AE$10000,0),1),"")</f>
        <v>510</v>
      </c>
      <c r="AC3356" s="1" t="str">
        <f>IF(INDEX('CAMD Facility Data 2023'!$AE$2:$AG$10000,MATCH(Z3356,'CAMD Facility Data 2023'!$AE$2:$AE$10000,0),3)&gt;0,INDEX('CAMD Facility Data 2023'!$AE$2:$AG$10000,MATCH(Z3356,'CAMD Facility Data 2023'!$AE$2:$AE$10000,0),3),"")</f>
        <v/>
      </c>
      <c r="AD3356" s="20">
        <f t="shared" si="157"/>
        <v>0.80556924263242435</v>
      </c>
      <c r="AE3356" s="25">
        <f t="shared" si="158"/>
        <v>5.957944019160176E-2</v>
      </c>
    </row>
    <row r="3357" spans="1:31" x14ac:dyDescent="0.2">
      <c r="A3357" s="1" t="s">
        <v>1426</v>
      </c>
      <c r="B3357" s="1" t="s">
        <v>7502</v>
      </c>
      <c r="C3357" s="1">
        <v>56283</v>
      </c>
      <c r="D3357" s="1" t="s">
        <v>7327</v>
      </c>
      <c r="F3357" s="1">
        <v>2023</v>
      </c>
      <c r="G3357" s="5">
        <v>822</v>
      </c>
      <c r="H3357" s="5">
        <v>636.5</v>
      </c>
      <c r="I3357" s="5">
        <v>25266.78</v>
      </c>
      <c r="K3357" s="5">
        <v>7.4999999999999997E-2</v>
      </c>
      <c r="L3357" s="5">
        <v>1E-3</v>
      </c>
      <c r="M3357" s="5">
        <v>14843.88</v>
      </c>
      <c r="N3357" s="6">
        <v>5.9299999999999999E-2</v>
      </c>
      <c r="O3357" s="5">
        <v>10.499000000000001</v>
      </c>
      <c r="P3357" s="6">
        <v>9.2200000000000004E-2</v>
      </c>
      <c r="Q3357" s="5">
        <v>249768.04399999999</v>
      </c>
      <c r="R3357" s="1" t="s">
        <v>44</v>
      </c>
      <c r="T3357" s="1" t="s">
        <v>93</v>
      </c>
      <c r="V3357" s="1" t="s">
        <v>95</v>
      </c>
      <c r="Y3357" s="1" t="s">
        <v>1428</v>
      </c>
      <c r="Z3357" s="1" t="str">
        <f t="shared" si="156"/>
        <v>56283 U-2</v>
      </c>
      <c r="AA3357" s="3">
        <f>IF(INDEX('CAMD Facility Data 2023'!$AA$2:$AE$10000,MATCH(Z3357,'CAMD Facility Data 2023'!$AE$2:$AE$10000,0),1)&gt;0,INDEX('CAMD Facility Data 2023'!$AA$2:$AE$10000,MATCH(Z3357,'CAMD Facility Data 2023'!$AE$2:$AE$10000,0),1),"")</f>
        <v>38825</v>
      </c>
      <c r="AB3357" s="5">
        <f>IF(INDEX('CAMD Facility Data 2023'!$AC$2:$AE$10000,MATCH(Z3357,'CAMD Facility Data 2023'!$AE$2:$AE$10000,0),1)&gt;0,INDEX('CAMD Facility Data 2023'!$AC$2:$AE$10000,MATCH(Z3357,'CAMD Facility Data 2023'!$AE$2:$AE$10000,0),1),"")</f>
        <v>510</v>
      </c>
      <c r="AC3357" s="1" t="str">
        <f>IF(INDEX('CAMD Facility Data 2023'!$AE$2:$AG$10000,MATCH(Z3357,'CAMD Facility Data 2023'!$AE$2:$AE$10000,0),3)&gt;0,INDEX('CAMD Facility Data 2023'!$AE$2:$AG$10000,MATCH(Z3357,'CAMD Facility Data 2023'!$AE$2:$AE$10000,0),3),"")</f>
        <v/>
      </c>
      <c r="AD3357" s="20">
        <f t="shared" si="157"/>
        <v>0.83105168129852725</v>
      </c>
      <c r="AE3357" s="25">
        <f t="shared" si="158"/>
        <v>5.5906536843047722E-2</v>
      </c>
    </row>
    <row r="3358" spans="1:31" x14ac:dyDescent="0.2">
      <c r="A3358" s="1" t="s">
        <v>1153</v>
      </c>
      <c r="B3358" s="1" t="s">
        <v>7503</v>
      </c>
      <c r="C3358" s="1">
        <v>56292</v>
      </c>
      <c r="D3358" s="1" t="s">
        <v>7472</v>
      </c>
      <c r="F3358" s="1">
        <v>2023</v>
      </c>
      <c r="G3358" s="5">
        <v>340</v>
      </c>
      <c r="H3358" s="5">
        <v>320.23</v>
      </c>
      <c r="I3358" s="5">
        <v>7881.41</v>
      </c>
      <c r="K3358" s="5">
        <v>2.4E-2</v>
      </c>
      <c r="L3358" s="5">
        <v>1E-3</v>
      </c>
      <c r="M3358" s="5">
        <v>4731.3609999999999</v>
      </c>
      <c r="N3358" s="6">
        <v>5.9799999999999999E-2</v>
      </c>
      <c r="O3358" s="5">
        <v>3.5489999999999999</v>
      </c>
      <c r="P3358" s="6">
        <v>9.01E-2</v>
      </c>
      <c r="Q3358" s="5">
        <v>79169.323999999993</v>
      </c>
      <c r="R3358" s="1" t="s">
        <v>44</v>
      </c>
      <c r="S3358" s="1" t="s">
        <v>94</v>
      </c>
      <c r="T3358" s="1" t="s">
        <v>93</v>
      </c>
      <c r="V3358" s="1" t="s">
        <v>95</v>
      </c>
      <c r="Y3358" s="1" t="s">
        <v>2319</v>
      </c>
      <c r="Z3358" s="1" t="str">
        <f t="shared" si="156"/>
        <v>56292 ES1-A</v>
      </c>
      <c r="AA3358" s="3">
        <f>IF(INDEX('CAMD Facility Data 2023'!$AA$2:$AE$10000,MATCH(Z3358,'CAMD Facility Data 2023'!$AE$2:$AE$10000,0),1)&gt;0,INDEX('CAMD Facility Data 2023'!$AA$2:$AE$10000,MATCH(Z3358,'CAMD Facility Data 2023'!$AE$2:$AE$10000,0),1),"")</f>
        <v>39360</v>
      </c>
      <c r="AB3358" s="5">
        <f>IF(INDEX('CAMD Facility Data 2023'!$AC$2:$AE$10000,MATCH(Z3358,'CAMD Facility Data 2023'!$AE$2:$AE$10000,0),1)&gt;0,INDEX('CAMD Facility Data 2023'!$AC$2:$AE$10000,MATCH(Z3358,'CAMD Facility Data 2023'!$AE$2:$AE$10000,0),1),"")</f>
        <v>330</v>
      </c>
      <c r="AC3358" s="1" t="str">
        <f>IF(INDEX('CAMD Facility Data 2023'!$AE$2:$AG$10000,MATCH(Z3358,'CAMD Facility Data 2023'!$AE$2:$AE$10000,0),3)&gt;0,INDEX('CAMD Facility Data 2023'!$AE$2:$AG$10000,MATCH(Z3358,'CAMD Facility Data 2023'!$AE$2:$AE$10000,0),3),"")</f>
        <v/>
      </c>
      <c r="AD3358" s="20">
        <f t="shared" si="157"/>
        <v>0.90060027330135095</v>
      </c>
      <c r="AE3358" s="25">
        <f t="shared" si="158"/>
        <v>2.7386648678566484E-2</v>
      </c>
    </row>
    <row r="3359" spans="1:31" x14ac:dyDescent="0.2">
      <c r="A3359" s="1" t="s">
        <v>1153</v>
      </c>
      <c r="B3359" s="1" t="s">
        <v>7503</v>
      </c>
      <c r="C3359" s="1">
        <v>56292</v>
      </c>
      <c r="D3359" s="1" t="s">
        <v>7475</v>
      </c>
      <c r="F3359" s="1">
        <v>2023</v>
      </c>
      <c r="G3359" s="5">
        <v>333</v>
      </c>
      <c r="H3359" s="5">
        <v>310.95</v>
      </c>
      <c r="I3359" s="5">
        <v>8381.5499999999993</v>
      </c>
      <c r="K3359" s="5">
        <v>2.5999999999999999E-2</v>
      </c>
      <c r="L3359" s="5">
        <v>1E-3</v>
      </c>
      <c r="M3359" s="5">
        <v>5071.9679999999998</v>
      </c>
      <c r="N3359" s="6">
        <v>5.9799999999999999E-2</v>
      </c>
      <c r="O3359" s="5">
        <v>3.754</v>
      </c>
      <c r="P3359" s="6">
        <v>8.8900000000000007E-2</v>
      </c>
      <c r="Q3359" s="5">
        <v>84860.15</v>
      </c>
      <c r="R3359" s="1" t="s">
        <v>44</v>
      </c>
      <c r="S3359" s="1" t="s">
        <v>94</v>
      </c>
      <c r="T3359" s="1" t="s">
        <v>93</v>
      </c>
      <c r="V3359" s="1" t="s">
        <v>95</v>
      </c>
      <c r="Y3359" s="1" t="s">
        <v>2319</v>
      </c>
      <c r="Z3359" s="1" t="str">
        <f t="shared" si="156"/>
        <v>56292 ES1-B</v>
      </c>
      <c r="AA3359" s="3">
        <f>IF(INDEX('CAMD Facility Data 2023'!$AA$2:$AE$10000,MATCH(Z3359,'CAMD Facility Data 2023'!$AE$2:$AE$10000,0),1)&gt;0,INDEX('CAMD Facility Data 2023'!$AA$2:$AE$10000,MATCH(Z3359,'CAMD Facility Data 2023'!$AE$2:$AE$10000,0),1),"")</f>
        <v>39360</v>
      </c>
      <c r="AB3359" s="5">
        <f>IF(INDEX('CAMD Facility Data 2023'!$AC$2:$AE$10000,MATCH(Z3359,'CAMD Facility Data 2023'!$AE$2:$AE$10000,0),1)&gt;0,INDEX('CAMD Facility Data 2023'!$AC$2:$AE$10000,MATCH(Z3359,'CAMD Facility Data 2023'!$AE$2:$AE$10000,0),1),"")</f>
        <v>330</v>
      </c>
      <c r="AC3359" s="1" t="str">
        <f>IF(INDEX('CAMD Facility Data 2023'!$AE$2:$AG$10000,MATCH(Z3359,'CAMD Facility Data 2023'!$AE$2:$AE$10000,0),3)&gt;0,INDEX('CAMD Facility Data 2023'!$AE$2:$AG$10000,MATCH(Z3359,'CAMD Facility Data 2023'!$AE$2:$AE$10000,0),3),"")</f>
        <v/>
      </c>
      <c r="AD3359" s="20">
        <f t="shared" si="157"/>
        <v>0.89577703408080855</v>
      </c>
      <c r="AE3359" s="25">
        <f t="shared" si="158"/>
        <v>2.9355247682302476E-2</v>
      </c>
    </row>
    <row r="3360" spans="1:31" x14ac:dyDescent="0.2">
      <c r="A3360" s="1" t="s">
        <v>1153</v>
      </c>
      <c r="B3360" s="1" t="s">
        <v>7503</v>
      </c>
      <c r="C3360" s="1">
        <v>56292</v>
      </c>
      <c r="D3360" s="1" t="s">
        <v>7476</v>
      </c>
      <c r="F3360" s="1">
        <v>2023</v>
      </c>
      <c r="G3360" s="5">
        <v>268</v>
      </c>
      <c r="H3360" s="5">
        <v>239.67</v>
      </c>
      <c r="I3360" s="5">
        <v>6043.73</v>
      </c>
      <c r="K3360" s="5">
        <v>1.9E-2</v>
      </c>
      <c r="L3360" s="5">
        <v>1E-3</v>
      </c>
      <c r="M3360" s="5">
        <v>3586.491</v>
      </c>
      <c r="N3360" s="6">
        <v>5.9799999999999999E-2</v>
      </c>
      <c r="O3360" s="5">
        <v>2.661</v>
      </c>
      <c r="P3360" s="6">
        <v>8.9300000000000004E-2</v>
      </c>
      <c r="Q3360" s="5">
        <v>59913.415999999997</v>
      </c>
      <c r="R3360" s="1" t="s">
        <v>44</v>
      </c>
      <c r="S3360" s="1" t="s">
        <v>94</v>
      </c>
      <c r="T3360" s="1" t="s">
        <v>93</v>
      </c>
      <c r="V3360" s="1" t="s">
        <v>95</v>
      </c>
      <c r="Y3360" s="1" t="s">
        <v>2319</v>
      </c>
      <c r="Z3360" s="1" t="str">
        <f t="shared" si="156"/>
        <v>56292 ES2-A</v>
      </c>
      <c r="AA3360" s="3">
        <f>IF(INDEX('CAMD Facility Data 2023'!$AA$2:$AE$10000,MATCH(Z3360,'CAMD Facility Data 2023'!$AE$2:$AE$10000,0),1)&gt;0,INDEX('CAMD Facility Data 2023'!$AA$2:$AE$10000,MATCH(Z3360,'CAMD Facility Data 2023'!$AE$2:$AE$10000,0),1),"")</f>
        <v>39363</v>
      </c>
      <c r="AB3360" s="5">
        <f>IF(INDEX('CAMD Facility Data 2023'!$AC$2:$AE$10000,MATCH(Z3360,'CAMD Facility Data 2023'!$AE$2:$AE$10000,0),1)&gt;0,INDEX('CAMD Facility Data 2023'!$AC$2:$AE$10000,MATCH(Z3360,'CAMD Facility Data 2023'!$AE$2:$AE$10000,0),1),"")</f>
        <v>330</v>
      </c>
      <c r="AC3360" s="1" t="str">
        <f>IF(INDEX('CAMD Facility Data 2023'!$AE$2:$AG$10000,MATCH(Z3360,'CAMD Facility Data 2023'!$AE$2:$AE$10000,0),3)&gt;0,INDEX('CAMD Facility Data 2023'!$AE$2:$AG$10000,MATCH(Z3360,'CAMD Facility Data 2023'!$AE$2:$AE$10000,0),3),"")</f>
        <v/>
      </c>
      <c r="AD3360" s="20">
        <f t="shared" si="157"/>
        <v>0.8805820246768139</v>
      </c>
      <c r="AE3360" s="25">
        <f t="shared" si="158"/>
        <v>2.0725548637055485E-2</v>
      </c>
    </row>
    <row r="3361" spans="1:31" x14ac:dyDescent="0.2">
      <c r="A3361" s="1" t="s">
        <v>1153</v>
      </c>
      <c r="B3361" s="1" t="s">
        <v>7503</v>
      </c>
      <c r="C3361" s="1">
        <v>56292</v>
      </c>
      <c r="D3361" s="1" t="s">
        <v>7478</v>
      </c>
      <c r="F3361" s="1">
        <v>2023</v>
      </c>
      <c r="G3361" s="5">
        <v>267</v>
      </c>
      <c r="H3361" s="5">
        <v>236.98</v>
      </c>
      <c r="I3361" s="5">
        <v>6541.87</v>
      </c>
      <c r="K3361" s="5">
        <v>0.02</v>
      </c>
      <c r="L3361" s="5">
        <v>1E-3</v>
      </c>
      <c r="M3361" s="5">
        <v>3876.4369999999999</v>
      </c>
      <c r="N3361" s="6">
        <v>5.9799999999999999E-2</v>
      </c>
      <c r="O3361" s="5">
        <v>2.9420000000000002</v>
      </c>
      <c r="P3361" s="6">
        <v>9.0800000000000006E-2</v>
      </c>
      <c r="Q3361" s="5">
        <v>64765.03</v>
      </c>
      <c r="R3361" s="1" t="s">
        <v>44</v>
      </c>
      <c r="S3361" s="1" t="s">
        <v>94</v>
      </c>
      <c r="T3361" s="1" t="s">
        <v>93</v>
      </c>
      <c r="V3361" s="1" t="s">
        <v>95</v>
      </c>
      <c r="Y3361" s="1" t="s">
        <v>2319</v>
      </c>
      <c r="Z3361" s="1" t="str">
        <f t="shared" si="156"/>
        <v>56292 ES2-B</v>
      </c>
      <c r="AA3361" s="3">
        <f>IF(INDEX('CAMD Facility Data 2023'!$AA$2:$AE$10000,MATCH(Z3361,'CAMD Facility Data 2023'!$AE$2:$AE$10000,0),1)&gt;0,INDEX('CAMD Facility Data 2023'!$AA$2:$AE$10000,MATCH(Z3361,'CAMD Facility Data 2023'!$AE$2:$AE$10000,0),1),"")</f>
        <v>39363</v>
      </c>
      <c r="AB3361" s="5">
        <f>IF(INDEX('CAMD Facility Data 2023'!$AC$2:$AE$10000,MATCH(Z3361,'CAMD Facility Data 2023'!$AE$2:$AE$10000,0),1)&gt;0,INDEX('CAMD Facility Data 2023'!$AC$2:$AE$10000,MATCH(Z3361,'CAMD Facility Data 2023'!$AE$2:$AE$10000,0),1),"")</f>
        <v>330</v>
      </c>
      <c r="AC3361" s="1" t="str">
        <f>IF(INDEX('CAMD Facility Data 2023'!$AE$2:$AG$10000,MATCH(Z3361,'CAMD Facility Data 2023'!$AE$2:$AE$10000,0),3)&gt;0,INDEX('CAMD Facility Data 2023'!$AE$2:$AG$10000,MATCH(Z3361,'CAMD Facility Data 2023'!$AE$2:$AE$10000,0),3),"")</f>
        <v/>
      </c>
      <c r="AD3361" s="20">
        <f t="shared" si="157"/>
        <v>0.8994370111298452</v>
      </c>
      <c r="AE3361" s="25">
        <f t="shared" si="158"/>
        <v>2.2403843226788431E-2</v>
      </c>
    </row>
    <row r="3362" spans="1:31" x14ac:dyDescent="0.2">
      <c r="A3362" s="1" t="s">
        <v>1153</v>
      </c>
      <c r="B3362" s="1" t="s">
        <v>7503</v>
      </c>
      <c r="C3362" s="1">
        <v>56292</v>
      </c>
      <c r="D3362" s="1" t="s">
        <v>7479</v>
      </c>
      <c r="F3362" s="1">
        <v>2023</v>
      </c>
      <c r="G3362" s="5">
        <v>206</v>
      </c>
      <c r="H3362" s="5">
        <v>182.45</v>
      </c>
      <c r="I3362" s="5">
        <v>4792.62</v>
      </c>
      <c r="K3362" s="5">
        <v>1.4999999999999999E-2</v>
      </c>
      <c r="L3362" s="5">
        <v>1E-3</v>
      </c>
      <c r="M3362" s="5">
        <v>2843.8409999999999</v>
      </c>
      <c r="N3362" s="6">
        <v>0.06</v>
      </c>
      <c r="O3362" s="5">
        <v>2.161</v>
      </c>
      <c r="P3362" s="6">
        <v>9.1800000000000007E-2</v>
      </c>
      <c r="Q3362" s="5">
        <v>47382.267</v>
      </c>
      <c r="R3362" s="1" t="s">
        <v>44</v>
      </c>
      <c r="S3362" s="1" t="s">
        <v>94</v>
      </c>
      <c r="T3362" s="1" t="s">
        <v>93</v>
      </c>
      <c r="V3362" s="1" t="s">
        <v>95</v>
      </c>
      <c r="Y3362" s="1" t="s">
        <v>2319</v>
      </c>
      <c r="Z3362" s="1" t="str">
        <f t="shared" si="156"/>
        <v>56292 ES3-A</v>
      </c>
      <c r="AA3362" s="3">
        <f>IF(INDEX('CAMD Facility Data 2023'!$AA$2:$AE$10000,MATCH(Z3362,'CAMD Facility Data 2023'!$AE$2:$AE$10000,0),1)&gt;0,INDEX('CAMD Facility Data 2023'!$AA$2:$AE$10000,MATCH(Z3362,'CAMD Facility Data 2023'!$AE$2:$AE$10000,0),1),"")</f>
        <v>39366</v>
      </c>
      <c r="AB3362" s="5">
        <f>IF(INDEX('CAMD Facility Data 2023'!$AC$2:$AE$10000,MATCH(Z3362,'CAMD Facility Data 2023'!$AE$2:$AE$10000,0),1)&gt;0,INDEX('CAMD Facility Data 2023'!$AC$2:$AE$10000,MATCH(Z3362,'CAMD Facility Data 2023'!$AE$2:$AE$10000,0),1),"")</f>
        <v>330</v>
      </c>
      <c r="AC3362" s="1" t="str">
        <f>IF(INDEX('CAMD Facility Data 2023'!$AE$2:$AG$10000,MATCH(Z3362,'CAMD Facility Data 2023'!$AE$2:$AE$10000,0),3)&gt;0,INDEX('CAMD Facility Data 2023'!$AE$2:$AG$10000,MATCH(Z3362,'CAMD Facility Data 2023'!$AE$2:$AE$10000,0),3),"")</f>
        <v/>
      </c>
      <c r="AD3362" s="20">
        <f t="shared" si="157"/>
        <v>0.90180318906986157</v>
      </c>
      <c r="AE3362" s="25">
        <f t="shared" si="158"/>
        <v>1.6390710875882109E-2</v>
      </c>
    </row>
    <row r="3363" spans="1:31" x14ac:dyDescent="0.2">
      <c r="A3363" s="1" t="s">
        <v>1153</v>
      </c>
      <c r="B3363" s="1" t="s">
        <v>7503</v>
      </c>
      <c r="C3363" s="1">
        <v>56292</v>
      </c>
      <c r="D3363" s="1" t="s">
        <v>7481</v>
      </c>
      <c r="F3363" s="1">
        <v>2023</v>
      </c>
      <c r="G3363" s="5">
        <v>199</v>
      </c>
      <c r="H3363" s="5">
        <v>173.22</v>
      </c>
      <c r="I3363" s="5">
        <v>4577.3100000000004</v>
      </c>
      <c r="K3363" s="5">
        <v>1.4E-2</v>
      </c>
      <c r="L3363" s="5">
        <v>1E-3</v>
      </c>
      <c r="M3363" s="5">
        <v>2728.674</v>
      </c>
      <c r="N3363" s="6">
        <v>6.0100000000000001E-2</v>
      </c>
      <c r="O3363" s="5">
        <v>2.0579999999999998</v>
      </c>
      <c r="P3363" s="6">
        <v>9.0700000000000003E-2</v>
      </c>
      <c r="Q3363" s="5">
        <v>45434.917000000001</v>
      </c>
      <c r="R3363" s="1" t="s">
        <v>44</v>
      </c>
      <c r="S3363" s="1" t="s">
        <v>94</v>
      </c>
      <c r="T3363" s="1" t="s">
        <v>93</v>
      </c>
      <c r="V3363" s="1" t="s">
        <v>95</v>
      </c>
      <c r="Y3363" s="1" t="s">
        <v>2319</v>
      </c>
      <c r="Z3363" s="1" t="str">
        <f t="shared" si="156"/>
        <v>56292 ES3-B</v>
      </c>
      <c r="AA3363" s="3">
        <f>IF(INDEX('CAMD Facility Data 2023'!$AA$2:$AE$10000,MATCH(Z3363,'CAMD Facility Data 2023'!$AE$2:$AE$10000,0),1)&gt;0,INDEX('CAMD Facility Data 2023'!$AA$2:$AE$10000,MATCH(Z3363,'CAMD Facility Data 2023'!$AE$2:$AE$10000,0),1),"")</f>
        <v>39366</v>
      </c>
      <c r="AB3363" s="5">
        <f>IF(INDEX('CAMD Facility Data 2023'!$AC$2:$AE$10000,MATCH(Z3363,'CAMD Facility Data 2023'!$AE$2:$AE$10000,0),1)&gt;0,INDEX('CAMD Facility Data 2023'!$AC$2:$AE$10000,MATCH(Z3363,'CAMD Facility Data 2023'!$AE$2:$AE$10000,0),1),"")</f>
        <v>330</v>
      </c>
      <c r="AC3363" s="1" t="str">
        <f>IF(INDEX('CAMD Facility Data 2023'!$AE$2:$AG$10000,MATCH(Z3363,'CAMD Facility Data 2023'!$AE$2:$AE$10000,0),3)&gt;0,INDEX('CAMD Facility Data 2023'!$AE$2:$AG$10000,MATCH(Z3363,'CAMD Facility Data 2023'!$AE$2:$AE$10000,0),3),"")</f>
        <v/>
      </c>
      <c r="AD3363" s="20">
        <f t="shared" si="157"/>
        <v>0.89921809971358713</v>
      </c>
      <c r="AE3363" s="25">
        <f t="shared" si="158"/>
        <v>1.5717073820395739E-2</v>
      </c>
    </row>
    <row r="3364" spans="1:31" x14ac:dyDescent="0.2">
      <c r="A3364" s="1" t="s">
        <v>1153</v>
      </c>
      <c r="B3364" s="1" t="s">
        <v>7503</v>
      </c>
      <c r="C3364" s="1">
        <v>56292</v>
      </c>
      <c r="D3364" s="1" t="s">
        <v>7482</v>
      </c>
      <c r="F3364" s="1">
        <v>2023</v>
      </c>
      <c r="G3364" s="5">
        <v>340</v>
      </c>
      <c r="H3364" s="5">
        <v>324.87</v>
      </c>
      <c r="I3364" s="5">
        <v>8593.16</v>
      </c>
      <c r="K3364" s="5">
        <v>2.5999999999999999E-2</v>
      </c>
      <c r="L3364" s="5">
        <v>1E-3</v>
      </c>
      <c r="M3364" s="5">
        <v>4986.5990000000002</v>
      </c>
      <c r="N3364" s="6">
        <v>5.9700000000000003E-2</v>
      </c>
      <c r="O3364" s="5">
        <v>3.7360000000000002</v>
      </c>
      <c r="P3364" s="6">
        <v>9.01E-2</v>
      </c>
      <c r="Q3364" s="5">
        <v>83485.141000000003</v>
      </c>
      <c r="R3364" s="1" t="s">
        <v>44</v>
      </c>
      <c r="S3364" s="1" t="s">
        <v>94</v>
      </c>
      <c r="T3364" s="1" t="s">
        <v>93</v>
      </c>
      <c r="V3364" s="1" t="s">
        <v>95</v>
      </c>
      <c r="Y3364" s="1" t="s">
        <v>2319</v>
      </c>
      <c r="Z3364" s="1" t="str">
        <f t="shared" si="156"/>
        <v>56292 ES4-A</v>
      </c>
      <c r="AA3364" s="3">
        <f>IF(INDEX('CAMD Facility Data 2023'!$AA$2:$AE$10000,MATCH(Z3364,'CAMD Facility Data 2023'!$AE$2:$AE$10000,0),1)&gt;0,INDEX('CAMD Facility Data 2023'!$AA$2:$AE$10000,MATCH(Z3364,'CAMD Facility Data 2023'!$AE$2:$AE$10000,0),1),"")</f>
        <v>39366</v>
      </c>
      <c r="AB3364" s="5">
        <f>IF(INDEX('CAMD Facility Data 2023'!$AC$2:$AE$10000,MATCH(Z3364,'CAMD Facility Data 2023'!$AE$2:$AE$10000,0),1)&gt;0,INDEX('CAMD Facility Data 2023'!$AC$2:$AE$10000,MATCH(Z3364,'CAMD Facility Data 2023'!$AE$2:$AE$10000,0),1),"")</f>
        <v>330</v>
      </c>
      <c r="AC3364" s="1" t="str">
        <f>IF(INDEX('CAMD Facility Data 2023'!$AE$2:$AG$10000,MATCH(Z3364,'CAMD Facility Data 2023'!$AE$2:$AE$10000,0),3)&gt;0,INDEX('CAMD Facility Data 2023'!$AE$2:$AG$10000,MATCH(Z3364,'CAMD Facility Data 2023'!$AE$2:$AE$10000,0),3),"")</f>
        <v/>
      </c>
      <c r="AD3364" s="20">
        <f t="shared" si="157"/>
        <v>0.86952878801279154</v>
      </c>
      <c r="AE3364" s="25">
        <f t="shared" si="158"/>
        <v>2.8879597689220979E-2</v>
      </c>
    </row>
    <row r="3365" spans="1:31" x14ac:dyDescent="0.2">
      <c r="A3365" s="1" t="s">
        <v>1153</v>
      </c>
      <c r="B3365" s="1" t="s">
        <v>7503</v>
      </c>
      <c r="C3365" s="1">
        <v>56292</v>
      </c>
      <c r="D3365" s="1" t="s">
        <v>7484</v>
      </c>
      <c r="F3365" s="1">
        <v>2023</v>
      </c>
      <c r="G3365" s="5">
        <v>339</v>
      </c>
      <c r="H3365" s="5">
        <v>319.36</v>
      </c>
      <c r="I3365" s="5">
        <v>8045.7</v>
      </c>
      <c r="K3365" s="5">
        <v>2.4E-2</v>
      </c>
      <c r="L3365" s="5">
        <v>1E-3</v>
      </c>
      <c r="M3365" s="5">
        <v>4706.6080000000002</v>
      </c>
      <c r="N3365" s="6">
        <v>5.9700000000000003E-2</v>
      </c>
      <c r="O3365" s="5">
        <v>3.4390000000000001</v>
      </c>
      <c r="P3365" s="6">
        <v>8.7800000000000003E-2</v>
      </c>
      <c r="Q3365" s="5">
        <v>78783.671000000002</v>
      </c>
      <c r="R3365" s="1" t="s">
        <v>44</v>
      </c>
      <c r="S3365" s="1" t="s">
        <v>94</v>
      </c>
      <c r="T3365" s="1" t="s">
        <v>93</v>
      </c>
      <c r="V3365" s="1" t="s">
        <v>95</v>
      </c>
      <c r="Y3365" s="1" t="s">
        <v>2319</v>
      </c>
      <c r="Z3365" s="1" t="str">
        <f t="shared" si="156"/>
        <v>56292 ES4-B</v>
      </c>
      <c r="AA3365" s="3">
        <f>IF(INDEX('CAMD Facility Data 2023'!$AA$2:$AE$10000,MATCH(Z3365,'CAMD Facility Data 2023'!$AE$2:$AE$10000,0),1)&gt;0,INDEX('CAMD Facility Data 2023'!$AA$2:$AE$10000,MATCH(Z3365,'CAMD Facility Data 2023'!$AE$2:$AE$10000,0),1),"")</f>
        <v>39366</v>
      </c>
      <c r="AB3365" s="5">
        <f>IF(INDEX('CAMD Facility Data 2023'!$AC$2:$AE$10000,MATCH(Z3365,'CAMD Facility Data 2023'!$AE$2:$AE$10000,0),1)&gt;0,INDEX('CAMD Facility Data 2023'!$AC$2:$AE$10000,MATCH(Z3365,'CAMD Facility Data 2023'!$AE$2:$AE$10000,0),1),"")</f>
        <v>330</v>
      </c>
      <c r="AC3365" s="1" t="str">
        <f>IF(INDEX('CAMD Facility Data 2023'!$AE$2:$AG$10000,MATCH(Z3365,'CAMD Facility Data 2023'!$AE$2:$AE$10000,0),3)&gt;0,INDEX('CAMD Facility Data 2023'!$AE$2:$AG$10000,MATCH(Z3365,'CAMD Facility Data 2023'!$AE$2:$AE$10000,0),3),"")</f>
        <v/>
      </c>
      <c r="AD3365" s="20">
        <f t="shared" si="157"/>
        <v>0.85486657469207161</v>
      </c>
      <c r="AE3365" s="25">
        <f t="shared" si="158"/>
        <v>2.7253241663207417E-2</v>
      </c>
    </row>
    <row r="3366" spans="1:31" x14ac:dyDescent="0.2">
      <c r="A3366" s="1" t="s">
        <v>1153</v>
      </c>
      <c r="B3366" s="1" t="s">
        <v>7503</v>
      </c>
      <c r="C3366" s="1">
        <v>56292</v>
      </c>
      <c r="D3366" s="1" t="s">
        <v>7485</v>
      </c>
      <c r="F3366" s="1">
        <v>2023</v>
      </c>
      <c r="G3366" s="5">
        <v>298</v>
      </c>
      <c r="H3366" s="5">
        <v>282.77</v>
      </c>
      <c r="I3366" s="5">
        <v>7247.44</v>
      </c>
      <c r="K3366" s="5">
        <v>2.1999999999999999E-2</v>
      </c>
      <c r="L3366" s="5">
        <v>1E-3</v>
      </c>
      <c r="M3366" s="5">
        <v>4372.6589999999997</v>
      </c>
      <c r="N3366" s="6">
        <v>5.9799999999999999E-2</v>
      </c>
      <c r="O3366" s="5">
        <v>3.2989999999999999</v>
      </c>
      <c r="P3366" s="6">
        <v>9.0399999999999994E-2</v>
      </c>
      <c r="Q3366" s="5">
        <v>73155.555999999997</v>
      </c>
      <c r="R3366" s="1" t="s">
        <v>44</v>
      </c>
      <c r="S3366" s="1" t="s">
        <v>94</v>
      </c>
      <c r="T3366" s="1" t="s">
        <v>93</v>
      </c>
      <c r="V3366" s="1" t="s">
        <v>95</v>
      </c>
      <c r="Y3366" s="1" t="s">
        <v>2319</v>
      </c>
      <c r="Z3366" s="1" t="str">
        <f t="shared" si="156"/>
        <v>56292 ES5-A</v>
      </c>
      <c r="AA3366" s="3">
        <f>IF(INDEX('CAMD Facility Data 2023'!$AA$2:$AE$10000,MATCH(Z3366,'CAMD Facility Data 2023'!$AE$2:$AE$10000,0),1)&gt;0,INDEX('CAMD Facility Data 2023'!$AA$2:$AE$10000,MATCH(Z3366,'CAMD Facility Data 2023'!$AE$2:$AE$10000,0),1),"")</f>
        <v>39381</v>
      </c>
      <c r="AB3366" s="5">
        <f>IF(INDEX('CAMD Facility Data 2023'!$AC$2:$AE$10000,MATCH(Z3366,'CAMD Facility Data 2023'!$AE$2:$AE$10000,0),1)&gt;0,INDEX('CAMD Facility Data 2023'!$AC$2:$AE$10000,MATCH(Z3366,'CAMD Facility Data 2023'!$AE$2:$AE$10000,0),1),"")</f>
        <v>330</v>
      </c>
      <c r="AC3366" s="1" t="str">
        <f>IF(INDEX('CAMD Facility Data 2023'!$AE$2:$AG$10000,MATCH(Z3366,'CAMD Facility Data 2023'!$AE$2:$AE$10000,0),3)&gt;0,INDEX('CAMD Facility Data 2023'!$AE$2:$AG$10000,MATCH(Z3366,'CAMD Facility Data 2023'!$AE$2:$AE$10000,0),3),"")</f>
        <v/>
      </c>
      <c r="AD3366" s="20">
        <f t="shared" si="157"/>
        <v>0.91039042751647481</v>
      </c>
      <c r="AE3366" s="25">
        <f t="shared" si="158"/>
        <v>2.5306335962363358E-2</v>
      </c>
    </row>
    <row r="3367" spans="1:31" x14ac:dyDescent="0.2">
      <c r="A3367" s="1" t="s">
        <v>1153</v>
      </c>
      <c r="B3367" s="1" t="s">
        <v>7503</v>
      </c>
      <c r="C3367" s="1">
        <v>56292</v>
      </c>
      <c r="D3367" s="1" t="s">
        <v>7487</v>
      </c>
      <c r="F3367" s="1">
        <v>2023</v>
      </c>
      <c r="G3367" s="5">
        <v>290</v>
      </c>
      <c r="H3367" s="5">
        <v>272.91000000000003</v>
      </c>
      <c r="I3367" s="5">
        <v>6798.11</v>
      </c>
      <c r="K3367" s="5">
        <v>2.1999999999999999E-2</v>
      </c>
      <c r="L3367" s="5">
        <v>1E-3</v>
      </c>
      <c r="M3367" s="5">
        <v>4134.6629999999996</v>
      </c>
      <c r="N3367" s="6">
        <v>6.0199999999999997E-2</v>
      </c>
      <c r="O3367" s="5">
        <v>3.17</v>
      </c>
      <c r="P3367" s="6">
        <v>9.2799999999999994E-2</v>
      </c>
      <c r="Q3367" s="5">
        <v>68751.301000000007</v>
      </c>
      <c r="R3367" s="1" t="s">
        <v>44</v>
      </c>
      <c r="S3367" s="1" t="s">
        <v>94</v>
      </c>
      <c r="T3367" s="1" t="s">
        <v>93</v>
      </c>
      <c r="V3367" s="1" t="s">
        <v>95</v>
      </c>
      <c r="Y3367" s="1" t="s">
        <v>2319</v>
      </c>
      <c r="Z3367" s="1" t="str">
        <f t="shared" si="156"/>
        <v>56292 ES5-B</v>
      </c>
      <c r="AA3367" s="3">
        <f>IF(INDEX('CAMD Facility Data 2023'!$AA$2:$AE$10000,MATCH(Z3367,'CAMD Facility Data 2023'!$AE$2:$AE$10000,0),1)&gt;0,INDEX('CAMD Facility Data 2023'!$AA$2:$AE$10000,MATCH(Z3367,'CAMD Facility Data 2023'!$AE$2:$AE$10000,0),1),"")</f>
        <v>39381</v>
      </c>
      <c r="AB3367" s="5">
        <f>IF(INDEX('CAMD Facility Data 2023'!$AC$2:$AE$10000,MATCH(Z3367,'CAMD Facility Data 2023'!$AE$2:$AE$10000,0),1)&gt;0,INDEX('CAMD Facility Data 2023'!$AC$2:$AE$10000,MATCH(Z3367,'CAMD Facility Data 2023'!$AE$2:$AE$10000,0),1),"")</f>
        <v>330</v>
      </c>
      <c r="AC3367" s="1" t="str">
        <f>IF(INDEX('CAMD Facility Data 2023'!$AE$2:$AG$10000,MATCH(Z3367,'CAMD Facility Data 2023'!$AE$2:$AE$10000,0),3)&gt;0,INDEX('CAMD Facility Data 2023'!$AE$2:$AG$10000,MATCH(Z3367,'CAMD Facility Data 2023'!$AE$2:$AE$10000,0),3),"")</f>
        <v/>
      </c>
      <c r="AD3367" s="20">
        <f t="shared" si="157"/>
        <v>0.93261215249532592</v>
      </c>
      <c r="AE3367" s="25">
        <f t="shared" si="158"/>
        <v>2.3782794036252941E-2</v>
      </c>
    </row>
    <row r="3368" spans="1:31" x14ac:dyDescent="0.2">
      <c r="A3368" s="1" t="s">
        <v>1153</v>
      </c>
      <c r="B3368" s="1" t="s">
        <v>7503</v>
      </c>
      <c r="C3368" s="1">
        <v>56292</v>
      </c>
      <c r="D3368" s="1" t="s">
        <v>7488</v>
      </c>
      <c r="F3368" s="1">
        <v>2023</v>
      </c>
      <c r="G3368" s="5">
        <v>251</v>
      </c>
      <c r="H3368" s="5">
        <v>222.62</v>
      </c>
      <c r="I3368" s="5">
        <v>5868.68</v>
      </c>
      <c r="K3368" s="5">
        <v>1.7999999999999999E-2</v>
      </c>
      <c r="L3368" s="5">
        <v>1E-3</v>
      </c>
      <c r="M3368" s="5">
        <v>3420.6909999999998</v>
      </c>
      <c r="N3368" s="6">
        <v>5.9900000000000002E-2</v>
      </c>
      <c r="O3368" s="5">
        <v>2.5840000000000001</v>
      </c>
      <c r="P3368" s="6">
        <v>9.0700000000000003E-2</v>
      </c>
      <c r="Q3368" s="5">
        <v>57074.252</v>
      </c>
      <c r="R3368" s="1" t="s">
        <v>44</v>
      </c>
      <c r="S3368" s="1" t="s">
        <v>94</v>
      </c>
      <c r="T3368" s="1" t="s">
        <v>93</v>
      </c>
      <c r="V3368" s="1" t="s">
        <v>95</v>
      </c>
      <c r="Y3368" s="1" t="s">
        <v>2319</v>
      </c>
      <c r="Z3368" s="1" t="str">
        <f t="shared" si="156"/>
        <v>56292 ES6-A</v>
      </c>
      <c r="AA3368" s="3">
        <f>IF(INDEX('CAMD Facility Data 2023'!$AA$2:$AE$10000,MATCH(Z3368,'CAMD Facility Data 2023'!$AE$2:$AE$10000,0),1)&gt;0,INDEX('CAMD Facility Data 2023'!$AA$2:$AE$10000,MATCH(Z3368,'CAMD Facility Data 2023'!$AE$2:$AE$10000,0),1),"")</f>
        <v>41381</v>
      </c>
      <c r="AB3368" s="5">
        <f>IF(INDEX('CAMD Facility Data 2023'!$AC$2:$AE$10000,MATCH(Z3368,'CAMD Facility Data 2023'!$AE$2:$AE$10000,0),1)&gt;0,INDEX('CAMD Facility Data 2023'!$AC$2:$AE$10000,MATCH(Z3368,'CAMD Facility Data 2023'!$AE$2:$AE$10000,0),1),"")</f>
        <v>330</v>
      </c>
      <c r="AC3368" s="1" t="str">
        <f>IF(INDEX('CAMD Facility Data 2023'!$AE$2:$AG$10000,MATCH(Z3368,'CAMD Facility Data 2023'!$AE$2:$AE$10000,0),3)&gt;0,INDEX('CAMD Facility Data 2023'!$AE$2:$AG$10000,MATCH(Z3368,'CAMD Facility Data 2023'!$AE$2:$AE$10000,0),3),"")</f>
        <v/>
      </c>
      <c r="AD3368" s="20">
        <f t="shared" si="157"/>
        <v>0.88060688263800369</v>
      </c>
      <c r="AE3368" s="25">
        <f t="shared" si="158"/>
        <v>1.9743410820534109E-2</v>
      </c>
    </row>
    <row r="3369" spans="1:31" x14ac:dyDescent="0.2">
      <c r="A3369" s="1" t="s">
        <v>1153</v>
      </c>
      <c r="B3369" s="1" t="s">
        <v>7503</v>
      </c>
      <c r="C3369" s="1">
        <v>56292</v>
      </c>
      <c r="D3369" s="1" t="s">
        <v>7490</v>
      </c>
      <c r="F3369" s="1">
        <v>2023</v>
      </c>
      <c r="G3369" s="5">
        <v>248</v>
      </c>
      <c r="H3369" s="5">
        <v>219.8</v>
      </c>
      <c r="I3369" s="5">
        <v>5859.28</v>
      </c>
      <c r="K3369" s="5">
        <v>1.7999999999999999E-2</v>
      </c>
      <c r="L3369" s="5">
        <v>1E-3</v>
      </c>
      <c r="M3369" s="5">
        <v>3435.7249999999999</v>
      </c>
      <c r="N3369" s="6">
        <v>5.9799999999999999E-2</v>
      </c>
      <c r="O3369" s="5">
        <v>2.5659999999999998</v>
      </c>
      <c r="P3369" s="6">
        <v>8.9800000000000005E-2</v>
      </c>
      <c r="Q3369" s="5">
        <v>57349.163999999997</v>
      </c>
      <c r="R3369" s="1" t="s">
        <v>44</v>
      </c>
      <c r="S3369" s="1" t="s">
        <v>94</v>
      </c>
      <c r="T3369" s="1" t="s">
        <v>93</v>
      </c>
      <c r="V3369" s="1" t="s">
        <v>95</v>
      </c>
      <c r="Y3369" s="1" t="s">
        <v>2319</v>
      </c>
      <c r="Z3369" s="1" t="str">
        <f t="shared" si="156"/>
        <v>56292 ES6-B</v>
      </c>
      <c r="AA3369" s="3">
        <f>IF(INDEX('CAMD Facility Data 2023'!$AA$2:$AE$10000,MATCH(Z3369,'CAMD Facility Data 2023'!$AE$2:$AE$10000,0),1)&gt;0,INDEX('CAMD Facility Data 2023'!$AA$2:$AE$10000,MATCH(Z3369,'CAMD Facility Data 2023'!$AE$2:$AE$10000,0),1),"")</f>
        <v>41381</v>
      </c>
      <c r="AB3369" s="5">
        <f>IF(INDEX('CAMD Facility Data 2023'!$AC$2:$AE$10000,MATCH(Z3369,'CAMD Facility Data 2023'!$AE$2:$AE$10000,0),1)&gt;0,INDEX('CAMD Facility Data 2023'!$AC$2:$AE$10000,MATCH(Z3369,'CAMD Facility Data 2023'!$AE$2:$AE$10000,0),1),"")</f>
        <v>330</v>
      </c>
      <c r="AC3369" s="1" t="str">
        <f>IF(INDEX('CAMD Facility Data 2023'!$AE$2:$AG$10000,MATCH(Z3369,'CAMD Facility Data 2023'!$AE$2:$AE$10000,0),3)&gt;0,INDEX('CAMD Facility Data 2023'!$AE$2:$AG$10000,MATCH(Z3369,'CAMD Facility Data 2023'!$AE$2:$AE$10000,0),3),"")</f>
        <v/>
      </c>
      <c r="AD3369" s="20">
        <f t="shared" si="157"/>
        <v>0.87587553419532782</v>
      </c>
      <c r="AE3369" s="25">
        <f t="shared" si="158"/>
        <v>1.9838509755085096E-2</v>
      </c>
    </row>
    <row r="3370" spans="1:31" x14ac:dyDescent="0.2">
      <c r="A3370" s="1" t="s">
        <v>370</v>
      </c>
      <c r="B3370" s="1" t="s">
        <v>7504</v>
      </c>
      <c r="C3370" s="1">
        <v>56298</v>
      </c>
      <c r="D3370" s="1" t="s">
        <v>648</v>
      </c>
      <c r="F3370" s="1">
        <v>2023</v>
      </c>
      <c r="G3370" s="5">
        <v>3597</v>
      </c>
      <c r="H3370" s="5">
        <v>3558.24</v>
      </c>
      <c r="I3370" s="5">
        <v>183407.71</v>
      </c>
      <c r="K3370" s="5">
        <v>0.434</v>
      </c>
      <c r="L3370" s="5">
        <v>1E-3</v>
      </c>
      <c r="M3370" s="5">
        <v>85881.262000000002</v>
      </c>
      <c r="N3370" s="6">
        <v>5.9200000000000003E-2</v>
      </c>
      <c r="O3370" s="5">
        <v>4.157</v>
      </c>
      <c r="P3370" s="6">
        <v>6.3E-3</v>
      </c>
      <c r="Q3370" s="5">
        <v>1445116.0660000001</v>
      </c>
      <c r="R3370" s="1" t="s">
        <v>44</v>
      </c>
      <c r="T3370" s="1" t="s">
        <v>71</v>
      </c>
      <c r="V3370" s="1" t="s">
        <v>64</v>
      </c>
      <c r="Y3370" s="1" t="s">
        <v>247</v>
      </c>
      <c r="Z3370" s="1" t="str">
        <f t="shared" si="156"/>
        <v>56298 CT001</v>
      </c>
      <c r="AA3370" s="3">
        <f>IF(INDEX('CAMD Facility Data 2023'!$AA$2:$AE$10000,MATCH(Z3370,'CAMD Facility Data 2023'!$AE$2:$AE$10000,0),1)&gt;0,INDEX('CAMD Facility Data 2023'!$AA$2:$AE$10000,MATCH(Z3370,'CAMD Facility Data 2023'!$AE$2:$AE$10000,0),1),"")</f>
        <v>39246</v>
      </c>
      <c r="AB3370" s="5">
        <f>IF(INDEX('CAMD Facility Data 2023'!$AC$2:$AE$10000,MATCH(Z3370,'CAMD Facility Data 2023'!$AE$2:$AE$10000,0),1)&gt;0,INDEX('CAMD Facility Data 2023'!$AC$2:$AE$10000,MATCH(Z3370,'CAMD Facility Data 2023'!$AE$2:$AE$10000,0),1),"")</f>
        <v>705.3</v>
      </c>
      <c r="AC3370" s="1" t="str">
        <f>IF(INDEX('CAMD Facility Data 2023'!$AE$2:$AG$10000,MATCH(Z3370,'CAMD Facility Data 2023'!$AE$2:$AE$10000,0),3)&gt;0,INDEX('CAMD Facility Data 2023'!$AE$2:$AG$10000,MATCH(Z3370,'CAMD Facility Data 2023'!$AE$2:$AE$10000,0),3),"")</f>
        <v>Y</v>
      </c>
      <c r="AD3370" s="20">
        <f t="shared" si="157"/>
        <v>4.5330700655932081E-2</v>
      </c>
      <c r="AE3370" s="25">
        <f t="shared" si="158"/>
        <v>0.23389704727480842</v>
      </c>
    </row>
    <row r="3371" spans="1:31" x14ac:dyDescent="0.2">
      <c r="A3371" s="1" t="s">
        <v>370</v>
      </c>
      <c r="B3371" s="1" t="s">
        <v>7504</v>
      </c>
      <c r="C3371" s="1">
        <v>56298</v>
      </c>
      <c r="D3371" s="1" t="s">
        <v>7093</v>
      </c>
      <c r="F3371" s="1">
        <v>2023</v>
      </c>
      <c r="G3371" s="5">
        <v>3294</v>
      </c>
      <c r="H3371" s="5">
        <v>3249.01</v>
      </c>
      <c r="I3371" s="5">
        <v>166255.13</v>
      </c>
      <c r="K3371" s="5">
        <v>0.41299999999999998</v>
      </c>
      <c r="L3371" s="5">
        <v>1E-3</v>
      </c>
      <c r="M3371" s="5">
        <v>81815.114000000001</v>
      </c>
      <c r="N3371" s="6">
        <v>5.9200000000000003E-2</v>
      </c>
      <c r="O3371" s="5">
        <v>4.62</v>
      </c>
      <c r="P3371" s="6">
        <v>7.7999999999999996E-3</v>
      </c>
      <c r="Q3371" s="5">
        <v>1376718.7949999999</v>
      </c>
      <c r="R3371" s="1" t="s">
        <v>44</v>
      </c>
      <c r="T3371" s="1" t="s">
        <v>71</v>
      </c>
      <c r="V3371" s="1" t="s">
        <v>64</v>
      </c>
      <c r="Y3371" s="1" t="s">
        <v>247</v>
      </c>
      <c r="Z3371" s="1" t="str">
        <f t="shared" si="156"/>
        <v>56298 CT002</v>
      </c>
      <c r="AA3371" s="3">
        <f>IF(INDEX('CAMD Facility Data 2023'!$AA$2:$AE$10000,MATCH(Z3371,'CAMD Facility Data 2023'!$AE$2:$AE$10000,0),1)&gt;0,INDEX('CAMD Facility Data 2023'!$AA$2:$AE$10000,MATCH(Z3371,'CAMD Facility Data 2023'!$AE$2:$AE$10000,0),1),"")</f>
        <v>39253</v>
      </c>
      <c r="AB3371" s="5">
        <f>IF(INDEX('CAMD Facility Data 2023'!$AC$2:$AE$10000,MATCH(Z3371,'CAMD Facility Data 2023'!$AE$2:$AE$10000,0),1)&gt;0,INDEX('CAMD Facility Data 2023'!$AC$2:$AE$10000,MATCH(Z3371,'CAMD Facility Data 2023'!$AE$2:$AE$10000,0),1),"")</f>
        <v>705.3</v>
      </c>
      <c r="AC3371" s="1" t="str">
        <f>IF(INDEX('CAMD Facility Data 2023'!$AE$2:$AG$10000,MATCH(Z3371,'CAMD Facility Data 2023'!$AE$2:$AE$10000,0),3)&gt;0,INDEX('CAMD Facility Data 2023'!$AE$2:$AG$10000,MATCH(Z3371,'CAMD Facility Data 2023'!$AE$2:$AE$10000,0),3),"")</f>
        <v>Y</v>
      </c>
      <c r="AD3371" s="20">
        <f t="shared" si="157"/>
        <v>5.557723241382085E-2</v>
      </c>
      <c r="AE3371" s="25">
        <f t="shared" si="158"/>
        <v>0.22282671174609461</v>
      </c>
    </row>
    <row r="3372" spans="1:31" x14ac:dyDescent="0.2">
      <c r="A3372" s="1" t="s">
        <v>370</v>
      </c>
      <c r="B3372" s="1" t="s">
        <v>7504</v>
      </c>
      <c r="C3372" s="1">
        <v>56298</v>
      </c>
      <c r="D3372" s="1" t="s">
        <v>7510</v>
      </c>
      <c r="F3372" s="1">
        <v>2023</v>
      </c>
      <c r="G3372" s="5">
        <v>91</v>
      </c>
      <c r="H3372" s="5">
        <v>65.64</v>
      </c>
      <c r="I3372" s="5">
        <v>1586.82</v>
      </c>
      <c r="K3372" s="5">
        <v>5.0000000000000001E-3</v>
      </c>
      <c r="L3372" s="5">
        <v>8.9999999999999998E-4</v>
      </c>
      <c r="M3372" s="5">
        <v>972.08299999999997</v>
      </c>
      <c r="N3372" s="6">
        <v>5.9400000000000001E-2</v>
      </c>
      <c r="O3372" s="5">
        <v>0.111</v>
      </c>
      <c r="P3372" s="6">
        <v>2.5100000000000001E-2</v>
      </c>
      <c r="Q3372" s="5">
        <v>16355.743</v>
      </c>
      <c r="R3372" s="1" t="s">
        <v>44</v>
      </c>
      <c r="T3372" s="1" t="s">
        <v>93</v>
      </c>
      <c r="V3372" s="1" t="s">
        <v>176</v>
      </c>
      <c r="Y3372" s="1" t="s">
        <v>247</v>
      </c>
      <c r="Z3372" s="1" t="str">
        <f t="shared" si="156"/>
        <v>56298 CT005</v>
      </c>
      <c r="AA3372" s="3">
        <f>IF(INDEX('CAMD Facility Data 2023'!$AA$2:$AE$10000,MATCH(Z3372,'CAMD Facility Data 2023'!$AE$2:$AE$10000,0),1)&gt;0,INDEX('CAMD Facility Data 2023'!$AA$2:$AE$10000,MATCH(Z3372,'CAMD Facility Data 2023'!$AE$2:$AE$10000,0),1),"")</f>
        <v>44743</v>
      </c>
      <c r="AB3372" s="5">
        <f>IF(INDEX('CAMD Facility Data 2023'!$AC$2:$AE$10000,MATCH(Z3372,'CAMD Facility Data 2023'!$AE$2:$AE$10000,0),1)&gt;0,INDEX('CAMD Facility Data 2023'!$AC$2:$AE$10000,MATCH(Z3372,'CAMD Facility Data 2023'!$AE$2:$AE$10000,0),1),"")</f>
        <v>366.1</v>
      </c>
      <c r="AC3372" s="1" t="str">
        <f>IF(INDEX('CAMD Facility Data 2023'!$AE$2:$AG$10000,MATCH(Z3372,'CAMD Facility Data 2023'!$AE$2:$AE$10000,0),3)&gt;0,INDEX('CAMD Facility Data 2023'!$AE$2:$AG$10000,MATCH(Z3372,'CAMD Facility Data 2023'!$AE$2:$AE$10000,0),3),"")</f>
        <v>Y</v>
      </c>
      <c r="AD3372" s="20">
        <f t="shared" si="157"/>
        <v>0.13990244640223845</v>
      </c>
      <c r="AE3372" s="25">
        <f t="shared" si="158"/>
        <v>5.0999561588956285E-3</v>
      </c>
    </row>
    <row r="3373" spans="1:31" x14ac:dyDescent="0.2">
      <c r="A3373" s="1" t="s">
        <v>370</v>
      </c>
      <c r="B3373" s="1" t="s">
        <v>7504</v>
      </c>
      <c r="C3373" s="1">
        <v>56298</v>
      </c>
      <c r="D3373" s="1" t="s">
        <v>7513</v>
      </c>
      <c r="F3373" s="1">
        <v>2023</v>
      </c>
      <c r="G3373" s="5">
        <v>92</v>
      </c>
      <c r="H3373" s="5">
        <v>58.27</v>
      </c>
      <c r="I3373" s="5">
        <v>1339.92</v>
      </c>
      <c r="K3373" s="5">
        <v>4.0000000000000001E-3</v>
      </c>
      <c r="L3373" s="5">
        <v>1E-3</v>
      </c>
      <c r="M3373" s="5">
        <v>809.58299999999997</v>
      </c>
      <c r="N3373" s="6">
        <v>5.9400000000000001E-2</v>
      </c>
      <c r="O3373" s="5">
        <v>0.22500000000000001</v>
      </c>
      <c r="P3373" s="6">
        <v>8.5099999999999995E-2</v>
      </c>
      <c r="Q3373" s="5">
        <v>13615.179</v>
      </c>
      <c r="R3373" s="1" t="s">
        <v>44</v>
      </c>
      <c r="T3373" s="1" t="s">
        <v>93</v>
      </c>
      <c r="V3373" s="1" t="s">
        <v>176</v>
      </c>
      <c r="Y3373" s="1" t="s">
        <v>247</v>
      </c>
      <c r="Z3373" s="1" t="str">
        <f t="shared" si="156"/>
        <v>56298 CT006</v>
      </c>
      <c r="AA3373" s="3">
        <f>IF(INDEX('CAMD Facility Data 2023'!$AA$2:$AE$10000,MATCH(Z3373,'CAMD Facility Data 2023'!$AE$2:$AE$10000,0),1)&gt;0,INDEX('CAMD Facility Data 2023'!$AA$2:$AE$10000,MATCH(Z3373,'CAMD Facility Data 2023'!$AE$2:$AE$10000,0),1),"")</f>
        <v>44744</v>
      </c>
      <c r="AB3373" s="5">
        <f>IF(INDEX('CAMD Facility Data 2023'!$AC$2:$AE$10000,MATCH(Z3373,'CAMD Facility Data 2023'!$AE$2:$AE$10000,0),1)&gt;0,INDEX('CAMD Facility Data 2023'!$AC$2:$AE$10000,MATCH(Z3373,'CAMD Facility Data 2023'!$AE$2:$AE$10000,0),1),"")</f>
        <v>366.1</v>
      </c>
      <c r="AC3373" s="1" t="str">
        <f>IF(INDEX('CAMD Facility Data 2023'!$AE$2:$AG$10000,MATCH(Z3373,'CAMD Facility Data 2023'!$AE$2:$AE$10000,0),3)&gt;0,INDEX('CAMD Facility Data 2023'!$AE$2:$AG$10000,MATCH(Z3373,'CAMD Facility Data 2023'!$AE$2:$AE$10000,0),3),"")</f>
        <v>Y</v>
      </c>
      <c r="AD3373" s="20">
        <f t="shared" si="157"/>
        <v>0.33584094572810314</v>
      </c>
      <c r="AE3373" s="25">
        <f t="shared" si="158"/>
        <v>4.245408844802491E-3</v>
      </c>
    </row>
    <row r="3374" spans="1:31" x14ac:dyDescent="0.2">
      <c r="A3374" s="1" t="s">
        <v>3253</v>
      </c>
      <c r="B3374" s="1" t="s">
        <v>7515</v>
      </c>
      <c r="C3374" s="1">
        <v>56319</v>
      </c>
      <c r="D3374" s="1">
        <v>1</v>
      </c>
      <c r="F3374" s="1">
        <v>2023</v>
      </c>
      <c r="G3374" s="5">
        <v>8300</v>
      </c>
      <c r="H3374" s="5">
        <v>8290.02</v>
      </c>
      <c r="I3374" s="5">
        <v>729201.25</v>
      </c>
      <c r="K3374" s="5">
        <v>123.813</v>
      </c>
      <c r="L3374" s="5">
        <v>2.86E-2</v>
      </c>
      <c r="M3374" s="5">
        <v>886909.80799999996</v>
      </c>
      <c r="N3374" s="6">
        <v>0.105</v>
      </c>
      <c r="O3374" s="5">
        <v>260.11599999999999</v>
      </c>
      <c r="P3374" s="6">
        <v>6.1499999999999999E-2</v>
      </c>
      <c r="Q3374" s="5">
        <v>8456398.5189999994</v>
      </c>
      <c r="R3374" s="1" t="s">
        <v>55</v>
      </c>
      <c r="T3374" s="1" t="s">
        <v>89</v>
      </c>
      <c r="U3374" s="1" t="s">
        <v>212</v>
      </c>
      <c r="V3374" s="1" t="s">
        <v>563</v>
      </c>
      <c r="W3374" s="1" t="s">
        <v>232</v>
      </c>
      <c r="Y3374" s="1" t="s">
        <v>236</v>
      </c>
      <c r="Z3374" s="1" t="str">
        <f t="shared" si="156"/>
        <v>56319 1</v>
      </c>
      <c r="AA3374" s="3">
        <f>IF(INDEX('CAMD Facility Data 2023'!$AA$2:$AE$10000,MATCH(Z3374,'CAMD Facility Data 2023'!$AE$2:$AE$10000,0),1)&gt;0,INDEX('CAMD Facility Data 2023'!$AA$2:$AE$10000,MATCH(Z3374,'CAMD Facility Data 2023'!$AE$2:$AE$10000,0),1),"")</f>
        <v>39374</v>
      </c>
      <c r="AB3374" s="5">
        <f>IF(INDEX('CAMD Facility Data 2023'!$AC$2:$AE$10000,MATCH(Z3374,'CAMD Facility Data 2023'!$AE$2:$AE$10000,0),1)&gt;0,INDEX('CAMD Facility Data 2023'!$AC$2:$AE$10000,MATCH(Z3374,'CAMD Facility Data 2023'!$AE$2:$AE$10000,0),1),"")</f>
        <v>1300</v>
      </c>
      <c r="AC3374" s="1" t="str">
        <f>IF(INDEX('CAMD Facility Data 2023'!$AE$2:$AG$10000,MATCH(Z3374,'CAMD Facility Data 2023'!$AE$2:$AE$10000,0),3)&gt;0,INDEX('CAMD Facility Data 2023'!$AE$2:$AG$10000,MATCH(Z3374,'CAMD Facility Data 2023'!$AE$2:$AE$10000,0),3),"")</f>
        <v>Y</v>
      </c>
      <c r="AD3374" s="20">
        <f t="shared" si="157"/>
        <v>0.71342719173890612</v>
      </c>
      <c r="AE3374" s="25">
        <f t="shared" si="158"/>
        <v>0.74257099745345978</v>
      </c>
    </row>
    <row r="3375" spans="1:31" x14ac:dyDescent="0.2">
      <c r="A3375" s="1" t="s">
        <v>383</v>
      </c>
      <c r="B3375" s="1" t="s">
        <v>7517</v>
      </c>
      <c r="C3375" s="1">
        <v>56326</v>
      </c>
      <c r="D3375" s="1" t="s">
        <v>4801</v>
      </c>
      <c r="F3375" s="1">
        <v>2023</v>
      </c>
      <c r="G3375" s="5">
        <v>3022</v>
      </c>
      <c r="H3375" s="5">
        <v>2876.96</v>
      </c>
      <c r="I3375" s="5">
        <v>353906.47</v>
      </c>
      <c r="K3375" s="5">
        <v>1.1060000000000001</v>
      </c>
      <c r="L3375" s="5">
        <v>1E-3</v>
      </c>
      <c r="M3375" s="5">
        <v>219085.815</v>
      </c>
      <c r="N3375" s="6">
        <v>5.8999999999999997E-2</v>
      </c>
      <c r="O3375" s="5">
        <v>54.503999999999998</v>
      </c>
      <c r="P3375" s="6">
        <v>3.32E-2</v>
      </c>
      <c r="Q3375" s="5">
        <v>3686510.3139999998</v>
      </c>
      <c r="R3375" s="1" t="s">
        <v>44</v>
      </c>
      <c r="T3375" s="1" t="s">
        <v>93</v>
      </c>
      <c r="V3375" s="1" t="s">
        <v>140</v>
      </c>
      <c r="Y3375" s="1" t="s">
        <v>346</v>
      </c>
      <c r="Z3375" s="1" t="str">
        <f t="shared" si="156"/>
        <v>56326 GEN1</v>
      </c>
      <c r="AA3375" s="3">
        <f>IF(INDEX('CAMD Facility Data 2023'!$AA$2:$AE$10000,MATCH(Z3375,'CAMD Facility Data 2023'!$AE$2:$AE$10000,0),1)&gt;0,INDEX('CAMD Facility Data 2023'!$AA$2:$AE$10000,MATCH(Z3375,'CAMD Facility Data 2023'!$AE$2:$AE$10000,0),1),"")</f>
        <v>38775</v>
      </c>
      <c r="AB3375" s="5">
        <f>IF(INDEX('CAMD Facility Data 2023'!$AC$2:$AE$10000,MATCH(Z3375,'CAMD Facility Data 2023'!$AE$2:$AE$10000,0),1)&gt;0,INDEX('CAMD Facility Data 2023'!$AC$2:$AE$10000,MATCH(Z3375,'CAMD Facility Data 2023'!$AE$2:$AE$10000,0),1),"")</f>
        <v>1728</v>
      </c>
      <c r="AC3375" s="1" t="str">
        <f>IF(INDEX('CAMD Facility Data 2023'!$AE$2:$AG$10000,MATCH(Z3375,'CAMD Facility Data 2023'!$AE$2:$AE$10000,0),3)&gt;0,INDEX('CAMD Facility Data 2023'!$AE$2:$AG$10000,MATCH(Z3375,'CAMD Facility Data 2023'!$AE$2:$AE$10000,0),3),"")</f>
        <v/>
      </c>
      <c r="AD3375" s="20">
        <f t="shared" si="157"/>
        <v>0.30801358336285856</v>
      </c>
      <c r="AE3375" s="25">
        <f t="shared" si="158"/>
        <v>0.24353849000613054</v>
      </c>
    </row>
    <row r="3376" spans="1:31" x14ac:dyDescent="0.2">
      <c r="A3376" s="1" t="s">
        <v>383</v>
      </c>
      <c r="B3376" s="1" t="s">
        <v>7517</v>
      </c>
      <c r="C3376" s="1">
        <v>56326</v>
      </c>
      <c r="D3376" s="1" t="s">
        <v>7519</v>
      </c>
      <c r="F3376" s="1">
        <v>2023</v>
      </c>
      <c r="G3376" s="5">
        <v>2479</v>
      </c>
      <c r="H3376" s="5">
        <v>2337.65</v>
      </c>
      <c r="I3376" s="5">
        <v>276964.77</v>
      </c>
      <c r="K3376" s="5">
        <v>0.88500000000000001</v>
      </c>
      <c r="L3376" s="5">
        <v>1E-3</v>
      </c>
      <c r="M3376" s="5">
        <v>175257.07</v>
      </c>
      <c r="N3376" s="6">
        <v>5.8999999999999997E-2</v>
      </c>
      <c r="O3376" s="5">
        <v>42.6</v>
      </c>
      <c r="P3376" s="6">
        <v>3.3099999999999997E-2</v>
      </c>
      <c r="Q3376" s="5">
        <v>2948971.091</v>
      </c>
      <c r="R3376" s="1" t="s">
        <v>44</v>
      </c>
      <c r="T3376" s="1" t="s">
        <v>93</v>
      </c>
      <c r="V3376" s="1" t="s">
        <v>140</v>
      </c>
      <c r="Y3376" s="1" t="s">
        <v>346</v>
      </c>
      <c r="Z3376" s="1" t="str">
        <f t="shared" si="156"/>
        <v>56326 GEN2</v>
      </c>
      <c r="AA3376" s="3">
        <f>IF(INDEX('CAMD Facility Data 2023'!$AA$2:$AE$10000,MATCH(Z3376,'CAMD Facility Data 2023'!$AE$2:$AE$10000,0),1)&gt;0,INDEX('CAMD Facility Data 2023'!$AA$2:$AE$10000,MATCH(Z3376,'CAMD Facility Data 2023'!$AE$2:$AE$10000,0),1),"")</f>
        <v>39173</v>
      </c>
      <c r="AB3376" s="5">
        <f>IF(INDEX('CAMD Facility Data 2023'!$AC$2:$AE$10000,MATCH(Z3376,'CAMD Facility Data 2023'!$AE$2:$AE$10000,0),1)&gt;0,INDEX('CAMD Facility Data 2023'!$AC$2:$AE$10000,MATCH(Z3376,'CAMD Facility Data 2023'!$AE$2:$AE$10000,0),1),"")</f>
        <v>1728</v>
      </c>
      <c r="AC3376" s="1" t="str">
        <f>IF(INDEX('CAMD Facility Data 2023'!$AE$2:$AG$10000,MATCH(Z3376,'CAMD Facility Data 2023'!$AE$2:$AE$10000,0),3)&gt;0,INDEX('CAMD Facility Data 2023'!$AE$2:$AG$10000,MATCH(Z3376,'CAMD Facility Data 2023'!$AE$2:$AE$10000,0),3),"")</f>
        <v/>
      </c>
      <c r="AD3376" s="20">
        <f t="shared" si="157"/>
        <v>0.30762035185919129</v>
      </c>
      <c r="AE3376" s="25">
        <f t="shared" si="158"/>
        <v>0.19481512471196938</v>
      </c>
    </row>
    <row r="3377" spans="1:31" x14ac:dyDescent="0.2">
      <c r="A3377" s="1" t="s">
        <v>383</v>
      </c>
      <c r="B3377" s="1" t="s">
        <v>7517</v>
      </c>
      <c r="C3377" s="1">
        <v>56326</v>
      </c>
      <c r="D3377" s="1" t="s">
        <v>7521</v>
      </c>
      <c r="F3377" s="1">
        <v>2023</v>
      </c>
      <c r="G3377" s="5">
        <v>2225</v>
      </c>
      <c r="H3377" s="5">
        <v>2097.12</v>
      </c>
      <c r="I3377" s="5">
        <v>249264.98</v>
      </c>
      <c r="K3377" s="5">
        <v>0.84899999999999998</v>
      </c>
      <c r="L3377" s="5">
        <v>1E-3</v>
      </c>
      <c r="M3377" s="5">
        <v>168126.139</v>
      </c>
      <c r="N3377" s="6">
        <v>5.8999999999999997E-2</v>
      </c>
      <c r="O3377" s="5">
        <v>46.901000000000003</v>
      </c>
      <c r="P3377" s="6">
        <v>3.7100000000000001E-2</v>
      </c>
      <c r="Q3377" s="5">
        <v>2829024.7859999998</v>
      </c>
      <c r="R3377" s="1" t="s">
        <v>44</v>
      </c>
      <c r="T3377" s="1" t="s">
        <v>93</v>
      </c>
      <c r="V3377" s="1" t="s">
        <v>140</v>
      </c>
      <c r="Y3377" s="1" t="s">
        <v>346</v>
      </c>
      <c r="Z3377" s="1" t="str">
        <f t="shared" si="156"/>
        <v>56326 GEN3</v>
      </c>
      <c r="AA3377" s="3">
        <f>IF(INDEX('CAMD Facility Data 2023'!$AA$2:$AE$10000,MATCH(Z3377,'CAMD Facility Data 2023'!$AE$2:$AE$10000,0),1)&gt;0,INDEX('CAMD Facility Data 2023'!$AA$2:$AE$10000,MATCH(Z3377,'CAMD Facility Data 2023'!$AE$2:$AE$10000,0),1),"")</f>
        <v>41365</v>
      </c>
      <c r="AB3377" s="5">
        <f>IF(INDEX('CAMD Facility Data 2023'!$AC$2:$AE$10000,MATCH(Z3377,'CAMD Facility Data 2023'!$AE$2:$AE$10000,0),1)&gt;0,INDEX('CAMD Facility Data 2023'!$AC$2:$AE$10000,MATCH(Z3377,'CAMD Facility Data 2023'!$AE$2:$AE$10000,0),1),"")</f>
        <v>1728</v>
      </c>
      <c r="AC3377" s="1" t="str">
        <f>IF(INDEX('CAMD Facility Data 2023'!$AE$2:$AG$10000,MATCH(Z3377,'CAMD Facility Data 2023'!$AE$2:$AE$10000,0),3)&gt;0,INDEX('CAMD Facility Data 2023'!$AE$2:$AG$10000,MATCH(Z3377,'CAMD Facility Data 2023'!$AE$2:$AE$10000,0),3),"")</f>
        <v/>
      </c>
      <c r="AD3377" s="20">
        <f t="shared" si="157"/>
        <v>0.37631439442476033</v>
      </c>
      <c r="AE3377" s="25">
        <f t="shared" si="158"/>
        <v>0.18689122391869609</v>
      </c>
    </row>
    <row r="3378" spans="1:31" x14ac:dyDescent="0.2">
      <c r="A3378" s="1" t="s">
        <v>348</v>
      </c>
      <c r="B3378" s="1" t="s">
        <v>7523</v>
      </c>
      <c r="C3378" s="1">
        <v>56328</v>
      </c>
      <c r="D3378" s="1">
        <v>1</v>
      </c>
      <c r="F3378" s="1">
        <v>2023</v>
      </c>
      <c r="G3378" s="5">
        <v>809</v>
      </c>
      <c r="H3378" s="5">
        <v>774.92</v>
      </c>
      <c r="I3378" s="5">
        <v>54581.24</v>
      </c>
      <c r="K3378" s="5">
        <v>0.19700000000000001</v>
      </c>
      <c r="L3378" s="5">
        <v>1E-3</v>
      </c>
      <c r="M3378" s="5">
        <v>40039.800000000003</v>
      </c>
      <c r="N3378" s="6">
        <v>5.91E-2</v>
      </c>
      <c r="O3378" s="5">
        <v>15.577</v>
      </c>
      <c r="P3378" s="6">
        <v>8.6199999999999999E-2</v>
      </c>
      <c r="Q3378" s="5">
        <v>678747.1</v>
      </c>
      <c r="R3378" s="1" t="s">
        <v>44</v>
      </c>
      <c r="T3378" s="1" t="s">
        <v>93</v>
      </c>
      <c r="V3378" s="1" t="s">
        <v>140</v>
      </c>
      <c r="Y3378" s="1" t="s">
        <v>346</v>
      </c>
      <c r="Z3378" s="1" t="str">
        <f t="shared" si="156"/>
        <v>56328 1</v>
      </c>
      <c r="AA3378" s="3">
        <f>IF(INDEX('CAMD Facility Data 2023'!$AA$2:$AE$10000,MATCH(Z3378,'CAMD Facility Data 2023'!$AE$2:$AE$10000,0),1)&gt;0,INDEX('CAMD Facility Data 2023'!$AA$2:$AE$10000,MATCH(Z3378,'CAMD Facility Data 2023'!$AE$2:$AE$10000,0),1),"")</f>
        <v>39429</v>
      </c>
      <c r="AB3378" s="5">
        <f>IF(INDEX('CAMD Facility Data 2023'!$AC$2:$AE$10000,MATCH(Z3378,'CAMD Facility Data 2023'!$AE$2:$AE$10000,0),1)&gt;0,INDEX('CAMD Facility Data 2023'!$AC$2:$AE$10000,MATCH(Z3378,'CAMD Facility Data 2023'!$AE$2:$AE$10000,0),1),"")</f>
        <v>1078</v>
      </c>
      <c r="AC3378" s="1" t="str">
        <f>IF(INDEX('CAMD Facility Data 2023'!$AE$2:$AG$10000,MATCH(Z3378,'CAMD Facility Data 2023'!$AE$2:$AE$10000,0),3)&gt;0,INDEX('CAMD Facility Data 2023'!$AE$2:$AG$10000,MATCH(Z3378,'CAMD Facility Data 2023'!$AE$2:$AE$10000,0),3),"")</f>
        <v/>
      </c>
      <c r="AD3378" s="20">
        <f t="shared" si="157"/>
        <v>0.57078219549427611</v>
      </c>
      <c r="AE3378" s="25">
        <f t="shared" si="158"/>
        <v>7.1876201912894663E-2</v>
      </c>
    </row>
    <row r="3379" spans="1:31" x14ac:dyDescent="0.2">
      <c r="A3379" s="1" t="s">
        <v>348</v>
      </c>
      <c r="B3379" s="1" t="s">
        <v>7523</v>
      </c>
      <c r="C3379" s="1">
        <v>56328</v>
      </c>
      <c r="D3379" s="1">
        <v>2</v>
      </c>
      <c r="F3379" s="1">
        <v>2023</v>
      </c>
      <c r="G3379" s="5">
        <v>816</v>
      </c>
      <c r="H3379" s="5">
        <v>797.54</v>
      </c>
      <c r="I3379" s="5">
        <v>58455.99</v>
      </c>
      <c r="K3379" s="5">
        <v>0.23100000000000001</v>
      </c>
      <c r="L3379" s="5">
        <v>1E-3</v>
      </c>
      <c r="M3379" s="5">
        <v>44043.5</v>
      </c>
      <c r="N3379" s="6">
        <v>5.8999999999999997E-2</v>
      </c>
      <c r="O3379" s="5">
        <v>14.365</v>
      </c>
      <c r="P3379" s="6">
        <v>6.0400000000000002E-2</v>
      </c>
      <c r="Q3379" s="5">
        <v>746401.8</v>
      </c>
      <c r="R3379" s="1" t="s">
        <v>44</v>
      </c>
      <c r="T3379" s="1" t="s">
        <v>93</v>
      </c>
      <c r="V3379" s="1" t="s">
        <v>140</v>
      </c>
      <c r="Y3379" s="1" t="s">
        <v>346</v>
      </c>
      <c r="Z3379" s="1" t="str">
        <f t="shared" si="156"/>
        <v>56328 2</v>
      </c>
      <c r="AA3379" s="3">
        <f>IF(INDEX('CAMD Facility Data 2023'!$AA$2:$AE$10000,MATCH(Z3379,'CAMD Facility Data 2023'!$AE$2:$AE$10000,0),1)&gt;0,INDEX('CAMD Facility Data 2023'!$AA$2:$AE$10000,MATCH(Z3379,'CAMD Facility Data 2023'!$AE$2:$AE$10000,0),1),"")</f>
        <v>39429</v>
      </c>
      <c r="AB3379" s="5">
        <f>IF(INDEX('CAMD Facility Data 2023'!$AC$2:$AE$10000,MATCH(Z3379,'CAMD Facility Data 2023'!$AE$2:$AE$10000,0),1)&gt;0,INDEX('CAMD Facility Data 2023'!$AC$2:$AE$10000,MATCH(Z3379,'CAMD Facility Data 2023'!$AE$2:$AE$10000,0),1),"")</f>
        <v>1078</v>
      </c>
      <c r="AC3379" s="1" t="str">
        <f>IF(INDEX('CAMD Facility Data 2023'!$AE$2:$AG$10000,MATCH(Z3379,'CAMD Facility Data 2023'!$AE$2:$AE$10000,0),3)&gt;0,INDEX('CAMD Facility Data 2023'!$AE$2:$AG$10000,MATCH(Z3379,'CAMD Facility Data 2023'!$AE$2:$AE$10000,0),3),"")</f>
        <v/>
      </c>
      <c r="AD3379" s="20">
        <f t="shared" si="157"/>
        <v>0.49148085593965651</v>
      </c>
      <c r="AE3379" s="25">
        <f t="shared" si="158"/>
        <v>7.9040524055201164E-2</v>
      </c>
    </row>
    <row r="3380" spans="1:31" x14ac:dyDescent="0.2">
      <c r="A3380" s="1" t="s">
        <v>348</v>
      </c>
      <c r="B3380" s="1" t="s">
        <v>7523</v>
      </c>
      <c r="C3380" s="1">
        <v>56328</v>
      </c>
      <c r="D3380" s="1">
        <v>3</v>
      </c>
      <c r="F3380" s="1">
        <v>2023</v>
      </c>
      <c r="G3380" s="5">
        <v>449</v>
      </c>
      <c r="H3380" s="5">
        <v>409.1</v>
      </c>
      <c r="I3380" s="5">
        <v>28325.48</v>
      </c>
      <c r="K3380" s="5">
        <v>9.9000000000000005E-2</v>
      </c>
      <c r="L3380" s="5">
        <v>1E-3</v>
      </c>
      <c r="M3380" s="5">
        <v>19994.2</v>
      </c>
      <c r="N3380" s="6">
        <v>5.8799999999999998E-2</v>
      </c>
      <c r="O3380" s="5">
        <v>22.036000000000001</v>
      </c>
      <c r="P3380" s="6">
        <v>0.2069</v>
      </c>
      <c r="Q3380" s="5">
        <v>338880.2</v>
      </c>
      <c r="R3380" s="1" t="s">
        <v>44</v>
      </c>
      <c r="T3380" s="1" t="s">
        <v>93</v>
      </c>
      <c r="V3380" s="1" t="s">
        <v>140</v>
      </c>
      <c r="Y3380" s="1" t="s">
        <v>346</v>
      </c>
      <c r="Z3380" s="1" t="str">
        <f t="shared" si="156"/>
        <v>56328 3</v>
      </c>
      <c r="AA3380" s="3">
        <f>IF(INDEX('CAMD Facility Data 2023'!$AA$2:$AE$10000,MATCH(Z3380,'CAMD Facility Data 2023'!$AE$2:$AE$10000,0),1)&gt;0,INDEX('CAMD Facility Data 2023'!$AA$2:$AE$10000,MATCH(Z3380,'CAMD Facility Data 2023'!$AE$2:$AE$10000,0),1),"")</f>
        <v>39265</v>
      </c>
      <c r="AB3380" s="5">
        <f>IF(INDEX('CAMD Facility Data 2023'!$AC$2:$AE$10000,MATCH(Z3380,'CAMD Facility Data 2023'!$AE$2:$AE$10000,0),1)&gt;0,INDEX('CAMD Facility Data 2023'!$AC$2:$AE$10000,MATCH(Z3380,'CAMD Facility Data 2023'!$AE$2:$AE$10000,0),1),"")</f>
        <v>1078</v>
      </c>
      <c r="AC3380" s="1" t="str">
        <f>IF(INDEX('CAMD Facility Data 2023'!$AE$2:$AG$10000,MATCH(Z3380,'CAMD Facility Data 2023'!$AE$2:$AE$10000,0),3)&gt;0,INDEX('CAMD Facility Data 2023'!$AE$2:$AG$10000,MATCH(Z3380,'CAMD Facility Data 2023'!$AE$2:$AE$10000,0),3),"")</f>
        <v/>
      </c>
      <c r="AD3380" s="20">
        <f t="shared" si="157"/>
        <v>1.5559136155856848</v>
      </c>
      <c r="AE3380" s="25">
        <f t="shared" si="158"/>
        <v>3.5885857456307554E-2</v>
      </c>
    </row>
    <row r="3381" spans="1:31" x14ac:dyDescent="0.2">
      <c r="A3381" s="1" t="s">
        <v>348</v>
      </c>
      <c r="B3381" s="1" t="s">
        <v>7523</v>
      </c>
      <c r="C3381" s="1">
        <v>56328</v>
      </c>
      <c r="D3381" s="1">
        <v>4</v>
      </c>
      <c r="F3381" s="1">
        <v>2023</v>
      </c>
      <c r="G3381" s="5">
        <v>618</v>
      </c>
      <c r="H3381" s="5">
        <v>560.38</v>
      </c>
      <c r="I3381" s="5">
        <v>39514.6</v>
      </c>
      <c r="K3381" s="5">
        <v>0.14199999999999999</v>
      </c>
      <c r="L3381" s="5">
        <v>1E-3</v>
      </c>
      <c r="M3381" s="5">
        <v>28775.8</v>
      </c>
      <c r="N3381" s="6">
        <v>5.9200000000000003E-2</v>
      </c>
      <c r="O3381" s="5">
        <v>17.754999999999999</v>
      </c>
      <c r="P3381" s="6">
        <v>0.15429999999999999</v>
      </c>
      <c r="Q3381" s="5">
        <v>487699.1</v>
      </c>
      <c r="R3381" s="1" t="s">
        <v>44</v>
      </c>
      <c r="T3381" s="1" t="s">
        <v>93</v>
      </c>
      <c r="V3381" s="1" t="s">
        <v>140</v>
      </c>
      <c r="Y3381" s="1" t="s">
        <v>346</v>
      </c>
      <c r="Z3381" s="1" t="str">
        <f t="shared" si="156"/>
        <v>56328 4</v>
      </c>
      <c r="AA3381" s="3">
        <f>IF(INDEX('CAMD Facility Data 2023'!$AA$2:$AE$10000,MATCH(Z3381,'CAMD Facility Data 2023'!$AE$2:$AE$10000,0),1)&gt;0,INDEX('CAMD Facility Data 2023'!$AA$2:$AE$10000,MATCH(Z3381,'CAMD Facility Data 2023'!$AE$2:$AE$10000,0),1),"")</f>
        <v>39264</v>
      </c>
      <c r="AB3381" s="5">
        <f>IF(INDEX('CAMD Facility Data 2023'!$AC$2:$AE$10000,MATCH(Z3381,'CAMD Facility Data 2023'!$AE$2:$AE$10000,0),1)&gt;0,INDEX('CAMD Facility Data 2023'!$AC$2:$AE$10000,MATCH(Z3381,'CAMD Facility Data 2023'!$AE$2:$AE$10000,0),1),"")</f>
        <v>1078</v>
      </c>
      <c r="AC3381" s="1" t="str">
        <f>IF(INDEX('CAMD Facility Data 2023'!$AE$2:$AG$10000,MATCH(Z3381,'CAMD Facility Data 2023'!$AE$2:$AE$10000,0),3)&gt;0,INDEX('CAMD Facility Data 2023'!$AE$2:$AG$10000,MATCH(Z3381,'CAMD Facility Data 2023'!$AE$2:$AE$10000,0),3),"")</f>
        <v/>
      </c>
      <c r="AD3381" s="20">
        <f t="shared" si="157"/>
        <v>0.89865518061678473</v>
      </c>
      <c r="AE3381" s="25">
        <f t="shared" si="158"/>
        <v>5.1645095771808099E-2</v>
      </c>
    </row>
    <row r="3382" spans="1:31" x14ac:dyDescent="0.2">
      <c r="A3382" s="1" t="s">
        <v>383</v>
      </c>
      <c r="B3382" s="1" t="s">
        <v>7526</v>
      </c>
      <c r="C3382" s="1">
        <v>56349</v>
      </c>
      <c r="D3382" s="1" t="s">
        <v>3676</v>
      </c>
      <c r="F3382" s="1">
        <v>2023</v>
      </c>
      <c r="G3382" s="5">
        <v>6053</v>
      </c>
      <c r="H3382" s="5">
        <v>5916.91</v>
      </c>
      <c r="I3382" s="5">
        <v>593396.35</v>
      </c>
      <c r="K3382" s="5">
        <v>1.55</v>
      </c>
      <c r="L3382" s="5">
        <v>1E-3</v>
      </c>
      <c r="M3382" s="5">
        <v>307008.11</v>
      </c>
      <c r="N3382" s="6">
        <v>5.8999999999999997E-2</v>
      </c>
      <c r="O3382" s="5">
        <v>38.872</v>
      </c>
      <c r="P3382" s="6">
        <v>1.7899999999999999E-2</v>
      </c>
      <c r="Q3382" s="5">
        <v>5165981.2319999998</v>
      </c>
      <c r="R3382" s="1" t="s">
        <v>44</v>
      </c>
      <c r="T3382" s="1" t="s">
        <v>71</v>
      </c>
      <c r="V3382" s="1" t="s">
        <v>64</v>
      </c>
      <c r="Y3382" s="1" t="s">
        <v>346</v>
      </c>
      <c r="Z3382" s="1" t="str">
        <f t="shared" si="156"/>
        <v>56349 CT1A</v>
      </c>
      <c r="AA3382" s="3">
        <f>IF(INDEX('CAMD Facility Data 2023'!$AA$2:$AE$10000,MATCH(Z3382,'CAMD Facility Data 2023'!$AE$2:$AE$10000,0),1)&gt;0,INDEX('CAMD Facility Data 2023'!$AA$2:$AE$10000,MATCH(Z3382,'CAMD Facility Data 2023'!$AE$2:$AE$10000,0),1),"")</f>
        <v>39197</v>
      </c>
      <c r="AB3382" s="5">
        <f>IF(INDEX('CAMD Facility Data 2023'!$AC$2:$AE$10000,MATCH(Z3382,'CAMD Facility Data 2023'!$AE$2:$AE$10000,0),1)&gt;0,INDEX('CAMD Facility Data 2023'!$AC$2:$AE$10000,MATCH(Z3382,'CAMD Facility Data 2023'!$AE$2:$AE$10000,0),1),"")</f>
        <v>1260</v>
      </c>
      <c r="AC3382" s="1" t="str">
        <f>IF(INDEX('CAMD Facility Data 2023'!$AE$2:$AG$10000,MATCH(Z3382,'CAMD Facility Data 2023'!$AE$2:$AE$10000,0),3)&gt;0,INDEX('CAMD Facility Data 2023'!$AE$2:$AG$10000,MATCH(Z3382,'CAMD Facility Data 2023'!$AE$2:$AE$10000,0),3),"")</f>
        <v>Y</v>
      </c>
      <c r="AD3382" s="20">
        <f t="shared" si="157"/>
        <v>0.13101529862797437</v>
      </c>
      <c r="AE3382" s="25">
        <f t="shared" si="158"/>
        <v>0.46803482931071971</v>
      </c>
    </row>
    <row r="3383" spans="1:31" x14ac:dyDescent="0.2">
      <c r="A3383" s="1" t="s">
        <v>383</v>
      </c>
      <c r="B3383" s="1" t="s">
        <v>7526</v>
      </c>
      <c r="C3383" s="1">
        <v>56349</v>
      </c>
      <c r="D3383" s="1" t="s">
        <v>3678</v>
      </c>
      <c r="F3383" s="1">
        <v>2023</v>
      </c>
      <c r="G3383" s="5">
        <v>6025</v>
      </c>
      <c r="H3383" s="5">
        <v>5865.57</v>
      </c>
      <c r="I3383" s="5">
        <v>584695</v>
      </c>
      <c r="K3383" s="5">
        <v>1.5109999999999999</v>
      </c>
      <c r="L3383" s="5">
        <v>1E-3</v>
      </c>
      <c r="M3383" s="5">
        <v>299243.45400000003</v>
      </c>
      <c r="N3383" s="6">
        <v>5.8999999999999997E-2</v>
      </c>
      <c r="O3383" s="5">
        <v>38.539000000000001</v>
      </c>
      <c r="P3383" s="6">
        <v>1.8599999999999998E-2</v>
      </c>
      <c r="Q3383" s="5">
        <v>5035256.7510000002</v>
      </c>
      <c r="R3383" s="1" t="s">
        <v>44</v>
      </c>
      <c r="T3383" s="1" t="s">
        <v>71</v>
      </c>
      <c r="V3383" s="1" t="s">
        <v>64</v>
      </c>
      <c r="Y3383" s="1" t="s">
        <v>346</v>
      </c>
      <c r="Z3383" s="1" t="str">
        <f t="shared" si="156"/>
        <v>56349 CT1B</v>
      </c>
      <c r="AA3383" s="3">
        <f>IF(INDEX('CAMD Facility Data 2023'!$AA$2:$AE$10000,MATCH(Z3383,'CAMD Facility Data 2023'!$AE$2:$AE$10000,0),1)&gt;0,INDEX('CAMD Facility Data 2023'!$AA$2:$AE$10000,MATCH(Z3383,'CAMD Facility Data 2023'!$AE$2:$AE$10000,0),1),"")</f>
        <v>39198</v>
      </c>
      <c r="AB3383" s="5">
        <f>IF(INDEX('CAMD Facility Data 2023'!$AC$2:$AE$10000,MATCH(Z3383,'CAMD Facility Data 2023'!$AE$2:$AE$10000,0),1)&gt;0,INDEX('CAMD Facility Data 2023'!$AC$2:$AE$10000,MATCH(Z3383,'CAMD Facility Data 2023'!$AE$2:$AE$10000,0),1),"")</f>
        <v>1260</v>
      </c>
      <c r="AC3383" s="1" t="str">
        <f>IF(INDEX('CAMD Facility Data 2023'!$AE$2:$AG$10000,MATCH(Z3383,'CAMD Facility Data 2023'!$AE$2:$AE$10000,0),3)&gt;0,INDEX('CAMD Facility Data 2023'!$AE$2:$AG$10000,MATCH(Z3383,'CAMD Facility Data 2023'!$AE$2:$AE$10000,0),3),"")</f>
        <v>Y</v>
      </c>
      <c r="AD3383" s="20">
        <f t="shared" si="157"/>
        <v>0.13182599474939927</v>
      </c>
      <c r="AE3383" s="25">
        <f t="shared" si="158"/>
        <v>0.4561912690258752</v>
      </c>
    </row>
    <row r="3384" spans="1:31" x14ac:dyDescent="0.2">
      <c r="A3384" s="1" t="s">
        <v>383</v>
      </c>
      <c r="B3384" s="1" t="s">
        <v>7526</v>
      </c>
      <c r="C3384" s="1">
        <v>56349</v>
      </c>
      <c r="D3384" s="1" t="s">
        <v>1052</v>
      </c>
      <c r="F3384" s="1">
        <v>2023</v>
      </c>
      <c r="G3384" s="5">
        <v>6259</v>
      </c>
      <c r="H3384" s="5">
        <v>6102.67</v>
      </c>
      <c r="I3384" s="5">
        <v>597411.9</v>
      </c>
      <c r="K3384" s="5">
        <v>1.538</v>
      </c>
      <c r="L3384" s="5">
        <v>1E-3</v>
      </c>
      <c r="M3384" s="5">
        <v>304610.71999999997</v>
      </c>
      <c r="N3384" s="6">
        <v>5.8999999999999997E-2</v>
      </c>
      <c r="O3384" s="5">
        <v>35.384999999999998</v>
      </c>
      <c r="P3384" s="6">
        <v>1.5800000000000002E-2</v>
      </c>
      <c r="Q3384" s="5">
        <v>5125704.9469999997</v>
      </c>
      <c r="R3384" s="1" t="s">
        <v>44</v>
      </c>
      <c r="T3384" s="1" t="s">
        <v>71</v>
      </c>
      <c r="V3384" s="1" t="s">
        <v>64</v>
      </c>
      <c r="Y3384" s="1" t="s">
        <v>346</v>
      </c>
      <c r="Z3384" s="1" t="str">
        <f t="shared" si="156"/>
        <v>56349 CT2A</v>
      </c>
      <c r="AA3384" s="3">
        <f>IF(INDEX('CAMD Facility Data 2023'!$AA$2:$AE$10000,MATCH(Z3384,'CAMD Facility Data 2023'!$AE$2:$AE$10000,0),1)&gt;0,INDEX('CAMD Facility Data 2023'!$AA$2:$AE$10000,MATCH(Z3384,'CAMD Facility Data 2023'!$AE$2:$AE$10000,0),1),"")</f>
        <v>39553</v>
      </c>
      <c r="AB3384" s="5">
        <f>IF(INDEX('CAMD Facility Data 2023'!$AC$2:$AE$10000,MATCH(Z3384,'CAMD Facility Data 2023'!$AE$2:$AE$10000,0),1)&gt;0,INDEX('CAMD Facility Data 2023'!$AC$2:$AE$10000,MATCH(Z3384,'CAMD Facility Data 2023'!$AE$2:$AE$10000,0),1),"")</f>
        <v>1335</v>
      </c>
      <c r="AC3384" s="1" t="str">
        <f>IF(INDEX('CAMD Facility Data 2023'!$AE$2:$AG$10000,MATCH(Z3384,'CAMD Facility Data 2023'!$AE$2:$AE$10000,0),3)&gt;0,INDEX('CAMD Facility Data 2023'!$AE$2:$AG$10000,MATCH(Z3384,'CAMD Facility Data 2023'!$AE$2:$AE$10000,0),3),"")</f>
        <v>Y</v>
      </c>
      <c r="AD3384" s="20">
        <f t="shared" si="157"/>
        <v>0.11846098144345635</v>
      </c>
      <c r="AE3384" s="25">
        <f t="shared" si="158"/>
        <v>0.43829673071332065</v>
      </c>
    </row>
    <row r="3385" spans="1:31" x14ac:dyDescent="0.2">
      <c r="A3385" s="1" t="s">
        <v>383</v>
      </c>
      <c r="B3385" s="1" t="s">
        <v>7526</v>
      </c>
      <c r="C3385" s="1">
        <v>56349</v>
      </c>
      <c r="D3385" s="1" t="s">
        <v>1054</v>
      </c>
      <c r="F3385" s="1">
        <v>2023</v>
      </c>
      <c r="G3385" s="5">
        <v>6138</v>
      </c>
      <c r="H3385" s="5">
        <v>5989.45</v>
      </c>
      <c r="I3385" s="5">
        <v>595212.39</v>
      </c>
      <c r="K3385" s="5">
        <v>1.51</v>
      </c>
      <c r="L3385" s="5">
        <v>1E-3</v>
      </c>
      <c r="M3385" s="5">
        <v>299144.62400000001</v>
      </c>
      <c r="N3385" s="6">
        <v>5.8999999999999997E-2</v>
      </c>
      <c r="O3385" s="5">
        <v>34.862000000000002</v>
      </c>
      <c r="P3385" s="6">
        <v>1.55E-2</v>
      </c>
      <c r="Q3385" s="5">
        <v>5033682.7180000003</v>
      </c>
      <c r="R3385" s="1" t="s">
        <v>44</v>
      </c>
      <c r="T3385" s="1" t="s">
        <v>71</v>
      </c>
      <c r="V3385" s="1" t="s">
        <v>64</v>
      </c>
      <c r="Y3385" s="1" t="s">
        <v>346</v>
      </c>
      <c r="Z3385" s="1" t="str">
        <f t="shared" si="156"/>
        <v>56349 CT2B</v>
      </c>
      <c r="AA3385" s="3">
        <f>IF(INDEX('CAMD Facility Data 2023'!$AA$2:$AE$10000,MATCH(Z3385,'CAMD Facility Data 2023'!$AE$2:$AE$10000,0),1)&gt;0,INDEX('CAMD Facility Data 2023'!$AA$2:$AE$10000,MATCH(Z3385,'CAMD Facility Data 2023'!$AE$2:$AE$10000,0),1),"")</f>
        <v>39553</v>
      </c>
      <c r="AB3385" s="5">
        <f>IF(INDEX('CAMD Facility Data 2023'!$AC$2:$AE$10000,MATCH(Z3385,'CAMD Facility Data 2023'!$AE$2:$AE$10000,0),1)&gt;0,INDEX('CAMD Facility Data 2023'!$AC$2:$AE$10000,MATCH(Z3385,'CAMD Facility Data 2023'!$AE$2:$AE$10000,0),1),"")</f>
        <v>1260</v>
      </c>
      <c r="AC3385" s="1" t="str">
        <f>IF(INDEX('CAMD Facility Data 2023'!$AE$2:$AG$10000,MATCH(Z3385,'CAMD Facility Data 2023'!$AE$2:$AE$10000,0),3)&gt;0,INDEX('CAMD Facility Data 2023'!$AE$2:$AG$10000,MATCH(Z3385,'CAMD Facility Data 2023'!$AE$2:$AE$10000,0),3),"")</f>
        <v>Y</v>
      </c>
      <c r="AD3385" s="20">
        <f t="shared" si="157"/>
        <v>0.11714137872701205</v>
      </c>
      <c r="AE3385" s="25">
        <f t="shared" si="158"/>
        <v>0.45604866257157356</v>
      </c>
    </row>
    <row r="3386" spans="1:31" x14ac:dyDescent="0.2">
      <c r="A3386" s="1" t="s">
        <v>383</v>
      </c>
      <c r="B3386" s="1" t="s">
        <v>7532</v>
      </c>
      <c r="C3386" s="1">
        <v>56350</v>
      </c>
      <c r="D3386" s="1" t="s">
        <v>3676</v>
      </c>
      <c r="F3386" s="1">
        <v>2023</v>
      </c>
      <c r="G3386" s="5">
        <v>6343</v>
      </c>
      <c r="H3386" s="5">
        <v>6289.94</v>
      </c>
      <c r="I3386" s="5">
        <v>686849.55</v>
      </c>
      <c r="K3386" s="5">
        <v>1.694</v>
      </c>
      <c r="L3386" s="5">
        <v>1E-3</v>
      </c>
      <c r="M3386" s="5">
        <v>335589.08299999998</v>
      </c>
      <c r="N3386" s="6">
        <v>5.8999999999999997E-2</v>
      </c>
      <c r="O3386" s="5">
        <v>39.665999999999997</v>
      </c>
      <c r="P3386" s="6">
        <v>1.5599999999999999E-2</v>
      </c>
      <c r="Q3386" s="5">
        <v>5646917.807</v>
      </c>
      <c r="R3386" s="1" t="s">
        <v>44</v>
      </c>
      <c r="T3386" s="1" t="s">
        <v>71</v>
      </c>
      <c r="V3386" s="1" t="s">
        <v>64</v>
      </c>
      <c r="Y3386" s="1" t="s">
        <v>346</v>
      </c>
      <c r="Z3386" s="1" t="str">
        <f t="shared" si="156"/>
        <v>56350 CT1A</v>
      </c>
      <c r="AA3386" s="3">
        <f>IF(INDEX('CAMD Facility Data 2023'!$AA$2:$AE$10000,MATCH(Z3386,'CAMD Facility Data 2023'!$AE$2:$AE$10000,0),1)&gt;0,INDEX('CAMD Facility Data 2023'!$AA$2:$AE$10000,MATCH(Z3386,'CAMD Facility Data 2023'!$AE$2:$AE$10000,0),1),"")</f>
        <v>39188</v>
      </c>
      <c r="AB3386" s="5">
        <f>IF(INDEX('CAMD Facility Data 2023'!$AC$2:$AE$10000,MATCH(Z3386,'CAMD Facility Data 2023'!$AE$2:$AE$10000,0),1)&gt;0,INDEX('CAMD Facility Data 2023'!$AC$2:$AE$10000,MATCH(Z3386,'CAMD Facility Data 2023'!$AE$2:$AE$10000,0),1),"")</f>
        <v>1120</v>
      </c>
      <c r="AC3386" s="1" t="str">
        <f>IF(INDEX('CAMD Facility Data 2023'!$AE$2:$AG$10000,MATCH(Z3386,'CAMD Facility Data 2023'!$AE$2:$AE$10000,0),3)&gt;0,INDEX('CAMD Facility Data 2023'!$AE$2:$AG$10000,MATCH(Z3386,'CAMD Facility Data 2023'!$AE$2:$AE$10000,0),3),"")</f>
        <v>Y</v>
      </c>
      <c r="AD3386" s="20">
        <f t="shared" si="157"/>
        <v>0.11550127680799965</v>
      </c>
      <c r="AE3386" s="25">
        <f t="shared" si="158"/>
        <v>0.57555832181588384</v>
      </c>
    </row>
    <row r="3387" spans="1:31" x14ac:dyDescent="0.2">
      <c r="A3387" s="1" t="s">
        <v>383</v>
      </c>
      <c r="B3387" s="1" t="s">
        <v>7532</v>
      </c>
      <c r="C3387" s="1">
        <v>56350</v>
      </c>
      <c r="D3387" s="1" t="s">
        <v>3678</v>
      </c>
      <c r="F3387" s="1">
        <v>2023</v>
      </c>
      <c r="G3387" s="5">
        <v>5822</v>
      </c>
      <c r="H3387" s="5">
        <v>5779.62</v>
      </c>
      <c r="I3387" s="5">
        <v>632615.22</v>
      </c>
      <c r="K3387" s="5">
        <v>1.5449999999999999</v>
      </c>
      <c r="L3387" s="5">
        <v>1E-3</v>
      </c>
      <c r="M3387" s="5">
        <v>305984.11200000002</v>
      </c>
      <c r="N3387" s="6">
        <v>5.8999999999999997E-2</v>
      </c>
      <c r="O3387" s="5">
        <v>35.186</v>
      </c>
      <c r="P3387" s="6">
        <v>1.5599999999999999E-2</v>
      </c>
      <c r="Q3387" s="5">
        <v>5148790.3619999997</v>
      </c>
      <c r="R3387" s="1" t="s">
        <v>44</v>
      </c>
      <c r="T3387" s="1" t="s">
        <v>71</v>
      </c>
      <c r="V3387" s="1" t="s">
        <v>64</v>
      </c>
      <c r="Y3387" s="1" t="s">
        <v>346</v>
      </c>
      <c r="Z3387" s="1" t="str">
        <f t="shared" si="156"/>
        <v>56350 CT1B</v>
      </c>
      <c r="AA3387" s="3">
        <f>IF(INDEX('CAMD Facility Data 2023'!$AA$2:$AE$10000,MATCH(Z3387,'CAMD Facility Data 2023'!$AE$2:$AE$10000,0),1)&gt;0,INDEX('CAMD Facility Data 2023'!$AA$2:$AE$10000,MATCH(Z3387,'CAMD Facility Data 2023'!$AE$2:$AE$10000,0),1),"")</f>
        <v>39188</v>
      </c>
      <c r="AB3387" s="5">
        <f>IF(INDEX('CAMD Facility Data 2023'!$AC$2:$AE$10000,MATCH(Z3387,'CAMD Facility Data 2023'!$AE$2:$AE$10000,0),1)&gt;0,INDEX('CAMD Facility Data 2023'!$AC$2:$AE$10000,MATCH(Z3387,'CAMD Facility Data 2023'!$AE$2:$AE$10000,0),1),"")</f>
        <v>1120</v>
      </c>
      <c r="AC3387" s="1" t="str">
        <f>IF(INDEX('CAMD Facility Data 2023'!$AE$2:$AG$10000,MATCH(Z3387,'CAMD Facility Data 2023'!$AE$2:$AE$10000,0),3)&gt;0,INDEX('CAMD Facility Data 2023'!$AE$2:$AG$10000,MATCH(Z3387,'CAMD Facility Data 2023'!$AE$2:$AE$10000,0),3),"")</f>
        <v>Y</v>
      </c>
      <c r="AD3387" s="20">
        <f t="shared" si="157"/>
        <v>0.11123981493837598</v>
      </c>
      <c r="AE3387" s="25">
        <f t="shared" si="158"/>
        <v>0.52478701504403125</v>
      </c>
    </row>
    <row r="3388" spans="1:31" x14ac:dyDescent="0.2">
      <c r="A3388" s="1" t="s">
        <v>383</v>
      </c>
      <c r="B3388" s="1" t="s">
        <v>7532</v>
      </c>
      <c r="C3388" s="1">
        <v>56350</v>
      </c>
      <c r="D3388" s="1" t="s">
        <v>1052</v>
      </c>
      <c r="F3388" s="1">
        <v>2023</v>
      </c>
      <c r="G3388" s="5">
        <v>4855</v>
      </c>
      <c r="H3388" s="5">
        <v>4826.5</v>
      </c>
      <c r="I3388" s="5">
        <v>538838.46</v>
      </c>
      <c r="K3388" s="5">
        <v>1.28</v>
      </c>
      <c r="L3388" s="5">
        <v>1E-3</v>
      </c>
      <c r="M3388" s="5">
        <v>253584.86300000001</v>
      </c>
      <c r="N3388" s="6">
        <v>5.8999999999999997E-2</v>
      </c>
      <c r="O3388" s="5">
        <v>27.029</v>
      </c>
      <c r="P3388" s="6">
        <v>1.43E-2</v>
      </c>
      <c r="Q3388" s="5">
        <v>4267105.642</v>
      </c>
      <c r="R3388" s="1" t="s">
        <v>44</v>
      </c>
      <c r="T3388" s="1" t="s">
        <v>71</v>
      </c>
      <c r="V3388" s="1" t="s">
        <v>64</v>
      </c>
      <c r="Y3388" s="1" t="s">
        <v>346</v>
      </c>
      <c r="Z3388" s="1" t="str">
        <f t="shared" si="156"/>
        <v>56350 CT2A</v>
      </c>
      <c r="AA3388" s="3">
        <f>IF(INDEX('CAMD Facility Data 2023'!$AA$2:$AE$10000,MATCH(Z3388,'CAMD Facility Data 2023'!$AE$2:$AE$10000,0),1)&gt;0,INDEX('CAMD Facility Data 2023'!$AA$2:$AE$10000,MATCH(Z3388,'CAMD Facility Data 2023'!$AE$2:$AE$10000,0),1),"")</f>
        <v>39569</v>
      </c>
      <c r="AB3388" s="5">
        <f>IF(INDEX('CAMD Facility Data 2023'!$AC$2:$AE$10000,MATCH(Z3388,'CAMD Facility Data 2023'!$AE$2:$AE$10000,0),1)&gt;0,INDEX('CAMD Facility Data 2023'!$AC$2:$AE$10000,MATCH(Z3388,'CAMD Facility Data 2023'!$AE$2:$AE$10000,0),1),"")</f>
        <v>1120</v>
      </c>
      <c r="AC3388" s="1" t="str">
        <f>IF(INDEX('CAMD Facility Data 2023'!$AE$2:$AG$10000,MATCH(Z3388,'CAMD Facility Data 2023'!$AE$2:$AE$10000,0),3)&gt;0,INDEX('CAMD Facility Data 2023'!$AE$2:$AG$10000,MATCH(Z3388,'CAMD Facility Data 2023'!$AE$2:$AE$10000,0),3),"")</f>
        <v>Y</v>
      </c>
      <c r="AD3388" s="20">
        <f t="shared" si="157"/>
        <v>0.10032320261623494</v>
      </c>
      <c r="AE3388" s="25">
        <f t="shared" si="158"/>
        <v>0.43492188947325505</v>
      </c>
    </row>
    <row r="3389" spans="1:31" x14ac:dyDescent="0.2">
      <c r="A3389" s="1" t="s">
        <v>383</v>
      </c>
      <c r="B3389" s="1" t="s">
        <v>7532</v>
      </c>
      <c r="C3389" s="1">
        <v>56350</v>
      </c>
      <c r="D3389" s="1" t="s">
        <v>1054</v>
      </c>
      <c r="F3389" s="1">
        <v>2023</v>
      </c>
      <c r="G3389" s="5">
        <v>4850</v>
      </c>
      <c r="H3389" s="5">
        <v>4826.99</v>
      </c>
      <c r="I3389" s="5">
        <v>553903.18999999994</v>
      </c>
      <c r="K3389" s="5">
        <v>1.304</v>
      </c>
      <c r="L3389" s="5">
        <v>1E-3</v>
      </c>
      <c r="M3389" s="5">
        <v>258191.73699999999</v>
      </c>
      <c r="N3389" s="6">
        <v>5.8999999999999997E-2</v>
      </c>
      <c r="O3389" s="5">
        <v>27.812000000000001</v>
      </c>
      <c r="P3389" s="6">
        <v>1.3899999999999999E-2</v>
      </c>
      <c r="Q3389" s="5">
        <v>4344602.0990000004</v>
      </c>
      <c r="R3389" s="1" t="s">
        <v>44</v>
      </c>
      <c r="T3389" s="1" t="s">
        <v>71</v>
      </c>
      <c r="V3389" s="1" t="s">
        <v>64</v>
      </c>
      <c r="Y3389" s="1" t="s">
        <v>346</v>
      </c>
      <c r="Z3389" s="1" t="str">
        <f t="shared" si="156"/>
        <v>56350 CT2B</v>
      </c>
      <c r="AA3389" s="3">
        <f>IF(INDEX('CAMD Facility Data 2023'!$AA$2:$AE$10000,MATCH(Z3389,'CAMD Facility Data 2023'!$AE$2:$AE$10000,0),1)&gt;0,INDEX('CAMD Facility Data 2023'!$AA$2:$AE$10000,MATCH(Z3389,'CAMD Facility Data 2023'!$AE$2:$AE$10000,0),1),"")</f>
        <v>39569</v>
      </c>
      <c r="AB3389" s="5">
        <f>IF(INDEX('CAMD Facility Data 2023'!$AC$2:$AE$10000,MATCH(Z3389,'CAMD Facility Data 2023'!$AE$2:$AE$10000,0),1)&gt;0,INDEX('CAMD Facility Data 2023'!$AC$2:$AE$10000,MATCH(Z3389,'CAMD Facility Data 2023'!$AE$2:$AE$10000,0),1),"")</f>
        <v>1120</v>
      </c>
      <c r="AC3389" s="1" t="str">
        <f>IF(INDEX('CAMD Facility Data 2023'!$AE$2:$AG$10000,MATCH(Z3389,'CAMD Facility Data 2023'!$AE$2:$AE$10000,0),3)&gt;0,INDEX('CAMD Facility Data 2023'!$AE$2:$AG$10000,MATCH(Z3389,'CAMD Facility Data 2023'!$AE$2:$AE$10000,0),3),"")</f>
        <v>Y</v>
      </c>
      <c r="AD3389" s="20">
        <f t="shared" si="157"/>
        <v>0.10042188058169516</v>
      </c>
      <c r="AE3389" s="25">
        <f t="shared" si="158"/>
        <v>0.44282066403701897</v>
      </c>
    </row>
    <row r="3390" spans="1:31" x14ac:dyDescent="0.2">
      <c r="A3390" s="1" t="s">
        <v>383</v>
      </c>
      <c r="B3390" s="1" t="s">
        <v>7532</v>
      </c>
      <c r="C3390" s="1">
        <v>56350</v>
      </c>
      <c r="D3390" s="1" t="s">
        <v>7538</v>
      </c>
      <c r="F3390" s="1">
        <v>2023</v>
      </c>
      <c r="G3390" s="5">
        <v>1688</v>
      </c>
      <c r="H3390" s="5">
        <v>1492.35</v>
      </c>
      <c r="I3390" s="5">
        <v>41640.89</v>
      </c>
      <c r="K3390" s="5">
        <v>0.17599999999999999</v>
      </c>
      <c r="L3390" s="5">
        <v>1E-3</v>
      </c>
      <c r="M3390" s="5">
        <v>34811.091</v>
      </c>
      <c r="N3390" s="6">
        <v>5.9200000000000003E-2</v>
      </c>
      <c r="O3390" s="5">
        <v>17.077999999999999</v>
      </c>
      <c r="P3390" s="6">
        <v>5.3400000000000003E-2</v>
      </c>
      <c r="Q3390" s="5">
        <v>585767.50399999996</v>
      </c>
      <c r="R3390" s="1" t="s">
        <v>44</v>
      </c>
      <c r="T3390" s="1" t="s">
        <v>93</v>
      </c>
      <c r="V3390" s="1" t="s">
        <v>223</v>
      </c>
      <c r="Y3390" s="1" t="s">
        <v>346</v>
      </c>
      <c r="Z3390" s="1" t="str">
        <f t="shared" si="156"/>
        <v>56350 CT-4A</v>
      </c>
      <c r="AA3390" s="3">
        <f>IF(INDEX('CAMD Facility Data 2023'!$AA$2:$AE$10000,MATCH(Z3390,'CAMD Facility Data 2023'!$AE$2:$AE$10000,0),1)&gt;0,INDEX('CAMD Facility Data 2023'!$AA$2:$AE$10000,MATCH(Z3390,'CAMD Facility Data 2023'!$AE$2:$AE$10000,0),1),"")</f>
        <v>44924</v>
      </c>
      <c r="AB3390" s="5">
        <f>IF(INDEX('CAMD Facility Data 2023'!$AC$2:$AE$10000,MATCH(Z3390,'CAMD Facility Data 2023'!$AE$2:$AE$10000,0),1)&gt;0,INDEX('CAMD Facility Data 2023'!$AC$2:$AE$10000,MATCH(Z3390,'CAMD Facility Data 2023'!$AE$2:$AE$10000,0),1),"")</f>
        <v>10640</v>
      </c>
      <c r="AC3390" s="1" t="str">
        <f>IF(INDEX('CAMD Facility Data 2023'!$AE$2:$AG$10000,MATCH(Z3390,'CAMD Facility Data 2023'!$AE$2:$AE$10000,0),3)&gt;0,INDEX('CAMD Facility Data 2023'!$AE$2:$AG$10000,MATCH(Z3390,'CAMD Facility Data 2023'!$AE$2:$AE$10000,0),3),"")</f>
        <v>Y</v>
      </c>
      <c r="AD3390" s="20">
        <f t="shared" si="157"/>
        <v>0.82025144035105879</v>
      </c>
      <c r="AE3390" s="25">
        <f t="shared" si="158"/>
        <v>6.2846274933910113E-3</v>
      </c>
    </row>
    <row r="3391" spans="1:31" x14ac:dyDescent="0.2">
      <c r="A3391" s="1" t="s">
        <v>383</v>
      </c>
      <c r="B3391" s="1" t="s">
        <v>7532</v>
      </c>
      <c r="C3391" s="1">
        <v>56350</v>
      </c>
      <c r="D3391" s="1" t="s">
        <v>7540</v>
      </c>
      <c r="F3391" s="1">
        <v>2023</v>
      </c>
      <c r="G3391" s="5">
        <v>1731</v>
      </c>
      <c r="H3391" s="5">
        <v>1531.99</v>
      </c>
      <c r="I3391" s="5">
        <v>45217.01</v>
      </c>
      <c r="K3391" s="5">
        <v>0.188</v>
      </c>
      <c r="L3391" s="5">
        <v>1E-3</v>
      </c>
      <c r="M3391" s="5">
        <v>37280.707999999999</v>
      </c>
      <c r="N3391" s="6">
        <v>5.9200000000000003E-2</v>
      </c>
      <c r="O3391" s="5">
        <v>17.202000000000002</v>
      </c>
      <c r="P3391" s="6">
        <v>4.9500000000000002E-2</v>
      </c>
      <c r="Q3391" s="5">
        <v>627319.87199999997</v>
      </c>
      <c r="R3391" s="1" t="s">
        <v>44</v>
      </c>
      <c r="T3391" s="1" t="s">
        <v>7541</v>
      </c>
      <c r="V3391" s="1" t="s">
        <v>223</v>
      </c>
      <c r="Y3391" s="1" t="s">
        <v>346</v>
      </c>
      <c r="Z3391" s="1" t="str">
        <f t="shared" si="156"/>
        <v>56350 CT-4B</v>
      </c>
      <c r="AA3391" s="3">
        <f>IF(INDEX('CAMD Facility Data 2023'!$AA$2:$AE$10000,MATCH(Z3391,'CAMD Facility Data 2023'!$AE$2:$AE$10000,0),1)&gt;0,INDEX('CAMD Facility Data 2023'!$AA$2:$AE$10000,MATCH(Z3391,'CAMD Facility Data 2023'!$AE$2:$AE$10000,0),1),"")</f>
        <v>44950</v>
      </c>
      <c r="AB3391" s="5">
        <f>IF(INDEX('CAMD Facility Data 2023'!$AC$2:$AE$10000,MATCH(Z3391,'CAMD Facility Data 2023'!$AE$2:$AE$10000,0),1)&gt;0,INDEX('CAMD Facility Data 2023'!$AC$2:$AE$10000,MATCH(Z3391,'CAMD Facility Data 2023'!$AE$2:$AE$10000,0),1),"")</f>
        <v>10640</v>
      </c>
      <c r="AC3391" s="1" t="str">
        <f>IF(INDEX('CAMD Facility Data 2023'!$AE$2:$AG$10000,MATCH(Z3391,'CAMD Facility Data 2023'!$AE$2:$AE$10000,0),3)&gt;0,INDEX('CAMD Facility Data 2023'!$AE$2:$AG$10000,MATCH(Z3391,'CAMD Facility Data 2023'!$AE$2:$AE$10000,0),3),"")</f>
        <v>Y</v>
      </c>
      <c r="AD3391" s="20">
        <f t="shared" si="157"/>
        <v>0.7608641084406067</v>
      </c>
      <c r="AE3391" s="25">
        <f t="shared" si="158"/>
        <v>6.7304377381810689E-3</v>
      </c>
    </row>
    <row r="3392" spans="1:31" x14ac:dyDescent="0.2">
      <c r="A3392" s="1" t="s">
        <v>2584</v>
      </c>
      <c r="B3392" s="1" t="s">
        <v>7544</v>
      </c>
      <c r="C3392" s="1">
        <v>56397</v>
      </c>
      <c r="D3392" s="1">
        <v>4</v>
      </c>
      <c r="F3392" s="1">
        <v>2023</v>
      </c>
      <c r="G3392" s="5">
        <v>1247</v>
      </c>
      <c r="H3392" s="5">
        <v>1113.82</v>
      </c>
      <c r="I3392" s="5">
        <v>52098.48</v>
      </c>
      <c r="K3392" s="5">
        <v>0.14599999999999999</v>
      </c>
      <c r="L3392" s="5">
        <v>1E-3</v>
      </c>
      <c r="M3392" s="5">
        <v>28964.278999999999</v>
      </c>
      <c r="N3392" s="6">
        <v>5.9200000000000003E-2</v>
      </c>
      <c r="O3392" s="5">
        <v>20.751000000000001</v>
      </c>
      <c r="P3392" s="6">
        <v>9.0499999999999997E-2</v>
      </c>
      <c r="Q3392" s="5">
        <v>487364.76899999997</v>
      </c>
      <c r="R3392" s="1" t="s">
        <v>44</v>
      </c>
      <c r="T3392" s="1" t="s">
        <v>93</v>
      </c>
      <c r="V3392" s="1" t="s">
        <v>95</v>
      </c>
      <c r="Y3392" s="1" t="s">
        <v>1515</v>
      </c>
      <c r="Z3392" s="1" t="str">
        <f t="shared" si="156"/>
        <v>56397 4</v>
      </c>
      <c r="AA3392" s="3">
        <f>IF(INDEX('CAMD Facility Data 2023'!$AA$2:$AE$10000,MATCH(Z3392,'CAMD Facility Data 2023'!$AE$2:$AE$10000,0),1)&gt;0,INDEX('CAMD Facility Data 2023'!$AA$2:$AE$10000,MATCH(Z3392,'CAMD Facility Data 2023'!$AE$2:$AE$10000,0),1),"")</f>
        <v>36861</v>
      </c>
      <c r="AB3392" s="5">
        <f>IF(INDEX('CAMD Facility Data 2023'!$AC$2:$AE$10000,MATCH(Z3392,'CAMD Facility Data 2023'!$AE$2:$AE$10000,0),1)&gt;0,INDEX('CAMD Facility Data 2023'!$AC$2:$AE$10000,MATCH(Z3392,'CAMD Facility Data 2023'!$AE$2:$AE$10000,0),1),"")</f>
        <v>500</v>
      </c>
      <c r="AC3392" s="1" t="str">
        <f>IF(INDEX('CAMD Facility Data 2023'!$AE$2:$AG$10000,MATCH(Z3392,'CAMD Facility Data 2023'!$AE$2:$AE$10000,0),3)&gt;0,INDEX('CAMD Facility Data 2023'!$AE$2:$AG$10000,MATCH(Z3392,'CAMD Facility Data 2023'!$AE$2:$AE$10000,0),3),"")</f>
        <v/>
      </c>
      <c r="AD3392" s="20">
        <f t="shared" si="157"/>
        <v>0.79660673401604032</v>
      </c>
      <c r="AE3392" s="25">
        <f t="shared" si="158"/>
        <v>0.11127049520547945</v>
      </c>
    </row>
    <row r="3393" spans="1:31" x14ac:dyDescent="0.2">
      <c r="A3393" s="1" t="s">
        <v>304</v>
      </c>
      <c r="B3393" s="1" t="s">
        <v>7546</v>
      </c>
      <c r="C3393" s="1">
        <v>56400</v>
      </c>
      <c r="D3393" s="1">
        <v>1</v>
      </c>
      <c r="F3393" s="1">
        <v>2023</v>
      </c>
      <c r="G3393" s="5">
        <v>7482</v>
      </c>
      <c r="H3393" s="5">
        <v>7468.52</v>
      </c>
      <c r="I3393" s="5">
        <v>1870356.18</v>
      </c>
      <c r="K3393" s="5">
        <v>3.9820000000000002</v>
      </c>
      <c r="L3393" s="5">
        <v>1E-3</v>
      </c>
      <c r="M3393" s="5">
        <v>788645.071</v>
      </c>
      <c r="N3393" s="6">
        <v>5.8999999999999997E-2</v>
      </c>
      <c r="O3393" s="5">
        <v>37.619</v>
      </c>
      <c r="P3393" s="6">
        <v>6.1000000000000004E-3</v>
      </c>
      <c r="Q3393" s="5">
        <v>13267036.282</v>
      </c>
      <c r="R3393" s="1" t="s">
        <v>44</v>
      </c>
      <c r="S3393" s="1" t="s">
        <v>94</v>
      </c>
      <c r="T3393" s="1" t="s">
        <v>71</v>
      </c>
      <c r="V3393" s="1" t="s">
        <v>643</v>
      </c>
      <c r="Y3393" s="1" t="s">
        <v>247</v>
      </c>
      <c r="Z3393" s="1" t="str">
        <f t="shared" si="156"/>
        <v>56400 1</v>
      </c>
      <c r="AA3393" s="3">
        <f>IF(INDEX('CAMD Facility Data 2023'!$AA$2:$AE$10000,MATCH(Z3393,'CAMD Facility Data 2023'!$AE$2:$AE$10000,0),1)&gt;0,INDEX('CAMD Facility Data 2023'!$AA$2:$AE$10000,MATCH(Z3393,'CAMD Facility Data 2023'!$AE$2:$AE$10000,0),1),"")</f>
        <v>39490</v>
      </c>
      <c r="AB3393" s="5">
        <f>IF(INDEX('CAMD Facility Data 2023'!$AC$2:$AE$10000,MATCH(Z3393,'CAMD Facility Data 2023'!$AE$2:$AE$10000,0),1)&gt;0,INDEX('CAMD Facility Data 2023'!$AC$2:$AE$10000,MATCH(Z3393,'CAMD Facility Data 2023'!$AE$2:$AE$10000,0),1),"")</f>
        <v>2661</v>
      </c>
      <c r="AC3393" s="1" t="str">
        <f>IF(INDEX('CAMD Facility Data 2023'!$AE$2:$AG$10000,MATCH(Z3393,'CAMD Facility Data 2023'!$AE$2:$AE$10000,0),3)&gt;0,INDEX('CAMD Facility Data 2023'!$AE$2:$AG$10000,MATCH(Z3393,'CAMD Facility Data 2023'!$AE$2:$AE$10000,0),3),"")</f>
        <v>Y</v>
      </c>
      <c r="AD3393" s="20">
        <f t="shared" si="157"/>
        <v>4.022656262188521E-2</v>
      </c>
      <c r="AE3393" s="25">
        <f t="shared" si="158"/>
        <v>0.56914763572934957</v>
      </c>
    </row>
    <row r="3394" spans="1:31" x14ac:dyDescent="0.2">
      <c r="A3394" s="1" t="s">
        <v>304</v>
      </c>
      <c r="B3394" s="1" t="s">
        <v>7552</v>
      </c>
      <c r="C3394" s="1">
        <v>56407</v>
      </c>
      <c r="D3394" s="1" t="s">
        <v>7553</v>
      </c>
      <c r="F3394" s="1">
        <v>2023</v>
      </c>
      <c r="G3394" s="5">
        <v>7139</v>
      </c>
      <c r="H3394" s="5">
        <v>7027.13</v>
      </c>
      <c r="I3394" s="5">
        <v>2524583.6800000002</v>
      </c>
      <c r="K3394" s="5">
        <v>4.8920000000000003</v>
      </c>
      <c r="L3394" s="5">
        <v>1E-3</v>
      </c>
      <c r="M3394" s="5">
        <v>967029.43</v>
      </c>
      <c r="N3394" s="6">
        <v>5.91E-2</v>
      </c>
      <c r="O3394" s="5">
        <v>64.045000000000002</v>
      </c>
      <c r="P3394" s="6">
        <v>1.01E-2</v>
      </c>
      <c r="Q3394" s="5">
        <v>16261059.752</v>
      </c>
      <c r="R3394" s="1" t="s">
        <v>44</v>
      </c>
      <c r="S3394" s="1" t="s">
        <v>94</v>
      </c>
      <c r="T3394" s="1" t="s">
        <v>71</v>
      </c>
      <c r="V3394" s="1" t="s">
        <v>7554</v>
      </c>
      <c r="Y3394" s="1" t="s">
        <v>247</v>
      </c>
      <c r="Z3394" s="1" t="str">
        <f t="shared" si="156"/>
        <v>56407 WCCT1A</v>
      </c>
      <c r="AA3394" s="3">
        <f>IF(INDEX('CAMD Facility Data 2023'!$AA$2:$AE$10000,MATCH(Z3394,'CAMD Facility Data 2023'!$AE$2:$AE$10000,0),1)&gt;0,INDEX('CAMD Facility Data 2023'!$AA$2:$AE$10000,MATCH(Z3394,'CAMD Facility Data 2023'!$AE$2:$AE$10000,0),1),"")</f>
        <v>39954</v>
      </c>
      <c r="AB3394" s="5">
        <f>IF(INDEX('CAMD Facility Data 2023'!$AC$2:$AE$10000,MATCH(Z3394,'CAMD Facility Data 2023'!$AE$2:$AE$10000,0),1)&gt;0,INDEX('CAMD Facility Data 2023'!$AC$2:$AE$10000,MATCH(Z3394,'CAMD Facility Data 2023'!$AE$2:$AE$10000,0),1),"")</f>
        <v>2958</v>
      </c>
      <c r="AC3394" s="1" t="str">
        <f>IF(INDEX('CAMD Facility Data 2023'!$AE$2:$AG$10000,MATCH(Z3394,'CAMD Facility Data 2023'!$AE$2:$AE$10000,0),3)&gt;0,INDEX('CAMD Facility Data 2023'!$AE$2:$AG$10000,MATCH(Z3394,'CAMD Facility Data 2023'!$AE$2:$AE$10000,0),3),"")</f>
        <v>Y</v>
      </c>
      <c r="AD3394" s="20">
        <f t="shared" si="157"/>
        <v>5.0737078360579432E-2</v>
      </c>
      <c r="AE3394" s="25">
        <f t="shared" si="158"/>
        <v>0.62754745091864494</v>
      </c>
    </row>
    <row r="3395" spans="1:31" x14ac:dyDescent="0.2">
      <c r="A3395" s="1" t="s">
        <v>304</v>
      </c>
      <c r="B3395" s="1" t="s">
        <v>7552</v>
      </c>
      <c r="C3395" s="1">
        <v>56407</v>
      </c>
      <c r="D3395" s="1" t="s">
        <v>7556</v>
      </c>
      <c r="F3395" s="1">
        <v>2023</v>
      </c>
      <c r="G3395" s="5">
        <v>5891</v>
      </c>
      <c r="H3395" s="5">
        <v>5796.01</v>
      </c>
      <c r="I3395" s="5">
        <v>2081214.76</v>
      </c>
      <c r="K3395" s="5">
        <v>4.0190000000000001</v>
      </c>
      <c r="L3395" s="5">
        <v>1E-3</v>
      </c>
      <c r="M3395" s="5">
        <v>794793.35600000003</v>
      </c>
      <c r="N3395" s="6">
        <v>5.8999999999999997E-2</v>
      </c>
      <c r="O3395" s="5">
        <v>51.997</v>
      </c>
      <c r="P3395" s="6">
        <v>9.7000000000000003E-3</v>
      </c>
      <c r="Q3395" s="5">
        <v>13366430.575999999</v>
      </c>
      <c r="R3395" s="1" t="s">
        <v>44</v>
      </c>
      <c r="S3395" s="1" t="s">
        <v>94</v>
      </c>
      <c r="T3395" s="1" t="s">
        <v>71</v>
      </c>
      <c r="V3395" s="1" t="s">
        <v>7554</v>
      </c>
      <c r="Y3395" s="1" t="s">
        <v>247</v>
      </c>
      <c r="Z3395" s="1" t="str">
        <f t="shared" ref="Z3395:Z3458" si="159">C3395&amp;" "&amp;D3395</f>
        <v>56407 WCCT1B</v>
      </c>
      <c r="AA3395" s="3">
        <f>IF(INDEX('CAMD Facility Data 2023'!$AA$2:$AE$10000,MATCH(Z3395,'CAMD Facility Data 2023'!$AE$2:$AE$10000,0),1)&gt;0,INDEX('CAMD Facility Data 2023'!$AA$2:$AE$10000,MATCH(Z3395,'CAMD Facility Data 2023'!$AE$2:$AE$10000,0),1),"")</f>
        <v>39935</v>
      </c>
      <c r="AB3395" s="5">
        <f>IF(INDEX('CAMD Facility Data 2023'!$AC$2:$AE$10000,MATCH(Z3395,'CAMD Facility Data 2023'!$AE$2:$AE$10000,0),1)&gt;0,INDEX('CAMD Facility Data 2023'!$AC$2:$AE$10000,MATCH(Z3395,'CAMD Facility Data 2023'!$AE$2:$AE$10000,0),1),"")</f>
        <v>2958</v>
      </c>
      <c r="AC3395" s="1" t="str">
        <f>IF(INDEX('CAMD Facility Data 2023'!$AE$2:$AG$10000,MATCH(Z3395,'CAMD Facility Data 2023'!$AE$2:$AE$10000,0),3)&gt;0,INDEX('CAMD Facility Data 2023'!$AE$2:$AG$10000,MATCH(Z3395,'CAMD Facility Data 2023'!$AE$2:$AE$10000,0),3),"")</f>
        <v>Y</v>
      </c>
      <c r="AD3395" s="20">
        <f t="shared" ref="AD3395:AD3458" si="160">IF(ISNUMBER(O3395*2000/I3395),O3395*2000/I3395,"")</f>
        <v>4.9967933150733564E-2</v>
      </c>
      <c r="AE3395" s="25">
        <f t="shared" ref="AE3395:AE3458" si="161">Q3395/(AB3395*8760)</f>
        <v>0.51583780908363974</v>
      </c>
    </row>
    <row r="3396" spans="1:31" x14ac:dyDescent="0.2">
      <c r="A3396" s="1" t="s">
        <v>304</v>
      </c>
      <c r="B3396" s="1" t="s">
        <v>7552</v>
      </c>
      <c r="C3396" s="1">
        <v>56407</v>
      </c>
      <c r="D3396" s="1" t="s">
        <v>7558</v>
      </c>
      <c r="F3396" s="1">
        <v>2023</v>
      </c>
      <c r="G3396" s="5">
        <v>7581</v>
      </c>
      <c r="H3396" s="5">
        <v>7477.11</v>
      </c>
      <c r="I3396" s="5">
        <v>2736834.83</v>
      </c>
      <c r="K3396" s="5">
        <v>5.298</v>
      </c>
      <c r="L3396" s="5">
        <v>1E-3</v>
      </c>
      <c r="M3396" s="5">
        <v>1048310.692</v>
      </c>
      <c r="N3396" s="6">
        <v>5.8999999999999997E-2</v>
      </c>
      <c r="O3396" s="5">
        <v>67.328000000000003</v>
      </c>
      <c r="P3396" s="6">
        <v>9.4999999999999998E-3</v>
      </c>
      <c r="Q3396" s="5">
        <v>17633322.653000001</v>
      </c>
      <c r="R3396" s="1" t="s">
        <v>44</v>
      </c>
      <c r="S3396" s="1" t="s">
        <v>94</v>
      </c>
      <c r="T3396" s="1" t="s">
        <v>71</v>
      </c>
      <c r="V3396" s="1" t="s">
        <v>7554</v>
      </c>
      <c r="Y3396" s="1" t="s">
        <v>247</v>
      </c>
      <c r="Z3396" s="1" t="str">
        <f t="shared" si="159"/>
        <v>56407 WCCT1C</v>
      </c>
      <c r="AA3396" s="3">
        <f>IF(INDEX('CAMD Facility Data 2023'!$AA$2:$AE$10000,MATCH(Z3396,'CAMD Facility Data 2023'!$AE$2:$AE$10000,0),1)&gt;0,INDEX('CAMD Facility Data 2023'!$AA$2:$AE$10000,MATCH(Z3396,'CAMD Facility Data 2023'!$AE$2:$AE$10000,0),1),"")</f>
        <v>39922</v>
      </c>
      <c r="AB3396" s="5">
        <f>IF(INDEX('CAMD Facility Data 2023'!$AC$2:$AE$10000,MATCH(Z3396,'CAMD Facility Data 2023'!$AE$2:$AE$10000,0),1)&gt;0,INDEX('CAMD Facility Data 2023'!$AC$2:$AE$10000,MATCH(Z3396,'CAMD Facility Data 2023'!$AE$2:$AE$10000,0),1),"")</f>
        <v>2958</v>
      </c>
      <c r="AC3396" s="1" t="str">
        <f>IF(INDEX('CAMD Facility Data 2023'!$AE$2:$AG$10000,MATCH(Z3396,'CAMD Facility Data 2023'!$AE$2:$AE$10000,0),3)&gt;0,INDEX('CAMD Facility Data 2023'!$AE$2:$AG$10000,MATCH(Z3396,'CAMD Facility Data 2023'!$AE$2:$AE$10000,0),3),"")</f>
        <v>Y</v>
      </c>
      <c r="AD3396" s="20">
        <f t="shared" si="160"/>
        <v>4.9201361559696316E-2</v>
      </c>
      <c r="AE3396" s="25">
        <f t="shared" si="161"/>
        <v>0.68050587421002096</v>
      </c>
    </row>
    <row r="3397" spans="1:31" x14ac:dyDescent="0.2">
      <c r="A3397" s="1" t="s">
        <v>304</v>
      </c>
      <c r="B3397" s="1" t="s">
        <v>7552</v>
      </c>
      <c r="C3397" s="1">
        <v>56407</v>
      </c>
      <c r="D3397" s="1" t="s">
        <v>7560</v>
      </c>
      <c r="F3397" s="1">
        <v>2023</v>
      </c>
      <c r="G3397" s="5">
        <v>6525</v>
      </c>
      <c r="H3397" s="5">
        <v>6451.17</v>
      </c>
      <c r="I3397" s="5">
        <v>2309223.85</v>
      </c>
      <c r="K3397" s="5">
        <v>4.4249999999999998</v>
      </c>
      <c r="L3397" s="5">
        <v>1E-3</v>
      </c>
      <c r="M3397" s="5">
        <v>874898.174</v>
      </c>
      <c r="N3397" s="6">
        <v>5.8999999999999997E-2</v>
      </c>
      <c r="O3397" s="5">
        <v>56.66</v>
      </c>
      <c r="P3397" s="6">
        <v>9.2999999999999992E-3</v>
      </c>
      <c r="Q3397" s="5">
        <v>14713124.429</v>
      </c>
      <c r="R3397" s="1" t="s">
        <v>44</v>
      </c>
      <c r="S3397" s="1" t="s">
        <v>94</v>
      </c>
      <c r="T3397" s="1" t="s">
        <v>71</v>
      </c>
      <c r="V3397" s="1" t="s">
        <v>7554</v>
      </c>
      <c r="Y3397" s="1" t="s">
        <v>247</v>
      </c>
      <c r="Z3397" s="1" t="str">
        <f t="shared" si="159"/>
        <v>56407 WCCT2A</v>
      </c>
      <c r="AA3397" s="3">
        <f>IF(INDEX('CAMD Facility Data 2023'!$AA$2:$AE$10000,MATCH(Z3397,'CAMD Facility Data 2023'!$AE$2:$AE$10000,0),1)&gt;0,INDEX('CAMD Facility Data 2023'!$AA$2:$AE$10000,MATCH(Z3397,'CAMD Facility Data 2023'!$AE$2:$AE$10000,0),1),"")</f>
        <v>40080</v>
      </c>
      <c r="AB3397" s="5">
        <f>IF(INDEX('CAMD Facility Data 2023'!$AC$2:$AE$10000,MATCH(Z3397,'CAMD Facility Data 2023'!$AE$2:$AE$10000,0),1)&gt;0,INDEX('CAMD Facility Data 2023'!$AC$2:$AE$10000,MATCH(Z3397,'CAMD Facility Data 2023'!$AE$2:$AE$10000,0),1),"")</f>
        <v>2958</v>
      </c>
      <c r="AC3397" s="1" t="str">
        <f>IF(INDEX('CAMD Facility Data 2023'!$AE$2:$AG$10000,MATCH(Z3397,'CAMD Facility Data 2023'!$AE$2:$AE$10000,0),3)&gt;0,INDEX('CAMD Facility Data 2023'!$AE$2:$AG$10000,MATCH(Z3397,'CAMD Facility Data 2023'!$AE$2:$AE$10000,0),3),"")</f>
        <v>Y</v>
      </c>
      <c r="AD3397" s="20">
        <f t="shared" si="160"/>
        <v>4.9072765292979284E-2</v>
      </c>
      <c r="AE3397" s="25">
        <f t="shared" si="161"/>
        <v>0.56780947067931253</v>
      </c>
    </row>
    <row r="3398" spans="1:31" x14ac:dyDescent="0.2">
      <c r="A3398" s="1" t="s">
        <v>304</v>
      </c>
      <c r="B3398" s="1" t="s">
        <v>7552</v>
      </c>
      <c r="C3398" s="1">
        <v>56407</v>
      </c>
      <c r="D3398" s="1" t="s">
        <v>7562</v>
      </c>
      <c r="F3398" s="1">
        <v>2023</v>
      </c>
      <c r="G3398" s="5">
        <v>6959</v>
      </c>
      <c r="H3398" s="5">
        <v>6843.36</v>
      </c>
      <c r="I3398" s="5">
        <v>2477883.37</v>
      </c>
      <c r="K3398" s="5">
        <v>4.7729999999999997</v>
      </c>
      <c r="L3398" s="5">
        <v>1E-3</v>
      </c>
      <c r="M3398" s="5">
        <v>943992.83100000001</v>
      </c>
      <c r="N3398" s="6">
        <v>5.91E-2</v>
      </c>
      <c r="O3398" s="5">
        <v>62.741</v>
      </c>
      <c r="P3398" s="6">
        <v>1.0200000000000001E-2</v>
      </c>
      <c r="Q3398" s="5">
        <v>15876024.548</v>
      </c>
      <c r="R3398" s="1" t="s">
        <v>44</v>
      </c>
      <c r="S3398" s="1" t="s">
        <v>94</v>
      </c>
      <c r="T3398" s="1" t="s">
        <v>71</v>
      </c>
      <c r="V3398" s="1" t="s">
        <v>7554</v>
      </c>
      <c r="Y3398" s="1" t="s">
        <v>247</v>
      </c>
      <c r="Z3398" s="1" t="str">
        <f t="shared" si="159"/>
        <v>56407 WCCT2B</v>
      </c>
      <c r="AA3398" s="3">
        <f>IF(INDEX('CAMD Facility Data 2023'!$AA$2:$AE$10000,MATCH(Z3398,'CAMD Facility Data 2023'!$AE$2:$AE$10000,0),1)&gt;0,INDEX('CAMD Facility Data 2023'!$AA$2:$AE$10000,MATCH(Z3398,'CAMD Facility Data 2023'!$AE$2:$AE$10000,0),1),"")</f>
        <v>40065</v>
      </c>
      <c r="AB3398" s="5">
        <f>IF(INDEX('CAMD Facility Data 2023'!$AC$2:$AE$10000,MATCH(Z3398,'CAMD Facility Data 2023'!$AE$2:$AE$10000,0),1)&gt;0,INDEX('CAMD Facility Data 2023'!$AC$2:$AE$10000,MATCH(Z3398,'CAMD Facility Data 2023'!$AE$2:$AE$10000,0),1),"")</f>
        <v>2958</v>
      </c>
      <c r="AC3398" s="1" t="str">
        <f>IF(INDEX('CAMD Facility Data 2023'!$AE$2:$AG$10000,MATCH(Z3398,'CAMD Facility Data 2023'!$AE$2:$AE$10000,0),3)&gt;0,INDEX('CAMD Facility Data 2023'!$AE$2:$AG$10000,MATCH(Z3398,'CAMD Facility Data 2023'!$AE$2:$AE$10000,0),3),"")</f>
        <v>Y</v>
      </c>
      <c r="AD3398" s="20">
        <f t="shared" si="160"/>
        <v>5.0640801548298857E-2</v>
      </c>
      <c r="AE3398" s="25">
        <f t="shared" si="161"/>
        <v>0.61268815733819904</v>
      </c>
    </row>
    <row r="3399" spans="1:31" x14ac:dyDescent="0.2">
      <c r="A3399" s="1" t="s">
        <v>304</v>
      </c>
      <c r="B3399" s="1" t="s">
        <v>7552</v>
      </c>
      <c r="C3399" s="1">
        <v>56407</v>
      </c>
      <c r="D3399" s="1" t="s">
        <v>7564</v>
      </c>
      <c r="F3399" s="1">
        <v>2023</v>
      </c>
      <c r="G3399" s="5">
        <v>7268</v>
      </c>
      <c r="H3399" s="5">
        <v>7155</v>
      </c>
      <c r="I3399" s="5">
        <v>2589250.39</v>
      </c>
      <c r="K3399" s="5">
        <v>4.9930000000000003</v>
      </c>
      <c r="L3399" s="5">
        <v>1E-3</v>
      </c>
      <c r="M3399" s="5">
        <v>987870.53500000003</v>
      </c>
      <c r="N3399" s="6">
        <v>5.8999999999999997E-2</v>
      </c>
      <c r="O3399" s="5">
        <v>64.025999999999996</v>
      </c>
      <c r="P3399" s="6">
        <v>9.5999999999999992E-3</v>
      </c>
      <c r="Q3399" s="5">
        <v>16616161.655999999</v>
      </c>
      <c r="R3399" s="1" t="s">
        <v>44</v>
      </c>
      <c r="S3399" s="1" t="s">
        <v>94</v>
      </c>
      <c r="T3399" s="1" t="s">
        <v>71</v>
      </c>
      <c r="V3399" s="1" t="s">
        <v>7554</v>
      </c>
      <c r="Y3399" s="1" t="s">
        <v>247</v>
      </c>
      <c r="Z3399" s="1" t="str">
        <f t="shared" si="159"/>
        <v>56407 WCCT2C</v>
      </c>
      <c r="AA3399" s="3">
        <f>IF(INDEX('CAMD Facility Data 2023'!$AA$2:$AE$10000,MATCH(Z3399,'CAMD Facility Data 2023'!$AE$2:$AE$10000,0),1)&gt;0,INDEX('CAMD Facility Data 2023'!$AA$2:$AE$10000,MATCH(Z3399,'CAMD Facility Data 2023'!$AE$2:$AE$10000,0),1),"")</f>
        <v>40058</v>
      </c>
      <c r="AB3399" s="5">
        <f>IF(INDEX('CAMD Facility Data 2023'!$AC$2:$AE$10000,MATCH(Z3399,'CAMD Facility Data 2023'!$AE$2:$AE$10000,0),1)&gt;0,INDEX('CAMD Facility Data 2023'!$AC$2:$AE$10000,MATCH(Z3399,'CAMD Facility Data 2023'!$AE$2:$AE$10000,0),1),"")</f>
        <v>2958</v>
      </c>
      <c r="AC3399" s="1" t="str">
        <f>IF(INDEX('CAMD Facility Data 2023'!$AE$2:$AG$10000,MATCH(Z3399,'CAMD Facility Data 2023'!$AE$2:$AE$10000,0),3)&gt;0,INDEX('CAMD Facility Data 2023'!$AE$2:$AG$10000,MATCH(Z3399,'CAMD Facility Data 2023'!$AE$2:$AE$10000,0),3),"")</f>
        <v>Y</v>
      </c>
      <c r="AD3399" s="20">
        <f t="shared" si="160"/>
        <v>4.9455240209503253E-2</v>
      </c>
      <c r="AE3399" s="25">
        <f t="shared" si="161"/>
        <v>0.6412515574203228</v>
      </c>
    </row>
    <row r="3400" spans="1:31" x14ac:dyDescent="0.2">
      <c r="A3400" s="1" t="s">
        <v>304</v>
      </c>
      <c r="B3400" s="1" t="s">
        <v>7552</v>
      </c>
      <c r="C3400" s="1">
        <v>56407</v>
      </c>
      <c r="D3400" s="1" t="s">
        <v>7566</v>
      </c>
      <c r="F3400" s="1">
        <v>2023</v>
      </c>
      <c r="G3400" s="5">
        <v>5285</v>
      </c>
      <c r="H3400" s="5">
        <v>5152.7</v>
      </c>
      <c r="I3400" s="5">
        <v>1799536.93</v>
      </c>
      <c r="K3400" s="5">
        <v>3.5259999999999998</v>
      </c>
      <c r="L3400" s="5">
        <v>1E-3</v>
      </c>
      <c r="M3400" s="5">
        <v>696261.98699999996</v>
      </c>
      <c r="N3400" s="6">
        <v>5.91E-2</v>
      </c>
      <c r="O3400" s="5">
        <v>48.429000000000002</v>
      </c>
      <c r="P3400" s="6">
        <v>1.1299999999999999E-2</v>
      </c>
      <c r="Q3400" s="5">
        <v>11704341.332</v>
      </c>
      <c r="R3400" s="1" t="s">
        <v>44</v>
      </c>
      <c r="S3400" s="1" t="s">
        <v>94</v>
      </c>
      <c r="T3400" s="1" t="s">
        <v>71</v>
      </c>
      <c r="V3400" s="1" t="s">
        <v>7567</v>
      </c>
      <c r="Y3400" s="1" t="s">
        <v>247</v>
      </c>
      <c r="Z3400" s="1" t="str">
        <f t="shared" si="159"/>
        <v>56407 WCCT3A</v>
      </c>
      <c r="AA3400" s="3">
        <f>IF(INDEX('CAMD Facility Data 2023'!$AA$2:$AE$10000,MATCH(Z3400,'CAMD Facility Data 2023'!$AE$2:$AE$10000,0),1)&gt;0,INDEX('CAMD Facility Data 2023'!$AA$2:$AE$10000,MATCH(Z3400,'CAMD Facility Data 2023'!$AE$2:$AE$10000,0),1),"")</f>
        <v>40541</v>
      </c>
      <c r="AB3400" s="5">
        <f>IF(INDEX('CAMD Facility Data 2023'!$AC$2:$AE$10000,MATCH(Z3400,'CAMD Facility Data 2023'!$AE$2:$AE$10000,0),1)&gt;0,INDEX('CAMD Facility Data 2023'!$AC$2:$AE$10000,MATCH(Z3400,'CAMD Facility Data 2023'!$AE$2:$AE$10000,0),1),"")</f>
        <v>3098</v>
      </c>
      <c r="AC3400" s="1" t="str">
        <f>IF(INDEX('CAMD Facility Data 2023'!$AE$2:$AG$10000,MATCH(Z3400,'CAMD Facility Data 2023'!$AE$2:$AE$10000,0),3)&gt;0,INDEX('CAMD Facility Data 2023'!$AE$2:$AG$10000,MATCH(Z3400,'CAMD Facility Data 2023'!$AE$2:$AE$10000,0),3),"")</f>
        <v>Y</v>
      </c>
      <c r="AD3400" s="20">
        <f t="shared" si="160"/>
        <v>5.3823846782627575E-2</v>
      </c>
      <c r="AE3400" s="25">
        <f t="shared" si="161"/>
        <v>0.43128212530694426</v>
      </c>
    </row>
    <row r="3401" spans="1:31" x14ac:dyDescent="0.2">
      <c r="A3401" s="1" t="s">
        <v>304</v>
      </c>
      <c r="B3401" s="1" t="s">
        <v>7552</v>
      </c>
      <c r="C3401" s="1">
        <v>56407</v>
      </c>
      <c r="D3401" s="1" t="s">
        <v>7569</v>
      </c>
      <c r="F3401" s="1">
        <v>2023</v>
      </c>
      <c r="G3401" s="5">
        <v>5951</v>
      </c>
      <c r="H3401" s="5">
        <v>5910.43</v>
      </c>
      <c r="I3401" s="5">
        <v>2083701.38</v>
      </c>
      <c r="K3401" s="5">
        <v>4.0910000000000002</v>
      </c>
      <c r="L3401" s="5">
        <v>1E-3</v>
      </c>
      <c r="M3401" s="5">
        <v>809555.2</v>
      </c>
      <c r="N3401" s="6">
        <v>5.8999999999999997E-2</v>
      </c>
      <c r="O3401" s="5">
        <v>50.615000000000002</v>
      </c>
      <c r="P3401" s="6">
        <v>8.3999999999999995E-3</v>
      </c>
      <c r="Q3401" s="5">
        <v>13617345.798</v>
      </c>
      <c r="R3401" s="1" t="s">
        <v>44</v>
      </c>
      <c r="S3401" s="1" t="s">
        <v>94</v>
      </c>
      <c r="T3401" s="1" t="s">
        <v>71</v>
      </c>
      <c r="V3401" s="1" t="s">
        <v>7567</v>
      </c>
      <c r="Y3401" s="1" t="s">
        <v>247</v>
      </c>
      <c r="Z3401" s="1" t="str">
        <f t="shared" si="159"/>
        <v>56407 WCCT3B</v>
      </c>
      <c r="AA3401" s="3">
        <f>IF(INDEX('CAMD Facility Data 2023'!$AA$2:$AE$10000,MATCH(Z3401,'CAMD Facility Data 2023'!$AE$2:$AE$10000,0),1)&gt;0,INDEX('CAMD Facility Data 2023'!$AA$2:$AE$10000,MATCH(Z3401,'CAMD Facility Data 2023'!$AE$2:$AE$10000,0),1),"")</f>
        <v>40515</v>
      </c>
      <c r="AB3401" s="5">
        <f>IF(INDEX('CAMD Facility Data 2023'!$AC$2:$AE$10000,MATCH(Z3401,'CAMD Facility Data 2023'!$AE$2:$AE$10000,0),1)&gt;0,INDEX('CAMD Facility Data 2023'!$AC$2:$AE$10000,MATCH(Z3401,'CAMD Facility Data 2023'!$AE$2:$AE$10000,0),1),"")</f>
        <v>3098</v>
      </c>
      <c r="AC3401" s="1" t="str">
        <f>IF(INDEX('CAMD Facility Data 2023'!$AE$2:$AG$10000,MATCH(Z3401,'CAMD Facility Data 2023'!$AE$2:$AE$10000,0),3)&gt;0,INDEX('CAMD Facility Data 2023'!$AE$2:$AG$10000,MATCH(Z3401,'CAMD Facility Data 2023'!$AE$2:$AE$10000,0),3),"")</f>
        <v>Y</v>
      </c>
      <c r="AD3401" s="20">
        <f t="shared" si="160"/>
        <v>4.8581817419538306E-2</v>
      </c>
      <c r="AE3401" s="25">
        <f t="shared" si="161"/>
        <v>0.50177260472952057</v>
      </c>
    </row>
    <row r="3402" spans="1:31" x14ac:dyDescent="0.2">
      <c r="A3402" s="1" t="s">
        <v>304</v>
      </c>
      <c r="B3402" s="1" t="s">
        <v>7552</v>
      </c>
      <c r="C3402" s="1">
        <v>56407</v>
      </c>
      <c r="D3402" s="1" t="s">
        <v>7571</v>
      </c>
      <c r="F3402" s="1">
        <v>2023</v>
      </c>
      <c r="G3402" s="5">
        <v>5677</v>
      </c>
      <c r="H3402" s="5">
        <v>5603.21</v>
      </c>
      <c r="I3402" s="5">
        <v>1958188.54</v>
      </c>
      <c r="K3402" s="5">
        <v>3.778</v>
      </c>
      <c r="L3402" s="5">
        <v>1E-3</v>
      </c>
      <c r="M3402" s="5">
        <v>747045.83700000006</v>
      </c>
      <c r="N3402" s="6">
        <v>5.8999999999999997E-2</v>
      </c>
      <c r="O3402" s="5">
        <v>49.375999999999998</v>
      </c>
      <c r="P3402" s="6">
        <v>9.7999999999999997E-3</v>
      </c>
      <c r="Q3402" s="5">
        <v>12563184.26</v>
      </c>
      <c r="R3402" s="1" t="s">
        <v>44</v>
      </c>
      <c r="S3402" s="1" t="s">
        <v>94</v>
      </c>
      <c r="T3402" s="1" t="s">
        <v>71</v>
      </c>
      <c r="V3402" s="1" t="s">
        <v>7567</v>
      </c>
      <c r="Y3402" s="1" t="s">
        <v>247</v>
      </c>
      <c r="Z3402" s="1" t="str">
        <f t="shared" si="159"/>
        <v>56407 WCCT3C</v>
      </c>
      <c r="AA3402" s="3">
        <f>IF(INDEX('CAMD Facility Data 2023'!$AA$2:$AE$10000,MATCH(Z3402,'CAMD Facility Data 2023'!$AE$2:$AE$10000,0),1)&gt;0,INDEX('CAMD Facility Data 2023'!$AA$2:$AE$10000,MATCH(Z3402,'CAMD Facility Data 2023'!$AE$2:$AE$10000,0),1),"")</f>
        <v>40530</v>
      </c>
      <c r="AB3402" s="5">
        <f>IF(INDEX('CAMD Facility Data 2023'!$AC$2:$AE$10000,MATCH(Z3402,'CAMD Facility Data 2023'!$AE$2:$AE$10000,0),1)&gt;0,INDEX('CAMD Facility Data 2023'!$AC$2:$AE$10000,MATCH(Z3402,'CAMD Facility Data 2023'!$AE$2:$AE$10000,0),1),"")</f>
        <v>3098</v>
      </c>
      <c r="AC3402" s="1" t="str">
        <f>IF(INDEX('CAMD Facility Data 2023'!$AE$2:$AG$10000,MATCH(Z3402,'CAMD Facility Data 2023'!$AE$2:$AE$10000,0),3)&gt;0,INDEX('CAMD Facility Data 2023'!$AE$2:$AG$10000,MATCH(Z3402,'CAMD Facility Data 2023'!$AE$2:$AE$10000,0),3),"")</f>
        <v>Y</v>
      </c>
      <c r="AD3402" s="20">
        <f t="shared" si="160"/>
        <v>5.0430281856311952E-2</v>
      </c>
      <c r="AE3402" s="25">
        <f t="shared" si="161"/>
        <v>0.4629288103091993</v>
      </c>
    </row>
    <row r="3403" spans="1:31" x14ac:dyDescent="0.2">
      <c r="A3403" s="1" t="s">
        <v>516</v>
      </c>
      <c r="B3403" s="1" t="s">
        <v>7573</v>
      </c>
      <c r="C3403" s="1">
        <v>56445</v>
      </c>
      <c r="D3403" s="1" t="s">
        <v>6763</v>
      </c>
      <c r="F3403" s="1">
        <v>2023</v>
      </c>
      <c r="G3403" s="5">
        <v>829</v>
      </c>
      <c r="H3403" s="5">
        <v>767.52</v>
      </c>
      <c r="I3403" s="5">
        <v>82828.039999999994</v>
      </c>
      <c r="K3403" s="5">
        <v>0.26400000000000001</v>
      </c>
      <c r="L3403" s="5">
        <v>1.1000000000000001E-3</v>
      </c>
      <c r="M3403" s="5">
        <v>52181.328999999998</v>
      </c>
      <c r="N3403" s="6">
        <v>5.91E-2</v>
      </c>
      <c r="O3403" s="5">
        <v>24.802</v>
      </c>
      <c r="P3403" s="6">
        <v>6.7299999999999999E-2</v>
      </c>
      <c r="Q3403" s="5">
        <v>878087.44700000004</v>
      </c>
      <c r="R3403" s="1" t="s">
        <v>44</v>
      </c>
      <c r="S3403" s="1" t="s">
        <v>94</v>
      </c>
      <c r="T3403" s="1" t="s">
        <v>93</v>
      </c>
      <c r="V3403" s="1" t="s">
        <v>183</v>
      </c>
      <c r="Y3403" s="1" t="s">
        <v>247</v>
      </c>
      <c r="Z3403" s="1" t="str">
        <f t="shared" si="159"/>
        <v>56445 CT-01</v>
      </c>
      <c r="AA3403" s="3">
        <f>IF(INDEX('CAMD Facility Data 2023'!$AA$2:$AE$10000,MATCH(Z3403,'CAMD Facility Data 2023'!$AE$2:$AE$10000,0),1)&gt;0,INDEX('CAMD Facility Data 2023'!$AA$2:$AE$10000,MATCH(Z3403,'CAMD Facility Data 2023'!$AE$2:$AE$10000,0),1),"")</f>
        <v>39180</v>
      </c>
      <c r="AB3403" s="5">
        <f>IF(INDEX('CAMD Facility Data 2023'!$AC$2:$AE$10000,MATCH(Z3403,'CAMD Facility Data 2023'!$AE$2:$AE$10000,0),1)&gt;0,INDEX('CAMD Facility Data 2023'!$AC$2:$AE$10000,MATCH(Z3403,'CAMD Facility Data 2023'!$AE$2:$AE$10000,0),1),"")</f>
        <v>2707</v>
      </c>
      <c r="AC3403" s="1" t="str">
        <f>IF(INDEX('CAMD Facility Data 2023'!$AE$2:$AG$10000,MATCH(Z3403,'CAMD Facility Data 2023'!$AE$2:$AE$10000,0),3)&gt;0,INDEX('CAMD Facility Data 2023'!$AE$2:$AG$10000,MATCH(Z3403,'CAMD Facility Data 2023'!$AE$2:$AE$10000,0),3),"")</f>
        <v/>
      </c>
      <c r="AD3403" s="20">
        <f t="shared" si="160"/>
        <v>0.59887931671448469</v>
      </c>
      <c r="AE3403" s="25">
        <f t="shared" si="161"/>
        <v>3.7029291849475315E-2</v>
      </c>
    </row>
    <row r="3404" spans="1:31" x14ac:dyDescent="0.2">
      <c r="A3404" s="1" t="s">
        <v>516</v>
      </c>
      <c r="B3404" s="1" t="s">
        <v>7573</v>
      </c>
      <c r="C3404" s="1">
        <v>56445</v>
      </c>
      <c r="D3404" s="1" t="s">
        <v>6766</v>
      </c>
      <c r="F3404" s="1">
        <v>2023</v>
      </c>
      <c r="G3404" s="5">
        <v>1689</v>
      </c>
      <c r="H3404" s="5">
        <v>1560.35</v>
      </c>
      <c r="I3404" s="5">
        <v>173284.01</v>
      </c>
      <c r="K3404" s="5">
        <v>0.58499999999999996</v>
      </c>
      <c r="L3404" s="5">
        <v>1.1000000000000001E-3</v>
      </c>
      <c r="M3404" s="5">
        <v>111019.402</v>
      </c>
      <c r="N3404" s="6">
        <v>5.91E-2</v>
      </c>
      <c r="O3404" s="5">
        <v>41.524000000000001</v>
      </c>
      <c r="P3404" s="6">
        <v>5.2600000000000001E-2</v>
      </c>
      <c r="Q3404" s="5">
        <v>1867272.9550000001</v>
      </c>
      <c r="R3404" s="1" t="s">
        <v>44</v>
      </c>
      <c r="S3404" s="1" t="s">
        <v>94</v>
      </c>
      <c r="T3404" s="1" t="s">
        <v>93</v>
      </c>
      <c r="V3404" s="1" t="s">
        <v>183</v>
      </c>
      <c r="Y3404" s="1" t="s">
        <v>247</v>
      </c>
      <c r="Z3404" s="1" t="str">
        <f t="shared" si="159"/>
        <v>56445 CT-02</v>
      </c>
      <c r="AA3404" s="3">
        <f>IF(INDEX('CAMD Facility Data 2023'!$AA$2:$AE$10000,MATCH(Z3404,'CAMD Facility Data 2023'!$AE$2:$AE$10000,0),1)&gt;0,INDEX('CAMD Facility Data 2023'!$AA$2:$AE$10000,MATCH(Z3404,'CAMD Facility Data 2023'!$AE$2:$AE$10000,0),1),"")</f>
        <v>39193</v>
      </c>
      <c r="AB3404" s="5">
        <f>IF(INDEX('CAMD Facility Data 2023'!$AC$2:$AE$10000,MATCH(Z3404,'CAMD Facility Data 2023'!$AE$2:$AE$10000,0),1)&gt;0,INDEX('CAMD Facility Data 2023'!$AC$2:$AE$10000,MATCH(Z3404,'CAMD Facility Data 2023'!$AE$2:$AE$10000,0),1),"")</f>
        <v>2707</v>
      </c>
      <c r="AC3404" s="1" t="str">
        <f>IF(INDEX('CAMD Facility Data 2023'!$AE$2:$AG$10000,MATCH(Z3404,'CAMD Facility Data 2023'!$AE$2:$AE$10000,0),3)&gt;0,INDEX('CAMD Facility Data 2023'!$AE$2:$AG$10000,MATCH(Z3404,'CAMD Facility Data 2023'!$AE$2:$AE$10000,0),3),"")</f>
        <v/>
      </c>
      <c r="AD3404" s="20">
        <f t="shared" si="160"/>
        <v>0.47925945388729169</v>
      </c>
      <c r="AE3404" s="25">
        <f t="shared" si="161"/>
        <v>7.8743632481660095E-2</v>
      </c>
    </row>
    <row r="3405" spans="1:31" x14ac:dyDescent="0.2">
      <c r="A3405" s="1" t="s">
        <v>348</v>
      </c>
      <c r="B3405" s="1" t="s">
        <v>7578</v>
      </c>
      <c r="C3405" s="1">
        <v>56456</v>
      </c>
      <c r="D3405" s="1">
        <v>1</v>
      </c>
      <c r="F3405" s="1">
        <v>2023</v>
      </c>
      <c r="G3405" s="5">
        <v>7385</v>
      </c>
      <c r="H3405" s="5">
        <v>7375.86</v>
      </c>
      <c r="I3405" s="5">
        <v>3721291.34</v>
      </c>
      <c r="K3405" s="5">
        <v>2295.02</v>
      </c>
      <c r="L3405" s="5">
        <v>0.1285</v>
      </c>
      <c r="M3405" s="5">
        <v>3692584.12</v>
      </c>
      <c r="N3405" s="6">
        <v>0.1047</v>
      </c>
      <c r="O3405" s="5">
        <v>1313.674</v>
      </c>
      <c r="P3405" s="6">
        <v>7.3099999999999998E-2</v>
      </c>
      <c r="Q3405" s="5">
        <v>35215771.556000002</v>
      </c>
      <c r="R3405" s="1" t="s">
        <v>55</v>
      </c>
      <c r="T3405" s="1" t="s">
        <v>89</v>
      </c>
      <c r="U3405" s="1" t="s">
        <v>212</v>
      </c>
      <c r="V3405" s="1" t="s">
        <v>639</v>
      </c>
      <c r="W3405" s="1" t="s">
        <v>232</v>
      </c>
      <c r="X3405" s="1" t="s">
        <v>344</v>
      </c>
      <c r="Y3405" s="1" t="s">
        <v>337</v>
      </c>
      <c r="Z3405" s="1" t="str">
        <f t="shared" si="159"/>
        <v>56456 1</v>
      </c>
      <c r="AA3405" s="3">
        <f>IF(INDEX('CAMD Facility Data 2023'!$AA$2:$AE$10000,MATCH(Z3405,'CAMD Facility Data 2023'!$AE$2:$AE$10000,0),1)&gt;0,INDEX('CAMD Facility Data 2023'!$AA$2:$AE$10000,MATCH(Z3405,'CAMD Facility Data 2023'!$AE$2:$AE$10000,0),1),"")</f>
        <v>40263</v>
      </c>
      <c r="AB3405" s="5">
        <f>IF(INDEX('CAMD Facility Data 2023'!$AC$2:$AE$10000,MATCH(Z3405,'CAMD Facility Data 2023'!$AE$2:$AE$10000,0),1)&gt;0,INDEX('CAMD Facility Data 2023'!$AC$2:$AE$10000,MATCH(Z3405,'CAMD Facility Data 2023'!$AE$2:$AE$10000,0),1),"")</f>
        <v>8000</v>
      </c>
      <c r="AC3405" s="1" t="str">
        <f>IF(INDEX('CAMD Facility Data 2023'!$AE$2:$AG$10000,MATCH(Z3405,'CAMD Facility Data 2023'!$AE$2:$AE$10000,0),3)&gt;0,INDEX('CAMD Facility Data 2023'!$AE$2:$AG$10000,MATCH(Z3405,'CAMD Facility Data 2023'!$AE$2:$AE$10000,0),3),"")</f>
        <v>Y</v>
      </c>
      <c r="AD3405" s="20">
        <f t="shared" si="160"/>
        <v>0.70603125634339614</v>
      </c>
      <c r="AE3405" s="25">
        <f t="shared" si="161"/>
        <v>0.5025081557648402</v>
      </c>
    </row>
    <row r="3406" spans="1:31" x14ac:dyDescent="0.2">
      <c r="A3406" s="1" t="s">
        <v>2054</v>
      </c>
      <c r="B3406" s="1" t="s">
        <v>7581</v>
      </c>
      <c r="C3406" s="1">
        <v>56458</v>
      </c>
      <c r="D3406" s="1" t="s">
        <v>7582</v>
      </c>
      <c r="F3406" s="1">
        <v>2023</v>
      </c>
      <c r="G3406" s="5">
        <v>8128</v>
      </c>
      <c r="H3406" s="5">
        <v>8103.95</v>
      </c>
      <c r="I3406" s="5">
        <v>2041720.1</v>
      </c>
      <c r="K3406" s="5">
        <v>3.9329999999999998</v>
      </c>
      <c r="L3406" s="5">
        <v>8.0000000000000004E-4</v>
      </c>
      <c r="M3406" s="5">
        <v>888139.20900000003</v>
      </c>
      <c r="N3406" s="6">
        <v>5.8999999999999997E-2</v>
      </c>
      <c r="O3406" s="5">
        <v>46.997</v>
      </c>
      <c r="P3406" s="6">
        <v>7.0000000000000001E-3</v>
      </c>
      <c r="Q3406" s="5">
        <v>14944681.217</v>
      </c>
      <c r="R3406" s="1" t="s">
        <v>44</v>
      </c>
      <c r="T3406" s="1" t="s">
        <v>71</v>
      </c>
      <c r="V3406" s="1" t="s">
        <v>64</v>
      </c>
      <c r="Y3406" s="1" t="s">
        <v>247</v>
      </c>
      <c r="Z3406" s="1" t="str">
        <f t="shared" si="159"/>
        <v>56458 HOBB1</v>
      </c>
      <c r="AA3406" s="3">
        <f>IF(INDEX('CAMD Facility Data 2023'!$AA$2:$AE$10000,MATCH(Z3406,'CAMD Facility Data 2023'!$AE$2:$AE$10000,0),1)&gt;0,INDEX('CAMD Facility Data 2023'!$AA$2:$AE$10000,MATCH(Z3406,'CAMD Facility Data 2023'!$AE$2:$AE$10000,0),1),"")</f>
        <v>39621</v>
      </c>
      <c r="AB3406" s="5">
        <f>IF(INDEX('CAMD Facility Data 2023'!$AC$2:$AE$10000,MATCH(Z3406,'CAMD Facility Data 2023'!$AE$2:$AE$10000,0),1)&gt;0,INDEX('CAMD Facility Data 2023'!$AC$2:$AE$10000,MATCH(Z3406,'CAMD Facility Data 2023'!$AE$2:$AE$10000,0),1),"")</f>
        <v>2620.1999999999998</v>
      </c>
      <c r="AC3406" s="1" t="str">
        <f>IF(INDEX('CAMD Facility Data 2023'!$AE$2:$AG$10000,MATCH(Z3406,'CAMD Facility Data 2023'!$AE$2:$AE$10000,0),3)&gt;0,INDEX('CAMD Facility Data 2023'!$AE$2:$AG$10000,MATCH(Z3406,'CAMD Facility Data 2023'!$AE$2:$AE$10000,0),3),"")</f>
        <v>Y</v>
      </c>
      <c r="AD3406" s="20">
        <f t="shared" si="160"/>
        <v>4.6036672705529025E-2</v>
      </c>
      <c r="AE3406" s="25">
        <f t="shared" si="161"/>
        <v>0.65110061734107227</v>
      </c>
    </row>
    <row r="3407" spans="1:31" x14ac:dyDescent="0.2">
      <c r="A3407" s="1" t="s">
        <v>2054</v>
      </c>
      <c r="B3407" s="1" t="s">
        <v>7581</v>
      </c>
      <c r="C3407" s="1">
        <v>56458</v>
      </c>
      <c r="D3407" s="1" t="s">
        <v>7586</v>
      </c>
      <c r="F3407" s="1">
        <v>2023</v>
      </c>
      <c r="G3407" s="5">
        <v>7996</v>
      </c>
      <c r="H3407" s="5">
        <v>7962.7</v>
      </c>
      <c r="I3407" s="5">
        <v>2000800.88</v>
      </c>
      <c r="K3407" s="5">
        <v>3.8570000000000002</v>
      </c>
      <c r="L3407" s="5">
        <v>8.0000000000000004E-4</v>
      </c>
      <c r="M3407" s="5">
        <v>871347.299</v>
      </c>
      <c r="N3407" s="6">
        <v>5.8999999999999997E-2</v>
      </c>
      <c r="O3407" s="5">
        <v>47.927999999999997</v>
      </c>
      <c r="P3407" s="6">
        <v>7.6E-3</v>
      </c>
      <c r="Q3407" s="5">
        <v>14662109.5</v>
      </c>
      <c r="R3407" s="1" t="s">
        <v>44</v>
      </c>
      <c r="T3407" s="1" t="s">
        <v>71</v>
      </c>
      <c r="V3407" s="1" t="s">
        <v>64</v>
      </c>
      <c r="Y3407" s="1" t="s">
        <v>247</v>
      </c>
      <c r="Z3407" s="1" t="str">
        <f t="shared" si="159"/>
        <v>56458 HOBB2</v>
      </c>
      <c r="AA3407" s="3">
        <f>IF(INDEX('CAMD Facility Data 2023'!$AA$2:$AE$10000,MATCH(Z3407,'CAMD Facility Data 2023'!$AE$2:$AE$10000,0),1)&gt;0,INDEX('CAMD Facility Data 2023'!$AA$2:$AE$10000,MATCH(Z3407,'CAMD Facility Data 2023'!$AE$2:$AE$10000,0),1),"")</f>
        <v>39633</v>
      </c>
      <c r="AB3407" s="5">
        <f>IF(INDEX('CAMD Facility Data 2023'!$AC$2:$AE$10000,MATCH(Z3407,'CAMD Facility Data 2023'!$AE$2:$AE$10000,0),1)&gt;0,INDEX('CAMD Facility Data 2023'!$AC$2:$AE$10000,MATCH(Z3407,'CAMD Facility Data 2023'!$AE$2:$AE$10000,0),1),"")</f>
        <v>2597.1999999999998</v>
      </c>
      <c r="AC3407" s="1" t="str">
        <f>IF(INDEX('CAMD Facility Data 2023'!$AE$2:$AG$10000,MATCH(Z3407,'CAMD Facility Data 2023'!$AE$2:$AE$10000,0),3)&gt;0,INDEX('CAMD Facility Data 2023'!$AE$2:$AG$10000,MATCH(Z3407,'CAMD Facility Data 2023'!$AE$2:$AE$10000,0),3),"")</f>
        <v>Y</v>
      </c>
      <c r="AD3407" s="20">
        <f t="shared" si="160"/>
        <v>4.7908815393963647E-2</v>
      </c>
      <c r="AE3407" s="25">
        <f t="shared" si="161"/>
        <v>0.64444663184869977</v>
      </c>
    </row>
    <row r="3408" spans="1:31" x14ac:dyDescent="0.2">
      <c r="A3408" s="1" t="s">
        <v>370</v>
      </c>
      <c r="B3408" s="1" t="s">
        <v>7588</v>
      </c>
      <c r="C3408" s="1">
        <v>56467</v>
      </c>
      <c r="D3408" s="1" t="s">
        <v>311</v>
      </c>
      <c r="F3408" s="1">
        <v>2023</v>
      </c>
      <c r="G3408" s="5">
        <v>3798</v>
      </c>
      <c r="H3408" s="5">
        <v>3610.36</v>
      </c>
      <c r="I3408" s="5">
        <v>916529.99</v>
      </c>
      <c r="K3408" s="5">
        <v>1.98</v>
      </c>
      <c r="L3408" s="5">
        <v>1E-3</v>
      </c>
      <c r="M3408" s="5">
        <v>392253.04499999998</v>
      </c>
      <c r="N3408" s="6">
        <v>5.8999999999999997E-2</v>
      </c>
      <c r="O3408" s="5">
        <v>23.138999999999999</v>
      </c>
      <c r="P3408" s="6">
        <v>8.6999999999999994E-3</v>
      </c>
      <c r="Q3408" s="5">
        <v>6600430.9469999997</v>
      </c>
      <c r="R3408" s="1" t="s">
        <v>44</v>
      </c>
      <c r="T3408" s="1" t="s">
        <v>71</v>
      </c>
      <c r="V3408" s="1" t="s">
        <v>64</v>
      </c>
      <c r="Y3408" s="1" t="s">
        <v>247</v>
      </c>
      <c r="Z3408" s="1" t="str">
        <f t="shared" si="159"/>
        <v>56467 CT1</v>
      </c>
      <c r="AA3408" s="3">
        <f>IF(INDEX('CAMD Facility Data 2023'!$AA$2:$AE$10000,MATCH(Z3408,'CAMD Facility Data 2023'!$AE$2:$AE$10000,0),1)&gt;0,INDEX('CAMD Facility Data 2023'!$AA$2:$AE$10000,MATCH(Z3408,'CAMD Facility Data 2023'!$AE$2:$AE$10000,0),1),"")</f>
        <v>41475</v>
      </c>
      <c r="AB3408" s="5">
        <f>IF(INDEX('CAMD Facility Data 2023'!$AC$2:$AE$10000,MATCH(Z3408,'CAMD Facility Data 2023'!$AE$2:$AE$10000,0),1)&gt;0,INDEX('CAMD Facility Data 2023'!$AC$2:$AE$10000,MATCH(Z3408,'CAMD Facility Data 2023'!$AE$2:$AE$10000,0),1),"")</f>
        <v>2238.6</v>
      </c>
      <c r="AC3408" s="1" t="str">
        <f>IF(INDEX('CAMD Facility Data 2023'!$AE$2:$AG$10000,MATCH(Z3408,'CAMD Facility Data 2023'!$AE$2:$AE$10000,0),3)&gt;0,INDEX('CAMD Facility Data 2023'!$AE$2:$AG$10000,MATCH(Z3408,'CAMD Facility Data 2023'!$AE$2:$AE$10000,0),3),"")</f>
        <v>Y</v>
      </c>
      <c r="AD3408" s="20">
        <f t="shared" si="160"/>
        <v>5.0492619450455738E-2</v>
      </c>
      <c r="AE3408" s="25">
        <f t="shared" si="161"/>
        <v>0.33658261967178604</v>
      </c>
    </row>
    <row r="3409" spans="1:31" x14ac:dyDescent="0.2">
      <c r="A3409" s="1" t="s">
        <v>370</v>
      </c>
      <c r="B3409" s="1" t="s">
        <v>7588</v>
      </c>
      <c r="C3409" s="1">
        <v>56467</v>
      </c>
      <c r="D3409" s="1" t="s">
        <v>98</v>
      </c>
      <c r="F3409" s="1">
        <v>2023</v>
      </c>
      <c r="G3409" s="5">
        <v>3905</v>
      </c>
      <c r="H3409" s="5">
        <v>3710.33</v>
      </c>
      <c r="I3409" s="5">
        <v>938094.12</v>
      </c>
      <c r="K3409" s="5">
        <v>2.008</v>
      </c>
      <c r="L3409" s="5">
        <v>1E-3</v>
      </c>
      <c r="M3409" s="5">
        <v>397728.723</v>
      </c>
      <c r="N3409" s="6">
        <v>5.8999999999999997E-2</v>
      </c>
      <c r="O3409" s="5">
        <v>24.719000000000001</v>
      </c>
      <c r="P3409" s="6">
        <v>9.4999999999999998E-3</v>
      </c>
      <c r="Q3409" s="5">
        <v>6692503.5240000002</v>
      </c>
      <c r="R3409" s="1" t="s">
        <v>44</v>
      </c>
      <c r="T3409" s="1" t="s">
        <v>71</v>
      </c>
      <c r="V3409" s="1" t="s">
        <v>64</v>
      </c>
      <c r="Y3409" s="1" t="s">
        <v>247</v>
      </c>
      <c r="Z3409" s="1" t="str">
        <f t="shared" si="159"/>
        <v>56467 CT2</v>
      </c>
      <c r="AA3409" s="3">
        <f>IF(INDEX('CAMD Facility Data 2023'!$AA$2:$AE$10000,MATCH(Z3409,'CAMD Facility Data 2023'!$AE$2:$AE$10000,0),1)&gt;0,INDEX('CAMD Facility Data 2023'!$AA$2:$AE$10000,MATCH(Z3409,'CAMD Facility Data 2023'!$AE$2:$AE$10000,0),1),"")</f>
        <v>41475</v>
      </c>
      <c r="AB3409" s="5">
        <f>IF(INDEX('CAMD Facility Data 2023'!$AC$2:$AE$10000,MATCH(Z3409,'CAMD Facility Data 2023'!$AE$2:$AE$10000,0),1)&gt;0,INDEX('CAMD Facility Data 2023'!$AC$2:$AE$10000,MATCH(Z3409,'CAMD Facility Data 2023'!$AE$2:$AE$10000,0),1),"")</f>
        <v>2238.6</v>
      </c>
      <c r="AC3409" s="1" t="str">
        <f>IF(INDEX('CAMD Facility Data 2023'!$AE$2:$AG$10000,MATCH(Z3409,'CAMD Facility Data 2023'!$AE$2:$AE$10000,0),3)&gt;0,INDEX('CAMD Facility Data 2023'!$AE$2:$AG$10000,MATCH(Z3409,'CAMD Facility Data 2023'!$AE$2:$AE$10000,0),3),"")</f>
        <v>Y</v>
      </c>
      <c r="AD3409" s="20">
        <f t="shared" si="160"/>
        <v>5.2700468903909128E-2</v>
      </c>
      <c r="AE3409" s="25">
        <f t="shared" si="161"/>
        <v>0.34127777206644566</v>
      </c>
    </row>
    <row r="3410" spans="1:31" x14ac:dyDescent="0.2">
      <c r="A3410" s="1" t="s">
        <v>370</v>
      </c>
      <c r="B3410" s="1" t="s">
        <v>7594</v>
      </c>
      <c r="C3410" s="1">
        <v>56471</v>
      </c>
      <c r="D3410" s="1" t="s">
        <v>311</v>
      </c>
      <c r="F3410" s="1">
        <v>2023</v>
      </c>
      <c r="G3410" s="5">
        <v>384</v>
      </c>
      <c r="H3410" s="5">
        <v>293.19</v>
      </c>
      <c r="I3410" s="5">
        <v>12385.81</v>
      </c>
      <c r="K3410" s="5">
        <v>3.5999999999999997E-2</v>
      </c>
      <c r="L3410" s="5">
        <v>1E-3</v>
      </c>
      <c r="M3410" s="5">
        <v>7186.2809999999999</v>
      </c>
      <c r="N3410" s="6">
        <v>5.9200000000000003E-2</v>
      </c>
      <c r="O3410" s="5">
        <v>0.623</v>
      </c>
      <c r="P3410" s="6">
        <v>1.7999999999999999E-2</v>
      </c>
      <c r="Q3410" s="5">
        <v>120927.473</v>
      </c>
      <c r="R3410" s="1" t="s">
        <v>44</v>
      </c>
      <c r="T3410" s="1" t="s">
        <v>93</v>
      </c>
      <c r="V3410" s="1" t="s">
        <v>64</v>
      </c>
      <c r="Y3410" s="1" t="s">
        <v>247</v>
      </c>
      <c r="Z3410" s="1" t="str">
        <f t="shared" si="159"/>
        <v>56471 CT1</v>
      </c>
      <c r="AA3410" s="3">
        <f>IF(INDEX('CAMD Facility Data 2023'!$AA$2:$AE$10000,MATCH(Z3410,'CAMD Facility Data 2023'!$AE$2:$AE$10000,0),1)&gt;0,INDEX('CAMD Facility Data 2023'!$AA$2:$AE$10000,MATCH(Z3410,'CAMD Facility Data 2023'!$AE$2:$AE$10000,0),1),"")</f>
        <v>41214</v>
      </c>
      <c r="AB3410" s="5">
        <f>IF(INDEX('CAMD Facility Data 2023'!$AC$2:$AE$10000,MATCH(Z3410,'CAMD Facility Data 2023'!$AE$2:$AE$10000,0),1)&gt;0,INDEX('CAMD Facility Data 2023'!$AC$2:$AE$10000,MATCH(Z3410,'CAMD Facility Data 2023'!$AE$2:$AE$10000,0),1),"")</f>
        <v>640</v>
      </c>
      <c r="AC3410" s="1" t="str">
        <f>IF(INDEX('CAMD Facility Data 2023'!$AE$2:$AG$10000,MATCH(Z3410,'CAMD Facility Data 2023'!$AE$2:$AE$10000,0),3)&gt;0,INDEX('CAMD Facility Data 2023'!$AE$2:$AG$10000,MATCH(Z3410,'CAMD Facility Data 2023'!$AE$2:$AE$10000,0),3),"")</f>
        <v>Y</v>
      </c>
      <c r="AD3410" s="20">
        <f t="shared" si="160"/>
        <v>0.1005989919109045</v>
      </c>
      <c r="AE3410" s="25">
        <f t="shared" si="161"/>
        <v>2.1569540703481736E-2</v>
      </c>
    </row>
    <row r="3411" spans="1:31" x14ac:dyDescent="0.2">
      <c r="A3411" s="1" t="s">
        <v>370</v>
      </c>
      <c r="B3411" s="1" t="s">
        <v>7596</v>
      </c>
      <c r="C3411" s="1">
        <v>56472</v>
      </c>
      <c r="D3411" s="1" t="s">
        <v>311</v>
      </c>
      <c r="F3411" s="1">
        <v>2023</v>
      </c>
      <c r="G3411" s="5">
        <v>319</v>
      </c>
      <c r="H3411" s="5">
        <v>196.94</v>
      </c>
      <c r="I3411" s="5">
        <v>5791.48</v>
      </c>
      <c r="K3411" s="5">
        <v>1.9E-2</v>
      </c>
      <c r="L3411" s="5">
        <v>1E-3</v>
      </c>
      <c r="M3411" s="5">
        <v>3694.877</v>
      </c>
      <c r="N3411" s="6">
        <v>5.9400000000000001E-2</v>
      </c>
      <c r="O3411" s="5">
        <v>0.56699999999999995</v>
      </c>
      <c r="P3411" s="6">
        <v>3.2000000000000001E-2</v>
      </c>
      <c r="Q3411" s="5">
        <v>62159.680999999997</v>
      </c>
      <c r="R3411" s="1" t="s">
        <v>44</v>
      </c>
      <c r="T3411" s="1" t="s">
        <v>93</v>
      </c>
      <c r="V3411" s="1" t="s">
        <v>140</v>
      </c>
      <c r="Y3411" s="1" t="s">
        <v>247</v>
      </c>
      <c r="Z3411" s="1" t="str">
        <f t="shared" si="159"/>
        <v>56472 CT1</v>
      </c>
      <c r="AA3411" s="3">
        <f>IF(INDEX('CAMD Facility Data 2023'!$AA$2:$AE$10000,MATCH(Z3411,'CAMD Facility Data 2023'!$AE$2:$AE$10000,0),1)&gt;0,INDEX('CAMD Facility Data 2023'!$AA$2:$AE$10000,MATCH(Z3411,'CAMD Facility Data 2023'!$AE$2:$AE$10000,0),1),"")</f>
        <v>39342</v>
      </c>
      <c r="AB3411" s="5">
        <f>IF(INDEX('CAMD Facility Data 2023'!$AC$2:$AE$10000,MATCH(Z3411,'CAMD Facility Data 2023'!$AE$2:$AE$10000,0),1)&gt;0,INDEX('CAMD Facility Data 2023'!$AC$2:$AE$10000,MATCH(Z3411,'CAMD Facility Data 2023'!$AE$2:$AE$10000,0),1),"")</f>
        <v>505.7</v>
      </c>
      <c r="AC3411" s="1" t="str">
        <f>IF(INDEX('CAMD Facility Data 2023'!$AE$2:$AG$10000,MATCH(Z3411,'CAMD Facility Data 2023'!$AE$2:$AE$10000,0),3)&gt;0,INDEX('CAMD Facility Data 2023'!$AE$2:$AG$10000,MATCH(Z3411,'CAMD Facility Data 2023'!$AE$2:$AE$10000,0),3),"")</f>
        <v/>
      </c>
      <c r="AD3411" s="20">
        <f t="shared" si="160"/>
        <v>0.19580487198436325</v>
      </c>
      <c r="AE3411" s="25">
        <f t="shared" si="161"/>
        <v>1.4031746085492959E-2</v>
      </c>
    </row>
    <row r="3412" spans="1:31" x14ac:dyDescent="0.2">
      <c r="A3412" s="1" t="s">
        <v>370</v>
      </c>
      <c r="B3412" s="1" t="s">
        <v>7598</v>
      </c>
      <c r="C3412" s="1">
        <v>56473</v>
      </c>
      <c r="D3412" s="1" t="s">
        <v>311</v>
      </c>
      <c r="F3412" s="1">
        <v>2023</v>
      </c>
      <c r="G3412" s="5">
        <v>364</v>
      </c>
      <c r="H3412" s="5">
        <v>280.7</v>
      </c>
      <c r="I3412" s="5">
        <v>12052.76</v>
      </c>
      <c r="K3412" s="5">
        <v>3.5999999999999997E-2</v>
      </c>
      <c r="L3412" s="5">
        <v>1E-3</v>
      </c>
      <c r="M3412" s="5">
        <v>7059.0649999999996</v>
      </c>
      <c r="N3412" s="6">
        <v>5.9200000000000003E-2</v>
      </c>
      <c r="O3412" s="5">
        <v>0.45500000000000002</v>
      </c>
      <c r="P3412" s="6">
        <v>2.1299999999999999E-2</v>
      </c>
      <c r="Q3412" s="5">
        <v>118782.764</v>
      </c>
      <c r="R3412" s="1" t="s">
        <v>44</v>
      </c>
      <c r="T3412" s="1" t="s">
        <v>93</v>
      </c>
      <c r="V3412" s="1" t="s">
        <v>643</v>
      </c>
      <c r="Y3412" s="1" t="s">
        <v>247</v>
      </c>
      <c r="Z3412" s="1" t="str">
        <f t="shared" si="159"/>
        <v>56473 CT1</v>
      </c>
      <c r="AA3412" s="3">
        <f>IF(INDEX('CAMD Facility Data 2023'!$AA$2:$AE$10000,MATCH(Z3412,'CAMD Facility Data 2023'!$AE$2:$AE$10000,0),1)&gt;0,INDEX('CAMD Facility Data 2023'!$AA$2:$AE$10000,MATCH(Z3412,'CAMD Facility Data 2023'!$AE$2:$AE$10000,0),1),"")</f>
        <v>39342</v>
      </c>
      <c r="AB3412" s="5">
        <f>IF(INDEX('CAMD Facility Data 2023'!$AC$2:$AE$10000,MATCH(Z3412,'CAMD Facility Data 2023'!$AE$2:$AE$10000,0),1)&gt;0,INDEX('CAMD Facility Data 2023'!$AC$2:$AE$10000,MATCH(Z3412,'CAMD Facility Data 2023'!$AE$2:$AE$10000,0),1),"")</f>
        <v>511.5</v>
      </c>
      <c r="AC3412" s="1" t="str">
        <f>IF(INDEX('CAMD Facility Data 2023'!$AE$2:$AG$10000,MATCH(Z3412,'CAMD Facility Data 2023'!$AE$2:$AE$10000,0),3)&gt;0,INDEX('CAMD Facility Data 2023'!$AE$2:$AG$10000,MATCH(Z3412,'CAMD Facility Data 2023'!$AE$2:$AE$10000,0),3),"")</f>
        <v>Y</v>
      </c>
      <c r="AD3412" s="20">
        <f t="shared" si="160"/>
        <v>7.5501378937272462E-2</v>
      </c>
      <c r="AE3412" s="25">
        <f t="shared" si="161"/>
        <v>2.6509630998451147E-2</v>
      </c>
    </row>
    <row r="3413" spans="1:31" x14ac:dyDescent="0.2">
      <c r="A3413" s="1" t="s">
        <v>370</v>
      </c>
      <c r="B3413" s="1" t="s">
        <v>7599</v>
      </c>
      <c r="C3413" s="1">
        <v>56474</v>
      </c>
      <c r="D3413" s="1" t="s">
        <v>311</v>
      </c>
      <c r="F3413" s="1">
        <v>2023</v>
      </c>
      <c r="G3413" s="5">
        <v>1019</v>
      </c>
      <c r="H3413" s="5">
        <v>815.29</v>
      </c>
      <c r="I3413" s="5">
        <v>21967.25</v>
      </c>
      <c r="K3413" s="5">
        <v>7.2999999999999995E-2</v>
      </c>
      <c r="L3413" s="5">
        <v>1E-3</v>
      </c>
      <c r="M3413" s="5">
        <v>14438.486000000001</v>
      </c>
      <c r="N3413" s="6">
        <v>5.9299999999999999E-2</v>
      </c>
      <c r="O3413" s="5">
        <v>0.91100000000000003</v>
      </c>
      <c r="P3413" s="6">
        <v>1.34E-2</v>
      </c>
      <c r="Q3413" s="5">
        <v>242956.22399999999</v>
      </c>
      <c r="R3413" s="1" t="s">
        <v>44</v>
      </c>
      <c r="T3413" s="1" t="s">
        <v>93</v>
      </c>
      <c r="V3413" s="1" t="s">
        <v>643</v>
      </c>
      <c r="Y3413" s="1" t="s">
        <v>247</v>
      </c>
      <c r="Z3413" s="1" t="str">
        <f t="shared" si="159"/>
        <v>56474 CT1</v>
      </c>
      <c r="AA3413" s="3">
        <f>IF(INDEX('CAMD Facility Data 2023'!$AA$2:$AE$10000,MATCH(Z3413,'CAMD Facility Data 2023'!$AE$2:$AE$10000,0),1)&gt;0,INDEX('CAMD Facility Data 2023'!$AA$2:$AE$10000,MATCH(Z3413,'CAMD Facility Data 2023'!$AE$2:$AE$10000,0),1),"")</f>
        <v>39342</v>
      </c>
      <c r="AB3413" s="5">
        <f>IF(INDEX('CAMD Facility Data 2023'!$AC$2:$AE$10000,MATCH(Z3413,'CAMD Facility Data 2023'!$AE$2:$AE$10000,0),1)&gt;0,INDEX('CAMD Facility Data 2023'!$AC$2:$AE$10000,MATCH(Z3413,'CAMD Facility Data 2023'!$AE$2:$AE$10000,0),1),"")</f>
        <v>522</v>
      </c>
      <c r="AC3413" s="1" t="str">
        <f>IF(INDEX('CAMD Facility Data 2023'!$AE$2:$AG$10000,MATCH(Z3413,'CAMD Facility Data 2023'!$AE$2:$AE$10000,0),3)&gt;0,INDEX('CAMD Facility Data 2023'!$AE$2:$AG$10000,MATCH(Z3413,'CAMD Facility Data 2023'!$AE$2:$AE$10000,0),3),"")</f>
        <v>Y</v>
      </c>
      <c r="AD3413" s="20">
        <f t="shared" si="160"/>
        <v>8.2941651777077241E-2</v>
      </c>
      <c r="AE3413" s="25">
        <f t="shared" si="161"/>
        <v>5.3131664304833882E-2</v>
      </c>
    </row>
    <row r="3414" spans="1:31" x14ac:dyDescent="0.2">
      <c r="A3414" s="1" t="s">
        <v>370</v>
      </c>
      <c r="B3414" s="1" t="s">
        <v>7600</v>
      </c>
      <c r="C3414" s="1">
        <v>56475</v>
      </c>
      <c r="D3414" s="1" t="s">
        <v>311</v>
      </c>
      <c r="F3414" s="1">
        <v>2023</v>
      </c>
      <c r="G3414" s="5">
        <v>300</v>
      </c>
      <c r="H3414" s="5">
        <v>185.64</v>
      </c>
      <c r="I3414" s="5">
        <v>5967.43</v>
      </c>
      <c r="K3414" s="5">
        <v>1.9E-2</v>
      </c>
      <c r="L3414" s="5">
        <v>1E-3</v>
      </c>
      <c r="M3414" s="5">
        <v>3704.47</v>
      </c>
      <c r="N3414" s="6">
        <v>5.9299999999999999E-2</v>
      </c>
      <c r="O3414" s="5">
        <v>0.32100000000000001</v>
      </c>
      <c r="P3414" s="6">
        <v>1.2999999999999999E-2</v>
      </c>
      <c r="Q3414" s="5">
        <v>62330.588000000003</v>
      </c>
      <c r="R3414" s="1" t="s">
        <v>44</v>
      </c>
      <c r="T3414" s="1" t="s">
        <v>93</v>
      </c>
      <c r="V3414" s="1" t="s">
        <v>140</v>
      </c>
      <c r="Y3414" s="1" t="s">
        <v>247</v>
      </c>
      <c r="Z3414" s="1" t="str">
        <f t="shared" si="159"/>
        <v>56475 CT1</v>
      </c>
      <c r="AA3414" s="3">
        <f>IF(INDEX('CAMD Facility Data 2023'!$AA$2:$AE$10000,MATCH(Z3414,'CAMD Facility Data 2023'!$AE$2:$AE$10000,0),1)&gt;0,INDEX('CAMD Facility Data 2023'!$AA$2:$AE$10000,MATCH(Z3414,'CAMD Facility Data 2023'!$AE$2:$AE$10000,0),1),"")</f>
        <v>39342</v>
      </c>
      <c r="AB3414" s="5">
        <f>IF(INDEX('CAMD Facility Data 2023'!$AC$2:$AE$10000,MATCH(Z3414,'CAMD Facility Data 2023'!$AE$2:$AE$10000,0),1)&gt;0,INDEX('CAMD Facility Data 2023'!$AC$2:$AE$10000,MATCH(Z3414,'CAMD Facility Data 2023'!$AE$2:$AE$10000,0),1),"")</f>
        <v>505</v>
      </c>
      <c r="AC3414" s="1" t="str">
        <f>IF(INDEX('CAMD Facility Data 2023'!$AE$2:$AG$10000,MATCH(Z3414,'CAMD Facility Data 2023'!$AE$2:$AE$10000,0),3)&gt;0,INDEX('CAMD Facility Data 2023'!$AE$2:$AG$10000,MATCH(Z3414,'CAMD Facility Data 2023'!$AE$2:$AE$10000,0),3),"")</f>
        <v/>
      </c>
      <c r="AD3414" s="20">
        <f t="shared" si="160"/>
        <v>0.10758400182323043</v>
      </c>
      <c r="AE3414" s="25">
        <f t="shared" si="161"/>
        <v>1.4089829558298296E-2</v>
      </c>
    </row>
    <row r="3415" spans="1:31" x14ac:dyDescent="0.2">
      <c r="A3415" s="1" t="s">
        <v>370</v>
      </c>
      <c r="B3415" s="1" t="s">
        <v>7601</v>
      </c>
      <c r="C3415" s="1">
        <v>56476</v>
      </c>
      <c r="D3415" s="1" t="s">
        <v>280</v>
      </c>
      <c r="F3415" s="1">
        <v>2023</v>
      </c>
      <c r="G3415" s="5">
        <v>6784</v>
      </c>
      <c r="H3415" s="5">
        <v>6696.01</v>
      </c>
      <c r="I3415" s="5">
        <v>1603343.88</v>
      </c>
      <c r="K3415" s="5">
        <v>3.4630000000000001</v>
      </c>
      <c r="L3415" s="5">
        <v>1E-3</v>
      </c>
      <c r="M3415" s="5">
        <v>685882.29200000002</v>
      </c>
      <c r="N3415" s="6">
        <v>5.8999999999999997E-2</v>
      </c>
      <c r="O3415" s="5">
        <v>39.29</v>
      </c>
      <c r="P3415" s="6">
        <v>9.7000000000000003E-3</v>
      </c>
      <c r="Q3415" s="5">
        <v>11541248.559</v>
      </c>
      <c r="R3415" s="1" t="s">
        <v>44</v>
      </c>
      <c r="T3415" s="1" t="s">
        <v>71</v>
      </c>
      <c r="V3415" s="1" t="s">
        <v>64</v>
      </c>
      <c r="Y3415" s="1" t="s">
        <v>247</v>
      </c>
      <c r="Z3415" s="1" t="str">
        <f t="shared" si="159"/>
        <v>56476 GT1</v>
      </c>
      <c r="AA3415" s="3">
        <f>IF(INDEX('CAMD Facility Data 2023'!$AA$2:$AE$10000,MATCH(Z3415,'CAMD Facility Data 2023'!$AE$2:$AE$10000,0),1)&gt;0,INDEX('CAMD Facility Data 2023'!$AA$2:$AE$10000,MATCH(Z3415,'CAMD Facility Data 2023'!$AE$2:$AE$10000,0),1),"")</f>
        <v>39763</v>
      </c>
      <c r="AB3415" s="5">
        <f>IF(INDEX('CAMD Facility Data 2023'!$AC$2:$AE$10000,MATCH(Z3415,'CAMD Facility Data 2023'!$AE$2:$AE$10000,0),1)&gt;0,INDEX('CAMD Facility Data 2023'!$AC$2:$AE$10000,MATCH(Z3415,'CAMD Facility Data 2023'!$AE$2:$AE$10000,0),1),"")</f>
        <v>2227</v>
      </c>
      <c r="AC3415" s="1" t="str">
        <f>IF(INDEX('CAMD Facility Data 2023'!$AE$2:$AG$10000,MATCH(Z3415,'CAMD Facility Data 2023'!$AE$2:$AE$10000,0),3)&gt;0,INDEX('CAMD Facility Data 2023'!$AE$2:$AG$10000,MATCH(Z3415,'CAMD Facility Data 2023'!$AE$2:$AE$10000,0),3),"")</f>
        <v>Y</v>
      </c>
      <c r="AD3415" s="20">
        <f t="shared" si="160"/>
        <v>4.9010072623971349E-2</v>
      </c>
      <c r="AE3415" s="25">
        <f t="shared" si="161"/>
        <v>0.59160041658721418</v>
      </c>
    </row>
    <row r="3416" spans="1:31" x14ac:dyDescent="0.2">
      <c r="A3416" s="1" t="s">
        <v>370</v>
      </c>
      <c r="B3416" s="1" t="s">
        <v>7601</v>
      </c>
      <c r="C3416" s="1">
        <v>56476</v>
      </c>
      <c r="D3416" s="1" t="s">
        <v>1102</v>
      </c>
      <c r="F3416" s="1">
        <v>2023</v>
      </c>
      <c r="G3416" s="5">
        <v>6459</v>
      </c>
      <c r="H3416" s="5">
        <v>6352.18</v>
      </c>
      <c r="I3416" s="5">
        <v>1537243.43</v>
      </c>
      <c r="K3416" s="5">
        <v>3.3170000000000002</v>
      </c>
      <c r="L3416" s="5">
        <v>1E-3</v>
      </c>
      <c r="M3416" s="5">
        <v>657119.26800000004</v>
      </c>
      <c r="N3416" s="6">
        <v>5.8999999999999997E-2</v>
      </c>
      <c r="O3416" s="5">
        <v>35.798999999999999</v>
      </c>
      <c r="P3416" s="6">
        <v>8.2000000000000007E-3</v>
      </c>
      <c r="Q3416" s="5">
        <v>11057371.863</v>
      </c>
      <c r="R3416" s="1" t="s">
        <v>44</v>
      </c>
      <c r="T3416" s="1" t="s">
        <v>71</v>
      </c>
      <c r="V3416" s="1" t="s">
        <v>64</v>
      </c>
      <c r="Y3416" s="1" t="s">
        <v>247</v>
      </c>
      <c r="Z3416" s="1" t="str">
        <f t="shared" si="159"/>
        <v>56476 GT2</v>
      </c>
      <c r="AA3416" s="3">
        <f>IF(INDEX('CAMD Facility Data 2023'!$AA$2:$AE$10000,MATCH(Z3416,'CAMD Facility Data 2023'!$AE$2:$AE$10000,0),1)&gt;0,INDEX('CAMD Facility Data 2023'!$AA$2:$AE$10000,MATCH(Z3416,'CAMD Facility Data 2023'!$AE$2:$AE$10000,0),1),"")</f>
        <v>39762</v>
      </c>
      <c r="AB3416" s="5">
        <f>IF(INDEX('CAMD Facility Data 2023'!$AC$2:$AE$10000,MATCH(Z3416,'CAMD Facility Data 2023'!$AE$2:$AE$10000,0),1)&gt;0,INDEX('CAMD Facility Data 2023'!$AC$2:$AE$10000,MATCH(Z3416,'CAMD Facility Data 2023'!$AE$2:$AE$10000,0),1),"")</f>
        <v>2227</v>
      </c>
      <c r="AC3416" s="1" t="str">
        <f>IF(INDEX('CAMD Facility Data 2023'!$AE$2:$AG$10000,MATCH(Z3416,'CAMD Facility Data 2023'!$AE$2:$AE$10000,0),3)&gt;0,INDEX('CAMD Facility Data 2023'!$AE$2:$AG$10000,MATCH(Z3416,'CAMD Facility Data 2023'!$AE$2:$AE$10000,0),3),"")</f>
        <v>Y</v>
      </c>
      <c r="AD3416" s="20">
        <f t="shared" si="160"/>
        <v>4.6575577168022117E-2</v>
      </c>
      <c r="AE3416" s="25">
        <f t="shared" si="161"/>
        <v>0.56679706420579312</v>
      </c>
    </row>
    <row r="3417" spans="1:31" x14ac:dyDescent="0.2">
      <c r="A3417" s="1" t="s">
        <v>3167</v>
      </c>
      <c r="B3417" s="1" t="s">
        <v>7605</v>
      </c>
      <c r="C3417" s="1">
        <v>56480</v>
      </c>
      <c r="D3417" s="1" t="s">
        <v>372</v>
      </c>
      <c r="F3417" s="1">
        <v>2023</v>
      </c>
      <c r="G3417" s="5">
        <v>276</v>
      </c>
      <c r="H3417" s="5">
        <v>233.17</v>
      </c>
      <c r="I3417" s="5">
        <v>4524.51</v>
      </c>
      <c r="K3417" s="5">
        <v>1.4999999999999999E-2</v>
      </c>
      <c r="L3417" s="5">
        <v>1E-3</v>
      </c>
      <c r="M3417" s="5">
        <v>2960.8409999999999</v>
      </c>
      <c r="N3417" s="6">
        <v>5.9299999999999999E-2</v>
      </c>
      <c r="O3417" s="5">
        <v>2.0870000000000002</v>
      </c>
      <c r="P3417" s="6">
        <v>8.3199999999999996E-2</v>
      </c>
      <c r="Q3417" s="5">
        <v>49825.161</v>
      </c>
      <c r="R3417" s="1" t="s">
        <v>44</v>
      </c>
      <c r="T3417" s="1" t="s">
        <v>93</v>
      </c>
      <c r="V3417" s="1" t="s">
        <v>95</v>
      </c>
      <c r="Y3417" s="1" t="s">
        <v>461</v>
      </c>
      <c r="Z3417" s="1" t="str">
        <f t="shared" si="159"/>
        <v>56480 1A</v>
      </c>
      <c r="AA3417" s="3">
        <f>IF(INDEX('CAMD Facility Data 2023'!$AA$2:$AE$10000,MATCH(Z3417,'CAMD Facility Data 2023'!$AE$2:$AE$10000,0),1)&gt;0,INDEX('CAMD Facility Data 2023'!$AA$2:$AE$10000,MATCH(Z3417,'CAMD Facility Data 2023'!$AE$2:$AE$10000,0),1),"")</f>
        <v>40578</v>
      </c>
      <c r="AB3417" s="5">
        <f>IF(INDEX('CAMD Facility Data 2023'!$AC$2:$AE$10000,MATCH(Z3417,'CAMD Facility Data 2023'!$AE$2:$AE$10000,0),1)&gt;0,INDEX('CAMD Facility Data 2023'!$AC$2:$AE$10000,MATCH(Z3417,'CAMD Facility Data 2023'!$AE$2:$AE$10000,0),1),"")</f>
        <v>325</v>
      </c>
      <c r="AC3417" s="1" t="str">
        <f>IF(INDEX('CAMD Facility Data 2023'!$AE$2:$AG$10000,MATCH(Z3417,'CAMD Facility Data 2023'!$AE$2:$AE$10000,0),3)&gt;0,INDEX('CAMD Facility Data 2023'!$AE$2:$AG$10000,MATCH(Z3417,'CAMD Facility Data 2023'!$AE$2:$AE$10000,0),3),"")</f>
        <v/>
      </c>
      <c r="AD3417" s="20">
        <f t="shared" si="160"/>
        <v>0.9225308375934631</v>
      </c>
      <c r="AE3417" s="25">
        <f t="shared" si="161"/>
        <v>1.7500934668071653E-2</v>
      </c>
    </row>
    <row r="3418" spans="1:31" x14ac:dyDescent="0.2">
      <c r="A3418" s="1" t="s">
        <v>3167</v>
      </c>
      <c r="B3418" s="1" t="s">
        <v>7605</v>
      </c>
      <c r="C3418" s="1">
        <v>56480</v>
      </c>
      <c r="D3418" s="1" t="s">
        <v>1199</v>
      </c>
      <c r="F3418" s="1">
        <v>2023</v>
      </c>
      <c r="G3418" s="5">
        <v>278</v>
      </c>
      <c r="H3418" s="5">
        <v>233.12</v>
      </c>
      <c r="I3418" s="5">
        <v>4374.92</v>
      </c>
      <c r="K3418" s="5">
        <v>1.4999999999999999E-2</v>
      </c>
      <c r="L3418" s="5">
        <v>1E-3</v>
      </c>
      <c r="M3418" s="5">
        <v>2991.893</v>
      </c>
      <c r="N3418" s="6">
        <v>5.9400000000000001E-2</v>
      </c>
      <c r="O3418" s="5">
        <v>1.845</v>
      </c>
      <c r="P3418" s="6">
        <v>7.22E-2</v>
      </c>
      <c r="Q3418" s="5">
        <v>50346.489000000001</v>
      </c>
      <c r="R3418" s="1" t="s">
        <v>44</v>
      </c>
      <c r="T3418" s="1" t="s">
        <v>93</v>
      </c>
      <c r="V3418" s="1" t="s">
        <v>95</v>
      </c>
      <c r="Y3418" s="1" t="s">
        <v>461</v>
      </c>
      <c r="Z3418" s="1" t="str">
        <f t="shared" si="159"/>
        <v>56480 1B</v>
      </c>
      <c r="AA3418" s="3">
        <f>IF(INDEX('CAMD Facility Data 2023'!$AA$2:$AE$10000,MATCH(Z3418,'CAMD Facility Data 2023'!$AE$2:$AE$10000,0),1)&gt;0,INDEX('CAMD Facility Data 2023'!$AA$2:$AE$10000,MATCH(Z3418,'CAMD Facility Data 2023'!$AE$2:$AE$10000,0),1),"")</f>
        <v>40578</v>
      </c>
      <c r="AB3418" s="5">
        <f>IF(INDEX('CAMD Facility Data 2023'!$AC$2:$AE$10000,MATCH(Z3418,'CAMD Facility Data 2023'!$AE$2:$AE$10000,0),1)&gt;0,INDEX('CAMD Facility Data 2023'!$AC$2:$AE$10000,MATCH(Z3418,'CAMD Facility Data 2023'!$AE$2:$AE$10000,0),1),"")</f>
        <v>325</v>
      </c>
      <c r="AC3418" s="1" t="str">
        <f>IF(INDEX('CAMD Facility Data 2023'!$AE$2:$AG$10000,MATCH(Z3418,'CAMD Facility Data 2023'!$AE$2:$AE$10000,0),3)&gt;0,INDEX('CAMD Facility Data 2023'!$AE$2:$AG$10000,MATCH(Z3418,'CAMD Facility Data 2023'!$AE$2:$AE$10000,0),3),"")</f>
        <v/>
      </c>
      <c r="AD3418" s="20">
        <f t="shared" si="160"/>
        <v>0.84344399440446904</v>
      </c>
      <c r="AE3418" s="25">
        <f t="shared" si="161"/>
        <v>1.7684049525816651E-2</v>
      </c>
    </row>
    <row r="3419" spans="1:31" x14ac:dyDescent="0.2">
      <c r="A3419" s="1" t="s">
        <v>234</v>
      </c>
      <c r="B3419" s="1" t="s">
        <v>7610</v>
      </c>
      <c r="C3419" s="1">
        <v>56482</v>
      </c>
      <c r="D3419" s="1">
        <v>1</v>
      </c>
      <c r="F3419" s="1">
        <v>2023</v>
      </c>
      <c r="G3419" s="5">
        <v>1686</v>
      </c>
      <c r="H3419" s="5">
        <v>1461.99</v>
      </c>
      <c r="I3419" s="5">
        <v>47153.64</v>
      </c>
      <c r="K3419" s="5">
        <v>0.86299999999999999</v>
      </c>
      <c r="L3419" s="5">
        <v>3.5999999999999999E-3</v>
      </c>
      <c r="M3419" s="5">
        <v>29299.191999999999</v>
      </c>
      <c r="N3419" s="6">
        <v>5.9299999999999999E-2</v>
      </c>
      <c r="O3419" s="5">
        <v>24.238</v>
      </c>
      <c r="P3419" s="6">
        <v>0.1169</v>
      </c>
      <c r="Q3419" s="5">
        <v>493071.64299999998</v>
      </c>
      <c r="R3419" s="1" t="s">
        <v>284</v>
      </c>
      <c r="T3419" s="1" t="s">
        <v>93</v>
      </c>
      <c r="V3419" s="1" t="s">
        <v>95</v>
      </c>
      <c r="Y3419" s="1" t="s">
        <v>247</v>
      </c>
      <c r="Z3419" s="1" t="str">
        <f t="shared" si="159"/>
        <v>56482 1</v>
      </c>
      <c r="AA3419" s="3">
        <f>IF(INDEX('CAMD Facility Data 2023'!$AA$2:$AE$10000,MATCH(Z3419,'CAMD Facility Data 2023'!$AE$2:$AE$10000,0),1)&gt;0,INDEX('CAMD Facility Data 2023'!$AA$2:$AE$10000,MATCH(Z3419,'CAMD Facility Data 2023'!$AE$2:$AE$10000,0),1),"")</f>
        <v>39567</v>
      </c>
      <c r="AB3419" s="5">
        <f>IF(INDEX('CAMD Facility Data 2023'!$AC$2:$AE$10000,MATCH(Z3419,'CAMD Facility Data 2023'!$AE$2:$AE$10000,0),1)&gt;0,INDEX('CAMD Facility Data 2023'!$AC$2:$AE$10000,MATCH(Z3419,'CAMD Facility Data 2023'!$AE$2:$AE$10000,0),1),"")</f>
        <v>490</v>
      </c>
      <c r="AC3419" s="1" t="str">
        <f>IF(INDEX('CAMD Facility Data 2023'!$AE$2:$AG$10000,MATCH(Z3419,'CAMD Facility Data 2023'!$AE$2:$AE$10000,0),3)&gt;0,INDEX('CAMD Facility Data 2023'!$AE$2:$AG$10000,MATCH(Z3419,'CAMD Facility Data 2023'!$AE$2:$AE$10000,0),3),"")</f>
        <v/>
      </c>
      <c r="AD3419" s="20">
        <f t="shared" si="160"/>
        <v>1.0280436462593343</v>
      </c>
      <c r="AE3419" s="25">
        <f t="shared" si="161"/>
        <v>0.11487085150498555</v>
      </c>
    </row>
    <row r="3420" spans="1:31" x14ac:dyDescent="0.2">
      <c r="A3420" s="1" t="s">
        <v>234</v>
      </c>
      <c r="B3420" s="1" t="s">
        <v>7610</v>
      </c>
      <c r="C3420" s="1">
        <v>56482</v>
      </c>
      <c r="D3420" s="1">
        <v>2</v>
      </c>
      <c r="F3420" s="1">
        <v>2023</v>
      </c>
      <c r="G3420" s="5">
        <v>1750</v>
      </c>
      <c r="H3420" s="5">
        <v>1521.26</v>
      </c>
      <c r="I3420" s="5">
        <v>50120.3</v>
      </c>
      <c r="K3420" s="5">
        <v>0.90800000000000003</v>
      </c>
      <c r="L3420" s="5">
        <v>3.5999999999999999E-3</v>
      </c>
      <c r="M3420" s="5">
        <v>30818.76</v>
      </c>
      <c r="N3420" s="6">
        <v>5.9299999999999999E-2</v>
      </c>
      <c r="O3420" s="5">
        <v>27.782</v>
      </c>
      <c r="P3420" s="6">
        <v>0.125</v>
      </c>
      <c r="Q3420" s="5">
        <v>518541.47100000002</v>
      </c>
      <c r="R3420" s="1" t="s">
        <v>284</v>
      </c>
      <c r="T3420" s="1" t="s">
        <v>93</v>
      </c>
      <c r="V3420" s="1" t="s">
        <v>95</v>
      </c>
      <c r="Y3420" s="1" t="s">
        <v>247</v>
      </c>
      <c r="Z3420" s="1" t="str">
        <f t="shared" si="159"/>
        <v>56482 2</v>
      </c>
      <c r="AA3420" s="3">
        <f>IF(INDEX('CAMD Facility Data 2023'!$AA$2:$AE$10000,MATCH(Z3420,'CAMD Facility Data 2023'!$AE$2:$AE$10000,0),1)&gt;0,INDEX('CAMD Facility Data 2023'!$AA$2:$AE$10000,MATCH(Z3420,'CAMD Facility Data 2023'!$AE$2:$AE$10000,0),1),"")</f>
        <v>39569</v>
      </c>
      <c r="AB3420" s="5">
        <f>IF(INDEX('CAMD Facility Data 2023'!$AC$2:$AE$10000,MATCH(Z3420,'CAMD Facility Data 2023'!$AE$2:$AE$10000,0),1)&gt;0,INDEX('CAMD Facility Data 2023'!$AC$2:$AE$10000,MATCH(Z3420,'CAMD Facility Data 2023'!$AE$2:$AE$10000,0),1),"")</f>
        <v>490</v>
      </c>
      <c r="AC3420" s="1" t="str">
        <f>IF(INDEX('CAMD Facility Data 2023'!$AE$2:$AG$10000,MATCH(Z3420,'CAMD Facility Data 2023'!$AE$2:$AE$10000,0),3)&gt;0,INDEX('CAMD Facility Data 2023'!$AE$2:$AG$10000,MATCH(Z3420,'CAMD Facility Data 2023'!$AE$2:$AE$10000,0),3),"")</f>
        <v/>
      </c>
      <c r="AD3420" s="20">
        <f t="shared" si="160"/>
        <v>1.1086126778969798</v>
      </c>
      <c r="AE3420" s="25">
        <f t="shared" si="161"/>
        <v>0.12080455479452056</v>
      </c>
    </row>
    <row r="3421" spans="1:31" x14ac:dyDescent="0.2">
      <c r="A3421" s="1" t="s">
        <v>225</v>
      </c>
      <c r="B3421" s="1" t="s">
        <v>7612</v>
      </c>
      <c r="C3421" s="1">
        <v>56502</v>
      </c>
      <c r="D3421" s="1" t="s">
        <v>7613</v>
      </c>
      <c r="F3421" s="1">
        <v>2023</v>
      </c>
      <c r="G3421" s="5">
        <v>4880</v>
      </c>
      <c r="H3421" s="5">
        <v>4500.93</v>
      </c>
      <c r="I3421" s="5">
        <v>107250.71</v>
      </c>
      <c r="K3421" s="5">
        <v>0.4</v>
      </c>
      <c r="L3421" s="5">
        <v>5.9999999999999995E-4</v>
      </c>
      <c r="M3421" s="5">
        <v>81431.600000000006</v>
      </c>
      <c r="N3421" s="6">
        <v>5.8999999999999997E-2</v>
      </c>
      <c r="O3421" s="5">
        <v>64.680999999999997</v>
      </c>
      <c r="P3421" s="6">
        <v>0.1308</v>
      </c>
      <c r="Q3421" s="5">
        <v>1379924.8</v>
      </c>
      <c r="R3421" s="1" t="s">
        <v>44</v>
      </c>
      <c r="T3421" s="1" t="s">
        <v>93</v>
      </c>
      <c r="V3421" s="1" t="s">
        <v>95</v>
      </c>
      <c r="Y3421" s="1" t="s">
        <v>35</v>
      </c>
      <c r="Z3421" s="1" t="str">
        <f t="shared" si="159"/>
        <v>56502 EEC1</v>
      </c>
      <c r="AA3421" s="3">
        <f>IF(INDEX('CAMD Facility Data 2023'!$AA$2:$AE$10000,MATCH(Z3421,'CAMD Facility Data 2023'!$AE$2:$AE$10000,0),1)&gt;0,INDEX('CAMD Facility Data 2023'!$AA$2:$AE$10000,MATCH(Z3421,'CAMD Facility Data 2023'!$AE$2:$AE$10000,0),1),"")</f>
        <v>39606</v>
      </c>
      <c r="AB3421" s="5">
        <f>IF(INDEX('CAMD Facility Data 2023'!$AC$2:$AE$10000,MATCH(Z3421,'CAMD Facility Data 2023'!$AE$2:$AE$10000,0),1)&gt;0,INDEX('CAMD Facility Data 2023'!$AC$2:$AE$10000,MATCH(Z3421,'CAMD Facility Data 2023'!$AE$2:$AE$10000,0),1),"")</f>
        <v>500</v>
      </c>
      <c r="AC3421" s="1" t="str">
        <f>IF(INDEX('CAMD Facility Data 2023'!$AE$2:$AG$10000,MATCH(Z3421,'CAMD Facility Data 2023'!$AE$2:$AE$10000,0),3)&gt;0,INDEX('CAMD Facility Data 2023'!$AE$2:$AG$10000,MATCH(Z3421,'CAMD Facility Data 2023'!$AE$2:$AE$10000,0),3),"")</f>
        <v/>
      </c>
      <c r="AD3421" s="20">
        <f t="shared" si="160"/>
        <v>1.2061645093072111</v>
      </c>
      <c r="AE3421" s="25">
        <f t="shared" si="161"/>
        <v>0.31505132420091325</v>
      </c>
    </row>
    <row r="3422" spans="1:31" x14ac:dyDescent="0.2">
      <c r="A3422" s="1" t="s">
        <v>225</v>
      </c>
      <c r="B3422" s="1" t="s">
        <v>7612</v>
      </c>
      <c r="C3422" s="1">
        <v>56502</v>
      </c>
      <c r="D3422" s="1" t="s">
        <v>7616</v>
      </c>
      <c r="F3422" s="1">
        <v>2023</v>
      </c>
      <c r="G3422" s="5">
        <v>4857</v>
      </c>
      <c r="H3422" s="5">
        <v>4514.75</v>
      </c>
      <c r="I3422" s="5">
        <v>103237.39</v>
      </c>
      <c r="K3422" s="5">
        <v>0.38500000000000001</v>
      </c>
      <c r="L3422" s="5">
        <v>5.9999999999999995E-4</v>
      </c>
      <c r="M3422" s="5">
        <v>78993.5</v>
      </c>
      <c r="N3422" s="6">
        <v>5.8999999999999997E-2</v>
      </c>
      <c r="O3422" s="5">
        <v>63.456000000000003</v>
      </c>
      <c r="P3422" s="6">
        <v>0.1295</v>
      </c>
      <c r="Q3422" s="5">
        <v>1338688.1000000001</v>
      </c>
      <c r="R3422" s="1" t="s">
        <v>44</v>
      </c>
      <c r="T3422" s="1" t="s">
        <v>93</v>
      </c>
      <c r="V3422" s="1" t="s">
        <v>95</v>
      </c>
      <c r="Y3422" s="1" t="s">
        <v>35</v>
      </c>
      <c r="Z3422" s="1" t="str">
        <f t="shared" si="159"/>
        <v>56502 EEC2</v>
      </c>
      <c r="AA3422" s="3">
        <f>IF(INDEX('CAMD Facility Data 2023'!$AA$2:$AE$10000,MATCH(Z3422,'CAMD Facility Data 2023'!$AE$2:$AE$10000,0),1)&gt;0,INDEX('CAMD Facility Data 2023'!$AA$2:$AE$10000,MATCH(Z3422,'CAMD Facility Data 2023'!$AE$2:$AE$10000,0),1),"")</f>
        <v>39601</v>
      </c>
      <c r="AB3422" s="5">
        <f>IF(INDEX('CAMD Facility Data 2023'!$AC$2:$AE$10000,MATCH(Z3422,'CAMD Facility Data 2023'!$AE$2:$AE$10000,0),1)&gt;0,INDEX('CAMD Facility Data 2023'!$AC$2:$AE$10000,MATCH(Z3422,'CAMD Facility Data 2023'!$AE$2:$AE$10000,0),1),"")</f>
        <v>500</v>
      </c>
      <c r="AC3422" s="1" t="str">
        <f>IF(INDEX('CAMD Facility Data 2023'!$AE$2:$AG$10000,MATCH(Z3422,'CAMD Facility Data 2023'!$AE$2:$AE$10000,0),3)&gt;0,INDEX('CAMD Facility Data 2023'!$AE$2:$AG$10000,MATCH(Z3422,'CAMD Facility Data 2023'!$AE$2:$AE$10000,0),3),"")</f>
        <v/>
      </c>
      <c r="AD3422" s="20">
        <f t="shared" si="160"/>
        <v>1.2293220508577367</v>
      </c>
      <c r="AE3422" s="25">
        <f t="shared" si="161"/>
        <v>0.30563655251141553</v>
      </c>
    </row>
    <row r="3423" spans="1:31" x14ac:dyDescent="0.2">
      <c r="A3423" s="1" t="s">
        <v>225</v>
      </c>
      <c r="B3423" s="1" t="s">
        <v>7612</v>
      </c>
      <c r="C3423" s="1">
        <v>56502</v>
      </c>
      <c r="D3423" s="1" t="s">
        <v>7618</v>
      </c>
      <c r="F3423" s="1">
        <v>2023</v>
      </c>
      <c r="G3423" s="5">
        <v>4589</v>
      </c>
      <c r="H3423" s="5">
        <v>4240.53</v>
      </c>
      <c r="I3423" s="5">
        <v>96766.56</v>
      </c>
      <c r="K3423" s="5">
        <v>0.38700000000000001</v>
      </c>
      <c r="L3423" s="5">
        <v>6.9999999999999999E-4</v>
      </c>
      <c r="M3423" s="5">
        <v>78227.600000000006</v>
      </c>
      <c r="N3423" s="6">
        <v>5.8999999999999997E-2</v>
      </c>
      <c r="O3423" s="5">
        <v>60.497999999999998</v>
      </c>
      <c r="P3423" s="6">
        <v>0.12909999999999999</v>
      </c>
      <c r="Q3423" s="5">
        <v>1325810.3999999999</v>
      </c>
      <c r="R3423" s="1" t="s">
        <v>44</v>
      </c>
      <c r="T3423" s="1" t="s">
        <v>93</v>
      </c>
      <c r="V3423" s="1" t="s">
        <v>95</v>
      </c>
      <c r="Y3423" s="1" t="s">
        <v>35</v>
      </c>
      <c r="Z3423" s="1" t="str">
        <f t="shared" si="159"/>
        <v>56502 EEC3</v>
      </c>
      <c r="AA3423" s="3">
        <f>IF(INDEX('CAMD Facility Data 2023'!$AA$2:$AE$10000,MATCH(Z3423,'CAMD Facility Data 2023'!$AE$2:$AE$10000,0),1)&gt;0,INDEX('CAMD Facility Data 2023'!$AA$2:$AE$10000,MATCH(Z3423,'CAMD Facility Data 2023'!$AE$2:$AE$10000,0),1),"")</f>
        <v>39577</v>
      </c>
      <c r="AB3423" s="5">
        <f>IF(INDEX('CAMD Facility Data 2023'!$AC$2:$AE$10000,MATCH(Z3423,'CAMD Facility Data 2023'!$AE$2:$AE$10000,0),1)&gt;0,INDEX('CAMD Facility Data 2023'!$AC$2:$AE$10000,MATCH(Z3423,'CAMD Facility Data 2023'!$AE$2:$AE$10000,0),1),"")</f>
        <v>500</v>
      </c>
      <c r="AC3423" s="1" t="str">
        <f>IF(INDEX('CAMD Facility Data 2023'!$AE$2:$AG$10000,MATCH(Z3423,'CAMD Facility Data 2023'!$AE$2:$AE$10000,0),3)&gt;0,INDEX('CAMD Facility Data 2023'!$AE$2:$AG$10000,MATCH(Z3423,'CAMD Facility Data 2023'!$AE$2:$AE$10000,0),3),"")</f>
        <v/>
      </c>
      <c r="AD3423" s="20">
        <f t="shared" si="160"/>
        <v>1.2503906308129586</v>
      </c>
      <c r="AE3423" s="25">
        <f t="shared" si="161"/>
        <v>0.30269643835616439</v>
      </c>
    </row>
    <row r="3424" spans="1:31" x14ac:dyDescent="0.2">
      <c r="A3424" s="1" t="s">
        <v>225</v>
      </c>
      <c r="B3424" s="1" t="s">
        <v>7612</v>
      </c>
      <c r="C3424" s="1">
        <v>56502</v>
      </c>
      <c r="D3424" s="1" t="s">
        <v>7620</v>
      </c>
      <c r="F3424" s="1">
        <v>2023</v>
      </c>
      <c r="G3424" s="5">
        <v>5284</v>
      </c>
      <c r="H3424" s="5">
        <v>4918.62</v>
      </c>
      <c r="I3424" s="5">
        <v>111290.43</v>
      </c>
      <c r="K3424" s="5">
        <v>0.432</v>
      </c>
      <c r="L3424" s="5">
        <v>5.9999999999999995E-4</v>
      </c>
      <c r="M3424" s="5">
        <v>88747.5</v>
      </c>
      <c r="N3424" s="6">
        <v>5.8999999999999997E-2</v>
      </c>
      <c r="O3424" s="5">
        <v>69.662000000000006</v>
      </c>
      <c r="P3424" s="6">
        <v>0.128</v>
      </c>
      <c r="Q3424" s="5">
        <v>1504212.2</v>
      </c>
      <c r="R3424" s="1" t="s">
        <v>44</v>
      </c>
      <c r="T3424" s="1" t="s">
        <v>93</v>
      </c>
      <c r="V3424" s="1" t="s">
        <v>95</v>
      </c>
      <c r="Y3424" s="1" t="s">
        <v>35</v>
      </c>
      <c r="Z3424" s="1" t="str">
        <f t="shared" si="159"/>
        <v>56502 EEC4</v>
      </c>
      <c r="AA3424" s="3">
        <f>IF(INDEX('CAMD Facility Data 2023'!$AA$2:$AE$10000,MATCH(Z3424,'CAMD Facility Data 2023'!$AE$2:$AE$10000,0),1)&gt;0,INDEX('CAMD Facility Data 2023'!$AA$2:$AE$10000,MATCH(Z3424,'CAMD Facility Data 2023'!$AE$2:$AE$10000,0),1),"")</f>
        <v>39578</v>
      </c>
      <c r="AB3424" s="5">
        <f>IF(INDEX('CAMD Facility Data 2023'!$AC$2:$AE$10000,MATCH(Z3424,'CAMD Facility Data 2023'!$AE$2:$AE$10000,0),1)&gt;0,INDEX('CAMD Facility Data 2023'!$AC$2:$AE$10000,MATCH(Z3424,'CAMD Facility Data 2023'!$AE$2:$AE$10000,0),1),"")</f>
        <v>500</v>
      </c>
      <c r="AC3424" s="1" t="str">
        <f>IF(INDEX('CAMD Facility Data 2023'!$AE$2:$AG$10000,MATCH(Z3424,'CAMD Facility Data 2023'!$AE$2:$AE$10000,0),3)&gt;0,INDEX('CAMD Facility Data 2023'!$AE$2:$AG$10000,MATCH(Z3424,'CAMD Facility Data 2023'!$AE$2:$AE$10000,0),3),"")</f>
        <v/>
      </c>
      <c r="AD3424" s="20">
        <f t="shared" si="160"/>
        <v>1.2518956032427946</v>
      </c>
      <c r="AE3424" s="25">
        <f t="shared" si="161"/>
        <v>0.34342744292237443</v>
      </c>
    </row>
    <row r="3425" spans="1:31" x14ac:dyDescent="0.2">
      <c r="A3425" s="1" t="s">
        <v>225</v>
      </c>
      <c r="B3425" s="1" t="s">
        <v>7612</v>
      </c>
      <c r="C3425" s="1">
        <v>56502</v>
      </c>
      <c r="D3425" s="1" t="s">
        <v>7621</v>
      </c>
      <c r="F3425" s="1">
        <v>2023</v>
      </c>
      <c r="G3425" s="5">
        <v>2436</v>
      </c>
      <c r="H3425" s="5">
        <v>2231.5300000000002</v>
      </c>
      <c r="I3425" s="5">
        <v>287112.02</v>
      </c>
      <c r="K3425" s="5">
        <v>0.96899999999999997</v>
      </c>
      <c r="L3425" s="5">
        <v>1E-3</v>
      </c>
      <c r="M3425" s="5">
        <v>191979.36600000001</v>
      </c>
      <c r="N3425" s="6">
        <v>5.91E-2</v>
      </c>
      <c r="O3425" s="5">
        <v>45.787999999999997</v>
      </c>
      <c r="P3425" s="6">
        <v>2.8299999999999999E-2</v>
      </c>
      <c r="Q3425" s="5">
        <v>3230365.7620000001</v>
      </c>
      <c r="R3425" s="1" t="s">
        <v>44</v>
      </c>
      <c r="T3425" s="1" t="s">
        <v>93</v>
      </c>
      <c r="V3425" s="1" t="s">
        <v>95</v>
      </c>
      <c r="Y3425" s="1" t="s">
        <v>35</v>
      </c>
      <c r="Z3425" s="1" t="str">
        <f t="shared" si="159"/>
        <v>56502 EEC5</v>
      </c>
      <c r="AA3425" s="3">
        <f>IF(INDEX('CAMD Facility Data 2023'!$AA$2:$AE$10000,MATCH(Z3425,'CAMD Facility Data 2023'!$AE$2:$AE$10000,0),1)&gt;0,INDEX('CAMD Facility Data 2023'!$AA$2:$AE$10000,MATCH(Z3425,'CAMD Facility Data 2023'!$AE$2:$AE$10000,0),1),"")</f>
        <v>39605</v>
      </c>
      <c r="AB3425" s="5">
        <f>IF(INDEX('CAMD Facility Data 2023'!$AC$2:$AE$10000,MATCH(Z3425,'CAMD Facility Data 2023'!$AE$2:$AE$10000,0),1)&gt;0,INDEX('CAMD Facility Data 2023'!$AC$2:$AE$10000,MATCH(Z3425,'CAMD Facility Data 2023'!$AE$2:$AE$10000,0),1),"")</f>
        <v>2000</v>
      </c>
      <c r="AC3425" s="1" t="str">
        <f>IF(INDEX('CAMD Facility Data 2023'!$AE$2:$AG$10000,MATCH(Z3425,'CAMD Facility Data 2023'!$AE$2:$AE$10000,0),3)&gt;0,INDEX('CAMD Facility Data 2023'!$AE$2:$AG$10000,MATCH(Z3425,'CAMD Facility Data 2023'!$AE$2:$AE$10000,0),3),"")</f>
        <v/>
      </c>
      <c r="AD3425" s="20">
        <f t="shared" si="160"/>
        <v>0.31895564664969439</v>
      </c>
      <c r="AE3425" s="25">
        <f t="shared" si="161"/>
        <v>0.18438160742009133</v>
      </c>
    </row>
    <row r="3426" spans="1:31" x14ac:dyDescent="0.2">
      <c r="A3426" s="1" t="s">
        <v>225</v>
      </c>
      <c r="B3426" s="1" t="s">
        <v>7612</v>
      </c>
      <c r="C3426" s="1">
        <v>56502</v>
      </c>
      <c r="D3426" s="1" t="s">
        <v>7623</v>
      </c>
      <c r="F3426" s="1">
        <v>2023</v>
      </c>
      <c r="G3426" s="5">
        <v>2122</v>
      </c>
      <c r="H3426" s="5">
        <v>1930.77</v>
      </c>
      <c r="I3426" s="5">
        <v>245396.82</v>
      </c>
      <c r="K3426" s="5">
        <v>0.83399999999999996</v>
      </c>
      <c r="L3426" s="5">
        <v>1E-3</v>
      </c>
      <c r="M3426" s="5">
        <v>165229.55900000001</v>
      </c>
      <c r="N3426" s="6">
        <v>5.8999999999999997E-2</v>
      </c>
      <c r="O3426" s="5">
        <v>41.003</v>
      </c>
      <c r="P3426" s="6">
        <v>2.92E-2</v>
      </c>
      <c r="Q3426" s="5">
        <v>2780366.8679999998</v>
      </c>
      <c r="R3426" s="1" t="s">
        <v>44</v>
      </c>
      <c r="T3426" s="1" t="s">
        <v>93</v>
      </c>
      <c r="V3426" s="1" t="s">
        <v>140</v>
      </c>
      <c r="Y3426" s="1" t="s">
        <v>35</v>
      </c>
      <c r="Z3426" s="1" t="str">
        <f t="shared" si="159"/>
        <v>56502 EEC6</v>
      </c>
      <c r="AA3426" s="3">
        <f>IF(INDEX('CAMD Facility Data 2023'!$AA$2:$AE$10000,MATCH(Z3426,'CAMD Facility Data 2023'!$AE$2:$AE$10000,0),1)&gt;0,INDEX('CAMD Facility Data 2023'!$AA$2:$AE$10000,MATCH(Z3426,'CAMD Facility Data 2023'!$AE$2:$AE$10000,0),1),"")</f>
        <v>39837</v>
      </c>
      <c r="AB3426" s="5">
        <f>IF(INDEX('CAMD Facility Data 2023'!$AC$2:$AE$10000,MATCH(Z3426,'CAMD Facility Data 2023'!$AE$2:$AE$10000,0),1)&gt;0,INDEX('CAMD Facility Data 2023'!$AC$2:$AE$10000,MATCH(Z3426,'CAMD Facility Data 2023'!$AE$2:$AE$10000,0),1),"")</f>
        <v>2000</v>
      </c>
      <c r="AC3426" s="1" t="str">
        <f>IF(INDEX('CAMD Facility Data 2023'!$AE$2:$AG$10000,MATCH(Z3426,'CAMD Facility Data 2023'!$AE$2:$AE$10000,0),3)&gt;0,INDEX('CAMD Facility Data 2023'!$AE$2:$AG$10000,MATCH(Z3426,'CAMD Facility Data 2023'!$AE$2:$AE$10000,0),3),"")</f>
        <v/>
      </c>
      <c r="AD3426" s="20">
        <f t="shared" si="160"/>
        <v>0.33417710954852631</v>
      </c>
      <c r="AE3426" s="25">
        <f t="shared" si="161"/>
        <v>0.15869673904109588</v>
      </c>
    </row>
    <row r="3427" spans="1:31" x14ac:dyDescent="0.2">
      <c r="A3427" s="1" t="s">
        <v>225</v>
      </c>
      <c r="B3427" s="1" t="s">
        <v>7612</v>
      </c>
      <c r="C3427" s="1">
        <v>56502</v>
      </c>
      <c r="D3427" s="1" t="s">
        <v>7625</v>
      </c>
      <c r="F3427" s="1">
        <v>2023</v>
      </c>
      <c r="G3427" s="5">
        <v>2452</v>
      </c>
      <c r="H3427" s="5">
        <v>2252.61</v>
      </c>
      <c r="I3427" s="5">
        <v>288668</v>
      </c>
      <c r="K3427" s="5">
        <v>0.96299999999999997</v>
      </c>
      <c r="L3427" s="5">
        <v>1E-3</v>
      </c>
      <c r="M3427" s="5">
        <v>190682.79699999999</v>
      </c>
      <c r="N3427" s="6">
        <v>5.8999999999999997E-2</v>
      </c>
      <c r="O3427" s="5">
        <v>48.715000000000003</v>
      </c>
      <c r="P3427" s="6">
        <v>3.0099999999999998E-2</v>
      </c>
      <c r="Q3427" s="5">
        <v>3208566.6150000002</v>
      </c>
      <c r="R3427" s="1" t="s">
        <v>44</v>
      </c>
      <c r="T3427" s="1" t="s">
        <v>93</v>
      </c>
      <c r="V3427" s="1" t="s">
        <v>140</v>
      </c>
      <c r="Y3427" s="1" t="s">
        <v>35</v>
      </c>
      <c r="Z3427" s="1" t="str">
        <f t="shared" si="159"/>
        <v>56502 EEC7</v>
      </c>
      <c r="AA3427" s="3">
        <f>IF(INDEX('CAMD Facility Data 2023'!$AA$2:$AE$10000,MATCH(Z3427,'CAMD Facility Data 2023'!$AE$2:$AE$10000,0),1)&gt;0,INDEX('CAMD Facility Data 2023'!$AA$2:$AE$10000,MATCH(Z3427,'CAMD Facility Data 2023'!$AE$2:$AE$10000,0),1),"")</f>
        <v>39862</v>
      </c>
      <c r="AB3427" s="5">
        <f>IF(INDEX('CAMD Facility Data 2023'!$AC$2:$AE$10000,MATCH(Z3427,'CAMD Facility Data 2023'!$AE$2:$AE$10000,0),1)&gt;0,INDEX('CAMD Facility Data 2023'!$AC$2:$AE$10000,MATCH(Z3427,'CAMD Facility Data 2023'!$AE$2:$AE$10000,0),1),"")</f>
        <v>2000</v>
      </c>
      <c r="AC3427" s="1" t="str">
        <f>IF(INDEX('CAMD Facility Data 2023'!$AE$2:$AG$10000,MATCH(Z3427,'CAMD Facility Data 2023'!$AE$2:$AE$10000,0),3)&gt;0,INDEX('CAMD Facility Data 2023'!$AE$2:$AG$10000,MATCH(Z3427,'CAMD Facility Data 2023'!$AE$2:$AE$10000,0),3),"")</f>
        <v/>
      </c>
      <c r="AD3427" s="20">
        <f t="shared" si="160"/>
        <v>0.33751576205190736</v>
      </c>
      <c r="AE3427" s="25">
        <f t="shared" si="161"/>
        <v>0.18313736386986304</v>
      </c>
    </row>
    <row r="3428" spans="1:31" x14ac:dyDescent="0.2">
      <c r="A3428" s="1" t="s">
        <v>348</v>
      </c>
      <c r="B3428" s="1" t="s">
        <v>7627</v>
      </c>
      <c r="C3428" s="1">
        <v>56505</v>
      </c>
      <c r="D3428" s="1" t="s">
        <v>7628</v>
      </c>
      <c r="F3428" s="1">
        <v>2023</v>
      </c>
      <c r="G3428" s="5">
        <v>974</v>
      </c>
      <c r="H3428" s="5">
        <v>974</v>
      </c>
      <c r="I3428" s="5">
        <v>36195</v>
      </c>
      <c r="K3428" s="5">
        <v>0.121</v>
      </c>
      <c r="L3428" s="5">
        <v>8.0000000000000004E-4</v>
      </c>
      <c r="M3428" s="5">
        <v>22685</v>
      </c>
      <c r="N3428" s="6">
        <v>5.8799999999999998E-2</v>
      </c>
      <c r="O3428" s="5">
        <v>19.213000000000001</v>
      </c>
      <c r="P3428" s="6">
        <v>0.1002</v>
      </c>
      <c r="Q3428" s="5">
        <v>384300.7</v>
      </c>
      <c r="R3428" s="1" t="s">
        <v>44</v>
      </c>
      <c r="S3428" s="1" t="s">
        <v>94</v>
      </c>
      <c r="T3428" s="1" t="s">
        <v>93</v>
      </c>
      <c r="V3428" s="1" t="s">
        <v>95</v>
      </c>
      <c r="Y3428" s="1" t="s">
        <v>346</v>
      </c>
      <c r="Z3428" s="1" t="str">
        <f t="shared" si="159"/>
        <v>56505 SN04</v>
      </c>
      <c r="AA3428" s="3">
        <f>IF(INDEX('CAMD Facility Data 2023'!$AA$2:$AE$10000,MATCH(Z3428,'CAMD Facility Data 2023'!$AE$2:$AE$10000,0),1)&gt;0,INDEX('CAMD Facility Data 2023'!$AA$2:$AE$10000,MATCH(Z3428,'CAMD Facility Data 2023'!$AE$2:$AE$10000,0),1),"")</f>
        <v>36662</v>
      </c>
      <c r="AB3428" s="5">
        <f>IF(INDEX('CAMD Facility Data 2023'!$AC$2:$AE$10000,MATCH(Z3428,'CAMD Facility Data 2023'!$AE$2:$AE$10000,0),1)&gt;0,INDEX('CAMD Facility Data 2023'!$AC$2:$AE$10000,MATCH(Z3428,'CAMD Facility Data 2023'!$AE$2:$AE$10000,0),1),"")</f>
        <v>469</v>
      </c>
      <c r="AC3428" s="1" t="str">
        <f>IF(INDEX('CAMD Facility Data 2023'!$AE$2:$AG$10000,MATCH(Z3428,'CAMD Facility Data 2023'!$AE$2:$AE$10000,0),3)&gt;0,INDEX('CAMD Facility Data 2023'!$AE$2:$AG$10000,MATCH(Z3428,'CAMD Facility Data 2023'!$AE$2:$AE$10000,0),3),"")</f>
        <v/>
      </c>
      <c r="AD3428" s="20">
        <f t="shared" si="160"/>
        <v>1.0616383478380993</v>
      </c>
      <c r="AE3428" s="25">
        <f t="shared" si="161"/>
        <v>9.3539323928303691E-2</v>
      </c>
    </row>
    <row r="3429" spans="1:31" x14ac:dyDescent="0.2">
      <c r="A3429" s="1" t="s">
        <v>348</v>
      </c>
      <c r="B3429" s="1" t="s">
        <v>7627</v>
      </c>
      <c r="C3429" s="1">
        <v>56505</v>
      </c>
      <c r="D3429" s="1" t="s">
        <v>7633</v>
      </c>
      <c r="F3429" s="1">
        <v>2023</v>
      </c>
      <c r="G3429" s="5">
        <v>749</v>
      </c>
      <c r="H3429" s="5">
        <v>749</v>
      </c>
      <c r="I3429" s="5">
        <v>28305</v>
      </c>
      <c r="K3429" s="5">
        <v>9.0999999999999998E-2</v>
      </c>
      <c r="L3429" s="5">
        <v>8.0000000000000004E-4</v>
      </c>
      <c r="M3429" s="5">
        <v>17105.2</v>
      </c>
      <c r="N3429" s="6">
        <v>5.8999999999999997E-2</v>
      </c>
      <c r="O3429" s="5">
        <v>16.081</v>
      </c>
      <c r="P3429" s="6">
        <v>0.1108</v>
      </c>
      <c r="Q3429" s="5">
        <v>289845.90000000002</v>
      </c>
      <c r="R3429" s="1" t="s">
        <v>44</v>
      </c>
      <c r="S3429" s="1" t="s">
        <v>94</v>
      </c>
      <c r="T3429" s="1" t="s">
        <v>93</v>
      </c>
      <c r="V3429" s="1" t="s">
        <v>95</v>
      </c>
      <c r="Y3429" s="1" t="s">
        <v>346</v>
      </c>
      <c r="Z3429" s="1" t="str">
        <f t="shared" si="159"/>
        <v>56505 SN06</v>
      </c>
      <c r="AA3429" s="3">
        <f>IF(INDEX('CAMD Facility Data 2023'!$AA$2:$AE$10000,MATCH(Z3429,'CAMD Facility Data 2023'!$AE$2:$AE$10000,0),1)&gt;0,INDEX('CAMD Facility Data 2023'!$AA$2:$AE$10000,MATCH(Z3429,'CAMD Facility Data 2023'!$AE$2:$AE$10000,0),1),"")</f>
        <v>37756</v>
      </c>
      <c r="AB3429" s="5">
        <f>IF(INDEX('CAMD Facility Data 2023'!$AC$2:$AE$10000,MATCH(Z3429,'CAMD Facility Data 2023'!$AE$2:$AE$10000,0),1)&gt;0,INDEX('CAMD Facility Data 2023'!$AC$2:$AE$10000,MATCH(Z3429,'CAMD Facility Data 2023'!$AE$2:$AE$10000,0),1),"")</f>
        <v>469</v>
      </c>
      <c r="AC3429" s="1" t="str">
        <f>IF(INDEX('CAMD Facility Data 2023'!$AE$2:$AG$10000,MATCH(Z3429,'CAMD Facility Data 2023'!$AE$2:$AE$10000,0),3)&gt;0,INDEX('CAMD Facility Data 2023'!$AE$2:$AG$10000,MATCH(Z3429,'CAMD Facility Data 2023'!$AE$2:$AE$10000,0),3),"")</f>
        <v/>
      </c>
      <c r="AD3429" s="20">
        <f t="shared" si="160"/>
        <v>1.136265677442148</v>
      </c>
      <c r="AE3429" s="25">
        <f t="shared" si="161"/>
        <v>7.0548894470894061E-2</v>
      </c>
    </row>
    <row r="3430" spans="1:31" x14ac:dyDescent="0.2">
      <c r="A3430" s="1" t="s">
        <v>348</v>
      </c>
      <c r="B3430" s="1" t="s">
        <v>7627</v>
      </c>
      <c r="C3430" s="1">
        <v>56505</v>
      </c>
      <c r="D3430" s="1" t="s">
        <v>7635</v>
      </c>
      <c r="F3430" s="1">
        <v>2023</v>
      </c>
      <c r="G3430" s="5">
        <v>547</v>
      </c>
      <c r="H3430" s="5">
        <v>547</v>
      </c>
      <c r="I3430" s="5">
        <v>20296</v>
      </c>
      <c r="K3430" s="5">
        <v>6.7000000000000004E-2</v>
      </c>
      <c r="L3430" s="5">
        <v>8.0000000000000004E-4</v>
      </c>
      <c r="M3430" s="5">
        <v>12438.8</v>
      </c>
      <c r="N3430" s="6">
        <v>5.8799999999999998E-2</v>
      </c>
      <c r="O3430" s="5">
        <v>10.545</v>
      </c>
      <c r="P3430" s="6">
        <v>9.9900000000000003E-2</v>
      </c>
      <c r="Q3430" s="5">
        <v>210904.1</v>
      </c>
      <c r="R3430" s="1" t="s">
        <v>44</v>
      </c>
      <c r="T3430" s="1" t="s">
        <v>93</v>
      </c>
      <c r="V3430" s="1" t="s">
        <v>95</v>
      </c>
      <c r="Y3430" s="1" t="s">
        <v>346</v>
      </c>
      <c r="Z3430" s="1" t="str">
        <f t="shared" si="159"/>
        <v>56505 SN07</v>
      </c>
      <c r="AA3430" s="3">
        <f>IF(INDEX('CAMD Facility Data 2023'!$AA$2:$AE$10000,MATCH(Z3430,'CAMD Facility Data 2023'!$AE$2:$AE$10000,0),1)&gt;0,INDEX('CAMD Facility Data 2023'!$AA$2:$AE$10000,MATCH(Z3430,'CAMD Facility Data 2023'!$AE$2:$AE$10000,0),1),"")</f>
        <v>39220</v>
      </c>
      <c r="AB3430" s="5">
        <f>IF(INDEX('CAMD Facility Data 2023'!$AC$2:$AE$10000,MATCH(Z3430,'CAMD Facility Data 2023'!$AE$2:$AE$10000,0),1)&gt;0,INDEX('CAMD Facility Data 2023'!$AC$2:$AE$10000,MATCH(Z3430,'CAMD Facility Data 2023'!$AE$2:$AE$10000,0),1),"")</f>
        <v>468</v>
      </c>
      <c r="AC3430" s="1" t="str">
        <f>IF(INDEX('CAMD Facility Data 2023'!$AE$2:$AG$10000,MATCH(Z3430,'CAMD Facility Data 2023'!$AE$2:$AE$10000,0),3)&gt;0,INDEX('CAMD Facility Data 2023'!$AE$2:$AG$10000,MATCH(Z3430,'CAMD Facility Data 2023'!$AE$2:$AE$10000,0),3),"")</f>
        <v/>
      </c>
      <c r="AD3430" s="20">
        <f t="shared" si="160"/>
        <v>1.0391210090658258</v>
      </c>
      <c r="AE3430" s="25">
        <f t="shared" si="161"/>
        <v>5.1444039534792964E-2</v>
      </c>
    </row>
    <row r="3431" spans="1:31" x14ac:dyDescent="0.2">
      <c r="A3431" s="1" t="s">
        <v>370</v>
      </c>
      <c r="B3431" s="1" t="s">
        <v>7637</v>
      </c>
      <c r="C3431" s="1">
        <v>56532</v>
      </c>
      <c r="D3431" s="1" t="s">
        <v>311</v>
      </c>
      <c r="F3431" s="1">
        <v>2023</v>
      </c>
      <c r="G3431" s="5">
        <v>5508</v>
      </c>
      <c r="H3431" s="5">
        <v>5405.05</v>
      </c>
      <c r="I3431" s="5">
        <v>1488147.09</v>
      </c>
      <c r="K3431" s="5">
        <v>3.2010000000000001</v>
      </c>
      <c r="L3431" s="5">
        <v>1E-3</v>
      </c>
      <c r="M3431" s="5">
        <v>634111.19999999995</v>
      </c>
      <c r="N3431" s="6">
        <v>5.8999999999999997E-2</v>
      </c>
      <c r="O3431" s="5">
        <v>20.884</v>
      </c>
      <c r="P3431" s="6">
        <v>6.4000000000000003E-3</v>
      </c>
      <c r="Q3431" s="5">
        <v>10670170.669</v>
      </c>
      <c r="R3431" s="1" t="s">
        <v>44</v>
      </c>
      <c r="T3431" s="1" t="s">
        <v>71</v>
      </c>
      <c r="V3431" s="1" t="s">
        <v>64</v>
      </c>
      <c r="Y3431" s="1" t="s">
        <v>247</v>
      </c>
      <c r="Z3431" s="1" t="str">
        <f t="shared" si="159"/>
        <v>56532 CT1</v>
      </c>
      <c r="AA3431" s="3">
        <f>IF(INDEX('CAMD Facility Data 2023'!$AA$2:$AE$10000,MATCH(Z3431,'CAMD Facility Data 2023'!$AE$2:$AE$10000,0),1)&gt;0,INDEX('CAMD Facility Data 2023'!$AA$2:$AE$10000,MATCH(Z3431,'CAMD Facility Data 2023'!$AE$2:$AE$10000,0),1),"")</f>
        <v>40423</v>
      </c>
      <c r="AB3431" s="5">
        <f>IF(INDEX('CAMD Facility Data 2023'!$AC$2:$AE$10000,MATCH(Z3431,'CAMD Facility Data 2023'!$AE$2:$AE$10000,0),1)&gt;0,INDEX('CAMD Facility Data 2023'!$AC$2:$AE$10000,MATCH(Z3431,'CAMD Facility Data 2023'!$AE$2:$AE$10000,0),1),"")</f>
        <v>2430</v>
      </c>
      <c r="AC3431" s="1" t="str">
        <f>IF(INDEX('CAMD Facility Data 2023'!$AE$2:$AG$10000,MATCH(Z3431,'CAMD Facility Data 2023'!$AE$2:$AE$10000,0),3)&gt;0,INDEX('CAMD Facility Data 2023'!$AE$2:$AG$10000,MATCH(Z3431,'CAMD Facility Data 2023'!$AE$2:$AE$10000,0),3),"")</f>
        <v>Y</v>
      </c>
      <c r="AD3431" s="20">
        <f t="shared" si="160"/>
        <v>2.8067118015867636E-2</v>
      </c>
      <c r="AE3431" s="25">
        <f t="shared" si="161"/>
        <v>0.5012576182892684</v>
      </c>
    </row>
    <row r="3432" spans="1:31" x14ac:dyDescent="0.2">
      <c r="A3432" s="1" t="s">
        <v>370</v>
      </c>
      <c r="B3432" s="1" t="s">
        <v>7637</v>
      </c>
      <c r="C3432" s="1">
        <v>56532</v>
      </c>
      <c r="D3432" s="1" t="s">
        <v>98</v>
      </c>
      <c r="F3432" s="1">
        <v>2023</v>
      </c>
      <c r="G3432" s="5">
        <v>5694</v>
      </c>
      <c r="H3432" s="5">
        <v>5583.41</v>
      </c>
      <c r="I3432" s="5">
        <v>1524860.58</v>
      </c>
      <c r="K3432" s="5">
        <v>3.2749999999999999</v>
      </c>
      <c r="L3432" s="5">
        <v>1E-3</v>
      </c>
      <c r="M3432" s="5">
        <v>648668.81799999997</v>
      </c>
      <c r="N3432" s="6">
        <v>5.8900000000000001E-2</v>
      </c>
      <c r="O3432" s="5">
        <v>24.54</v>
      </c>
      <c r="P3432" s="6">
        <v>7.0000000000000001E-3</v>
      </c>
      <c r="Q3432" s="5">
        <v>10915114.01</v>
      </c>
      <c r="R3432" s="1" t="s">
        <v>44</v>
      </c>
      <c r="T3432" s="1" t="s">
        <v>71</v>
      </c>
      <c r="V3432" s="1" t="s">
        <v>64</v>
      </c>
      <c r="Y3432" s="1" t="s">
        <v>247</v>
      </c>
      <c r="Z3432" s="1" t="str">
        <f t="shared" si="159"/>
        <v>56532 CT2</v>
      </c>
      <c r="AA3432" s="3">
        <f>IF(INDEX('CAMD Facility Data 2023'!$AA$2:$AE$10000,MATCH(Z3432,'CAMD Facility Data 2023'!$AE$2:$AE$10000,0),1)&gt;0,INDEX('CAMD Facility Data 2023'!$AA$2:$AE$10000,MATCH(Z3432,'CAMD Facility Data 2023'!$AE$2:$AE$10000,0),1),"")</f>
        <v>40435</v>
      </c>
      <c r="AB3432" s="5">
        <f>IF(INDEX('CAMD Facility Data 2023'!$AC$2:$AE$10000,MATCH(Z3432,'CAMD Facility Data 2023'!$AE$2:$AE$10000,0),1)&gt;0,INDEX('CAMD Facility Data 2023'!$AC$2:$AE$10000,MATCH(Z3432,'CAMD Facility Data 2023'!$AE$2:$AE$10000,0),1),"")</f>
        <v>2430</v>
      </c>
      <c r="AC3432" s="1" t="str">
        <f>IF(INDEX('CAMD Facility Data 2023'!$AE$2:$AG$10000,MATCH(Z3432,'CAMD Facility Data 2023'!$AE$2:$AE$10000,0),3)&gt;0,INDEX('CAMD Facility Data 2023'!$AE$2:$AG$10000,MATCH(Z3432,'CAMD Facility Data 2023'!$AE$2:$AE$10000,0),3),"")</f>
        <v>Y</v>
      </c>
      <c r="AD3432" s="20">
        <f t="shared" si="160"/>
        <v>3.2186549146676742E-2</v>
      </c>
      <c r="AE3432" s="25">
        <f t="shared" si="161"/>
        <v>0.51276443664618443</v>
      </c>
    </row>
    <row r="3433" spans="1:31" x14ac:dyDescent="0.2">
      <c r="A3433" s="1" t="s">
        <v>165</v>
      </c>
      <c r="B3433" s="1" t="s">
        <v>7642</v>
      </c>
      <c r="C3433" s="1">
        <v>56556</v>
      </c>
      <c r="D3433" s="1" t="s">
        <v>7643</v>
      </c>
      <c r="F3433" s="1">
        <v>2023</v>
      </c>
      <c r="G3433" s="5">
        <v>1331</v>
      </c>
      <c r="H3433" s="5">
        <v>1104.92</v>
      </c>
      <c r="I3433" s="5">
        <v>25957.73</v>
      </c>
      <c r="K3433" s="5">
        <v>8.7999999999999995E-2</v>
      </c>
      <c r="L3433" s="5">
        <v>1E-3</v>
      </c>
      <c r="M3433" s="5">
        <v>17425.856</v>
      </c>
      <c r="N3433" s="6">
        <v>5.9299999999999999E-2</v>
      </c>
      <c r="O3433" s="5">
        <v>13.37</v>
      </c>
      <c r="P3433" s="6">
        <v>0.10249999999999999</v>
      </c>
      <c r="Q3433" s="5">
        <v>293190.98200000002</v>
      </c>
      <c r="R3433" s="1" t="s">
        <v>44</v>
      </c>
      <c r="T3433" s="1" t="s">
        <v>93</v>
      </c>
      <c r="V3433" s="1" t="s">
        <v>95</v>
      </c>
      <c r="Y3433" s="1" t="s">
        <v>168</v>
      </c>
      <c r="Z3433" s="1" t="str">
        <f t="shared" si="159"/>
        <v>56556 EU01A</v>
      </c>
      <c r="AA3433" s="3">
        <f>IF(INDEX('CAMD Facility Data 2023'!$AA$2:$AE$10000,MATCH(Z3433,'CAMD Facility Data 2023'!$AE$2:$AE$10000,0),1)&gt;0,INDEX('CAMD Facility Data 2023'!$AA$2:$AE$10000,MATCH(Z3433,'CAMD Facility Data 2023'!$AE$2:$AE$10000,0),1),"")</f>
        <v>40281</v>
      </c>
      <c r="AB3433" s="5">
        <f>IF(INDEX('CAMD Facility Data 2023'!$AC$2:$AE$10000,MATCH(Z3433,'CAMD Facility Data 2023'!$AE$2:$AE$10000,0),1)&gt;0,INDEX('CAMD Facility Data 2023'!$AC$2:$AE$10000,MATCH(Z3433,'CAMD Facility Data 2023'!$AE$2:$AE$10000,0),1),"")</f>
        <v>332</v>
      </c>
      <c r="AC3433" s="1" t="str">
        <f>IF(INDEX('CAMD Facility Data 2023'!$AE$2:$AG$10000,MATCH(Z3433,'CAMD Facility Data 2023'!$AE$2:$AE$10000,0),3)&gt;0,INDEX('CAMD Facility Data 2023'!$AE$2:$AG$10000,MATCH(Z3433,'CAMD Facility Data 2023'!$AE$2:$AE$10000,0),3),"")</f>
        <v/>
      </c>
      <c r="AD3433" s="20">
        <f t="shared" si="160"/>
        <v>1.0301363023654226</v>
      </c>
      <c r="AE3433" s="25">
        <f t="shared" si="161"/>
        <v>0.10081111500797713</v>
      </c>
    </row>
    <row r="3434" spans="1:31" x14ac:dyDescent="0.2">
      <c r="A3434" s="1" t="s">
        <v>165</v>
      </c>
      <c r="B3434" s="1" t="s">
        <v>7642</v>
      </c>
      <c r="C3434" s="1">
        <v>56556</v>
      </c>
      <c r="D3434" s="1" t="s">
        <v>7646</v>
      </c>
      <c r="F3434" s="1">
        <v>2023</v>
      </c>
      <c r="G3434" s="5">
        <v>1322</v>
      </c>
      <c r="H3434" s="5">
        <v>1093.56</v>
      </c>
      <c r="I3434" s="5">
        <v>26866.6</v>
      </c>
      <c r="K3434" s="5">
        <v>9.0999999999999998E-2</v>
      </c>
      <c r="L3434" s="5">
        <v>1E-3</v>
      </c>
      <c r="M3434" s="5">
        <v>17984.148000000001</v>
      </c>
      <c r="N3434" s="6">
        <v>5.9299999999999999E-2</v>
      </c>
      <c r="O3434" s="5">
        <v>13.695</v>
      </c>
      <c r="P3434" s="6">
        <v>9.8699999999999996E-2</v>
      </c>
      <c r="Q3434" s="5">
        <v>302631.05099999998</v>
      </c>
      <c r="R3434" s="1" t="s">
        <v>44</v>
      </c>
      <c r="T3434" s="1" t="s">
        <v>93</v>
      </c>
      <c r="V3434" s="1" t="s">
        <v>95</v>
      </c>
      <c r="Y3434" s="1" t="s">
        <v>168</v>
      </c>
      <c r="Z3434" s="1" t="str">
        <f t="shared" si="159"/>
        <v>56556 EU01B</v>
      </c>
      <c r="AA3434" s="3">
        <f>IF(INDEX('CAMD Facility Data 2023'!$AA$2:$AE$10000,MATCH(Z3434,'CAMD Facility Data 2023'!$AE$2:$AE$10000,0),1)&gt;0,INDEX('CAMD Facility Data 2023'!$AA$2:$AE$10000,MATCH(Z3434,'CAMD Facility Data 2023'!$AE$2:$AE$10000,0),1),"")</f>
        <v>40281</v>
      </c>
      <c r="AB3434" s="5">
        <f>IF(INDEX('CAMD Facility Data 2023'!$AC$2:$AE$10000,MATCH(Z3434,'CAMD Facility Data 2023'!$AE$2:$AE$10000,0),1)&gt;0,INDEX('CAMD Facility Data 2023'!$AC$2:$AE$10000,MATCH(Z3434,'CAMD Facility Data 2023'!$AE$2:$AE$10000,0),1),"")</f>
        <v>333</v>
      </c>
      <c r="AC3434" s="1" t="str">
        <f>IF(INDEX('CAMD Facility Data 2023'!$AE$2:$AG$10000,MATCH(Z3434,'CAMD Facility Data 2023'!$AE$2:$AE$10000,0),3)&gt;0,INDEX('CAMD Facility Data 2023'!$AE$2:$AG$10000,MATCH(Z3434,'CAMD Facility Data 2023'!$AE$2:$AE$10000,0),3),"")</f>
        <v/>
      </c>
      <c r="AD3434" s="20">
        <f t="shared" si="160"/>
        <v>1.0194814379192008</v>
      </c>
      <c r="AE3434" s="25">
        <f t="shared" si="161"/>
        <v>0.10374451540581676</v>
      </c>
    </row>
    <row r="3435" spans="1:31" x14ac:dyDescent="0.2">
      <c r="A3435" s="1" t="s">
        <v>165</v>
      </c>
      <c r="B3435" s="1" t="s">
        <v>7642</v>
      </c>
      <c r="C3435" s="1">
        <v>56556</v>
      </c>
      <c r="D3435" s="1" t="s">
        <v>7647</v>
      </c>
      <c r="F3435" s="1">
        <v>2023</v>
      </c>
      <c r="G3435" s="5">
        <v>1225</v>
      </c>
      <c r="H3435" s="5">
        <v>1013.05</v>
      </c>
      <c r="I3435" s="5">
        <v>23945.88</v>
      </c>
      <c r="K3435" s="5">
        <v>0.08</v>
      </c>
      <c r="L3435" s="5">
        <v>1E-3</v>
      </c>
      <c r="M3435" s="5">
        <v>15769.847</v>
      </c>
      <c r="N3435" s="6">
        <v>5.9299999999999999E-2</v>
      </c>
      <c r="O3435" s="5">
        <v>11.93</v>
      </c>
      <c r="P3435" s="6">
        <v>0.10009999999999999</v>
      </c>
      <c r="Q3435" s="5">
        <v>265356.42099999997</v>
      </c>
      <c r="R3435" s="1" t="s">
        <v>44</v>
      </c>
      <c r="T3435" s="1" t="s">
        <v>93</v>
      </c>
      <c r="V3435" s="1" t="s">
        <v>95</v>
      </c>
      <c r="Y3435" s="1" t="s">
        <v>168</v>
      </c>
      <c r="Z3435" s="1" t="str">
        <f t="shared" si="159"/>
        <v>56556 EU02A</v>
      </c>
      <c r="AA3435" s="3">
        <f>IF(INDEX('CAMD Facility Data 2023'!$AA$2:$AE$10000,MATCH(Z3435,'CAMD Facility Data 2023'!$AE$2:$AE$10000,0),1)&gt;0,INDEX('CAMD Facility Data 2023'!$AA$2:$AE$10000,MATCH(Z3435,'CAMD Facility Data 2023'!$AE$2:$AE$10000,0),1),"")</f>
        <v>40287</v>
      </c>
      <c r="AB3435" s="5">
        <f>IF(INDEX('CAMD Facility Data 2023'!$AC$2:$AE$10000,MATCH(Z3435,'CAMD Facility Data 2023'!$AE$2:$AE$10000,0),1)&gt;0,INDEX('CAMD Facility Data 2023'!$AC$2:$AE$10000,MATCH(Z3435,'CAMD Facility Data 2023'!$AE$2:$AE$10000,0),1),"")</f>
        <v>332</v>
      </c>
      <c r="AC3435" s="1" t="str">
        <f>IF(INDEX('CAMD Facility Data 2023'!$AE$2:$AG$10000,MATCH(Z3435,'CAMD Facility Data 2023'!$AE$2:$AE$10000,0),3)&gt;0,INDEX('CAMD Facility Data 2023'!$AE$2:$AG$10000,MATCH(Z3435,'CAMD Facility Data 2023'!$AE$2:$AE$10000,0),3),"")</f>
        <v/>
      </c>
      <c r="AD3435" s="20">
        <f t="shared" si="160"/>
        <v>0.99641357928796093</v>
      </c>
      <c r="AE3435" s="25">
        <f t="shared" si="161"/>
        <v>9.1240448437585955E-2</v>
      </c>
    </row>
    <row r="3436" spans="1:31" x14ac:dyDescent="0.2">
      <c r="A3436" s="1" t="s">
        <v>165</v>
      </c>
      <c r="B3436" s="1" t="s">
        <v>7642</v>
      </c>
      <c r="C3436" s="1">
        <v>56556</v>
      </c>
      <c r="D3436" s="1" t="s">
        <v>7648</v>
      </c>
      <c r="F3436" s="1">
        <v>2023</v>
      </c>
      <c r="G3436" s="5">
        <v>1222</v>
      </c>
      <c r="H3436" s="5">
        <v>1010.64</v>
      </c>
      <c r="I3436" s="5">
        <v>24787.75</v>
      </c>
      <c r="K3436" s="5">
        <v>8.2000000000000003E-2</v>
      </c>
      <c r="L3436" s="5">
        <v>1E-3</v>
      </c>
      <c r="M3436" s="5">
        <v>16236.164000000001</v>
      </c>
      <c r="N3436" s="6">
        <v>5.9400000000000001E-2</v>
      </c>
      <c r="O3436" s="5">
        <v>12.305</v>
      </c>
      <c r="P3436" s="6">
        <v>0.1017</v>
      </c>
      <c r="Q3436" s="5">
        <v>273166.94500000001</v>
      </c>
      <c r="R3436" s="1" t="s">
        <v>44</v>
      </c>
      <c r="T3436" s="1" t="s">
        <v>93</v>
      </c>
      <c r="V3436" s="1" t="s">
        <v>95</v>
      </c>
      <c r="Y3436" s="1" t="s">
        <v>168</v>
      </c>
      <c r="Z3436" s="1" t="str">
        <f t="shared" si="159"/>
        <v>56556 EU02B</v>
      </c>
      <c r="AA3436" s="3">
        <f>IF(INDEX('CAMD Facility Data 2023'!$AA$2:$AE$10000,MATCH(Z3436,'CAMD Facility Data 2023'!$AE$2:$AE$10000,0),1)&gt;0,INDEX('CAMD Facility Data 2023'!$AA$2:$AE$10000,MATCH(Z3436,'CAMD Facility Data 2023'!$AE$2:$AE$10000,0),1),"")</f>
        <v>40287</v>
      </c>
      <c r="AB3436" s="5">
        <f>IF(INDEX('CAMD Facility Data 2023'!$AC$2:$AE$10000,MATCH(Z3436,'CAMD Facility Data 2023'!$AE$2:$AE$10000,0),1)&gt;0,INDEX('CAMD Facility Data 2023'!$AC$2:$AE$10000,MATCH(Z3436,'CAMD Facility Data 2023'!$AE$2:$AE$10000,0),1),"")</f>
        <v>332</v>
      </c>
      <c r="AC3436" s="1" t="str">
        <f>IF(INDEX('CAMD Facility Data 2023'!$AE$2:$AG$10000,MATCH(Z3436,'CAMD Facility Data 2023'!$AE$2:$AE$10000,0),3)&gt;0,INDEX('CAMD Facility Data 2023'!$AE$2:$AG$10000,MATCH(Z3436,'CAMD Facility Data 2023'!$AE$2:$AE$10000,0),3),"")</f>
        <v/>
      </c>
      <c r="AD3436" s="20">
        <f t="shared" si="160"/>
        <v>0.99282911922219641</v>
      </c>
      <c r="AE3436" s="25">
        <f t="shared" si="161"/>
        <v>9.3926027741101398E-2</v>
      </c>
    </row>
    <row r="3437" spans="1:31" x14ac:dyDescent="0.2">
      <c r="A3437" s="1" t="s">
        <v>348</v>
      </c>
      <c r="B3437" s="1" t="s">
        <v>7649</v>
      </c>
      <c r="C3437" s="1">
        <v>56564</v>
      </c>
      <c r="D3437" s="1" t="s">
        <v>7174</v>
      </c>
      <c r="F3437" s="1">
        <v>2023</v>
      </c>
      <c r="G3437" s="5">
        <v>7150</v>
      </c>
      <c r="H3437" s="5">
        <v>7133.95</v>
      </c>
      <c r="I3437" s="5">
        <v>3354434.4</v>
      </c>
      <c r="K3437" s="5">
        <v>571.80799999999999</v>
      </c>
      <c r="L3437" s="5">
        <v>3.85E-2</v>
      </c>
      <c r="M3437" s="5">
        <v>3166856.139</v>
      </c>
      <c r="N3437" s="6">
        <v>0.105</v>
      </c>
      <c r="O3437" s="5">
        <v>612.33399999999995</v>
      </c>
      <c r="P3437" s="6">
        <v>4.1799999999999997E-2</v>
      </c>
      <c r="Q3437" s="5">
        <v>30195081.011</v>
      </c>
      <c r="R3437" s="1" t="s">
        <v>55</v>
      </c>
      <c r="T3437" s="1" t="s">
        <v>89</v>
      </c>
      <c r="U3437" s="1" t="s">
        <v>212</v>
      </c>
      <c r="V3437" s="1" t="s">
        <v>563</v>
      </c>
      <c r="W3437" s="1" t="s">
        <v>232</v>
      </c>
      <c r="X3437" s="1" t="s">
        <v>214</v>
      </c>
      <c r="Y3437" s="1" t="s">
        <v>337</v>
      </c>
      <c r="Z3437" s="1" t="str">
        <f t="shared" si="159"/>
        <v>56564 SN-01</v>
      </c>
      <c r="AA3437" s="3">
        <f>IF(INDEX('CAMD Facility Data 2023'!$AA$2:$AE$10000,MATCH(Z3437,'CAMD Facility Data 2023'!$AE$2:$AE$10000,0),1)&gt;0,INDEX('CAMD Facility Data 2023'!$AA$2:$AE$10000,MATCH(Z3437,'CAMD Facility Data 2023'!$AE$2:$AE$10000,0),1),"")</f>
        <v>41221</v>
      </c>
      <c r="AB3437" s="5">
        <f>IF(INDEX('CAMD Facility Data 2023'!$AC$2:$AE$10000,MATCH(Z3437,'CAMD Facility Data 2023'!$AE$2:$AE$10000,0),1)&gt;0,INDEX('CAMD Facility Data 2023'!$AC$2:$AE$10000,MATCH(Z3437,'CAMD Facility Data 2023'!$AE$2:$AE$10000,0),1),"")</f>
        <v>6000</v>
      </c>
      <c r="AC3437" s="1" t="str">
        <f>IF(INDEX('CAMD Facility Data 2023'!$AE$2:$AG$10000,MATCH(Z3437,'CAMD Facility Data 2023'!$AE$2:$AE$10000,0),3)&gt;0,INDEX('CAMD Facility Data 2023'!$AE$2:$AG$10000,MATCH(Z3437,'CAMD Facility Data 2023'!$AE$2:$AE$10000,0),3),"")</f>
        <v>Y</v>
      </c>
      <c r="AD3437" s="20">
        <f t="shared" si="160"/>
        <v>0.36508926810433379</v>
      </c>
      <c r="AE3437" s="25">
        <f t="shared" si="161"/>
        <v>0.57448784267503805</v>
      </c>
    </row>
    <row r="3438" spans="1:31" x14ac:dyDescent="0.2">
      <c r="A3438" s="1" t="s">
        <v>370</v>
      </c>
      <c r="B3438" s="1" t="s">
        <v>7651</v>
      </c>
      <c r="C3438" s="1">
        <v>56569</v>
      </c>
      <c r="D3438" s="1">
        <v>1</v>
      </c>
      <c r="F3438" s="1">
        <v>2023</v>
      </c>
      <c r="G3438" s="5">
        <v>1248</v>
      </c>
      <c r="H3438" s="5">
        <v>1002.52</v>
      </c>
      <c r="I3438" s="5">
        <v>42201.86</v>
      </c>
      <c r="K3438" s="5">
        <v>0.11700000000000001</v>
      </c>
      <c r="L3438" s="5">
        <v>1E-3</v>
      </c>
      <c r="M3438" s="5">
        <v>23216.901999999998</v>
      </c>
      <c r="N3438" s="6">
        <v>5.9299999999999999E-2</v>
      </c>
      <c r="O3438" s="5">
        <v>2.0529999999999999</v>
      </c>
      <c r="P3438" s="6">
        <v>1.7100000000000001E-2</v>
      </c>
      <c r="Q3438" s="5">
        <v>390647.82900000003</v>
      </c>
      <c r="R3438" s="1" t="s">
        <v>44</v>
      </c>
      <c r="T3438" s="1" t="s">
        <v>93</v>
      </c>
      <c r="V3438" s="1" t="s">
        <v>64</v>
      </c>
      <c r="Y3438" s="1" t="s">
        <v>247</v>
      </c>
      <c r="Z3438" s="1" t="str">
        <f t="shared" si="159"/>
        <v>56569 1</v>
      </c>
      <c r="AA3438" s="3">
        <f>IF(INDEX('CAMD Facility Data 2023'!$AA$2:$AE$10000,MATCH(Z3438,'CAMD Facility Data 2023'!$AE$2:$AE$10000,0),1)&gt;0,INDEX('CAMD Facility Data 2023'!$AA$2:$AE$10000,MATCH(Z3438,'CAMD Facility Data 2023'!$AE$2:$AE$10000,0),1),"")</f>
        <v>39561</v>
      </c>
      <c r="AB3438" s="5">
        <f>IF(INDEX('CAMD Facility Data 2023'!$AC$2:$AE$10000,MATCH(Z3438,'CAMD Facility Data 2023'!$AE$2:$AE$10000,0),1)&gt;0,INDEX('CAMD Facility Data 2023'!$AC$2:$AE$10000,MATCH(Z3438,'CAMD Facility Data 2023'!$AE$2:$AE$10000,0),1),"")</f>
        <v>439.6</v>
      </c>
      <c r="AC3438" s="1" t="str">
        <f>IF(INDEX('CAMD Facility Data 2023'!$AE$2:$AG$10000,MATCH(Z3438,'CAMD Facility Data 2023'!$AE$2:$AE$10000,0),3)&gt;0,INDEX('CAMD Facility Data 2023'!$AE$2:$AG$10000,MATCH(Z3438,'CAMD Facility Data 2023'!$AE$2:$AE$10000,0),3),"")</f>
        <v>Y</v>
      </c>
      <c r="AD3438" s="20">
        <f t="shared" si="160"/>
        <v>9.7294289872531678E-2</v>
      </c>
      <c r="AE3438" s="25">
        <f t="shared" si="161"/>
        <v>0.10144335993493463</v>
      </c>
    </row>
    <row r="3439" spans="1:31" x14ac:dyDescent="0.2">
      <c r="A3439" s="1" t="s">
        <v>370</v>
      </c>
      <c r="B3439" s="1" t="s">
        <v>7651</v>
      </c>
      <c r="C3439" s="1">
        <v>56569</v>
      </c>
      <c r="D3439" s="1">
        <v>2</v>
      </c>
      <c r="F3439" s="1">
        <v>2023</v>
      </c>
      <c r="G3439" s="5">
        <v>1443</v>
      </c>
      <c r="H3439" s="5">
        <v>1177.1300000000001</v>
      </c>
      <c r="I3439" s="5">
        <v>49271.71</v>
      </c>
      <c r="K3439" s="5">
        <v>0.14000000000000001</v>
      </c>
      <c r="L3439" s="5">
        <v>1E-3</v>
      </c>
      <c r="M3439" s="5">
        <v>27744.914000000001</v>
      </c>
      <c r="N3439" s="6">
        <v>5.9200000000000003E-2</v>
      </c>
      <c r="O3439" s="5">
        <v>2.3359999999999999</v>
      </c>
      <c r="P3439" s="6">
        <v>1.7600000000000001E-2</v>
      </c>
      <c r="Q3439" s="5">
        <v>466845.61099999998</v>
      </c>
      <c r="R3439" s="1" t="s">
        <v>44</v>
      </c>
      <c r="T3439" s="1" t="s">
        <v>93</v>
      </c>
      <c r="V3439" s="1" t="s">
        <v>64</v>
      </c>
      <c r="Y3439" s="1" t="s">
        <v>247</v>
      </c>
      <c r="Z3439" s="1" t="str">
        <f t="shared" si="159"/>
        <v>56569 2</v>
      </c>
      <c r="AA3439" s="3">
        <f>IF(INDEX('CAMD Facility Data 2023'!$AA$2:$AE$10000,MATCH(Z3439,'CAMD Facility Data 2023'!$AE$2:$AE$10000,0),1)&gt;0,INDEX('CAMD Facility Data 2023'!$AA$2:$AE$10000,MATCH(Z3439,'CAMD Facility Data 2023'!$AE$2:$AE$10000,0),1),"")</f>
        <v>39551</v>
      </c>
      <c r="AB3439" s="5">
        <f>IF(INDEX('CAMD Facility Data 2023'!$AC$2:$AE$10000,MATCH(Z3439,'CAMD Facility Data 2023'!$AE$2:$AE$10000,0),1)&gt;0,INDEX('CAMD Facility Data 2023'!$AC$2:$AE$10000,MATCH(Z3439,'CAMD Facility Data 2023'!$AE$2:$AE$10000,0),1),"")</f>
        <v>439.6</v>
      </c>
      <c r="AC3439" s="1" t="str">
        <f>IF(INDEX('CAMD Facility Data 2023'!$AE$2:$AG$10000,MATCH(Z3439,'CAMD Facility Data 2023'!$AE$2:$AE$10000,0),3)&gt;0,INDEX('CAMD Facility Data 2023'!$AE$2:$AG$10000,MATCH(Z3439,'CAMD Facility Data 2023'!$AE$2:$AE$10000,0),3),"")</f>
        <v>Y</v>
      </c>
      <c r="AD3439" s="20">
        <f t="shared" si="160"/>
        <v>9.4821145846166091E-2</v>
      </c>
      <c r="AE3439" s="25">
        <f t="shared" si="161"/>
        <v>0.12123038664248527</v>
      </c>
    </row>
    <row r="3440" spans="1:31" x14ac:dyDescent="0.2">
      <c r="A3440" s="1" t="s">
        <v>3253</v>
      </c>
      <c r="B3440" s="1" t="s">
        <v>7652</v>
      </c>
      <c r="C3440" s="1">
        <v>56596</v>
      </c>
      <c r="D3440" s="1">
        <v>1</v>
      </c>
      <c r="F3440" s="1">
        <v>2023</v>
      </c>
      <c r="G3440" s="5">
        <v>8450</v>
      </c>
      <c r="H3440" s="5">
        <v>8434.91</v>
      </c>
      <c r="I3440" s="5">
        <v>880896.33</v>
      </c>
      <c r="K3440" s="5">
        <v>182.28899999999999</v>
      </c>
      <c r="L3440" s="5">
        <v>3.8899999999999997E-2</v>
      </c>
      <c r="M3440" s="5">
        <v>956642.23499999999</v>
      </c>
      <c r="N3440" s="6">
        <v>0.105</v>
      </c>
      <c r="O3440" s="5">
        <v>203.03800000000001</v>
      </c>
      <c r="P3440" s="6">
        <v>4.7500000000000001E-2</v>
      </c>
      <c r="Q3440" s="5">
        <v>9121300.1349999998</v>
      </c>
      <c r="R3440" s="1" t="s">
        <v>55</v>
      </c>
      <c r="T3440" s="1" t="s">
        <v>89</v>
      </c>
      <c r="U3440" s="1" t="s">
        <v>212</v>
      </c>
      <c r="V3440" s="1" t="s">
        <v>639</v>
      </c>
      <c r="W3440" s="1" t="s">
        <v>232</v>
      </c>
      <c r="Y3440" s="1" t="s">
        <v>236</v>
      </c>
      <c r="Z3440" s="1" t="str">
        <f t="shared" si="159"/>
        <v>56596 1</v>
      </c>
      <c r="AA3440" s="3">
        <f>IF(INDEX('CAMD Facility Data 2023'!$AA$2:$AE$10000,MATCH(Z3440,'CAMD Facility Data 2023'!$AE$2:$AE$10000,0),1)&gt;0,INDEX('CAMD Facility Data 2023'!$AA$2:$AE$10000,MATCH(Z3440,'CAMD Facility Data 2023'!$AE$2:$AE$10000,0),1),"")</f>
        <v>40217</v>
      </c>
      <c r="AB3440" s="5">
        <f>IF(INDEX('CAMD Facility Data 2023'!$AC$2:$AE$10000,MATCH(Z3440,'CAMD Facility Data 2023'!$AE$2:$AE$10000,0),1)&gt;0,INDEX('CAMD Facility Data 2023'!$AC$2:$AE$10000,MATCH(Z3440,'CAMD Facility Data 2023'!$AE$2:$AE$10000,0),1),"")</f>
        <v>1300</v>
      </c>
      <c r="AC3440" s="1" t="str">
        <f>IF(INDEX('CAMD Facility Data 2023'!$AE$2:$AG$10000,MATCH(Z3440,'CAMD Facility Data 2023'!$AE$2:$AE$10000,0),3)&gt;0,INDEX('CAMD Facility Data 2023'!$AE$2:$AG$10000,MATCH(Z3440,'CAMD Facility Data 2023'!$AE$2:$AE$10000,0),3),"")</f>
        <v>Y</v>
      </c>
      <c r="AD3440" s="20">
        <f t="shared" si="160"/>
        <v>0.46098046520411773</v>
      </c>
      <c r="AE3440" s="25">
        <f t="shared" si="161"/>
        <v>0.80095715972953985</v>
      </c>
    </row>
    <row r="3441" spans="1:31" x14ac:dyDescent="0.2">
      <c r="A3441" s="1" t="s">
        <v>383</v>
      </c>
      <c r="B3441" s="1" t="s">
        <v>7654</v>
      </c>
      <c r="C3441" s="1">
        <v>56603</v>
      </c>
      <c r="D3441" s="1" t="s">
        <v>7655</v>
      </c>
      <c r="F3441" s="1">
        <v>2023</v>
      </c>
      <c r="G3441" s="5">
        <v>1228</v>
      </c>
      <c r="H3441" s="5">
        <v>1055.79</v>
      </c>
      <c r="I3441" s="5">
        <v>64014.78</v>
      </c>
      <c r="K3441" s="5">
        <v>0.24399999999999999</v>
      </c>
      <c r="L3441" s="5">
        <v>1E-3</v>
      </c>
      <c r="M3441" s="5">
        <v>48232.446000000004</v>
      </c>
      <c r="N3441" s="6">
        <v>5.8999999999999997E-2</v>
      </c>
      <c r="O3441" s="5">
        <v>9.5410000000000004</v>
      </c>
      <c r="P3441" s="6">
        <v>3.4000000000000002E-2</v>
      </c>
      <c r="Q3441" s="5">
        <v>811604.18400000001</v>
      </c>
      <c r="R3441" s="1" t="s">
        <v>44</v>
      </c>
      <c r="T3441" s="1" t="s">
        <v>93</v>
      </c>
      <c r="V3441" s="1" t="s">
        <v>140</v>
      </c>
      <c r="Y3441" s="1" t="s">
        <v>346</v>
      </c>
      <c r="Z3441" s="1" t="str">
        <f t="shared" si="159"/>
        <v>56603 SJCCT1</v>
      </c>
      <c r="AA3441" s="3">
        <f>IF(INDEX('CAMD Facility Data 2023'!$AA$2:$AE$10000,MATCH(Z3441,'CAMD Facility Data 2023'!$AE$2:$AE$10000,0),1)&gt;0,INDEX('CAMD Facility Data 2023'!$AA$2:$AE$10000,MATCH(Z3441,'CAMD Facility Data 2023'!$AE$2:$AE$10000,0),1),"")</f>
        <v>40008</v>
      </c>
      <c r="AB3441" s="5">
        <f>IF(INDEX('CAMD Facility Data 2023'!$AC$2:$AE$10000,MATCH(Z3441,'CAMD Facility Data 2023'!$AE$2:$AE$10000,0),1)&gt;0,INDEX('CAMD Facility Data 2023'!$AC$2:$AE$10000,MATCH(Z3441,'CAMD Facility Data 2023'!$AE$2:$AE$10000,0),1),"")</f>
        <v>1100</v>
      </c>
      <c r="AC3441" s="1" t="str">
        <f>IF(INDEX('CAMD Facility Data 2023'!$AE$2:$AG$10000,MATCH(Z3441,'CAMD Facility Data 2023'!$AE$2:$AE$10000,0),3)&gt;0,INDEX('CAMD Facility Data 2023'!$AE$2:$AG$10000,MATCH(Z3441,'CAMD Facility Data 2023'!$AE$2:$AE$10000,0),3),"")</f>
        <v/>
      </c>
      <c r="AD3441" s="20">
        <f t="shared" si="160"/>
        <v>0.29808741043865183</v>
      </c>
      <c r="AE3441" s="25">
        <f t="shared" si="161"/>
        <v>8.4226254047322535E-2</v>
      </c>
    </row>
    <row r="3442" spans="1:31" x14ac:dyDescent="0.2">
      <c r="A3442" s="1" t="s">
        <v>383</v>
      </c>
      <c r="B3442" s="1" t="s">
        <v>7654</v>
      </c>
      <c r="C3442" s="1">
        <v>56603</v>
      </c>
      <c r="D3442" s="1" t="s">
        <v>7660</v>
      </c>
      <c r="F3442" s="1">
        <v>2023</v>
      </c>
      <c r="G3442" s="5">
        <v>990</v>
      </c>
      <c r="H3442" s="5">
        <v>840.87</v>
      </c>
      <c r="I3442" s="5">
        <v>50600.73</v>
      </c>
      <c r="K3442" s="5">
        <v>0.193</v>
      </c>
      <c r="L3442" s="5">
        <v>1E-3</v>
      </c>
      <c r="M3442" s="5">
        <v>38270.760999999999</v>
      </c>
      <c r="N3442" s="6">
        <v>5.8999999999999997E-2</v>
      </c>
      <c r="O3442" s="5">
        <v>8.0640000000000001</v>
      </c>
      <c r="P3442" s="6">
        <v>3.4799999999999998E-2</v>
      </c>
      <c r="Q3442" s="5">
        <v>643966.88300000003</v>
      </c>
      <c r="R3442" s="1" t="s">
        <v>44</v>
      </c>
      <c r="T3442" s="1" t="s">
        <v>93</v>
      </c>
      <c r="V3442" s="1" t="s">
        <v>140</v>
      </c>
      <c r="Y3442" s="1" t="s">
        <v>346</v>
      </c>
      <c r="Z3442" s="1" t="str">
        <f t="shared" si="159"/>
        <v>56603 SJCCT2</v>
      </c>
      <c r="AA3442" s="3">
        <f>IF(INDEX('CAMD Facility Data 2023'!$AA$2:$AE$10000,MATCH(Z3442,'CAMD Facility Data 2023'!$AE$2:$AE$10000,0),1)&gt;0,INDEX('CAMD Facility Data 2023'!$AA$2:$AE$10000,MATCH(Z3442,'CAMD Facility Data 2023'!$AE$2:$AE$10000,0),1),"")</f>
        <v>40007</v>
      </c>
      <c r="AB3442" s="5">
        <f>IF(INDEX('CAMD Facility Data 2023'!$AC$2:$AE$10000,MATCH(Z3442,'CAMD Facility Data 2023'!$AE$2:$AE$10000,0),1)&gt;0,INDEX('CAMD Facility Data 2023'!$AC$2:$AE$10000,MATCH(Z3442,'CAMD Facility Data 2023'!$AE$2:$AE$10000,0),1),"")</f>
        <v>1100</v>
      </c>
      <c r="AC3442" s="1" t="str">
        <f>IF(INDEX('CAMD Facility Data 2023'!$AE$2:$AG$10000,MATCH(Z3442,'CAMD Facility Data 2023'!$AE$2:$AE$10000,0),3)&gt;0,INDEX('CAMD Facility Data 2023'!$AE$2:$AG$10000,MATCH(Z3442,'CAMD Facility Data 2023'!$AE$2:$AE$10000,0),3),"")</f>
        <v/>
      </c>
      <c r="AD3442" s="20">
        <f t="shared" si="160"/>
        <v>0.31873057957859502</v>
      </c>
      <c r="AE3442" s="25">
        <f t="shared" si="161"/>
        <v>6.6829273868825242E-2</v>
      </c>
    </row>
    <row r="3443" spans="1:31" x14ac:dyDescent="0.2">
      <c r="A3443" s="1" t="s">
        <v>383</v>
      </c>
      <c r="B3443" s="1" t="s">
        <v>7662</v>
      </c>
      <c r="C3443" s="1">
        <v>56604</v>
      </c>
      <c r="D3443" s="1" t="s">
        <v>7663</v>
      </c>
      <c r="F3443" s="1">
        <v>2023</v>
      </c>
      <c r="G3443" s="5">
        <v>1142</v>
      </c>
      <c r="H3443" s="5">
        <v>998.16</v>
      </c>
      <c r="I3443" s="5">
        <v>67492.78</v>
      </c>
      <c r="K3443" s="5">
        <v>0.247</v>
      </c>
      <c r="L3443" s="5">
        <v>1E-3</v>
      </c>
      <c r="M3443" s="5">
        <v>49013.826999999997</v>
      </c>
      <c r="N3443" s="6">
        <v>5.8999999999999997E-2</v>
      </c>
      <c r="O3443" s="5">
        <v>12.291</v>
      </c>
      <c r="P3443" s="6">
        <v>3.6900000000000002E-2</v>
      </c>
      <c r="Q3443" s="5">
        <v>824784.78</v>
      </c>
      <c r="R3443" s="1" t="s">
        <v>44</v>
      </c>
      <c r="T3443" s="1" t="s">
        <v>93</v>
      </c>
      <c r="V3443" s="1" t="s">
        <v>140</v>
      </c>
      <c r="Y3443" s="1" t="s">
        <v>346</v>
      </c>
      <c r="Z3443" s="1" t="str">
        <f t="shared" si="159"/>
        <v>56604 HCCT1</v>
      </c>
      <c r="AA3443" s="3">
        <f>IF(INDEX('CAMD Facility Data 2023'!$AA$2:$AE$10000,MATCH(Z3443,'CAMD Facility Data 2023'!$AE$2:$AE$10000,0),1)&gt;0,INDEX('CAMD Facility Data 2023'!$AA$2:$AE$10000,MATCH(Z3443,'CAMD Facility Data 2023'!$AE$2:$AE$10000,0),1),"")</f>
        <v>40101</v>
      </c>
      <c r="AB3443" s="5">
        <f>IF(INDEX('CAMD Facility Data 2023'!$AC$2:$AE$10000,MATCH(Z3443,'CAMD Facility Data 2023'!$AE$2:$AE$10000,0),1)&gt;0,INDEX('CAMD Facility Data 2023'!$AC$2:$AE$10000,MATCH(Z3443,'CAMD Facility Data 2023'!$AE$2:$AE$10000,0),1),"")</f>
        <v>1110.5</v>
      </c>
      <c r="AC3443" s="1" t="str">
        <f>IF(INDEX('CAMD Facility Data 2023'!$AE$2:$AG$10000,MATCH(Z3443,'CAMD Facility Data 2023'!$AE$2:$AE$10000,0),3)&gt;0,INDEX('CAMD Facility Data 2023'!$AE$2:$AG$10000,MATCH(Z3443,'CAMD Facility Data 2023'!$AE$2:$AE$10000,0),3),"")</f>
        <v/>
      </c>
      <c r="AD3443" s="20">
        <f t="shared" si="160"/>
        <v>0.36421673547896533</v>
      </c>
      <c r="AE3443" s="25">
        <f t="shared" si="161"/>
        <v>8.4784793965448121E-2</v>
      </c>
    </row>
    <row r="3444" spans="1:31" x14ac:dyDescent="0.2">
      <c r="A3444" s="1" t="s">
        <v>383</v>
      </c>
      <c r="B3444" s="1" t="s">
        <v>7662</v>
      </c>
      <c r="C3444" s="1">
        <v>56604</v>
      </c>
      <c r="D3444" s="1" t="s">
        <v>7669</v>
      </c>
      <c r="F3444" s="1">
        <v>2023</v>
      </c>
      <c r="G3444" s="5">
        <v>1045</v>
      </c>
      <c r="H3444" s="5">
        <v>910.12</v>
      </c>
      <c r="I3444" s="5">
        <v>61906.1</v>
      </c>
      <c r="K3444" s="5">
        <v>0.22700000000000001</v>
      </c>
      <c r="L3444" s="5">
        <v>1E-3</v>
      </c>
      <c r="M3444" s="5">
        <v>44929.673000000003</v>
      </c>
      <c r="N3444" s="6">
        <v>5.8999999999999997E-2</v>
      </c>
      <c r="O3444" s="5">
        <v>11.17</v>
      </c>
      <c r="P3444" s="6">
        <v>3.6999999999999998E-2</v>
      </c>
      <c r="Q3444" s="5">
        <v>756049.27500000002</v>
      </c>
      <c r="R3444" s="1" t="s">
        <v>44</v>
      </c>
      <c r="T3444" s="1" t="s">
        <v>93</v>
      </c>
      <c r="V3444" s="1" t="s">
        <v>140</v>
      </c>
      <c r="Y3444" s="1" t="s">
        <v>346</v>
      </c>
      <c r="Z3444" s="1" t="str">
        <f t="shared" si="159"/>
        <v>56604 HCCT2</v>
      </c>
      <c r="AA3444" s="3">
        <f>IF(INDEX('CAMD Facility Data 2023'!$AA$2:$AE$10000,MATCH(Z3444,'CAMD Facility Data 2023'!$AE$2:$AE$10000,0),1)&gt;0,INDEX('CAMD Facility Data 2023'!$AA$2:$AE$10000,MATCH(Z3444,'CAMD Facility Data 2023'!$AE$2:$AE$10000,0),1),"")</f>
        <v>40101</v>
      </c>
      <c r="AB3444" s="5">
        <f>IF(INDEX('CAMD Facility Data 2023'!$AC$2:$AE$10000,MATCH(Z3444,'CAMD Facility Data 2023'!$AE$2:$AE$10000,0),1)&gt;0,INDEX('CAMD Facility Data 2023'!$AC$2:$AE$10000,MATCH(Z3444,'CAMD Facility Data 2023'!$AE$2:$AE$10000,0),1),"")</f>
        <v>1110.5</v>
      </c>
      <c r="AC3444" s="1" t="str">
        <f>IF(INDEX('CAMD Facility Data 2023'!$AE$2:$AG$10000,MATCH(Z3444,'CAMD Facility Data 2023'!$AE$2:$AE$10000,0),3)&gt;0,INDEX('CAMD Facility Data 2023'!$AE$2:$AG$10000,MATCH(Z3444,'CAMD Facility Data 2023'!$AE$2:$AE$10000,0),3),"")</f>
        <v/>
      </c>
      <c r="AD3444" s="20">
        <f t="shared" si="160"/>
        <v>0.36086912275203897</v>
      </c>
      <c r="AE3444" s="25">
        <f t="shared" si="161"/>
        <v>7.7719040849179383E-2</v>
      </c>
    </row>
    <row r="3445" spans="1:31" x14ac:dyDescent="0.2">
      <c r="A3445" s="1" t="s">
        <v>1843</v>
      </c>
      <c r="B3445" s="1" t="s">
        <v>7671</v>
      </c>
      <c r="C3445" s="1">
        <v>56606</v>
      </c>
      <c r="D3445" s="1" t="s">
        <v>993</v>
      </c>
      <c r="F3445" s="1">
        <v>2023</v>
      </c>
      <c r="G3445" s="5">
        <v>6072</v>
      </c>
      <c r="H3445" s="5">
        <v>5850.64</v>
      </c>
      <c r="I3445" s="5">
        <v>327800.32000000001</v>
      </c>
      <c r="K3445" s="5">
        <v>0.76700000000000002</v>
      </c>
      <c r="L3445" s="5">
        <v>1E-3</v>
      </c>
      <c r="M3445" s="5">
        <v>151914.924</v>
      </c>
      <c r="N3445" s="6">
        <v>5.9200000000000003E-2</v>
      </c>
      <c r="O3445" s="5">
        <v>108.91500000000001</v>
      </c>
      <c r="P3445" s="6">
        <v>8.6300000000000002E-2</v>
      </c>
      <c r="Q3445" s="5">
        <v>2556323.1239999998</v>
      </c>
      <c r="R3445" s="1" t="s">
        <v>44</v>
      </c>
      <c r="T3445" s="1" t="s">
        <v>93</v>
      </c>
      <c r="V3445" s="1" t="s">
        <v>95</v>
      </c>
      <c r="Y3445" s="1" t="s">
        <v>247</v>
      </c>
      <c r="Z3445" s="1" t="str">
        <f t="shared" si="159"/>
        <v>56606 CT01</v>
      </c>
      <c r="AA3445" s="3">
        <f>IF(INDEX('CAMD Facility Data 2023'!$AA$2:$AE$10000,MATCH(Z3445,'CAMD Facility Data 2023'!$AE$2:$AE$10000,0),1)&gt;0,INDEX('CAMD Facility Data 2023'!$AA$2:$AE$10000,MATCH(Z3445,'CAMD Facility Data 2023'!$AE$2:$AE$10000,0),1),"")</f>
        <v>40347</v>
      </c>
      <c r="AB3445" s="5">
        <f>IF(INDEX('CAMD Facility Data 2023'!$AC$2:$AE$10000,MATCH(Z3445,'CAMD Facility Data 2023'!$AE$2:$AE$10000,0),1)&gt;0,INDEX('CAMD Facility Data 2023'!$AC$2:$AE$10000,MATCH(Z3445,'CAMD Facility Data 2023'!$AE$2:$AE$10000,0),1),"")</f>
        <v>786.5</v>
      </c>
      <c r="AC3445" s="1" t="str">
        <f>IF(INDEX('CAMD Facility Data 2023'!$AE$2:$AG$10000,MATCH(Z3445,'CAMD Facility Data 2023'!$AE$2:$AE$10000,0),3)&gt;0,INDEX('CAMD Facility Data 2023'!$AE$2:$AG$10000,MATCH(Z3445,'CAMD Facility Data 2023'!$AE$2:$AE$10000,0),3),"")</f>
        <v/>
      </c>
      <c r="AD3445" s="20">
        <f t="shared" si="160"/>
        <v>0.6645204007122385</v>
      </c>
      <c r="AE3445" s="25">
        <f t="shared" si="161"/>
        <v>0.37103332259272481</v>
      </c>
    </row>
    <row r="3446" spans="1:31" x14ac:dyDescent="0.2">
      <c r="A3446" s="1" t="s">
        <v>3253</v>
      </c>
      <c r="B3446" s="1" t="s">
        <v>7675</v>
      </c>
      <c r="C3446" s="1">
        <v>56609</v>
      </c>
      <c r="D3446" s="1">
        <v>1</v>
      </c>
      <c r="F3446" s="1">
        <v>2023</v>
      </c>
      <c r="G3446" s="5">
        <v>7905</v>
      </c>
      <c r="H3446" s="5">
        <v>7876.25</v>
      </c>
      <c r="I3446" s="5">
        <v>3163235.49</v>
      </c>
      <c r="K3446" s="5">
        <v>886.48</v>
      </c>
      <c r="L3446" s="5">
        <v>6.1699999999999998E-2</v>
      </c>
      <c r="M3446" s="5">
        <v>3106072.9640000002</v>
      </c>
      <c r="N3446" s="6">
        <v>0.105</v>
      </c>
      <c r="O3446" s="5">
        <v>652.00199999999995</v>
      </c>
      <c r="P3446" s="6">
        <v>4.5699999999999998E-2</v>
      </c>
      <c r="Q3446" s="5">
        <v>29615474.274</v>
      </c>
      <c r="R3446" s="1" t="s">
        <v>55</v>
      </c>
      <c r="T3446" s="1" t="s">
        <v>89</v>
      </c>
      <c r="U3446" s="1" t="s">
        <v>212</v>
      </c>
      <c r="V3446" s="1" t="s">
        <v>223</v>
      </c>
      <c r="W3446" s="1" t="s">
        <v>232</v>
      </c>
      <c r="X3446" s="1" t="s">
        <v>7676</v>
      </c>
      <c r="Y3446" s="1" t="s">
        <v>236</v>
      </c>
      <c r="Z3446" s="1" t="str">
        <f t="shared" si="159"/>
        <v>56609 1</v>
      </c>
      <c r="AA3446" s="3">
        <f>IF(INDEX('CAMD Facility Data 2023'!$AA$2:$AE$10000,MATCH(Z3446,'CAMD Facility Data 2023'!$AE$2:$AE$10000,0),1)&gt;0,INDEX('CAMD Facility Data 2023'!$AA$2:$AE$10000,MATCH(Z3446,'CAMD Facility Data 2023'!$AE$2:$AE$10000,0),1),"")</f>
        <v>40673</v>
      </c>
      <c r="AB3446" s="5">
        <f>IF(INDEX('CAMD Facility Data 2023'!$AC$2:$AE$10000,MATCH(Z3446,'CAMD Facility Data 2023'!$AE$2:$AE$10000,0),1)&gt;0,INDEX('CAMD Facility Data 2023'!$AC$2:$AE$10000,MATCH(Z3446,'CAMD Facility Data 2023'!$AE$2:$AE$10000,0),1),"")</f>
        <v>6066</v>
      </c>
      <c r="AC3446" s="1" t="str">
        <f>IF(INDEX('CAMD Facility Data 2023'!$AE$2:$AG$10000,MATCH(Z3446,'CAMD Facility Data 2023'!$AE$2:$AE$10000,0),3)&gt;0,INDEX('CAMD Facility Data 2023'!$AE$2:$AG$10000,MATCH(Z3446,'CAMD Facility Data 2023'!$AE$2:$AE$10000,0),3),"")</f>
        <v>Y</v>
      </c>
      <c r="AD3446" s="20">
        <f t="shared" si="160"/>
        <v>0.41223740822407118</v>
      </c>
      <c r="AE3446" s="25">
        <f t="shared" si="161"/>
        <v>0.5573296906403985</v>
      </c>
    </row>
    <row r="3447" spans="1:31" x14ac:dyDescent="0.2">
      <c r="A3447" s="1" t="s">
        <v>2750</v>
      </c>
      <c r="B3447" s="1" t="s">
        <v>7678</v>
      </c>
      <c r="C3447" s="1">
        <v>56610</v>
      </c>
      <c r="D3447" s="1">
        <v>1</v>
      </c>
      <c r="F3447" s="1">
        <v>2023</v>
      </c>
      <c r="G3447" s="5">
        <v>5131</v>
      </c>
      <c r="H3447" s="5">
        <v>5016.3599999999997</v>
      </c>
      <c r="I3447" s="5">
        <v>1089102.3</v>
      </c>
      <c r="K3447" s="5">
        <v>2.5630000000000002</v>
      </c>
      <c r="L3447" s="5">
        <v>1E-3</v>
      </c>
      <c r="M3447" s="5">
        <v>507685.06599999999</v>
      </c>
      <c r="N3447" s="6">
        <v>5.8999999999999997E-2</v>
      </c>
      <c r="O3447" s="5">
        <v>45.945</v>
      </c>
      <c r="P3447" s="6">
        <v>1.4500000000000001E-2</v>
      </c>
      <c r="Q3447" s="5">
        <v>8542763.0539999995</v>
      </c>
      <c r="R3447" s="1" t="s">
        <v>44</v>
      </c>
      <c r="T3447" s="1" t="s">
        <v>71</v>
      </c>
      <c r="V3447" s="1" t="s">
        <v>223</v>
      </c>
      <c r="Y3447" s="1" t="s">
        <v>247</v>
      </c>
      <c r="Z3447" s="1" t="str">
        <f t="shared" si="159"/>
        <v>56610 1</v>
      </c>
      <c r="AA3447" s="3">
        <f>IF(INDEX('CAMD Facility Data 2023'!$AA$2:$AE$10000,MATCH(Z3447,'CAMD Facility Data 2023'!$AE$2:$AE$10000,0),1)&gt;0,INDEX('CAMD Facility Data 2023'!$AA$2:$AE$10000,MATCH(Z3447,'CAMD Facility Data 2023'!$AE$2:$AE$10000,0),1),"")</f>
        <v>41018</v>
      </c>
      <c r="AB3447" s="5">
        <f>IF(INDEX('CAMD Facility Data 2023'!$AC$2:$AE$10000,MATCH(Z3447,'CAMD Facility Data 2023'!$AE$2:$AE$10000,0),1)&gt;0,INDEX('CAMD Facility Data 2023'!$AC$2:$AE$10000,MATCH(Z3447,'CAMD Facility Data 2023'!$AE$2:$AE$10000,0),1),"")</f>
        <v>2344</v>
      </c>
      <c r="AC3447" s="1" t="str">
        <f>IF(INDEX('CAMD Facility Data 2023'!$AE$2:$AG$10000,MATCH(Z3447,'CAMD Facility Data 2023'!$AE$2:$AE$10000,0),3)&gt;0,INDEX('CAMD Facility Data 2023'!$AE$2:$AG$10000,MATCH(Z3447,'CAMD Facility Data 2023'!$AE$2:$AE$10000,0),3),"")</f>
        <v>Y</v>
      </c>
      <c r="AD3447" s="20">
        <f t="shared" si="160"/>
        <v>8.4372239412220496E-2</v>
      </c>
      <c r="AE3447" s="25">
        <f t="shared" si="161"/>
        <v>0.41604149397275858</v>
      </c>
    </row>
    <row r="3448" spans="1:31" x14ac:dyDescent="0.2">
      <c r="A3448" s="1" t="s">
        <v>383</v>
      </c>
      <c r="B3448" s="1" t="s">
        <v>7680</v>
      </c>
      <c r="C3448" s="1">
        <v>56611</v>
      </c>
      <c r="D3448" s="1" t="s">
        <v>7681</v>
      </c>
      <c r="F3448" s="1">
        <v>2023</v>
      </c>
      <c r="G3448" s="5">
        <v>7200</v>
      </c>
      <c r="H3448" s="5">
        <v>7195.31</v>
      </c>
      <c r="I3448" s="5">
        <v>3549352.76</v>
      </c>
      <c r="K3448" s="5">
        <v>1697.135</v>
      </c>
      <c r="L3448" s="5">
        <v>9.8100000000000007E-2</v>
      </c>
      <c r="M3448" s="5">
        <v>3780874.034</v>
      </c>
      <c r="N3448" s="6">
        <v>0.104</v>
      </c>
      <c r="O3448" s="5">
        <v>752.56799999999998</v>
      </c>
      <c r="P3448" s="6">
        <v>4.1500000000000002E-2</v>
      </c>
      <c r="Q3448" s="5">
        <v>36169509.511</v>
      </c>
      <c r="R3448" s="1" t="s">
        <v>55</v>
      </c>
      <c r="T3448" s="1" t="s">
        <v>89</v>
      </c>
      <c r="U3448" s="1" t="s">
        <v>212</v>
      </c>
      <c r="V3448" s="1" t="s">
        <v>223</v>
      </c>
      <c r="W3448" s="1" t="s">
        <v>232</v>
      </c>
      <c r="X3448" s="1" t="s">
        <v>214</v>
      </c>
      <c r="Y3448" s="1" t="s">
        <v>337</v>
      </c>
      <c r="Z3448" s="1" t="str">
        <f t="shared" si="159"/>
        <v>56611 S01</v>
      </c>
      <c r="AA3448" s="3">
        <f>IF(INDEX('CAMD Facility Data 2023'!$AA$2:$AE$10000,MATCH(Z3448,'CAMD Facility Data 2023'!$AE$2:$AE$10000,0),1)&gt;0,INDEX('CAMD Facility Data 2023'!$AA$2:$AE$10000,MATCH(Z3448,'CAMD Facility Data 2023'!$AE$2:$AE$10000,0),1),"")</f>
        <v>40826</v>
      </c>
      <c r="AB3448" s="5">
        <f>IF(INDEX('CAMD Facility Data 2023'!$AC$2:$AE$10000,MATCH(Z3448,'CAMD Facility Data 2023'!$AE$2:$AE$10000,0),1)&gt;0,INDEX('CAMD Facility Data 2023'!$AC$2:$AE$10000,MATCH(Z3448,'CAMD Facility Data 2023'!$AE$2:$AE$10000,0),1),"")</f>
        <v>12000</v>
      </c>
      <c r="AC3448" s="1" t="str">
        <f>IF(INDEX('CAMD Facility Data 2023'!$AE$2:$AG$10000,MATCH(Z3448,'CAMD Facility Data 2023'!$AE$2:$AE$10000,0),3)&gt;0,INDEX('CAMD Facility Data 2023'!$AE$2:$AG$10000,MATCH(Z3448,'CAMD Facility Data 2023'!$AE$2:$AE$10000,0),3),"")</f>
        <v>Y</v>
      </c>
      <c r="AD3448" s="20">
        <f t="shared" si="160"/>
        <v>0.42405928679796823</v>
      </c>
      <c r="AE3448" s="25">
        <f t="shared" si="161"/>
        <v>0.34407828682458141</v>
      </c>
    </row>
    <row r="3449" spans="1:31" x14ac:dyDescent="0.2">
      <c r="A3449" s="1" t="s">
        <v>577</v>
      </c>
      <c r="B3449" s="1" t="s">
        <v>7686</v>
      </c>
      <c r="C3449" s="1">
        <v>56629</v>
      </c>
      <c r="D3449" s="1">
        <v>10</v>
      </c>
      <c r="F3449" s="1">
        <v>2023</v>
      </c>
      <c r="G3449" s="5">
        <v>851</v>
      </c>
      <c r="H3449" s="5">
        <v>569.24</v>
      </c>
      <c r="I3449" s="5">
        <v>41268.129999999997</v>
      </c>
      <c r="K3449" s="5">
        <v>0.11700000000000001</v>
      </c>
      <c r="L3449" s="5">
        <v>1E-3</v>
      </c>
      <c r="M3449" s="5">
        <v>23524.695</v>
      </c>
      <c r="N3449" s="6">
        <v>5.91E-2</v>
      </c>
      <c r="O3449" s="5">
        <v>2.33</v>
      </c>
      <c r="P3449" s="6">
        <v>2.0199999999999999E-2</v>
      </c>
      <c r="Q3449" s="5">
        <v>395452.386</v>
      </c>
      <c r="R3449" s="1" t="s">
        <v>44</v>
      </c>
      <c r="S3449" s="1" t="s">
        <v>94</v>
      </c>
      <c r="T3449" s="1" t="s">
        <v>93</v>
      </c>
      <c r="V3449" s="1" t="s">
        <v>176</v>
      </c>
      <c r="Y3449" s="1" t="s">
        <v>579</v>
      </c>
      <c r="Z3449" s="1" t="str">
        <f t="shared" si="159"/>
        <v>56629 10</v>
      </c>
      <c r="AA3449" s="3">
        <f>IF(INDEX('CAMD Facility Data 2023'!$AA$2:$AE$10000,MATCH(Z3449,'CAMD Facility Data 2023'!$AE$2:$AE$10000,0),1)&gt;0,INDEX('CAMD Facility Data 2023'!$AA$2:$AE$10000,MATCH(Z3449,'CAMD Facility Data 2023'!$AE$2:$AE$10000,0),1),"")</f>
        <v>39948</v>
      </c>
      <c r="AB3449" s="5">
        <f>IF(INDEX('CAMD Facility Data 2023'!$AC$2:$AE$10000,MATCH(Z3449,'CAMD Facility Data 2023'!$AE$2:$AE$10000,0),1)&gt;0,INDEX('CAMD Facility Data 2023'!$AC$2:$AE$10000,MATCH(Z3449,'CAMD Facility Data 2023'!$AE$2:$AE$10000,0),1),"")</f>
        <v>1800</v>
      </c>
      <c r="AC3449" s="1" t="str">
        <f>IF(INDEX('CAMD Facility Data 2023'!$AE$2:$AG$10000,MATCH(Z3449,'CAMD Facility Data 2023'!$AE$2:$AE$10000,0),3)&gt;0,INDEX('CAMD Facility Data 2023'!$AE$2:$AG$10000,MATCH(Z3449,'CAMD Facility Data 2023'!$AE$2:$AE$10000,0),3),"")</f>
        <v>Y</v>
      </c>
      <c r="AD3449" s="20">
        <f t="shared" si="160"/>
        <v>0.11292006688938899</v>
      </c>
      <c r="AE3449" s="25">
        <f t="shared" si="161"/>
        <v>2.5079425799086758E-2</v>
      </c>
    </row>
    <row r="3450" spans="1:31" x14ac:dyDescent="0.2">
      <c r="A3450" s="1" t="s">
        <v>370</v>
      </c>
      <c r="B3450" s="1" t="s">
        <v>7689</v>
      </c>
      <c r="C3450" s="1">
        <v>56639</v>
      </c>
      <c r="D3450" s="1">
        <v>1</v>
      </c>
      <c r="F3450" s="1">
        <v>2023</v>
      </c>
      <c r="G3450" s="5">
        <v>256</v>
      </c>
      <c r="H3450" s="5">
        <v>206.88</v>
      </c>
      <c r="I3450" s="5">
        <v>9501.5300000000007</v>
      </c>
      <c r="K3450" s="5">
        <v>3.2000000000000001E-2</v>
      </c>
      <c r="L3450" s="5">
        <v>1E-3</v>
      </c>
      <c r="M3450" s="5">
        <v>6240.0709999999999</v>
      </c>
      <c r="N3450" s="6">
        <v>5.9200000000000003E-2</v>
      </c>
      <c r="O3450" s="5">
        <v>0.68500000000000005</v>
      </c>
      <c r="P3450" s="6">
        <v>1.72E-2</v>
      </c>
      <c r="Q3450" s="5">
        <v>105008.258</v>
      </c>
      <c r="R3450" s="1" t="s">
        <v>44</v>
      </c>
      <c r="T3450" s="1" t="s">
        <v>93</v>
      </c>
      <c r="V3450" s="1" t="s">
        <v>1608</v>
      </c>
      <c r="Y3450" s="1" t="s">
        <v>247</v>
      </c>
      <c r="Z3450" s="1" t="str">
        <f t="shared" si="159"/>
        <v>56639 1</v>
      </c>
      <c r="AA3450" s="3">
        <f>IF(INDEX('CAMD Facility Data 2023'!$AA$2:$AE$10000,MATCH(Z3450,'CAMD Facility Data 2023'!$AE$2:$AE$10000,0),1)&gt;0,INDEX('CAMD Facility Data 2023'!$AA$2:$AE$10000,MATCH(Z3450,'CAMD Facility Data 2023'!$AE$2:$AE$10000,0),1),"")</f>
        <v>39922</v>
      </c>
      <c r="AB3450" s="5">
        <f>IF(INDEX('CAMD Facility Data 2023'!$AC$2:$AE$10000,MATCH(Z3450,'CAMD Facility Data 2023'!$AE$2:$AE$10000,0),1)&gt;0,INDEX('CAMD Facility Data 2023'!$AC$2:$AE$10000,MATCH(Z3450,'CAMD Facility Data 2023'!$AE$2:$AE$10000,0),1),"")</f>
        <v>684.2</v>
      </c>
      <c r="AC3450" s="1" t="str">
        <f>IF(INDEX('CAMD Facility Data 2023'!$AE$2:$AG$10000,MATCH(Z3450,'CAMD Facility Data 2023'!$AE$2:$AE$10000,0),3)&gt;0,INDEX('CAMD Facility Data 2023'!$AE$2:$AG$10000,MATCH(Z3450,'CAMD Facility Data 2023'!$AE$2:$AE$10000,0),3),"")</f>
        <v>Y</v>
      </c>
      <c r="AD3450" s="20">
        <f t="shared" si="160"/>
        <v>0.14418730457094803</v>
      </c>
      <c r="AE3450" s="25">
        <f t="shared" si="161"/>
        <v>1.7520087787089945E-2</v>
      </c>
    </row>
    <row r="3451" spans="1:31" x14ac:dyDescent="0.2">
      <c r="A3451" s="1" t="s">
        <v>370</v>
      </c>
      <c r="B3451" s="1" t="s">
        <v>7689</v>
      </c>
      <c r="C3451" s="1">
        <v>56639</v>
      </c>
      <c r="D3451" s="1">
        <v>2</v>
      </c>
      <c r="F3451" s="1">
        <v>2023</v>
      </c>
      <c r="G3451" s="5">
        <v>295</v>
      </c>
      <c r="H3451" s="5">
        <v>235.92</v>
      </c>
      <c r="I3451" s="5">
        <v>10934.89</v>
      </c>
      <c r="K3451" s="5">
        <v>3.6999999999999998E-2</v>
      </c>
      <c r="L3451" s="5">
        <v>1E-3</v>
      </c>
      <c r="M3451" s="5">
        <v>7280.6040000000003</v>
      </c>
      <c r="N3451" s="6">
        <v>5.9200000000000003E-2</v>
      </c>
      <c r="O3451" s="5">
        <v>0.63800000000000001</v>
      </c>
      <c r="P3451" s="6">
        <v>1.49E-2</v>
      </c>
      <c r="Q3451" s="5">
        <v>122509.974</v>
      </c>
      <c r="R3451" s="1" t="s">
        <v>44</v>
      </c>
      <c r="T3451" s="1" t="s">
        <v>93</v>
      </c>
      <c r="V3451" s="1" t="s">
        <v>1608</v>
      </c>
      <c r="Y3451" s="1" t="s">
        <v>247</v>
      </c>
      <c r="Z3451" s="1" t="str">
        <f t="shared" si="159"/>
        <v>56639 2</v>
      </c>
      <c r="AA3451" s="3">
        <f>IF(INDEX('CAMD Facility Data 2023'!$AA$2:$AE$10000,MATCH(Z3451,'CAMD Facility Data 2023'!$AE$2:$AE$10000,0),1)&gt;0,INDEX('CAMD Facility Data 2023'!$AA$2:$AE$10000,MATCH(Z3451,'CAMD Facility Data 2023'!$AE$2:$AE$10000,0),1),"")</f>
        <v>39913</v>
      </c>
      <c r="AB3451" s="5">
        <f>IF(INDEX('CAMD Facility Data 2023'!$AC$2:$AE$10000,MATCH(Z3451,'CAMD Facility Data 2023'!$AE$2:$AE$10000,0),1)&gt;0,INDEX('CAMD Facility Data 2023'!$AC$2:$AE$10000,MATCH(Z3451,'CAMD Facility Data 2023'!$AE$2:$AE$10000,0),1),"")</f>
        <v>684.2</v>
      </c>
      <c r="AC3451" s="1" t="str">
        <f>IF(INDEX('CAMD Facility Data 2023'!$AE$2:$AG$10000,MATCH(Z3451,'CAMD Facility Data 2023'!$AE$2:$AE$10000,0),3)&gt;0,INDEX('CAMD Facility Data 2023'!$AE$2:$AG$10000,MATCH(Z3451,'CAMD Facility Data 2023'!$AE$2:$AE$10000,0),3),"")</f>
        <v>Y</v>
      </c>
      <c r="AD3451" s="20">
        <f t="shared" si="160"/>
        <v>0.11669070287858406</v>
      </c>
      <c r="AE3451" s="25">
        <f t="shared" si="161"/>
        <v>2.0440159089908021E-2</v>
      </c>
    </row>
    <row r="3452" spans="1:31" x14ac:dyDescent="0.2">
      <c r="A3452" s="1" t="s">
        <v>3140</v>
      </c>
      <c r="B3452" s="1" t="s">
        <v>7692</v>
      </c>
      <c r="C3452" s="1">
        <v>56671</v>
      </c>
      <c r="D3452" s="1">
        <v>1</v>
      </c>
      <c r="F3452" s="1">
        <v>2023</v>
      </c>
      <c r="G3452" s="5">
        <v>6846</v>
      </c>
      <c r="H3452" s="5">
        <v>6829.56</v>
      </c>
      <c r="I3452" s="5">
        <v>4360908.3499999996</v>
      </c>
      <c r="K3452" s="5">
        <v>1599.664</v>
      </c>
      <c r="L3452" s="5">
        <v>8.8300000000000003E-2</v>
      </c>
      <c r="M3452" s="5">
        <v>3827911.1770000001</v>
      </c>
      <c r="N3452" s="6">
        <v>0.10299999999999999</v>
      </c>
      <c r="O3452" s="5">
        <v>1175.691</v>
      </c>
      <c r="P3452" s="6">
        <v>6.4500000000000002E-2</v>
      </c>
      <c r="Q3452" s="5">
        <v>37309141.287</v>
      </c>
      <c r="R3452" s="1" t="s">
        <v>55</v>
      </c>
      <c r="T3452" s="1" t="s">
        <v>89</v>
      </c>
      <c r="U3452" s="1" t="s">
        <v>7694</v>
      </c>
      <c r="V3452" s="1" t="s">
        <v>563</v>
      </c>
      <c r="W3452" s="1" t="s">
        <v>232</v>
      </c>
      <c r="Y3452" s="1" t="s">
        <v>1353</v>
      </c>
      <c r="Z3452" s="1" t="str">
        <f t="shared" si="159"/>
        <v>56671 1</v>
      </c>
      <c r="AA3452" s="3">
        <f>IF(INDEX('CAMD Facility Data 2023'!$AA$2:$AE$10000,MATCH(Z3452,'CAMD Facility Data 2023'!$AE$2:$AE$10000,0),1)&gt;0,INDEX('CAMD Facility Data 2023'!$AA$2:$AE$10000,MATCH(Z3452,'CAMD Facility Data 2023'!$AE$2:$AE$10000,0),1),"")</f>
        <v>40669</v>
      </c>
      <c r="AB3452" s="5">
        <f>IF(INDEX('CAMD Facility Data 2023'!$AC$2:$AE$10000,MATCH(Z3452,'CAMD Facility Data 2023'!$AE$2:$AE$10000,0),1)&gt;0,INDEX('CAMD Facility Data 2023'!$AC$2:$AE$10000,MATCH(Z3452,'CAMD Facility Data 2023'!$AE$2:$AE$10000,0),1),"")</f>
        <v>7200</v>
      </c>
      <c r="AC3452" s="1" t="str">
        <f>IF(INDEX('CAMD Facility Data 2023'!$AE$2:$AG$10000,MATCH(Z3452,'CAMD Facility Data 2023'!$AE$2:$AE$10000,0),3)&gt;0,INDEX('CAMD Facility Data 2023'!$AE$2:$AG$10000,MATCH(Z3452,'CAMD Facility Data 2023'!$AE$2:$AE$10000,0),3),"")</f>
        <v>Y</v>
      </c>
      <c r="AD3452" s="20">
        <f t="shared" si="160"/>
        <v>0.5391954637157188</v>
      </c>
      <c r="AE3452" s="25">
        <f t="shared" si="161"/>
        <v>0.59153255465182653</v>
      </c>
    </row>
    <row r="3453" spans="1:31" x14ac:dyDescent="0.2">
      <c r="A3453" s="1" t="s">
        <v>383</v>
      </c>
      <c r="B3453" s="1" t="s">
        <v>7696</v>
      </c>
      <c r="C3453" s="1">
        <v>56674</v>
      </c>
      <c r="D3453" s="1">
        <v>1</v>
      </c>
      <c r="F3453" s="1">
        <v>2023</v>
      </c>
      <c r="G3453" s="5">
        <v>626</v>
      </c>
      <c r="H3453" s="5">
        <v>521.71</v>
      </c>
      <c r="I3453" s="5">
        <v>18051.599999999999</v>
      </c>
      <c r="K3453" s="5">
        <v>4.9000000000000002E-2</v>
      </c>
      <c r="L3453" s="5">
        <v>1E-3</v>
      </c>
      <c r="M3453" s="5">
        <v>9802.3430000000008</v>
      </c>
      <c r="N3453" s="6">
        <v>5.9299999999999999E-2</v>
      </c>
      <c r="O3453" s="5">
        <v>0.95899999999999996</v>
      </c>
      <c r="P3453" s="6">
        <v>2.3699999999999999E-2</v>
      </c>
      <c r="Q3453" s="5">
        <v>164938.111</v>
      </c>
      <c r="R3453" s="1" t="s">
        <v>44</v>
      </c>
      <c r="T3453" s="1" t="s">
        <v>93</v>
      </c>
      <c r="V3453" s="1" t="s">
        <v>223</v>
      </c>
      <c r="Y3453" s="1" t="s">
        <v>346</v>
      </c>
      <c r="Z3453" s="1" t="str">
        <f t="shared" si="159"/>
        <v>56674 1</v>
      </c>
      <c r="AA3453" s="3">
        <f>IF(INDEX('CAMD Facility Data 2023'!$AA$2:$AE$10000,MATCH(Z3453,'CAMD Facility Data 2023'!$AE$2:$AE$10000,0),1)&gt;0,INDEX('CAMD Facility Data 2023'!$AA$2:$AE$10000,MATCH(Z3453,'CAMD Facility Data 2023'!$AE$2:$AE$10000,0),1),"")</f>
        <v>39939</v>
      </c>
      <c r="AB3453" s="5">
        <f>IF(INDEX('CAMD Facility Data 2023'!$AC$2:$AE$10000,MATCH(Z3453,'CAMD Facility Data 2023'!$AE$2:$AE$10000,0),1)&gt;0,INDEX('CAMD Facility Data 2023'!$AC$2:$AE$10000,MATCH(Z3453,'CAMD Facility Data 2023'!$AE$2:$AE$10000,0),1),"")</f>
        <v>437</v>
      </c>
      <c r="AC3453" s="1" t="str">
        <f>IF(INDEX('CAMD Facility Data 2023'!$AE$2:$AG$10000,MATCH(Z3453,'CAMD Facility Data 2023'!$AE$2:$AE$10000,0),3)&gt;0,INDEX('CAMD Facility Data 2023'!$AE$2:$AG$10000,MATCH(Z3453,'CAMD Facility Data 2023'!$AE$2:$AE$10000,0),3),"")</f>
        <v>Y</v>
      </c>
      <c r="AD3453" s="20">
        <f t="shared" si="160"/>
        <v>0.10625096944315186</v>
      </c>
      <c r="AE3453" s="25">
        <f t="shared" si="161"/>
        <v>4.308593016937818E-2</v>
      </c>
    </row>
    <row r="3454" spans="1:31" x14ac:dyDescent="0.2">
      <c r="A3454" s="1" t="s">
        <v>383</v>
      </c>
      <c r="B3454" s="1" t="s">
        <v>7696</v>
      </c>
      <c r="C3454" s="1">
        <v>56674</v>
      </c>
      <c r="D3454" s="1">
        <v>2</v>
      </c>
      <c r="F3454" s="1">
        <v>2023</v>
      </c>
      <c r="G3454" s="5">
        <v>810</v>
      </c>
      <c r="H3454" s="5">
        <v>679.52</v>
      </c>
      <c r="I3454" s="5">
        <v>22347.17</v>
      </c>
      <c r="K3454" s="5">
        <v>6.3E-2</v>
      </c>
      <c r="L3454" s="5">
        <v>1E-3</v>
      </c>
      <c r="M3454" s="5">
        <v>12459.566999999999</v>
      </c>
      <c r="N3454" s="6">
        <v>5.9299999999999999E-2</v>
      </c>
      <c r="O3454" s="5">
        <v>0.98299999999999998</v>
      </c>
      <c r="P3454" s="6">
        <v>1.17E-2</v>
      </c>
      <c r="Q3454" s="5">
        <v>209659.717</v>
      </c>
      <c r="R3454" s="1" t="s">
        <v>44</v>
      </c>
      <c r="T3454" s="1" t="s">
        <v>93</v>
      </c>
      <c r="V3454" s="1" t="s">
        <v>223</v>
      </c>
      <c r="Y3454" s="1" t="s">
        <v>346</v>
      </c>
      <c r="Z3454" s="1" t="str">
        <f t="shared" si="159"/>
        <v>56674 2</v>
      </c>
      <c r="AA3454" s="3">
        <f>IF(INDEX('CAMD Facility Data 2023'!$AA$2:$AE$10000,MATCH(Z3454,'CAMD Facility Data 2023'!$AE$2:$AE$10000,0),1)&gt;0,INDEX('CAMD Facility Data 2023'!$AA$2:$AE$10000,MATCH(Z3454,'CAMD Facility Data 2023'!$AE$2:$AE$10000,0),1),"")</f>
        <v>39949</v>
      </c>
      <c r="AB3454" s="5">
        <f>IF(INDEX('CAMD Facility Data 2023'!$AC$2:$AE$10000,MATCH(Z3454,'CAMD Facility Data 2023'!$AE$2:$AE$10000,0),1)&gt;0,INDEX('CAMD Facility Data 2023'!$AC$2:$AE$10000,MATCH(Z3454,'CAMD Facility Data 2023'!$AE$2:$AE$10000,0),1),"")</f>
        <v>437</v>
      </c>
      <c r="AC3454" s="1" t="str">
        <f>IF(INDEX('CAMD Facility Data 2023'!$AE$2:$AG$10000,MATCH(Z3454,'CAMD Facility Data 2023'!$AE$2:$AE$10000,0),3)&gt;0,INDEX('CAMD Facility Data 2023'!$AE$2:$AG$10000,MATCH(Z3454,'CAMD Facility Data 2023'!$AE$2:$AE$10000,0),3),"")</f>
        <v>Y</v>
      </c>
      <c r="AD3454" s="20">
        <f t="shared" si="160"/>
        <v>8.7975345424051457E-2</v>
      </c>
      <c r="AE3454" s="25">
        <f t="shared" si="161"/>
        <v>5.4768324138219283E-2</v>
      </c>
    </row>
    <row r="3455" spans="1:31" x14ac:dyDescent="0.2">
      <c r="A3455" s="1" t="s">
        <v>383</v>
      </c>
      <c r="B3455" s="1" t="s">
        <v>7696</v>
      </c>
      <c r="C3455" s="1">
        <v>56674</v>
      </c>
      <c r="D3455" s="1">
        <v>3</v>
      </c>
      <c r="F3455" s="1">
        <v>2023</v>
      </c>
      <c r="G3455" s="5">
        <v>904</v>
      </c>
      <c r="H3455" s="5">
        <v>759.14</v>
      </c>
      <c r="I3455" s="5">
        <v>25802.48</v>
      </c>
      <c r="K3455" s="5">
        <v>7.1999999999999995E-2</v>
      </c>
      <c r="L3455" s="5">
        <v>1E-3</v>
      </c>
      <c r="M3455" s="5">
        <v>14161.174000000001</v>
      </c>
      <c r="N3455" s="6">
        <v>5.9299999999999999E-2</v>
      </c>
      <c r="O3455" s="5">
        <v>1.202</v>
      </c>
      <c r="P3455" s="6">
        <v>1.35E-2</v>
      </c>
      <c r="Q3455" s="5">
        <v>238304.26500000001</v>
      </c>
      <c r="R3455" s="1" t="s">
        <v>44</v>
      </c>
      <c r="T3455" s="1" t="s">
        <v>93</v>
      </c>
      <c r="V3455" s="1" t="s">
        <v>223</v>
      </c>
      <c r="Y3455" s="1" t="s">
        <v>346</v>
      </c>
      <c r="Z3455" s="1" t="str">
        <f t="shared" si="159"/>
        <v>56674 3</v>
      </c>
      <c r="AA3455" s="3">
        <f>IF(INDEX('CAMD Facility Data 2023'!$AA$2:$AE$10000,MATCH(Z3455,'CAMD Facility Data 2023'!$AE$2:$AE$10000,0),1)&gt;0,INDEX('CAMD Facility Data 2023'!$AA$2:$AE$10000,MATCH(Z3455,'CAMD Facility Data 2023'!$AE$2:$AE$10000,0),1),"")</f>
        <v>39953</v>
      </c>
      <c r="AB3455" s="5">
        <f>IF(INDEX('CAMD Facility Data 2023'!$AC$2:$AE$10000,MATCH(Z3455,'CAMD Facility Data 2023'!$AE$2:$AE$10000,0),1)&gt;0,INDEX('CAMD Facility Data 2023'!$AC$2:$AE$10000,MATCH(Z3455,'CAMD Facility Data 2023'!$AE$2:$AE$10000,0),1),"")</f>
        <v>437</v>
      </c>
      <c r="AC3455" s="1" t="str">
        <f>IF(INDEX('CAMD Facility Data 2023'!$AE$2:$AG$10000,MATCH(Z3455,'CAMD Facility Data 2023'!$AE$2:$AE$10000,0),3)&gt;0,INDEX('CAMD Facility Data 2023'!$AE$2:$AG$10000,MATCH(Z3455,'CAMD Facility Data 2023'!$AE$2:$AE$10000,0),3),"")</f>
        <v>Y</v>
      </c>
      <c r="AD3455" s="20">
        <f t="shared" si="160"/>
        <v>9.3169338761235357E-2</v>
      </c>
      <c r="AE3455" s="25">
        <f t="shared" si="161"/>
        <v>6.22509913482336E-2</v>
      </c>
    </row>
    <row r="3456" spans="1:31" x14ac:dyDescent="0.2">
      <c r="A3456" s="1" t="s">
        <v>383</v>
      </c>
      <c r="B3456" s="1" t="s">
        <v>7696</v>
      </c>
      <c r="C3456" s="1">
        <v>56674</v>
      </c>
      <c r="D3456" s="1">
        <v>4</v>
      </c>
      <c r="F3456" s="1">
        <v>2023</v>
      </c>
      <c r="G3456" s="5">
        <v>917</v>
      </c>
      <c r="H3456" s="5">
        <v>758.06</v>
      </c>
      <c r="I3456" s="5">
        <v>25106.36</v>
      </c>
      <c r="K3456" s="5">
        <v>7.0000000000000007E-2</v>
      </c>
      <c r="L3456" s="5">
        <v>1E-3</v>
      </c>
      <c r="M3456" s="5">
        <v>13898.38</v>
      </c>
      <c r="N3456" s="6">
        <v>5.9299999999999999E-2</v>
      </c>
      <c r="O3456" s="5">
        <v>1.1779999999999999</v>
      </c>
      <c r="P3456" s="6">
        <v>1.2999999999999999E-2</v>
      </c>
      <c r="Q3456" s="5">
        <v>233882.49799999999</v>
      </c>
      <c r="R3456" s="1" t="s">
        <v>44</v>
      </c>
      <c r="T3456" s="1" t="s">
        <v>93</v>
      </c>
      <c r="V3456" s="1" t="s">
        <v>223</v>
      </c>
      <c r="Y3456" s="1" t="s">
        <v>346</v>
      </c>
      <c r="Z3456" s="1" t="str">
        <f t="shared" si="159"/>
        <v>56674 4</v>
      </c>
      <c r="AA3456" s="3">
        <f>IF(INDEX('CAMD Facility Data 2023'!$AA$2:$AE$10000,MATCH(Z3456,'CAMD Facility Data 2023'!$AE$2:$AE$10000,0),1)&gt;0,INDEX('CAMD Facility Data 2023'!$AA$2:$AE$10000,MATCH(Z3456,'CAMD Facility Data 2023'!$AE$2:$AE$10000,0),1),"")</f>
        <v>39977</v>
      </c>
      <c r="AB3456" s="5">
        <f>IF(INDEX('CAMD Facility Data 2023'!$AC$2:$AE$10000,MATCH(Z3456,'CAMD Facility Data 2023'!$AE$2:$AE$10000,0),1)&gt;0,INDEX('CAMD Facility Data 2023'!$AC$2:$AE$10000,MATCH(Z3456,'CAMD Facility Data 2023'!$AE$2:$AE$10000,0),1),"")</f>
        <v>437</v>
      </c>
      <c r="AC3456" s="1" t="str">
        <f>IF(INDEX('CAMD Facility Data 2023'!$AE$2:$AG$10000,MATCH(Z3456,'CAMD Facility Data 2023'!$AE$2:$AE$10000,0),3)&gt;0,INDEX('CAMD Facility Data 2023'!$AE$2:$AG$10000,MATCH(Z3456,'CAMD Facility Data 2023'!$AE$2:$AE$10000,0),3),"")</f>
        <v>Y</v>
      </c>
      <c r="AD3456" s="20">
        <f t="shared" si="160"/>
        <v>9.3840763854258435E-2</v>
      </c>
      <c r="AE3456" s="25">
        <f t="shared" si="161"/>
        <v>6.1095916010992339E-2</v>
      </c>
    </row>
    <row r="3457" spans="1:31" x14ac:dyDescent="0.2">
      <c r="A3457" s="1" t="s">
        <v>2411</v>
      </c>
      <c r="B3457" s="1" t="s">
        <v>7701</v>
      </c>
      <c r="C3457" s="1">
        <v>56786</v>
      </c>
      <c r="D3457" s="1">
        <v>1</v>
      </c>
      <c r="F3457" s="1">
        <v>2023</v>
      </c>
      <c r="G3457" s="5">
        <v>8199</v>
      </c>
      <c r="H3457" s="5">
        <v>8186.54</v>
      </c>
      <c r="J3457" s="5">
        <v>2879883.73</v>
      </c>
      <c r="K3457" s="5">
        <v>5.7560000000000002</v>
      </c>
      <c r="L3457" s="5">
        <v>2.7000000000000001E-3</v>
      </c>
      <c r="M3457" s="5">
        <v>297952.48100000003</v>
      </c>
      <c r="N3457" s="6">
        <v>7.3200000000000001E-2</v>
      </c>
      <c r="O3457" s="5">
        <v>171.82400000000001</v>
      </c>
      <c r="P3457" s="6">
        <v>8.7499999999999994E-2</v>
      </c>
      <c r="Q3457" s="5">
        <v>4054340.2409999999</v>
      </c>
      <c r="R3457" s="1" t="s">
        <v>55</v>
      </c>
      <c r="S3457" s="1" t="s">
        <v>7704</v>
      </c>
      <c r="T3457" s="1" t="s">
        <v>885</v>
      </c>
      <c r="U3457" s="1" t="s">
        <v>3374</v>
      </c>
      <c r="V3457" s="1" t="s">
        <v>604</v>
      </c>
      <c r="W3457" s="1" t="s">
        <v>232</v>
      </c>
      <c r="X3457" s="1" t="s">
        <v>344</v>
      </c>
      <c r="Y3457" s="1" t="s">
        <v>236</v>
      </c>
      <c r="Z3457" s="1" t="str">
        <f t="shared" si="159"/>
        <v>56786 1</v>
      </c>
      <c r="AA3457" s="3">
        <f>IF(INDEX('CAMD Facility Data 2023'!$AA$2:$AE$10000,MATCH(Z3457,'CAMD Facility Data 2023'!$AE$2:$AE$10000,0),1)&gt;0,INDEX('CAMD Facility Data 2023'!$AA$2:$AE$10000,MATCH(Z3457,'CAMD Facility Data 2023'!$AE$2:$AE$10000,0),1),"")</f>
        <v>40793</v>
      </c>
      <c r="AB3457" s="5">
        <f>IF(INDEX('CAMD Facility Data 2023'!$AC$2:$AE$10000,MATCH(Z3457,'CAMD Facility Data 2023'!$AE$2:$AE$10000,0),1)&gt;0,INDEX('CAMD Facility Data 2023'!$AC$2:$AE$10000,MATCH(Z3457,'CAMD Facility Data 2023'!$AE$2:$AE$10000,0),1),"")</f>
        <v>1540</v>
      </c>
      <c r="AC3457" s="1" t="str">
        <f>IF(INDEX('CAMD Facility Data 2023'!$AE$2:$AG$10000,MATCH(Z3457,'CAMD Facility Data 2023'!$AE$2:$AE$10000,0),3)&gt;0,INDEX('CAMD Facility Data 2023'!$AE$2:$AG$10000,MATCH(Z3457,'CAMD Facility Data 2023'!$AE$2:$AE$10000,0),3),"")</f>
        <v>Y</v>
      </c>
      <c r="AD3457" s="20" t="str">
        <f t="shared" si="160"/>
        <v/>
      </c>
      <c r="AE3457" s="25">
        <f t="shared" si="161"/>
        <v>0.30053521326276461</v>
      </c>
    </row>
    <row r="3458" spans="1:31" x14ac:dyDescent="0.2">
      <c r="A3458" s="1" t="s">
        <v>577</v>
      </c>
      <c r="B3458" s="1" t="s">
        <v>7706</v>
      </c>
      <c r="C3458" s="1">
        <v>56798</v>
      </c>
      <c r="D3458" s="1" t="s">
        <v>3858</v>
      </c>
      <c r="F3458" s="1">
        <v>2023</v>
      </c>
      <c r="G3458" s="5">
        <v>5955</v>
      </c>
      <c r="H3458" s="5">
        <v>5921.05</v>
      </c>
      <c r="I3458" s="5">
        <v>1593734.47</v>
      </c>
      <c r="K3458" s="5">
        <v>3.3140000000000001</v>
      </c>
      <c r="L3458" s="5">
        <v>1E-3</v>
      </c>
      <c r="M3458" s="5">
        <v>640465.73</v>
      </c>
      <c r="N3458" s="6">
        <v>5.8000000000000003E-2</v>
      </c>
      <c r="O3458" s="5">
        <v>37.878999999999998</v>
      </c>
      <c r="P3458" s="6">
        <v>7.9000000000000008E-3</v>
      </c>
      <c r="Q3458" s="5">
        <v>11045479.153000001</v>
      </c>
      <c r="R3458" s="1" t="s">
        <v>44</v>
      </c>
      <c r="S3458" s="1" t="s">
        <v>94</v>
      </c>
      <c r="T3458" s="1" t="s">
        <v>71</v>
      </c>
      <c r="V3458" s="1" t="s">
        <v>643</v>
      </c>
      <c r="Y3458" s="1" t="s">
        <v>579</v>
      </c>
      <c r="Z3458" s="1" t="str">
        <f t="shared" si="159"/>
        <v>56798 U1</v>
      </c>
      <c r="AA3458" s="3">
        <f>IF(INDEX('CAMD Facility Data 2023'!$AA$2:$AE$10000,MATCH(Z3458,'CAMD Facility Data 2023'!$AE$2:$AE$10000,0),1)&gt;0,INDEX('CAMD Facility Data 2023'!$AA$2:$AE$10000,MATCH(Z3458,'CAMD Facility Data 2023'!$AE$2:$AE$10000,0),1),"")</f>
        <v>40666</v>
      </c>
      <c r="AB3458" s="5">
        <f>IF(INDEX('CAMD Facility Data 2023'!$AC$2:$AE$10000,MATCH(Z3458,'CAMD Facility Data 2023'!$AE$2:$AE$10000,0),1)&gt;0,INDEX('CAMD Facility Data 2023'!$AC$2:$AE$10000,MATCH(Z3458,'CAMD Facility Data 2023'!$AE$2:$AE$10000,0),1),"")</f>
        <v>2581</v>
      </c>
      <c r="AC3458" s="1" t="str">
        <f>IF(INDEX('CAMD Facility Data 2023'!$AE$2:$AG$10000,MATCH(Z3458,'CAMD Facility Data 2023'!$AE$2:$AE$10000,0),3)&gt;0,INDEX('CAMD Facility Data 2023'!$AE$2:$AG$10000,MATCH(Z3458,'CAMD Facility Data 2023'!$AE$2:$AE$10000,0),3),"")</f>
        <v>Y</v>
      </c>
      <c r="AD3458" s="20">
        <f t="shared" si="160"/>
        <v>4.7534894567474596E-2</v>
      </c>
      <c r="AE3458" s="25">
        <f t="shared" si="161"/>
        <v>0.48853136252983254</v>
      </c>
    </row>
    <row r="3459" spans="1:31" x14ac:dyDescent="0.2">
      <c r="A3459" s="1" t="s">
        <v>577</v>
      </c>
      <c r="B3459" s="1" t="s">
        <v>7706</v>
      </c>
      <c r="C3459" s="1">
        <v>56798</v>
      </c>
      <c r="D3459" s="1" t="s">
        <v>3862</v>
      </c>
      <c r="F3459" s="1">
        <v>2023</v>
      </c>
      <c r="G3459" s="5">
        <v>4322</v>
      </c>
      <c r="H3459" s="5">
        <v>4305.8</v>
      </c>
      <c r="I3459" s="5">
        <v>1180818.08</v>
      </c>
      <c r="K3459" s="5">
        <v>2.4489999999999998</v>
      </c>
      <c r="L3459" s="5">
        <v>1E-3</v>
      </c>
      <c r="M3459" s="5">
        <v>473555.00599999999</v>
      </c>
      <c r="N3459" s="6">
        <v>5.8099999999999999E-2</v>
      </c>
      <c r="O3459" s="5">
        <v>26.966000000000001</v>
      </c>
      <c r="P3459" s="6">
        <v>7.4000000000000003E-3</v>
      </c>
      <c r="Q3459" s="5">
        <v>8157192.8880000003</v>
      </c>
      <c r="R3459" s="1" t="s">
        <v>44</v>
      </c>
      <c r="S3459" s="1" t="s">
        <v>94</v>
      </c>
      <c r="T3459" s="1" t="s">
        <v>71</v>
      </c>
      <c r="V3459" s="1" t="s">
        <v>643</v>
      </c>
      <c r="Y3459" s="1" t="s">
        <v>579</v>
      </c>
      <c r="Z3459" s="1" t="str">
        <f t="shared" ref="Z3459:Z3522" si="162">C3459&amp;" "&amp;D3459</f>
        <v>56798 U2</v>
      </c>
      <c r="AA3459" s="3">
        <f>IF(INDEX('CAMD Facility Data 2023'!$AA$2:$AE$10000,MATCH(Z3459,'CAMD Facility Data 2023'!$AE$2:$AE$10000,0),1)&gt;0,INDEX('CAMD Facility Data 2023'!$AA$2:$AE$10000,MATCH(Z3459,'CAMD Facility Data 2023'!$AE$2:$AE$10000,0),1),"")</f>
        <v>40670</v>
      </c>
      <c r="AB3459" s="5">
        <f>IF(INDEX('CAMD Facility Data 2023'!$AC$2:$AE$10000,MATCH(Z3459,'CAMD Facility Data 2023'!$AE$2:$AE$10000,0),1)&gt;0,INDEX('CAMD Facility Data 2023'!$AC$2:$AE$10000,MATCH(Z3459,'CAMD Facility Data 2023'!$AE$2:$AE$10000,0),1),"")</f>
        <v>2581</v>
      </c>
      <c r="AC3459" s="1" t="str">
        <f>IF(INDEX('CAMD Facility Data 2023'!$AE$2:$AG$10000,MATCH(Z3459,'CAMD Facility Data 2023'!$AE$2:$AE$10000,0),3)&gt;0,INDEX('CAMD Facility Data 2023'!$AE$2:$AG$10000,MATCH(Z3459,'CAMD Facility Data 2023'!$AE$2:$AE$10000,0),3),"")</f>
        <v>Y</v>
      </c>
      <c r="AD3459" s="20">
        <f t="shared" ref="AD3459:AD3522" si="163">IF(ISNUMBER(O3459*2000/I3459),O3459*2000/I3459,"")</f>
        <v>4.5673419905630168E-2</v>
      </c>
      <c r="AE3459" s="25">
        <f t="shared" ref="AE3459:AE3522" si="164">Q3459/(AB3459*8760)</f>
        <v>0.36078512310721661</v>
      </c>
    </row>
    <row r="3460" spans="1:31" x14ac:dyDescent="0.2">
      <c r="A3460" s="1" t="s">
        <v>304</v>
      </c>
      <c r="B3460" s="1" t="s">
        <v>7710</v>
      </c>
      <c r="C3460" s="1">
        <v>56799</v>
      </c>
      <c r="D3460" s="1">
        <v>1</v>
      </c>
      <c r="F3460" s="1">
        <v>2023</v>
      </c>
      <c r="G3460" s="5">
        <v>2271</v>
      </c>
      <c r="H3460" s="5">
        <v>2113.92</v>
      </c>
      <c r="I3460" s="5">
        <v>309376.84000000003</v>
      </c>
      <c r="K3460" s="5">
        <v>0.98899999999999999</v>
      </c>
      <c r="L3460" s="5">
        <v>1E-3</v>
      </c>
      <c r="M3460" s="5">
        <v>195943.52600000001</v>
      </c>
      <c r="N3460" s="6">
        <v>5.8999999999999997E-2</v>
      </c>
      <c r="O3460" s="5">
        <v>49.228000000000002</v>
      </c>
      <c r="P3460" s="6">
        <v>3.4599999999999999E-2</v>
      </c>
      <c r="Q3460" s="5">
        <v>3296862.9380000001</v>
      </c>
      <c r="R3460" s="1" t="s">
        <v>44</v>
      </c>
      <c r="S3460" s="1" t="s">
        <v>94</v>
      </c>
      <c r="T3460" s="1" t="s">
        <v>93</v>
      </c>
      <c r="V3460" s="1" t="s">
        <v>183</v>
      </c>
      <c r="Y3460" s="1" t="s">
        <v>247</v>
      </c>
      <c r="Z3460" s="1" t="str">
        <f t="shared" si="162"/>
        <v>56799 1</v>
      </c>
      <c r="AA3460" s="3">
        <f>IF(INDEX('CAMD Facility Data 2023'!$AA$2:$AE$10000,MATCH(Z3460,'CAMD Facility Data 2023'!$AE$2:$AE$10000,0),1)&gt;0,INDEX('CAMD Facility Data 2023'!$AA$2:$AE$10000,MATCH(Z3460,'CAMD Facility Data 2023'!$AE$2:$AE$10000,0),1),"")</f>
        <v>40557</v>
      </c>
      <c r="AB3460" s="5">
        <f>IF(INDEX('CAMD Facility Data 2023'!$AC$2:$AE$10000,MATCH(Z3460,'CAMD Facility Data 2023'!$AE$2:$AE$10000,0),1)&gt;0,INDEX('CAMD Facility Data 2023'!$AC$2:$AE$10000,MATCH(Z3460,'CAMD Facility Data 2023'!$AE$2:$AE$10000,0),1),"")</f>
        <v>2010</v>
      </c>
      <c r="AC3460" s="1" t="str">
        <f>IF(INDEX('CAMD Facility Data 2023'!$AE$2:$AG$10000,MATCH(Z3460,'CAMD Facility Data 2023'!$AE$2:$AE$10000,0),3)&gt;0,INDEX('CAMD Facility Data 2023'!$AE$2:$AG$10000,MATCH(Z3460,'CAMD Facility Data 2023'!$AE$2:$AE$10000,0),3),"")</f>
        <v/>
      </c>
      <c r="AD3460" s="20">
        <f t="shared" si="163"/>
        <v>0.31823972343889734</v>
      </c>
      <c r="AE3460" s="25">
        <f t="shared" si="164"/>
        <v>0.18724090381426203</v>
      </c>
    </row>
    <row r="3461" spans="1:31" x14ac:dyDescent="0.2">
      <c r="A3461" s="1" t="s">
        <v>304</v>
      </c>
      <c r="B3461" s="1" t="s">
        <v>7710</v>
      </c>
      <c r="C3461" s="1">
        <v>56799</v>
      </c>
      <c r="D3461" s="1">
        <v>2</v>
      </c>
      <c r="F3461" s="1">
        <v>2023</v>
      </c>
      <c r="G3461" s="5">
        <v>1850</v>
      </c>
      <c r="H3461" s="5">
        <v>1692.54</v>
      </c>
      <c r="I3461" s="5">
        <v>248852.9</v>
      </c>
      <c r="K3461" s="5">
        <v>0.79600000000000004</v>
      </c>
      <c r="L3461" s="5">
        <v>1E-3</v>
      </c>
      <c r="M3461" s="5">
        <v>157664.47200000001</v>
      </c>
      <c r="N3461" s="6">
        <v>5.8999999999999997E-2</v>
      </c>
      <c r="O3461" s="5">
        <v>40.68</v>
      </c>
      <c r="P3461" s="6">
        <v>3.5700000000000003E-2</v>
      </c>
      <c r="Q3461" s="5">
        <v>2652587.5049999999</v>
      </c>
      <c r="R3461" s="1" t="s">
        <v>44</v>
      </c>
      <c r="S3461" s="1" t="s">
        <v>94</v>
      </c>
      <c r="T3461" s="1" t="s">
        <v>93</v>
      </c>
      <c r="V3461" s="1" t="s">
        <v>183</v>
      </c>
      <c r="Y3461" s="1" t="s">
        <v>247</v>
      </c>
      <c r="Z3461" s="1" t="str">
        <f t="shared" si="162"/>
        <v>56799 2</v>
      </c>
      <c r="AA3461" s="3">
        <f>IF(INDEX('CAMD Facility Data 2023'!$AA$2:$AE$10000,MATCH(Z3461,'CAMD Facility Data 2023'!$AE$2:$AE$10000,0),1)&gt;0,INDEX('CAMD Facility Data 2023'!$AA$2:$AE$10000,MATCH(Z3461,'CAMD Facility Data 2023'!$AE$2:$AE$10000,0),1),"")</f>
        <v>40607</v>
      </c>
      <c r="AB3461" s="5">
        <f>IF(INDEX('CAMD Facility Data 2023'!$AC$2:$AE$10000,MATCH(Z3461,'CAMD Facility Data 2023'!$AE$2:$AE$10000,0),1)&gt;0,INDEX('CAMD Facility Data 2023'!$AC$2:$AE$10000,MATCH(Z3461,'CAMD Facility Data 2023'!$AE$2:$AE$10000,0),1),"")</f>
        <v>2101</v>
      </c>
      <c r="AC3461" s="1" t="str">
        <f>IF(INDEX('CAMD Facility Data 2023'!$AE$2:$AG$10000,MATCH(Z3461,'CAMD Facility Data 2023'!$AE$2:$AE$10000,0),3)&gt;0,INDEX('CAMD Facility Data 2023'!$AE$2:$AG$10000,MATCH(Z3461,'CAMD Facility Data 2023'!$AE$2:$AE$10000,0),3),"")</f>
        <v/>
      </c>
      <c r="AD3461" s="20">
        <f t="shared" si="163"/>
        <v>0.32694013210213746</v>
      </c>
      <c r="AE3461" s="25">
        <f t="shared" si="164"/>
        <v>0.14412507987064216</v>
      </c>
    </row>
    <row r="3462" spans="1:31" x14ac:dyDescent="0.2">
      <c r="A3462" s="1" t="s">
        <v>370</v>
      </c>
      <c r="B3462" s="1" t="s">
        <v>7713</v>
      </c>
      <c r="C3462" s="1">
        <v>56803</v>
      </c>
      <c r="D3462" s="1">
        <v>1</v>
      </c>
      <c r="F3462" s="1">
        <v>2023</v>
      </c>
      <c r="G3462" s="5">
        <v>2152</v>
      </c>
      <c r="H3462" s="5">
        <v>1916.08</v>
      </c>
      <c r="I3462" s="5">
        <v>178619.18</v>
      </c>
      <c r="K3462" s="5">
        <v>0.47299999999999998</v>
      </c>
      <c r="L3462" s="5">
        <v>1E-3</v>
      </c>
      <c r="M3462" s="5">
        <v>92440.292000000001</v>
      </c>
      <c r="N3462" s="6">
        <v>5.8999999999999997E-2</v>
      </c>
      <c r="O3462" s="5">
        <v>7.2640000000000002</v>
      </c>
      <c r="P3462" s="6">
        <v>1.21E-2</v>
      </c>
      <c r="Q3462" s="5">
        <v>1577790.0430000001</v>
      </c>
      <c r="R3462" s="1" t="s">
        <v>44</v>
      </c>
      <c r="T3462" s="1" t="s">
        <v>93</v>
      </c>
      <c r="V3462" s="1" t="s">
        <v>176</v>
      </c>
      <c r="Y3462" s="1" t="s">
        <v>247</v>
      </c>
      <c r="Z3462" s="1" t="str">
        <f t="shared" si="162"/>
        <v>56803 1</v>
      </c>
      <c r="AA3462" s="3">
        <f>IF(INDEX('CAMD Facility Data 2023'!$AA$2:$AE$10000,MATCH(Z3462,'CAMD Facility Data 2023'!$AE$2:$AE$10000,0),1)&gt;0,INDEX('CAMD Facility Data 2023'!$AA$2:$AE$10000,MATCH(Z3462,'CAMD Facility Data 2023'!$AE$2:$AE$10000,0),1),"")</f>
        <v>39912</v>
      </c>
      <c r="AB3462" s="5">
        <f>IF(INDEX('CAMD Facility Data 2023'!$AC$2:$AE$10000,MATCH(Z3462,'CAMD Facility Data 2023'!$AE$2:$AE$10000,0),1)&gt;0,INDEX('CAMD Facility Data 2023'!$AC$2:$AE$10000,MATCH(Z3462,'CAMD Facility Data 2023'!$AE$2:$AE$10000,0),1),"")</f>
        <v>975</v>
      </c>
      <c r="AC3462" s="1" t="str">
        <f>IF(INDEX('CAMD Facility Data 2023'!$AE$2:$AG$10000,MATCH(Z3462,'CAMD Facility Data 2023'!$AE$2:$AE$10000,0),3)&gt;0,INDEX('CAMD Facility Data 2023'!$AE$2:$AG$10000,MATCH(Z3462,'CAMD Facility Data 2023'!$AE$2:$AE$10000,0),3),"")</f>
        <v>Y</v>
      </c>
      <c r="AD3462" s="20">
        <f t="shared" si="163"/>
        <v>8.1335050356854177E-2</v>
      </c>
      <c r="AE3462" s="25">
        <f t="shared" si="164"/>
        <v>0.18473130113569841</v>
      </c>
    </row>
    <row r="3463" spans="1:31" x14ac:dyDescent="0.2">
      <c r="A3463" s="1" t="s">
        <v>370</v>
      </c>
      <c r="B3463" s="1" t="s">
        <v>7713</v>
      </c>
      <c r="C3463" s="1">
        <v>56803</v>
      </c>
      <c r="D3463" s="1">
        <v>2</v>
      </c>
      <c r="F3463" s="1">
        <v>2023</v>
      </c>
      <c r="G3463" s="5">
        <v>1568</v>
      </c>
      <c r="H3463" s="5">
        <v>1379.44</v>
      </c>
      <c r="I3463" s="5">
        <v>130604.73</v>
      </c>
      <c r="K3463" s="5">
        <v>0.35</v>
      </c>
      <c r="L3463" s="5">
        <v>1E-3</v>
      </c>
      <c r="M3463" s="5">
        <v>68472.593999999997</v>
      </c>
      <c r="N3463" s="6">
        <v>5.8999999999999997E-2</v>
      </c>
      <c r="O3463" s="5">
        <v>6.2350000000000003</v>
      </c>
      <c r="P3463" s="6">
        <v>1.61E-2</v>
      </c>
      <c r="Q3463" s="5">
        <v>1168058.68</v>
      </c>
      <c r="R3463" s="1" t="s">
        <v>44</v>
      </c>
      <c r="T3463" s="1" t="s">
        <v>93</v>
      </c>
      <c r="V3463" s="1" t="s">
        <v>176</v>
      </c>
      <c r="Y3463" s="1" t="s">
        <v>247</v>
      </c>
      <c r="Z3463" s="1" t="str">
        <f t="shared" si="162"/>
        <v>56803 2</v>
      </c>
      <c r="AA3463" s="3">
        <f>IF(INDEX('CAMD Facility Data 2023'!$AA$2:$AE$10000,MATCH(Z3463,'CAMD Facility Data 2023'!$AE$2:$AE$10000,0),1)&gt;0,INDEX('CAMD Facility Data 2023'!$AA$2:$AE$10000,MATCH(Z3463,'CAMD Facility Data 2023'!$AE$2:$AE$10000,0),1),"")</f>
        <v>39921</v>
      </c>
      <c r="AB3463" s="5">
        <f>IF(INDEX('CAMD Facility Data 2023'!$AC$2:$AE$10000,MATCH(Z3463,'CAMD Facility Data 2023'!$AE$2:$AE$10000,0),1)&gt;0,INDEX('CAMD Facility Data 2023'!$AC$2:$AE$10000,MATCH(Z3463,'CAMD Facility Data 2023'!$AE$2:$AE$10000,0),1),"")</f>
        <v>975</v>
      </c>
      <c r="AC3463" s="1" t="str">
        <f>IF(INDEX('CAMD Facility Data 2023'!$AE$2:$AG$10000,MATCH(Z3463,'CAMD Facility Data 2023'!$AE$2:$AE$10000,0),3)&gt;0,INDEX('CAMD Facility Data 2023'!$AE$2:$AG$10000,MATCH(Z3463,'CAMD Facility Data 2023'!$AE$2:$AE$10000,0),3),"")</f>
        <v>Y</v>
      </c>
      <c r="AD3463" s="20">
        <f t="shared" si="163"/>
        <v>9.5478930969804851E-2</v>
      </c>
      <c r="AE3463" s="25">
        <f t="shared" si="164"/>
        <v>0.13675900714202083</v>
      </c>
    </row>
    <row r="3464" spans="1:31" x14ac:dyDescent="0.2">
      <c r="A3464" s="1" t="s">
        <v>370</v>
      </c>
      <c r="B3464" s="1" t="s">
        <v>7713</v>
      </c>
      <c r="C3464" s="1">
        <v>56803</v>
      </c>
      <c r="D3464" s="1">
        <v>3</v>
      </c>
      <c r="F3464" s="1">
        <v>2023</v>
      </c>
      <c r="G3464" s="5">
        <v>1887</v>
      </c>
      <c r="H3464" s="5">
        <v>1670.17</v>
      </c>
      <c r="I3464" s="5">
        <v>160553.79999999999</v>
      </c>
      <c r="K3464" s="5">
        <v>0.42599999999999999</v>
      </c>
      <c r="L3464" s="5">
        <v>1E-3</v>
      </c>
      <c r="M3464" s="5">
        <v>83208.114000000001</v>
      </c>
      <c r="N3464" s="6">
        <v>5.8999999999999997E-2</v>
      </c>
      <c r="O3464" s="5">
        <v>7.4630000000000001</v>
      </c>
      <c r="P3464" s="6">
        <v>1.7500000000000002E-2</v>
      </c>
      <c r="Q3464" s="5">
        <v>1419765.2660000001</v>
      </c>
      <c r="R3464" s="1" t="s">
        <v>44</v>
      </c>
      <c r="T3464" s="1" t="s">
        <v>93</v>
      </c>
      <c r="V3464" s="1" t="s">
        <v>176</v>
      </c>
      <c r="Y3464" s="1" t="s">
        <v>247</v>
      </c>
      <c r="Z3464" s="1" t="str">
        <f t="shared" si="162"/>
        <v>56803 3</v>
      </c>
      <c r="AA3464" s="3">
        <f>IF(INDEX('CAMD Facility Data 2023'!$AA$2:$AE$10000,MATCH(Z3464,'CAMD Facility Data 2023'!$AE$2:$AE$10000,0),1)&gt;0,INDEX('CAMD Facility Data 2023'!$AA$2:$AE$10000,MATCH(Z3464,'CAMD Facility Data 2023'!$AE$2:$AE$10000,0),1),"")</f>
        <v>39916</v>
      </c>
      <c r="AB3464" s="5">
        <f>IF(INDEX('CAMD Facility Data 2023'!$AC$2:$AE$10000,MATCH(Z3464,'CAMD Facility Data 2023'!$AE$2:$AE$10000,0),1)&gt;0,INDEX('CAMD Facility Data 2023'!$AC$2:$AE$10000,MATCH(Z3464,'CAMD Facility Data 2023'!$AE$2:$AE$10000,0),1),"")</f>
        <v>970</v>
      </c>
      <c r="AC3464" s="1" t="str">
        <f>IF(INDEX('CAMD Facility Data 2023'!$AE$2:$AG$10000,MATCH(Z3464,'CAMD Facility Data 2023'!$AE$2:$AE$10000,0),3)&gt;0,INDEX('CAMD Facility Data 2023'!$AE$2:$AG$10000,MATCH(Z3464,'CAMD Facility Data 2023'!$AE$2:$AE$10000,0),3),"")</f>
        <v>Y</v>
      </c>
      <c r="AD3464" s="20">
        <f t="shared" si="163"/>
        <v>9.2965722393365965E-2</v>
      </c>
      <c r="AE3464" s="25">
        <f t="shared" si="164"/>
        <v>0.16708624794049806</v>
      </c>
    </row>
    <row r="3465" spans="1:31" x14ac:dyDescent="0.2">
      <c r="A3465" s="1" t="s">
        <v>370</v>
      </c>
      <c r="B3465" s="1" t="s">
        <v>7713</v>
      </c>
      <c r="C3465" s="1">
        <v>56803</v>
      </c>
      <c r="D3465" s="1">
        <v>4</v>
      </c>
      <c r="F3465" s="1">
        <v>2023</v>
      </c>
      <c r="G3465" s="5">
        <v>2565</v>
      </c>
      <c r="H3465" s="5">
        <v>2284.4899999999998</v>
      </c>
      <c r="I3465" s="5">
        <v>217537.12</v>
      </c>
      <c r="K3465" s="5">
        <v>0.58499999999999996</v>
      </c>
      <c r="L3465" s="5">
        <v>1E-3</v>
      </c>
      <c r="M3465" s="5">
        <v>114271.948</v>
      </c>
      <c r="N3465" s="6">
        <v>5.8999999999999997E-2</v>
      </c>
      <c r="O3465" s="5">
        <v>10.148999999999999</v>
      </c>
      <c r="P3465" s="6">
        <v>1.4E-2</v>
      </c>
      <c r="Q3465" s="5">
        <v>1950052.865</v>
      </c>
      <c r="R3465" s="1" t="s">
        <v>44</v>
      </c>
      <c r="T3465" s="1" t="s">
        <v>93</v>
      </c>
      <c r="V3465" s="1" t="s">
        <v>176</v>
      </c>
      <c r="Y3465" s="1" t="s">
        <v>247</v>
      </c>
      <c r="Z3465" s="1" t="str">
        <f t="shared" si="162"/>
        <v>56803 4</v>
      </c>
      <c r="AA3465" s="3">
        <f>IF(INDEX('CAMD Facility Data 2023'!$AA$2:$AE$10000,MATCH(Z3465,'CAMD Facility Data 2023'!$AE$2:$AE$10000,0),1)&gt;0,INDEX('CAMD Facility Data 2023'!$AA$2:$AE$10000,MATCH(Z3465,'CAMD Facility Data 2023'!$AE$2:$AE$10000,0),1),"")</f>
        <v>39920</v>
      </c>
      <c r="AB3465" s="5">
        <f>IF(INDEX('CAMD Facility Data 2023'!$AC$2:$AE$10000,MATCH(Z3465,'CAMD Facility Data 2023'!$AE$2:$AE$10000,0),1)&gt;0,INDEX('CAMD Facility Data 2023'!$AC$2:$AE$10000,MATCH(Z3465,'CAMD Facility Data 2023'!$AE$2:$AE$10000,0),1),"")</f>
        <v>980</v>
      </c>
      <c r="AC3465" s="1" t="str">
        <f>IF(INDEX('CAMD Facility Data 2023'!$AE$2:$AG$10000,MATCH(Z3465,'CAMD Facility Data 2023'!$AE$2:$AE$10000,0),3)&gt;0,INDEX('CAMD Facility Data 2023'!$AE$2:$AG$10000,MATCH(Z3465,'CAMD Facility Data 2023'!$AE$2:$AE$10000,0),3),"")</f>
        <v>Y</v>
      </c>
      <c r="AD3465" s="20">
        <f t="shared" si="163"/>
        <v>9.3308213329292955E-2</v>
      </c>
      <c r="AE3465" s="25">
        <f t="shared" si="164"/>
        <v>0.22715181075854998</v>
      </c>
    </row>
    <row r="3466" spans="1:31" x14ac:dyDescent="0.2">
      <c r="A3466" s="1" t="s">
        <v>383</v>
      </c>
      <c r="B3466" s="1" t="s">
        <v>7719</v>
      </c>
      <c r="C3466" s="1">
        <v>56806</v>
      </c>
      <c r="D3466" s="1" t="s">
        <v>7720</v>
      </c>
      <c r="F3466" s="1">
        <v>2023</v>
      </c>
      <c r="G3466" s="5">
        <v>4900</v>
      </c>
      <c r="H3466" s="5">
        <v>4855.43</v>
      </c>
      <c r="I3466" s="5">
        <v>686387.79</v>
      </c>
      <c r="K3466" s="5">
        <v>2.0720000000000001</v>
      </c>
      <c r="L3466" s="5">
        <v>1E-3</v>
      </c>
      <c r="M3466" s="5">
        <v>410411.05499999999</v>
      </c>
      <c r="N3466" s="6">
        <v>5.8999999999999997E-2</v>
      </c>
      <c r="O3466" s="5">
        <v>38.045999999999999</v>
      </c>
      <c r="P3466" s="6">
        <v>1.2999999999999999E-2</v>
      </c>
      <c r="Q3466" s="5">
        <v>6905979.7130000005</v>
      </c>
      <c r="R3466" s="1" t="s">
        <v>44</v>
      </c>
      <c r="T3466" s="1" t="s">
        <v>71</v>
      </c>
      <c r="V3466" s="1" t="s">
        <v>64</v>
      </c>
      <c r="Y3466" s="1" t="s">
        <v>346</v>
      </c>
      <c r="Z3466" s="1" t="str">
        <f t="shared" si="162"/>
        <v>56806 CBY41</v>
      </c>
      <c r="AA3466" s="3">
        <f>IF(INDEX('CAMD Facility Data 2023'!$AA$2:$AE$10000,MATCH(Z3466,'CAMD Facility Data 2023'!$AE$2:$AE$10000,0),1)&gt;0,INDEX('CAMD Facility Data 2023'!$AA$2:$AE$10000,MATCH(Z3466,'CAMD Facility Data 2023'!$AE$2:$AE$10000,0),1),"")</f>
        <v>39900</v>
      </c>
      <c r="AB3466" s="5">
        <f>IF(INDEX('CAMD Facility Data 2023'!$AC$2:$AE$10000,MATCH(Z3466,'CAMD Facility Data 2023'!$AE$2:$AE$10000,0),1)&gt;0,INDEX('CAMD Facility Data 2023'!$AC$2:$AE$10000,MATCH(Z3466,'CAMD Facility Data 2023'!$AE$2:$AE$10000,0),1),"")</f>
        <v>2125</v>
      </c>
      <c r="AC3466" s="1" t="str">
        <f>IF(INDEX('CAMD Facility Data 2023'!$AE$2:$AG$10000,MATCH(Z3466,'CAMD Facility Data 2023'!$AE$2:$AE$10000,0),3)&gt;0,INDEX('CAMD Facility Data 2023'!$AE$2:$AG$10000,MATCH(Z3466,'CAMD Facility Data 2023'!$AE$2:$AE$10000,0),3),"")</f>
        <v>Y</v>
      </c>
      <c r="AD3466" s="20">
        <f t="shared" si="163"/>
        <v>0.11085861536085891</v>
      </c>
      <c r="AE3466" s="25">
        <f t="shared" si="164"/>
        <v>0.37099004636046201</v>
      </c>
    </row>
    <row r="3467" spans="1:31" x14ac:dyDescent="0.2">
      <c r="A3467" s="1" t="s">
        <v>383</v>
      </c>
      <c r="B3467" s="1" t="s">
        <v>7719</v>
      </c>
      <c r="C3467" s="1">
        <v>56806</v>
      </c>
      <c r="D3467" s="1" t="s">
        <v>7723</v>
      </c>
      <c r="F3467" s="1">
        <v>2023</v>
      </c>
      <c r="G3467" s="5">
        <v>3987</v>
      </c>
      <c r="H3467" s="5">
        <v>3913.5</v>
      </c>
      <c r="I3467" s="5">
        <v>565762.74</v>
      </c>
      <c r="K3467" s="5">
        <v>1.702</v>
      </c>
      <c r="L3467" s="5">
        <v>1E-3</v>
      </c>
      <c r="M3467" s="5">
        <v>337133.68300000002</v>
      </c>
      <c r="N3467" s="6">
        <v>5.8999999999999997E-2</v>
      </c>
      <c r="O3467" s="5">
        <v>30.562999999999999</v>
      </c>
      <c r="P3467" s="6">
        <v>1.26E-2</v>
      </c>
      <c r="Q3467" s="5">
        <v>5672877.5360000003</v>
      </c>
      <c r="R3467" s="1" t="s">
        <v>44</v>
      </c>
      <c r="T3467" s="1" t="s">
        <v>71</v>
      </c>
      <c r="V3467" s="1" t="s">
        <v>64</v>
      </c>
      <c r="Y3467" s="1" t="s">
        <v>346</v>
      </c>
      <c r="Z3467" s="1" t="str">
        <f t="shared" si="162"/>
        <v>56806 CBY42</v>
      </c>
      <c r="AA3467" s="3">
        <f>IF(INDEX('CAMD Facility Data 2023'!$AA$2:$AE$10000,MATCH(Z3467,'CAMD Facility Data 2023'!$AE$2:$AE$10000,0),1)&gt;0,INDEX('CAMD Facility Data 2023'!$AA$2:$AE$10000,MATCH(Z3467,'CAMD Facility Data 2023'!$AE$2:$AE$10000,0),1),"")</f>
        <v>39901</v>
      </c>
      <c r="AB3467" s="5">
        <f>IF(INDEX('CAMD Facility Data 2023'!$AC$2:$AE$10000,MATCH(Z3467,'CAMD Facility Data 2023'!$AE$2:$AE$10000,0),1)&gt;0,INDEX('CAMD Facility Data 2023'!$AC$2:$AE$10000,MATCH(Z3467,'CAMD Facility Data 2023'!$AE$2:$AE$10000,0),1),"")</f>
        <v>2125</v>
      </c>
      <c r="AC3467" s="1" t="str">
        <f>IF(INDEX('CAMD Facility Data 2023'!$AE$2:$AG$10000,MATCH(Z3467,'CAMD Facility Data 2023'!$AE$2:$AE$10000,0),3)&gt;0,INDEX('CAMD Facility Data 2023'!$AE$2:$AG$10000,MATCH(Z3467,'CAMD Facility Data 2023'!$AE$2:$AE$10000,0),3),"")</f>
        <v>Y</v>
      </c>
      <c r="AD3467" s="20">
        <f t="shared" si="163"/>
        <v>0.10804175616089529</v>
      </c>
      <c r="AE3467" s="25">
        <f t="shared" si="164"/>
        <v>0.30474765167875373</v>
      </c>
    </row>
    <row r="3468" spans="1:31" x14ac:dyDescent="0.2">
      <c r="A3468" s="1" t="s">
        <v>3095</v>
      </c>
      <c r="B3468" s="1" t="s">
        <v>7725</v>
      </c>
      <c r="C3468" s="1">
        <v>56807</v>
      </c>
      <c r="D3468" s="1" t="s">
        <v>372</v>
      </c>
      <c r="F3468" s="1">
        <v>2023</v>
      </c>
      <c r="G3468" s="5">
        <v>6371</v>
      </c>
      <c r="H3468" s="5">
        <v>6356.61</v>
      </c>
      <c r="I3468" s="5">
        <v>1570025.41</v>
      </c>
      <c r="K3468" s="5">
        <v>3.1949999999999998</v>
      </c>
      <c r="L3468" s="5">
        <v>1E-3</v>
      </c>
      <c r="M3468" s="5">
        <v>632969.94900000002</v>
      </c>
      <c r="N3468" s="6">
        <v>5.91E-2</v>
      </c>
      <c r="O3468" s="5">
        <v>38.997</v>
      </c>
      <c r="P3468" s="6">
        <v>8.0000000000000002E-3</v>
      </c>
      <c r="Q3468" s="5">
        <v>10648257.775</v>
      </c>
      <c r="R3468" s="1" t="s">
        <v>44</v>
      </c>
      <c r="S3468" s="1" t="s">
        <v>94</v>
      </c>
      <c r="T3468" s="1" t="s">
        <v>71</v>
      </c>
      <c r="V3468" s="1" t="s">
        <v>643</v>
      </c>
      <c r="Y3468" s="1" t="s">
        <v>1515</v>
      </c>
      <c r="Z3468" s="1" t="str">
        <f t="shared" si="162"/>
        <v>56807 1A</v>
      </c>
      <c r="AA3468" s="3">
        <f>IF(INDEX('CAMD Facility Data 2023'!$AA$2:$AE$10000,MATCH(Z3468,'CAMD Facility Data 2023'!$AE$2:$AE$10000,0),1)&gt;0,INDEX('CAMD Facility Data 2023'!$AA$2:$AE$10000,MATCH(Z3468,'CAMD Facility Data 2023'!$AE$2:$AE$10000,0),1),"")</f>
        <v>40572</v>
      </c>
      <c r="AB3468" s="5">
        <f>IF(INDEX('CAMD Facility Data 2023'!$AC$2:$AE$10000,MATCH(Z3468,'CAMD Facility Data 2023'!$AE$2:$AE$10000,0),1)&gt;0,INDEX('CAMD Facility Data 2023'!$AC$2:$AE$10000,MATCH(Z3468,'CAMD Facility Data 2023'!$AE$2:$AE$10000,0),1),"")</f>
        <v>2550</v>
      </c>
      <c r="AC3468" s="1" t="str">
        <f>IF(INDEX('CAMD Facility Data 2023'!$AE$2:$AG$10000,MATCH(Z3468,'CAMD Facility Data 2023'!$AE$2:$AE$10000,0),3)&gt;0,INDEX('CAMD Facility Data 2023'!$AE$2:$AG$10000,MATCH(Z3468,'CAMD Facility Data 2023'!$AE$2:$AE$10000,0),3),"")</f>
        <v>Y</v>
      </c>
      <c r="AD3468" s="20">
        <f t="shared" si="163"/>
        <v>4.9676902999932979E-2</v>
      </c>
      <c r="AE3468" s="25">
        <f t="shared" si="164"/>
        <v>0.47668805510788792</v>
      </c>
    </row>
    <row r="3469" spans="1:31" x14ac:dyDescent="0.2">
      <c r="A3469" s="1" t="s">
        <v>3095</v>
      </c>
      <c r="B3469" s="1" t="s">
        <v>7725</v>
      </c>
      <c r="C3469" s="1">
        <v>56807</v>
      </c>
      <c r="D3469" s="1" t="s">
        <v>1199</v>
      </c>
      <c r="F3469" s="1">
        <v>2023</v>
      </c>
      <c r="G3469" s="5">
        <v>6350</v>
      </c>
      <c r="H3469" s="5">
        <v>6338.03</v>
      </c>
      <c r="I3469" s="5">
        <v>1566668.4</v>
      </c>
      <c r="K3469" s="5">
        <v>3.17</v>
      </c>
      <c r="L3469" s="5">
        <v>1E-3</v>
      </c>
      <c r="M3469" s="5">
        <v>627922.12600000005</v>
      </c>
      <c r="N3469" s="6">
        <v>5.8999999999999997E-2</v>
      </c>
      <c r="O3469" s="5">
        <v>36.045000000000002</v>
      </c>
      <c r="P3469" s="6">
        <v>7.4000000000000003E-3</v>
      </c>
      <c r="Q3469" s="5">
        <v>10563112.623</v>
      </c>
      <c r="R3469" s="1" t="s">
        <v>44</v>
      </c>
      <c r="S3469" s="1" t="s">
        <v>94</v>
      </c>
      <c r="T3469" s="1" t="s">
        <v>71</v>
      </c>
      <c r="V3469" s="1" t="s">
        <v>643</v>
      </c>
      <c r="Y3469" s="1" t="s">
        <v>1515</v>
      </c>
      <c r="Z3469" s="1" t="str">
        <f t="shared" si="162"/>
        <v>56807 1B</v>
      </c>
      <c r="AA3469" s="3">
        <f>IF(INDEX('CAMD Facility Data 2023'!$AA$2:$AE$10000,MATCH(Z3469,'CAMD Facility Data 2023'!$AE$2:$AE$10000,0),1)&gt;0,INDEX('CAMD Facility Data 2023'!$AA$2:$AE$10000,MATCH(Z3469,'CAMD Facility Data 2023'!$AE$2:$AE$10000,0),1),"")</f>
        <v>40569</v>
      </c>
      <c r="AB3469" s="5">
        <f>IF(INDEX('CAMD Facility Data 2023'!$AC$2:$AE$10000,MATCH(Z3469,'CAMD Facility Data 2023'!$AE$2:$AE$10000,0),1)&gt;0,INDEX('CAMD Facility Data 2023'!$AC$2:$AE$10000,MATCH(Z3469,'CAMD Facility Data 2023'!$AE$2:$AE$10000,0),1),"")</f>
        <v>2550</v>
      </c>
      <c r="AC3469" s="1" t="str">
        <f>IF(INDEX('CAMD Facility Data 2023'!$AE$2:$AG$10000,MATCH(Z3469,'CAMD Facility Data 2023'!$AE$2:$AE$10000,0),3)&gt;0,INDEX('CAMD Facility Data 2023'!$AE$2:$AG$10000,MATCH(Z3469,'CAMD Facility Data 2023'!$AE$2:$AE$10000,0),3),"")</f>
        <v>Y</v>
      </c>
      <c r="AD3469" s="20">
        <f t="shared" si="163"/>
        <v>4.6014842706982542E-2</v>
      </c>
      <c r="AE3469" s="25">
        <f t="shared" si="164"/>
        <v>0.47287638208434057</v>
      </c>
    </row>
    <row r="3470" spans="1:31" x14ac:dyDescent="0.2">
      <c r="A3470" s="1" t="s">
        <v>3095</v>
      </c>
      <c r="B3470" s="1" t="s">
        <v>7730</v>
      </c>
      <c r="C3470" s="1">
        <v>56808</v>
      </c>
      <c r="D3470" s="1">
        <v>1</v>
      </c>
      <c r="F3470" s="1">
        <v>2023</v>
      </c>
      <c r="G3470" s="5">
        <v>1452</v>
      </c>
      <c r="H3470" s="5">
        <v>1445.94</v>
      </c>
      <c r="J3470" s="5">
        <v>2092236.67</v>
      </c>
      <c r="K3470" s="5">
        <v>13.1</v>
      </c>
      <c r="L3470" s="5">
        <v>8.8000000000000005E-3</v>
      </c>
      <c r="M3470" s="5">
        <v>320795.46399999998</v>
      </c>
      <c r="N3470" s="6">
        <v>0.1022</v>
      </c>
      <c r="O3470" s="5">
        <v>110.232</v>
      </c>
      <c r="P3470" s="6">
        <v>7.2099999999999997E-2</v>
      </c>
      <c r="Q3470" s="5">
        <v>3127480.3369999998</v>
      </c>
      <c r="R3470" s="1" t="s">
        <v>55</v>
      </c>
      <c r="S3470" s="1" t="s">
        <v>7732</v>
      </c>
      <c r="T3470" s="1" t="s">
        <v>885</v>
      </c>
      <c r="U3470" s="1" t="s">
        <v>3374</v>
      </c>
      <c r="V3470" s="1" t="s">
        <v>669</v>
      </c>
      <c r="W3470" s="1" t="s">
        <v>232</v>
      </c>
      <c r="Y3470" s="1" t="s">
        <v>682</v>
      </c>
      <c r="Z3470" s="1" t="str">
        <f t="shared" si="162"/>
        <v>56808 1</v>
      </c>
      <c r="AA3470" s="3">
        <f>IF(INDEX('CAMD Facility Data 2023'!$AA$2:$AE$10000,MATCH(Z3470,'CAMD Facility Data 2023'!$AE$2:$AE$10000,0),1)&gt;0,INDEX('CAMD Facility Data 2023'!$AA$2:$AE$10000,MATCH(Z3470,'CAMD Facility Data 2023'!$AE$2:$AE$10000,0),1),"")</f>
        <v>40975</v>
      </c>
      <c r="AB3470" s="5">
        <f>IF(INDEX('CAMD Facility Data 2023'!$AC$2:$AE$10000,MATCH(Z3470,'CAMD Facility Data 2023'!$AE$2:$AE$10000,0),1)&gt;0,INDEX('CAMD Facility Data 2023'!$AC$2:$AE$10000,MATCH(Z3470,'CAMD Facility Data 2023'!$AE$2:$AE$10000,0),1),"")</f>
        <v>3500</v>
      </c>
      <c r="AC3470" s="1" t="str">
        <f>IF(INDEX('CAMD Facility Data 2023'!$AE$2:$AG$10000,MATCH(Z3470,'CAMD Facility Data 2023'!$AE$2:$AE$10000,0),3)&gt;0,INDEX('CAMD Facility Data 2023'!$AE$2:$AG$10000,MATCH(Z3470,'CAMD Facility Data 2023'!$AE$2:$AE$10000,0),3),"")</f>
        <v>Y</v>
      </c>
      <c r="AD3470" s="20" t="str">
        <f t="shared" si="163"/>
        <v/>
      </c>
      <c r="AE3470" s="25">
        <f t="shared" si="164"/>
        <v>0.10200522951728636</v>
      </c>
    </row>
    <row r="3471" spans="1:31" x14ac:dyDescent="0.2">
      <c r="A3471" s="1" t="s">
        <v>3095</v>
      </c>
      <c r="B3471" s="1" t="s">
        <v>7730</v>
      </c>
      <c r="C3471" s="1">
        <v>56808</v>
      </c>
      <c r="D3471" s="1">
        <v>2</v>
      </c>
      <c r="F3471" s="1">
        <v>2023</v>
      </c>
      <c r="G3471" s="5">
        <v>2765</v>
      </c>
      <c r="H3471" s="5">
        <v>2756.65</v>
      </c>
      <c r="J3471" s="5">
        <v>3715057.28</v>
      </c>
      <c r="K3471" s="5">
        <v>59.851999999999997</v>
      </c>
      <c r="L3471" s="5">
        <v>6.7400000000000002E-2</v>
      </c>
      <c r="M3471" s="5">
        <v>598638.696</v>
      </c>
      <c r="N3471" s="6">
        <v>0.1023</v>
      </c>
      <c r="O3471" s="5">
        <v>216.05600000000001</v>
      </c>
      <c r="P3471" s="6">
        <v>7.5499999999999998E-2</v>
      </c>
      <c r="Q3471" s="5">
        <v>5828339.9139999999</v>
      </c>
      <c r="R3471" s="1" t="s">
        <v>55</v>
      </c>
      <c r="S3471" s="1" t="s">
        <v>7732</v>
      </c>
      <c r="T3471" s="1" t="s">
        <v>885</v>
      </c>
      <c r="U3471" s="1" t="s">
        <v>3374</v>
      </c>
      <c r="V3471" s="1" t="s">
        <v>669</v>
      </c>
      <c r="W3471" s="1" t="s">
        <v>232</v>
      </c>
      <c r="Y3471" s="1" t="s">
        <v>682</v>
      </c>
      <c r="Z3471" s="1" t="str">
        <f t="shared" si="162"/>
        <v>56808 2</v>
      </c>
      <c r="AA3471" s="3">
        <f>IF(INDEX('CAMD Facility Data 2023'!$AA$2:$AE$10000,MATCH(Z3471,'CAMD Facility Data 2023'!$AE$2:$AE$10000,0),1)&gt;0,INDEX('CAMD Facility Data 2023'!$AA$2:$AE$10000,MATCH(Z3471,'CAMD Facility Data 2023'!$AE$2:$AE$10000,0),1),"")</f>
        <v>40975</v>
      </c>
      <c r="AB3471" s="5">
        <f>IF(INDEX('CAMD Facility Data 2023'!$AC$2:$AE$10000,MATCH(Z3471,'CAMD Facility Data 2023'!$AE$2:$AE$10000,0),1)&gt;0,INDEX('CAMD Facility Data 2023'!$AC$2:$AE$10000,MATCH(Z3471,'CAMD Facility Data 2023'!$AE$2:$AE$10000,0),1),"")</f>
        <v>3500</v>
      </c>
      <c r="AC3471" s="1" t="str">
        <f>IF(INDEX('CAMD Facility Data 2023'!$AE$2:$AG$10000,MATCH(Z3471,'CAMD Facility Data 2023'!$AE$2:$AE$10000,0),3)&gt;0,INDEX('CAMD Facility Data 2023'!$AE$2:$AG$10000,MATCH(Z3471,'CAMD Facility Data 2023'!$AE$2:$AE$10000,0),3),"")</f>
        <v>Y</v>
      </c>
      <c r="AD3471" s="20" t="str">
        <f t="shared" si="163"/>
        <v/>
      </c>
      <c r="AE3471" s="25">
        <f t="shared" si="164"/>
        <v>0.1900958876060013</v>
      </c>
    </row>
    <row r="3472" spans="1:31" x14ac:dyDescent="0.2">
      <c r="A3472" s="1" t="s">
        <v>680</v>
      </c>
      <c r="B3472" s="1" t="s">
        <v>7733</v>
      </c>
      <c r="C3472" s="1">
        <v>56846</v>
      </c>
      <c r="D3472" s="1" t="s">
        <v>280</v>
      </c>
      <c r="F3472" s="1">
        <v>2023</v>
      </c>
      <c r="G3472" s="5">
        <v>7566</v>
      </c>
      <c r="H3472" s="5">
        <v>7472.68</v>
      </c>
      <c r="I3472" s="5">
        <v>1771179.78</v>
      </c>
      <c r="K3472" s="5">
        <v>4.5369999999999999</v>
      </c>
      <c r="L3472" s="5">
        <v>1E-3</v>
      </c>
      <c r="M3472" s="5">
        <v>898716.723</v>
      </c>
      <c r="N3472" s="6">
        <v>5.8999999999999997E-2</v>
      </c>
      <c r="O3472" s="5">
        <v>26.768999999999998</v>
      </c>
      <c r="P3472" s="6">
        <v>3.8E-3</v>
      </c>
      <c r="Q3472" s="5">
        <v>15122493.378</v>
      </c>
      <c r="R3472" s="1" t="s">
        <v>44</v>
      </c>
      <c r="T3472" s="1" t="s">
        <v>71</v>
      </c>
      <c r="V3472" s="1" t="s">
        <v>64</v>
      </c>
      <c r="Y3472" s="1" t="s">
        <v>1515</v>
      </c>
      <c r="Z3472" s="1" t="str">
        <f t="shared" si="162"/>
        <v>56846 GT1</v>
      </c>
      <c r="AA3472" s="3">
        <f>IF(INDEX('CAMD Facility Data 2023'!$AA$2:$AE$10000,MATCH(Z3472,'CAMD Facility Data 2023'!$AE$2:$AE$10000,0),1)&gt;0,INDEX('CAMD Facility Data 2023'!$AA$2:$AE$10000,MATCH(Z3472,'CAMD Facility Data 2023'!$AE$2:$AE$10000,0),1),"")</f>
        <v>42704</v>
      </c>
      <c r="AB3472" s="5">
        <f>IF(INDEX('CAMD Facility Data 2023'!$AC$2:$AE$10000,MATCH(Z3472,'CAMD Facility Data 2023'!$AE$2:$AE$10000,0),1)&gt;0,INDEX('CAMD Facility Data 2023'!$AC$2:$AE$10000,MATCH(Z3472,'CAMD Facility Data 2023'!$AE$2:$AE$10000,0),1),"")</f>
        <v>2807</v>
      </c>
      <c r="AC3472" s="1" t="str">
        <f>IF(INDEX('CAMD Facility Data 2023'!$AE$2:$AG$10000,MATCH(Z3472,'CAMD Facility Data 2023'!$AE$2:$AE$10000,0),3)&gt;0,INDEX('CAMD Facility Data 2023'!$AE$2:$AG$10000,MATCH(Z3472,'CAMD Facility Data 2023'!$AE$2:$AE$10000,0),3),"")</f>
        <v>Y</v>
      </c>
      <c r="AD3472" s="20">
        <f t="shared" si="163"/>
        <v>3.0227309844289212E-2</v>
      </c>
      <c r="AE3472" s="25">
        <f t="shared" si="164"/>
        <v>0.61500250425794611</v>
      </c>
    </row>
    <row r="3473" spans="1:31" x14ac:dyDescent="0.2">
      <c r="A3473" s="1" t="s">
        <v>680</v>
      </c>
      <c r="B3473" s="1" t="s">
        <v>7733</v>
      </c>
      <c r="C3473" s="1">
        <v>56846</v>
      </c>
      <c r="D3473" s="1" t="s">
        <v>1102</v>
      </c>
      <c r="F3473" s="1">
        <v>2023</v>
      </c>
      <c r="G3473" s="5">
        <v>7344</v>
      </c>
      <c r="H3473" s="5">
        <v>7227.65</v>
      </c>
      <c r="I3473" s="5">
        <v>1717146.83</v>
      </c>
      <c r="K3473" s="5">
        <v>4.38</v>
      </c>
      <c r="L3473" s="5">
        <v>1E-3</v>
      </c>
      <c r="M3473" s="5">
        <v>867645.32799999998</v>
      </c>
      <c r="N3473" s="6">
        <v>5.8999999999999997E-2</v>
      </c>
      <c r="O3473" s="5">
        <v>25.677</v>
      </c>
      <c r="P3473" s="6">
        <v>3.8E-3</v>
      </c>
      <c r="Q3473" s="5">
        <v>14599673.229</v>
      </c>
      <c r="R3473" s="1" t="s">
        <v>44</v>
      </c>
      <c r="T3473" s="1" t="s">
        <v>71</v>
      </c>
      <c r="V3473" s="1" t="s">
        <v>64</v>
      </c>
      <c r="Y3473" s="1" t="s">
        <v>1515</v>
      </c>
      <c r="Z3473" s="1" t="str">
        <f t="shared" si="162"/>
        <v>56846 GT2</v>
      </c>
      <c r="AA3473" s="3">
        <f>IF(INDEX('CAMD Facility Data 2023'!$AA$2:$AE$10000,MATCH(Z3473,'CAMD Facility Data 2023'!$AE$2:$AE$10000,0),1)&gt;0,INDEX('CAMD Facility Data 2023'!$AA$2:$AE$10000,MATCH(Z3473,'CAMD Facility Data 2023'!$AE$2:$AE$10000,0),1),"")</f>
        <v>42699</v>
      </c>
      <c r="AB3473" s="5">
        <f>IF(INDEX('CAMD Facility Data 2023'!$AC$2:$AE$10000,MATCH(Z3473,'CAMD Facility Data 2023'!$AE$2:$AE$10000,0),1)&gt;0,INDEX('CAMD Facility Data 2023'!$AC$2:$AE$10000,MATCH(Z3473,'CAMD Facility Data 2023'!$AE$2:$AE$10000,0),1),"")</f>
        <v>2807</v>
      </c>
      <c r="AC3473" s="1" t="str">
        <f>IF(INDEX('CAMD Facility Data 2023'!$AE$2:$AG$10000,MATCH(Z3473,'CAMD Facility Data 2023'!$AE$2:$AE$10000,0),3)&gt;0,INDEX('CAMD Facility Data 2023'!$AE$2:$AG$10000,MATCH(Z3473,'CAMD Facility Data 2023'!$AE$2:$AE$10000,0),3),"")</f>
        <v>Y</v>
      </c>
      <c r="AD3473" s="20">
        <f t="shared" si="163"/>
        <v>2.9906586380851308E-2</v>
      </c>
      <c r="AE3473" s="25">
        <f t="shared" si="164"/>
        <v>0.59374042181727682</v>
      </c>
    </row>
    <row r="3474" spans="1:31" x14ac:dyDescent="0.2">
      <c r="A3474" s="1" t="s">
        <v>1843</v>
      </c>
      <c r="B3474" s="1" t="s">
        <v>7737</v>
      </c>
      <c r="C3474" s="1">
        <v>56908</v>
      </c>
      <c r="D3474" s="1" t="s">
        <v>372</v>
      </c>
      <c r="E3474" s="1" t="s">
        <v>1421</v>
      </c>
      <c r="F3474" s="1">
        <v>2023</v>
      </c>
      <c r="G3474" s="5">
        <v>5053</v>
      </c>
      <c r="H3474" s="5">
        <v>4899.0600000000004</v>
      </c>
      <c r="I3474" s="5">
        <v>96735.92</v>
      </c>
      <c r="K3474" s="5">
        <v>0.313</v>
      </c>
      <c r="L3474" s="5">
        <v>1E-3</v>
      </c>
      <c r="M3474" s="5">
        <v>62014.953999999998</v>
      </c>
      <c r="N3474" s="6">
        <v>5.9400000000000001E-2</v>
      </c>
      <c r="O3474" s="5">
        <v>8.0359999999999996</v>
      </c>
      <c r="P3474" s="6">
        <v>1.52E-2</v>
      </c>
      <c r="Q3474" s="5">
        <v>1043510.527</v>
      </c>
      <c r="R3474" s="1" t="s">
        <v>44</v>
      </c>
      <c r="S3474" s="1" t="s">
        <v>94</v>
      </c>
      <c r="T3474" s="1" t="s">
        <v>93</v>
      </c>
      <c r="V3474" s="1" t="s">
        <v>176</v>
      </c>
      <c r="Y3474" s="1" t="s">
        <v>247</v>
      </c>
      <c r="Z3474" s="1" t="str">
        <f t="shared" si="162"/>
        <v>56908 1A</v>
      </c>
      <c r="AA3474" s="3">
        <f>IF(INDEX('CAMD Facility Data 2023'!$AA$2:$AE$10000,MATCH(Z3474,'CAMD Facility Data 2023'!$AE$2:$AE$10000,0),1)&gt;0,INDEX('CAMD Facility Data 2023'!$AA$2:$AE$10000,MATCH(Z3474,'CAMD Facility Data 2023'!$AE$2:$AE$10000,0),1),"")</f>
        <v>40421</v>
      </c>
      <c r="AB3474" s="5">
        <f>IF(INDEX('CAMD Facility Data 2023'!$AC$2:$AE$10000,MATCH(Z3474,'CAMD Facility Data 2023'!$AE$2:$AE$10000,0),1)&gt;0,INDEX('CAMD Facility Data 2023'!$AC$2:$AE$10000,MATCH(Z3474,'CAMD Facility Data 2023'!$AE$2:$AE$10000,0),1),"")</f>
        <v>296.39999999999998</v>
      </c>
      <c r="AC3474" s="1" t="str">
        <f>IF(INDEX('CAMD Facility Data 2023'!$AE$2:$AG$10000,MATCH(Z3474,'CAMD Facility Data 2023'!$AE$2:$AE$10000,0),3)&gt;0,INDEX('CAMD Facility Data 2023'!$AE$2:$AG$10000,MATCH(Z3474,'CAMD Facility Data 2023'!$AE$2:$AE$10000,0),3),"")</f>
        <v>Y</v>
      </c>
      <c r="AD3474" s="20">
        <f t="shared" si="163"/>
        <v>0.16614304179874445</v>
      </c>
      <c r="AE3474" s="25">
        <f t="shared" si="164"/>
        <v>0.40189678231625781</v>
      </c>
    </row>
    <row r="3475" spans="1:31" x14ac:dyDescent="0.2">
      <c r="A3475" s="1" t="s">
        <v>1843</v>
      </c>
      <c r="B3475" s="1" t="s">
        <v>7737</v>
      </c>
      <c r="C3475" s="1">
        <v>56908</v>
      </c>
      <c r="D3475" s="1" t="s">
        <v>1199</v>
      </c>
      <c r="E3475" s="1" t="s">
        <v>1421</v>
      </c>
      <c r="F3475" s="1">
        <v>2023</v>
      </c>
      <c r="G3475" s="5">
        <v>5062</v>
      </c>
      <c r="H3475" s="5">
        <v>4909.07</v>
      </c>
      <c r="I3475" s="5">
        <v>96215.89</v>
      </c>
      <c r="K3475" s="5">
        <v>0.311</v>
      </c>
      <c r="L3475" s="5">
        <v>1E-3</v>
      </c>
      <c r="M3475" s="5">
        <v>61662.964999999997</v>
      </c>
      <c r="N3475" s="6">
        <v>5.9299999999999999E-2</v>
      </c>
      <c r="O3475" s="5">
        <v>7.984</v>
      </c>
      <c r="P3475" s="6">
        <v>1.52E-2</v>
      </c>
      <c r="Q3475" s="5">
        <v>1037611.736</v>
      </c>
      <c r="R3475" s="1" t="s">
        <v>44</v>
      </c>
      <c r="S3475" s="1" t="s">
        <v>94</v>
      </c>
      <c r="T3475" s="1" t="s">
        <v>93</v>
      </c>
      <c r="V3475" s="1" t="s">
        <v>176</v>
      </c>
      <c r="Y3475" s="1" t="s">
        <v>247</v>
      </c>
      <c r="Z3475" s="1" t="str">
        <f t="shared" si="162"/>
        <v>56908 1B</v>
      </c>
      <c r="AA3475" s="3">
        <f>IF(INDEX('CAMD Facility Data 2023'!$AA$2:$AE$10000,MATCH(Z3475,'CAMD Facility Data 2023'!$AE$2:$AE$10000,0),1)&gt;0,INDEX('CAMD Facility Data 2023'!$AA$2:$AE$10000,MATCH(Z3475,'CAMD Facility Data 2023'!$AE$2:$AE$10000,0),1),"")</f>
        <v>40421</v>
      </c>
      <c r="AB3475" s="5">
        <f>IF(INDEX('CAMD Facility Data 2023'!$AC$2:$AE$10000,MATCH(Z3475,'CAMD Facility Data 2023'!$AE$2:$AE$10000,0),1)&gt;0,INDEX('CAMD Facility Data 2023'!$AC$2:$AE$10000,MATCH(Z3475,'CAMD Facility Data 2023'!$AE$2:$AE$10000,0),1),"")</f>
        <v>296.39999999999998</v>
      </c>
      <c r="AC3475" s="1" t="str">
        <f>IF(INDEX('CAMD Facility Data 2023'!$AE$2:$AG$10000,MATCH(Z3475,'CAMD Facility Data 2023'!$AE$2:$AE$10000,0),3)&gt;0,INDEX('CAMD Facility Data 2023'!$AE$2:$AG$10000,MATCH(Z3475,'CAMD Facility Data 2023'!$AE$2:$AE$10000,0),3),"")</f>
        <v>Y</v>
      </c>
      <c r="AD3475" s="20">
        <f t="shared" si="163"/>
        <v>0.16596011324117046</v>
      </c>
      <c r="AE3475" s="25">
        <f t="shared" si="164"/>
        <v>0.39962492682355699</v>
      </c>
    </row>
    <row r="3476" spans="1:31" x14ac:dyDescent="0.2">
      <c r="A3476" s="1" t="s">
        <v>1843</v>
      </c>
      <c r="B3476" s="1" t="s">
        <v>7737</v>
      </c>
      <c r="C3476" s="1">
        <v>56908</v>
      </c>
      <c r="D3476" s="1" t="s">
        <v>377</v>
      </c>
      <c r="E3476" s="1" t="s">
        <v>3206</v>
      </c>
      <c r="F3476" s="1">
        <v>2023</v>
      </c>
      <c r="G3476" s="5">
        <v>5873</v>
      </c>
      <c r="H3476" s="5">
        <v>5722.04</v>
      </c>
      <c r="I3476" s="5">
        <v>111216.22</v>
      </c>
      <c r="K3476" s="5">
        <v>0.36399999999999999</v>
      </c>
      <c r="L3476" s="5">
        <v>1E-3</v>
      </c>
      <c r="M3476" s="5">
        <v>72119.649000000005</v>
      </c>
      <c r="N3476" s="6">
        <v>5.9400000000000001E-2</v>
      </c>
      <c r="O3476" s="5">
        <v>9.9819999999999993</v>
      </c>
      <c r="P3476" s="6">
        <v>1.66E-2</v>
      </c>
      <c r="Q3476" s="5">
        <v>1213568.4269999999</v>
      </c>
      <c r="R3476" s="1" t="s">
        <v>44</v>
      </c>
      <c r="S3476" s="1" t="s">
        <v>94</v>
      </c>
      <c r="T3476" s="1" t="s">
        <v>93</v>
      </c>
      <c r="V3476" s="1" t="s">
        <v>176</v>
      </c>
      <c r="Y3476" s="1" t="s">
        <v>247</v>
      </c>
      <c r="Z3476" s="1" t="str">
        <f t="shared" si="162"/>
        <v>56908 2A</v>
      </c>
      <c r="AA3476" s="3">
        <f>IF(INDEX('CAMD Facility Data 2023'!$AA$2:$AE$10000,MATCH(Z3476,'CAMD Facility Data 2023'!$AE$2:$AE$10000,0),1)&gt;0,INDEX('CAMD Facility Data 2023'!$AA$2:$AE$10000,MATCH(Z3476,'CAMD Facility Data 2023'!$AE$2:$AE$10000,0),1),"")</f>
        <v>40428</v>
      </c>
      <c r="AB3476" s="5">
        <f>IF(INDEX('CAMD Facility Data 2023'!$AC$2:$AE$10000,MATCH(Z3476,'CAMD Facility Data 2023'!$AE$2:$AE$10000,0),1)&gt;0,INDEX('CAMD Facility Data 2023'!$AC$2:$AE$10000,MATCH(Z3476,'CAMD Facility Data 2023'!$AE$2:$AE$10000,0),1),"")</f>
        <v>296.39999999999998</v>
      </c>
      <c r="AC3476" s="1" t="str">
        <f>IF(INDEX('CAMD Facility Data 2023'!$AE$2:$AG$10000,MATCH(Z3476,'CAMD Facility Data 2023'!$AE$2:$AE$10000,0),3)&gt;0,INDEX('CAMD Facility Data 2023'!$AE$2:$AG$10000,MATCH(Z3476,'CAMD Facility Data 2023'!$AE$2:$AE$10000,0),3),"")</f>
        <v>Y</v>
      </c>
      <c r="AD3476" s="20">
        <f t="shared" si="163"/>
        <v>0.17950619073368973</v>
      </c>
      <c r="AE3476" s="25">
        <f t="shared" si="164"/>
        <v>0.46739274143604531</v>
      </c>
    </row>
    <row r="3477" spans="1:31" x14ac:dyDescent="0.2">
      <c r="A3477" s="1" t="s">
        <v>1843</v>
      </c>
      <c r="B3477" s="1" t="s">
        <v>7737</v>
      </c>
      <c r="C3477" s="1">
        <v>56908</v>
      </c>
      <c r="D3477" s="1" t="s">
        <v>1201</v>
      </c>
      <c r="E3477" s="1" t="s">
        <v>3206</v>
      </c>
      <c r="F3477" s="1">
        <v>2023</v>
      </c>
      <c r="G3477" s="5">
        <v>5872</v>
      </c>
      <c r="H3477" s="5">
        <v>5718.19</v>
      </c>
      <c r="I3477" s="5">
        <v>110530.18</v>
      </c>
      <c r="K3477" s="5">
        <v>0.36199999999999999</v>
      </c>
      <c r="L3477" s="5">
        <v>1E-3</v>
      </c>
      <c r="M3477" s="5">
        <v>71668.820000000007</v>
      </c>
      <c r="N3477" s="6">
        <v>5.9400000000000001E-2</v>
      </c>
      <c r="O3477" s="5">
        <v>9.8699999999999992</v>
      </c>
      <c r="P3477" s="6">
        <v>1.6500000000000001E-2</v>
      </c>
      <c r="Q3477" s="5">
        <v>1205943.1869999999</v>
      </c>
      <c r="R3477" s="1" t="s">
        <v>44</v>
      </c>
      <c r="S3477" s="1" t="s">
        <v>94</v>
      </c>
      <c r="T3477" s="1" t="s">
        <v>93</v>
      </c>
      <c r="V3477" s="1" t="s">
        <v>176</v>
      </c>
      <c r="Y3477" s="1" t="s">
        <v>247</v>
      </c>
      <c r="Z3477" s="1" t="str">
        <f t="shared" si="162"/>
        <v>56908 2B</v>
      </c>
      <c r="AA3477" s="3">
        <f>IF(INDEX('CAMD Facility Data 2023'!$AA$2:$AE$10000,MATCH(Z3477,'CAMD Facility Data 2023'!$AE$2:$AE$10000,0),1)&gt;0,INDEX('CAMD Facility Data 2023'!$AA$2:$AE$10000,MATCH(Z3477,'CAMD Facility Data 2023'!$AE$2:$AE$10000,0),1),"")</f>
        <v>40428</v>
      </c>
      <c r="AB3477" s="5">
        <f>IF(INDEX('CAMD Facility Data 2023'!$AC$2:$AE$10000,MATCH(Z3477,'CAMD Facility Data 2023'!$AE$2:$AE$10000,0),1)&gt;0,INDEX('CAMD Facility Data 2023'!$AC$2:$AE$10000,MATCH(Z3477,'CAMD Facility Data 2023'!$AE$2:$AE$10000,0),1),"")</f>
        <v>296.39999999999998</v>
      </c>
      <c r="AC3477" s="1" t="str">
        <f>IF(INDEX('CAMD Facility Data 2023'!$AE$2:$AG$10000,MATCH(Z3477,'CAMD Facility Data 2023'!$AE$2:$AE$10000,0),3)&gt;0,INDEX('CAMD Facility Data 2023'!$AE$2:$AG$10000,MATCH(Z3477,'CAMD Facility Data 2023'!$AE$2:$AE$10000,0),3),"")</f>
        <v>Y</v>
      </c>
      <c r="AD3477" s="20">
        <f t="shared" si="163"/>
        <v>0.17859375602211089</v>
      </c>
      <c r="AE3477" s="25">
        <f t="shared" si="164"/>
        <v>0.46445596280171797</v>
      </c>
    </row>
    <row r="3478" spans="1:31" x14ac:dyDescent="0.2">
      <c r="A3478" s="1" t="s">
        <v>1843</v>
      </c>
      <c r="B3478" s="1" t="s">
        <v>7737</v>
      </c>
      <c r="C3478" s="1">
        <v>56908</v>
      </c>
      <c r="D3478" s="1" t="s">
        <v>379</v>
      </c>
      <c r="E3478" s="1" t="s">
        <v>7742</v>
      </c>
      <c r="F3478" s="1">
        <v>2023</v>
      </c>
      <c r="G3478" s="5">
        <v>3485</v>
      </c>
      <c r="H3478" s="5">
        <v>3429.89</v>
      </c>
      <c r="I3478" s="5">
        <v>73677.94</v>
      </c>
      <c r="K3478" s="5">
        <v>0.23100000000000001</v>
      </c>
      <c r="L3478" s="5">
        <v>1E-3</v>
      </c>
      <c r="M3478" s="5">
        <v>45834.517999999996</v>
      </c>
      <c r="N3478" s="6">
        <v>5.9400000000000001E-2</v>
      </c>
      <c r="O3478" s="5">
        <v>6.766</v>
      </c>
      <c r="P3478" s="6">
        <v>1.78E-2</v>
      </c>
      <c r="Q3478" s="5">
        <v>771231.71299999999</v>
      </c>
      <c r="R3478" s="1" t="s">
        <v>44</v>
      </c>
      <c r="S3478" s="1" t="s">
        <v>94</v>
      </c>
      <c r="T3478" s="1" t="s">
        <v>93</v>
      </c>
      <c r="V3478" s="1" t="s">
        <v>176</v>
      </c>
      <c r="Y3478" s="1" t="s">
        <v>247</v>
      </c>
      <c r="Z3478" s="1" t="str">
        <f t="shared" si="162"/>
        <v>56908 3A</v>
      </c>
      <c r="AA3478" s="3">
        <f>IF(INDEX('CAMD Facility Data 2023'!$AA$2:$AE$10000,MATCH(Z3478,'CAMD Facility Data 2023'!$AE$2:$AE$10000,0),1)&gt;0,INDEX('CAMD Facility Data 2023'!$AA$2:$AE$10000,MATCH(Z3478,'CAMD Facility Data 2023'!$AE$2:$AE$10000,0),1),"")</f>
        <v>40455</v>
      </c>
      <c r="AB3478" s="5">
        <f>IF(INDEX('CAMD Facility Data 2023'!$AC$2:$AE$10000,MATCH(Z3478,'CAMD Facility Data 2023'!$AE$2:$AE$10000,0),1)&gt;0,INDEX('CAMD Facility Data 2023'!$AC$2:$AE$10000,MATCH(Z3478,'CAMD Facility Data 2023'!$AE$2:$AE$10000,0),1),"")</f>
        <v>296.39999999999998</v>
      </c>
      <c r="AC3478" s="1" t="str">
        <f>IF(INDEX('CAMD Facility Data 2023'!$AE$2:$AG$10000,MATCH(Z3478,'CAMD Facility Data 2023'!$AE$2:$AE$10000,0),3)&gt;0,INDEX('CAMD Facility Data 2023'!$AE$2:$AG$10000,MATCH(Z3478,'CAMD Facility Data 2023'!$AE$2:$AE$10000,0),3),"")</f>
        <v>Y</v>
      </c>
      <c r="AD3478" s="20">
        <f t="shared" si="163"/>
        <v>0.18366420125209798</v>
      </c>
      <c r="AE3478" s="25">
        <f t="shared" si="164"/>
        <v>0.2970315448240376</v>
      </c>
    </row>
    <row r="3479" spans="1:31" x14ac:dyDescent="0.2">
      <c r="A3479" s="1" t="s">
        <v>1843</v>
      </c>
      <c r="B3479" s="1" t="s">
        <v>7737</v>
      </c>
      <c r="C3479" s="1">
        <v>56908</v>
      </c>
      <c r="D3479" s="1" t="s">
        <v>965</v>
      </c>
      <c r="E3479" s="1" t="s">
        <v>7742</v>
      </c>
      <c r="F3479" s="1">
        <v>2023</v>
      </c>
      <c r="G3479" s="5">
        <v>3481</v>
      </c>
      <c r="H3479" s="5">
        <v>3430.19</v>
      </c>
      <c r="I3479" s="5">
        <v>76192.11</v>
      </c>
      <c r="K3479" s="5">
        <v>0.24</v>
      </c>
      <c r="L3479" s="5">
        <v>1E-3</v>
      </c>
      <c r="M3479" s="5">
        <v>47561.205000000002</v>
      </c>
      <c r="N3479" s="6">
        <v>5.9299999999999999E-2</v>
      </c>
      <c r="O3479" s="5">
        <v>7.0039999999999996</v>
      </c>
      <c r="P3479" s="6">
        <v>1.78E-2</v>
      </c>
      <c r="Q3479" s="5">
        <v>800269.43</v>
      </c>
      <c r="R3479" s="1" t="s">
        <v>44</v>
      </c>
      <c r="S3479" s="1" t="s">
        <v>94</v>
      </c>
      <c r="T3479" s="1" t="s">
        <v>93</v>
      </c>
      <c r="V3479" s="1" t="s">
        <v>176</v>
      </c>
      <c r="Y3479" s="1" t="s">
        <v>247</v>
      </c>
      <c r="Z3479" s="1" t="str">
        <f t="shared" si="162"/>
        <v>56908 3B</v>
      </c>
      <c r="AA3479" s="3">
        <f>IF(INDEX('CAMD Facility Data 2023'!$AA$2:$AE$10000,MATCH(Z3479,'CAMD Facility Data 2023'!$AE$2:$AE$10000,0),1)&gt;0,INDEX('CAMD Facility Data 2023'!$AA$2:$AE$10000,MATCH(Z3479,'CAMD Facility Data 2023'!$AE$2:$AE$10000,0),1),"")</f>
        <v>40455</v>
      </c>
      <c r="AB3479" s="5">
        <f>IF(INDEX('CAMD Facility Data 2023'!$AC$2:$AE$10000,MATCH(Z3479,'CAMD Facility Data 2023'!$AE$2:$AE$10000,0),1)&gt;0,INDEX('CAMD Facility Data 2023'!$AC$2:$AE$10000,MATCH(Z3479,'CAMD Facility Data 2023'!$AE$2:$AE$10000,0),1),"")</f>
        <v>296.39999999999998</v>
      </c>
      <c r="AC3479" s="1" t="str">
        <f>IF(INDEX('CAMD Facility Data 2023'!$AE$2:$AG$10000,MATCH(Z3479,'CAMD Facility Data 2023'!$AE$2:$AE$10000,0),3)&gt;0,INDEX('CAMD Facility Data 2023'!$AE$2:$AG$10000,MATCH(Z3479,'CAMD Facility Data 2023'!$AE$2:$AE$10000,0),3),"")</f>
        <v>Y</v>
      </c>
      <c r="AD3479" s="20">
        <f t="shared" si="163"/>
        <v>0.18385105754388478</v>
      </c>
      <c r="AE3479" s="25">
        <f t="shared" si="164"/>
        <v>0.30821510716112377</v>
      </c>
    </row>
    <row r="3480" spans="1:31" x14ac:dyDescent="0.2">
      <c r="A3480" s="1" t="s">
        <v>370</v>
      </c>
      <c r="B3480" s="1" t="s">
        <v>7744</v>
      </c>
      <c r="C3480" s="1">
        <v>56914</v>
      </c>
      <c r="D3480" s="1" t="s">
        <v>1129</v>
      </c>
      <c r="F3480" s="1">
        <v>2023</v>
      </c>
      <c r="G3480" s="5">
        <v>355</v>
      </c>
      <c r="H3480" s="5">
        <v>258.17</v>
      </c>
      <c r="I3480" s="5">
        <v>9135.07</v>
      </c>
      <c r="K3480" s="5">
        <v>2.8000000000000001E-2</v>
      </c>
      <c r="L3480" s="5">
        <v>1E-3</v>
      </c>
      <c r="M3480" s="5">
        <v>5606.4129999999996</v>
      </c>
      <c r="N3480" s="6">
        <v>5.9299999999999999E-2</v>
      </c>
      <c r="O3480" s="5">
        <v>0.52</v>
      </c>
      <c r="P3480" s="6">
        <v>1.7999999999999999E-2</v>
      </c>
      <c r="Q3480" s="5">
        <v>94333.479000000007</v>
      </c>
      <c r="R3480" s="1" t="s">
        <v>44</v>
      </c>
      <c r="T3480" s="1" t="s">
        <v>93</v>
      </c>
      <c r="V3480" s="1" t="s">
        <v>1608</v>
      </c>
      <c r="Y3480" s="1" t="s">
        <v>247</v>
      </c>
      <c r="Z3480" s="1" t="str">
        <f t="shared" si="162"/>
        <v>56914 CTG1</v>
      </c>
      <c r="AA3480" s="3">
        <f>IF(INDEX('CAMD Facility Data 2023'!$AA$2:$AE$10000,MATCH(Z3480,'CAMD Facility Data 2023'!$AE$2:$AE$10000,0),1)&gt;0,INDEX('CAMD Facility Data 2023'!$AA$2:$AE$10000,MATCH(Z3480,'CAMD Facility Data 2023'!$AE$2:$AE$10000,0),1),"")</f>
        <v>40208</v>
      </c>
      <c r="AB3480" s="5">
        <f>IF(INDEX('CAMD Facility Data 2023'!$AC$2:$AE$10000,MATCH(Z3480,'CAMD Facility Data 2023'!$AE$2:$AE$10000,0),1)&gt;0,INDEX('CAMD Facility Data 2023'!$AC$2:$AE$10000,MATCH(Z3480,'CAMD Facility Data 2023'!$AE$2:$AE$10000,0),1),"")</f>
        <v>530</v>
      </c>
      <c r="AC3480" s="1" t="str">
        <f>IF(INDEX('CAMD Facility Data 2023'!$AE$2:$AG$10000,MATCH(Z3480,'CAMD Facility Data 2023'!$AE$2:$AE$10000,0),3)&gt;0,INDEX('CAMD Facility Data 2023'!$AE$2:$AG$10000,MATCH(Z3480,'CAMD Facility Data 2023'!$AE$2:$AE$10000,0),3),"")</f>
        <v>Y</v>
      </c>
      <c r="AD3480" s="20">
        <f t="shared" si="163"/>
        <v>0.11384696559522807</v>
      </c>
      <c r="AE3480" s="25">
        <f t="shared" si="164"/>
        <v>2.0318230162832775E-2</v>
      </c>
    </row>
    <row r="3481" spans="1:31" x14ac:dyDescent="0.2">
      <c r="A3481" s="1" t="s">
        <v>370</v>
      </c>
      <c r="B3481" s="1" t="s">
        <v>7744</v>
      </c>
      <c r="C3481" s="1">
        <v>56914</v>
      </c>
      <c r="D3481" s="1" t="s">
        <v>1135</v>
      </c>
      <c r="F3481" s="1">
        <v>2023</v>
      </c>
      <c r="G3481" s="5">
        <v>367</v>
      </c>
      <c r="H3481" s="5">
        <v>269.18</v>
      </c>
      <c r="I3481" s="5">
        <v>9867.1</v>
      </c>
      <c r="K3481" s="5">
        <v>0.03</v>
      </c>
      <c r="L3481" s="5">
        <v>1E-3</v>
      </c>
      <c r="M3481" s="5">
        <v>5897.085</v>
      </c>
      <c r="N3481" s="6">
        <v>5.9200000000000003E-2</v>
      </c>
      <c r="O3481" s="5">
        <v>0.54200000000000004</v>
      </c>
      <c r="P3481" s="6">
        <v>1.6400000000000001E-2</v>
      </c>
      <c r="Q3481" s="5">
        <v>99247.221999999994</v>
      </c>
      <c r="R3481" s="1" t="s">
        <v>44</v>
      </c>
      <c r="T3481" s="1" t="s">
        <v>93</v>
      </c>
      <c r="V3481" s="1" t="s">
        <v>1608</v>
      </c>
      <c r="Y3481" s="1" t="s">
        <v>247</v>
      </c>
      <c r="Z3481" s="1" t="str">
        <f t="shared" si="162"/>
        <v>56914 CTG2</v>
      </c>
      <c r="AA3481" s="3">
        <f>IF(INDEX('CAMD Facility Data 2023'!$AA$2:$AE$10000,MATCH(Z3481,'CAMD Facility Data 2023'!$AE$2:$AE$10000,0),1)&gt;0,INDEX('CAMD Facility Data 2023'!$AA$2:$AE$10000,MATCH(Z3481,'CAMD Facility Data 2023'!$AE$2:$AE$10000,0),1),"")</f>
        <v>40214</v>
      </c>
      <c r="AB3481" s="5">
        <f>IF(INDEX('CAMD Facility Data 2023'!$AC$2:$AE$10000,MATCH(Z3481,'CAMD Facility Data 2023'!$AE$2:$AE$10000,0),1)&gt;0,INDEX('CAMD Facility Data 2023'!$AC$2:$AE$10000,MATCH(Z3481,'CAMD Facility Data 2023'!$AE$2:$AE$10000,0),1),"")</f>
        <v>530</v>
      </c>
      <c r="AC3481" s="1" t="str">
        <f>IF(INDEX('CAMD Facility Data 2023'!$AE$2:$AG$10000,MATCH(Z3481,'CAMD Facility Data 2023'!$AE$2:$AE$10000,0),3)&gt;0,INDEX('CAMD Facility Data 2023'!$AE$2:$AG$10000,MATCH(Z3481,'CAMD Facility Data 2023'!$AE$2:$AE$10000,0),3),"")</f>
        <v>Y</v>
      </c>
      <c r="AD3481" s="20">
        <f t="shared" si="163"/>
        <v>0.10986003993067872</v>
      </c>
      <c r="AE3481" s="25">
        <f t="shared" si="164"/>
        <v>2.1376587834927199E-2</v>
      </c>
    </row>
    <row r="3482" spans="1:31" x14ac:dyDescent="0.2">
      <c r="A3482" s="1" t="s">
        <v>2089</v>
      </c>
      <c r="B3482" s="1" t="s">
        <v>7748</v>
      </c>
      <c r="C3482" s="1">
        <v>56940</v>
      </c>
      <c r="D3482" s="1">
        <v>1</v>
      </c>
      <c r="F3482" s="1">
        <v>2023</v>
      </c>
      <c r="G3482" s="5">
        <v>6947</v>
      </c>
      <c r="H3482" s="5">
        <v>6922.84</v>
      </c>
      <c r="I3482" s="5">
        <v>2202570.27</v>
      </c>
      <c r="K3482" s="5">
        <v>4.58</v>
      </c>
      <c r="L3482" s="5">
        <v>1E-3</v>
      </c>
      <c r="M3482" s="5">
        <v>882027.10499999998</v>
      </c>
      <c r="N3482" s="6">
        <v>5.8000000000000003E-2</v>
      </c>
      <c r="O3482" s="5">
        <v>45.856999999999999</v>
      </c>
      <c r="P3482" s="6">
        <v>6.4000000000000003E-3</v>
      </c>
      <c r="Q3482" s="5">
        <v>15267542.761</v>
      </c>
      <c r="R3482" s="1" t="s">
        <v>44</v>
      </c>
      <c r="S3482" s="1" t="s">
        <v>94</v>
      </c>
      <c r="T3482" s="1" t="s">
        <v>71</v>
      </c>
      <c r="V3482" s="1" t="s">
        <v>223</v>
      </c>
      <c r="Y3482" s="1" t="s">
        <v>1515</v>
      </c>
      <c r="Z3482" s="1" t="str">
        <f t="shared" si="162"/>
        <v>56940 1</v>
      </c>
      <c r="AA3482" s="3">
        <f>IF(INDEX('CAMD Facility Data 2023'!$AA$2:$AE$10000,MATCH(Z3482,'CAMD Facility Data 2023'!$AE$2:$AE$10000,0),1)&gt;0,INDEX('CAMD Facility Data 2023'!$AA$2:$AE$10000,MATCH(Z3482,'CAMD Facility Data 2023'!$AE$2:$AE$10000,0),1),"")</f>
        <v>43125</v>
      </c>
      <c r="AB3482" s="5">
        <f>IF(INDEX('CAMD Facility Data 2023'!$AC$2:$AE$10000,MATCH(Z3482,'CAMD Facility Data 2023'!$AE$2:$AE$10000,0),1)&gt;0,INDEX('CAMD Facility Data 2023'!$AC$2:$AE$10000,MATCH(Z3482,'CAMD Facility Data 2023'!$AE$2:$AE$10000,0),1),"")</f>
        <v>2734</v>
      </c>
      <c r="AC3482" s="1" t="str">
        <f>IF(INDEX('CAMD Facility Data 2023'!$AE$2:$AG$10000,MATCH(Z3482,'CAMD Facility Data 2023'!$AE$2:$AE$10000,0),3)&gt;0,INDEX('CAMD Facility Data 2023'!$AE$2:$AG$10000,MATCH(Z3482,'CAMD Facility Data 2023'!$AE$2:$AE$10000,0),3),"")</f>
        <v>Y</v>
      </c>
      <c r="AD3482" s="20">
        <f t="shared" si="163"/>
        <v>4.1639534161150737E-2</v>
      </c>
      <c r="AE3482" s="25">
        <f t="shared" si="164"/>
        <v>0.63747994813326514</v>
      </c>
    </row>
    <row r="3483" spans="1:31" x14ac:dyDescent="0.2">
      <c r="A3483" s="1" t="s">
        <v>2089</v>
      </c>
      <c r="B3483" s="1" t="s">
        <v>7748</v>
      </c>
      <c r="C3483" s="1">
        <v>56940</v>
      </c>
      <c r="D3483" s="1">
        <v>2</v>
      </c>
      <c r="F3483" s="1">
        <v>2023</v>
      </c>
      <c r="G3483" s="5">
        <v>6759</v>
      </c>
      <c r="H3483" s="5">
        <v>6738.5</v>
      </c>
      <c r="I3483" s="5">
        <v>2170312.09</v>
      </c>
      <c r="K3483" s="5">
        <v>4.508</v>
      </c>
      <c r="L3483" s="5">
        <v>1E-3</v>
      </c>
      <c r="M3483" s="5">
        <v>868067.73699999996</v>
      </c>
      <c r="N3483" s="6">
        <v>5.8000000000000003E-2</v>
      </c>
      <c r="O3483" s="5">
        <v>45.356000000000002</v>
      </c>
      <c r="P3483" s="6">
        <v>6.3E-3</v>
      </c>
      <c r="Q3483" s="5">
        <v>15026004.437000001</v>
      </c>
      <c r="R3483" s="1" t="s">
        <v>44</v>
      </c>
      <c r="S3483" s="1" t="s">
        <v>94</v>
      </c>
      <c r="T3483" s="1" t="s">
        <v>71</v>
      </c>
      <c r="V3483" s="1" t="s">
        <v>223</v>
      </c>
      <c r="Y3483" s="1" t="s">
        <v>1515</v>
      </c>
      <c r="Z3483" s="1" t="str">
        <f t="shared" si="162"/>
        <v>56940 2</v>
      </c>
      <c r="AA3483" s="3">
        <f>IF(INDEX('CAMD Facility Data 2023'!$AA$2:$AE$10000,MATCH(Z3483,'CAMD Facility Data 2023'!$AE$2:$AE$10000,0),1)&gt;0,INDEX('CAMD Facility Data 2023'!$AA$2:$AE$10000,MATCH(Z3483,'CAMD Facility Data 2023'!$AE$2:$AE$10000,0),1),"")</f>
        <v>43124</v>
      </c>
      <c r="AB3483" s="5">
        <f>IF(INDEX('CAMD Facility Data 2023'!$AC$2:$AE$10000,MATCH(Z3483,'CAMD Facility Data 2023'!$AE$2:$AE$10000,0),1)&gt;0,INDEX('CAMD Facility Data 2023'!$AC$2:$AE$10000,MATCH(Z3483,'CAMD Facility Data 2023'!$AE$2:$AE$10000,0),1),"")</f>
        <v>2734</v>
      </c>
      <c r="AC3483" s="1" t="str">
        <f>IF(INDEX('CAMD Facility Data 2023'!$AE$2:$AG$10000,MATCH(Z3483,'CAMD Facility Data 2023'!$AE$2:$AE$10000,0),3)&gt;0,INDEX('CAMD Facility Data 2023'!$AE$2:$AG$10000,MATCH(Z3483,'CAMD Facility Data 2023'!$AE$2:$AE$10000,0),3),"")</f>
        <v>Y</v>
      </c>
      <c r="AD3483" s="20">
        <f t="shared" si="163"/>
        <v>4.1796753756276596E-2</v>
      </c>
      <c r="AE3483" s="25">
        <f t="shared" si="164"/>
        <v>0.627394773284498</v>
      </c>
    </row>
    <row r="3484" spans="1:31" x14ac:dyDescent="0.2">
      <c r="A3484" s="1" t="s">
        <v>234</v>
      </c>
      <c r="B3484" s="1" t="s">
        <v>7752</v>
      </c>
      <c r="C3484" s="1">
        <v>56948</v>
      </c>
      <c r="D3484" s="1" t="s">
        <v>993</v>
      </c>
      <c r="F3484" s="1">
        <v>2023</v>
      </c>
      <c r="G3484" s="5">
        <v>619</v>
      </c>
      <c r="H3484" s="5">
        <v>483.68</v>
      </c>
      <c r="I3484" s="5">
        <v>18184.25</v>
      </c>
      <c r="K3484" s="5">
        <v>5.7000000000000002E-2</v>
      </c>
      <c r="L3484" s="5">
        <v>1E-3</v>
      </c>
      <c r="M3484" s="5">
        <v>11235.516</v>
      </c>
      <c r="N3484" s="6">
        <v>5.9299999999999999E-2</v>
      </c>
      <c r="O3484" s="5">
        <v>1.768</v>
      </c>
      <c r="P3484" s="6">
        <v>2.2499999999999999E-2</v>
      </c>
      <c r="Q3484" s="5">
        <v>189054.20300000001</v>
      </c>
      <c r="R3484" s="1" t="s">
        <v>44</v>
      </c>
      <c r="T3484" s="1" t="s">
        <v>93</v>
      </c>
      <c r="V3484" s="1" t="s">
        <v>176</v>
      </c>
      <c r="Y3484" s="1" t="s">
        <v>247</v>
      </c>
      <c r="Z3484" s="1" t="str">
        <f t="shared" si="162"/>
        <v>56948 CT01</v>
      </c>
      <c r="AA3484" s="3">
        <f>IF(INDEX('CAMD Facility Data 2023'!$AA$2:$AE$10000,MATCH(Z3484,'CAMD Facility Data 2023'!$AE$2:$AE$10000,0),1)&gt;0,INDEX('CAMD Facility Data 2023'!$AA$2:$AE$10000,MATCH(Z3484,'CAMD Facility Data 2023'!$AE$2:$AE$10000,0),1),"")</f>
        <v>40561</v>
      </c>
      <c r="AB3484" s="5">
        <f>IF(INDEX('CAMD Facility Data 2023'!$AC$2:$AE$10000,MATCH(Z3484,'CAMD Facility Data 2023'!$AE$2:$AE$10000,0),1)&gt;0,INDEX('CAMD Facility Data 2023'!$AC$2:$AE$10000,MATCH(Z3484,'CAMD Facility Data 2023'!$AE$2:$AE$10000,0),1),"")</f>
        <v>491</v>
      </c>
      <c r="AC3484" s="1" t="str">
        <f>IF(INDEX('CAMD Facility Data 2023'!$AE$2:$AG$10000,MATCH(Z3484,'CAMD Facility Data 2023'!$AE$2:$AE$10000,0),3)&gt;0,INDEX('CAMD Facility Data 2023'!$AE$2:$AG$10000,MATCH(Z3484,'CAMD Facility Data 2023'!$AE$2:$AE$10000,0),3),"")</f>
        <v>Y</v>
      </c>
      <c r="AD3484" s="20">
        <f t="shared" si="163"/>
        <v>0.19445399177859962</v>
      </c>
      <c r="AE3484" s="25">
        <f t="shared" si="164"/>
        <v>4.3954236299044908E-2</v>
      </c>
    </row>
    <row r="3485" spans="1:31" x14ac:dyDescent="0.2">
      <c r="A3485" s="1" t="s">
        <v>234</v>
      </c>
      <c r="B3485" s="1" t="s">
        <v>7752</v>
      </c>
      <c r="C3485" s="1">
        <v>56948</v>
      </c>
      <c r="D3485" s="1" t="s">
        <v>998</v>
      </c>
      <c r="F3485" s="1">
        <v>2023</v>
      </c>
      <c r="G3485" s="5">
        <v>843</v>
      </c>
      <c r="H3485" s="5">
        <v>655.02</v>
      </c>
      <c r="I3485" s="5">
        <v>24945.1</v>
      </c>
      <c r="K3485" s="5">
        <v>7.6999999999999999E-2</v>
      </c>
      <c r="L3485" s="5">
        <v>1E-3</v>
      </c>
      <c r="M3485" s="5">
        <v>15306.865</v>
      </c>
      <c r="N3485" s="6">
        <v>5.9299999999999999E-2</v>
      </c>
      <c r="O3485" s="5">
        <v>2.456</v>
      </c>
      <c r="P3485" s="6">
        <v>2.1600000000000001E-2</v>
      </c>
      <c r="Q3485" s="5">
        <v>257572.12899999999</v>
      </c>
      <c r="R3485" s="1" t="s">
        <v>44</v>
      </c>
      <c r="T3485" s="1" t="s">
        <v>93</v>
      </c>
      <c r="V3485" s="1" t="s">
        <v>176</v>
      </c>
      <c r="Y3485" s="1" t="s">
        <v>247</v>
      </c>
      <c r="Z3485" s="1" t="str">
        <f t="shared" si="162"/>
        <v>56948 CT02</v>
      </c>
      <c r="AA3485" s="3">
        <f>IF(INDEX('CAMD Facility Data 2023'!$AA$2:$AE$10000,MATCH(Z3485,'CAMD Facility Data 2023'!$AE$2:$AE$10000,0),1)&gt;0,INDEX('CAMD Facility Data 2023'!$AA$2:$AE$10000,MATCH(Z3485,'CAMD Facility Data 2023'!$AE$2:$AE$10000,0),1),"")</f>
        <v>40554</v>
      </c>
      <c r="AB3485" s="5">
        <f>IF(INDEX('CAMD Facility Data 2023'!$AC$2:$AE$10000,MATCH(Z3485,'CAMD Facility Data 2023'!$AE$2:$AE$10000,0),1)&gt;0,INDEX('CAMD Facility Data 2023'!$AC$2:$AE$10000,MATCH(Z3485,'CAMD Facility Data 2023'!$AE$2:$AE$10000,0),1),"")</f>
        <v>491</v>
      </c>
      <c r="AC3485" s="1" t="str">
        <f>IF(INDEX('CAMD Facility Data 2023'!$AE$2:$AG$10000,MATCH(Z3485,'CAMD Facility Data 2023'!$AE$2:$AE$10000,0),3)&gt;0,INDEX('CAMD Facility Data 2023'!$AE$2:$AG$10000,MATCH(Z3485,'CAMD Facility Data 2023'!$AE$2:$AE$10000,0),3),"")</f>
        <v>Y</v>
      </c>
      <c r="AD3485" s="20">
        <f t="shared" si="163"/>
        <v>0.19691241967360323</v>
      </c>
      <c r="AE3485" s="25">
        <f t="shared" si="164"/>
        <v>5.9884340270996657E-2</v>
      </c>
    </row>
    <row r="3486" spans="1:31" x14ac:dyDescent="0.2">
      <c r="A3486" s="1" t="s">
        <v>234</v>
      </c>
      <c r="B3486" s="1" t="s">
        <v>7752</v>
      </c>
      <c r="C3486" s="1">
        <v>56948</v>
      </c>
      <c r="D3486" s="1" t="s">
        <v>1043</v>
      </c>
      <c r="F3486" s="1">
        <v>2023</v>
      </c>
      <c r="G3486" s="5">
        <v>847</v>
      </c>
      <c r="H3486" s="5">
        <v>658.35</v>
      </c>
      <c r="I3486" s="5">
        <v>25086.58</v>
      </c>
      <c r="K3486" s="5">
        <v>7.6999999999999999E-2</v>
      </c>
      <c r="L3486" s="5">
        <v>1E-3</v>
      </c>
      <c r="M3486" s="5">
        <v>15305.156999999999</v>
      </c>
      <c r="N3486" s="6">
        <v>5.9299999999999999E-2</v>
      </c>
      <c r="O3486" s="5">
        <v>2.4369999999999998</v>
      </c>
      <c r="P3486" s="6">
        <v>2.2200000000000001E-2</v>
      </c>
      <c r="Q3486" s="5">
        <v>257522.85800000001</v>
      </c>
      <c r="R3486" s="1" t="s">
        <v>44</v>
      </c>
      <c r="T3486" s="1" t="s">
        <v>93</v>
      </c>
      <c r="V3486" s="1" t="s">
        <v>176</v>
      </c>
      <c r="Y3486" s="1" t="s">
        <v>247</v>
      </c>
      <c r="Z3486" s="1" t="str">
        <f t="shared" si="162"/>
        <v>56948 CT03</v>
      </c>
      <c r="AA3486" s="3">
        <f>IF(INDEX('CAMD Facility Data 2023'!$AA$2:$AE$10000,MATCH(Z3486,'CAMD Facility Data 2023'!$AE$2:$AE$10000,0),1)&gt;0,INDEX('CAMD Facility Data 2023'!$AA$2:$AE$10000,MATCH(Z3486,'CAMD Facility Data 2023'!$AE$2:$AE$10000,0),1),"")</f>
        <v>40529</v>
      </c>
      <c r="AB3486" s="5">
        <f>IF(INDEX('CAMD Facility Data 2023'!$AC$2:$AE$10000,MATCH(Z3486,'CAMD Facility Data 2023'!$AE$2:$AE$10000,0),1)&gt;0,INDEX('CAMD Facility Data 2023'!$AC$2:$AE$10000,MATCH(Z3486,'CAMD Facility Data 2023'!$AE$2:$AE$10000,0),1),"")</f>
        <v>491</v>
      </c>
      <c r="AC3486" s="1" t="str">
        <f>IF(INDEX('CAMD Facility Data 2023'!$AE$2:$AG$10000,MATCH(Z3486,'CAMD Facility Data 2023'!$AE$2:$AE$10000,0),3)&gt;0,INDEX('CAMD Facility Data 2023'!$AE$2:$AG$10000,MATCH(Z3486,'CAMD Facility Data 2023'!$AE$2:$AE$10000,0),3),"")</f>
        <v>Y</v>
      </c>
      <c r="AD3486" s="20">
        <f t="shared" si="163"/>
        <v>0.19428714476026623</v>
      </c>
      <c r="AE3486" s="25">
        <f t="shared" si="164"/>
        <v>5.9872884989165716E-2</v>
      </c>
    </row>
    <row r="3487" spans="1:31" x14ac:dyDescent="0.2">
      <c r="A3487" s="1" t="s">
        <v>234</v>
      </c>
      <c r="B3487" s="1" t="s">
        <v>7752</v>
      </c>
      <c r="C3487" s="1">
        <v>56948</v>
      </c>
      <c r="D3487" s="1" t="s">
        <v>1048</v>
      </c>
      <c r="F3487" s="1">
        <v>2023</v>
      </c>
      <c r="G3487" s="5">
        <v>810</v>
      </c>
      <c r="H3487" s="5">
        <v>636.95000000000005</v>
      </c>
      <c r="I3487" s="5">
        <v>24036.63</v>
      </c>
      <c r="K3487" s="5">
        <v>7.3999999999999996E-2</v>
      </c>
      <c r="L3487" s="5">
        <v>1E-3</v>
      </c>
      <c r="M3487" s="5">
        <v>14678.821</v>
      </c>
      <c r="N3487" s="6">
        <v>5.9299999999999999E-2</v>
      </c>
      <c r="O3487" s="5">
        <v>2.391</v>
      </c>
      <c r="P3487" s="6">
        <v>2.1700000000000001E-2</v>
      </c>
      <c r="Q3487" s="5">
        <v>246980.31200000001</v>
      </c>
      <c r="R3487" s="1" t="s">
        <v>44</v>
      </c>
      <c r="T3487" s="1" t="s">
        <v>93</v>
      </c>
      <c r="V3487" s="1" t="s">
        <v>176</v>
      </c>
      <c r="Y3487" s="1" t="s">
        <v>247</v>
      </c>
      <c r="Z3487" s="1" t="str">
        <f t="shared" si="162"/>
        <v>56948 CT04</v>
      </c>
      <c r="AA3487" s="3">
        <f>IF(INDEX('CAMD Facility Data 2023'!$AA$2:$AE$10000,MATCH(Z3487,'CAMD Facility Data 2023'!$AE$2:$AE$10000,0),1)&gt;0,INDEX('CAMD Facility Data 2023'!$AA$2:$AE$10000,MATCH(Z3487,'CAMD Facility Data 2023'!$AE$2:$AE$10000,0),1),"")</f>
        <v>40528</v>
      </c>
      <c r="AB3487" s="5">
        <f>IF(INDEX('CAMD Facility Data 2023'!$AC$2:$AE$10000,MATCH(Z3487,'CAMD Facility Data 2023'!$AE$2:$AE$10000,0),1)&gt;0,INDEX('CAMD Facility Data 2023'!$AC$2:$AE$10000,MATCH(Z3487,'CAMD Facility Data 2023'!$AE$2:$AE$10000,0),1),"")</f>
        <v>491</v>
      </c>
      <c r="AC3487" s="1" t="str">
        <f>IF(INDEX('CAMD Facility Data 2023'!$AE$2:$AG$10000,MATCH(Z3487,'CAMD Facility Data 2023'!$AE$2:$AE$10000,0),3)&gt;0,INDEX('CAMD Facility Data 2023'!$AE$2:$AG$10000,MATCH(Z3487,'CAMD Facility Data 2023'!$AE$2:$AE$10000,0),3),"")</f>
        <v>Y</v>
      </c>
      <c r="AD3487" s="20">
        <f t="shared" si="163"/>
        <v>0.19894635812091793</v>
      </c>
      <c r="AE3487" s="25">
        <f t="shared" si="164"/>
        <v>5.7421791330710785E-2</v>
      </c>
    </row>
    <row r="3488" spans="1:31" x14ac:dyDescent="0.2">
      <c r="A3488" s="1" t="s">
        <v>234</v>
      </c>
      <c r="B3488" s="1" t="s">
        <v>7752</v>
      </c>
      <c r="C3488" s="1">
        <v>56948</v>
      </c>
      <c r="D3488" s="1" t="s">
        <v>1050</v>
      </c>
      <c r="F3488" s="1">
        <v>2023</v>
      </c>
      <c r="G3488" s="5">
        <v>1464</v>
      </c>
      <c r="H3488" s="5">
        <v>1172.3699999999999</v>
      </c>
      <c r="I3488" s="5">
        <v>46478.239999999998</v>
      </c>
      <c r="K3488" s="5">
        <v>0.14099999999999999</v>
      </c>
      <c r="L3488" s="5">
        <v>1E-3</v>
      </c>
      <c r="M3488" s="5">
        <v>27965.262999999999</v>
      </c>
      <c r="N3488" s="6">
        <v>5.9200000000000003E-2</v>
      </c>
      <c r="O3488" s="5">
        <v>4.4320000000000004</v>
      </c>
      <c r="P3488" s="6">
        <v>2.1499999999999998E-2</v>
      </c>
      <c r="Q3488" s="5">
        <v>470591.67800000001</v>
      </c>
      <c r="R3488" s="1" t="s">
        <v>44</v>
      </c>
      <c r="T3488" s="1" t="s">
        <v>93</v>
      </c>
      <c r="V3488" s="1" t="s">
        <v>176</v>
      </c>
      <c r="Y3488" s="1" t="s">
        <v>247</v>
      </c>
      <c r="Z3488" s="1" t="str">
        <f t="shared" si="162"/>
        <v>56948 CT05</v>
      </c>
      <c r="AA3488" s="3">
        <f>IF(INDEX('CAMD Facility Data 2023'!$AA$2:$AE$10000,MATCH(Z3488,'CAMD Facility Data 2023'!$AE$2:$AE$10000,0),1)&gt;0,INDEX('CAMD Facility Data 2023'!$AA$2:$AE$10000,MATCH(Z3488,'CAMD Facility Data 2023'!$AE$2:$AE$10000,0),1),"")</f>
        <v>40456</v>
      </c>
      <c r="AB3488" s="5">
        <f>IF(INDEX('CAMD Facility Data 2023'!$AC$2:$AE$10000,MATCH(Z3488,'CAMD Facility Data 2023'!$AE$2:$AE$10000,0),1)&gt;0,INDEX('CAMD Facility Data 2023'!$AC$2:$AE$10000,MATCH(Z3488,'CAMD Facility Data 2023'!$AE$2:$AE$10000,0),1),"")</f>
        <v>491</v>
      </c>
      <c r="AC3488" s="1" t="str">
        <f>IF(INDEX('CAMD Facility Data 2023'!$AE$2:$AG$10000,MATCH(Z3488,'CAMD Facility Data 2023'!$AE$2:$AE$10000,0),3)&gt;0,INDEX('CAMD Facility Data 2023'!$AE$2:$AG$10000,MATCH(Z3488,'CAMD Facility Data 2023'!$AE$2:$AE$10000,0),3),"")</f>
        <v>Y</v>
      </c>
      <c r="AD3488" s="20">
        <f t="shared" si="163"/>
        <v>0.19071290134910446</v>
      </c>
      <c r="AE3488" s="25">
        <f t="shared" si="164"/>
        <v>0.10941040974992793</v>
      </c>
    </row>
    <row r="3489" spans="1:31" x14ac:dyDescent="0.2">
      <c r="A3489" s="1" t="s">
        <v>234</v>
      </c>
      <c r="B3489" s="1" t="s">
        <v>7752</v>
      </c>
      <c r="C3489" s="1">
        <v>56948</v>
      </c>
      <c r="D3489" s="1" t="s">
        <v>4517</v>
      </c>
      <c r="F3489" s="1">
        <v>2023</v>
      </c>
      <c r="G3489" s="5">
        <v>1454</v>
      </c>
      <c r="H3489" s="5">
        <v>1157.5899999999999</v>
      </c>
      <c r="I3489" s="5">
        <v>45501.58</v>
      </c>
      <c r="K3489" s="5">
        <v>0.14000000000000001</v>
      </c>
      <c r="L3489" s="5">
        <v>1E-3</v>
      </c>
      <c r="M3489" s="5">
        <v>27644.758000000002</v>
      </c>
      <c r="N3489" s="6">
        <v>5.9200000000000003E-2</v>
      </c>
      <c r="O3489" s="5">
        <v>4.49</v>
      </c>
      <c r="P3489" s="6">
        <v>2.1899999999999999E-2</v>
      </c>
      <c r="Q3489" s="5">
        <v>465160.3</v>
      </c>
      <c r="R3489" s="1" t="s">
        <v>44</v>
      </c>
      <c r="T3489" s="1" t="s">
        <v>93</v>
      </c>
      <c r="V3489" s="1" t="s">
        <v>176</v>
      </c>
      <c r="Y3489" s="1" t="s">
        <v>247</v>
      </c>
      <c r="Z3489" s="1" t="str">
        <f t="shared" si="162"/>
        <v>56948 CT06</v>
      </c>
      <c r="AA3489" s="3">
        <f>IF(INDEX('CAMD Facility Data 2023'!$AA$2:$AE$10000,MATCH(Z3489,'CAMD Facility Data 2023'!$AE$2:$AE$10000,0),1)&gt;0,INDEX('CAMD Facility Data 2023'!$AA$2:$AE$10000,MATCH(Z3489,'CAMD Facility Data 2023'!$AE$2:$AE$10000,0),1),"")</f>
        <v>40455</v>
      </c>
      <c r="AB3489" s="5">
        <f>IF(INDEX('CAMD Facility Data 2023'!$AC$2:$AE$10000,MATCH(Z3489,'CAMD Facility Data 2023'!$AE$2:$AE$10000,0),1)&gt;0,INDEX('CAMD Facility Data 2023'!$AC$2:$AE$10000,MATCH(Z3489,'CAMD Facility Data 2023'!$AE$2:$AE$10000,0),1),"")</f>
        <v>491</v>
      </c>
      <c r="AC3489" s="1" t="str">
        <f>IF(INDEX('CAMD Facility Data 2023'!$AE$2:$AG$10000,MATCH(Z3489,'CAMD Facility Data 2023'!$AE$2:$AE$10000,0),3)&gt;0,INDEX('CAMD Facility Data 2023'!$AE$2:$AG$10000,MATCH(Z3489,'CAMD Facility Data 2023'!$AE$2:$AE$10000,0),3),"")</f>
        <v>Y</v>
      </c>
      <c r="AD3489" s="20">
        <f t="shared" si="163"/>
        <v>0.19735578412881485</v>
      </c>
      <c r="AE3489" s="25">
        <f t="shared" si="164"/>
        <v>0.10814763924150694</v>
      </c>
    </row>
    <row r="3490" spans="1:31" x14ac:dyDescent="0.2">
      <c r="A3490" s="1" t="s">
        <v>234</v>
      </c>
      <c r="B3490" s="1" t="s">
        <v>7752</v>
      </c>
      <c r="C3490" s="1">
        <v>56948</v>
      </c>
      <c r="D3490" s="1" t="s">
        <v>5961</v>
      </c>
      <c r="F3490" s="1">
        <v>2023</v>
      </c>
      <c r="G3490" s="5">
        <v>1447</v>
      </c>
      <c r="H3490" s="5">
        <v>1161.3</v>
      </c>
      <c r="I3490" s="5">
        <v>46111.48</v>
      </c>
      <c r="K3490" s="5">
        <v>0.13800000000000001</v>
      </c>
      <c r="L3490" s="5">
        <v>1E-3</v>
      </c>
      <c r="M3490" s="5">
        <v>27376.003000000001</v>
      </c>
      <c r="N3490" s="6">
        <v>5.9200000000000003E-2</v>
      </c>
      <c r="O3490" s="5">
        <v>4.8769999999999998</v>
      </c>
      <c r="P3490" s="6">
        <v>2.4799999999999999E-2</v>
      </c>
      <c r="Q3490" s="5">
        <v>460632.011</v>
      </c>
      <c r="R3490" s="1" t="s">
        <v>44</v>
      </c>
      <c r="T3490" s="1" t="s">
        <v>93</v>
      </c>
      <c r="V3490" s="1" t="s">
        <v>176</v>
      </c>
      <c r="Y3490" s="1" t="s">
        <v>247</v>
      </c>
      <c r="Z3490" s="1" t="str">
        <f t="shared" si="162"/>
        <v>56948 CT07</v>
      </c>
      <c r="AA3490" s="3">
        <f>IF(INDEX('CAMD Facility Data 2023'!$AA$2:$AE$10000,MATCH(Z3490,'CAMD Facility Data 2023'!$AE$2:$AE$10000,0),1)&gt;0,INDEX('CAMD Facility Data 2023'!$AA$2:$AE$10000,MATCH(Z3490,'CAMD Facility Data 2023'!$AE$2:$AE$10000,0),1),"")</f>
        <v>40453</v>
      </c>
      <c r="AB3490" s="5">
        <f>IF(INDEX('CAMD Facility Data 2023'!$AC$2:$AE$10000,MATCH(Z3490,'CAMD Facility Data 2023'!$AE$2:$AE$10000,0),1)&gt;0,INDEX('CAMD Facility Data 2023'!$AC$2:$AE$10000,MATCH(Z3490,'CAMD Facility Data 2023'!$AE$2:$AE$10000,0),1),"")</f>
        <v>491</v>
      </c>
      <c r="AC3490" s="1" t="str">
        <f>IF(INDEX('CAMD Facility Data 2023'!$AE$2:$AG$10000,MATCH(Z3490,'CAMD Facility Data 2023'!$AE$2:$AE$10000,0),3)&gt;0,INDEX('CAMD Facility Data 2023'!$AE$2:$AG$10000,MATCH(Z3490,'CAMD Facility Data 2023'!$AE$2:$AE$10000,0),3),"")</f>
        <v>Y</v>
      </c>
      <c r="AD3490" s="20">
        <f t="shared" si="163"/>
        <v>0.21153083787377891</v>
      </c>
      <c r="AE3490" s="25">
        <f t="shared" si="164"/>
        <v>0.10709483278929405</v>
      </c>
    </row>
    <row r="3491" spans="1:31" x14ac:dyDescent="0.2">
      <c r="A3491" s="1" t="s">
        <v>234</v>
      </c>
      <c r="B3491" s="1" t="s">
        <v>7752</v>
      </c>
      <c r="C3491" s="1">
        <v>56948</v>
      </c>
      <c r="D3491" s="1" t="s">
        <v>5962</v>
      </c>
      <c r="F3491" s="1">
        <v>2023</v>
      </c>
      <c r="G3491" s="5">
        <v>1361</v>
      </c>
      <c r="H3491" s="5">
        <v>1104.49</v>
      </c>
      <c r="I3491" s="5">
        <v>43293.96</v>
      </c>
      <c r="K3491" s="5">
        <v>0.13100000000000001</v>
      </c>
      <c r="L3491" s="5">
        <v>1E-3</v>
      </c>
      <c r="M3491" s="5">
        <v>25995.232</v>
      </c>
      <c r="N3491" s="6">
        <v>5.9200000000000003E-2</v>
      </c>
      <c r="O3491" s="5">
        <v>4.4329999999999998</v>
      </c>
      <c r="P3491" s="6">
        <v>2.23E-2</v>
      </c>
      <c r="Q3491" s="5">
        <v>437443.18900000001</v>
      </c>
      <c r="R3491" s="1" t="s">
        <v>44</v>
      </c>
      <c r="T3491" s="1" t="s">
        <v>93</v>
      </c>
      <c r="V3491" s="1" t="s">
        <v>176</v>
      </c>
      <c r="Y3491" s="1" t="s">
        <v>247</v>
      </c>
      <c r="Z3491" s="1" t="str">
        <f t="shared" si="162"/>
        <v>56948 CT08</v>
      </c>
      <c r="AA3491" s="3">
        <f>IF(INDEX('CAMD Facility Data 2023'!$AA$2:$AE$10000,MATCH(Z3491,'CAMD Facility Data 2023'!$AE$2:$AE$10000,0),1)&gt;0,INDEX('CAMD Facility Data 2023'!$AA$2:$AE$10000,MATCH(Z3491,'CAMD Facility Data 2023'!$AE$2:$AE$10000,0),1),"")</f>
        <v>40454</v>
      </c>
      <c r="AB3491" s="5">
        <f>IF(INDEX('CAMD Facility Data 2023'!$AC$2:$AE$10000,MATCH(Z3491,'CAMD Facility Data 2023'!$AE$2:$AE$10000,0),1)&gt;0,INDEX('CAMD Facility Data 2023'!$AC$2:$AE$10000,MATCH(Z3491,'CAMD Facility Data 2023'!$AE$2:$AE$10000,0),1),"")</f>
        <v>491</v>
      </c>
      <c r="AC3491" s="1" t="str">
        <f>IF(INDEX('CAMD Facility Data 2023'!$AE$2:$AG$10000,MATCH(Z3491,'CAMD Facility Data 2023'!$AE$2:$AE$10000,0),3)&gt;0,INDEX('CAMD Facility Data 2023'!$AE$2:$AG$10000,MATCH(Z3491,'CAMD Facility Data 2023'!$AE$2:$AE$10000,0),3),"")</f>
        <v>Y</v>
      </c>
      <c r="AD3491" s="20">
        <f t="shared" si="163"/>
        <v>0.20478607177537006</v>
      </c>
      <c r="AE3491" s="25">
        <f t="shared" si="164"/>
        <v>0.10170353788280372</v>
      </c>
    </row>
    <row r="3492" spans="1:31" x14ac:dyDescent="0.2">
      <c r="A3492" s="1" t="s">
        <v>234</v>
      </c>
      <c r="B3492" s="1" t="s">
        <v>7752</v>
      </c>
      <c r="C3492" s="1">
        <v>56948</v>
      </c>
      <c r="D3492" s="1" t="s">
        <v>7002</v>
      </c>
      <c r="F3492" s="1">
        <v>2023</v>
      </c>
      <c r="G3492" s="5">
        <v>1209</v>
      </c>
      <c r="H3492" s="5">
        <v>919.04</v>
      </c>
      <c r="I3492" s="5">
        <v>36158.67</v>
      </c>
      <c r="K3492" s="5">
        <v>0.109</v>
      </c>
      <c r="L3492" s="5">
        <v>1E-3</v>
      </c>
      <c r="M3492" s="5">
        <v>21572.544000000002</v>
      </c>
      <c r="N3492" s="6">
        <v>5.9200000000000003E-2</v>
      </c>
      <c r="O3492" s="5">
        <v>3.7360000000000002</v>
      </c>
      <c r="P3492" s="6">
        <v>2.29E-2</v>
      </c>
      <c r="Q3492" s="5">
        <v>362990.141</v>
      </c>
      <c r="R3492" s="1" t="s">
        <v>44</v>
      </c>
      <c r="T3492" s="1" t="s">
        <v>93</v>
      </c>
      <c r="V3492" s="1" t="s">
        <v>176</v>
      </c>
      <c r="Y3492" s="1" t="s">
        <v>247</v>
      </c>
      <c r="Z3492" s="1" t="str">
        <f t="shared" si="162"/>
        <v>56948 CT09</v>
      </c>
      <c r="AA3492" s="3">
        <f>IF(INDEX('CAMD Facility Data 2023'!$AA$2:$AE$10000,MATCH(Z3492,'CAMD Facility Data 2023'!$AE$2:$AE$10000,0),1)&gt;0,INDEX('CAMD Facility Data 2023'!$AA$2:$AE$10000,MATCH(Z3492,'CAMD Facility Data 2023'!$AE$2:$AE$10000,0),1),"")</f>
        <v>40494</v>
      </c>
      <c r="AB3492" s="5">
        <f>IF(INDEX('CAMD Facility Data 2023'!$AC$2:$AE$10000,MATCH(Z3492,'CAMD Facility Data 2023'!$AE$2:$AE$10000,0),1)&gt;0,INDEX('CAMD Facility Data 2023'!$AC$2:$AE$10000,MATCH(Z3492,'CAMD Facility Data 2023'!$AE$2:$AE$10000,0),1),"")</f>
        <v>491</v>
      </c>
      <c r="AC3492" s="1" t="str">
        <f>IF(INDEX('CAMD Facility Data 2023'!$AE$2:$AG$10000,MATCH(Z3492,'CAMD Facility Data 2023'!$AE$2:$AE$10000,0),3)&gt;0,INDEX('CAMD Facility Data 2023'!$AE$2:$AG$10000,MATCH(Z3492,'CAMD Facility Data 2023'!$AE$2:$AE$10000,0),3),"")</f>
        <v>Y</v>
      </c>
      <c r="AD3492" s="20">
        <f t="shared" si="163"/>
        <v>0.20664476873734572</v>
      </c>
      <c r="AE3492" s="25">
        <f t="shared" si="164"/>
        <v>8.4393545229658973E-2</v>
      </c>
    </row>
    <row r="3493" spans="1:31" x14ac:dyDescent="0.2">
      <c r="A3493" s="1" t="s">
        <v>234</v>
      </c>
      <c r="B3493" s="1" t="s">
        <v>7752</v>
      </c>
      <c r="C3493" s="1">
        <v>56948</v>
      </c>
      <c r="D3493" s="1" t="s">
        <v>92</v>
      </c>
      <c r="F3493" s="1">
        <v>2023</v>
      </c>
      <c r="G3493" s="5">
        <v>1375</v>
      </c>
      <c r="H3493" s="5">
        <v>1050.47</v>
      </c>
      <c r="I3493" s="5">
        <v>41058.18</v>
      </c>
      <c r="K3493" s="5">
        <v>0.126</v>
      </c>
      <c r="L3493" s="5">
        <v>1E-3</v>
      </c>
      <c r="M3493" s="5">
        <v>24930.991000000002</v>
      </c>
      <c r="N3493" s="6">
        <v>5.9299999999999999E-2</v>
      </c>
      <c r="O3493" s="5">
        <v>4.3860000000000001</v>
      </c>
      <c r="P3493" s="6">
        <v>2.4899999999999999E-2</v>
      </c>
      <c r="Q3493" s="5">
        <v>419503.72399999999</v>
      </c>
      <c r="R3493" s="1" t="s">
        <v>44</v>
      </c>
      <c r="T3493" s="1" t="s">
        <v>93</v>
      </c>
      <c r="V3493" s="1" t="s">
        <v>176</v>
      </c>
      <c r="Y3493" s="1" t="s">
        <v>247</v>
      </c>
      <c r="Z3493" s="1" t="str">
        <f t="shared" si="162"/>
        <v>56948 CT10</v>
      </c>
      <c r="AA3493" s="3">
        <f>IF(INDEX('CAMD Facility Data 2023'!$AA$2:$AE$10000,MATCH(Z3493,'CAMD Facility Data 2023'!$AE$2:$AE$10000,0),1)&gt;0,INDEX('CAMD Facility Data 2023'!$AA$2:$AE$10000,MATCH(Z3493,'CAMD Facility Data 2023'!$AE$2:$AE$10000,0),1),"")</f>
        <v>40497</v>
      </c>
      <c r="AB3493" s="5">
        <f>IF(INDEX('CAMD Facility Data 2023'!$AC$2:$AE$10000,MATCH(Z3493,'CAMD Facility Data 2023'!$AE$2:$AE$10000,0),1)&gt;0,INDEX('CAMD Facility Data 2023'!$AC$2:$AE$10000,MATCH(Z3493,'CAMD Facility Data 2023'!$AE$2:$AE$10000,0),1),"")</f>
        <v>491</v>
      </c>
      <c r="AC3493" s="1" t="str">
        <f>IF(INDEX('CAMD Facility Data 2023'!$AE$2:$AG$10000,MATCH(Z3493,'CAMD Facility Data 2023'!$AE$2:$AE$10000,0),3)&gt;0,INDEX('CAMD Facility Data 2023'!$AE$2:$AG$10000,MATCH(Z3493,'CAMD Facility Data 2023'!$AE$2:$AE$10000,0),3),"")</f>
        <v>Y</v>
      </c>
      <c r="AD3493" s="20">
        <f t="shared" si="163"/>
        <v>0.21364804772155024</v>
      </c>
      <c r="AE3493" s="25">
        <f t="shared" si="164"/>
        <v>9.7532694435919609E-2</v>
      </c>
    </row>
    <row r="3494" spans="1:31" x14ac:dyDescent="0.2">
      <c r="A3494" s="1" t="s">
        <v>234</v>
      </c>
      <c r="B3494" s="1" t="s">
        <v>7752</v>
      </c>
      <c r="C3494" s="1">
        <v>56948</v>
      </c>
      <c r="D3494" s="1" t="s">
        <v>6599</v>
      </c>
      <c r="F3494" s="1">
        <v>2023</v>
      </c>
      <c r="G3494" s="5">
        <v>1452</v>
      </c>
      <c r="H3494" s="5">
        <v>1121.69</v>
      </c>
      <c r="I3494" s="5">
        <v>44062.25</v>
      </c>
      <c r="K3494" s="5">
        <v>0.13500000000000001</v>
      </c>
      <c r="L3494" s="5">
        <v>1E-3</v>
      </c>
      <c r="M3494" s="5">
        <v>26832.720000000001</v>
      </c>
      <c r="N3494" s="6">
        <v>5.9200000000000003E-2</v>
      </c>
      <c r="O3494" s="5">
        <v>5.1719999999999997</v>
      </c>
      <c r="P3494" s="6">
        <v>2.58E-2</v>
      </c>
      <c r="Q3494" s="5">
        <v>451506.18400000001</v>
      </c>
      <c r="R3494" s="1" t="s">
        <v>44</v>
      </c>
      <c r="T3494" s="1" t="s">
        <v>93</v>
      </c>
      <c r="V3494" s="1" t="s">
        <v>176</v>
      </c>
      <c r="Y3494" s="1" t="s">
        <v>247</v>
      </c>
      <c r="Z3494" s="1" t="str">
        <f t="shared" si="162"/>
        <v>56948 CT11</v>
      </c>
      <c r="AA3494" s="3">
        <f>IF(INDEX('CAMD Facility Data 2023'!$AA$2:$AE$10000,MATCH(Z3494,'CAMD Facility Data 2023'!$AE$2:$AE$10000,0),1)&gt;0,INDEX('CAMD Facility Data 2023'!$AA$2:$AE$10000,MATCH(Z3494,'CAMD Facility Data 2023'!$AE$2:$AE$10000,0),1),"")</f>
        <v>40496</v>
      </c>
      <c r="AB3494" s="5">
        <f>IF(INDEX('CAMD Facility Data 2023'!$AC$2:$AE$10000,MATCH(Z3494,'CAMD Facility Data 2023'!$AE$2:$AE$10000,0),1)&gt;0,INDEX('CAMD Facility Data 2023'!$AC$2:$AE$10000,MATCH(Z3494,'CAMD Facility Data 2023'!$AE$2:$AE$10000,0),1),"")</f>
        <v>491</v>
      </c>
      <c r="AC3494" s="1" t="str">
        <f>IF(INDEX('CAMD Facility Data 2023'!$AE$2:$AG$10000,MATCH(Z3494,'CAMD Facility Data 2023'!$AE$2:$AE$10000,0),3)&gt;0,INDEX('CAMD Facility Data 2023'!$AE$2:$AG$10000,MATCH(Z3494,'CAMD Facility Data 2023'!$AE$2:$AE$10000,0),3),"")</f>
        <v>Y</v>
      </c>
      <c r="AD3494" s="20">
        <f t="shared" si="163"/>
        <v>0.23475877877321288</v>
      </c>
      <c r="AE3494" s="25">
        <f t="shared" si="164"/>
        <v>0.10497311980953976</v>
      </c>
    </row>
    <row r="3495" spans="1:31" x14ac:dyDescent="0.2">
      <c r="A3495" s="1" t="s">
        <v>234</v>
      </c>
      <c r="B3495" s="1" t="s">
        <v>7752</v>
      </c>
      <c r="C3495" s="1">
        <v>56948</v>
      </c>
      <c r="D3495" s="1" t="s">
        <v>6603</v>
      </c>
      <c r="F3495" s="1">
        <v>2023</v>
      </c>
      <c r="G3495" s="5">
        <v>1473</v>
      </c>
      <c r="H3495" s="5">
        <v>1138.5899999999999</v>
      </c>
      <c r="I3495" s="5">
        <v>44560.54</v>
      </c>
      <c r="K3495" s="5">
        <v>0.13600000000000001</v>
      </c>
      <c r="L3495" s="5">
        <v>1E-3</v>
      </c>
      <c r="M3495" s="5">
        <v>26983.752</v>
      </c>
      <c r="N3495" s="6">
        <v>5.9200000000000003E-2</v>
      </c>
      <c r="O3495" s="5">
        <v>4.3319999999999999</v>
      </c>
      <c r="P3495" s="6">
        <v>2.1700000000000001E-2</v>
      </c>
      <c r="Q3495" s="5">
        <v>454048.16600000003</v>
      </c>
      <c r="R3495" s="1" t="s">
        <v>44</v>
      </c>
      <c r="T3495" s="1" t="s">
        <v>93</v>
      </c>
      <c r="V3495" s="1" t="s">
        <v>176</v>
      </c>
      <c r="Y3495" s="1" t="s">
        <v>247</v>
      </c>
      <c r="Z3495" s="1" t="str">
        <f t="shared" si="162"/>
        <v>56948 CT12</v>
      </c>
      <c r="AA3495" s="3">
        <f>IF(INDEX('CAMD Facility Data 2023'!$AA$2:$AE$10000,MATCH(Z3495,'CAMD Facility Data 2023'!$AE$2:$AE$10000,0),1)&gt;0,INDEX('CAMD Facility Data 2023'!$AA$2:$AE$10000,MATCH(Z3495,'CAMD Facility Data 2023'!$AE$2:$AE$10000,0),1),"")</f>
        <v>40499</v>
      </c>
      <c r="AB3495" s="5">
        <f>IF(INDEX('CAMD Facility Data 2023'!$AC$2:$AE$10000,MATCH(Z3495,'CAMD Facility Data 2023'!$AE$2:$AE$10000,0),1)&gt;0,INDEX('CAMD Facility Data 2023'!$AC$2:$AE$10000,MATCH(Z3495,'CAMD Facility Data 2023'!$AE$2:$AE$10000,0),1),"")</f>
        <v>491</v>
      </c>
      <c r="AC3495" s="1" t="str">
        <f>IF(INDEX('CAMD Facility Data 2023'!$AE$2:$AG$10000,MATCH(Z3495,'CAMD Facility Data 2023'!$AE$2:$AE$10000,0),3)&gt;0,INDEX('CAMD Facility Data 2023'!$AE$2:$AG$10000,MATCH(Z3495,'CAMD Facility Data 2023'!$AE$2:$AE$10000,0),3),"")</f>
        <v>Y</v>
      </c>
      <c r="AD3495" s="20">
        <f t="shared" si="163"/>
        <v>0.1944321141530152</v>
      </c>
      <c r="AE3495" s="25">
        <f t="shared" si="164"/>
        <v>0.10556411898185607</v>
      </c>
    </row>
    <row r="3496" spans="1:31" x14ac:dyDescent="0.2">
      <c r="A3496" s="1" t="s">
        <v>1980</v>
      </c>
      <c r="B3496" s="1" t="s">
        <v>7765</v>
      </c>
      <c r="C3496" s="1">
        <v>56963</v>
      </c>
      <c r="D3496" s="1" t="s">
        <v>7766</v>
      </c>
      <c r="F3496" s="1">
        <v>2023</v>
      </c>
      <c r="G3496" s="5">
        <v>4234</v>
      </c>
      <c r="H3496" s="5">
        <v>4062.4</v>
      </c>
      <c r="I3496" s="5">
        <v>1149805.83</v>
      </c>
      <c r="K3496" s="5">
        <v>2.5179999999999998</v>
      </c>
      <c r="L3496" s="5">
        <v>1E-3</v>
      </c>
      <c r="M3496" s="5">
        <v>498852.94799999997</v>
      </c>
      <c r="N3496" s="6">
        <v>5.8999999999999997E-2</v>
      </c>
      <c r="O3496" s="5">
        <v>31.193999999999999</v>
      </c>
      <c r="P3496" s="6">
        <v>1.0800000000000001E-2</v>
      </c>
      <c r="Q3496" s="5">
        <v>8394120.6679999996</v>
      </c>
      <c r="R3496" s="1" t="s">
        <v>44</v>
      </c>
      <c r="T3496" s="1" t="s">
        <v>71</v>
      </c>
      <c r="V3496" s="1" t="s">
        <v>64</v>
      </c>
      <c r="Y3496" s="1" t="s">
        <v>1515</v>
      </c>
      <c r="Z3496" s="1" t="str">
        <f t="shared" si="162"/>
        <v>56963 E101</v>
      </c>
      <c r="AA3496" s="3">
        <f>IF(INDEX('CAMD Facility Data 2023'!$AA$2:$AE$10000,MATCH(Z3496,'CAMD Facility Data 2023'!$AE$2:$AE$10000,0),1)&gt;0,INDEX('CAMD Facility Data 2023'!$AA$2:$AE$10000,MATCH(Z3496,'CAMD Facility Data 2023'!$AE$2:$AE$10000,0),1),"")</f>
        <v>41775</v>
      </c>
      <c r="AB3496" s="5">
        <f>IF(INDEX('CAMD Facility Data 2023'!$AC$2:$AE$10000,MATCH(Z3496,'CAMD Facility Data 2023'!$AE$2:$AE$10000,0),1)&gt;0,INDEX('CAMD Facility Data 2023'!$AC$2:$AE$10000,MATCH(Z3496,'CAMD Facility Data 2023'!$AE$2:$AE$10000,0),1),"")</f>
        <v>3108</v>
      </c>
      <c r="AC3496" s="1" t="str">
        <f>IF(INDEX('CAMD Facility Data 2023'!$AE$2:$AG$10000,MATCH(Z3496,'CAMD Facility Data 2023'!$AE$2:$AE$10000,0),3)&gt;0,INDEX('CAMD Facility Data 2023'!$AE$2:$AG$10000,MATCH(Z3496,'CAMD Facility Data 2023'!$AE$2:$AE$10000,0),3),"")</f>
        <v>Y</v>
      </c>
      <c r="AD3496" s="20">
        <f t="shared" si="163"/>
        <v>5.4259596161553639E-2</v>
      </c>
      <c r="AE3496" s="25">
        <f t="shared" si="164"/>
        <v>0.30831176092922669</v>
      </c>
    </row>
    <row r="3497" spans="1:31" x14ac:dyDescent="0.2">
      <c r="A3497" s="1" t="s">
        <v>1980</v>
      </c>
      <c r="B3497" s="1" t="s">
        <v>7765</v>
      </c>
      <c r="C3497" s="1">
        <v>56963</v>
      </c>
      <c r="D3497" s="1" t="s">
        <v>7769</v>
      </c>
      <c r="F3497" s="1">
        <v>2023</v>
      </c>
      <c r="G3497" s="5">
        <v>3918</v>
      </c>
      <c r="H3497" s="5">
        <v>3728.65</v>
      </c>
      <c r="I3497" s="5">
        <v>1089832.82</v>
      </c>
      <c r="K3497" s="5">
        <v>2.3719999999999999</v>
      </c>
      <c r="L3497" s="5">
        <v>1E-3</v>
      </c>
      <c r="M3497" s="5">
        <v>469809.54700000002</v>
      </c>
      <c r="N3497" s="6">
        <v>5.8999999999999997E-2</v>
      </c>
      <c r="O3497" s="5">
        <v>33.665999999999997</v>
      </c>
      <c r="P3497" s="6">
        <v>1.34E-2</v>
      </c>
      <c r="Q3497" s="5">
        <v>7905449.2280000001</v>
      </c>
      <c r="R3497" s="1" t="s">
        <v>44</v>
      </c>
      <c r="T3497" s="1" t="s">
        <v>71</v>
      </c>
      <c r="V3497" s="1" t="s">
        <v>64</v>
      </c>
      <c r="Y3497" s="1" t="s">
        <v>1515</v>
      </c>
      <c r="Z3497" s="1" t="str">
        <f t="shared" si="162"/>
        <v>56963 E102</v>
      </c>
      <c r="AA3497" s="3">
        <f>IF(INDEX('CAMD Facility Data 2023'!$AA$2:$AE$10000,MATCH(Z3497,'CAMD Facility Data 2023'!$AE$2:$AE$10000,0),1)&gt;0,INDEX('CAMD Facility Data 2023'!$AA$2:$AE$10000,MATCH(Z3497,'CAMD Facility Data 2023'!$AE$2:$AE$10000,0),1),"")</f>
        <v>41770</v>
      </c>
      <c r="AB3497" s="5">
        <f>IF(INDEX('CAMD Facility Data 2023'!$AC$2:$AE$10000,MATCH(Z3497,'CAMD Facility Data 2023'!$AE$2:$AE$10000,0),1)&gt;0,INDEX('CAMD Facility Data 2023'!$AC$2:$AE$10000,MATCH(Z3497,'CAMD Facility Data 2023'!$AE$2:$AE$10000,0),1),"")</f>
        <v>3108</v>
      </c>
      <c r="AC3497" s="1" t="str">
        <f>IF(INDEX('CAMD Facility Data 2023'!$AE$2:$AG$10000,MATCH(Z3497,'CAMD Facility Data 2023'!$AE$2:$AE$10000,0),3)&gt;0,INDEX('CAMD Facility Data 2023'!$AE$2:$AG$10000,MATCH(Z3497,'CAMD Facility Data 2023'!$AE$2:$AE$10000,0),3),"")</f>
        <v>Y</v>
      </c>
      <c r="AD3497" s="20">
        <f t="shared" si="163"/>
        <v>6.1781952942103535E-2</v>
      </c>
      <c r="AE3497" s="25">
        <f t="shared" si="164"/>
        <v>0.29036310875454713</v>
      </c>
    </row>
    <row r="3498" spans="1:31" x14ac:dyDescent="0.2">
      <c r="A3498" s="1" t="s">
        <v>1980</v>
      </c>
      <c r="B3498" s="1" t="s">
        <v>7771</v>
      </c>
      <c r="C3498" s="1">
        <v>56964</v>
      </c>
      <c r="D3498" s="1" t="s">
        <v>280</v>
      </c>
      <c r="F3498" s="1">
        <v>2023</v>
      </c>
      <c r="G3498" s="5">
        <v>2371</v>
      </c>
      <c r="H3498" s="5">
        <v>1917</v>
      </c>
      <c r="I3498" s="5">
        <v>104165.57</v>
      </c>
      <c r="K3498" s="5">
        <v>0.28799999999999998</v>
      </c>
      <c r="L3498" s="5">
        <v>8.9999999999999998E-4</v>
      </c>
      <c r="M3498" s="5">
        <v>58898.400999999998</v>
      </c>
      <c r="N3498" s="6">
        <v>5.9200000000000003E-2</v>
      </c>
      <c r="O3498" s="5">
        <v>3.085</v>
      </c>
      <c r="P3498" s="6">
        <v>1.0500000000000001E-2</v>
      </c>
      <c r="Q3498" s="5">
        <v>991102.67700000003</v>
      </c>
      <c r="R3498" s="1" t="s">
        <v>44</v>
      </c>
      <c r="S3498" s="1" t="s">
        <v>94</v>
      </c>
      <c r="T3498" s="1" t="s">
        <v>93</v>
      </c>
      <c r="V3498" s="1" t="s">
        <v>1608</v>
      </c>
      <c r="Y3498" s="1" t="s">
        <v>1515</v>
      </c>
      <c r="Z3498" s="1" t="str">
        <f t="shared" si="162"/>
        <v>56964 GT1</v>
      </c>
      <c r="AA3498" s="3">
        <f>IF(INDEX('CAMD Facility Data 2023'!$AA$2:$AE$10000,MATCH(Z3498,'CAMD Facility Data 2023'!$AE$2:$AE$10000,0),1)&gt;0,INDEX('CAMD Facility Data 2023'!$AA$2:$AE$10000,MATCH(Z3498,'CAMD Facility Data 2023'!$AE$2:$AE$10000,0),1),"")</f>
        <v>40931</v>
      </c>
      <c r="AB3498" s="5">
        <f>IF(INDEX('CAMD Facility Data 2023'!$AC$2:$AE$10000,MATCH(Z3498,'CAMD Facility Data 2023'!$AE$2:$AE$10000,0),1)&gt;0,INDEX('CAMD Facility Data 2023'!$AC$2:$AE$10000,MATCH(Z3498,'CAMD Facility Data 2023'!$AE$2:$AE$10000,0),1),"")</f>
        <v>603</v>
      </c>
      <c r="AC3498" s="1" t="str">
        <f>IF(INDEX('CAMD Facility Data 2023'!$AE$2:$AG$10000,MATCH(Z3498,'CAMD Facility Data 2023'!$AE$2:$AE$10000,0),3)&gt;0,INDEX('CAMD Facility Data 2023'!$AE$2:$AG$10000,MATCH(Z3498,'CAMD Facility Data 2023'!$AE$2:$AE$10000,0),3),"")</f>
        <v>Y</v>
      </c>
      <c r="AD3498" s="20">
        <f t="shared" si="163"/>
        <v>5.9232623601061268E-2</v>
      </c>
      <c r="AE3498" s="25">
        <f t="shared" si="164"/>
        <v>0.18762781923714761</v>
      </c>
    </row>
    <row r="3499" spans="1:31" x14ac:dyDescent="0.2">
      <c r="A3499" s="1" t="s">
        <v>1980</v>
      </c>
      <c r="B3499" s="1" t="s">
        <v>7771</v>
      </c>
      <c r="C3499" s="1">
        <v>56964</v>
      </c>
      <c r="D3499" s="1" t="s">
        <v>7774</v>
      </c>
      <c r="F3499" s="1">
        <v>2023</v>
      </c>
      <c r="G3499" s="5">
        <v>2624</v>
      </c>
      <c r="H3499" s="5">
        <v>2043.26</v>
      </c>
      <c r="I3499" s="5">
        <v>108329.85</v>
      </c>
      <c r="K3499" s="5">
        <v>0.312</v>
      </c>
      <c r="L3499" s="5">
        <v>1E-3</v>
      </c>
      <c r="M3499" s="5">
        <v>61885.294999999998</v>
      </c>
      <c r="N3499" s="6">
        <v>5.9200000000000003E-2</v>
      </c>
      <c r="O3499" s="5">
        <v>4.4390000000000001</v>
      </c>
      <c r="P3499" s="6">
        <v>1.8100000000000002E-2</v>
      </c>
      <c r="Q3499" s="5">
        <v>1041396.5820000001</v>
      </c>
      <c r="R3499" s="1" t="s">
        <v>44</v>
      </c>
      <c r="S3499" s="1" t="s">
        <v>94</v>
      </c>
      <c r="T3499" s="1" t="s">
        <v>93</v>
      </c>
      <c r="V3499" s="1" t="s">
        <v>1608</v>
      </c>
      <c r="Y3499" s="1" t="s">
        <v>1515</v>
      </c>
      <c r="Z3499" s="1" t="str">
        <f t="shared" si="162"/>
        <v>56964 GT10</v>
      </c>
      <c r="AA3499" s="3">
        <f>IF(INDEX('CAMD Facility Data 2023'!$AA$2:$AE$10000,MATCH(Z3499,'CAMD Facility Data 2023'!$AE$2:$AE$10000,0),1)&gt;0,INDEX('CAMD Facility Data 2023'!$AA$2:$AE$10000,MATCH(Z3499,'CAMD Facility Data 2023'!$AE$2:$AE$10000,0),1),"")</f>
        <v>43200</v>
      </c>
      <c r="AB3499" s="5">
        <f>IF(INDEX('CAMD Facility Data 2023'!$AC$2:$AE$10000,MATCH(Z3499,'CAMD Facility Data 2023'!$AE$2:$AE$10000,0),1)&gt;0,INDEX('CAMD Facility Data 2023'!$AC$2:$AE$10000,MATCH(Z3499,'CAMD Facility Data 2023'!$AE$2:$AE$10000,0),1),"")</f>
        <v>643</v>
      </c>
      <c r="AC3499" s="1" t="str">
        <f>IF(INDEX('CAMD Facility Data 2023'!$AE$2:$AG$10000,MATCH(Z3499,'CAMD Facility Data 2023'!$AE$2:$AE$10000,0),3)&gt;0,INDEX('CAMD Facility Data 2023'!$AE$2:$AG$10000,MATCH(Z3499,'CAMD Facility Data 2023'!$AE$2:$AE$10000,0),3),"")</f>
        <v>Y</v>
      </c>
      <c r="AD3499" s="20">
        <f t="shared" si="163"/>
        <v>8.1953404347924419E-2</v>
      </c>
      <c r="AE3499" s="25">
        <f t="shared" si="164"/>
        <v>0.1848847408338482</v>
      </c>
    </row>
    <row r="3500" spans="1:31" x14ac:dyDescent="0.2">
      <c r="A3500" s="1" t="s">
        <v>1980</v>
      </c>
      <c r="B3500" s="1" t="s">
        <v>7771</v>
      </c>
      <c r="C3500" s="1">
        <v>56964</v>
      </c>
      <c r="D3500" s="1" t="s">
        <v>1102</v>
      </c>
      <c r="F3500" s="1">
        <v>2023</v>
      </c>
      <c r="G3500" s="5">
        <v>1904</v>
      </c>
      <c r="H3500" s="5">
        <v>1496.46</v>
      </c>
      <c r="I3500" s="5">
        <v>78668.179999999993</v>
      </c>
      <c r="K3500" s="5">
        <v>0.217</v>
      </c>
      <c r="L3500" s="5">
        <v>8.9999999999999998E-4</v>
      </c>
      <c r="M3500" s="5">
        <v>44769.012000000002</v>
      </c>
      <c r="N3500" s="6">
        <v>5.9200000000000003E-2</v>
      </c>
      <c r="O3500" s="5">
        <v>2.4220000000000002</v>
      </c>
      <c r="P3500" s="6">
        <v>1.03E-2</v>
      </c>
      <c r="Q3500" s="5">
        <v>753319.73600000003</v>
      </c>
      <c r="R3500" s="1" t="s">
        <v>44</v>
      </c>
      <c r="S3500" s="1" t="s">
        <v>94</v>
      </c>
      <c r="T3500" s="1" t="s">
        <v>93</v>
      </c>
      <c r="V3500" s="1" t="s">
        <v>1608</v>
      </c>
      <c r="Y3500" s="1" t="s">
        <v>1515</v>
      </c>
      <c r="Z3500" s="1" t="str">
        <f t="shared" si="162"/>
        <v>56964 GT2</v>
      </c>
      <c r="AA3500" s="3">
        <f>IF(INDEX('CAMD Facility Data 2023'!$AA$2:$AE$10000,MATCH(Z3500,'CAMD Facility Data 2023'!$AE$2:$AE$10000,0),1)&gt;0,INDEX('CAMD Facility Data 2023'!$AA$2:$AE$10000,MATCH(Z3500,'CAMD Facility Data 2023'!$AE$2:$AE$10000,0),1),"")</f>
        <v>40934</v>
      </c>
      <c r="AB3500" s="5">
        <f>IF(INDEX('CAMD Facility Data 2023'!$AC$2:$AE$10000,MATCH(Z3500,'CAMD Facility Data 2023'!$AE$2:$AE$10000,0),1)&gt;0,INDEX('CAMD Facility Data 2023'!$AC$2:$AE$10000,MATCH(Z3500,'CAMD Facility Data 2023'!$AE$2:$AE$10000,0),1),"")</f>
        <v>603</v>
      </c>
      <c r="AC3500" s="1" t="str">
        <f>IF(INDEX('CAMD Facility Data 2023'!$AE$2:$AG$10000,MATCH(Z3500,'CAMD Facility Data 2023'!$AE$2:$AE$10000,0),3)&gt;0,INDEX('CAMD Facility Data 2023'!$AE$2:$AG$10000,MATCH(Z3500,'CAMD Facility Data 2023'!$AE$2:$AE$10000,0),3),"")</f>
        <v>Y</v>
      </c>
      <c r="AD3500" s="20">
        <f t="shared" si="163"/>
        <v>6.1575086648756848E-2</v>
      </c>
      <c r="AE3500" s="25">
        <f t="shared" si="164"/>
        <v>0.14261260970641465</v>
      </c>
    </row>
    <row r="3501" spans="1:31" x14ac:dyDescent="0.2">
      <c r="A3501" s="1" t="s">
        <v>1980</v>
      </c>
      <c r="B3501" s="1" t="s">
        <v>7771</v>
      </c>
      <c r="C3501" s="1">
        <v>56964</v>
      </c>
      <c r="D3501" s="1" t="s">
        <v>246</v>
      </c>
      <c r="F3501" s="1">
        <v>2023</v>
      </c>
      <c r="G3501" s="5">
        <v>1213</v>
      </c>
      <c r="H3501" s="5">
        <v>922.83</v>
      </c>
      <c r="I3501" s="5">
        <v>48032.66</v>
      </c>
      <c r="K3501" s="5">
        <v>0.13500000000000001</v>
      </c>
      <c r="L3501" s="5">
        <v>8.9999999999999998E-4</v>
      </c>
      <c r="M3501" s="5">
        <v>27795.081999999999</v>
      </c>
      <c r="N3501" s="6">
        <v>5.9200000000000003E-2</v>
      </c>
      <c r="O3501" s="5">
        <v>1.4219999999999999</v>
      </c>
      <c r="P3501" s="6">
        <v>1.0999999999999999E-2</v>
      </c>
      <c r="Q3501" s="5">
        <v>467707.565</v>
      </c>
      <c r="R3501" s="1" t="s">
        <v>44</v>
      </c>
      <c r="S3501" s="1" t="s">
        <v>94</v>
      </c>
      <c r="T3501" s="1" t="s">
        <v>93</v>
      </c>
      <c r="V3501" s="1" t="s">
        <v>1608</v>
      </c>
      <c r="Y3501" s="1" t="s">
        <v>1515</v>
      </c>
      <c r="Z3501" s="1" t="str">
        <f t="shared" si="162"/>
        <v>56964 GT3</v>
      </c>
      <c r="AA3501" s="3">
        <f>IF(INDEX('CAMD Facility Data 2023'!$AA$2:$AE$10000,MATCH(Z3501,'CAMD Facility Data 2023'!$AE$2:$AE$10000,0),1)&gt;0,INDEX('CAMD Facility Data 2023'!$AA$2:$AE$10000,MATCH(Z3501,'CAMD Facility Data 2023'!$AE$2:$AE$10000,0),1),"")</f>
        <v>40961</v>
      </c>
      <c r="AB3501" s="5">
        <f>IF(INDEX('CAMD Facility Data 2023'!$AC$2:$AE$10000,MATCH(Z3501,'CAMD Facility Data 2023'!$AE$2:$AE$10000,0),1)&gt;0,INDEX('CAMD Facility Data 2023'!$AC$2:$AE$10000,MATCH(Z3501,'CAMD Facility Data 2023'!$AE$2:$AE$10000,0),1),"")</f>
        <v>603</v>
      </c>
      <c r="AC3501" s="1" t="str">
        <f>IF(INDEX('CAMD Facility Data 2023'!$AE$2:$AG$10000,MATCH(Z3501,'CAMD Facility Data 2023'!$AE$2:$AE$10000,0),3)&gt;0,INDEX('CAMD Facility Data 2023'!$AE$2:$AG$10000,MATCH(Z3501,'CAMD Facility Data 2023'!$AE$2:$AE$10000,0),3),"")</f>
        <v>Y</v>
      </c>
      <c r="AD3501" s="20">
        <f t="shared" si="163"/>
        <v>5.9209712724633608E-2</v>
      </c>
      <c r="AE3501" s="25">
        <f t="shared" si="164"/>
        <v>8.8542743853033165E-2</v>
      </c>
    </row>
    <row r="3502" spans="1:31" x14ac:dyDescent="0.2">
      <c r="A3502" s="1" t="s">
        <v>1980</v>
      </c>
      <c r="B3502" s="1" t="s">
        <v>7771</v>
      </c>
      <c r="C3502" s="1">
        <v>56964</v>
      </c>
      <c r="D3502" s="1" t="s">
        <v>251</v>
      </c>
      <c r="F3502" s="1">
        <v>2023</v>
      </c>
      <c r="G3502" s="5">
        <v>1816</v>
      </c>
      <c r="H3502" s="5">
        <v>1487.59</v>
      </c>
      <c r="I3502" s="5">
        <v>81291.789999999994</v>
      </c>
      <c r="K3502" s="5">
        <v>0.221</v>
      </c>
      <c r="L3502" s="5">
        <v>1E-3</v>
      </c>
      <c r="M3502" s="5">
        <v>46011.743000000002</v>
      </c>
      <c r="N3502" s="6">
        <v>5.9200000000000003E-2</v>
      </c>
      <c r="O3502" s="5">
        <v>2.472</v>
      </c>
      <c r="P3502" s="6">
        <v>9.7000000000000003E-3</v>
      </c>
      <c r="Q3502" s="5">
        <v>774216.80500000005</v>
      </c>
      <c r="R3502" s="1" t="s">
        <v>44</v>
      </c>
      <c r="S3502" s="1" t="s">
        <v>94</v>
      </c>
      <c r="T3502" s="1" t="s">
        <v>93</v>
      </c>
      <c r="V3502" s="1" t="s">
        <v>1608</v>
      </c>
      <c r="Y3502" s="1" t="s">
        <v>1515</v>
      </c>
      <c r="Z3502" s="1" t="str">
        <f t="shared" si="162"/>
        <v>56964 GT4</v>
      </c>
      <c r="AA3502" s="3">
        <f>IF(INDEX('CAMD Facility Data 2023'!$AA$2:$AE$10000,MATCH(Z3502,'CAMD Facility Data 2023'!$AE$2:$AE$10000,0),1)&gt;0,INDEX('CAMD Facility Data 2023'!$AA$2:$AE$10000,MATCH(Z3502,'CAMD Facility Data 2023'!$AE$2:$AE$10000,0),1),"")</f>
        <v>40960</v>
      </c>
      <c r="AB3502" s="5">
        <f>IF(INDEX('CAMD Facility Data 2023'!$AC$2:$AE$10000,MATCH(Z3502,'CAMD Facility Data 2023'!$AE$2:$AE$10000,0),1)&gt;0,INDEX('CAMD Facility Data 2023'!$AC$2:$AE$10000,MATCH(Z3502,'CAMD Facility Data 2023'!$AE$2:$AE$10000,0),1),"")</f>
        <v>603</v>
      </c>
      <c r="AC3502" s="1" t="str">
        <f>IF(INDEX('CAMD Facility Data 2023'!$AE$2:$AG$10000,MATCH(Z3502,'CAMD Facility Data 2023'!$AE$2:$AE$10000,0),3)&gt;0,INDEX('CAMD Facility Data 2023'!$AE$2:$AG$10000,MATCH(Z3502,'CAMD Facility Data 2023'!$AE$2:$AE$10000,0),3),"")</f>
        <v>Y</v>
      </c>
      <c r="AD3502" s="20">
        <f t="shared" si="163"/>
        <v>6.0817949758518057E-2</v>
      </c>
      <c r="AE3502" s="25">
        <f t="shared" si="164"/>
        <v>0.14656867962319303</v>
      </c>
    </row>
    <row r="3503" spans="1:31" x14ac:dyDescent="0.2">
      <c r="A3503" s="1" t="s">
        <v>1980</v>
      </c>
      <c r="B3503" s="1" t="s">
        <v>7771</v>
      </c>
      <c r="C3503" s="1">
        <v>56964</v>
      </c>
      <c r="D3503" s="1" t="s">
        <v>253</v>
      </c>
      <c r="F3503" s="1">
        <v>2023</v>
      </c>
      <c r="G3503" s="5">
        <v>977</v>
      </c>
      <c r="H3503" s="5">
        <v>767.37</v>
      </c>
      <c r="I3503" s="5">
        <v>38916.01</v>
      </c>
      <c r="K3503" s="5">
        <v>0.111</v>
      </c>
      <c r="L3503" s="5">
        <v>1E-3</v>
      </c>
      <c r="M3503" s="5">
        <v>22498.753000000001</v>
      </c>
      <c r="N3503" s="6">
        <v>5.9200000000000003E-2</v>
      </c>
      <c r="O3503" s="5">
        <v>1.3029999999999999</v>
      </c>
      <c r="P3503" s="6">
        <v>1.1299999999999999E-2</v>
      </c>
      <c r="Q3503" s="5">
        <v>378586.20699999999</v>
      </c>
      <c r="R3503" s="1" t="s">
        <v>44</v>
      </c>
      <c r="S3503" s="1" t="s">
        <v>94</v>
      </c>
      <c r="T3503" s="1" t="s">
        <v>93</v>
      </c>
      <c r="V3503" s="1" t="s">
        <v>1608</v>
      </c>
      <c r="Y3503" s="1" t="s">
        <v>1515</v>
      </c>
      <c r="Z3503" s="1" t="str">
        <f t="shared" si="162"/>
        <v>56964 GT5</v>
      </c>
      <c r="AA3503" s="3">
        <f>IF(INDEX('CAMD Facility Data 2023'!$AA$2:$AE$10000,MATCH(Z3503,'CAMD Facility Data 2023'!$AE$2:$AE$10000,0),1)&gt;0,INDEX('CAMD Facility Data 2023'!$AA$2:$AE$10000,MATCH(Z3503,'CAMD Facility Data 2023'!$AE$2:$AE$10000,0),1),"")</f>
        <v>40981</v>
      </c>
      <c r="AB3503" s="5">
        <f>IF(INDEX('CAMD Facility Data 2023'!$AC$2:$AE$10000,MATCH(Z3503,'CAMD Facility Data 2023'!$AE$2:$AE$10000,0),1)&gt;0,INDEX('CAMD Facility Data 2023'!$AC$2:$AE$10000,MATCH(Z3503,'CAMD Facility Data 2023'!$AE$2:$AE$10000,0),1),"")</f>
        <v>603</v>
      </c>
      <c r="AC3503" s="1" t="str">
        <f>IF(INDEX('CAMD Facility Data 2023'!$AE$2:$AG$10000,MATCH(Z3503,'CAMD Facility Data 2023'!$AE$2:$AE$10000,0),3)&gt;0,INDEX('CAMD Facility Data 2023'!$AE$2:$AG$10000,MATCH(Z3503,'CAMD Facility Data 2023'!$AE$2:$AE$10000,0),3),"")</f>
        <v>Y</v>
      </c>
      <c r="AD3503" s="20">
        <f t="shared" si="163"/>
        <v>6.6964727370560334E-2</v>
      </c>
      <c r="AE3503" s="25">
        <f t="shared" si="164"/>
        <v>7.1670984309805619E-2</v>
      </c>
    </row>
    <row r="3504" spans="1:31" x14ac:dyDescent="0.2">
      <c r="A3504" s="1" t="s">
        <v>1980</v>
      </c>
      <c r="B3504" s="1" t="s">
        <v>7771</v>
      </c>
      <c r="C3504" s="1">
        <v>56964</v>
      </c>
      <c r="D3504" s="1" t="s">
        <v>255</v>
      </c>
      <c r="F3504" s="1">
        <v>2023</v>
      </c>
      <c r="G3504" s="5">
        <v>1021</v>
      </c>
      <c r="H3504" s="5">
        <v>760.91</v>
      </c>
      <c r="I3504" s="5">
        <v>40232.49</v>
      </c>
      <c r="K3504" s="5">
        <v>0.11</v>
      </c>
      <c r="L3504" s="5">
        <v>1E-3</v>
      </c>
      <c r="M3504" s="5">
        <v>22850.162</v>
      </c>
      <c r="N3504" s="6">
        <v>5.9200000000000003E-2</v>
      </c>
      <c r="O3504" s="5">
        <v>1.254</v>
      </c>
      <c r="P3504" s="6">
        <v>1.0999999999999999E-2</v>
      </c>
      <c r="Q3504" s="5">
        <v>384491.13900000002</v>
      </c>
      <c r="R3504" s="1" t="s">
        <v>44</v>
      </c>
      <c r="S3504" s="1" t="s">
        <v>94</v>
      </c>
      <c r="T3504" s="1" t="s">
        <v>93</v>
      </c>
      <c r="V3504" s="1" t="s">
        <v>1608</v>
      </c>
      <c r="Y3504" s="1" t="s">
        <v>1515</v>
      </c>
      <c r="Z3504" s="1" t="str">
        <f t="shared" si="162"/>
        <v>56964 GT6</v>
      </c>
      <c r="AA3504" s="3">
        <f>IF(INDEX('CAMD Facility Data 2023'!$AA$2:$AE$10000,MATCH(Z3504,'CAMD Facility Data 2023'!$AE$2:$AE$10000,0),1)&gt;0,INDEX('CAMD Facility Data 2023'!$AA$2:$AE$10000,MATCH(Z3504,'CAMD Facility Data 2023'!$AE$2:$AE$10000,0),1),"")</f>
        <v>40982</v>
      </c>
      <c r="AB3504" s="5">
        <f>IF(INDEX('CAMD Facility Data 2023'!$AC$2:$AE$10000,MATCH(Z3504,'CAMD Facility Data 2023'!$AE$2:$AE$10000,0),1)&gt;0,INDEX('CAMD Facility Data 2023'!$AC$2:$AE$10000,MATCH(Z3504,'CAMD Facility Data 2023'!$AE$2:$AE$10000,0),1),"")</f>
        <v>603</v>
      </c>
      <c r="AC3504" s="1" t="str">
        <f>IF(INDEX('CAMD Facility Data 2023'!$AE$2:$AG$10000,MATCH(Z3504,'CAMD Facility Data 2023'!$AE$2:$AE$10000,0),3)&gt;0,INDEX('CAMD Facility Data 2023'!$AE$2:$AG$10000,MATCH(Z3504,'CAMD Facility Data 2023'!$AE$2:$AE$10000,0),3),"")</f>
        <v>Y</v>
      </c>
      <c r="AD3504" s="20">
        <f t="shared" si="163"/>
        <v>6.2337677832020842E-2</v>
      </c>
      <c r="AE3504" s="25">
        <f t="shared" si="164"/>
        <v>7.2788859924123678E-2</v>
      </c>
    </row>
    <row r="3505" spans="1:31" x14ac:dyDescent="0.2">
      <c r="A3505" s="1" t="s">
        <v>1980</v>
      </c>
      <c r="B3505" s="1" t="s">
        <v>7771</v>
      </c>
      <c r="C3505" s="1">
        <v>56964</v>
      </c>
      <c r="D3505" s="1" t="s">
        <v>257</v>
      </c>
      <c r="F3505" s="1">
        <v>2023</v>
      </c>
      <c r="G3505" s="5">
        <v>2220</v>
      </c>
      <c r="H3505" s="5">
        <v>1715.53</v>
      </c>
      <c r="I3505" s="5">
        <v>90385.3</v>
      </c>
      <c r="K3505" s="5">
        <v>0.245</v>
      </c>
      <c r="L3505" s="5">
        <v>8.9999999999999998E-4</v>
      </c>
      <c r="M3505" s="5">
        <v>50975.055</v>
      </c>
      <c r="N3505" s="6">
        <v>5.9200000000000003E-2</v>
      </c>
      <c r="O3505" s="5">
        <v>2.7669999999999999</v>
      </c>
      <c r="P3505" s="6">
        <v>1.0999999999999999E-2</v>
      </c>
      <c r="Q3505" s="5">
        <v>857756.13899999997</v>
      </c>
      <c r="R3505" s="1" t="s">
        <v>44</v>
      </c>
      <c r="S3505" s="1" t="s">
        <v>94</v>
      </c>
      <c r="T3505" s="1" t="s">
        <v>93</v>
      </c>
      <c r="V3505" s="1" t="s">
        <v>1608</v>
      </c>
      <c r="Y3505" s="1" t="s">
        <v>1515</v>
      </c>
      <c r="Z3505" s="1" t="str">
        <f t="shared" si="162"/>
        <v>56964 GT7</v>
      </c>
      <c r="AA3505" s="3">
        <f>IF(INDEX('CAMD Facility Data 2023'!$AA$2:$AE$10000,MATCH(Z3505,'CAMD Facility Data 2023'!$AE$2:$AE$10000,0),1)&gt;0,INDEX('CAMD Facility Data 2023'!$AA$2:$AE$10000,MATCH(Z3505,'CAMD Facility Data 2023'!$AE$2:$AE$10000,0),1),"")</f>
        <v>40993</v>
      </c>
      <c r="AB3505" s="5">
        <f>IF(INDEX('CAMD Facility Data 2023'!$AC$2:$AE$10000,MATCH(Z3505,'CAMD Facility Data 2023'!$AE$2:$AE$10000,0),1)&gt;0,INDEX('CAMD Facility Data 2023'!$AC$2:$AE$10000,MATCH(Z3505,'CAMD Facility Data 2023'!$AE$2:$AE$10000,0),1),"")</f>
        <v>603</v>
      </c>
      <c r="AC3505" s="1" t="str">
        <f>IF(INDEX('CAMD Facility Data 2023'!$AE$2:$AG$10000,MATCH(Z3505,'CAMD Facility Data 2023'!$AE$2:$AE$10000,0),3)&gt;0,INDEX('CAMD Facility Data 2023'!$AE$2:$AG$10000,MATCH(Z3505,'CAMD Facility Data 2023'!$AE$2:$AE$10000,0),3),"")</f>
        <v>Y</v>
      </c>
      <c r="AD3505" s="20">
        <f t="shared" si="163"/>
        <v>6.1226770282335731E-2</v>
      </c>
      <c r="AE3505" s="25">
        <f t="shared" si="164"/>
        <v>0.16238369397305707</v>
      </c>
    </row>
    <row r="3506" spans="1:31" x14ac:dyDescent="0.2">
      <c r="A3506" s="1" t="s">
        <v>1980</v>
      </c>
      <c r="B3506" s="1" t="s">
        <v>7771</v>
      </c>
      <c r="C3506" s="1">
        <v>56964</v>
      </c>
      <c r="D3506" s="1" t="s">
        <v>7782</v>
      </c>
      <c r="F3506" s="1">
        <v>2023</v>
      </c>
      <c r="G3506" s="5">
        <v>1737</v>
      </c>
      <c r="H3506" s="5">
        <v>1380.66</v>
      </c>
      <c r="I3506" s="5">
        <v>73714.009999999995</v>
      </c>
      <c r="K3506" s="5">
        <v>0.19900000000000001</v>
      </c>
      <c r="L3506" s="5">
        <v>8.9999999999999998E-4</v>
      </c>
      <c r="M3506" s="5">
        <v>41605.394</v>
      </c>
      <c r="N3506" s="6">
        <v>5.9200000000000003E-2</v>
      </c>
      <c r="O3506" s="5">
        <v>2.238</v>
      </c>
      <c r="P3506" s="6">
        <v>1.0500000000000001E-2</v>
      </c>
      <c r="Q3506" s="5">
        <v>700062.13300000003</v>
      </c>
      <c r="R3506" s="1" t="s">
        <v>44</v>
      </c>
      <c r="S3506" s="1" t="s">
        <v>94</v>
      </c>
      <c r="T3506" s="1" t="s">
        <v>93</v>
      </c>
      <c r="V3506" s="1" t="s">
        <v>1608</v>
      </c>
      <c r="Y3506" s="1" t="s">
        <v>1515</v>
      </c>
      <c r="Z3506" s="1" t="str">
        <f t="shared" si="162"/>
        <v>56964 GT8</v>
      </c>
      <c r="AA3506" s="3">
        <f>IF(INDEX('CAMD Facility Data 2023'!$AA$2:$AE$10000,MATCH(Z3506,'CAMD Facility Data 2023'!$AE$2:$AE$10000,0),1)&gt;0,INDEX('CAMD Facility Data 2023'!$AA$2:$AE$10000,MATCH(Z3506,'CAMD Facility Data 2023'!$AE$2:$AE$10000,0),1),"")</f>
        <v>41010</v>
      </c>
      <c r="AB3506" s="5">
        <f>IF(INDEX('CAMD Facility Data 2023'!$AC$2:$AE$10000,MATCH(Z3506,'CAMD Facility Data 2023'!$AE$2:$AE$10000,0),1)&gt;0,INDEX('CAMD Facility Data 2023'!$AC$2:$AE$10000,MATCH(Z3506,'CAMD Facility Data 2023'!$AE$2:$AE$10000,0),1),"")</f>
        <v>603</v>
      </c>
      <c r="AC3506" s="1" t="str">
        <f>IF(INDEX('CAMD Facility Data 2023'!$AE$2:$AG$10000,MATCH(Z3506,'CAMD Facility Data 2023'!$AE$2:$AE$10000,0),3)&gt;0,INDEX('CAMD Facility Data 2023'!$AE$2:$AG$10000,MATCH(Z3506,'CAMD Facility Data 2023'!$AE$2:$AE$10000,0),3),"")</f>
        <v>Y</v>
      </c>
      <c r="AD3506" s="20">
        <f t="shared" si="163"/>
        <v>6.0721157348514895E-2</v>
      </c>
      <c r="AE3506" s="25">
        <f t="shared" si="164"/>
        <v>0.13253029619785398</v>
      </c>
    </row>
    <row r="3507" spans="1:31" x14ac:dyDescent="0.2">
      <c r="A3507" s="1" t="s">
        <v>1980</v>
      </c>
      <c r="B3507" s="1" t="s">
        <v>7771</v>
      </c>
      <c r="C3507" s="1">
        <v>56964</v>
      </c>
      <c r="D3507" s="1" t="s">
        <v>7784</v>
      </c>
      <c r="F3507" s="1">
        <v>2023</v>
      </c>
      <c r="G3507" s="5">
        <v>2469</v>
      </c>
      <c r="H3507" s="5">
        <v>1959.59</v>
      </c>
      <c r="I3507" s="5">
        <v>103494.07</v>
      </c>
      <c r="K3507" s="5">
        <v>0.29899999999999999</v>
      </c>
      <c r="L3507" s="5">
        <v>1E-3</v>
      </c>
      <c r="M3507" s="5">
        <v>59284.321000000004</v>
      </c>
      <c r="N3507" s="6">
        <v>5.9200000000000003E-2</v>
      </c>
      <c r="O3507" s="5">
        <v>4.3079999999999998</v>
      </c>
      <c r="P3507" s="6">
        <v>2.0199999999999999E-2</v>
      </c>
      <c r="Q3507" s="5">
        <v>997569.89300000004</v>
      </c>
      <c r="R3507" s="1" t="s">
        <v>44</v>
      </c>
      <c r="S3507" s="1" t="s">
        <v>94</v>
      </c>
      <c r="T3507" s="1" t="s">
        <v>93</v>
      </c>
      <c r="V3507" s="1" t="s">
        <v>1608</v>
      </c>
      <c r="Y3507" s="1" t="s">
        <v>1515</v>
      </c>
      <c r="Z3507" s="1" t="str">
        <f t="shared" si="162"/>
        <v>56964 GT9</v>
      </c>
      <c r="AA3507" s="3">
        <f>IF(INDEX('CAMD Facility Data 2023'!$AA$2:$AE$10000,MATCH(Z3507,'CAMD Facility Data 2023'!$AE$2:$AE$10000,0),1)&gt;0,INDEX('CAMD Facility Data 2023'!$AA$2:$AE$10000,MATCH(Z3507,'CAMD Facility Data 2023'!$AE$2:$AE$10000,0),1),"")</f>
        <v>43201</v>
      </c>
      <c r="AB3507" s="5">
        <f>IF(INDEX('CAMD Facility Data 2023'!$AC$2:$AE$10000,MATCH(Z3507,'CAMD Facility Data 2023'!$AE$2:$AE$10000,0),1)&gt;0,INDEX('CAMD Facility Data 2023'!$AC$2:$AE$10000,MATCH(Z3507,'CAMD Facility Data 2023'!$AE$2:$AE$10000,0),1),"")</f>
        <v>643</v>
      </c>
      <c r="AC3507" s="1" t="str">
        <f>IF(INDEX('CAMD Facility Data 2023'!$AE$2:$AG$10000,MATCH(Z3507,'CAMD Facility Data 2023'!$AE$2:$AE$10000,0),3)&gt;0,INDEX('CAMD Facility Data 2023'!$AE$2:$AG$10000,MATCH(Z3507,'CAMD Facility Data 2023'!$AE$2:$AE$10000,0),3),"")</f>
        <v>Y</v>
      </c>
      <c r="AD3507" s="20">
        <f t="shared" si="163"/>
        <v>8.325114665990041E-2</v>
      </c>
      <c r="AE3507" s="25">
        <f t="shared" si="164"/>
        <v>0.17710395282529809</v>
      </c>
    </row>
    <row r="3508" spans="1:31" x14ac:dyDescent="0.2">
      <c r="A3508" s="1" t="s">
        <v>516</v>
      </c>
      <c r="B3508" s="1" t="s">
        <v>7786</v>
      </c>
      <c r="C3508" s="1">
        <v>56998</v>
      </c>
      <c r="D3508" s="1" t="s">
        <v>993</v>
      </c>
      <c r="F3508" s="1">
        <v>2023</v>
      </c>
      <c r="G3508" s="5">
        <v>6554</v>
      </c>
      <c r="H3508" s="5">
        <v>6370.54</v>
      </c>
      <c r="I3508" s="5">
        <v>345622.6</v>
      </c>
      <c r="K3508" s="5">
        <v>1.0069999999999999</v>
      </c>
      <c r="L3508" s="5">
        <v>1E-3</v>
      </c>
      <c r="M3508" s="5">
        <v>199515.50700000001</v>
      </c>
      <c r="N3508" s="6">
        <v>5.91E-2</v>
      </c>
      <c r="O3508" s="5">
        <v>18.928999999999998</v>
      </c>
      <c r="P3508" s="6">
        <v>1.18E-2</v>
      </c>
      <c r="Q3508" s="5">
        <v>3357215.415</v>
      </c>
      <c r="R3508" s="1" t="s">
        <v>44</v>
      </c>
      <c r="T3508" s="1" t="s">
        <v>93</v>
      </c>
      <c r="V3508" s="1" t="s">
        <v>176</v>
      </c>
      <c r="Y3508" s="1" t="s">
        <v>247</v>
      </c>
      <c r="Z3508" s="1" t="str">
        <f t="shared" si="162"/>
        <v>56998 CT01</v>
      </c>
      <c r="AA3508" s="3">
        <f>IF(INDEX('CAMD Facility Data 2023'!$AA$2:$AE$10000,MATCH(Z3508,'CAMD Facility Data 2023'!$AE$2:$AE$10000,0),1)&gt;0,INDEX('CAMD Facility Data 2023'!$AA$2:$AE$10000,MATCH(Z3508,'CAMD Facility Data 2023'!$AE$2:$AE$10000,0),1),"")</f>
        <v>40815</v>
      </c>
      <c r="AB3508" s="5">
        <f>IF(INDEX('CAMD Facility Data 2023'!$AC$2:$AE$10000,MATCH(Z3508,'CAMD Facility Data 2023'!$AE$2:$AE$10000,0),1)&gt;0,INDEX('CAMD Facility Data 2023'!$AC$2:$AE$10000,MATCH(Z3508,'CAMD Facility Data 2023'!$AE$2:$AE$10000,0),1),"")</f>
        <v>875</v>
      </c>
      <c r="AC3508" s="1" t="str">
        <f>IF(INDEX('CAMD Facility Data 2023'!$AE$2:$AG$10000,MATCH(Z3508,'CAMD Facility Data 2023'!$AE$2:$AE$10000,0),3)&gt;0,INDEX('CAMD Facility Data 2023'!$AE$2:$AG$10000,MATCH(Z3508,'CAMD Facility Data 2023'!$AE$2:$AE$10000,0),3),"")</f>
        <v>Y</v>
      </c>
      <c r="AD3508" s="20">
        <f t="shared" si="163"/>
        <v>0.10953566115178812</v>
      </c>
      <c r="AE3508" s="25">
        <f t="shared" si="164"/>
        <v>0.43799287866927594</v>
      </c>
    </row>
    <row r="3509" spans="1:31" x14ac:dyDescent="0.2">
      <c r="A3509" s="1" t="s">
        <v>516</v>
      </c>
      <c r="B3509" s="1" t="s">
        <v>7786</v>
      </c>
      <c r="C3509" s="1">
        <v>56998</v>
      </c>
      <c r="D3509" s="1" t="s">
        <v>998</v>
      </c>
      <c r="F3509" s="1">
        <v>2023</v>
      </c>
      <c r="G3509" s="5">
        <v>2033</v>
      </c>
      <c r="H3509" s="5">
        <v>1856.61</v>
      </c>
      <c r="I3509" s="5">
        <v>93330.72</v>
      </c>
      <c r="K3509" s="5">
        <v>0.27200000000000002</v>
      </c>
      <c r="L3509" s="5">
        <v>1E-3</v>
      </c>
      <c r="M3509" s="5">
        <v>53881.487999999998</v>
      </c>
      <c r="N3509" s="6">
        <v>5.9200000000000003E-2</v>
      </c>
      <c r="O3509" s="5">
        <v>5.3819999999999997</v>
      </c>
      <c r="P3509" s="6">
        <v>2.2499999999999999E-2</v>
      </c>
      <c r="Q3509" s="5">
        <v>906654.90399999998</v>
      </c>
      <c r="R3509" s="1" t="s">
        <v>44</v>
      </c>
      <c r="T3509" s="1" t="s">
        <v>93</v>
      </c>
      <c r="V3509" s="1" t="s">
        <v>176</v>
      </c>
      <c r="Y3509" s="1" t="s">
        <v>247</v>
      </c>
      <c r="Z3509" s="1" t="str">
        <f t="shared" si="162"/>
        <v>56998 CT02</v>
      </c>
      <c r="AA3509" s="3">
        <f>IF(INDEX('CAMD Facility Data 2023'!$AA$2:$AE$10000,MATCH(Z3509,'CAMD Facility Data 2023'!$AE$2:$AE$10000,0),1)&gt;0,INDEX('CAMD Facility Data 2023'!$AA$2:$AE$10000,MATCH(Z3509,'CAMD Facility Data 2023'!$AE$2:$AE$10000,0),1),"")</f>
        <v>40820</v>
      </c>
      <c r="AB3509" s="5">
        <f>IF(INDEX('CAMD Facility Data 2023'!$AC$2:$AE$10000,MATCH(Z3509,'CAMD Facility Data 2023'!$AE$2:$AE$10000,0),1)&gt;0,INDEX('CAMD Facility Data 2023'!$AC$2:$AE$10000,MATCH(Z3509,'CAMD Facility Data 2023'!$AE$2:$AE$10000,0),1),"")</f>
        <v>875</v>
      </c>
      <c r="AC3509" s="1" t="str">
        <f>IF(INDEX('CAMD Facility Data 2023'!$AE$2:$AG$10000,MATCH(Z3509,'CAMD Facility Data 2023'!$AE$2:$AE$10000,0),3)&gt;0,INDEX('CAMD Facility Data 2023'!$AE$2:$AG$10000,MATCH(Z3509,'CAMD Facility Data 2023'!$AE$2:$AE$10000,0),3),"")</f>
        <v>Y</v>
      </c>
      <c r="AD3509" s="20">
        <f t="shared" si="163"/>
        <v>0.11533180071899156</v>
      </c>
      <c r="AE3509" s="25">
        <f t="shared" si="164"/>
        <v>0.11828504944553163</v>
      </c>
    </row>
    <row r="3510" spans="1:31" x14ac:dyDescent="0.2">
      <c r="A3510" s="1" t="s">
        <v>516</v>
      </c>
      <c r="B3510" s="1" t="s">
        <v>7786</v>
      </c>
      <c r="C3510" s="1">
        <v>56998</v>
      </c>
      <c r="D3510" s="1" t="s">
        <v>1048</v>
      </c>
      <c r="F3510" s="1">
        <v>2023</v>
      </c>
      <c r="G3510" s="5">
        <v>7625</v>
      </c>
      <c r="H3510" s="5">
        <v>7558.89</v>
      </c>
      <c r="I3510" s="5">
        <v>189861.88</v>
      </c>
      <c r="K3510" s="5">
        <v>0.625</v>
      </c>
      <c r="L3510" s="5">
        <v>1E-3</v>
      </c>
      <c r="M3510" s="5">
        <v>123808.272</v>
      </c>
      <c r="N3510" s="6">
        <v>5.9299999999999999E-2</v>
      </c>
      <c r="O3510" s="5">
        <v>4.1719999999999997</v>
      </c>
      <c r="P3510" s="6">
        <v>4.4999999999999997E-3</v>
      </c>
      <c r="Q3510" s="5">
        <v>2083263.584</v>
      </c>
      <c r="R3510" s="1" t="s">
        <v>44</v>
      </c>
      <c r="T3510" s="1" t="s">
        <v>71</v>
      </c>
      <c r="V3510" s="1" t="s">
        <v>176</v>
      </c>
      <c r="Y3510" s="1" t="s">
        <v>247</v>
      </c>
      <c r="Z3510" s="1" t="str">
        <f t="shared" si="162"/>
        <v>56998 CT04</v>
      </c>
      <c r="AA3510" s="3">
        <f>IF(INDEX('CAMD Facility Data 2023'!$AA$2:$AE$10000,MATCH(Z3510,'CAMD Facility Data 2023'!$AE$2:$AE$10000,0),1)&gt;0,INDEX('CAMD Facility Data 2023'!$AA$2:$AE$10000,MATCH(Z3510,'CAMD Facility Data 2023'!$AE$2:$AE$10000,0),1),"")</f>
        <v>40813</v>
      </c>
      <c r="AB3510" s="5">
        <f>IF(INDEX('CAMD Facility Data 2023'!$AC$2:$AE$10000,MATCH(Z3510,'CAMD Facility Data 2023'!$AE$2:$AE$10000,0),1)&gt;0,INDEX('CAMD Facility Data 2023'!$AC$2:$AE$10000,MATCH(Z3510,'CAMD Facility Data 2023'!$AE$2:$AE$10000,0),1),"")</f>
        <v>418</v>
      </c>
      <c r="AC3510" s="1" t="str">
        <f>IF(INDEX('CAMD Facility Data 2023'!$AE$2:$AG$10000,MATCH(Z3510,'CAMD Facility Data 2023'!$AE$2:$AE$10000,0),3)&gt;0,INDEX('CAMD Facility Data 2023'!$AE$2:$AG$10000,MATCH(Z3510,'CAMD Facility Data 2023'!$AE$2:$AE$10000,0),3),"")</f>
        <v>Y</v>
      </c>
      <c r="AD3510" s="20">
        <f t="shared" si="163"/>
        <v>4.3947737165564778E-2</v>
      </c>
      <c r="AE3510" s="25">
        <f t="shared" si="164"/>
        <v>0.56893654934347071</v>
      </c>
    </row>
    <row r="3511" spans="1:31" x14ac:dyDescent="0.2">
      <c r="A3511" s="1" t="s">
        <v>516</v>
      </c>
      <c r="B3511" s="1" t="s">
        <v>7786</v>
      </c>
      <c r="C3511" s="1">
        <v>56998</v>
      </c>
      <c r="D3511" s="1" t="s">
        <v>1050</v>
      </c>
      <c r="F3511" s="1">
        <v>2023</v>
      </c>
      <c r="G3511" s="5">
        <v>8384</v>
      </c>
      <c r="H3511" s="5">
        <v>8337.92</v>
      </c>
      <c r="I3511" s="5">
        <v>216589.82</v>
      </c>
      <c r="K3511" s="5">
        <v>0.69899999999999995</v>
      </c>
      <c r="L3511" s="5">
        <v>1E-3</v>
      </c>
      <c r="M3511" s="5">
        <v>138373.11300000001</v>
      </c>
      <c r="N3511" s="6">
        <v>5.9299999999999999E-2</v>
      </c>
      <c r="O3511" s="5">
        <v>2.952</v>
      </c>
      <c r="P3511" s="6">
        <v>2.7000000000000001E-3</v>
      </c>
      <c r="Q3511" s="5">
        <v>2328403.3870000001</v>
      </c>
      <c r="R3511" s="1" t="s">
        <v>44</v>
      </c>
      <c r="T3511" s="1" t="s">
        <v>71</v>
      </c>
      <c r="V3511" s="1" t="s">
        <v>176</v>
      </c>
      <c r="Y3511" s="1" t="s">
        <v>247</v>
      </c>
      <c r="Z3511" s="1" t="str">
        <f t="shared" si="162"/>
        <v>56998 CT05</v>
      </c>
      <c r="AA3511" s="3">
        <f>IF(INDEX('CAMD Facility Data 2023'!$AA$2:$AE$10000,MATCH(Z3511,'CAMD Facility Data 2023'!$AE$2:$AE$10000,0),1)&gt;0,INDEX('CAMD Facility Data 2023'!$AA$2:$AE$10000,MATCH(Z3511,'CAMD Facility Data 2023'!$AE$2:$AE$10000,0),1),"")</f>
        <v>40815</v>
      </c>
      <c r="AB3511" s="5">
        <f>IF(INDEX('CAMD Facility Data 2023'!$AC$2:$AE$10000,MATCH(Z3511,'CAMD Facility Data 2023'!$AE$2:$AE$10000,0),1)&gt;0,INDEX('CAMD Facility Data 2023'!$AC$2:$AE$10000,MATCH(Z3511,'CAMD Facility Data 2023'!$AE$2:$AE$10000,0),1),"")</f>
        <v>418</v>
      </c>
      <c r="AC3511" s="1" t="str">
        <f>IF(INDEX('CAMD Facility Data 2023'!$AE$2:$AG$10000,MATCH(Z3511,'CAMD Facility Data 2023'!$AE$2:$AE$10000,0),3)&gt;0,INDEX('CAMD Facility Data 2023'!$AE$2:$AG$10000,MATCH(Z3511,'CAMD Facility Data 2023'!$AE$2:$AE$10000,0),3),"")</f>
        <v>Y</v>
      </c>
      <c r="AD3511" s="20">
        <f t="shared" si="163"/>
        <v>2.7258898871609014E-2</v>
      </c>
      <c r="AE3511" s="25">
        <f t="shared" si="164"/>
        <v>0.63588390765987202</v>
      </c>
    </row>
    <row r="3512" spans="1:31" x14ac:dyDescent="0.2">
      <c r="A3512" s="1" t="s">
        <v>516</v>
      </c>
      <c r="B3512" s="1" t="s">
        <v>7786</v>
      </c>
      <c r="C3512" s="1">
        <v>56998</v>
      </c>
      <c r="D3512" s="1" t="s">
        <v>4517</v>
      </c>
      <c r="F3512" s="1">
        <v>2023</v>
      </c>
      <c r="G3512" s="5">
        <v>8180</v>
      </c>
      <c r="H3512" s="5">
        <v>8128.14</v>
      </c>
      <c r="I3512" s="5">
        <v>214426.87</v>
      </c>
      <c r="K3512" s="5">
        <v>0.69599999999999995</v>
      </c>
      <c r="L3512" s="5">
        <v>1E-3</v>
      </c>
      <c r="M3512" s="5">
        <v>137829.01199999999</v>
      </c>
      <c r="N3512" s="6">
        <v>5.9299999999999999E-2</v>
      </c>
      <c r="O3512" s="5">
        <v>4.1879999999999997</v>
      </c>
      <c r="P3512" s="6">
        <v>3.8E-3</v>
      </c>
      <c r="Q3512" s="5">
        <v>2319381.7889999999</v>
      </c>
      <c r="R3512" s="1" t="s">
        <v>44</v>
      </c>
      <c r="T3512" s="1" t="s">
        <v>71</v>
      </c>
      <c r="V3512" s="1" t="s">
        <v>176</v>
      </c>
      <c r="Y3512" s="1" t="s">
        <v>247</v>
      </c>
      <c r="Z3512" s="1" t="str">
        <f t="shared" si="162"/>
        <v>56998 CT06</v>
      </c>
      <c r="AA3512" s="3">
        <f>IF(INDEX('CAMD Facility Data 2023'!$AA$2:$AE$10000,MATCH(Z3512,'CAMD Facility Data 2023'!$AE$2:$AE$10000,0),1)&gt;0,INDEX('CAMD Facility Data 2023'!$AA$2:$AE$10000,MATCH(Z3512,'CAMD Facility Data 2023'!$AE$2:$AE$10000,0),1),"")</f>
        <v>40840</v>
      </c>
      <c r="AB3512" s="5">
        <f>IF(INDEX('CAMD Facility Data 2023'!$AC$2:$AE$10000,MATCH(Z3512,'CAMD Facility Data 2023'!$AE$2:$AE$10000,0),1)&gt;0,INDEX('CAMD Facility Data 2023'!$AC$2:$AE$10000,MATCH(Z3512,'CAMD Facility Data 2023'!$AE$2:$AE$10000,0),1),"")</f>
        <v>418</v>
      </c>
      <c r="AC3512" s="1" t="str">
        <f>IF(INDEX('CAMD Facility Data 2023'!$AE$2:$AG$10000,MATCH(Z3512,'CAMD Facility Data 2023'!$AE$2:$AE$10000,0),3)&gt;0,INDEX('CAMD Facility Data 2023'!$AE$2:$AG$10000,MATCH(Z3512,'CAMD Facility Data 2023'!$AE$2:$AE$10000,0),3),"")</f>
        <v>Y</v>
      </c>
      <c r="AD3512" s="20">
        <f t="shared" si="163"/>
        <v>3.9062268641985025E-2</v>
      </c>
      <c r="AE3512" s="25">
        <f t="shared" si="164"/>
        <v>0.63342012109195778</v>
      </c>
    </row>
    <row r="3513" spans="1:31" x14ac:dyDescent="0.2">
      <c r="A3513" s="1" t="s">
        <v>516</v>
      </c>
      <c r="B3513" s="1" t="s">
        <v>7786</v>
      </c>
      <c r="C3513" s="1">
        <v>56998</v>
      </c>
      <c r="D3513" s="1" t="s">
        <v>5961</v>
      </c>
      <c r="F3513" s="1">
        <v>2023</v>
      </c>
      <c r="G3513" s="5">
        <v>8322</v>
      </c>
      <c r="H3513" s="5">
        <v>8284.31</v>
      </c>
      <c r="I3513" s="5">
        <v>214016.61</v>
      </c>
      <c r="K3513" s="5">
        <v>0.69899999999999995</v>
      </c>
      <c r="L3513" s="5">
        <v>1E-3</v>
      </c>
      <c r="M3513" s="5">
        <v>138403.13099999999</v>
      </c>
      <c r="N3513" s="6">
        <v>5.9299999999999999E-2</v>
      </c>
      <c r="O3513" s="5">
        <v>2.8740000000000001</v>
      </c>
      <c r="P3513" s="6">
        <v>2.5999999999999999E-3</v>
      </c>
      <c r="Q3513" s="5">
        <v>2328604.5970000001</v>
      </c>
      <c r="R3513" s="1" t="s">
        <v>44</v>
      </c>
      <c r="T3513" s="1" t="s">
        <v>71</v>
      </c>
      <c r="V3513" s="1" t="s">
        <v>176</v>
      </c>
      <c r="Y3513" s="1" t="s">
        <v>247</v>
      </c>
      <c r="Z3513" s="1" t="str">
        <f t="shared" si="162"/>
        <v>56998 CT07</v>
      </c>
      <c r="AA3513" s="3">
        <f>IF(INDEX('CAMD Facility Data 2023'!$AA$2:$AE$10000,MATCH(Z3513,'CAMD Facility Data 2023'!$AE$2:$AE$10000,0),1)&gt;0,INDEX('CAMD Facility Data 2023'!$AA$2:$AE$10000,MATCH(Z3513,'CAMD Facility Data 2023'!$AE$2:$AE$10000,0),1),"")</f>
        <v>40840</v>
      </c>
      <c r="AB3513" s="5">
        <f>IF(INDEX('CAMD Facility Data 2023'!$AC$2:$AE$10000,MATCH(Z3513,'CAMD Facility Data 2023'!$AE$2:$AE$10000,0),1)&gt;0,INDEX('CAMD Facility Data 2023'!$AC$2:$AE$10000,MATCH(Z3513,'CAMD Facility Data 2023'!$AE$2:$AE$10000,0),1),"")</f>
        <v>418</v>
      </c>
      <c r="AC3513" s="1" t="str">
        <f>IF(INDEX('CAMD Facility Data 2023'!$AE$2:$AG$10000,MATCH(Z3513,'CAMD Facility Data 2023'!$AE$2:$AE$10000,0),3)&gt;0,INDEX('CAMD Facility Data 2023'!$AE$2:$AG$10000,MATCH(Z3513,'CAMD Facility Data 2023'!$AE$2:$AE$10000,0),3),"")</f>
        <v>Y</v>
      </c>
      <c r="AD3513" s="20">
        <f t="shared" si="163"/>
        <v>2.6857728472570425E-2</v>
      </c>
      <c r="AE3513" s="25">
        <f t="shared" si="164"/>
        <v>0.63593885784667148</v>
      </c>
    </row>
    <row r="3514" spans="1:31" x14ac:dyDescent="0.2">
      <c r="A3514" s="1" t="s">
        <v>516</v>
      </c>
      <c r="B3514" s="1" t="s">
        <v>7786</v>
      </c>
      <c r="C3514" s="1">
        <v>56998</v>
      </c>
      <c r="D3514" s="1" t="s">
        <v>5962</v>
      </c>
      <c r="F3514" s="1">
        <v>2023</v>
      </c>
      <c r="G3514" s="5">
        <v>603</v>
      </c>
      <c r="H3514" s="5">
        <v>497.06</v>
      </c>
      <c r="I3514" s="5">
        <v>16530.43</v>
      </c>
      <c r="K3514" s="5">
        <v>4.5999999999999999E-2</v>
      </c>
      <c r="L3514" s="5">
        <v>8.0000000000000004E-4</v>
      </c>
      <c r="M3514" s="5">
        <v>8831.2999999999993</v>
      </c>
      <c r="N3514" s="6">
        <v>5.8999999999999997E-2</v>
      </c>
      <c r="O3514" s="5">
        <v>2.77</v>
      </c>
      <c r="P3514" s="6">
        <v>3.6999999999999998E-2</v>
      </c>
      <c r="Q3514" s="5">
        <v>149687.4</v>
      </c>
      <c r="R3514" s="1" t="s">
        <v>44</v>
      </c>
      <c r="T3514" s="1" t="s">
        <v>93</v>
      </c>
      <c r="V3514" s="1" t="s">
        <v>223</v>
      </c>
      <c r="Y3514" s="1" t="s">
        <v>247</v>
      </c>
      <c r="Z3514" s="1" t="str">
        <f t="shared" si="162"/>
        <v>56998 CT08</v>
      </c>
      <c r="AA3514" s="3">
        <f>IF(INDEX('CAMD Facility Data 2023'!$AA$2:$AE$10000,MATCH(Z3514,'CAMD Facility Data 2023'!$AE$2:$AE$10000,0),1)&gt;0,INDEX('CAMD Facility Data 2023'!$AA$2:$AE$10000,MATCH(Z3514,'CAMD Facility Data 2023'!$AE$2:$AE$10000,0),1),"")</f>
        <v>42702</v>
      </c>
      <c r="AB3514" s="5">
        <f>IF(INDEX('CAMD Facility Data 2023'!$AC$2:$AE$10000,MATCH(Z3514,'CAMD Facility Data 2023'!$AE$2:$AE$10000,0),1)&gt;0,INDEX('CAMD Facility Data 2023'!$AC$2:$AE$10000,MATCH(Z3514,'CAMD Facility Data 2023'!$AE$2:$AE$10000,0),1),"")</f>
        <v>375</v>
      </c>
      <c r="AC3514" s="1" t="str">
        <f>IF(INDEX('CAMD Facility Data 2023'!$AE$2:$AG$10000,MATCH(Z3514,'CAMD Facility Data 2023'!$AE$2:$AE$10000,0),3)&gt;0,INDEX('CAMD Facility Data 2023'!$AE$2:$AG$10000,MATCH(Z3514,'CAMD Facility Data 2023'!$AE$2:$AE$10000,0),3),"")</f>
        <v>Y</v>
      </c>
      <c r="AD3514" s="20">
        <f t="shared" si="163"/>
        <v>0.33513949727865516</v>
      </c>
      <c r="AE3514" s="25">
        <f t="shared" si="164"/>
        <v>4.5566940639269402E-2</v>
      </c>
    </row>
    <row r="3515" spans="1:31" x14ac:dyDescent="0.2">
      <c r="A3515" s="1" t="s">
        <v>370</v>
      </c>
      <c r="B3515" s="1" t="s">
        <v>7796</v>
      </c>
      <c r="C3515" s="1">
        <v>57001</v>
      </c>
      <c r="D3515" s="1">
        <v>1</v>
      </c>
      <c r="F3515" s="1">
        <v>2023</v>
      </c>
      <c r="G3515" s="5">
        <v>376</v>
      </c>
      <c r="H3515" s="5">
        <v>263.52999999999997</v>
      </c>
      <c r="I3515" s="5">
        <v>7959.78</v>
      </c>
      <c r="K3515" s="5">
        <v>2.5999999999999999E-2</v>
      </c>
      <c r="L3515" s="5">
        <v>1E-3</v>
      </c>
      <c r="M3515" s="5">
        <v>5136.5159999999996</v>
      </c>
      <c r="N3515" s="6">
        <v>5.9299999999999999E-2</v>
      </c>
      <c r="O3515" s="5">
        <v>1.0940000000000001</v>
      </c>
      <c r="P3515" s="6">
        <v>3.4599999999999999E-2</v>
      </c>
      <c r="Q3515" s="5">
        <v>86432.067999999999</v>
      </c>
      <c r="R3515" s="1" t="s">
        <v>44</v>
      </c>
      <c r="T3515" s="1" t="s">
        <v>93</v>
      </c>
      <c r="V3515" s="1" t="s">
        <v>176</v>
      </c>
      <c r="Y3515" s="1" t="s">
        <v>247</v>
      </c>
      <c r="Z3515" s="1" t="str">
        <f t="shared" si="162"/>
        <v>57001 1</v>
      </c>
      <c r="AA3515" s="3">
        <f>IF(INDEX('CAMD Facility Data 2023'!$AA$2:$AE$10000,MATCH(Z3515,'CAMD Facility Data 2023'!$AE$2:$AE$10000,0),1)&gt;0,INDEX('CAMD Facility Data 2023'!$AA$2:$AE$10000,MATCH(Z3515,'CAMD Facility Data 2023'!$AE$2:$AE$10000,0),1),"")</f>
        <v>40330</v>
      </c>
      <c r="AB3515" s="5">
        <f>IF(INDEX('CAMD Facility Data 2023'!$AC$2:$AE$10000,MATCH(Z3515,'CAMD Facility Data 2023'!$AE$2:$AE$10000,0),1)&gt;0,INDEX('CAMD Facility Data 2023'!$AC$2:$AE$10000,MATCH(Z3515,'CAMD Facility Data 2023'!$AE$2:$AE$10000,0),1),"")</f>
        <v>500</v>
      </c>
      <c r="AC3515" s="1" t="str">
        <f>IF(INDEX('CAMD Facility Data 2023'!$AE$2:$AG$10000,MATCH(Z3515,'CAMD Facility Data 2023'!$AE$2:$AE$10000,0),3)&gt;0,INDEX('CAMD Facility Data 2023'!$AE$2:$AG$10000,MATCH(Z3515,'CAMD Facility Data 2023'!$AE$2:$AE$10000,0),3),"")</f>
        <v>Y</v>
      </c>
      <c r="AD3515" s="20">
        <f t="shared" si="163"/>
        <v>0.27488196909964852</v>
      </c>
      <c r="AE3515" s="25">
        <f t="shared" si="164"/>
        <v>1.9733348858447488E-2</v>
      </c>
    </row>
    <row r="3516" spans="1:31" x14ac:dyDescent="0.2">
      <c r="A3516" s="1" t="s">
        <v>370</v>
      </c>
      <c r="B3516" s="1" t="s">
        <v>7798</v>
      </c>
      <c r="C3516" s="1">
        <v>57027</v>
      </c>
      <c r="D3516" s="1">
        <v>1</v>
      </c>
      <c r="F3516" s="1">
        <v>2023</v>
      </c>
      <c r="G3516" s="5">
        <v>253</v>
      </c>
      <c r="H3516" s="5">
        <v>189.31</v>
      </c>
      <c r="I3516" s="5">
        <v>7020.63</v>
      </c>
      <c r="K3516" s="5">
        <v>2.1999999999999999E-2</v>
      </c>
      <c r="L3516" s="5">
        <v>1E-3</v>
      </c>
      <c r="M3516" s="5">
        <v>4275.6909999999998</v>
      </c>
      <c r="N3516" s="6">
        <v>5.9299999999999999E-2</v>
      </c>
      <c r="O3516" s="5">
        <v>0.316</v>
      </c>
      <c r="P3516" s="6">
        <v>1.3899999999999999E-2</v>
      </c>
      <c r="Q3516" s="5">
        <v>71940.725999999995</v>
      </c>
      <c r="R3516" s="1" t="s">
        <v>44</v>
      </c>
      <c r="T3516" s="1" t="s">
        <v>93</v>
      </c>
      <c r="V3516" s="1" t="s">
        <v>5206</v>
      </c>
      <c r="Y3516" s="1" t="s">
        <v>247</v>
      </c>
      <c r="Z3516" s="1" t="str">
        <f t="shared" si="162"/>
        <v>57027 1</v>
      </c>
      <c r="AA3516" s="3">
        <f>IF(INDEX('CAMD Facility Data 2023'!$AA$2:$AE$10000,MATCH(Z3516,'CAMD Facility Data 2023'!$AE$2:$AE$10000,0),1)&gt;0,INDEX('CAMD Facility Data 2023'!$AA$2:$AE$10000,MATCH(Z3516,'CAMD Facility Data 2023'!$AE$2:$AE$10000,0),1),"")</f>
        <v>40753</v>
      </c>
      <c r="AB3516" s="5">
        <f>IF(INDEX('CAMD Facility Data 2023'!$AC$2:$AE$10000,MATCH(Z3516,'CAMD Facility Data 2023'!$AE$2:$AE$10000,0),1)&gt;0,INDEX('CAMD Facility Data 2023'!$AC$2:$AE$10000,MATCH(Z3516,'CAMD Facility Data 2023'!$AE$2:$AE$10000,0),1),"")</f>
        <v>510</v>
      </c>
      <c r="AC3516" s="1" t="str">
        <f>IF(INDEX('CAMD Facility Data 2023'!$AE$2:$AG$10000,MATCH(Z3516,'CAMD Facility Data 2023'!$AE$2:$AE$10000,0),3)&gt;0,INDEX('CAMD Facility Data 2023'!$AE$2:$AG$10000,MATCH(Z3516,'CAMD Facility Data 2023'!$AE$2:$AE$10000,0),3),"")</f>
        <v/>
      </c>
      <c r="AD3516" s="20">
        <f t="shared" si="163"/>
        <v>9.0020411273632139E-2</v>
      </c>
      <c r="AE3516" s="25">
        <f t="shared" si="164"/>
        <v>1.6102767929089441E-2</v>
      </c>
    </row>
    <row r="3517" spans="1:31" x14ac:dyDescent="0.2">
      <c r="A3517" s="1" t="s">
        <v>370</v>
      </c>
      <c r="B3517" s="1" t="s">
        <v>7798</v>
      </c>
      <c r="C3517" s="1">
        <v>57027</v>
      </c>
      <c r="D3517" s="1">
        <v>2</v>
      </c>
      <c r="F3517" s="1">
        <v>2023</v>
      </c>
      <c r="G3517" s="5">
        <v>891</v>
      </c>
      <c r="H3517" s="5">
        <v>676.87</v>
      </c>
      <c r="I3517" s="5">
        <v>27265.74</v>
      </c>
      <c r="K3517" s="5">
        <v>8.3000000000000004E-2</v>
      </c>
      <c r="L3517" s="5">
        <v>1E-3</v>
      </c>
      <c r="M3517" s="5">
        <v>16485.807000000001</v>
      </c>
      <c r="N3517" s="6">
        <v>5.9200000000000003E-2</v>
      </c>
      <c r="O3517" s="5">
        <v>1.0820000000000001</v>
      </c>
      <c r="P3517" s="6">
        <v>1.34E-2</v>
      </c>
      <c r="Q3517" s="5">
        <v>277401.36</v>
      </c>
      <c r="R3517" s="1" t="s">
        <v>44</v>
      </c>
      <c r="T3517" s="1" t="s">
        <v>93</v>
      </c>
      <c r="V3517" s="1" t="s">
        <v>5206</v>
      </c>
      <c r="Y3517" s="1" t="s">
        <v>247</v>
      </c>
      <c r="Z3517" s="1" t="str">
        <f t="shared" si="162"/>
        <v>57027 2</v>
      </c>
      <c r="AA3517" s="3">
        <f>IF(INDEX('CAMD Facility Data 2023'!$AA$2:$AE$10000,MATCH(Z3517,'CAMD Facility Data 2023'!$AE$2:$AE$10000,0),1)&gt;0,INDEX('CAMD Facility Data 2023'!$AA$2:$AE$10000,MATCH(Z3517,'CAMD Facility Data 2023'!$AE$2:$AE$10000,0),1),"")</f>
        <v>40740</v>
      </c>
      <c r="AB3517" s="5">
        <f>IF(INDEX('CAMD Facility Data 2023'!$AC$2:$AE$10000,MATCH(Z3517,'CAMD Facility Data 2023'!$AE$2:$AE$10000,0),1)&gt;0,INDEX('CAMD Facility Data 2023'!$AC$2:$AE$10000,MATCH(Z3517,'CAMD Facility Data 2023'!$AE$2:$AE$10000,0),1),"")</f>
        <v>510</v>
      </c>
      <c r="AC3517" s="1" t="str">
        <f>IF(INDEX('CAMD Facility Data 2023'!$AE$2:$AG$10000,MATCH(Z3517,'CAMD Facility Data 2023'!$AE$2:$AE$10000,0),3)&gt;0,INDEX('CAMD Facility Data 2023'!$AE$2:$AG$10000,MATCH(Z3517,'CAMD Facility Data 2023'!$AE$2:$AE$10000,0),3),"")</f>
        <v/>
      </c>
      <c r="AD3517" s="20">
        <f t="shared" si="163"/>
        <v>7.9367000492192766E-2</v>
      </c>
      <c r="AE3517" s="25">
        <f t="shared" si="164"/>
        <v>6.2091807681976897E-2</v>
      </c>
    </row>
    <row r="3518" spans="1:31" x14ac:dyDescent="0.2">
      <c r="A3518" s="1" t="s">
        <v>370</v>
      </c>
      <c r="B3518" s="1" t="s">
        <v>7798</v>
      </c>
      <c r="C3518" s="1">
        <v>57027</v>
      </c>
      <c r="D3518" s="1">
        <v>3</v>
      </c>
      <c r="F3518" s="1">
        <v>2023</v>
      </c>
      <c r="G3518" s="5">
        <v>861</v>
      </c>
      <c r="H3518" s="5">
        <v>649.62</v>
      </c>
      <c r="I3518" s="5">
        <v>27437.119999999999</v>
      </c>
      <c r="K3518" s="5">
        <v>8.3000000000000004E-2</v>
      </c>
      <c r="L3518" s="5">
        <v>1E-3</v>
      </c>
      <c r="M3518" s="5">
        <v>16395.991000000002</v>
      </c>
      <c r="N3518" s="6">
        <v>5.9299999999999999E-2</v>
      </c>
      <c r="O3518" s="5">
        <v>1.107</v>
      </c>
      <c r="P3518" s="6">
        <v>1.29E-2</v>
      </c>
      <c r="Q3518" s="5">
        <v>275877.18</v>
      </c>
      <c r="R3518" s="1" t="s">
        <v>44</v>
      </c>
      <c r="T3518" s="1" t="s">
        <v>93</v>
      </c>
      <c r="V3518" s="1" t="s">
        <v>5206</v>
      </c>
      <c r="Y3518" s="1" t="s">
        <v>247</v>
      </c>
      <c r="Z3518" s="1" t="str">
        <f t="shared" si="162"/>
        <v>57027 3</v>
      </c>
      <c r="AA3518" s="3">
        <f>IF(INDEX('CAMD Facility Data 2023'!$AA$2:$AE$10000,MATCH(Z3518,'CAMD Facility Data 2023'!$AE$2:$AE$10000,0),1)&gt;0,INDEX('CAMD Facility Data 2023'!$AA$2:$AE$10000,MATCH(Z3518,'CAMD Facility Data 2023'!$AE$2:$AE$10000,0),1),"")</f>
        <v>40688</v>
      </c>
      <c r="AB3518" s="5">
        <f>IF(INDEX('CAMD Facility Data 2023'!$AC$2:$AE$10000,MATCH(Z3518,'CAMD Facility Data 2023'!$AE$2:$AE$10000,0),1)&gt;0,INDEX('CAMD Facility Data 2023'!$AC$2:$AE$10000,MATCH(Z3518,'CAMD Facility Data 2023'!$AE$2:$AE$10000,0),1),"")</f>
        <v>520</v>
      </c>
      <c r="AC3518" s="1" t="str">
        <f>IF(INDEX('CAMD Facility Data 2023'!$AE$2:$AG$10000,MATCH(Z3518,'CAMD Facility Data 2023'!$AE$2:$AE$10000,0),3)&gt;0,INDEX('CAMD Facility Data 2023'!$AE$2:$AG$10000,MATCH(Z3518,'CAMD Facility Data 2023'!$AE$2:$AE$10000,0),3),"")</f>
        <v/>
      </c>
      <c r="AD3518" s="20">
        <f t="shared" si="163"/>
        <v>8.0693600494512546E-2</v>
      </c>
      <c r="AE3518" s="25">
        <f t="shared" si="164"/>
        <v>6.0563132244467861E-2</v>
      </c>
    </row>
    <row r="3519" spans="1:31" x14ac:dyDescent="0.2">
      <c r="A3519" s="1" t="s">
        <v>370</v>
      </c>
      <c r="B3519" s="1" t="s">
        <v>7798</v>
      </c>
      <c r="C3519" s="1">
        <v>57027</v>
      </c>
      <c r="D3519" s="1">
        <v>4</v>
      </c>
      <c r="F3519" s="1">
        <v>2023</v>
      </c>
      <c r="G3519" s="5">
        <v>1443</v>
      </c>
      <c r="H3519" s="5">
        <v>1111.2</v>
      </c>
      <c r="I3519" s="5">
        <v>44067.73</v>
      </c>
      <c r="K3519" s="5">
        <v>0.13700000000000001</v>
      </c>
      <c r="L3519" s="5">
        <v>1E-3</v>
      </c>
      <c r="M3519" s="5">
        <v>27070.395</v>
      </c>
      <c r="N3519" s="6">
        <v>5.9299999999999999E-2</v>
      </c>
      <c r="O3519" s="5">
        <v>1.7829999999999999</v>
      </c>
      <c r="P3519" s="6">
        <v>1.47E-2</v>
      </c>
      <c r="Q3519" s="5">
        <v>455482.97600000002</v>
      </c>
      <c r="R3519" s="1" t="s">
        <v>44</v>
      </c>
      <c r="T3519" s="1" t="s">
        <v>93</v>
      </c>
      <c r="V3519" s="1" t="s">
        <v>5206</v>
      </c>
      <c r="Y3519" s="1" t="s">
        <v>247</v>
      </c>
      <c r="Z3519" s="1" t="str">
        <f t="shared" si="162"/>
        <v>57027 4</v>
      </c>
      <c r="AA3519" s="3">
        <f>IF(INDEX('CAMD Facility Data 2023'!$AA$2:$AE$10000,MATCH(Z3519,'CAMD Facility Data 2023'!$AE$2:$AE$10000,0),1)&gt;0,INDEX('CAMD Facility Data 2023'!$AA$2:$AE$10000,MATCH(Z3519,'CAMD Facility Data 2023'!$AE$2:$AE$10000,0),1),"")</f>
        <v>40686</v>
      </c>
      <c r="AB3519" s="5">
        <f>IF(INDEX('CAMD Facility Data 2023'!$AC$2:$AE$10000,MATCH(Z3519,'CAMD Facility Data 2023'!$AE$2:$AE$10000,0),1)&gt;0,INDEX('CAMD Facility Data 2023'!$AC$2:$AE$10000,MATCH(Z3519,'CAMD Facility Data 2023'!$AE$2:$AE$10000,0),1),"")</f>
        <v>510</v>
      </c>
      <c r="AC3519" s="1" t="str">
        <f>IF(INDEX('CAMD Facility Data 2023'!$AE$2:$AG$10000,MATCH(Z3519,'CAMD Facility Data 2023'!$AE$2:$AE$10000,0),3)&gt;0,INDEX('CAMD Facility Data 2023'!$AE$2:$AG$10000,MATCH(Z3519,'CAMD Facility Data 2023'!$AE$2:$AE$10000,0),3),"")</f>
        <v/>
      </c>
      <c r="AD3519" s="20">
        <f t="shared" si="163"/>
        <v>8.0920891545809143E-2</v>
      </c>
      <c r="AE3519" s="25">
        <f t="shared" si="164"/>
        <v>0.10195249709016027</v>
      </c>
    </row>
    <row r="3520" spans="1:31" x14ac:dyDescent="0.2">
      <c r="A3520" s="1" t="s">
        <v>4118</v>
      </c>
      <c r="B3520" s="1" t="s">
        <v>7800</v>
      </c>
      <c r="C3520" s="1">
        <v>57028</v>
      </c>
      <c r="D3520" s="1" t="s">
        <v>311</v>
      </c>
      <c r="F3520" s="1">
        <v>2023</v>
      </c>
      <c r="G3520" s="5">
        <v>5980</v>
      </c>
      <c r="H3520" s="5">
        <v>5972.29</v>
      </c>
      <c r="I3520" s="5">
        <v>1665315.2</v>
      </c>
      <c r="K3520" s="5">
        <v>3.3769999999999998</v>
      </c>
      <c r="L3520" s="5">
        <v>1E-3</v>
      </c>
      <c r="M3520" s="5">
        <v>668919.1</v>
      </c>
      <c r="N3520" s="6">
        <v>5.8999999999999997E-2</v>
      </c>
      <c r="O3520" s="5">
        <v>34.939</v>
      </c>
      <c r="P3520" s="6">
        <v>6.6E-3</v>
      </c>
      <c r="Q3520" s="5">
        <v>11255835.988</v>
      </c>
      <c r="R3520" s="1" t="s">
        <v>44</v>
      </c>
      <c r="T3520" s="1" t="s">
        <v>71</v>
      </c>
      <c r="V3520" s="1" t="s">
        <v>64</v>
      </c>
      <c r="Y3520" s="1" t="s">
        <v>247</v>
      </c>
      <c r="Z3520" s="1" t="str">
        <f t="shared" si="162"/>
        <v>57028 CT1</v>
      </c>
      <c r="AA3520" s="3">
        <f>IF(INDEX('CAMD Facility Data 2023'!$AA$2:$AE$10000,MATCH(Z3520,'CAMD Facility Data 2023'!$AE$2:$AE$10000,0),1)&gt;0,INDEX('CAMD Facility Data 2023'!$AA$2:$AE$10000,MATCH(Z3520,'CAMD Facility Data 2023'!$AE$2:$AE$10000,0),1),"")</f>
        <v>41012</v>
      </c>
      <c r="AB3520" s="5">
        <f>IF(INDEX('CAMD Facility Data 2023'!$AC$2:$AE$10000,MATCH(Z3520,'CAMD Facility Data 2023'!$AE$2:$AE$10000,0),1)&gt;0,INDEX('CAMD Facility Data 2023'!$AC$2:$AE$10000,MATCH(Z3520,'CAMD Facility Data 2023'!$AE$2:$AE$10000,0),1),"")</f>
        <v>2377</v>
      </c>
      <c r="AC3520" s="1" t="str">
        <f>IF(INDEX('CAMD Facility Data 2023'!$AE$2:$AG$10000,MATCH(Z3520,'CAMD Facility Data 2023'!$AE$2:$AE$10000,0),3)&gt;0,INDEX('CAMD Facility Data 2023'!$AE$2:$AG$10000,MATCH(Z3520,'CAMD Facility Data 2023'!$AE$2:$AE$10000,0),3),"")</f>
        <v>Y</v>
      </c>
      <c r="AD3520" s="20">
        <f t="shared" si="163"/>
        <v>4.1960825193933259E-2</v>
      </c>
      <c r="AE3520" s="25">
        <f t="shared" si="164"/>
        <v>0.54056070004975387</v>
      </c>
    </row>
    <row r="3521" spans="1:31" x14ac:dyDescent="0.2">
      <c r="A3521" s="1" t="s">
        <v>1153</v>
      </c>
      <c r="B3521" s="1" t="s">
        <v>7804</v>
      </c>
      <c r="C3521" s="1">
        <v>57029</v>
      </c>
      <c r="D3521" s="1" t="s">
        <v>7805</v>
      </c>
      <c r="F3521" s="1">
        <v>2023</v>
      </c>
      <c r="G3521" s="5">
        <v>781</v>
      </c>
      <c r="H3521" s="5">
        <v>669.65</v>
      </c>
      <c r="I3521" s="5">
        <v>120096.98</v>
      </c>
      <c r="K3521" s="5">
        <v>0.36899999999999999</v>
      </c>
      <c r="L3521" s="5">
        <v>1E-3</v>
      </c>
      <c r="M3521" s="5">
        <v>73152.870999999999</v>
      </c>
      <c r="N3521" s="6">
        <v>5.8999999999999997E-2</v>
      </c>
      <c r="O3521" s="5">
        <v>18.779</v>
      </c>
      <c r="P3521" s="6">
        <v>3.8899999999999997E-2</v>
      </c>
      <c r="Q3521" s="5">
        <v>1230291.46</v>
      </c>
      <c r="R3521" s="1" t="s">
        <v>44</v>
      </c>
      <c r="S3521" s="1" t="s">
        <v>94</v>
      </c>
      <c r="T3521" s="1" t="s">
        <v>93</v>
      </c>
      <c r="V3521" s="1" t="s">
        <v>183</v>
      </c>
      <c r="Y3521" s="1" t="s">
        <v>2319</v>
      </c>
      <c r="Z3521" s="1" t="str">
        <f t="shared" si="162"/>
        <v>57029 ES1</v>
      </c>
      <c r="AA3521" s="3">
        <f>IF(INDEX('CAMD Facility Data 2023'!$AA$2:$AE$10000,MATCH(Z3521,'CAMD Facility Data 2023'!$AE$2:$AE$10000,0),1)&gt;0,INDEX('CAMD Facility Data 2023'!$AA$2:$AE$10000,MATCH(Z3521,'CAMD Facility Data 2023'!$AE$2:$AE$10000,0),1),"")</f>
        <v>41100</v>
      </c>
      <c r="AB3521" s="5">
        <f>IF(INDEX('CAMD Facility Data 2023'!$AC$2:$AE$10000,MATCH(Z3521,'CAMD Facility Data 2023'!$AE$2:$AE$10000,0),1)&gt;0,INDEX('CAMD Facility Data 2023'!$AC$2:$AE$10000,MATCH(Z3521,'CAMD Facility Data 2023'!$AE$2:$AE$10000,0),1),"")</f>
        <v>2210</v>
      </c>
      <c r="AC3521" s="1" t="str">
        <f>IF(INDEX('CAMD Facility Data 2023'!$AE$2:$AG$10000,MATCH(Z3521,'CAMD Facility Data 2023'!$AE$2:$AE$10000,0),3)&gt;0,INDEX('CAMD Facility Data 2023'!$AE$2:$AG$10000,MATCH(Z3521,'CAMD Facility Data 2023'!$AE$2:$AE$10000,0),3),"")</f>
        <v/>
      </c>
      <c r="AD3521" s="20">
        <f t="shared" si="163"/>
        <v>0.31273059489089566</v>
      </c>
      <c r="AE3521" s="25">
        <f t="shared" si="164"/>
        <v>6.35494256079671E-2</v>
      </c>
    </row>
    <row r="3522" spans="1:31" x14ac:dyDescent="0.2">
      <c r="A3522" s="1" t="s">
        <v>1153</v>
      </c>
      <c r="B3522" s="1" t="s">
        <v>7804</v>
      </c>
      <c r="C3522" s="1">
        <v>57029</v>
      </c>
      <c r="D3522" s="1" t="s">
        <v>7807</v>
      </c>
      <c r="F3522" s="1">
        <v>2023</v>
      </c>
      <c r="G3522" s="5">
        <v>1132</v>
      </c>
      <c r="H3522" s="5">
        <v>966.11</v>
      </c>
      <c r="I3522" s="5">
        <v>172332.15</v>
      </c>
      <c r="K3522" s="5">
        <v>0.53600000000000003</v>
      </c>
      <c r="L3522" s="5">
        <v>1E-3</v>
      </c>
      <c r="M3522" s="5">
        <v>106080.36</v>
      </c>
      <c r="N3522" s="6">
        <v>5.91E-2</v>
      </c>
      <c r="O3522" s="5">
        <v>27.341000000000001</v>
      </c>
      <c r="P3522" s="6">
        <v>0.04</v>
      </c>
      <c r="Q3522" s="5">
        <v>1784365.983</v>
      </c>
      <c r="R3522" s="1" t="s">
        <v>44</v>
      </c>
      <c r="S3522" s="1" t="s">
        <v>94</v>
      </c>
      <c r="T3522" s="1" t="s">
        <v>93</v>
      </c>
      <c r="V3522" s="1" t="s">
        <v>183</v>
      </c>
      <c r="Y3522" s="1" t="s">
        <v>2319</v>
      </c>
      <c r="Z3522" s="1" t="str">
        <f t="shared" si="162"/>
        <v>57029 ES2</v>
      </c>
      <c r="AA3522" s="3">
        <f>IF(INDEX('CAMD Facility Data 2023'!$AA$2:$AE$10000,MATCH(Z3522,'CAMD Facility Data 2023'!$AE$2:$AE$10000,0),1)&gt;0,INDEX('CAMD Facility Data 2023'!$AA$2:$AE$10000,MATCH(Z3522,'CAMD Facility Data 2023'!$AE$2:$AE$10000,0),1),"")</f>
        <v>41128</v>
      </c>
      <c r="AB3522" s="5">
        <f>IF(INDEX('CAMD Facility Data 2023'!$AC$2:$AE$10000,MATCH(Z3522,'CAMD Facility Data 2023'!$AE$2:$AE$10000,0),1)&gt;0,INDEX('CAMD Facility Data 2023'!$AC$2:$AE$10000,MATCH(Z3522,'CAMD Facility Data 2023'!$AE$2:$AE$10000,0),1),"")</f>
        <v>2210</v>
      </c>
      <c r="AC3522" s="1" t="str">
        <f>IF(INDEX('CAMD Facility Data 2023'!$AE$2:$AG$10000,MATCH(Z3522,'CAMD Facility Data 2023'!$AE$2:$AE$10000,0),3)&gt;0,INDEX('CAMD Facility Data 2023'!$AE$2:$AG$10000,MATCH(Z3522,'CAMD Facility Data 2023'!$AE$2:$AE$10000,0),3),"")</f>
        <v/>
      </c>
      <c r="AD3522" s="20">
        <f t="shared" si="163"/>
        <v>0.31730585384096932</v>
      </c>
      <c r="AE3522" s="25">
        <f t="shared" si="164"/>
        <v>9.2169568741089697E-2</v>
      </c>
    </row>
    <row r="3523" spans="1:31" x14ac:dyDescent="0.2">
      <c r="A3523" s="1" t="s">
        <v>1153</v>
      </c>
      <c r="B3523" s="1" t="s">
        <v>7804</v>
      </c>
      <c r="C3523" s="1">
        <v>57029</v>
      </c>
      <c r="D3523" s="1" t="s">
        <v>7809</v>
      </c>
      <c r="F3523" s="1">
        <v>2023</v>
      </c>
      <c r="G3523" s="5">
        <v>1396</v>
      </c>
      <c r="H3523" s="5">
        <v>1207.6199999999999</v>
      </c>
      <c r="I3523" s="5">
        <v>217896.52</v>
      </c>
      <c r="K3523" s="5">
        <v>0.67300000000000004</v>
      </c>
      <c r="L3523" s="5">
        <v>1E-3</v>
      </c>
      <c r="M3523" s="5">
        <v>133312.307</v>
      </c>
      <c r="N3523" s="6">
        <v>5.8999999999999997E-2</v>
      </c>
      <c r="O3523" s="5">
        <v>33.350999999999999</v>
      </c>
      <c r="P3523" s="6">
        <v>3.7400000000000003E-2</v>
      </c>
      <c r="Q3523" s="5">
        <v>2242552.8509999998</v>
      </c>
      <c r="R3523" s="1" t="s">
        <v>44</v>
      </c>
      <c r="S3523" s="1" t="s">
        <v>94</v>
      </c>
      <c r="T3523" s="1" t="s">
        <v>93</v>
      </c>
      <c r="V3523" s="1" t="s">
        <v>183</v>
      </c>
      <c r="Y3523" s="1" t="s">
        <v>2319</v>
      </c>
      <c r="Z3523" s="1" t="str">
        <f t="shared" ref="Z3523:Z3586" si="165">C3523&amp;" "&amp;D3523</f>
        <v>57029 ES3</v>
      </c>
      <c r="AA3523" s="3">
        <f>IF(INDEX('CAMD Facility Data 2023'!$AA$2:$AE$10000,MATCH(Z3523,'CAMD Facility Data 2023'!$AE$2:$AE$10000,0),1)&gt;0,INDEX('CAMD Facility Data 2023'!$AA$2:$AE$10000,MATCH(Z3523,'CAMD Facility Data 2023'!$AE$2:$AE$10000,0),1),"")</f>
        <v>41163</v>
      </c>
      <c r="AB3523" s="5">
        <f>IF(INDEX('CAMD Facility Data 2023'!$AC$2:$AE$10000,MATCH(Z3523,'CAMD Facility Data 2023'!$AE$2:$AE$10000,0),1)&gt;0,INDEX('CAMD Facility Data 2023'!$AC$2:$AE$10000,MATCH(Z3523,'CAMD Facility Data 2023'!$AE$2:$AE$10000,0),1),"")</f>
        <v>2210</v>
      </c>
      <c r="AC3523" s="1" t="str">
        <f>IF(INDEX('CAMD Facility Data 2023'!$AE$2:$AG$10000,MATCH(Z3523,'CAMD Facility Data 2023'!$AE$2:$AE$10000,0),3)&gt;0,INDEX('CAMD Facility Data 2023'!$AE$2:$AG$10000,MATCH(Z3523,'CAMD Facility Data 2023'!$AE$2:$AE$10000,0),3),"")</f>
        <v/>
      </c>
      <c r="AD3523" s="20">
        <f t="shared" ref="AD3523:AD3586" si="166">IF(ISNUMBER(O3523*2000/I3523),O3523*2000/I3523,"")</f>
        <v>0.30611778471725937</v>
      </c>
      <c r="AE3523" s="25">
        <f t="shared" ref="AE3523:AE3586" si="167">Q3523/(AB3523*8760)</f>
        <v>0.11583673479823962</v>
      </c>
    </row>
    <row r="3524" spans="1:31" x14ac:dyDescent="0.2">
      <c r="A3524" s="1" t="s">
        <v>1153</v>
      </c>
      <c r="B3524" s="1" t="s">
        <v>7804</v>
      </c>
      <c r="C3524" s="1">
        <v>57029</v>
      </c>
      <c r="D3524" s="1" t="s">
        <v>7811</v>
      </c>
      <c r="F3524" s="1">
        <v>2023</v>
      </c>
      <c r="G3524" s="5">
        <v>829</v>
      </c>
      <c r="H3524" s="5">
        <v>712.85</v>
      </c>
      <c r="I3524" s="5">
        <v>130830.25</v>
      </c>
      <c r="K3524" s="5">
        <v>0.40200000000000002</v>
      </c>
      <c r="L3524" s="5">
        <v>1E-3</v>
      </c>
      <c r="M3524" s="5">
        <v>79606.847999999998</v>
      </c>
      <c r="N3524" s="6">
        <v>5.8999999999999997E-2</v>
      </c>
      <c r="O3524" s="5">
        <v>19.986000000000001</v>
      </c>
      <c r="P3524" s="6">
        <v>3.6999999999999998E-2</v>
      </c>
      <c r="Q3524" s="5">
        <v>1338982.8640000001</v>
      </c>
      <c r="R3524" s="1" t="s">
        <v>44</v>
      </c>
      <c r="S3524" s="1" t="s">
        <v>94</v>
      </c>
      <c r="T3524" s="1" t="s">
        <v>93</v>
      </c>
      <c r="V3524" s="1" t="s">
        <v>183</v>
      </c>
      <c r="Y3524" s="1" t="s">
        <v>2319</v>
      </c>
      <c r="Z3524" s="1" t="str">
        <f t="shared" si="165"/>
        <v>57029 ES4</v>
      </c>
      <c r="AA3524" s="3">
        <f>IF(INDEX('CAMD Facility Data 2023'!$AA$2:$AE$10000,MATCH(Z3524,'CAMD Facility Data 2023'!$AE$2:$AE$10000,0),1)&gt;0,INDEX('CAMD Facility Data 2023'!$AA$2:$AE$10000,MATCH(Z3524,'CAMD Facility Data 2023'!$AE$2:$AE$10000,0),1),"")</f>
        <v>41191</v>
      </c>
      <c r="AB3524" s="5">
        <f>IF(INDEX('CAMD Facility Data 2023'!$AC$2:$AE$10000,MATCH(Z3524,'CAMD Facility Data 2023'!$AE$2:$AE$10000,0),1)&gt;0,INDEX('CAMD Facility Data 2023'!$AC$2:$AE$10000,MATCH(Z3524,'CAMD Facility Data 2023'!$AE$2:$AE$10000,0),1),"")</f>
        <v>2210</v>
      </c>
      <c r="AC3524" s="1" t="str">
        <f>IF(INDEX('CAMD Facility Data 2023'!$AE$2:$AG$10000,MATCH(Z3524,'CAMD Facility Data 2023'!$AE$2:$AE$10000,0),3)&gt;0,INDEX('CAMD Facility Data 2023'!$AE$2:$AG$10000,MATCH(Z3524,'CAMD Facility Data 2023'!$AE$2:$AE$10000,0),3),"")</f>
        <v/>
      </c>
      <c r="AD3524" s="20">
        <f t="shared" si="166"/>
        <v>0.30552567162410832</v>
      </c>
      <c r="AE3524" s="25">
        <f t="shared" si="167"/>
        <v>6.9163767019979755E-2</v>
      </c>
    </row>
    <row r="3525" spans="1:31" x14ac:dyDescent="0.2">
      <c r="A3525" s="1" t="s">
        <v>1732</v>
      </c>
      <c r="B3525" s="1" t="s">
        <v>7813</v>
      </c>
      <c r="C3525" s="1">
        <v>57037</v>
      </c>
      <c r="D3525" s="1" t="s">
        <v>7814</v>
      </c>
      <c r="F3525" s="1">
        <v>2023</v>
      </c>
      <c r="G3525" s="5">
        <v>6756</v>
      </c>
      <c r="H3525" s="5">
        <v>6726.32</v>
      </c>
      <c r="I3525" s="5">
        <v>1879571.79</v>
      </c>
      <c r="K3525" s="5">
        <v>3.8610000000000002</v>
      </c>
      <c r="L3525" s="5">
        <v>1E-3</v>
      </c>
      <c r="M3525" s="5">
        <v>764795.25100000005</v>
      </c>
      <c r="N3525" s="6">
        <v>5.8999999999999997E-2</v>
      </c>
      <c r="O3525" s="5">
        <v>69.893000000000001</v>
      </c>
      <c r="P3525" s="6">
        <v>1.14E-2</v>
      </c>
      <c r="Q3525" s="5">
        <v>12869166.129000001</v>
      </c>
      <c r="R3525" s="1" t="s">
        <v>44</v>
      </c>
      <c r="T3525" s="1" t="s">
        <v>71</v>
      </c>
      <c r="V3525" s="1" t="s">
        <v>223</v>
      </c>
      <c r="Y3525" s="1" t="s">
        <v>346</v>
      </c>
      <c r="Z3525" s="1" t="str">
        <f t="shared" si="165"/>
        <v>57037 AB-001</v>
      </c>
      <c r="AA3525" s="3">
        <f>IF(INDEX('CAMD Facility Data 2023'!$AA$2:$AE$10000,MATCH(Z3525,'CAMD Facility Data 2023'!$AE$2:$AE$10000,0),1)&gt;0,INDEX('CAMD Facility Data 2023'!$AA$2:$AE$10000,MATCH(Z3525,'CAMD Facility Data 2023'!$AE$2:$AE$10000,0),1),"")</f>
        <v>41524</v>
      </c>
      <c r="AB3525" s="5">
        <f>IF(INDEX('CAMD Facility Data 2023'!$AC$2:$AE$10000,MATCH(Z3525,'CAMD Facility Data 2023'!$AE$2:$AE$10000,0),1)&gt;0,INDEX('CAMD Facility Data 2023'!$AC$2:$AE$10000,MATCH(Z3525,'CAMD Facility Data 2023'!$AE$2:$AE$10000,0),1),"")</f>
        <v>3175</v>
      </c>
      <c r="AC3525" s="1" t="str">
        <f>IF(INDEX('CAMD Facility Data 2023'!$AE$2:$AG$10000,MATCH(Z3525,'CAMD Facility Data 2023'!$AE$2:$AE$10000,0),3)&gt;0,INDEX('CAMD Facility Data 2023'!$AE$2:$AG$10000,MATCH(Z3525,'CAMD Facility Data 2023'!$AE$2:$AE$10000,0),3),"")</f>
        <v>Y</v>
      </c>
      <c r="AD3525" s="20">
        <f t="shared" si="166"/>
        <v>7.4371194941162636E-2</v>
      </c>
      <c r="AE3525" s="25">
        <f t="shared" si="167"/>
        <v>0.46270327289397045</v>
      </c>
    </row>
    <row r="3526" spans="1:31" x14ac:dyDescent="0.2">
      <c r="A3526" s="1" t="s">
        <v>1732</v>
      </c>
      <c r="B3526" s="1" t="s">
        <v>7813</v>
      </c>
      <c r="C3526" s="1">
        <v>57037</v>
      </c>
      <c r="D3526" s="1" t="s">
        <v>7816</v>
      </c>
      <c r="F3526" s="1">
        <v>2023</v>
      </c>
      <c r="G3526" s="5">
        <v>6867</v>
      </c>
      <c r="H3526" s="5">
        <v>6844.26</v>
      </c>
      <c r="I3526" s="5">
        <v>1920204.48</v>
      </c>
      <c r="K3526" s="5">
        <v>3.93</v>
      </c>
      <c r="L3526" s="5">
        <v>1E-3</v>
      </c>
      <c r="M3526" s="5">
        <v>778435.38899999997</v>
      </c>
      <c r="N3526" s="6">
        <v>5.8999999999999997E-2</v>
      </c>
      <c r="O3526" s="5">
        <v>68.528999999999996</v>
      </c>
      <c r="P3526" s="6">
        <v>1.09E-2</v>
      </c>
      <c r="Q3526" s="5">
        <v>13098597.284</v>
      </c>
      <c r="R3526" s="1" t="s">
        <v>44</v>
      </c>
      <c r="T3526" s="1" t="s">
        <v>71</v>
      </c>
      <c r="V3526" s="1" t="s">
        <v>223</v>
      </c>
      <c r="Y3526" s="1" t="s">
        <v>346</v>
      </c>
      <c r="Z3526" s="1" t="str">
        <f t="shared" si="165"/>
        <v>57037 AB-002</v>
      </c>
      <c r="AA3526" s="3">
        <f>IF(INDEX('CAMD Facility Data 2023'!$AA$2:$AE$10000,MATCH(Z3526,'CAMD Facility Data 2023'!$AE$2:$AE$10000,0),1)&gt;0,INDEX('CAMD Facility Data 2023'!$AA$2:$AE$10000,MATCH(Z3526,'CAMD Facility Data 2023'!$AE$2:$AE$10000,0),1),"")</f>
        <v>41529</v>
      </c>
      <c r="AB3526" s="5">
        <f>IF(INDEX('CAMD Facility Data 2023'!$AC$2:$AE$10000,MATCH(Z3526,'CAMD Facility Data 2023'!$AE$2:$AE$10000,0),1)&gt;0,INDEX('CAMD Facility Data 2023'!$AC$2:$AE$10000,MATCH(Z3526,'CAMD Facility Data 2023'!$AE$2:$AE$10000,0),1),"")</f>
        <v>3175</v>
      </c>
      <c r="AC3526" s="1" t="str">
        <f>IF(INDEX('CAMD Facility Data 2023'!$AE$2:$AG$10000,MATCH(Z3526,'CAMD Facility Data 2023'!$AE$2:$AE$10000,0),3)&gt;0,INDEX('CAMD Facility Data 2023'!$AE$2:$AG$10000,MATCH(Z3526,'CAMD Facility Data 2023'!$AE$2:$AE$10000,0),3),"")</f>
        <v>Y</v>
      </c>
      <c r="AD3526" s="20">
        <f t="shared" si="166"/>
        <v>7.137677337363571E-2</v>
      </c>
      <c r="AE3526" s="25">
        <f t="shared" si="167"/>
        <v>0.4709523346636465</v>
      </c>
    </row>
    <row r="3527" spans="1:31" x14ac:dyDescent="0.2">
      <c r="A3527" s="1" t="s">
        <v>370</v>
      </c>
      <c r="B3527" s="1" t="s">
        <v>7818</v>
      </c>
      <c r="C3527" s="1">
        <v>57073</v>
      </c>
      <c r="D3527" s="1" t="s">
        <v>7819</v>
      </c>
      <c r="F3527" s="1">
        <v>2023</v>
      </c>
      <c r="G3527" s="5">
        <v>4751</v>
      </c>
      <c r="H3527" s="5">
        <v>4751</v>
      </c>
      <c r="K3527" s="5">
        <v>7.5999999999999998E-2</v>
      </c>
      <c r="L3527" s="5">
        <v>2.9999999999999997E-4</v>
      </c>
      <c r="M3527" s="5">
        <v>20810</v>
      </c>
      <c r="N3527" s="6">
        <v>5.8500000000000003E-2</v>
      </c>
      <c r="O3527" s="5">
        <v>1.946</v>
      </c>
      <c r="P3527" s="6">
        <v>1.0800000000000001E-2</v>
      </c>
      <c r="Q3527" s="5">
        <v>353229.5</v>
      </c>
      <c r="R3527" s="1" t="s">
        <v>44</v>
      </c>
      <c r="T3527" s="1" t="s">
        <v>656</v>
      </c>
      <c r="Y3527" s="1" t="s">
        <v>247</v>
      </c>
      <c r="Z3527" s="1" t="str">
        <f t="shared" si="165"/>
        <v>57073 BLR1</v>
      </c>
      <c r="AA3527" s="3">
        <f>IF(INDEX('CAMD Facility Data 2023'!$AA$2:$AE$10000,MATCH(Z3527,'CAMD Facility Data 2023'!$AE$2:$AE$10000,0),1)&gt;0,INDEX('CAMD Facility Data 2023'!$AA$2:$AE$10000,MATCH(Z3527,'CAMD Facility Data 2023'!$AE$2:$AE$10000,0),1),"")</f>
        <v>41622</v>
      </c>
      <c r="AB3527" s="5">
        <f>IF(INDEX('CAMD Facility Data 2023'!$AC$2:$AE$10000,MATCH(Z3527,'CAMD Facility Data 2023'!$AE$2:$AE$10000,0),1)&gt;0,INDEX('CAMD Facility Data 2023'!$AC$2:$AE$10000,MATCH(Z3527,'CAMD Facility Data 2023'!$AE$2:$AE$10000,0),1),"")</f>
        <v>249</v>
      </c>
      <c r="AC3527" s="1" t="str">
        <f>IF(INDEX('CAMD Facility Data 2023'!$AE$2:$AG$10000,MATCH(Z3527,'CAMD Facility Data 2023'!$AE$2:$AE$10000,0),3)&gt;0,INDEX('CAMD Facility Data 2023'!$AE$2:$AG$10000,MATCH(Z3527,'CAMD Facility Data 2023'!$AE$2:$AE$10000,0),3),"")</f>
        <v/>
      </c>
      <c r="AD3527" s="20" t="str">
        <f t="shared" si="166"/>
        <v/>
      </c>
      <c r="AE3527" s="25">
        <f t="shared" si="167"/>
        <v>0.16193976820524106</v>
      </c>
    </row>
    <row r="3528" spans="1:31" x14ac:dyDescent="0.2">
      <c r="A3528" s="1" t="s">
        <v>370</v>
      </c>
      <c r="B3528" s="1" t="s">
        <v>7822</v>
      </c>
      <c r="C3528" s="1">
        <v>57074</v>
      </c>
      <c r="D3528" s="1" t="s">
        <v>7819</v>
      </c>
      <c r="F3528" s="1">
        <v>2023</v>
      </c>
      <c r="G3528" s="5">
        <v>6817</v>
      </c>
      <c r="H3528" s="5">
        <v>6817</v>
      </c>
      <c r="K3528" s="5">
        <v>9.8000000000000004E-2</v>
      </c>
      <c r="L3528" s="5">
        <v>2.0000000000000001E-4</v>
      </c>
      <c r="M3528" s="5">
        <v>26225.7</v>
      </c>
      <c r="N3528" s="6">
        <v>5.9700000000000003E-2</v>
      </c>
      <c r="O3528" s="5">
        <v>2.3959999999999999</v>
      </c>
      <c r="P3528" s="6">
        <v>1.0200000000000001E-2</v>
      </c>
      <c r="Q3528" s="5">
        <v>443900</v>
      </c>
      <c r="R3528" s="1" t="s">
        <v>44</v>
      </c>
      <c r="T3528" s="1" t="s">
        <v>656</v>
      </c>
      <c r="Y3528" s="1" t="s">
        <v>247</v>
      </c>
      <c r="Z3528" s="1" t="str">
        <f t="shared" si="165"/>
        <v>57074 BLR1</v>
      </c>
      <c r="AA3528" s="3">
        <f>IF(INDEX('CAMD Facility Data 2023'!$AA$2:$AE$10000,MATCH(Z3528,'CAMD Facility Data 2023'!$AE$2:$AE$10000,0),1)&gt;0,INDEX('CAMD Facility Data 2023'!$AA$2:$AE$10000,MATCH(Z3528,'CAMD Facility Data 2023'!$AE$2:$AE$10000,0),1),"")</f>
        <v>41537</v>
      </c>
      <c r="AB3528" s="5">
        <f>IF(INDEX('CAMD Facility Data 2023'!$AC$2:$AE$10000,MATCH(Z3528,'CAMD Facility Data 2023'!$AE$2:$AE$10000,0),1)&gt;0,INDEX('CAMD Facility Data 2023'!$AC$2:$AE$10000,MATCH(Z3528,'CAMD Facility Data 2023'!$AE$2:$AE$10000,0),1),"")</f>
        <v>249</v>
      </c>
      <c r="AC3528" s="1" t="str">
        <f>IF(INDEX('CAMD Facility Data 2023'!$AE$2:$AG$10000,MATCH(Z3528,'CAMD Facility Data 2023'!$AE$2:$AE$10000,0),3)&gt;0,INDEX('CAMD Facility Data 2023'!$AE$2:$AG$10000,MATCH(Z3528,'CAMD Facility Data 2023'!$AE$2:$AE$10000,0),3),"")</f>
        <v/>
      </c>
      <c r="AD3528" s="20" t="str">
        <f t="shared" si="166"/>
        <v/>
      </c>
      <c r="AE3528" s="25">
        <f t="shared" si="167"/>
        <v>0.20350809631218938</v>
      </c>
    </row>
    <row r="3529" spans="1:31" x14ac:dyDescent="0.2">
      <c r="A3529" s="1" t="s">
        <v>370</v>
      </c>
      <c r="B3529" s="1" t="s">
        <v>7825</v>
      </c>
      <c r="C3529" s="1">
        <v>57075</v>
      </c>
      <c r="D3529" s="1" t="s">
        <v>7819</v>
      </c>
      <c r="F3529" s="1">
        <v>2023</v>
      </c>
      <c r="G3529" s="5">
        <v>2022</v>
      </c>
      <c r="H3529" s="5">
        <v>2022</v>
      </c>
      <c r="K3529" s="5">
        <v>3.1E-2</v>
      </c>
      <c r="L3529" s="5">
        <v>2.9999999999999997E-4</v>
      </c>
      <c r="M3529" s="5">
        <v>8772.6</v>
      </c>
      <c r="N3529" s="6">
        <v>5.9200000000000003E-2</v>
      </c>
      <c r="O3529" s="5">
        <v>0.81799999999999995</v>
      </c>
      <c r="P3529" s="6">
        <v>1.0999999999999999E-2</v>
      </c>
      <c r="Q3529" s="5">
        <v>148452.9</v>
      </c>
      <c r="R3529" s="1" t="s">
        <v>44</v>
      </c>
      <c r="T3529" s="1" t="s">
        <v>656</v>
      </c>
      <c r="Y3529" s="1" t="s">
        <v>247</v>
      </c>
      <c r="Z3529" s="1" t="str">
        <f t="shared" si="165"/>
        <v>57075 BLR1</v>
      </c>
      <c r="AA3529" s="3">
        <f>IF(INDEX('CAMD Facility Data 2023'!$AA$2:$AE$10000,MATCH(Z3529,'CAMD Facility Data 2023'!$AE$2:$AE$10000,0),1)&gt;0,INDEX('CAMD Facility Data 2023'!$AA$2:$AE$10000,MATCH(Z3529,'CAMD Facility Data 2023'!$AE$2:$AE$10000,0),1),"")</f>
        <v>41614</v>
      </c>
      <c r="AB3529" s="5">
        <f>IF(INDEX('CAMD Facility Data 2023'!$AC$2:$AE$10000,MATCH(Z3529,'CAMD Facility Data 2023'!$AE$2:$AE$10000,0),1)&gt;0,INDEX('CAMD Facility Data 2023'!$AC$2:$AE$10000,MATCH(Z3529,'CAMD Facility Data 2023'!$AE$2:$AE$10000,0),1),"")</f>
        <v>249</v>
      </c>
      <c r="AC3529" s="1" t="str">
        <f>IF(INDEX('CAMD Facility Data 2023'!$AE$2:$AG$10000,MATCH(Z3529,'CAMD Facility Data 2023'!$AE$2:$AE$10000,0),3)&gt;0,INDEX('CAMD Facility Data 2023'!$AE$2:$AG$10000,MATCH(Z3529,'CAMD Facility Data 2023'!$AE$2:$AE$10000,0),3),"")</f>
        <v/>
      </c>
      <c r="AD3529" s="20" t="str">
        <f t="shared" si="166"/>
        <v/>
      </c>
      <c r="AE3529" s="25">
        <f t="shared" si="167"/>
        <v>6.8058948121252127E-2</v>
      </c>
    </row>
    <row r="3530" spans="1:31" x14ac:dyDescent="0.2">
      <c r="A3530" s="1" t="s">
        <v>2089</v>
      </c>
      <c r="B3530" s="1" t="s">
        <v>7827</v>
      </c>
      <c r="C3530" s="1">
        <v>57185</v>
      </c>
      <c r="D3530" s="1" t="s">
        <v>4348</v>
      </c>
      <c r="F3530" s="1">
        <v>2023</v>
      </c>
      <c r="G3530" s="5">
        <v>6312</v>
      </c>
      <c r="H3530" s="5">
        <v>6249.83</v>
      </c>
      <c r="I3530" s="5">
        <v>1834779.39</v>
      </c>
      <c r="K3530" s="5">
        <v>3.7869999999999999</v>
      </c>
      <c r="L3530" s="5">
        <v>1E-3</v>
      </c>
      <c r="M3530" s="5">
        <v>750203.45400000003</v>
      </c>
      <c r="N3530" s="6">
        <v>5.8999999999999997E-2</v>
      </c>
      <c r="O3530" s="5">
        <v>33.115000000000002</v>
      </c>
      <c r="P3530" s="6">
        <v>5.8999999999999999E-3</v>
      </c>
      <c r="Q3530" s="5">
        <v>12623500.902000001</v>
      </c>
      <c r="R3530" s="1" t="s">
        <v>44</v>
      </c>
      <c r="T3530" s="1" t="s">
        <v>71</v>
      </c>
      <c r="V3530" s="1" t="s">
        <v>64</v>
      </c>
      <c r="Y3530" s="1" t="s">
        <v>7828</v>
      </c>
      <c r="Z3530" s="1" t="str">
        <f t="shared" si="165"/>
        <v>57185 U001</v>
      </c>
      <c r="AA3530" s="3">
        <f>IF(INDEX('CAMD Facility Data 2023'!$AA$2:$AE$10000,MATCH(Z3530,'CAMD Facility Data 2023'!$AE$2:$AE$10000,0),1)&gt;0,INDEX('CAMD Facility Data 2023'!$AA$2:$AE$10000,MATCH(Z3530,'CAMD Facility Data 2023'!$AE$2:$AE$10000,0),1),"")</f>
        <v>43763</v>
      </c>
      <c r="AB3530" s="5">
        <f>IF(INDEX('CAMD Facility Data 2023'!$AC$2:$AE$10000,MATCH(Z3530,'CAMD Facility Data 2023'!$AE$2:$AE$10000,0),1)&gt;0,INDEX('CAMD Facility Data 2023'!$AC$2:$AE$10000,MATCH(Z3530,'CAMD Facility Data 2023'!$AE$2:$AE$10000,0),1),"")</f>
        <v>2800</v>
      </c>
      <c r="AC3530" s="1" t="str">
        <f>IF(INDEX('CAMD Facility Data 2023'!$AE$2:$AG$10000,MATCH(Z3530,'CAMD Facility Data 2023'!$AE$2:$AE$10000,0),3)&gt;0,INDEX('CAMD Facility Data 2023'!$AE$2:$AG$10000,MATCH(Z3530,'CAMD Facility Data 2023'!$AE$2:$AE$10000,0),3),"")</f>
        <v>Y</v>
      </c>
      <c r="AD3530" s="20">
        <f t="shared" si="166"/>
        <v>3.6096982754967616E-2</v>
      </c>
      <c r="AE3530" s="25">
        <f t="shared" si="167"/>
        <v>0.51465675562622315</v>
      </c>
    </row>
    <row r="3531" spans="1:31" x14ac:dyDescent="0.2">
      <c r="A3531" s="1" t="s">
        <v>2089</v>
      </c>
      <c r="B3531" s="1" t="s">
        <v>7827</v>
      </c>
      <c r="C3531" s="1">
        <v>57185</v>
      </c>
      <c r="D3531" s="1" t="s">
        <v>7833</v>
      </c>
      <c r="F3531" s="1">
        <v>2023</v>
      </c>
      <c r="G3531" s="5">
        <v>5761</v>
      </c>
      <c r="H3531" s="5">
        <v>5710.36</v>
      </c>
      <c r="I3531" s="5">
        <v>1661089.11</v>
      </c>
      <c r="K3531" s="5">
        <v>3.419</v>
      </c>
      <c r="L3531" s="5">
        <v>1E-3</v>
      </c>
      <c r="M3531" s="5">
        <v>677199.125</v>
      </c>
      <c r="N3531" s="6">
        <v>5.8999999999999997E-2</v>
      </c>
      <c r="O3531" s="5">
        <v>32.83</v>
      </c>
      <c r="P3531" s="6">
        <v>6.7000000000000002E-3</v>
      </c>
      <c r="Q3531" s="5">
        <v>11395022.308</v>
      </c>
      <c r="R3531" s="1" t="s">
        <v>44</v>
      </c>
      <c r="T3531" s="1" t="s">
        <v>71</v>
      </c>
      <c r="V3531" s="1" t="s">
        <v>64</v>
      </c>
      <c r="Y3531" s="1" t="s">
        <v>7828</v>
      </c>
      <c r="Z3531" s="1" t="str">
        <f t="shared" si="165"/>
        <v>57185 U002</v>
      </c>
      <c r="AA3531" s="3">
        <f>IF(INDEX('CAMD Facility Data 2023'!$AA$2:$AE$10000,MATCH(Z3531,'CAMD Facility Data 2023'!$AE$2:$AE$10000,0),1)&gt;0,INDEX('CAMD Facility Data 2023'!$AA$2:$AE$10000,MATCH(Z3531,'CAMD Facility Data 2023'!$AE$2:$AE$10000,0),1),"")</f>
        <v>43790</v>
      </c>
      <c r="AB3531" s="5">
        <f>IF(INDEX('CAMD Facility Data 2023'!$AC$2:$AE$10000,MATCH(Z3531,'CAMD Facility Data 2023'!$AE$2:$AE$10000,0),1)&gt;0,INDEX('CAMD Facility Data 2023'!$AC$2:$AE$10000,MATCH(Z3531,'CAMD Facility Data 2023'!$AE$2:$AE$10000,0),1),"")</f>
        <v>2800</v>
      </c>
      <c r="AC3531" s="1" t="str">
        <f>IF(INDEX('CAMD Facility Data 2023'!$AE$2:$AG$10000,MATCH(Z3531,'CAMD Facility Data 2023'!$AE$2:$AE$10000,0),3)&gt;0,INDEX('CAMD Facility Data 2023'!$AE$2:$AG$10000,MATCH(Z3531,'CAMD Facility Data 2023'!$AE$2:$AE$10000,0),3),"")</f>
        <v>Y</v>
      </c>
      <c r="AD3531" s="20">
        <f t="shared" si="166"/>
        <v>3.9528282742158243E-2</v>
      </c>
      <c r="AE3531" s="25">
        <f t="shared" si="167"/>
        <v>0.46457201190476194</v>
      </c>
    </row>
    <row r="3532" spans="1:31" x14ac:dyDescent="0.2">
      <c r="A3532" s="1" t="s">
        <v>2089</v>
      </c>
      <c r="B3532" s="1" t="s">
        <v>7827</v>
      </c>
      <c r="C3532" s="1">
        <v>57185</v>
      </c>
      <c r="D3532" s="1" t="s">
        <v>7835</v>
      </c>
      <c r="F3532" s="1">
        <v>2023</v>
      </c>
      <c r="G3532" s="5">
        <v>6426</v>
      </c>
      <c r="H3532" s="5">
        <v>6358.8</v>
      </c>
      <c r="I3532" s="5">
        <v>1812410.48</v>
      </c>
      <c r="K3532" s="5">
        <v>3.7360000000000002</v>
      </c>
      <c r="L3532" s="5">
        <v>1E-3</v>
      </c>
      <c r="M3532" s="5">
        <v>740103.78399999999</v>
      </c>
      <c r="N3532" s="6">
        <v>5.8999999999999997E-2</v>
      </c>
      <c r="O3532" s="5">
        <v>36.561999999999998</v>
      </c>
      <c r="P3532" s="6">
        <v>7.0000000000000001E-3</v>
      </c>
      <c r="Q3532" s="5">
        <v>12453552.116</v>
      </c>
      <c r="R3532" s="1" t="s">
        <v>44</v>
      </c>
      <c r="T3532" s="1" t="s">
        <v>71</v>
      </c>
      <c r="V3532" s="1" t="s">
        <v>64</v>
      </c>
      <c r="Y3532" s="1" t="s">
        <v>7828</v>
      </c>
      <c r="Z3532" s="1" t="str">
        <f t="shared" si="165"/>
        <v>57185 U003</v>
      </c>
      <c r="AA3532" s="3">
        <f>IF(INDEX('CAMD Facility Data 2023'!$AA$2:$AE$10000,MATCH(Z3532,'CAMD Facility Data 2023'!$AE$2:$AE$10000,0),1)&gt;0,INDEX('CAMD Facility Data 2023'!$AA$2:$AE$10000,MATCH(Z3532,'CAMD Facility Data 2023'!$AE$2:$AE$10000,0),1),"")</f>
        <v>43893</v>
      </c>
      <c r="AB3532" s="5">
        <f>IF(INDEX('CAMD Facility Data 2023'!$AC$2:$AE$10000,MATCH(Z3532,'CAMD Facility Data 2023'!$AE$2:$AE$10000,0),1)&gt;0,INDEX('CAMD Facility Data 2023'!$AC$2:$AE$10000,MATCH(Z3532,'CAMD Facility Data 2023'!$AE$2:$AE$10000,0),1),"")</f>
        <v>2800</v>
      </c>
      <c r="AC3532" s="1" t="str">
        <f>IF(INDEX('CAMD Facility Data 2023'!$AE$2:$AG$10000,MATCH(Z3532,'CAMD Facility Data 2023'!$AE$2:$AE$10000,0),3)&gt;0,INDEX('CAMD Facility Data 2023'!$AE$2:$AG$10000,MATCH(Z3532,'CAMD Facility Data 2023'!$AE$2:$AE$10000,0),3),"")</f>
        <v>Y</v>
      </c>
      <c r="AD3532" s="20">
        <f t="shared" si="166"/>
        <v>4.0346268578186552E-2</v>
      </c>
      <c r="AE3532" s="25">
        <f t="shared" si="167"/>
        <v>0.50772798907371164</v>
      </c>
    </row>
    <row r="3533" spans="1:31" x14ac:dyDescent="0.2">
      <c r="A3533" s="1" t="s">
        <v>304</v>
      </c>
      <c r="B3533" s="1" t="s">
        <v>7837</v>
      </c>
      <c r="C3533" s="1">
        <v>57241</v>
      </c>
      <c r="D3533" s="1" t="s">
        <v>7838</v>
      </c>
      <c r="F3533" s="1">
        <v>2023</v>
      </c>
      <c r="G3533" s="5">
        <v>5506</v>
      </c>
      <c r="H3533" s="5">
        <v>5495.76</v>
      </c>
      <c r="I3533" s="5">
        <v>335657.36</v>
      </c>
      <c r="K3533" s="5">
        <v>9.4779999999999998</v>
      </c>
      <c r="L3533" s="5">
        <v>5.4000000000000003E-3</v>
      </c>
      <c r="M3533" s="5">
        <v>478098.10200000001</v>
      </c>
      <c r="N3533" s="6">
        <v>0.1043</v>
      </c>
      <c r="O3533" s="5">
        <v>138.33500000000001</v>
      </c>
      <c r="P3533" s="6">
        <v>0.06</v>
      </c>
      <c r="Q3533" s="5">
        <v>4581911.068</v>
      </c>
      <c r="R3533" s="1" t="s">
        <v>657</v>
      </c>
      <c r="T3533" s="1" t="s">
        <v>7167</v>
      </c>
      <c r="V3533" s="1" t="s">
        <v>223</v>
      </c>
      <c r="W3533" s="1" t="s">
        <v>232</v>
      </c>
      <c r="Y3533" s="1" t="s">
        <v>247</v>
      </c>
      <c r="Z3533" s="1" t="str">
        <f t="shared" si="165"/>
        <v>57241 BFB1</v>
      </c>
      <c r="AA3533" s="3">
        <f>IF(INDEX('CAMD Facility Data 2023'!$AA$2:$AE$10000,MATCH(Z3533,'CAMD Facility Data 2023'!$AE$2:$AE$10000,0),1)&gt;0,INDEX('CAMD Facility Data 2023'!$AA$2:$AE$10000,MATCH(Z3533,'CAMD Facility Data 2023'!$AE$2:$AE$10000,0),1),"")</f>
        <v>41502</v>
      </c>
      <c r="AB3533" s="5">
        <f>IF(INDEX('CAMD Facility Data 2023'!$AC$2:$AE$10000,MATCH(Z3533,'CAMD Facility Data 2023'!$AE$2:$AE$10000,0),1)&gt;0,INDEX('CAMD Facility Data 2023'!$AC$2:$AE$10000,MATCH(Z3533,'CAMD Facility Data 2023'!$AE$2:$AE$10000,0),1),"")</f>
        <v>1673.7</v>
      </c>
      <c r="AC3533" s="1" t="str">
        <f>IF(INDEX('CAMD Facility Data 2023'!$AE$2:$AG$10000,MATCH(Z3533,'CAMD Facility Data 2023'!$AE$2:$AE$10000,0),3)&gt;0,INDEX('CAMD Facility Data 2023'!$AE$2:$AG$10000,MATCH(Z3533,'CAMD Facility Data 2023'!$AE$2:$AE$10000,0),3),"")</f>
        <v>Y</v>
      </c>
      <c r="AD3533" s="20">
        <f t="shared" si="166"/>
        <v>0.82426317122913684</v>
      </c>
      <c r="AE3533" s="25">
        <f t="shared" si="167"/>
        <v>0.31251072992519513</v>
      </c>
    </row>
    <row r="3534" spans="1:31" x14ac:dyDescent="0.2">
      <c r="A3534" s="1" t="s">
        <v>370</v>
      </c>
      <c r="B3534" s="1" t="s">
        <v>7840</v>
      </c>
      <c r="C3534" s="1">
        <v>57267</v>
      </c>
      <c r="D3534" s="1">
        <v>1</v>
      </c>
      <c r="F3534" s="1">
        <v>2023</v>
      </c>
      <c r="G3534" s="5">
        <v>185</v>
      </c>
      <c r="H3534" s="5">
        <v>151.41999999999999</v>
      </c>
      <c r="I3534" s="5">
        <v>25951.78</v>
      </c>
      <c r="K3534" s="5">
        <v>8.5000000000000006E-2</v>
      </c>
      <c r="L3534" s="5">
        <v>1E-3</v>
      </c>
      <c r="M3534" s="5">
        <v>16825.885999999999</v>
      </c>
      <c r="N3534" s="6">
        <v>5.8999999999999997E-2</v>
      </c>
      <c r="O3534" s="5">
        <v>1.2789999999999999</v>
      </c>
      <c r="P3534" s="6">
        <v>1.3599999999999999E-2</v>
      </c>
      <c r="Q3534" s="5">
        <v>283140.57799999998</v>
      </c>
      <c r="R3534" s="1" t="s">
        <v>44</v>
      </c>
      <c r="T3534" s="1" t="s">
        <v>93</v>
      </c>
      <c r="V3534" s="1" t="s">
        <v>64</v>
      </c>
      <c r="Y3534" s="1" t="s">
        <v>247</v>
      </c>
      <c r="Z3534" s="1" t="str">
        <f t="shared" si="165"/>
        <v>57267 1</v>
      </c>
      <c r="AA3534" s="3">
        <f>IF(INDEX('CAMD Facility Data 2023'!$AA$2:$AE$10000,MATCH(Z3534,'CAMD Facility Data 2023'!$AE$2:$AE$10000,0),1)&gt;0,INDEX('CAMD Facility Data 2023'!$AA$2:$AE$10000,MATCH(Z3534,'CAMD Facility Data 2023'!$AE$2:$AE$10000,0),1),"")</f>
        <v>41250</v>
      </c>
      <c r="AB3534" s="5">
        <f>IF(INDEX('CAMD Facility Data 2023'!$AC$2:$AE$10000,MATCH(Z3534,'CAMD Facility Data 2023'!$AE$2:$AE$10000,0),1)&gt;0,INDEX('CAMD Facility Data 2023'!$AC$2:$AE$10000,MATCH(Z3534,'CAMD Facility Data 2023'!$AE$2:$AE$10000,0),1),"")</f>
        <v>2202</v>
      </c>
      <c r="AC3534" s="1" t="str">
        <f>IF(INDEX('CAMD Facility Data 2023'!$AE$2:$AG$10000,MATCH(Z3534,'CAMD Facility Data 2023'!$AE$2:$AE$10000,0),3)&gt;0,INDEX('CAMD Facility Data 2023'!$AE$2:$AG$10000,MATCH(Z3534,'CAMD Facility Data 2023'!$AE$2:$AE$10000,0),3),"")</f>
        <v>Y</v>
      </c>
      <c r="AD3534" s="20">
        <f t="shared" si="166"/>
        <v>9.856742003824015E-2</v>
      </c>
      <c r="AE3534" s="25">
        <f t="shared" si="167"/>
        <v>1.4678466752931125E-2</v>
      </c>
    </row>
    <row r="3535" spans="1:31" x14ac:dyDescent="0.2">
      <c r="A3535" s="1" t="s">
        <v>370</v>
      </c>
      <c r="B3535" s="1" t="s">
        <v>7840</v>
      </c>
      <c r="C3535" s="1">
        <v>57267</v>
      </c>
      <c r="D3535" s="1">
        <v>2</v>
      </c>
      <c r="F3535" s="1">
        <v>2023</v>
      </c>
      <c r="G3535" s="5">
        <v>497</v>
      </c>
      <c r="H3535" s="5">
        <v>412.61</v>
      </c>
      <c r="I3535" s="5">
        <v>70991.8</v>
      </c>
      <c r="K3535" s="5">
        <v>0.23300000000000001</v>
      </c>
      <c r="L3535" s="5">
        <v>1E-3</v>
      </c>
      <c r="M3535" s="5">
        <v>46067.142</v>
      </c>
      <c r="N3535" s="6">
        <v>5.8999999999999997E-2</v>
      </c>
      <c r="O3535" s="5">
        <v>3.1520000000000001</v>
      </c>
      <c r="P3535" s="6">
        <v>1.29E-2</v>
      </c>
      <c r="Q3535" s="5">
        <v>775166.74199999997</v>
      </c>
      <c r="R3535" s="1" t="s">
        <v>44</v>
      </c>
      <c r="T3535" s="1" t="s">
        <v>93</v>
      </c>
      <c r="V3535" s="1" t="s">
        <v>64</v>
      </c>
      <c r="Y3535" s="1" t="s">
        <v>247</v>
      </c>
      <c r="Z3535" s="1" t="str">
        <f t="shared" si="165"/>
        <v>57267 2</v>
      </c>
      <c r="AA3535" s="3">
        <f>IF(INDEX('CAMD Facility Data 2023'!$AA$2:$AE$10000,MATCH(Z3535,'CAMD Facility Data 2023'!$AE$2:$AE$10000,0),1)&gt;0,INDEX('CAMD Facility Data 2023'!$AA$2:$AE$10000,MATCH(Z3535,'CAMD Facility Data 2023'!$AE$2:$AE$10000,0),1),"")</f>
        <v>41278</v>
      </c>
      <c r="AB3535" s="5">
        <f>IF(INDEX('CAMD Facility Data 2023'!$AC$2:$AE$10000,MATCH(Z3535,'CAMD Facility Data 2023'!$AE$2:$AE$10000,0),1)&gt;0,INDEX('CAMD Facility Data 2023'!$AC$2:$AE$10000,MATCH(Z3535,'CAMD Facility Data 2023'!$AE$2:$AE$10000,0),1),"")</f>
        <v>2202</v>
      </c>
      <c r="AC3535" s="1" t="str">
        <f>IF(INDEX('CAMD Facility Data 2023'!$AE$2:$AG$10000,MATCH(Z3535,'CAMD Facility Data 2023'!$AE$2:$AE$10000,0),3)&gt;0,INDEX('CAMD Facility Data 2023'!$AE$2:$AG$10000,MATCH(Z3535,'CAMD Facility Data 2023'!$AE$2:$AE$10000,0),3),"")</f>
        <v>Y</v>
      </c>
      <c r="AD3535" s="20">
        <f t="shared" si="166"/>
        <v>8.8798988052141231E-2</v>
      </c>
      <c r="AE3535" s="25">
        <f t="shared" si="167"/>
        <v>4.018590104885969E-2</v>
      </c>
    </row>
    <row r="3536" spans="1:31" x14ac:dyDescent="0.2">
      <c r="A3536" s="1" t="s">
        <v>370</v>
      </c>
      <c r="B3536" s="1" t="s">
        <v>7840</v>
      </c>
      <c r="C3536" s="1">
        <v>57267</v>
      </c>
      <c r="D3536" s="1">
        <v>3</v>
      </c>
      <c r="F3536" s="1">
        <v>2023</v>
      </c>
      <c r="G3536" s="5">
        <v>254</v>
      </c>
      <c r="H3536" s="5">
        <v>210.06</v>
      </c>
      <c r="I3536" s="5">
        <v>33695.67</v>
      </c>
      <c r="K3536" s="5">
        <v>0.112</v>
      </c>
      <c r="L3536" s="5">
        <v>1E-3</v>
      </c>
      <c r="M3536" s="5">
        <v>22173.506000000001</v>
      </c>
      <c r="N3536" s="6">
        <v>5.8999999999999997E-2</v>
      </c>
      <c r="O3536" s="5">
        <v>1.4690000000000001</v>
      </c>
      <c r="P3536" s="6">
        <v>1.37E-2</v>
      </c>
      <c r="Q3536" s="5">
        <v>373108.48100000003</v>
      </c>
      <c r="R3536" s="1" t="s">
        <v>44</v>
      </c>
      <c r="T3536" s="1" t="s">
        <v>93</v>
      </c>
      <c r="V3536" s="1" t="s">
        <v>64</v>
      </c>
      <c r="Y3536" s="1" t="s">
        <v>247</v>
      </c>
      <c r="Z3536" s="1" t="str">
        <f t="shared" si="165"/>
        <v>57267 3</v>
      </c>
      <c r="AA3536" s="3">
        <f>IF(INDEX('CAMD Facility Data 2023'!$AA$2:$AE$10000,MATCH(Z3536,'CAMD Facility Data 2023'!$AE$2:$AE$10000,0),1)&gt;0,INDEX('CAMD Facility Data 2023'!$AA$2:$AE$10000,MATCH(Z3536,'CAMD Facility Data 2023'!$AE$2:$AE$10000,0),1),"")</f>
        <v>41337</v>
      </c>
      <c r="AB3536" s="5">
        <f>IF(INDEX('CAMD Facility Data 2023'!$AC$2:$AE$10000,MATCH(Z3536,'CAMD Facility Data 2023'!$AE$2:$AE$10000,0),1)&gt;0,INDEX('CAMD Facility Data 2023'!$AC$2:$AE$10000,MATCH(Z3536,'CAMD Facility Data 2023'!$AE$2:$AE$10000,0),1),"")</f>
        <v>2202</v>
      </c>
      <c r="AC3536" s="1" t="str">
        <f>IF(INDEX('CAMD Facility Data 2023'!$AE$2:$AG$10000,MATCH(Z3536,'CAMD Facility Data 2023'!$AE$2:$AE$10000,0),3)&gt;0,INDEX('CAMD Facility Data 2023'!$AE$2:$AG$10000,MATCH(Z3536,'CAMD Facility Data 2023'!$AE$2:$AE$10000,0),3),"")</f>
        <v>Y</v>
      </c>
      <c r="AD3536" s="20">
        <f t="shared" si="166"/>
        <v>8.7192211937023367E-2</v>
      </c>
      <c r="AE3536" s="25">
        <f t="shared" si="167"/>
        <v>1.9342548751861116E-2</v>
      </c>
    </row>
    <row r="3537" spans="1:31" x14ac:dyDescent="0.2">
      <c r="A3537" s="1" t="s">
        <v>370</v>
      </c>
      <c r="B3537" s="1" t="s">
        <v>7840</v>
      </c>
      <c r="C3537" s="1">
        <v>57267</v>
      </c>
      <c r="D3537" s="1">
        <v>4</v>
      </c>
      <c r="F3537" s="1">
        <v>2023</v>
      </c>
      <c r="G3537" s="5">
        <v>523</v>
      </c>
      <c r="H3537" s="5">
        <v>415.06</v>
      </c>
      <c r="I3537" s="5">
        <v>70857.52</v>
      </c>
      <c r="K3537" s="5">
        <v>0.23</v>
      </c>
      <c r="L3537" s="5">
        <v>1E-3</v>
      </c>
      <c r="M3537" s="5">
        <v>45643.13</v>
      </c>
      <c r="N3537" s="6">
        <v>5.8999999999999997E-2</v>
      </c>
      <c r="O3537" s="5">
        <v>2.762</v>
      </c>
      <c r="P3537" s="6">
        <v>1.35E-2</v>
      </c>
      <c r="Q3537" s="5">
        <v>768033.23800000001</v>
      </c>
      <c r="R3537" s="1" t="s">
        <v>44</v>
      </c>
      <c r="T3537" s="1" t="s">
        <v>93</v>
      </c>
      <c r="V3537" s="1" t="s">
        <v>64</v>
      </c>
      <c r="Y3537" s="1" t="s">
        <v>247</v>
      </c>
      <c r="Z3537" s="1" t="str">
        <f t="shared" si="165"/>
        <v>57267 4</v>
      </c>
      <c r="AA3537" s="3">
        <f>IF(INDEX('CAMD Facility Data 2023'!$AA$2:$AE$10000,MATCH(Z3537,'CAMD Facility Data 2023'!$AE$2:$AE$10000,0),1)&gt;0,INDEX('CAMD Facility Data 2023'!$AA$2:$AE$10000,MATCH(Z3537,'CAMD Facility Data 2023'!$AE$2:$AE$10000,0),1),"")</f>
        <v>41331</v>
      </c>
      <c r="AB3537" s="5">
        <f>IF(INDEX('CAMD Facility Data 2023'!$AC$2:$AE$10000,MATCH(Z3537,'CAMD Facility Data 2023'!$AE$2:$AE$10000,0),1)&gt;0,INDEX('CAMD Facility Data 2023'!$AC$2:$AE$10000,MATCH(Z3537,'CAMD Facility Data 2023'!$AE$2:$AE$10000,0),1),"")</f>
        <v>2202</v>
      </c>
      <c r="AC3537" s="1" t="str">
        <f>IF(INDEX('CAMD Facility Data 2023'!$AE$2:$AG$10000,MATCH(Z3537,'CAMD Facility Data 2023'!$AE$2:$AE$10000,0),3)&gt;0,INDEX('CAMD Facility Data 2023'!$AE$2:$AG$10000,MATCH(Z3537,'CAMD Facility Data 2023'!$AE$2:$AE$10000,0),3),"")</f>
        <v>Y</v>
      </c>
      <c r="AD3537" s="20">
        <f t="shared" si="166"/>
        <v>7.7959262474893279E-2</v>
      </c>
      <c r="AE3537" s="25">
        <f t="shared" si="167"/>
        <v>3.9816088632583908E-2</v>
      </c>
    </row>
    <row r="3538" spans="1:31" x14ac:dyDescent="0.2">
      <c r="A3538" s="1" t="s">
        <v>660</v>
      </c>
      <c r="B3538" s="1" t="s">
        <v>7845</v>
      </c>
      <c r="C3538" s="1">
        <v>57349</v>
      </c>
      <c r="D3538" s="1">
        <v>1</v>
      </c>
      <c r="F3538" s="1">
        <v>2023</v>
      </c>
      <c r="G3538" s="5">
        <v>3868</v>
      </c>
      <c r="H3538" s="5">
        <v>3746</v>
      </c>
      <c r="I3538" s="5">
        <v>841063.8</v>
      </c>
      <c r="K3538" s="5">
        <v>1.792</v>
      </c>
      <c r="L3538" s="5">
        <v>1E-3</v>
      </c>
      <c r="M3538" s="5">
        <v>355078.90100000001</v>
      </c>
      <c r="N3538" s="6">
        <v>5.91E-2</v>
      </c>
      <c r="O3538" s="5">
        <v>28.265000000000001</v>
      </c>
      <c r="P3538" s="6">
        <v>1.84E-2</v>
      </c>
      <c r="Q3538" s="5">
        <v>5972400.801</v>
      </c>
      <c r="R3538" s="1" t="s">
        <v>44</v>
      </c>
      <c r="S3538" s="1" t="s">
        <v>94</v>
      </c>
      <c r="T3538" s="1" t="s">
        <v>71</v>
      </c>
      <c r="V3538" s="1" t="s">
        <v>64</v>
      </c>
      <c r="Y3538" s="1" t="s">
        <v>579</v>
      </c>
      <c r="Z3538" s="1" t="str">
        <f t="shared" si="165"/>
        <v>57349 1</v>
      </c>
      <c r="AA3538" s="3">
        <f>IF(INDEX('CAMD Facility Data 2023'!$AA$2:$AE$10000,MATCH(Z3538,'CAMD Facility Data 2023'!$AE$2:$AE$10000,0),1)&gt;0,INDEX('CAMD Facility Data 2023'!$AA$2:$AE$10000,MATCH(Z3538,'CAMD Facility Data 2023'!$AE$2:$AE$10000,0),1),"")</f>
        <v>42124</v>
      </c>
      <c r="AB3538" s="5">
        <f>IF(INDEX('CAMD Facility Data 2023'!$AC$2:$AE$10000,MATCH(Z3538,'CAMD Facility Data 2023'!$AE$2:$AE$10000,0),1)&gt;0,INDEX('CAMD Facility Data 2023'!$AC$2:$AE$10000,MATCH(Z3538,'CAMD Facility Data 2023'!$AE$2:$AE$10000,0),1),"")</f>
        <v>2272</v>
      </c>
      <c r="AC3538" s="1" t="str">
        <f>IF(INDEX('CAMD Facility Data 2023'!$AE$2:$AG$10000,MATCH(Z3538,'CAMD Facility Data 2023'!$AE$2:$AE$10000,0),3)&gt;0,INDEX('CAMD Facility Data 2023'!$AE$2:$AG$10000,MATCH(Z3538,'CAMD Facility Data 2023'!$AE$2:$AE$10000,0),3),"")</f>
        <v>Y</v>
      </c>
      <c r="AD3538" s="20">
        <f t="shared" si="166"/>
        <v>6.7212499218251925E-2</v>
      </c>
      <c r="AE3538" s="25">
        <f t="shared" si="167"/>
        <v>0.30007962735746674</v>
      </c>
    </row>
    <row r="3539" spans="1:31" x14ac:dyDescent="0.2">
      <c r="A3539" s="1" t="s">
        <v>370</v>
      </c>
      <c r="B3539" s="1" t="s">
        <v>7848</v>
      </c>
      <c r="C3539" s="1">
        <v>57482</v>
      </c>
      <c r="D3539" s="1">
        <v>1</v>
      </c>
      <c r="F3539" s="1">
        <v>2023</v>
      </c>
      <c r="G3539" s="5">
        <v>1159</v>
      </c>
      <c r="H3539" s="5">
        <v>931.38</v>
      </c>
      <c r="I3539" s="5">
        <v>74247.73</v>
      </c>
      <c r="K3539" s="5">
        <v>0.20699999999999999</v>
      </c>
      <c r="L3539" s="5">
        <v>1E-3</v>
      </c>
      <c r="M3539" s="5">
        <v>41007.824000000001</v>
      </c>
      <c r="N3539" s="6">
        <v>5.91E-2</v>
      </c>
      <c r="O3539" s="5">
        <v>4.07</v>
      </c>
      <c r="P3539" s="6">
        <v>1.77E-2</v>
      </c>
      <c r="Q3539" s="5">
        <v>690019.51500000001</v>
      </c>
      <c r="R3539" s="1" t="s">
        <v>44</v>
      </c>
      <c r="T3539" s="1" t="s">
        <v>93</v>
      </c>
      <c r="V3539" s="1" t="s">
        <v>176</v>
      </c>
      <c r="Y3539" s="1" t="s">
        <v>247</v>
      </c>
      <c r="Z3539" s="1" t="str">
        <f t="shared" si="165"/>
        <v>57482 1</v>
      </c>
      <c r="AA3539" s="3">
        <f>IF(INDEX('CAMD Facility Data 2023'!$AA$2:$AE$10000,MATCH(Z3539,'CAMD Facility Data 2023'!$AE$2:$AE$10000,0),1)&gt;0,INDEX('CAMD Facility Data 2023'!$AA$2:$AE$10000,MATCH(Z3539,'CAMD Facility Data 2023'!$AE$2:$AE$10000,0),1),"")</f>
        <v>41283</v>
      </c>
      <c r="AB3539" s="5">
        <f>IF(INDEX('CAMD Facility Data 2023'!$AC$2:$AE$10000,MATCH(Z3539,'CAMD Facility Data 2023'!$AE$2:$AE$10000,0),1)&gt;0,INDEX('CAMD Facility Data 2023'!$AC$2:$AE$10000,MATCH(Z3539,'CAMD Facility Data 2023'!$AE$2:$AE$10000,0),1),"")</f>
        <v>961.4</v>
      </c>
      <c r="AC3539" s="1" t="str">
        <f>IF(INDEX('CAMD Facility Data 2023'!$AE$2:$AG$10000,MATCH(Z3539,'CAMD Facility Data 2023'!$AE$2:$AE$10000,0),3)&gt;0,INDEX('CAMD Facility Data 2023'!$AE$2:$AG$10000,MATCH(Z3539,'CAMD Facility Data 2023'!$AE$2:$AE$10000,0),3),"")</f>
        <v>Y</v>
      </c>
      <c r="AD3539" s="20">
        <f t="shared" si="166"/>
        <v>0.10963298137195576</v>
      </c>
      <c r="AE3539" s="25">
        <f t="shared" si="167"/>
        <v>8.1931923265443379E-2</v>
      </c>
    </row>
    <row r="3540" spans="1:31" x14ac:dyDescent="0.2">
      <c r="A3540" s="1" t="s">
        <v>370</v>
      </c>
      <c r="B3540" s="1" t="s">
        <v>7848</v>
      </c>
      <c r="C3540" s="1">
        <v>57482</v>
      </c>
      <c r="D3540" s="1">
        <v>2</v>
      </c>
      <c r="F3540" s="1">
        <v>2023</v>
      </c>
      <c r="G3540" s="5">
        <v>1178</v>
      </c>
      <c r="H3540" s="5">
        <v>956.11</v>
      </c>
      <c r="I3540" s="5">
        <v>76187.929999999993</v>
      </c>
      <c r="K3540" s="5">
        <v>0.21099999999999999</v>
      </c>
      <c r="L3540" s="5">
        <v>1E-3</v>
      </c>
      <c r="M3540" s="5">
        <v>41776.031000000003</v>
      </c>
      <c r="N3540" s="6">
        <v>5.8999999999999997E-2</v>
      </c>
      <c r="O3540" s="5">
        <v>4.202</v>
      </c>
      <c r="P3540" s="6">
        <v>1.8100000000000002E-2</v>
      </c>
      <c r="Q3540" s="5">
        <v>702971.81</v>
      </c>
      <c r="R3540" s="1" t="s">
        <v>44</v>
      </c>
      <c r="T3540" s="1" t="s">
        <v>93</v>
      </c>
      <c r="V3540" s="1" t="s">
        <v>176</v>
      </c>
      <c r="Y3540" s="1" t="s">
        <v>247</v>
      </c>
      <c r="Z3540" s="1" t="str">
        <f t="shared" si="165"/>
        <v>57482 2</v>
      </c>
      <c r="AA3540" s="3">
        <f>IF(INDEX('CAMD Facility Data 2023'!$AA$2:$AE$10000,MATCH(Z3540,'CAMD Facility Data 2023'!$AE$2:$AE$10000,0),1)&gt;0,INDEX('CAMD Facility Data 2023'!$AA$2:$AE$10000,MATCH(Z3540,'CAMD Facility Data 2023'!$AE$2:$AE$10000,0),1),"")</f>
        <v>41285</v>
      </c>
      <c r="AB3540" s="5">
        <f>IF(INDEX('CAMD Facility Data 2023'!$AC$2:$AE$10000,MATCH(Z3540,'CAMD Facility Data 2023'!$AE$2:$AE$10000,0),1)&gt;0,INDEX('CAMD Facility Data 2023'!$AC$2:$AE$10000,MATCH(Z3540,'CAMD Facility Data 2023'!$AE$2:$AE$10000,0),1),"")</f>
        <v>929.7</v>
      </c>
      <c r="AC3540" s="1" t="str">
        <f>IF(INDEX('CAMD Facility Data 2023'!$AE$2:$AG$10000,MATCH(Z3540,'CAMD Facility Data 2023'!$AE$2:$AE$10000,0),3)&gt;0,INDEX('CAMD Facility Data 2023'!$AE$2:$AG$10000,MATCH(Z3540,'CAMD Facility Data 2023'!$AE$2:$AE$10000,0),3),"")</f>
        <v>Y</v>
      </c>
      <c r="AD3540" s="20">
        <f t="shared" si="166"/>
        <v>0.11030618629486325</v>
      </c>
      <c r="AE3540" s="25">
        <f t="shared" si="167"/>
        <v>8.6315933651695972E-2</v>
      </c>
    </row>
    <row r="3541" spans="1:31" x14ac:dyDescent="0.2">
      <c r="A3541" s="1" t="s">
        <v>370</v>
      </c>
      <c r="B3541" s="1" t="s">
        <v>7848</v>
      </c>
      <c r="C3541" s="1">
        <v>57482</v>
      </c>
      <c r="D3541" s="1">
        <v>3</v>
      </c>
      <c r="F3541" s="1">
        <v>2023</v>
      </c>
      <c r="G3541" s="5">
        <v>1107</v>
      </c>
      <c r="H3541" s="5">
        <v>902.85</v>
      </c>
      <c r="I3541" s="5">
        <v>72485.86</v>
      </c>
      <c r="K3541" s="5">
        <v>0.20399999999999999</v>
      </c>
      <c r="L3541" s="5">
        <v>1E-3</v>
      </c>
      <c r="M3541" s="5">
        <v>40384.93</v>
      </c>
      <c r="N3541" s="6">
        <v>5.91E-2</v>
      </c>
      <c r="O3541" s="5">
        <v>4.2030000000000003</v>
      </c>
      <c r="P3541" s="6">
        <v>1.8599999999999998E-2</v>
      </c>
      <c r="Q3541" s="5">
        <v>679548.88899999997</v>
      </c>
      <c r="R3541" s="1" t="s">
        <v>44</v>
      </c>
      <c r="T3541" s="1" t="s">
        <v>93</v>
      </c>
      <c r="V3541" s="1" t="s">
        <v>176</v>
      </c>
      <c r="Y3541" s="1" t="s">
        <v>247</v>
      </c>
      <c r="Z3541" s="1" t="str">
        <f t="shared" si="165"/>
        <v>57482 3</v>
      </c>
      <c r="AA3541" s="3">
        <f>IF(INDEX('CAMD Facility Data 2023'!$AA$2:$AE$10000,MATCH(Z3541,'CAMD Facility Data 2023'!$AE$2:$AE$10000,0),1)&gt;0,INDEX('CAMD Facility Data 2023'!$AA$2:$AE$10000,MATCH(Z3541,'CAMD Facility Data 2023'!$AE$2:$AE$10000,0),1),"")</f>
        <v>41295</v>
      </c>
      <c r="AB3541" s="5">
        <f>IF(INDEX('CAMD Facility Data 2023'!$AC$2:$AE$10000,MATCH(Z3541,'CAMD Facility Data 2023'!$AE$2:$AE$10000,0),1)&gt;0,INDEX('CAMD Facility Data 2023'!$AC$2:$AE$10000,MATCH(Z3541,'CAMD Facility Data 2023'!$AE$2:$AE$10000,0),1),"")</f>
        <v>944.1</v>
      </c>
      <c r="AC3541" s="1" t="str">
        <f>IF(INDEX('CAMD Facility Data 2023'!$AE$2:$AG$10000,MATCH(Z3541,'CAMD Facility Data 2023'!$AE$2:$AE$10000,0),3)&gt;0,INDEX('CAMD Facility Data 2023'!$AE$2:$AG$10000,MATCH(Z3541,'CAMD Facility Data 2023'!$AE$2:$AE$10000,0),3),"")</f>
        <v>Y</v>
      </c>
      <c r="AD3541" s="20">
        <f t="shared" si="166"/>
        <v>0.11596744523690551</v>
      </c>
      <c r="AE3541" s="25">
        <f t="shared" si="167"/>
        <v>8.2167221784512218E-2</v>
      </c>
    </row>
    <row r="3542" spans="1:31" x14ac:dyDescent="0.2">
      <c r="A3542" s="1" t="s">
        <v>370</v>
      </c>
      <c r="B3542" s="1" t="s">
        <v>7848</v>
      </c>
      <c r="C3542" s="1">
        <v>57482</v>
      </c>
      <c r="D3542" s="1">
        <v>4</v>
      </c>
      <c r="F3542" s="1">
        <v>2023</v>
      </c>
      <c r="G3542" s="5">
        <v>1138</v>
      </c>
      <c r="H3542" s="5">
        <v>910.26</v>
      </c>
      <c r="I3542" s="5">
        <v>74290.38</v>
      </c>
      <c r="K3542" s="5">
        <v>0.20399999999999999</v>
      </c>
      <c r="L3542" s="5">
        <v>1E-3</v>
      </c>
      <c r="M3542" s="5">
        <v>40427.686000000002</v>
      </c>
      <c r="N3542" s="6">
        <v>5.8999999999999997E-2</v>
      </c>
      <c r="O3542" s="5">
        <v>3.98</v>
      </c>
      <c r="P3542" s="6">
        <v>1.8100000000000002E-2</v>
      </c>
      <c r="Q3542" s="5">
        <v>680282.81499999994</v>
      </c>
      <c r="R3542" s="1" t="s">
        <v>44</v>
      </c>
      <c r="T3542" s="1" t="s">
        <v>93</v>
      </c>
      <c r="V3542" s="1" t="s">
        <v>176</v>
      </c>
      <c r="Y3542" s="1" t="s">
        <v>247</v>
      </c>
      <c r="Z3542" s="1" t="str">
        <f t="shared" si="165"/>
        <v>57482 4</v>
      </c>
      <c r="AA3542" s="3">
        <f>IF(INDEX('CAMD Facility Data 2023'!$AA$2:$AE$10000,MATCH(Z3542,'CAMD Facility Data 2023'!$AE$2:$AE$10000,0),1)&gt;0,INDEX('CAMD Facility Data 2023'!$AA$2:$AE$10000,MATCH(Z3542,'CAMD Facility Data 2023'!$AE$2:$AE$10000,0),1),"")</f>
        <v>41307</v>
      </c>
      <c r="AB3542" s="5">
        <f>IF(INDEX('CAMD Facility Data 2023'!$AC$2:$AE$10000,MATCH(Z3542,'CAMD Facility Data 2023'!$AE$2:$AE$10000,0),1)&gt;0,INDEX('CAMD Facility Data 2023'!$AC$2:$AE$10000,MATCH(Z3542,'CAMD Facility Data 2023'!$AE$2:$AE$10000,0),1),"")</f>
        <v>891.7</v>
      </c>
      <c r="AC3542" s="1" t="str">
        <f>IF(INDEX('CAMD Facility Data 2023'!$AE$2:$AG$10000,MATCH(Z3542,'CAMD Facility Data 2023'!$AE$2:$AE$10000,0),3)&gt;0,INDEX('CAMD Facility Data 2023'!$AE$2:$AG$10000,MATCH(Z3542,'CAMD Facility Data 2023'!$AE$2:$AE$10000,0),3),"")</f>
        <v>Y</v>
      </c>
      <c r="AD3542" s="20">
        <f t="shared" si="166"/>
        <v>0.10714711649072194</v>
      </c>
      <c r="AE3542" s="25">
        <f t="shared" si="167"/>
        <v>8.7089666472588645E-2</v>
      </c>
    </row>
    <row r="3543" spans="1:31" x14ac:dyDescent="0.2">
      <c r="A3543" s="1" t="s">
        <v>370</v>
      </c>
      <c r="B3543" s="1" t="s">
        <v>7848</v>
      </c>
      <c r="C3543" s="1">
        <v>57482</v>
      </c>
      <c r="D3543" s="1">
        <v>5</v>
      </c>
      <c r="F3543" s="1">
        <v>2023</v>
      </c>
      <c r="G3543" s="5">
        <v>994</v>
      </c>
      <c r="H3543" s="5">
        <v>805.48</v>
      </c>
      <c r="I3543" s="5">
        <v>65416.83</v>
      </c>
      <c r="K3543" s="5">
        <v>0.18099999999999999</v>
      </c>
      <c r="L3543" s="5">
        <v>1E-3</v>
      </c>
      <c r="M3543" s="5">
        <v>35787.074999999997</v>
      </c>
      <c r="N3543" s="6">
        <v>5.91E-2</v>
      </c>
      <c r="O3543" s="5">
        <v>3.419</v>
      </c>
      <c r="P3543" s="6">
        <v>1.6899999999999998E-2</v>
      </c>
      <c r="Q3543" s="5">
        <v>602175.51</v>
      </c>
      <c r="R3543" s="1" t="s">
        <v>44</v>
      </c>
      <c r="T3543" s="1" t="s">
        <v>93</v>
      </c>
      <c r="V3543" s="1" t="s">
        <v>176</v>
      </c>
      <c r="Y3543" s="1" t="s">
        <v>247</v>
      </c>
      <c r="Z3543" s="1" t="str">
        <f t="shared" si="165"/>
        <v>57482 5</v>
      </c>
      <c r="AA3543" s="3">
        <f>IF(INDEX('CAMD Facility Data 2023'!$AA$2:$AE$10000,MATCH(Z3543,'CAMD Facility Data 2023'!$AE$2:$AE$10000,0),1)&gt;0,INDEX('CAMD Facility Data 2023'!$AA$2:$AE$10000,MATCH(Z3543,'CAMD Facility Data 2023'!$AE$2:$AE$10000,0),1),"")</f>
        <v>41310</v>
      </c>
      <c r="AB3543" s="5">
        <f>IF(INDEX('CAMD Facility Data 2023'!$AC$2:$AE$10000,MATCH(Z3543,'CAMD Facility Data 2023'!$AE$2:$AE$10000,0),1)&gt;0,INDEX('CAMD Facility Data 2023'!$AC$2:$AE$10000,MATCH(Z3543,'CAMD Facility Data 2023'!$AE$2:$AE$10000,0),1),"")</f>
        <v>891.7</v>
      </c>
      <c r="AC3543" s="1" t="str">
        <f>IF(INDEX('CAMD Facility Data 2023'!$AE$2:$AG$10000,MATCH(Z3543,'CAMD Facility Data 2023'!$AE$2:$AE$10000,0),3)&gt;0,INDEX('CAMD Facility Data 2023'!$AE$2:$AG$10000,MATCH(Z3543,'CAMD Facility Data 2023'!$AE$2:$AE$10000,0),3),"")</f>
        <v>Y</v>
      </c>
      <c r="AD3543" s="20">
        <f t="shared" si="166"/>
        <v>0.10452967531444125</v>
      </c>
      <c r="AE3543" s="25">
        <f t="shared" si="167"/>
        <v>7.7090385303737199E-2</v>
      </c>
    </row>
    <row r="3544" spans="1:31" x14ac:dyDescent="0.2">
      <c r="A3544" s="1" t="s">
        <v>370</v>
      </c>
      <c r="B3544" s="1" t="s">
        <v>7848</v>
      </c>
      <c r="C3544" s="1">
        <v>57482</v>
      </c>
      <c r="D3544" s="1">
        <v>6</v>
      </c>
      <c r="F3544" s="1">
        <v>2023</v>
      </c>
      <c r="G3544" s="5">
        <v>1126</v>
      </c>
      <c r="H3544" s="5">
        <v>902.21</v>
      </c>
      <c r="I3544" s="5">
        <v>74030.039999999994</v>
      </c>
      <c r="K3544" s="5">
        <v>0.20499999999999999</v>
      </c>
      <c r="L3544" s="5">
        <v>1E-3</v>
      </c>
      <c r="M3544" s="5">
        <v>40593.103000000003</v>
      </c>
      <c r="N3544" s="6">
        <v>5.91E-2</v>
      </c>
      <c r="O3544" s="5">
        <v>3.7719999999999998</v>
      </c>
      <c r="P3544" s="6">
        <v>1.66E-2</v>
      </c>
      <c r="Q3544" s="5">
        <v>683031.58700000006</v>
      </c>
      <c r="R3544" s="1" t="s">
        <v>44</v>
      </c>
      <c r="T3544" s="1" t="s">
        <v>93</v>
      </c>
      <c r="V3544" s="1" t="s">
        <v>176</v>
      </c>
      <c r="Y3544" s="1" t="s">
        <v>247</v>
      </c>
      <c r="Z3544" s="1" t="str">
        <f t="shared" si="165"/>
        <v>57482 6</v>
      </c>
      <c r="AA3544" s="3">
        <f>IF(INDEX('CAMD Facility Data 2023'!$AA$2:$AE$10000,MATCH(Z3544,'CAMD Facility Data 2023'!$AE$2:$AE$10000,0),1)&gt;0,INDEX('CAMD Facility Data 2023'!$AA$2:$AE$10000,MATCH(Z3544,'CAMD Facility Data 2023'!$AE$2:$AE$10000,0),1),"")</f>
        <v>41322</v>
      </c>
      <c r="AB3544" s="5">
        <f>IF(INDEX('CAMD Facility Data 2023'!$AC$2:$AE$10000,MATCH(Z3544,'CAMD Facility Data 2023'!$AE$2:$AE$10000,0),1)&gt;0,INDEX('CAMD Facility Data 2023'!$AC$2:$AE$10000,MATCH(Z3544,'CAMD Facility Data 2023'!$AE$2:$AE$10000,0),1),"")</f>
        <v>891.7</v>
      </c>
      <c r="AC3544" s="1" t="str">
        <f>IF(INDEX('CAMD Facility Data 2023'!$AE$2:$AG$10000,MATCH(Z3544,'CAMD Facility Data 2023'!$AE$2:$AE$10000,0),3)&gt;0,INDEX('CAMD Facility Data 2023'!$AE$2:$AG$10000,MATCH(Z3544,'CAMD Facility Data 2023'!$AE$2:$AE$10000,0),3),"")</f>
        <v>Y</v>
      </c>
      <c r="AD3544" s="20">
        <f t="shared" si="166"/>
        <v>0.10190457819555414</v>
      </c>
      <c r="AE3544" s="25">
        <f t="shared" si="167"/>
        <v>8.7441563700345615E-2</v>
      </c>
    </row>
    <row r="3545" spans="1:31" x14ac:dyDescent="0.2">
      <c r="A3545" s="1" t="s">
        <v>370</v>
      </c>
      <c r="B3545" s="1" t="s">
        <v>7848</v>
      </c>
      <c r="C3545" s="1">
        <v>57482</v>
      </c>
      <c r="D3545" s="1">
        <v>7</v>
      </c>
      <c r="F3545" s="1">
        <v>2023</v>
      </c>
      <c r="G3545" s="5">
        <v>1026</v>
      </c>
      <c r="H3545" s="5">
        <v>821.46</v>
      </c>
      <c r="I3545" s="5">
        <v>64575.86</v>
      </c>
      <c r="K3545" s="5">
        <v>0.17799999999999999</v>
      </c>
      <c r="L3545" s="5">
        <v>1E-3</v>
      </c>
      <c r="M3545" s="5">
        <v>35334.724000000002</v>
      </c>
      <c r="N3545" s="6">
        <v>5.91E-2</v>
      </c>
      <c r="O3545" s="5">
        <v>3.5249999999999999</v>
      </c>
      <c r="P3545" s="6">
        <v>1.7299999999999999E-2</v>
      </c>
      <c r="Q3545" s="5">
        <v>594570.81299999997</v>
      </c>
      <c r="R3545" s="1" t="s">
        <v>44</v>
      </c>
      <c r="T3545" s="1" t="s">
        <v>93</v>
      </c>
      <c r="V3545" s="1" t="s">
        <v>176</v>
      </c>
      <c r="Y3545" s="1" t="s">
        <v>247</v>
      </c>
      <c r="Z3545" s="1" t="str">
        <f t="shared" si="165"/>
        <v>57482 7</v>
      </c>
      <c r="AA3545" s="3">
        <f>IF(INDEX('CAMD Facility Data 2023'!$AA$2:$AE$10000,MATCH(Z3545,'CAMD Facility Data 2023'!$AE$2:$AE$10000,0),1)&gt;0,INDEX('CAMD Facility Data 2023'!$AA$2:$AE$10000,MATCH(Z3545,'CAMD Facility Data 2023'!$AE$2:$AE$10000,0),1),"")</f>
        <v>41342</v>
      </c>
      <c r="AB3545" s="5">
        <f>IF(INDEX('CAMD Facility Data 2023'!$AC$2:$AE$10000,MATCH(Z3545,'CAMD Facility Data 2023'!$AE$2:$AE$10000,0),1)&gt;0,INDEX('CAMD Facility Data 2023'!$AC$2:$AE$10000,MATCH(Z3545,'CAMD Facility Data 2023'!$AE$2:$AE$10000,0),1),"")</f>
        <v>891.7</v>
      </c>
      <c r="AC3545" s="1" t="str">
        <f>IF(INDEX('CAMD Facility Data 2023'!$AE$2:$AG$10000,MATCH(Z3545,'CAMD Facility Data 2023'!$AE$2:$AE$10000,0),3)&gt;0,INDEX('CAMD Facility Data 2023'!$AE$2:$AG$10000,MATCH(Z3545,'CAMD Facility Data 2023'!$AE$2:$AE$10000,0),3),"")</f>
        <v>Y</v>
      </c>
      <c r="AD3545" s="20">
        <f t="shared" si="166"/>
        <v>0.10917392350640007</v>
      </c>
      <c r="AE3545" s="25">
        <f t="shared" si="167"/>
        <v>7.611683355327134E-2</v>
      </c>
    </row>
    <row r="3546" spans="1:31" x14ac:dyDescent="0.2">
      <c r="A3546" s="1" t="s">
        <v>370</v>
      </c>
      <c r="B3546" s="1" t="s">
        <v>7848</v>
      </c>
      <c r="C3546" s="1">
        <v>57482</v>
      </c>
      <c r="D3546" s="1">
        <v>8</v>
      </c>
      <c r="F3546" s="1">
        <v>2023</v>
      </c>
      <c r="G3546" s="5">
        <v>1101</v>
      </c>
      <c r="H3546" s="5">
        <v>895.41</v>
      </c>
      <c r="I3546" s="5">
        <v>73304.509999999995</v>
      </c>
      <c r="K3546" s="5">
        <v>0.20100000000000001</v>
      </c>
      <c r="L3546" s="5">
        <v>1E-3</v>
      </c>
      <c r="M3546" s="5">
        <v>39804.711000000003</v>
      </c>
      <c r="N3546" s="6">
        <v>5.91E-2</v>
      </c>
      <c r="O3546" s="5">
        <v>3.9820000000000002</v>
      </c>
      <c r="P3546" s="6">
        <v>1.7399999999999999E-2</v>
      </c>
      <c r="Q3546" s="5">
        <v>669793.28000000003</v>
      </c>
      <c r="R3546" s="1" t="s">
        <v>44</v>
      </c>
      <c r="T3546" s="1" t="s">
        <v>93</v>
      </c>
      <c r="V3546" s="1" t="s">
        <v>176</v>
      </c>
      <c r="Y3546" s="1" t="s">
        <v>247</v>
      </c>
      <c r="Z3546" s="1" t="str">
        <f t="shared" si="165"/>
        <v>57482 8</v>
      </c>
      <c r="AA3546" s="3">
        <f>IF(INDEX('CAMD Facility Data 2023'!$AA$2:$AE$10000,MATCH(Z3546,'CAMD Facility Data 2023'!$AE$2:$AE$10000,0),1)&gt;0,INDEX('CAMD Facility Data 2023'!$AA$2:$AE$10000,MATCH(Z3546,'CAMD Facility Data 2023'!$AE$2:$AE$10000,0),1),"")</f>
        <v>41356</v>
      </c>
      <c r="AB3546" s="5">
        <f>IF(INDEX('CAMD Facility Data 2023'!$AC$2:$AE$10000,MATCH(Z3546,'CAMD Facility Data 2023'!$AE$2:$AE$10000,0),1)&gt;0,INDEX('CAMD Facility Data 2023'!$AC$2:$AE$10000,MATCH(Z3546,'CAMD Facility Data 2023'!$AE$2:$AE$10000,0),1),"")</f>
        <v>891.7</v>
      </c>
      <c r="AC3546" s="1" t="str">
        <f>IF(INDEX('CAMD Facility Data 2023'!$AE$2:$AG$10000,MATCH(Z3546,'CAMD Facility Data 2023'!$AE$2:$AE$10000,0),3)&gt;0,INDEX('CAMD Facility Data 2023'!$AE$2:$AG$10000,MATCH(Z3546,'CAMD Facility Data 2023'!$AE$2:$AE$10000,0),3),"")</f>
        <v>Y</v>
      </c>
      <c r="AD3546" s="20">
        <f t="shared" si="166"/>
        <v>0.10864270152000198</v>
      </c>
      <c r="AE3546" s="25">
        <f t="shared" si="167"/>
        <v>8.5746798352948531E-2</v>
      </c>
    </row>
    <row r="3547" spans="1:31" x14ac:dyDescent="0.2">
      <c r="A3547" s="1" t="s">
        <v>370</v>
      </c>
      <c r="B3547" s="1" t="s">
        <v>7858</v>
      </c>
      <c r="C3547" s="1">
        <v>57483</v>
      </c>
      <c r="D3547" s="1" t="s">
        <v>1155</v>
      </c>
      <c r="F3547" s="1">
        <v>2023</v>
      </c>
      <c r="G3547" s="5">
        <v>773</v>
      </c>
      <c r="H3547" s="5">
        <v>578.71</v>
      </c>
      <c r="I3547" s="5">
        <v>22585.64</v>
      </c>
      <c r="K3547" s="5">
        <v>6.7000000000000004E-2</v>
      </c>
      <c r="L3547" s="5">
        <v>1E-3</v>
      </c>
      <c r="M3547" s="5">
        <v>13178.196</v>
      </c>
      <c r="N3547" s="6">
        <v>5.9299999999999999E-2</v>
      </c>
      <c r="O3547" s="5">
        <v>1.5309999999999999</v>
      </c>
      <c r="P3547" s="6">
        <v>3.3599999999999998E-2</v>
      </c>
      <c r="Q3547" s="5">
        <v>221729.86900000001</v>
      </c>
      <c r="R3547" s="1" t="s">
        <v>44</v>
      </c>
      <c r="T3547" s="1" t="s">
        <v>93</v>
      </c>
      <c r="V3547" s="1" t="s">
        <v>223</v>
      </c>
      <c r="Y3547" s="1" t="s">
        <v>247</v>
      </c>
      <c r="Z3547" s="1" t="str">
        <f t="shared" si="165"/>
        <v>57483 GT-1</v>
      </c>
      <c r="AA3547" s="3">
        <f>IF(INDEX('CAMD Facility Data 2023'!$AA$2:$AE$10000,MATCH(Z3547,'CAMD Facility Data 2023'!$AE$2:$AE$10000,0),1)&gt;0,INDEX('CAMD Facility Data 2023'!$AA$2:$AE$10000,MATCH(Z3547,'CAMD Facility Data 2023'!$AE$2:$AE$10000,0),1),"")</f>
        <v>41073</v>
      </c>
      <c r="AB3547" s="5">
        <f>IF(INDEX('CAMD Facility Data 2023'!$AC$2:$AE$10000,MATCH(Z3547,'CAMD Facility Data 2023'!$AE$2:$AE$10000,0),1)&gt;0,INDEX('CAMD Facility Data 2023'!$AC$2:$AE$10000,MATCH(Z3547,'CAMD Facility Data 2023'!$AE$2:$AE$10000,0),1),"")</f>
        <v>481</v>
      </c>
      <c r="AC3547" s="1" t="str">
        <f>IF(INDEX('CAMD Facility Data 2023'!$AE$2:$AG$10000,MATCH(Z3547,'CAMD Facility Data 2023'!$AE$2:$AE$10000,0),3)&gt;0,INDEX('CAMD Facility Data 2023'!$AE$2:$AG$10000,MATCH(Z3547,'CAMD Facility Data 2023'!$AE$2:$AE$10000,0),3),"")</f>
        <v>Y</v>
      </c>
      <c r="AD3547" s="20">
        <f t="shared" si="166"/>
        <v>0.13557286842436167</v>
      </c>
      <c r="AE3547" s="25">
        <f t="shared" si="167"/>
        <v>5.2622929067107152E-2</v>
      </c>
    </row>
    <row r="3548" spans="1:31" x14ac:dyDescent="0.2">
      <c r="A3548" s="1" t="s">
        <v>370</v>
      </c>
      <c r="B3548" s="1" t="s">
        <v>7858</v>
      </c>
      <c r="C3548" s="1">
        <v>57483</v>
      </c>
      <c r="D3548" s="1" t="s">
        <v>1162</v>
      </c>
      <c r="F3548" s="1">
        <v>2023</v>
      </c>
      <c r="G3548" s="5">
        <v>801</v>
      </c>
      <c r="H3548" s="5">
        <v>594.41</v>
      </c>
      <c r="I3548" s="5">
        <v>23305.18</v>
      </c>
      <c r="K3548" s="5">
        <v>6.7000000000000004E-2</v>
      </c>
      <c r="L3548" s="5">
        <v>1E-3</v>
      </c>
      <c r="M3548" s="5">
        <v>13312.334999999999</v>
      </c>
      <c r="N3548" s="6">
        <v>5.9299999999999999E-2</v>
      </c>
      <c r="O3548" s="5">
        <v>1.528</v>
      </c>
      <c r="P3548" s="6">
        <v>3.1899999999999998E-2</v>
      </c>
      <c r="Q3548" s="5">
        <v>224011.253</v>
      </c>
      <c r="R3548" s="1" t="s">
        <v>44</v>
      </c>
      <c r="T3548" s="1" t="s">
        <v>93</v>
      </c>
      <c r="V3548" s="1" t="s">
        <v>223</v>
      </c>
      <c r="Y3548" s="1" t="s">
        <v>247</v>
      </c>
      <c r="Z3548" s="1" t="str">
        <f t="shared" si="165"/>
        <v>57483 GT-2</v>
      </c>
      <c r="AA3548" s="3">
        <f>IF(INDEX('CAMD Facility Data 2023'!$AA$2:$AE$10000,MATCH(Z3548,'CAMD Facility Data 2023'!$AE$2:$AE$10000,0),1)&gt;0,INDEX('CAMD Facility Data 2023'!$AA$2:$AE$10000,MATCH(Z3548,'CAMD Facility Data 2023'!$AE$2:$AE$10000,0),1),"")</f>
        <v>41072</v>
      </c>
      <c r="AB3548" s="5">
        <f>IF(INDEX('CAMD Facility Data 2023'!$AC$2:$AE$10000,MATCH(Z3548,'CAMD Facility Data 2023'!$AE$2:$AE$10000,0),1)&gt;0,INDEX('CAMD Facility Data 2023'!$AC$2:$AE$10000,MATCH(Z3548,'CAMD Facility Data 2023'!$AE$2:$AE$10000,0),1),"")</f>
        <v>481</v>
      </c>
      <c r="AC3548" s="1" t="str">
        <f>IF(INDEX('CAMD Facility Data 2023'!$AE$2:$AG$10000,MATCH(Z3548,'CAMD Facility Data 2023'!$AE$2:$AE$10000,0),3)&gt;0,INDEX('CAMD Facility Data 2023'!$AE$2:$AG$10000,MATCH(Z3548,'CAMD Facility Data 2023'!$AE$2:$AE$10000,0),3),"")</f>
        <v>Y</v>
      </c>
      <c r="AD3548" s="20">
        <f t="shared" si="166"/>
        <v>0.13112964585555659</v>
      </c>
      <c r="AE3548" s="25">
        <f t="shared" si="167"/>
        <v>5.3164367660600537E-2</v>
      </c>
    </row>
    <row r="3549" spans="1:31" x14ac:dyDescent="0.2">
      <c r="A3549" s="1" t="s">
        <v>370</v>
      </c>
      <c r="B3549" s="1" t="s">
        <v>7858</v>
      </c>
      <c r="C3549" s="1">
        <v>57483</v>
      </c>
      <c r="D3549" s="1" t="s">
        <v>1164</v>
      </c>
      <c r="F3549" s="1">
        <v>2023</v>
      </c>
      <c r="G3549" s="5">
        <v>815</v>
      </c>
      <c r="H3549" s="5">
        <v>609.89</v>
      </c>
      <c r="I3549" s="5">
        <v>24546.79</v>
      </c>
      <c r="K3549" s="5">
        <v>7.0999999999999994E-2</v>
      </c>
      <c r="L3549" s="5">
        <v>1E-3</v>
      </c>
      <c r="M3549" s="5">
        <v>14018.574000000001</v>
      </c>
      <c r="N3549" s="6">
        <v>5.9200000000000003E-2</v>
      </c>
      <c r="O3549" s="5">
        <v>1.6639999999999999</v>
      </c>
      <c r="P3549" s="6">
        <v>3.3000000000000002E-2</v>
      </c>
      <c r="Q3549" s="5">
        <v>235887.217</v>
      </c>
      <c r="R3549" s="1" t="s">
        <v>44</v>
      </c>
      <c r="T3549" s="1" t="s">
        <v>93</v>
      </c>
      <c r="V3549" s="1" t="s">
        <v>223</v>
      </c>
      <c r="Y3549" s="1" t="s">
        <v>247</v>
      </c>
      <c r="Z3549" s="1" t="str">
        <f t="shared" si="165"/>
        <v>57483 GT-3</v>
      </c>
      <c r="AA3549" s="3">
        <f>IF(INDEX('CAMD Facility Data 2023'!$AA$2:$AE$10000,MATCH(Z3549,'CAMD Facility Data 2023'!$AE$2:$AE$10000,0),1)&gt;0,INDEX('CAMD Facility Data 2023'!$AA$2:$AE$10000,MATCH(Z3549,'CAMD Facility Data 2023'!$AE$2:$AE$10000,0),1),"")</f>
        <v>41068</v>
      </c>
      <c r="AB3549" s="5">
        <f>IF(INDEX('CAMD Facility Data 2023'!$AC$2:$AE$10000,MATCH(Z3549,'CAMD Facility Data 2023'!$AE$2:$AE$10000,0),1)&gt;0,INDEX('CAMD Facility Data 2023'!$AC$2:$AE$10000,MATCH(Z3549,'CAMD Facility Data 2023'!$AE$2:$AE$10000,0),1),"")</f>
        <v>481</v>
      </c>
      <c r="AC3549" s="1" t="str">
        <f>IF(INDEX('CAMD Facility Data 2023'!$AE$2:$AG$10000,MATCH(Z3549,'CAMD Facility Data 2023'!$AE$2:$AE$10000,0),3)&gt;0,INDEX('CAMD Facility Data 2023'!$AE$2:$AG$10000,MATCH(Z3549,'CAMD Facility Data 2023'!$AE$2:$AE$10000,0),3),"")</f>
        <v>Y</v>
      </c>
      <c r="AD3549" s="20">
        <f t="shared" si="166"/>
        <v>0.13557780874810921</v>
      </c>
      <c r="AE3549" s="25">
        <f t="shared" si="167"/>
        <v>5.5982878373631799E-2</v>
      </c>
    </row>
    <row r="3550" spans="1:31" x14ac:dyDescent="0.2">
      <c r="A3550" s="1" t="s">
        <v>370</v>
      </c>
      <c r="B3550" s="1" t="s">
        <v>7858</v>
      </c>
      <c r="C3550" s="1">
        <v>57483</v>
      </c>
      <c r="D3550" s="1" t="s">
        <v>1166</v>
      </c>
      <c r="F3550" s="1">
        <v>2023</v>
      </c>
      <c r="G3550" s="5">
        <v>736</v>
      </c>
      <c r="H3550" s="5">
        <v>550.91</v>
      </c>
      <c r="I3550" s="5">
        <v>20757.41</v>
      </c>
      <c r="K3550" s="5">
        <v>6.0999999999999999E-2</v>
      </c>
      <c r="L3550" s="5">
        <v>1E-3</v>
      </c>
      <c r="M3550" s="5">
        <v>11994.343000000001</v>
      </c>
      <c r="N3550" s="6">
        <v>5.9299999999999999E-2</v>
      </c>
      <c r="O3550" s="5">
        <v>1.444</v>
      </c>
      <c r="P3550" s="6">
        <v>3.2500000000000001E-2</v>
      </c>
      <c r="Q3550" s="5">
        <v>201828.59400000001</v>
      </c>
      <c r="R3550" s="1" t="s">
        <v>44</v>
      </c>
      <c r="T3550" s="1" t="s">
        <v>93</v>
      </c>
      <c r="V3550" s="1" t="s">
        <v>223</v>
      </c>
      <c r="Y3550" s="1" t="s">
        <v>247</v>
      </c>
      <c r="Z3550" s="1" t="str">
        <f t="shared" si="165"/>
        <v>57483 GT-4</v>
      </c>
      <c r="AA3550" s="3">
        <f>IF(INDEX('CAMD Facility Data 2023'!$AA$2:$AE$10000,MATCH(Z3550,'CAMD Facility Data 2023'!$AE$2:$AE$10000,0),1)&gt;0,INDEX('CAMD Facility Data 2023'!$AA$2:$AE$10000,MATCH(Z3550,'CAMD Facility Data 2023'!$AE$2:$AE$10000,0),1),"")</f>
        <v>41074</v>
      </c>
      <c r="AB3550" s="5">
        <f>IF(INDEX('CAMD Facility Data 2023'!$AC$2:$AE$10000,MATCH(Z3550,'CAMD Facility Data 2023'!$AE$2:$AE$10000,0),1)&gt;0,INDEX('CAMD Facility Data 2023'!$AC$2:$AE$10000,MATCH(Z3550,'CAMD Facility Data 2023'!$AE$2:$AE$10000,0),1),"")</f>
        <v>481</v>
      </c>
      <c r="AC3550" s="1" t="str">
        <f>IF(INDEX('CAMD Facility Data 2023'!$AE$2:$AG$10000,MATCH(Z3550,'CAMD Facility Data 2023'!$AE$2:$AE$10000,0),3)&gt;0,INDEX('CAMD Facility Data 2023'!$AE$2:$AG$10000,MATCH(Z3550,'CAMD Facility Data 2023'!$AE$2:$AE$10000,0),3),"")</f>
        <v>Y</v>
      </c>
      <c r="AD3550" s="20">
        <f t="shared" si="166"/>
        <v>0.13913103802449342</v>
      </c>
      <c r="AE3550" s="25">
        <f t="shared" si="167"/>
        <v>4.7899779284025862E-2</v>
      </c>
    </row>
    <row r="3551" spans="1:31" x14ac:dyDescent="0.2">
      <c r="A3551" s="1" t="s">
        <v>370</v>
      </c>
      <c r="B3551" s="1" t="s">
        <v>7865</v>
      </c>
      <c r="C3551" s="1">
        <v>57515</v>
      </c>
      <c r="D3551" s="1" t="s">
        <v>280</v>
      </c>
      <c r="F3551" s="1">
        <v>2023</v>
      </c>
      <c r="G3551" s="5">
        <v>1415</v>
      </c>
      <c r="H3551" s="5">
        <v>1043</v>
      </c>
      <c r="I3551" s="5">
        <v>90028.19</v>
      </c>
      <c r="K3551" s="5">
        <v>0.23799999999999999</v>
      </c>
      <c r="L3551" s="5">
        <v>1E-3</v>
      </c>
      <c r="M3551" s="5">
        <v>47071.510999999999</v>
      </c>
      <c r="N3551" s="6">
        <v>5.91E-2</v>
      </c>
      <c r="O3551" s="5">
        <v>4.8079999999999998</v>
      </c>
      <c r="P3551" s="6">
        <v>2.5600000000000001E-2</v>
      </c>
      <c r="Q3551" s="5">
        <v>792061.24199999997</v>
      </c>
      <c r="R3551" s="1" t="s">
        <v>44</v>
      </c>
      <c r="T3551" s="1" t="s">
        <v>93</v>
      </c>
      <c r="V3551" s="1" t="s">
        <v>176</v>
      </c>
      <c r="Y3551" s="1" t="s">
        <v>247</v>
      </c>
      <c r="Z3551" s="1" t="str">
        <f t="shared" si="165"/>
        <v>57515 GT1</v>
      </c>
      <c r="AA3551" s="3">
        <f>IF(INDEX('CAMD Facility Data 2023'!$AA$2:$AE$10000,MATCH(Z3551,'CAMD Facility Data 2023'!$AE$2:$AE$10000,0),1)&gt;0,INDEX('CAMD Facility Data 2023'!$AA$2:$AE$10000,MATCH(Z3551,'CAMD Facility Data 2023'!$AE$2:$AE$10000,0),1),"")</f>
        <v>41274</v>
      </c>
      <c r="AB3551" s="5">
        <f>IF(INDEX('CAMD Facility Data 2023'!$AC$2:$AE$10000,MATCH(Z3551,'CAMD Facility Data 2023'!$AE$2:$AE$10000,0),1)&gt;0,INDEX('CAMD Facility Data 2023'!$AC$2:$AE$10000,MATCH(Z3551,'CAMD Facility Data 2023'!$AE$2:$AE$10000,0),1),"")</f>
        <v>891.7</v>
      </c>
      <c r="AC3551" s="1" t="str">
        <f>IF(INDEX('CAMD Facility Data 2023'!$AE$2:$AG$10000,MATCH(Z3551,'CAMD Facility Data 2023'!$AE$2:$AE$10000,0),3)&gt;0,INDEX('CAMD Facility Data 2023'!$AE$2:$AG$10000,MATCH(Z3551,'CAMD Facility Data 2023'!$AE$2:$AE$10000,0),3),"")</f>
        <v>Y</v>
      </c>
      <c r="AD3551" s="20">
        <f t="shared" si="166"/>
        <v>0.10681098886915309</v>
      </c>
      <c r="AE3551" s="25">
        <f t="shared" si="167"/>
        <v>0.10139951777503645</v>
      </c>
    </row>
    <row r="3552" spans="1:31" x14ac:dyDescent="0.2">
      <c r="A3552" s="1" t="s">
        <v>370</v>
      </c>
      <c r="B3552" s="1" t="s">
        <v>7865</v>
      </c>
      <c r="C3552" s="1">
        <v>57515</v>
      </c>
      <c r="D3552" s="1" t="s">
        <v>1102</v>
      </c>
      <c r="F3552" s="1">
        <v>2023</v>
      </c>
      <c r="G3552" s="5">
        <v>1009</v>
      </c>
      <c r="H3552" s="5">
        <v>759.06</v>
      </c>
      <c r="I3552" s="5">
        <v>64816.12</v>
      </c>
      <c r="K3552" s="5">
        <v>0.17100000000000001</v>
      </c>
      <c r="L3552" s="5">
        <v>1E-3</v>
      </c>
      <c r="M3552" s="5">
        <v>33885.201999999997</v>
      </c>
      <c r="N3552" s="6">
        <v>5.91E-2</v>
      </c>
      <c r="O3552" s="5">
        <v>2.9750000000000001</v>
      </c>
      <c r="P3552" s="6">
        <v>2.35E-2</v>
      </c>
      <c r="Q3552" s="5">
        <v>570170.93500000006</v>
      </c>
      <c r="R3552" s="1" t="s">
        <v>44</v>
      </c>
      <c r="T3552" s="1" t="s">
        <v>93</v>
      </c>
      <c r="V3552" s="1" t="s">
        <v>176</v>
      </c>
      <c r="Y3552" s="1" t="s">
        <v>247</v>
      </c>
      <c r="Z3552" s="1" t="str">
        <f t="shared" si="165"/>
        <v>57515 GT2</v>
      </c>
      <c r="AA3552" s="3">
        <f>IF(INDEX('CAMD Facility Data 2023'!$AA$2:$AE$10000,MATCH(Z3552,'CAMD Facility Data 2023'!$AE$2:$AE$10000,0),1)&gt;0,INDEX('CAMD Facility Data 2023'!$AA$2:$AE$10000,MATCH(Z3552,'CAMD Facility Data 2023'!$AE$2:$AE$10000,0),1),"")</f>
        <v>41286</v>
      </c>
      <c r="AB3552" s="5">
        <f>IF(INDEX('CAMD Facility Data 2023'!$AC$2:$AE$10000,MATCH(Z3552,'CAMD Facility Data 2023'!$AE$2:$AE$10000,0),1)&gt;0,INDEX('CAMD Facility Data 2023'!$AC$2:$AE$10000,MATCH(Z3552,'CAMD Facility Data 2023'!$AE$2:$AE$10000,0),1),"")</f>
        <v>891.7</v>
      </c>
      <c r="AC3552" s="1" t="str">
        <f>IF(INDEX('CAMD Facility Data 2023'!$AE$2:$AG$10000,MATCH(Z3552,'CAMD Facility Data 2023'!$AE$2:$AE$10000,0),3)&gt;0,INDEX('CAMD Facility Data 2023'!$AE$2:$AG$10000,MATCH(Z3552,'CAMD Facility Data 2023'!$AE$2:$AE$10000,0),3),"")</f>
        <v>Y</v>
      </c>
      <c r="AD3552" s="20">
        <f t="shared" si="166"/>
        <v>9.1798151447510273E-2</v>
      </c>
      <c r="AE3552" s="25">
        <f t="shared" si="167"/>
        <v>7.2993166175326696E-2</v>
      </c>
    </row>
    <row r="3553" spans="1:31" x14ac:dyDescent="0.2">
      <c r="A3553" s="1" t="s">
        <v>370</v>
      </c>
      <c r="B3553" s="1" t="s">
        <v>7865</v>
      </c>
      <c r="C3553" s="1">
        <v>57515</v>
      </c>
      <c r="D3553" s="1" t="s">
        <v>246</v>
      </c>
      <c r="F3553" s="1">
        <v>2023</v>
      </c>
      <c r="G3553" s="5">
        <v>1404</v>
      </c>
      <c r="H3553" s="5">
        <v>1037.5</v>
      </c>
      <c r="I3553" s="5">
        <v>88111.88</v>
      </c>
      <c r="K3553" s="5">
        <v>0.23200000000000001</v>
      </c>
      <c r="L3553" s="5">
        <v>1E-3</v>
      </c>
      <c r="M3553" s="5">
        <v>46000.851999999999</v>
      </c>
      <c r="N3553" s="6">
        <v>5.91E-2</v>
      </c>
      <c r="O3553" s="5">
        <v>4.4580000000000002</v>
      </c>
      <c r="P3553" s="6">
        <v>2.46E-2</v>
      </c>
      <c r="Q3553" s="5">
        <v>774080.37</v>
      </c>
      <c r="R3553" s="1" t="s">
        <v>44</v>
      </c>
      <c r="T3553" s="1" t="s">
        <v>93</v>
      </c>
      <c r="V3553" s="1" t="s">
        <v>176</v>
      </c>
      <c r="Y3553" s="1" t="s">
        <v>247</v>
      </c>
      <c r="Z3553" s="1" t="str">
        <f t="shared" si="165"/>
        <v>57515 GT3</v>
      </c>
      <c r="AA3553" s="3">
        <f>IF(INDEX('CAMD Facility Data 2023'!$AA$2:$AE$10000,MATCH(Z3553,'CAMD Facility Data 2023'!$AE$2:$AE$10000,0),1)&gt;0,INDEX('CAMD Facility Data 2023'!$AA$2:$AE$10000,MATCH(Z3553,'CAMD Facility Data 2023'!$AE$2:$AE$10000,0),1),"")</f>
        <v>41314</v>
      </c>
      <c r="AB3553" s="5">
        <f>IF(INDEX('CAMD Facility Data 2023'!$AC$2:$AE$10000,MATCH(Z3553,'CAMD Facility Data 2023'!$AE$2:$AE$10000,0),1)&gt;0,INDEX('CAMD Facility Data 2023'!$AC$2:$AE$10000,MATCH(Z3553,'CAMD Facility Data 2023'!$AE$2:$AE$10000,0),1),"")</f>
        <v>891.7</v>
      </c>
      <c r="AC3553" s="1" t="str">
        <f>IF(INDEX('CAMD Facility Data 2023'!$AE$2:$AG$10000,MATCH(Z3553,'CAMD Facility Data 2023'!$AE$2:$AE$10000,0),3)&gt;0,INDEX('CAMD Facility Data 2023'!$AE$2:$AG$10000,MATCH(Z3553,'CAMD Facility Data 2023'!$AE$2:$AE$10000,0),3),"")</f>
        <v>Y</v>
      </c>
      <c r="AD3553" s="20">
        <f t="shared" si="166"/>
        <v>0.10118953312538559</v>
      </c>
      <c r="AE3553" s="25">
        <f t="shared" si="167"/>
        <v>9.9097610228884025E-2</v>
      </c>
    </row>
    <row r="3554" spans="1:31" x14ac:dyDescent="0.2">
      <c r="A3554" s="1" t="s">
        <v>370</v>
      </c>
      <c r="B3554" s="1" t="s">
        <v>7865</v>
      </c>
      <c r="C3554" s="1">
        <v>57515</v>
      </c>
      <c r="D3554" s="1" t="s">
        <v>251</v>
      </c>
      <c r="F3554" s="1">
        <v>2023</v>
      </c>
      <c r="G3554" s="5">
        <v>1112</v>
      </c>
      <c r="H3554" s="5">
        <v>833.79</v>
      </c>
      <c r="I3554" s="5">
        <v>69300.52</v>
      </c>
      <c r="K3554" s="5">
        <v>0.186</v>
      </c>
      <c r="L3554" s="5">
        <v>1E-3</v>
      </c>
      <c r="M3554" s="5">
        <v>36832.307999999997</v>
      </c>
      <c r="N3554" s="6">
        <v>5.91E-2</v>
      </c>
      <c r="O3554" s="5">
        <v>3.4209999999999998</v>
      </c>
      <c r="P3554" s="6">
        <v>2.4E-2</v>
      </c>
      <c r="Q3554" s="5">
        <v>619763.83299999998</v>
      </c>
      <c r="R3554" s="1" t="s">
        <v>44</v>
      </c>
      <c r="T3554" s="1" t="s">
        <v>93</v>
      </c>
      <c r="V3554" s="1" t="s">
        <v>176</v>
      </c>
      <c r="Y3554" s="1" t="s">
        <v>247</v>
      </c>
      <c r="Z3554" s="1" t="str">
        <f t="shared" si="165"/>
        <v>57515 GT4</v>
      </c>
      <c r="AA3554" s="3">
        <f>IF(INDEX('CAMD Facility Data 2023'!$AA$2:$AE$10000,MATCH(Z3554,'CAMD Facility Data 2023'!$AE$2:$AE$10000,0),1)&gt;0,INDEX('CAMD Facility Data 2023'!$AA$2:$AE$10000,MATCH(Z3554,'CAMD Facility Data 2023'!$AE$2:$AE$10000,0),1),"")</f>
        <v>41314</v>
      </c>
      <c r="AB3554" s="5">
        <f>IF(INDEX('CAMD Facility Data 2023'!$AC$2:$AE$10000,MATCH(Z3554,'CAMD Facility Data 2023'!$AE$2:$AE$10000,0),1)&gt;0,INDEX('CAMD Facility Data 2023'!$AC$2:$AE$10000,MATCH(Z3554,'CAMD Facility Data 2023'!$AE$2:$AE$10000,0),1),"")</f>
        <v>891.7</v>
      </c>
      <c r="AC3554" s="1" t="str">
        <f>IF(INDEX('CAMD Facility Data 2023'!$AE$2:$AG$10000,MATCH(Z3554,'CAMD Facility Data 2023'!$AE$2:$AE$10000,0),3)&gt;0,INDEX('CAMD Facility Data 2023'!$AE$2:$AG$10000,MATCH(Z3554,'CAMD Facility Data 2023'!$AE$2:$AE$10000,0),3),"")</f>
        <v>Y</v>
      </c>
      <c r="AD3554" s="20">
        <f t="shared" si="166"/>
        <v>9.8729417903357722E-2</v>
      </c>
      <c r="AE3554" s="25">
        <f t="shared" si="167"/>
        <v>7.934203880740856E-2</v>
      </c>
    </row>
    <row r="3555" spans="1:31" x14ac:dyDescent="0.2">
      <c r="A3555" s="1" t="s">
        <v>370</v>
      </c>
      <c r="B3555" s="1" t="s">
        <v>7865</v>
      </c>
      <c r="C3555" s="1">
        <v>57515</v>
      </c>
      <c r="D3555" s="1" t="s">
        <v>253</v>
      </c>
      <c r="F3555" s="1">
        <v>2023</v>
      </c>
      <c r="G3555" s="5">
        <v>1251</v>
      </c>
      <c r="H3555" s="5">
        <v>933.01</v>
      </c>
      <c r="I3555" s="5">
        <v>78365.039999999994</v>
      </c>
      <c r="K3555" s="5">
        <v>0.20899999999999999</v>
      </c>
      <c r="L3555" s="5">
        <v>1E-3</v>
      </c>
      <c r="M3555" s="5">
        <v>41474.413</v>
      </c>
      <c r="N3555" s="6">
        <v>5.91E-2</v>
      </c>
      <c r="O3555" s="5">
        <v>3.5590000000000002</v>
      </c>
      <c r="P3555" s="6">
        <v>2.3099999999999999E-2</v>
      </c>
      <c r="Q3555" s="5">
        <v>697866.18200000003</v>
      </c>
      <c r="R3555" s="1" t="s">
        <v>44</v>
      </c>
      <c r="T3555" s="1" t="s">
        <v>93</v>
      </c>
      <c r="V3555" s="1" t="s">
        <v>176</v>
      </c>
      <c r="Y3555" s="1" t="s">
        <v>247</v>
      </c>
      <c r="Z3555" s="1" t="str">
        <f t="shared" si="165"/>
        <v>57515 GT5</v>
      </c>
      <c r="AA3555" s="3">
        <f>IF(INDEX('CAMD Facility Data 2023'!$AA$2:$AE$10000,MATCH(Z3555,'CAMD Facility Data 2023'!$AE$2:$AE$10000,0),1)&gt;0,INDEX('CAMD Facility Data 2023'!$AA$2:$AE$10000,MATCH(Z3555,'CAMD Facility Data 2023'!$AE$2:$AE$10000,0),1),"")</f>
        <v>41341</v>
      </c>
      <c r="AB3555" s="5">
        <f>IF(INDEX('CAMD Facility Data 2023'!$AC$2:$AE$10000,MATCH(Z3555,'CAMD Facility Data 2023'!$AE$2:$AE$10000,0),1)&gt;0,INDEX('CAMD Facility Data 2023'!$AC$2:$AE$10000,MATCH(Z3555,'CAMD Facility Data 2023'!$AE$2:$AE$10000,0),1),"")</f>
        <v>891.7</v>
      </c>
      <c r="AC3555" s="1" t="str">
        <f>IF(INDEX('CAMD Facility Data 2023'!$AE$2:$AG$10000,MATCH(Z3555,'CAMD Facility Data 2023'!$AE$2:$AE$10000,0),3)&gt;0,INDEX('CAMD Facility Data 2023'!$AE$2:$AG$10000,MATCH(Z3555,'CAMD Facility Data 2023'!$AE$2:$AE$10000,0),3),"")</f>
        <v>Y</v>
      </c>
      <c r="AD3555" s="20">
        <f t="shared" si="166"/>
        <v>9.083131968030643E-2</v>
      </c>
      <c r="AE3555" s="25">
        <f t="shared" si="167"/>
        <v>8.9340685510156323E-2</v>
      </c>
    </row>
    <row r="3556" spans="1:31" x14ac:dyDescent="0.2">
      <c r="A3556" s="1" t="s">
        <v>370</v>
      </c>
      <c r="B3556" s="1" t="s">
        <v>7870</v>
      </c>
      <c r="C3556" s="1">
        <v>57555</v>
      </c>
      <c r="D3556" s="1" t="s">
        <v>1129</v>
      </c>
      <c r="F3556" s="1">
        <v>2023</v>
      </c>
      <c r="G3556" s="5">
        <v>585</v>
      </c>
      <c r="H3556" s="5">
        <v>422.09</v>
      </c>
      <c r="I3556" s="5">
        <v>31612.46</v>
      </c>
      <c r="K3556" s="5">
        <v>0.09</v>
      </c>
      <c r="L3556" s="5">
        <v>1E-3</v>
      </c>
      <c r="M3556" s="5">
        <v>17904.473999999998</v>
      </c>
      <c r="N3556" s="6">
        <v>5.91E-2</v>
      </c>
      <c r="O3556" s="5">
        <v>1.623</v>
      </c>
      <c r="P3556" s="6">
        <v>1.9300000000000001E-2</v>
      </c>
      <c r="Q3556" s="5">
        <v>301272.43900000001</v>
      </c>
      <c r="R3556" s="1" t="s">
        <v>44</v>
      </c>
      <c r="T3556" s="1" t="s">
        <v>93</v>
      </c>
      <c r="V3556" s="1" t="s">
        <v>176</v>
      </c>
      <c r="Y3556" s="1" t="s">
        <v>247</v>
      </c>
      <c r="Z3556" s="1" t="str">
        <f t="shared" si="165"/>
        <v>57555 CTG1</v>
      </c>
      <c r="AA3556" s="3">
        <f>IF(INDEX('CAMD Facility Data 2023'!$AA$2:$AE$10000,MATCH(Z3556,'CAMD Facility Data 2023'!$AE$2:$AE$10000,0),1)&gt;0,INDEX('CAMD Facility Data 2023'!$AA$2:$AE$10000,MATCH(Z3556,'CAMD Facility Data 2023'!$AE$2:$AE$10000,0),1),"")</f>
        <v>42588</v>
      </c>
      <c r="AB3556" s="5">
        <f>IF(INDEX('CAMD Facility Data 2023'!$AC$2:$AE$10000,MATCH(Z3556,'CAMD Facility Data 2023'!$AE$2:$AE$10000,0),1)&gt;0,INDEX('CAMD Facility Data 2023'!$AC$2:$AE$10000,MATCH(Z3556,'CAMD Facility Data 2023'!$AE$2:$AE$10000,0),1),"")</f>
        <v>1000</v>
      </c>
      <c r="AC3556" s="1" t="str">
        <f>IF(INDEX('CAMD Facility Data 2023'!$AE$2:$AG$10000,MATCH(Z3556,'CAMD Facility Data 2023'!$AE$2:$AE$10000,0),3)&gt;0,INDEX('CAMD Facility Data 2023'!$AE$2:$AG$10000,MATCH(Z3556,'CAMD Facility Data 2023'!$AE$2:$AE$10000,0),3),"")</f>
        <v>Y</v>
      </c>
      <c r="AD3556" s="20">
        <f t="shared" si="166"/>
        <v>0.10268103146670648</v>
      </c>
      <c r="AE3556" s="25">
        <f t="shared" si="167"/>
        <v>3.4391830936073058E-2</v>
      </c>
    </row>
    <row r="3557" spans="1:31" x14ac:dyDescent="0.2">
      <c r="A3557" s="1" t="s">
        <v>370</v>
      </c>
      <c r="B3557" s="1" t="s">
        <v>7870</v>
      </c>
      <c r="C3557" s="1">
        <v>57555</v>
      </c>
      <c r="D3557" s="1" t="s">
        <v>1135</v>
      </c>
      <c r="F3557" s="1">
        <v>2023</v>
      </c>
      <c r="G3557" s="5">
        <v>699</v>
      </c>
      <c r="H3557" s="5">
        <v>487.51</v>
      </c>
      <c r="I3557" s="5">
        <v>37942.33</v>
      </c>
      <c r="K3557" s="5">
        <v>0.104</v>
      </c>
      <c r="L3557" s="5">
        <v>1E-3</v>
      </c>
      <c r="M3557" s="5">
        <v>20608.928</v>
      </c>
      <c r="N3557" s="6">
        <v>5.91E-2</v>
      </c>
      <c r="O3557" s="5">
        <v>2.1509999999999998</v>
      </c>
      <c r="P3557" s="6">
        <v>2.4500000000000001E-2</v>
      </c>
      <c r="Q3557" s="5">
        <v>346778.90600000002</v>
      </c>
      <c r="R3557" s="1" t="s">
        <v>44</v>
      </c>
      <c r="T3557" s="1" t="s">
        <v>93</v>
      </c>
      <c r="V3557" s="1" t="s">
        <v>176</v>
      </c>
      <c r="Y3557" s="1" t="s">
        <v>247</v>
      </c>
      <c r="Z3557" s="1" t="str">
        <f t="shared" si="165"/>
        <v>57555 CTG2</v>
      </c>
      <c r="AA3557" s="3">
        <f>IF(INDEX('CAMD Facility Data 2023'!$AA$2:$AE$10000,MATCH(Z3557,'CAMD Facility Data 2023'!$AE$2:$AE$10000,0),1)&gt;0,INDEX('CAMD Facility Data 2023'!$AA$2:$AE$10000,MATCH(Z3557,'CAMD Facility Data 2023'!$AE$2:$AE$10000,0),1),"")</f>
        <v>42573</v>
      </c>
      <c r="AB3557" s="5">
        <f>IF(INDEX('CAMD Facility Data 2023'!$AC$2:$AE$10000,MATCH(Z3557,'CAMD Facility Data 2023'!$AE$2:$AE$10000,0),1)&gt;0,INDEX('CAMD Facility Data 2023'!$AC$2:$AE$10000,MATCH(Z3557,'CAMD Facility Data 2023'!$AE$2:$AE$10000,0),1),"")</f>
        <v>1000</v>
      </c>
      <c r="AC3557" s="1" t="str">
        <f>IF(INDEX('CAMD Facility Data 2023'!$AE$2:$AG$10000,MATCH(Z3557,'CAMD Facility Data 2023'!$AE$2:$AE$10000,0),3)&gt;0,INDEX('CAMD Facility Data 2023'!$AE$2:$AG$10000,MATCH(Z3557,'CAMD Facility Data 2023'!$AE$2:$AE$10000,0),3),"")</f>
        <v>Y</v>
      </c>
      <c r="AD3557" s="20">
        <f t="shared" si="166"/>
        <v>0.11338259932903434</v>
      </c>
      <c r="AE3557" s="25">
        <f t="shared" si="167"/>
        <v>3.9586633105022834E-2</v>
      </c>
    </row>
    <row r="3558" spans="1:31" x14ac:dyDescent="0.2">
      <c r="A3558" s="1" t="s">
        <v>370</v>
      </c>
      <c r="B3558" s="1" t="s">
        <v>7870</v>
      </c>
      <c r="C3558" s="1">
        <v>57555</v>
      </c>
      <c r="D3558" s="1" t="s">
        <v>6002</v>
      </c>
      <c r="F3558" s="1">
        <v>2023</v>
      </c>
      <c r="G3558" s="5">
        <v>649</v>
      </c>
      <c r="H3558" s="5">
        <v>469.3</v>
      </c>
      <c r="I3558" s="5">
        <v>36019.06</v>
      </c>
      <c r="K3558" s="5">
        <v>0.1</v>
      </c>
      <c r="L3558" s="5">
        <v>1E-3</v>
      </c>
      <c r="M3558" s="5">
        <v>19767.474999999999</v>
      </c>
      <c r="N3558" s="6">
        <v>5.91E-2</v>
      </c>
      <c r="O3558" s="5">
        <v>1.9570000000000001</v>
      </c>
      <c r="P3558" s="6">
        <v>2.1499999999999998E-2</v>
      </c>
      <c r="Q3558" s="5">
        <v>332622.01899999997</v>
      </c>
      <c r="R3558" s="1" t="s">
        <v>44</v>
      </c>
      <c r="T3558" s="1" t="s">
        <v>93</v>
      </c>
      <c r="V3558" s="1" t="s">
        <v>176</v>
      </c>
      <c r="Y3558" s="1" t="s">
        <v>247</v>
      </c>
      <c r="Z3558" s="1" t="str">
        <f t="shared" si="165"/>
        <v>57555 CTG3</v>
      </c>
      <c r="AA3558" s="3">
        <f>IF(INDEX('CAMD Facility Data 2023'!$AA$2:$AE$10000,MATCH(Z3558,'CAMD Facility Data 2023'!$AE$2:$AE$10000,0),1)&gt;0,INDEX('CAMD Facility Data 2023'!$AA$2:$AE$10000,MATCH(Z3558,'CAMD Facility Data 2023'!$AE$2:$AE$10000,0),1),"")</f>
        <v>42554</v>
      </c>
      <c r="AB3558" s="5">
        <f>IF(INDEX('CAMD Facility Data 2023'!$AC$2:$AE$10000,MATCH(Z3558,'CAMD Facility Data 2023'!$AE$2:$AE$10000,0),1)&gt;0,INDEX('CAMD Facility Data 2023'!$AC$2:$AE$10000,MATCH(Z3558,'CAMD Facility Data 2023'!$AE$2:$AE$10000,0),1),"")</f>
        <v>1000</v>
      </c>
      <c r="AC3558" s="1" t="str">
        <f>IF(INDEX('CAMD Facility Data 2023'!$AE$2:$AG$10000,MATCH(Z3558,'CAMD Facility Data 2023'!$AE$2:$AE$10000,0),3)&gt;0,INDEX('CAMD Facility Data 2023'!$AE$2:$AG$10000,MATCH(Z3558,'CAMD Facility Data 2023'!$AE$2:$AE$10000,0),3),"")</f>
        <v>Y</v>
      </c>
      <c r="AD3558" s="20">
        <f t="shared" si="166"/>
        <v>0.10866469030563264</v>
      </c>
      <c r="AE3558" s="25">
        <f t="shared" si="167"/>
        <v>3.7970550114155247E-2</v>
      </c>
    </row>
    <row r="3559" spans="1:31" x14ac:dyDescent="0.2">
      <c r="A3559" s="1" t="s">
        <v>370</v>
      </c>
      <c r="B3559" s="1" t="s">
        <v>7875</v>
      </c>
      <c r="C3559" s="1">
        <v>57564</v>
      </c>
      <c r="D3559" s="1">
        <v>8</v>
      </c>
      <c r="F3559" s="1">
        <v>2023</v>
      </c>
      <c r="G3559" s="5">
        <v>710</v>
      </c>
      <c r="H3559" s="5">
        <v>663.03</v>
      </c>
      <c r="I3559" s="5">
        <v>11847.78</v>
      </c>
      <c r="K3559" s="5">
        <v>4.5999999999999999E-2</v>
      </c>
      <c r="L3559" s="5">
        <v>1E-3</v>
      </c>
      <c r="M3559" s="5">
        <v>9067.8420000000006</v>
      </c>
      <c r="N3559" s="6">
        <v>5.9299999999999999E-2</v>
      </c>
      <c r="O3559" s="5">
        <v>1.0569999999999999</v>
      </c>
      <c r="P3559" s="6">
        <v>1.61E-2</v>
      </c>
      <c r="Q3559" s="5">
        <v>152579.25700000001</v>
      </c>
      <c r="R3559" s="1" t="s">
        <v>44</v>
      </c>
      <c r="T3559" s="1" t="s">
        <v>71</v>
      </c>
      <c r="V3559" s="1" t="s">
        <v>176</v>
      </c>
      <c r="Y3559" s="1" t="s">
        <v>247</v>
      </c>
      <c r="Z3559" s="1" t="str">
        <f t="shared" si="165"/>
        <v>57564 8</v>
      </c>
      <c r="AA3559" s="3">
        <f>IF(INDEX('CAMD Facility Data 2023'!$AA$2:$AE$10000,MATCH(Z3559,'CAMD Facility Data 2023'!$AE$2:$AE$10000,0),1)&gt;0,INDEX('CAMD Facility Data 2023'!$AA$2:$AE$10000,MATCH(Z3559,'CAMD Facility Data 2023'!$AE$2:$AE$10000,0),1),"")</f>
        <v>39417</v>
      </c>
      <c r="AB3559" s="5">
        <f>IF(INDEX('CAMD Facility Data 2023'!$AC$2:$AE$10000,MATCH(Z3559,'CAMD Facility Data 2023'!$AE$2:$AE$10000,0),1)&gt;0,INDEX('CAMD Facility Data 2023'!$AC$2:$AE$10000,MATCH(Z3559,'CAMD Facility Data 2023'!$AE$2:$AE$10000,0),1),"")</f>
        <v>430</v>
      </c>
      <c r="AC3559" s="1" t="str">
        <f>IF(INDEX('CAMD Facility Data 2023'!$AE$2:$AG$10000,MATCH(Z3559,'CAMD Facility Data 2023'!$AE$2:$AE$10000,0),3)&gt;0,INDEX('CAMD Facility Data 2023'!$AE$2:$AG$10000,MATCH(Z3559,'CAMD Facility Data 2023'!$AE$2:$AE$10000,0),3),"")</f>
        <v>Y</v>
      </c>
      <c r="AD3559" s="20">
        <f t="shared" si="166"/>
        <v>0.17843005187469718</v>
      </c>
      <c r="AE3559" s="25">
        <f t="shared" si="167"/>
        <v>4.0506333492619735E-2</v>
      </c>
    </row>
    <row r="3560" spans="1:31" x14ac:dyDescent="0.2">
      <c r="A3560" s="1" t="s">
        <v>3253</v>
      </c>
      <c r="B3560" s="1" t="s">
        <v>7878</v>
      </c>
      <c r="C3560" s="1">
        <v>57703</v>
      </c>
      <c r="D3560" s="1" t="s">
        <v>993</v>
      </c>
      <c r="F3560" s="1">
        <v>2023</v>
      </c>
      <c r="G3560" s="5">
        <v>5356</v>
      </c>
      <c r="H3560" s="5">
        <v>5129.49</v>
      </c>
      <c r="I3560" s="5">
        <v>147605.29</v>
      </c>
      <c r="K3560" s="5">
        <v>0.43</v>
      </c>
      <c r="L3560" s="5">
        <v>1E-3</v>
      </c>
      <c r="M3560" s="5">
        <v>85194.501999999993</v>
      </c>
      <c r="N3560" s="6">
        <v>5.9299999999999999E-2</v>
      </c>
      <c r="O3560" s="5">
        <v>5.8179999999999996</v>
      </c>
      <c r="P3560" s="6">
        <v>8.3000000000000001E-3</v>
      </c>
      <c r="Q3560" s="5">
        <v>1433567.34</v>
      </c>
      <c r="R3560" s="1" t="s">
        <v>44</v>
      </c>
      <c r="T3560" s="1" t="s">
        <v>71</v>
      </c>
      <c r="V3560" s="1" t="s">
        <v>64</v>
      </c>
      <c r="Y3560" s="1" t="s">
        <v>247</v>
      </c>
      <c r="Z3560" s="1" t="str">
        <f t="shared" si="165"/>
        <v>57703 CT01</v>
      </c>
      <c r="AA3560" s="3">
        <f>IF(INDEX('CAMD Facility Data 2023'!$AA$2:$AE$10000,MATCH(Z3560,'CAMD Facility Data 2023'!$AE$2:$AE$10000,0),1)&gt;0,INDEX('CAMD Facility Data 2023'!$AA$2:$AE$10000,MATCH(Z3560,'CAMD Facility Data 2023'!$AE$2:$AE$10000,0),1),"")</f>
        <v>41881</v>
      </c>
      <c r="AB3560" s="5">
        <f>IF(INDEX('CAMD Facility Data 2023'!$AC$2:$AE$10000,MATCH(Z3560,'CAMD Facility Data 2023'!$AE$2:$AE$10000,0),1)&gt;0,INDEX('CAMD Facility Data 2023'!$AC$2:$AE$10000,MATCH(Z3560,'CAMD Facility Data 2023'!$AE$2:$AE$10000,0),1),"")</f>
        <v>406</v>
      </c>
      <c r="AC3560" s="1" t="str">
        <f>IF(INDEX('CAMD Facility Data 2023'!$AE$2:$AG$10000,MATCH(Z3560,'CAMD Facility Data 2023'!$AE$2:$AE$10000,0),3)&gt;0,INDEX('CAMD Facility Data 2023'!$AE$2:$AG$10000,MATCH(Z3560,'CAMD Facility Data 2023'!$AE$2:$AE$10000,0),3),"")</f>
        <v>Y</v>
      </c>
      <c r="AD3560" s="20">
        <f t="shared" si="166"/>
        <v>7.8831863004367925E-2</v>
      </c>
      <c r="AE3560" s="25">
        <f t="shared" si="167"/>
        <v>0.40307694513799852</v>
      </c>
    </row>
    <row r="3561" spans="1:31" x14ac:dyDescent="0.2">
      <c r="A3561" s="1" t="s">
        <v>3253</v>
      </c>
      <c r="B3561" s="1" t="s">
        <v>7878</v>
      </c>
      <c r="C3561" s="1">
        <v>57703</v>
      </c>
      <c r="D3561" s="1" t="s">
        <v>998</v>
      </c>
      <c r="F3561" s="1">
        <v>2023</v>
      </c>
      <c r="G3561" s="5">
        <v>5992</v>
      </c>
      <c r="H3561" s="5">
        <v>5721.6</v>
      </c>
      <c r="I3561" s="5">
        <v>168604.71</v>
      </c>
      <c r="K3561" s="5">
        <v>0.51</v>
      </c>
      <c r="L3561" s="5">
        <v>1E-3</v>
      </c>
      <c r="M3561" s="5">
        <v>100966.274</v>
      </c>
      <c r="N3561" s="6">
        <v>5.9299999999999999E-2</v>
      </c>
      <c r="O3561" s="5">
        <v>6.85</v>
      </c>
      <c r="P3561" s="6">
        <v>8.2000000000000007E-3</v>
      </c>
      <c r="Q3561" s="5">
        <v>1698907.5109999999</v>
      </c>
      <c r="R3561" s="1" t="s">
        <v>44</v>
      </c>
      <c r="T3561" s="1" t="s">
        <v>71</v>
      </c>
      <c r="V3561" s="1" t="s">
        <v>64</v>
      </c>
      <c r="Y3561" s="1" t="s">
        <v>247</v>
      </c>
      <c r="Z3561" s="1" t="str">
        <f t="shared" si="165"/>
        <v>57703 CT02</v>
      </c>
      <c r="AA3561" s="3">
        <f>IF(INDEX('CAMD Facility Data 2023'!$AA$2:$AE$10000,MATCH(Z3561,'CAMD Facility Data 2023'!$AE$2:$AE$10000,0),1)&gt;0,INDEX('CAMD Facility Data 2023'!$AA$2:$AE$10000,MATCH(Z3561,'CAMD Facility Data 2023'!$AE$2:$AE$10000,0),1),"")</f>
        <v>41886</v>
      </c>
      <c r="AB3561" s="5">
        <f>IF(INDEX('CAMD Facility Data 2023'!$AC$2:$AE$10000,MATCH(Z3561,'CAMD Facility Data 2023'!$AE$2:$AE$10000,0),1)&gt;0,INDEX('CAMD Facility Data 2023'!$AC$2:$AE$10000,MATCH(Z3561,'CAMD Facility Data 2023'!$AE$2:$AE$10000,0),1),"")</f>
        <v>406</v>
      </c>
      <c r="AC3561" s="1" t="str">
        <f>IF(INDEX('CAMD Facility Data 2023'!$AE$2:$AG$10000,MATCH(Z3561,'CAMD Facility Data 2023'!$AE$2:$AE$10000,0),3)&gt;0,INDEX('CAMD Facility Data 2023'!$AE$2:$AG$10000,MATCH(Z3561,'CAMD Facility Data 2023'!$AE$2:$AE$10000,0),3),"")</f>
        <v>Y</v>
      </c>
      <c r="AD3561" s="20">
        <f t="shared" si="166"/>
        <v>8.1255144058549736E-2</v>
      </c>
      <c r="AE3561" s="25">
        <f t="shared" si="167"/>
        <v>0.47768279207998737</v>
      </c>
    </row>
    <row r="3562" spans="1:31" x14ac:dyDescent="0.2">
      <c r="A3562" s="1" t="s">
        <v>3253</v>
      </c>
      <c r="B3562" s="1" t="s">
        <v>7878</v>
      </c>
      <c r="C3562" s="1">
        <v>57703</v>
      </c>
      <c r="D3562" s="1" t="s">
        <v>1043</v>
      </c>
      <c r="F3562" s="1">
        <v>2023</v>
      </c>
      <c r="G3562" s="5">
        <v>612</v>
      </c>
      <c r="H3562" s="5">
        <v>554.29999999999995</v>
      </c>
      <c r="I3562" s="5">
        <v>17130.560000000001</v>
      </c>
      <c r="K3562" s="5">
        <v>5.0999999999999997E-2</v>
      </c>
      <c r="L3562" s="5">
        <v>1E-3</v>
      </c>
      <c r="M3562" s="5">
        <v>10099.735000000001</v>
      </c>
      <c r="N3562" s="6">
        <v>5.9299999999999999E-2</v>
      </c>
      <c r="O3562" s="5">
        <v>1.107</v>
      </c>
      <c r="P3562" s="6">
        <v>1.47E-2</v>
      </c>
      <c r="Q3562" s="5">
        <v>169945.226</v>
      </c>
      <c r="R3562" s="1" t="s">
        <v>44</v>
      </c>
      <c r="T3562" s="1" t="s">
        <v>93</v>
      </c>
      <c r="V3562" s="1" t="s">
        <v>64</v>
      </c>
      <c r="Y3562" s="1" t="s">
        <v>247</v>
      </c>
      <c r="Z3562" s="1" t="str">
        <f t="shared" si="165"/>
        <v>57703 CT03</v>
      </c>
      <c r="AA3562" s="3">
        <f>IF(INDEX('CAMD Facility Data 2023'!$AA$2:$AE$10000,MATCH(Z3562,'CAMD Facility Data 2023'!$AE$2:$AE$10000,0),1)&gt;0,INDEX('CAMD Facility Data 2023'!$AA$2:$AE$10000,MATCH(Z3562,'CAMD Facility Data 2023'!$AE$2:$AE$10000,0),1),"")</f>
        <v>41867</v>
      </c>
      <c r="AB3562" s="5">
        <f>IF(INDEX('CAMD Facility Data 2023'!$AC$2:$AE$10000,MATCH(Z3562,'CAMD Facility Data 2023'!$AE$2:$AE$10000,0),1)&gt;0,INDEX('CAMD Facility Data 2023'!$AC$2:$AE$10000,MATCH(Z3562,'CAMD Facility Data 2023'!$AE$2:$AE$10000,0),1),"")</f>
        <v>406</v>
      </c>
      <c r="AC3562" s="1" t="str">
        <f>IF(INDEX('CAMD Facility Data 2023'!$AE$2:$AG$10000,MATCH(Z3562,'CAMD Facility Data 2023'!$AE$2:$AE$10000,0),3)&gt;0,INDEX('CAMD Facility Data 2023'!$AE$2:$AG$10000,MATCH(Z3562,'CAMD Facility Data 2023'!$AE$2:$AE$10000,0),3),"")</f>
        <v>Y</v>
      </c>
      <c r="AD3562" s="20">
        <f t="shared" si="166"/>
        <v>0.12924271010404795</v>
      </c>
      <c r="AE3562" s="25">
        <f t="shared" si="167"/>
        <v>4.7783595946645073E-2</v>
      </c>
    </row>
    <row r="3563" spans="1:31" x14ac:dyDescent="0.2">
      <c r="A3563" s="1" t="s">
        <v>1071</v>
      </c>
      <c r="B3563" s="1" t="s">
        <v>7885</v>
      </c>
      <c r="C3563" s="1">
        <v>57794</v>
      </c>
      <c r="D3563" s="1" t="s">
        <v>7886</v>
      </c>
      <c r="F3563" s="1">
        <v>2023</v>
      </c>
      <c r="G3563" s="5">
        <v>7342</v>
      </c>
      <c r="H3563" s="5">
        <v>7324.88</v>
      </c>
      <c r="I3563" s="5">
        <v>2605202.25</v>
      </c>
      <c r="K3563" s="5">
        <v>5.2549999999999999</v>
      </c>
      <c r="L3563" s="5">
        <v>1E-3</v>
      </c>
      <c r="M3563" s="5">
        <v>1040991.077</v>
      </c>
      <c r="N3563" s="6">
        <v>5.8999999999999997E-2</v>
      </c>
      <c r="O3563" s="5">
        <v>61.655999999999999</v>
      </c>
      <c r="P3563" s="6">
        <v>7.3000000000000001E-3</v>
      </c>
      <c r="Q3563" s="5">
        <v>17516665.969000001</v>
      </c>
      <c r="R3563" s="1" t="s">
        <v>44</v>
      </c>
      <c r="T3563" s="1" t="s">
        <v>71</v>
      </c>
      <c r="V3563" s="1" t="s">
        <v>64</v>
      </c>
      <c r="Y3563" s="1" t="s">
        <v>6843</v>
      </c>
      <c r="Z3563" s="1" t="str">
        <f t="shared" si="165"/>
        <v>57794 CTG01A</v>
      </c>
      <c r="AA3563" s="3">
        <f>IF(INDEX('CAMD Facility Data 2023'!$AA$2:$AE$10000,MATCH(Z3563,'CAMD Facility Data 2023'!$AE$2:$AE$10000,0),1)&gt;0,INDEX('CAMD Facility Data 2023'!$AA$2:$AE$10000,MATCH(Z3563,'CAMD Facility Data 2023'!$AE$2:$AE$10000,0),1),"")</f>
        <v>43098</v>
      </c>
      <c r="AB3563" s="5">
        <f>IF(INDEX('CAMD Facility Data 2023'!$AC$2:$AE$10000,MATCH(Z3563,'CAMD Facility Data 2023'!$AE$2:$AE$10000,0),1)&gt;0,INDEX('CAMD Facility Data 2023'!$AC$2:$AE$10000,MATCH(Z3563,'CAMD Facility Data 2023'!$AE$2:$AE$10000,0),1),"")</f>
        <v>2636</v>
      </c>
      <c r="AC3563" s="1" t="str">
        <f>IF(INDEX('CAMD Facility Data 2023'!$AE$2:$AG$10000,MATCH(Z3563,'CAMD Facility Data 2023'!$AE$2:$AE$10000,0),3)&gt;0,INDEX('CAMD Facility Data 2023'!$AE$2:$AG$10000,MATCH(Z3563,'CAMD Facility Data 2023'!$AE$2:$AE$10000,0),3),"")</f>
        <v>Y</v>
      </c>
      <c r="AD3563" s="20">
        <f t="shared" si="166"/>
        <v>4.733298537570356E-2</v>
      </c>
      <c r="AE3563" s="25">
        <f t="shared" si="167"/>
        <v>0.75858095707658624</v>
      </c>
    </row>
    <row r="3564" spans="1:31" x14ac:dyDescent="0.2">
      <c r="A3564" s="1" t="s">
        <v>1071</v>
      </c>
      <c r="B3564" s="1" t="s">
        <v>7885</v>
      </c>
      <c r="C3564" s="1">
        <v>57794</v>
      </c>
      <c r="D3564" s="1" t="s">
        <v>7891</v>
      </c>
      <c r="F3564" s="1">
        <v>2023</v>
      </c>
      <c r="G3564" s="5">
        <v>6793</v>
      </c>
      <c r="H3564" s="5">
        <v>6780.08</v>
      </c>
      <c r="I3564" s="5">
        <v>2400678.2599999998</v>
      </c>
      <c r="K3564" s="5">
        <v>4.8310000000000004</v>
      </c>
      <c r="L3564" s="5">
        <v>1E-3</v>
      </c>
      <c r="M3564" s="5">
        <v>956916.63300000003</v>
      </c>
      <c r="N3564" s="6">
        <v>5.8999999999999997E-2</v>
      </c>
      <c r="O3564" s="5">
        <v>56.043999999999997</v>
      </c>
      <c r="P3564" s="6">
        <v>7.4000000000000003E-3</v>
      </c>
      <c r="Q3564" s="5">
        <v>16101958.082</v>
      </c>
      <c r="R3564" s="1" t="s">
        <v>44</v>
      </c>
      <c r="T3564" s="1" t="s">
        <v>71</v>
      </c>
      <c r="V3564" s="1" t="s">
        <v>64</v>
      </c>
      <c r="Y3564" s="1" t="s">
        <v>6843</v>
      </c>
      <c r="Z3564" s="1" t="str">
        <f t="shared" si="165"/>
        <v>57794 CTG01B</v>
      </c>
      <c r="AA3564" s="3">
        <f>IF(INDEX('CAMD Facility Data 2023'!$AA$2:$AE$10000,MATCH(Z3564,'CAMD Facility Data 2023'!$AE$2:$AE$10000,0),1)&gt;0,INDEX('CAMD Facility Data 2023'!$AA$2:$AE$10000,MATCH(Z3564,'CAMD Facility Data 2023'!$AE$2:$AE$10000,0),1),"")</f>
        <v>43086</v>
      </c>
      <c r="AB3564" s="5">
        <f>IF(INDEX('CAMD Facility Data 2023'!$AC$2:$AE$10000,MATCH(Z3564,'CAMD Facility Data 2023'!$AE$2:$AE$10000,0),1)&gt;0,INDEX('CAMD Facility Data 2023'!$AC$2:$AE$10000,MATCH(Z3564,'CAMD Facility Data 2023'!$AE$2:$AE$10000,0),1),"")</f>
        <v>2636</v>
      </c>
      <c r="AC3564" s="1" t="str">
        <f>IF(INDEX('CAMD Facility Data 2023'!$AE$2:$AG$10000,MATCH(Z3564,'CAMD Facility Data 2023'!$AE$2:$AE$10000,0),3)&gt;0,INDEX('CAMD Facility Data 2023'!$AE$2:$AG$10000,MATCH(Z3564,'CAMD Facility Data 2023'!$AE$2:$AE$10000,0),3),"")</f>
        <v>Y</v>
      </c>
      <c r="AD3564" s="20">
        <f t="shared" si="166"/>
        <v>4.6690138311162116E-2</v>
      </c>
      <c r="AE3564" s="25">
        <f t="shared" si="167"/>
        <v>0.69731527644971969</v>
      </c>
    </row>
    <row r="3565" spans="1:31" x14ac:dyDescent="0.2">
      <c r="A3565" s="1" t="s">
        <v>1980</v>
      </c>
      <c r="B3565" s="1" t="s">
        <v>7893</v>
      </c>
      <c r="C3565" s="1">
        <v>57839</v>
      </c>
      <c r="D3565" s="1">
        <v>1</v>
      </c>
      <c r="F3565" s="1">
        <v>2023</v>
      </c>
      <c r="G3565" s="5">
        <v>6913</v>
      </c>
      <c r="H3565" s="5">
        <v>6878.34</v>
      </c>
      <c r="I3565" s="5">
        <v>2026298.33</v>
      </c>
      <c r="K3565" s="5">
        <v>3.9129999999999998</v>
      </c>
      <c r="L3565" s="5">
        <v>1E-3</v>
      </c>
      <c r="M3565" s="5">
        <v>770554.27099999995</v>
      </c>
      <c r="N3565" s="6">
        <v>5.8999999999999997E-2</v>
      </c>
      <c r="O3565" s="5">
        <v>37.11</v>
      </c>
      <c r="P3565" s="6">
        <v>6.0000000000000001E-3</v>
      </c>
      <c r="Q3565" s="5">
        <v>13041243.296</v>
      </c>
      <c r="R3565" s="1" t="s">
        <v>44</v>
      </c>
      <c r="T3565" s="1" t="s">
        <v>71</v>
      </c>
      <c r="V3565" s="1" t="s">
        <v>64</v>
      </c>
      <c r="Y3565" s="1" t="s">
        <v>1515</v>
      </c>
      <c r="Z3565" s="1" t="str">
        <f t="shared" si="165"/>
        <v>57839 1</v>
      </c>
      <c r="AA3565" s="3">
        <f>IF(INDEX('CAMD Facility Data 2023'!$AA$2:$AE$10000,MATCH(Z3565,'CAMD Facility Data 2023'!$AE$2:$AE$10000,0),1)&gt;0,INDEX('CAMD Facility Data 2023'!$AA$2:$AE$10000,MATCH(Z3565,'CAMD Facility Data 2023'!$AE$2:$AE$10000,0),1),"")</f>
        <v>42312</v>
      </c>
      <c r="AB3565" s="5">
        <f>IF(INDEX('CAMD Facility Data 2023'!$AC$2:$AE$10000,MATCH(Z3565,'CAMD Facility Data 2023'!$AE$2:$AE$10000,0),1)&gt;0,INDEX('CAMD Facility Data 2023'!$AC$2:$AE$10000,MATCH(Z3565,'CAMD Facility Data 2023'!$AE$2:$AE$10000,0),1),"")</f>
        <v>2807</v>
      </c>
      <c r="AC3565" s="1" t="str">
        <f>IF(INDEX('CAMD Facility Data 2023'!$AE$2:$AG$10000,MATCH(Z3565,'CAMD Facility Data 2023'!$AE$2:$AE$10000,0),3)&gt;0,INDEX('CAMD Facility Data 2023'!$AE$2:$AG$10000,MATCH(Z3565,'CAMD Facility Data 2023'!$AE$2:$AE$10000,0),3),"")</f>
        <v>Y</v>
      </c>
      <c r="AD3565" s="20">
        <f t="shared" si="166"/>
        <v>3.6628367551386175E-2</v>
      </c>
      <c r="AE3565" s="25">
        <f t="shared" si="167"/>
        <v>0.53036209606447027</v>
      </c>
    </row>
    <row r="3566" spans="1:31" x14ac:dyDescent="0.2">
      <c r="A3566" s="1" t="s">
        <v>1980</v>
      </c>
      <c r="B3566" s="1" t="s">
        <v>7893</v>
      </c>
      <c r="C3566" s="1">
        <v>57839</v>
      </c>
      <c r="D3566" s="1">
        <v>2</v>
      </c>
      <c r="F3566" s="1">
        <v>2023</v>
      </c>
      <c r="G3566" s="5">
        <v>7041</v>
      </c>
      <c r="H3566" s="5">
        <v>7008.22</v>
      </c>
      <c r="I3566" s="5">
        <v>2087906.35</v>
      </c>
      <c r="K3566" s="5">
        <v>4.1470000000000002</v>
      </c>
      <c r="L3566" s="5">
        <v>1E-3</v>
      </c>
      <c r="M3566" s="5">
        <v>816789.36199999996</v>
      </c>
      <c r="N3566" s="6">
        <v>5.8999999999999997E-2</v>
      </c>
      <c r="O3566" s="5">
        <v>39.466000000000001</v>
      </c>
      <c r="P3566" s="6">
        <v>6.0000000000000001E-3</v>
      </c>
      <c r="Q3566" s="5">
        <v>13823758.307</v>
      </c>
      <c r="R3566" s="1" t="s">
        <v>44</v>
      </c>
      <c r="T3566" s="1" t="s">
        <v>71</v>
      </c>
      <c r="V3566" s="1" t="s">
        <v>64</v>
      </c>
      <c r="Y3566" s="1" t="s">
        <v>1515</v>
      </c>
      <c r="Z3566" s="1" t="str">
        <f t="shared" si="165"/>
        <v>57839 2</v>
      </c>
      <c r="AA3566" s="3">
        <f>IF(INDEX('CAMD Facility Data 2023'!$AA$2:$AE$10000,MATCH(Z3566,'CAMD Facility Data 2023'!$AE$2:$AE$10000,0),1)&gt;0,INDEX('CAMD Facility Data 2023'!$AA$2:$AE$10000,MATCH(Z3566,'CAMD Facility Data 2023'!$AE$2:$AE$10000,0),1),"")</f>
        <v>42302</v>
      </c>
      <c r="AB3566" s="5">
        <f>IF(INDEX('CAMD Facility Data 2023'!$AC$2:$AE$10000,MATCH(Z3566,'CAMD Facility Data 2023'!$AE$2:$AE$10000,0),1)&gt;0,INDEX('CAMD Facility Data 2023'!$AC$2:$AE$10000,MATCH(Z3566,'CAMD Facility Data 2023'!$AE$2:$AE$10000,0),1),"")</f>
        <v>2807</v>
      </c>
      <c r="AC3566" s="1" t="str">
        <f>IF(INDEX('CAMD Facility Data 2023'!$AE$2:$AG$10000,MATCH(Z3566,'CAMD Facility Data 2023'!$AE$2:$AE$10000,0),3)&gt;0,INDEX('CAMD Facility Data 2023'!$AE$2:$AG$10000,MATCH(Z3566,'CAMD Facility Data 2023'!$AE$2:$AE$10000,0),3),"")</f>
        <v>Y</v>
      </c>
      <c r="AD3566" s="20">
        <f t="shared" si="166"/>
        <v>3.7804377576609219E-2</v>
      </c>
      <c r="AE3566" s="25">
        <f t="shared" si="167"/>
        <v>0.56218546535650438</v>
      </c>
    </row>
    <row r="3567" spans="1:31" x14ac:dyDescent="0.2">
      <c r="A3567" s="1" t="s">
        <v>1071</v>
      </c>
      <c r="B3567" s="1" t="s">
        <v>7897</v>
      </c>
      <c r="C3567" s="1">
        <v>57842</v>
      </c>
      <c r="D3567" s="1">
        <v>1</v>
      </c>
      <c r="F3567" s="1">
        <v>2023</v>
      </c>
      <c r="G3567" s="5">
        <v>2957</v>
      </c>
      <c r="H3567" s="5">
        <v>2746.99</v>
      </c>
      <c r="I3567" s="5">
        <v>430272.11</v>
      </c>
      <c r="K3567" s="5">
        <v>1.351</v>
      </c>
      <c r="L3567" s="5">
        <v>1E-3</v>
      </c>
      <c r="M3567" s="5">
        <v>267618.065</v>
      </c>
      <c r="N3567" s="6">
        <v>5.8999999999999997E-2</v>
      </c>
      <c r="O3567" s="5">
        <v>101.998</v>
      </c>
      <c r="P3567" s="6">
        <v>5.5599999999999997E-2</v>
      </c>
      <c r="Q3567" s="5">
        <v>4503184.7410000004</v>
      </c>
      <c r="R3567" s="1" t="s">
        <v>44</v>
      </c>
      <c r="T3567" s="1" t="s">
        <v>93</v>
      </c>
      <c r="V3567" s="1" t="s">
        <v>140</v>
      </c>
      <c r="Y3567" s="1" t="s">
        <v>461</v>
      </c>
      <c r="Z3567" s="1" t="str">
        <f t="shared" si="165"/>
        <v>57842 1</v>
      </c>
      <c r="AA3567" s="3">
        <f>IF(INDEX('CAMD Facility Data 2023'!$AA$2:$AE$10000,MATCH(Z3567,'CAMD Facility Data 2023'!$AE$2:$AE$10000,0),1)&gt;0,INDEX('CAMD Facility Data 2023'!$AA$2:$AE$10000,MATCH(Z3567,'CAMD Facility Data 2023'!$AE$2:$AE$10000,0),1),"")</f>
        <v>19709</v>
      </c>
      <c r="AB3567" s="5">
        <f>IF(INDEX('CAMD Facility Data 2023'!$AC$2:$AE$10000,MATCH(Z3567,'CAMD Facility Data 2023'!$AE$2:$AE$10000,0),1)&gt;0,INDEX('CAMD Facility Data 2023'!$AC$2:$AE$10000,MATCH(Z3567,'CAMD Facility Data 2023'!$AE$2:$AE$10000,0),1),"")</f>
        <v>2200</v>
      </c>
      <c r="AC3567" s="1" t="str">
        <f>IF(INDEX('CAMD Facility Data 2023'!$AE$2:$AG$10000,MATCH(Z3567,'CAMD Facility Data 2023'!$AE$2:$AE$10000,0),3)&gt;0,INDEX('CAMD Facility Data 2023'!$AE$2:$AG$10000,MATCH(Z3567,'CAMD Facility Data 2023'!$AE$2:$AE$10000,0),3),"")</f>
        <v/>
      </c>
      <c r="AD3567" s="20">
        <f t="shared" si="166"/>
        <v>0.47410927935812525</v>
      </c>
      <c r="AE3567" s="25">
        <f t="shared" si="167"/>
        <v>0.23366462956621006</v>
      </c>
    </row>
    <row r="3568" spans="1:31" x14ac:dyDescent="0.2">
      <c r="A3568" s="1" t="s">
        <v>383</v>
      </c>
      <c r="B3568" s="1" t="s">
        <v>7900</v>
      </c>
      <c r="C3568" s="1">
        <v>57865</v>
      </c>
      <c r="D3568" s="1">
        <v>1</v>
      </c>
      <c r="F3568" s="1">
        <v>2023</v>
      </c>
      <c r="G3568" s="5">
        <v>2921</v>
      </c>
      <c r="H3568" s="5">
        <v>2653.23</v>
      </c>
      <c r="I3568" s="5">
        <v>400931.56</v>
      </c>
      <c r="K3568" s="5">
        <v>1.1559999999999999</v>
      </c>
      <c r="L3568" s="5">
        <v>1E-3</v>
      </c>
      <c r="M3568" s="5">
        <v>229054.51699999999</v>
      </c>
      <c r="N3568" s="6">
        <v>5.8999999999999997E-2</v>
      </c>
      <c r="O3568" s="5">
        <v>48.238999999999997</v>
      </c>
      <c r="P3568" s="6">
        <v>2.7900000000000001E-2</v>
      </c>
      <c r="Q3568" s="5">
        <v>3854239.4780000001</v>
      </c>
      <c r="R3568" s="1" t="s">
        <v>44</v>
      </c>
      <c r="T3568" s="1" t="s">
        <v>93</v>
      </c>
      <c r="V3568" s="1" t="s">
        <v>140</v>
      </c>
      <c r="Y3568" s="1" t="s">
        <v>346</v>
      </c>
      <c r="Z3568" s="1" t="str">
        <f t="shared" si="165"/>
        <v>57865 1</v>
      </c>
      <c r="AA3568" s="3">
        <f>IF(INDEX('CAMD Facility Data 2023'!$AA$2:$AE$10000,MATCH(Z3568,'CAMD Facility Data 2023'!$AE$2:$AE$10000,0),1)&gt;0,INDEX('CAMD Facility Data 2023'!$AA$2:$AE$10000,MATCH(Z3568,'CAMD Facility Data 2023'!$AE$2:$AE$10000,0),1),"")</f>
        <v>42145</v>
      </c>
      <c r="AB3568" s="5">
        <f>IF(INDEX('CAMD Facility Data 2023'!$AC$2:$AE$10000,MATCH(Z3568,'CAMD Facility Data 2023'!$AE$2:$AE$10000,0),1)&gt;0,INDEX('CAMD Facility Data 2023'!$AC$2:$AE$10000,MATCH(Z3568,'CAMD Facility Data 2023'!$AE$2:$AE$10000,0),1),"")</f>
        <v>1941</v>
      </c>
      <c r="AC3568" s="1" t="str">
        <f>IF(INDEX('CAMD Facility Data 2023'!$AE$2:$AG$10000,MATCH(Z3568,'CAMD Facility Data 2023'!$AE$2:$AE$10000,0),3)&gt;0,INDEX('CAMD Facility Data 2023'!$AE$2:$AG$10000,MATCH(Z3568,'CAMD Facility Data 2023'!$AE$2:$AE$10000,0),3),"")</f>
        <v/>
      </c>
      <c r="AD3568" s="20">
        <f t="shared" si="166"/>
        <v>0.24063458611240282</v>
      </c>
      <c r="AE3568" s="25">
        <f t="shared" si="167"/>
        <v>0.22667783388499549</v>
      </c>
    </row>
    <row r="3569" spans="1:31" x14ac:dyDescent="0.2">
      <c r="A3569" s="1" t="s">
        <v>383</v>
      </c>
      <c r="B3569" s="1" t="s">
        <v>7900</v>
      </c>
      <c r="C3569" s="1">
        <v>57865</v>
      </c>
      <c r="D3569" s="1">
        <v>2</v>
      </c>
      <c r="F3569" s="1">
        <v>2023</v>
      </c>
      <c r="G3569" s="5">
        <v>2552</v>
      </c>
      <c r="H3569" s="5">
        <v>2289.37</v>
      </c>
      <c r="I3569" s="5">
        <v>357989.15</v>
      </c>
      <c r="K3569" s="5">
        <v>1.0349999999999999</v>
      </c>
      <c r="L3569" s="5">
        <v>1E-3</v>
      </c>
      <c r="M3569" s="5">
        <v>205097.253</v>
      </c>
      <c r="N3569" s="6">
        <v>5.8999999999999997E-2</v>
      </c>
      <c r="O3569" s="5">
        <v>44.255000000000003</v>
      </c>
      <c r="P3569" s="6">
        <v>2.8299999999999999E-2</v>
      </c>
      <c r="Q3569" s="5">
        <v>3451175.3960000002</v>
      </c>
      <c r="R3569" s="1" t="s">
        <v>44</v>
      </c>
      <c r="T3569" s="1" t="s">
        <v>93</v>
      </c>
      <c r="V3569" s="1" t="s">
        <v>140</v>
      </c>
      <c r="Y3569" s="1" t="s">
        <v>346</v>
      </c>
      <c r="Z3569" s="1" t="str">
        <f t="shared" si="165"/>
        <v>57865 2</v>
      </c>
      <c r="AA3569" s="3">
        <f>IF(INDEX('CAMD Facility Data 2023'!$AA$2:$AE$10000,MATCH(Z3569,'CAMD Facility Data 2023'!$AE$2:$AE$10000,0),1)&gt;0,INDEX('CAMD Facility Data 2023'!$AA$2:$AE$10000,MATCH(Z3569,'CAMD Facility Data 2023'!$AE$2:$AE$10000,0),1),"")</f>
        <v>42474</v>
      </c>
      <c r="AB3569" s="5">
        <f>IF(INDEX('CAMD Facility Data 2023'!$AC$2:$AE$10000,MATCH(Z3569,'CAMD Facility Data 2023'!$AE$2:$AE$10000,0),1)&gt;0,INDEX('CAMD Facility Data 2023'!$AC$2:$AE$10000,MATCH(Z3569,'CAMD Facility Data 2023'!$AE$2:$AE$10000,0),1),"")</f>
        <v>1941</v>
      </c>
      <c r="AC3569" s="1" t="str">
        <f>IF(INDEX('CAMD Facility Data 2023'!$AE$2:$AG$10000,MATCH(Z3569,'CAMD Facility Data 2023'!$AE$2:$AE$10000,0),3)&gt;0,INDEX('CAMD Facility Data 2023'!$AE$2:$AG$10000,MATCH(Z3569,'CAMD Facility Data 2023'!$AE$2:$AE$10000,0),3),"")</f>
        <v/>
      </c>
      <c r="AD3569" s="20">
        <f t="shared" si="166"/>
        <v>0.24724213010366375</v>
      </c>
      <c r="AE3569" s="25">
        <f t="shared" si="167"/>
        <v>0.20297258838945231</v>
      </c>
    </row>
    <row r="3570" spans="1:31" x14ac:dyDescent="0.2">
      <c r="A3570" s="1" t="s">
        <v>383</v>
      </c>
      <c r="B3570" s="1" t="s">
        <v>7900</v>
      </c>
      <c r="C3570" s="1">
        <v>57865</v>
      </c>
      <c r="D3570" s="1">
        <v>3</v>
      </c>
      <c r="F3570" s="1">
        <v>2023</v>
      </c>
      <c r="G3570" s="5">
        <v>1399</v>
      </c>
      <c r="H3570" s="5">
        <v>1228.3499999999999</v>
      </c>
      <c r="I3570" s="5">
        <v>184018.65</v>
      </c>
      <c r="K3570" s="5">
        <v>0.54</v>
      </c>
      <c r="L3570" s="5">
        <v>1E-3</v>
      </c>
      <c r="M3570" s="5">
        <v>107059.27099999999</v>
      </c>
      <c r="N3570" s="6">
        <v>5.8999999999999997E-2</v>
      </c>
      <c r="O3570" s="5">
        <v>24.414999999999999</v>
      </c>
      <c r="P3570" s="6">
        <v>3.2199999999999999E-2</v>
      </c>
      <c r="Q3570" s="5">
        <v>1801481.66</v>
      </c>
      <c r="R3570" s="1" t="s">
        <v>44</v>
      </c>
      <c r="T3570" s="1" t="s">
        <v>93</v>
      </c>
      <c r="V3570" s="1" t="s">
        <v>140</v>
      </c>
      <c r="Y3570" s="1" t="s">
        <v>346</v>
      </c>
      <c r="Z3570" s="1" t="str">
        <f t="shared" si="165"/>
        <v>57865 3</v>
      </c>
      <c r="AA3570" s="3">
        <f>IF(INDEX('CAMD Facility Data 2023'!$AA$2:$AE$10000,MATCH(Z3570,'CAMD Facility Data 2023'!$AE$2:$AE$10000,0),1)&gt;0,INDEX('CAMD Facility Data 2023'!$AA$2:$AE$10000,MATCH(Z3570,'CAMD Facility Data 2023'!$AE$2:$AE$10000,0),1),"")</f>
        <v>42478</v>
      </c>
      <c r="AB3570" s="5">
        <f>IF(INDEX('CAMD Facility Data 2023'!$AC$2:$AE$10000,MATCH(Z3570,'CAMD Facility Data 2023'!$AE$2:$AE$10000,0),1)&gt;0,INDEX('CAMD Facility Data 2023'!$AC$2:$AE$10000,MATCH(Z3570,'CAMD Facility Data 2023'!$AE$2:$AE$10000,0),1),"")</f>
        <v>1941</v>
      </c>
      <c r="AC3570" s="1" t="str">
        <f>IF(INDEX('CAMD Facility Data 2023'!$AE$2:$AG$10000,MATCH(Z3570,'CAMD Facility Data 2023'!$AE$2:$AE$10000,0),3)&gt;0,INDEX('CAMD Facility Data 2023'!$AE$2:$AG$10000,MATCH(Z3570,'CAMD Facility Data 2023'!$AE$2:$AE$10000,0),3),"")</f>
        <v/>
      </c>
      <c r="AD3570" s="20">
        <f t="shared" si="166"/>
        <v>0.26535353889401969</v>
      </c>
      <c r="AE3570" s="25">
        <f t="shared" si="167"/>
        <v>0.10594981521081963</v>
      </c>
    </row>
    <row r="3571" spans="1:31" x14ac:dyDescent="0.2">
      <c r="A3571" s="1" t="s">
        <v>2411</v>
      </c>
      <c r="B3571" s="1" t="s">
        <v>7906</v>
      </c>
      <c r="C3571" s="1">
        <v>57881</v>
      </c>
      <c r="D3571" s="1" t="s">
        <v>311</v>
      </c>
      <c r="F3571" s="1">
        <v>2023</v>
      </c>
      <c r="G3571" s="5">
        <v>5824</v>
      </c>
      <c r="H3571" s="5">
        <v>5540.73</v>
      </c>
      <c r="I3571" s="5">
        <v>191094.32</v>
      </c>
      <c r="K3571" s="5">
        <v>0.61099999999999999</v>
      </c>
      <c r="L3571" s="5">
        <v>1E-3</v>
      </c>
      <c r="M3571" s="5">
        <v>121086.799</v>
      </c>
      <c r="N3571" s="6">
        <v>5.9200000000000003E-2</v>
      </c>
      <c r="O3571" s="5">
        <v>12.445</v>
      </c>
      <c r="P3571" s="6">
        <v>1.43E-2</v>
      </c>
      <c r="Q3571" s="5">
        <v>2037503.6669999999</v>
      </c>
      <c r="R3571" s="1" t="s">
        <v>44</v>
      </c>
      <c r="T3571" s="1" t="s">
        <v>93</v>
      </c>
      <c r="V3571" s="1" t="s">
        <v>176</v>
      </c>
      <c r="Y3571" s="1" t="s">
        <v>247</v>
      </c>
      <c r="Z3571" s="1" t="str">
        <f t="shared" si="165"/>
        <v>57881 CT1</v>
      </c>
      <c r="AA3571" s="3">
        <f>IF(INDEX('CAMD Facility Data 2023'!$AA$2:$AE$10000,MATCH(Z3571,'CAMD Facility Data 2023'!$AE$2:$AE$10000,0),1)&gt;0,INDEX('CAMD Facility Data 2023'!$AA$2:$AE$10000,MATCH(Z3571,'CAMD Facility Data 2023'!$AE$2:$AE$10000,0),1),"")</f>
        <v>41482</v>
      </c>
      <c r="AB3571" s="5">
        <f>IF(INDEX('CAMD Facility Data 2023'!$AC$2:$AE$10000,MATCH(Z3571,'CAMD Facility Data 2023'!$AE$2:$AE$10000,0),1)&gt;0,INDEX('CAMD Facility Data 2023'!$AC$2:$AE$10000,MATCH(Z3571,'CAMD Facility Data 2023'!$AE$2:$AE$10000,0),1),"")</f>
        <v>460</v>
      </c>
      <c r="AC3571" s="1" t="str">
        <f>IF(INDEX('CAMD Facility Data 2023'!$AE$2:$AG$10000,MATCH(Z3571,'CAMD Facility Data 2023'!$AE$2:$AE$10000,0),3)&gt;0,INDEX('CAMD Facility Data 2023'!$AE$2:$AG$10000,MATCH(Z3571,'CAMD Facility Data 2023'!$AE$2:$AE$10000,0),3),"")</f>
        <v>Y</v>
      </c>
      <c r="AD3571" s="20">
        <f t="shared" si="166"/>
        <v>0.13024981590242976</v>
      </c>
      <c r="AE3571" s="25">
        <f t="shared" si="167"/>
        <v>0.50563422349612863</v>
      </c>
    </row>
    <row r="3572" spans="1:31" x14ac:dyDescent="0.2">
      <c r="A3572" s="1" t="s">
        <v>2411</v>
      </c>
      <c r="B3572" s="1" t="s">
        <v>7906</v>
      </c>
      <c r="C3572" s="1">
        <v>57881</v>
      </c>
      <c r="D3572" s="1" t="s">
        <v>98</v>
      </c>
      <c r="F3572" s="1">
        <v>2023</v>
      </c>
      <c r="G3572" s="5">
        <v>5818</v>
      </c>
      <c r="H3572" s="5">
        <v>5621.25</v>
      </c>
      <c r="I3572" s="5">
        <v>202153.52</v>
      </c>
      <c r="K3572" s="5">
        <v>0.64100000000000001</v>
      </c>
      <c r="L3572" s="5">
        <v>1E-3</v>
      </c>
      <c r="M3572" s="5">
        <v>126873.58199999999</v>
      </c>
      <c r="N3572" s="6">
        <v>5.9200000000000003E-2</v>
      </c>
      <c r="O3572" s="5">
        <v>13.526</v>
      </c>
      <c r="P3572" s="6">
        <v>1.46E-2</v>
      </c>
      <c r="Q3572" s="5">
        <v>2134902.9619999998</v>
      </c>
      <c r="R3572" s="1" t="s">
        <v>44</v>
      </c>
      <c r="T3572" s="1" t="s">
        <v>93</v>
      </c>
      <c r="V3572" s="1" t="s">
        <v>176</v>
      </c>
      <c r="Y3572" s="1" t="s">
        <v>247</v>
      </c>
      <c r="Z3572" s="1" t="str">
        <f t="shared" si="165"/>
        <v>57881 CT2</v>
      </c>
      <c r="AA3572" s="3">
        <f>IF(INDEX('CAMD Facility Data 2023'!$AA$2:$AE$10000,MATCH(Z3572,'CAMD Facility Data 2023'!$AE$2:$AE$10000,0),1)&gt;0,INDEX('CAMD Facility Data 2023'!$AA$2:$AE$10000,MATCH(Z3572,'CAMD Facility Data 2023'!$AE$2:$AE$10000,0),1),"")</f>
        <v>41629</v>
      </c>
      <c r="AB3572" s="5">
        <f>IF(INDEX('CAMD Facility Data 2023'!$AC$2:$AE$10000,MATCH(Z3572,'CAMD Facility Data 2023'!$AE$2:$AE$10000,0),1)&gt;0,INDEX('CAMD Facility Data 2023'!$AC$2:$AE$10000,MATCH(Z3572,'CAMD Facility Data 2023'!$AE$2:$AE$10000,0),1),"")</f>
        <v>460</v>
      </c>
      <c r="AC3572" s="1" t="str">
        <f>IF(INDEX('CAMD Facility Data 2023'!$AE$2:$AG$10000,MATCH(Z3572,'CAMD Facility Data 2023'!$AE$2:$AE$10000,0),3)&gt;0,INDEX('CAMD Facility Data 2023'!$AE$2:$AG$10000,MATCH(Z3572,'CAMD Facility Data 2023'!$AE$2:$AE$10000,0),3),"")</f>
        <v>Y</v>
      </c>
      <c r="AD3572" s="20">
        <f t="shared" si="166"/>
        <v>0.13381908957113386</v>
      </c>
      <c r="AE3572" s="25">
        <f t="shared" si="167"/>
        <v>0.52980518215207462</v>
      </c>
    </row>
    <row r="3573" spans="1:31" x14ac:dyDescent="0.2">
      <c r="A3573" s="1" t="s">
        <v>2411</v>
      </c>
      <c r="B3573" s="1" t="s">
        <v>7906</v>
      </c>
      <c r="C3573" s="1">
        <v>57881</v>
      </c>
      <c r="D3573" s="1" t="s">
        <v>101</v>
      </c>
      <c r="F3573" s="1">
        <v>2023</v>
      </c>
      <c r="G3573" s="5">
        <v>2795</v>
      </c>
      <c r="H3573" s="5">
        <v>2679.5</v>
      </c>
      <c r="I3573" s="5">
        <v>98507.67</v>
      </c>
      <c r="K3573" s="5">
        <v>0.30499999999999999</v>
      </c>
      <c r="L3573" s="5">
        <v>1E-3</v>
      </c>
      <c r="M3573" s="5">
        <v>60367.777999999998</v>
      </c>
      <c r="N3573" s="6">
        <v>5.9200000000000003E-2</v>
      </c>
      <c r="O3573" s="5">
        <v>5.3129999999999997</v>
      </c>
      <c r="P3573" s="6">
        <v>1.3599999999999999E-2</v>
      </c>
      <c r="Q3573" s="5">
        <v>1015773.798</v>
      </c>
      <c r="R3573" s="1" t="s">
        <v>44</v>
      </c>
      <c r="T3573" s="1" t="s">
        <v>93</v>
      </c>
      <c r="V3573" s="1" t="s">
        <v>176</v>
      </c>
      <c r="Y3573" s="1" t="s">
        <v>247</v>
      </c>
      <c r="Z3573" s="1" t="str">
        <f t="shared" si="165"/>
        <v>57881 CT3</v>
      </c>
      <c r="AA3573" s="3">
        <f>IF(INDEX('CAMD Facility Data 2023'!$AA$2:$AE$10000,MATCH(Z3573,'CAMD Facility Data 2023'!$AE$2:$AE$10000,0),1)&gt;0,INDEX('CAMD Facility Data 2023'!$AA$2:$AE$10000,MATCH(Z3573,'CAMD Facility Data 2023'!$AE$2:$AE$10000,0),1),"")</f>
        <v>41674</v>
      </c>
      <c r="AB3573" s="5">
        <f>IF(INDEX('CAMD Facility Data 2023'!$AC$2:$AE$10000,MATCH(Z3573,'CAMD Facility Data 2023'!$AE$2:$AE$10000,0),1)&gt;0,INDEX('CAMD Facility Data 2023'!$AC$2:$AE$10000,MATCH(Z3573,'CAMD Facility Data 2023'!$AE$2:$AE$10000,0),1),"")</f>
        <v>451</v>
      </c>
      <c r="AC3573" s="1" t="str">
        <f>IF(INDEX('CAMD Facility Data 2023'!$AE$2:$AG$10000,MATCH(Z3573,'CAMD Facility Data 2023'!$AE$2:$AE$10000,0),3)&gt;0,INDEX('CAMD Facility Data 2023'!$AE$2:$AG$10000,MATCH(Z3573,'CAMD Facility Data 2023'!$AE$2:$AE$10000,0),3),"")</f>
        <v>Y</v>
      </c>
      <c r="AD3573" s="20">
        <f t="shared" si="166"/>
        <v>0.10786977298315958</v>
      </c>
      <c r="AE3573" s="25">
        <f t="shared" si="167"/>
        <v>0.25710845457582843</v>
      </c>
    </row>
    <row r="3574" spans="1:31" x14ac:dyDescent="0.2">
      <c r="A3574" s="1" t="s">
        <v>2411</v>
      </c>
      <c r="B3574" s="1" t="s">
        <v>7912</v>
      </c>
      <c r="C3574" s="1">
        <v>57943</v>
      </c>
      <c r="D3574" s="1" t="s">
        <v>311</v>
      </c>
      <c r="F3574" s="1">
        <v>2023</v>
      </c>
      <c r="G3574" s="5">
        <v>6834</v>
      </c>
      <c r="H3574" s="5">
        <v>6613.7</v>
      </c>
      <c r="I3574" s="5">
        <v>251674.46</v>
      </c>
      <c r="K3574" s="5">
        <v>0.71499999999999997</v>
      </c>
      <c r="L3574" s="5">
        <v>1E-3</v>
      </c>
      <c r="M3574" s="5">
        <v>141685.02799999999</v>
      </c>
      <c r="N3574" s="6">
        <v>5.9200000000000003E-2</v>
      </c>
      <c r="O3574" s="5">
        <v>12.411</v>
      </c>
      <c r="P3574" s="6">
        <v>1.21E-2</v>
      </c>
      <c r="Q3574" s="5">
        <v>2384106.071</v>
      </c>
      <c r="R3574" s="1" t="s">
        <v>44</v>
      </c>
      <c r="T3574" s="1" t="s">
        <v>93</v>
      </c>
      <c r="V3574" s="1" t="s">
        <v>64</v>
      </c>
      <c r="Y3574" s="1" t="s">
        <v>247</v>
      </c>
      <c r="Z3574" s="1" t="str">
        <f t="shared" si="165"/>
        <v>57943 CT1</v>
      </c>
      <c r="AA3574" s="3">
        <f>IF(INDEX('CAMD Facility Data 2023'!$AA$2:$AE$10000,MATCH(Z3574,'CAMD Facility Data 2023'!$AE$2:$AE$10000,0),1)&gt;0,INDEX('CAMD Facility Data 2023'!$AA$2:$AE$10000,MATCH(Z3574,'CAMD Facility Data 2023'!$AE$2:$AE$10000,0),1),"")</f>
        <v>41571</v>
      </c>
      <c r="AB3574" s="5">
        <f>IF(INDEX('CAMD Facility Data 2023'!$AC$2:$AE$10000,MATCH(Z3574,'CAMD Facility Data 2023'!$AE$2:$AE$10000,0),1)&gt;0,INDEX('CAMD Facility Data 2023'!$AC$2:$AE$10000,MATCH(Z3574,'CAMD Facility Data 2023'!$AE$2:$AE$10000,0),1),"")</f>
        <v>495</v>
      </c>
      <c r="AC3574" s="1" t="str">
        <f>IF(INDEX('CAMD Facility Data 2023'!$AE$2:$AG$10000,MATCH(Z3574,'CAMD Facility Data 2023'!$AE$2:$AE$10000,0),3)&gt;0,INDEX('CAMD Facility Data 2023'!$AE$2:$AG$10000,MATCH(Z3574,'CAMD Facility Data 2023'!$AE$2:$AE$10000,0),3),"")</f>
        <v>Y</v>
      </c>
      <c r="AD3574" s="20">
        <f t="shared" si="166"/>
        <v>9.8627409392276044E-2</v>
      </c>
      <c r="AE3574" s="25">
        <f t="shared" si="167"/>
        <v>0.54981460057192932</v>
      </c>
    </row>
    <row r="3575" spans="1:31" x14ac:dyDescent="0.2">
      <c r="A3575" s="1" t="s">
        <v>2411</v>
      </c>
      <c r="B3575" s="1" t="s">
        <v>7912</v>
      </c>
      <c r="C3575" s="1">
        <v>57943</v>
      </c>
      <c r="D3575" s="1" t="s">
        <v>98</v>
      </c>
      <c r="F3575" s="1">
        <v>2023</v>
      </c>
      <c r="G3575" s="5">
        <v>6508</v>
      </c>
      <c r="H3575" s="5">
        <v>6346.2</v>
      </c>
      <c r="I3575" s="5">
        <v>236541.19</v>
      </c>
      <c r="K3575" s="5">
        <v>0.66500000000000004</v>
      </c>
      <c r="L3575" s="5">
        <v>1E-3</v>
      </c>
      <c r="M3575" s="5">
        <v>131628.541</v>
      </c>
      <c r="N3575" s="6">
        <v>5.9299999999999999E-2</v>
      </c>
      <c r="O3575" s="5">
        <v>12.33</v>
      </c>
      <c r="P3575" s="6">
        <v>1.2500000000000001E-2</v>
      </c>
      <c r="Q3575" s="5">
        <v>2214919.9410000001</v>
      </c>
      <c r="R3575" s="1" t="s">
        <v>44</v>
      </c>
      <c r="T3575" s="1" t="s">
        <v>93</v>
      </c>
      <c r="V3575" s="1" t="s">
        <v>64</v>
      </c>
      <c r="Y3575" s="1" t="s">
        <v>247</v>
      </c>
      <c r="Z3575" s="1" t="str">
        <f t="shared" si="165"/>
        <v>57943 CT2</v>
      </c>
      <c r="AA3575" s="3">
        <f>IF(INDEX('CAMD Facility Data 2023'!$AA$2:$AE$10000,MATCH(Z3575,'CAMD Facility Data 2023'!$AE$2:$AE$10000,0),1)&gt;0,INDEX('CAMD Facility Data 2023'!$AA$2:$AE$10000,MATCH(Z3575,'CAMD Facility Data 2023'!$AE$2:$AE$10000,0),1),"")</f>
        <v>41996</v>
      </c>
      <c r="AB3575" s="5">
        <f>IF(INDEX('CAMD Facility Data 2023'!$AC$2:$AE$10000,MATCH(Z3575,'CAMD Facility Data 2023'!$AE$2:$AE$10000,0),1)&gt;0,INDEX('CAMD Facility Data 2023'!$AC$2:$AE$10000,MATCH(Z3575,'CAMD Facility Data 2023'!$AE$2:$AE$10000,0),1),"")</f>
        <v>495</v>
      </c>
      <c r="AC3575" s="1" t="str">
        <f>IF(INDEX('CAMD Facility Data 2023'!$AE$2:$AG$10000,MATCH(Z3575,'CAMD Facility Data 2023'!$AE$2:$AE$10000,0),3)&gt;0,INDEX('CAMD Facility Data 2023'!$AE$2:$AG$10000,MATCH(Z3575,'CAMD Facility Data 2023'!$AE$2:$AE$10000,0),3),"")</f>
        <v>Y</v>
      </c>
      <c r="AD3575" s="20">
        <f t="shared" si="166"/>
        <v>0.10425245598874344</v>
      </c>
      <c r="AE3575" s="25">
        <f t="shared" si="167"/>
        <v>0.51079745883492467</v>
      </c>
    </row>
    <row r="3576" spans="1:31" x14ac:dyDescent="0.2">
      <c r="A3576" s="1" t="s">
        <v>2411</v>
      </c>
      <c r="B3576" s="1" t="s">
        <v>7912</v>
      </c>
      <c r="C3576" s="1">
        <v>57943</v>
      </c>
      <c r="D3576" s="1" t="s">
        <v>101</v>
      </c>
      <c r="F3576" s="1">
        <v>2023</v>
      </c>
      <c r="G3576" s="5">
        <v>4834</v>
      </c>
      <c r="H3576" s="5">
        <v>4792.2</v>
      </c>
      <c r="I3576" s="5">
        <v>179396.15</v>
      </c>
      <c r="K3576" s="5">
        <v>0.52100000000000002</v>
      </c>
      <c r="L3576" s="5">
        <v>1E-3</v>
      </c>
      <c r="M3576" s="5">
        <v>103184.99099999999</v>
      </c>
      <c r="N3576" s="6">
        <v>5.9299999999999999E-2</v>
      </c>
      <c r="O3576" s="5">
        <v>7.9530000000000003</v>
      </c>
      <c r="P3576" s="6">
        <v>9.4999999999999998E-3</v>
      </c>
      <c r="Q3576" s="5">
        <v>1736245.6189999999</v>
      </c>
      <c r="R3576" s="1" t="s">
        <v>44</v>
      </c>
      <c r="T3576" s="1" t="s">
        <v>93</v>
      </c>
      <c r="V3576" s="1" t="s">
        <v>64</v>
      </c>
      <c r="Y3576" s="1" t="s">
        <v>247</v>
      </c>
      <c r="Z3576" s="1" t="str">
        <f t="shared" si="165"/>
        <v>57943 CT3</v>
      </c>
      <c r="AA3576" s="3">
        <f>IF(INDEX('CAMD Facility Data 2023'!$AA$2:$AE$10000,MATCH(Z3576,'CAMD Facility Data 2023'!$AE$2:$AE$10000,0),1)&gt;0,INDEX('CAMD Facility Data 2023'!$AA$2:$AE$10000,MATCH(Z3576,'CAMD Facility Data 2023'!$AE$2:$AE$10000,0),1),"")</f>
        <v>41996</v>
      </c>
      <c r="AB3576" s="5">
        <f>IF(INDEX('CAMD Facility Data 2023'!$AC$2:$AE$10000,MATCH(Z3576,'CAMD Facility Data 2023'!$AE$2:$AE$10000,0),1)&gt;0,INDEX('CAMD Facility Data 2023'!$AC$2:$AE$10000,MATCH(Z3576,'CAMD Facility Data 2023'!$AE$2:$AE$10000,0),1),"")</f>
        <v>495</v>
      </c>
      <c r="AC3576" s="1" t="str">
        <f>IF(INDEX('CAMD Facility Data 2023'!$AE$2:$AG$10000,MATCH(Z3576,'CAMD Facility Data 2023'!$AE$2:$AE$10000,0),3)&gt;0,INDEX('CAMD Facility Data 2023'!$AE$2:$AG$10000,MATCH(Z3576,'CAMD Facility Data 2023'!$AE$2:$AE$10000,0),3),"")</f>
        <v>Y</v>
      </c>
      <c r="AD3576" s="20">
        <f t="shared" si="166"/>
        <v>8.8664110127224027E-2</v>
      </c>
      <c r="AE3576" s="25">
        <f t="shared" si="167"/>
        <v>0.40040718117245511</v>
      </c>
    </row>
    <row r="3577" spans="1:31" x14ac:dyDescent="0.2">
      <c r="A3577" s="1" t="s">
        <v>2411</v>
      </c>
      <c r="B3577" s="1" t="s">
        <v>7912</v>
      </c>
      <c r="C3577" s="1">
        <v>57943</v>
      </c>
      <c r="D3577" s="1" t="s">
        <v>103</v>
      </c>
      <c r="F3577" s="1">
        <v>2023</v>
      </c>
      <c r="G3577" s="5">
        <v>4810</v>
      </c>
      <c r="H3577" s="5">
        <v>4647.0600000000004</v>
      </c>
      <c r="I3577" s="5">
        <v>168004.27</v>
      </c>
      <c r="K3577" s="5">
        <v>0.48199999999999998</v>
      </c>
      <c r="L3577" s="5">
        <v>1E-3</v>
      </c>
      <c r="M3577" s="5">
        <v>95443.342999999993</v>
      </c>
      <c r="N3577" s="6">
        <v>5.9200000000000003E-2</v>
      </c>
      <c r="O3577" s="5">
        <v>10.544</v>
      </c>
      <c r="P3577" s="6">
        <v>1.4E-2</v>
      </c>
      <c r="Q3577" s="5">
        <v>1606088.4480000001</v>
      </c>
      <c r="R3577" s="1" t="s">
        <v>44</v>
      </c>
      <c r="T3577" s="1" t="s">
        <v>93</v>
      </c>
      <c r="V3577" s="1" t="s">
        <v>64</v>
      </c>
      <c r="Y3577" s="1" t="s">
        <v>247</v>
      </c>
      <c r="Z3577" s="1" t="str">
        <f t="shared" si="165"/>
        <v>57943 CT4</v>
      </c>
      <c r="AA3577" s="3">
        <f>IF(INDEX('CAMD Facility Data 2023'!$AA$2:$AE$10000,MATCH(Z3577,'CAMD Facility Data 2023'!$AE$2:$AE$10000,0),1)&gt;0,INDEX('CAMD Facility Data 2023'!$AA$2:$AE$10000,MATCH(Z3577,'CAMD Facility Data 2023'!$AE$2:$AE$10000,0),1),"")</f>
        <v>42463</v>
      </c>
      <c r="AB3577" s="5">
        <f>IF(INDEX('CAMD Facility Data 2023'!$AC$2:$AE$10000,MATCH(Z3577,'CAMD Facility Data 2023'!$AE$2:$AE$10000,0),1)&gt;0,INDEX('CAMD Facility Data 2023'!$AC$2:$AE$10000,MATCH(Z3577,'CAMD Facility Data 2023'!$AE$2:$AE$10000,0),1),"")</f>
        <v>495</v>
      </c>
      <c r="AC3577" s="1" t="str">
        <f>IF(INDEX('CAMD Facility Data 2023'!$AE$2:$AG$10000,MATCH(Z3577,'CAMD Facility Data 2023'!$AE$2:$AE$10000,0),3)&gt;0,INDEX('CAMD Facility Data 2023'!$AE$2:$AG$10000,MATCH(Z3577,'CAMD Facility Data 2023'!$AE$2:$AE$10000,0),3),"")</f>
        <v>Y</v>
      </c>
      <c r="AD3577" s="20">
        <f t="shared" si="166"/>
        <v>0.12552061920807134</v>
      </c>
      <c r="AE3577" s="25">
        <f t="shared" si="167"/>
        <v>0.37039076795350773</v>
      </c>
    </row>
    <row r="3578" spans="1:31" x14ac:dyDescent="0.2">
      <c r="A3578" s="1" t="s">
        <v>2411</v>
      </c>
      <c r="B3578" s="1" t="s">
        <v>7912</v>
      </c>
      <c r="C3578" s="1">
        <v>57943</v>
      </c>
      <c r="D3578" s="1" t="s">
        <v>105</v>
      </c>
      <c r="F3578" s="1">
        <v>2023</v>
      </c>
      <c r="G3578" s="5">
        <v>4706</v>
      </c>
      <c r="H3578" s="5">
        <v>4523.0200000000004</v>
      </c>
      <c r="I3578" s="5">
        <v>171755.69</v>
      </c>
      <c r="K3578" s="5">
        <v>0.47099999999999997</v>
      </c>
      <c r="L3578" s="5">
        <v>1E-3</v>
      </c>
      <c r="M3578" s="5">
        <v>93268.85</v>
      </c>
      <c r="N3578" s="6">
        <v>5.9299999999999999E-2</v>
      </c>
      <c r="O3578" s="5">
        <v>9.173</v>
      </c>
      <c r="P3578" s="6">
        <v>1.35E-2</v>
      </c>
      <c r="Q3578" s="5">
        <v>1569401.31</v>
      </c>
      <c r="R3578" s="1" t="s">
        <v>44</v>
      </c>
      <c r="T3578" s="1" t="s">
        <v>93</v>
      </c>
      <c r="V3578" s="1" t="s">
        <v>64</v>
      </c>
      <c r="Y3578" s="1" t="s">
        <v>247</v>
      </c>
      <c r="Z3578" s="1" t="str">
        <f t="shared" si="165"/>
        <v>57943 CT5</v>
      </c>
      <c r="AA3578" s="3">
        <f>IF(INDEX('CAMD Facility Data 2023'!$AA$2:$AE$10000,MATCH(Z3578,'CAMD Facility Data 2023'!$AE$2:$AE$10000,0),1)&gt;0,INDEX('CAMD Facility Data 2023'!$AA$2:$AE$10000,MATCH(Z3578,'CAMD Facility Data 2023'!$AE$2:$AE$10000,0),1),"")</f>
        <v>42467</v>
      </c>
      <c r="AB3578" s="5">
        <f>IF(INDEX('CAMD Facility Data 2023'!$AC$2:$AE$10000,MATCH(Z3578,'CAMD Facility Data 2023'!$AE$2:$AE$10000,0),1)&gt;0,INDEX('CAMD Facility Data 2023'!$AC$2:$AE$10000,MATCH(Z3578,'CAMD Facility Data 2023'!$AE$2:$AE$10000,0),1),"")</f>
        <v>495</v>
      </c>
      <c r="AC3578" s="1" t="str">
        <f>IF(INDEX('CAMD Facility Data 2023'!$AE$2:$AG$10000,MATCH(Z3578,'CAMD Facility Data 2023'!$AE$2:$AE$10000,0),3)&gt;0,INDEX('CAMD Facility Data 2023'!$AE$2:$AG$10000,MATCH(Z3578,'CAMD Facility Data 2023'!$AE$2:$AE$10000,0),3),"")</f>
        <v>Y</v>
      </c>
      <c r="AD3578" s="20">
        <f t="shared" si="166"/>
        <v>0.10681451077399531</v>
      </c>
      <c r="AE3578" s="25">
        <f t="shared" si="167"/>
        <v>0.36193010239380102</v>
      </c>
    </row>
    <row r="3579" spans="1:31" x14ac:dyDescent="0.2">
      <c r="A3579" s="1" t="s">
        <v>2411</v>
      </c>
      <c r="B3579" s="1" t="s">
        <v>7912</v>
      </c>
      <c r="C3579" s="1">
        <v>57943</v>
      </c>
      <c r="D3579" s="1" t="s">
        <v>107</v>
      </c>
      <c r="F3579" s="1">
        <v>2023</v>
      </c>
      <c r="G3579" s="5">
        <v>4496</v>
      </c>
      <c r="H3579" s="5">
        <v>4347.5</v>
      </c>
      <c r="I3579" s="5">
        <v>163684.07</v>
      </c>
      <c r="K3579" s="5">
        <v>0.45400000000000001</v>
      </c>
      <c r="L3579" s="5">
        <v>1E-3</v>
      </c>
      <c r="M3579" s="5">
        <v>89870.960999999996</v>
      </c>
      <c r="N3579" s="6">
        <v>5.9299999999999999E-2</v>
      </c>
      <c r="O3579" s="5">
        <v>8.4239999999999995</v>
      </c>
      <c r="P3579" s="6">
        <v>1.26E-2</v>
      </c>
      <c r="Q3579" s="5">
        <v>1512260.3030000001</v>
      </c>
      <c r="R3579" s="1" t="s">
        <v>44</v>
      </c>
      <c r="T3579" s="1" t="s">
        <v>93</v>
      </c>
      <c r="V3579" s="1" t="s">
        <v>64</v>
      </c>
      <c r="Y3579" s="1" t="s">
        <v>247</v>
      </c>
      <c r="Z3579" s="1" t="str">
        <f t="shared" si="165"/>
        <v>57943 CT6</v>
      </c>
      <c r="AA3579" s="3">
        <f>IF(INDEX('CAMD Facility Data 2023'!$AA$2:$AE$10000,MATCH(Z3579,'CAMD Facility Data 2023'!$AE$2:$AE$10000,0),1)&gt;0,INDEX('CAMD Facility Data 2023'!$AA$2:$AE$10000,MATCH(Z3579,'CAMD Facility Data 2023'!$AE$2:$AE$10000,0),1),"")</f>
        <v>44412</v>
      </c>
      <c r="AB3579" s="5">
        <f>IF(INDEX('CAMD Facility Data 2023'!$AC$2:$AE$10000,MATCH(Z3579,'CAMD Facility Data 2023'!$AE$2:$AE$10000,0),1)&gt;0,INDEX('CAMD Facility Data 2023'!$AC$2:$AE$10000,MATCH(Z3579,'CAMD Facility Data 2023'!$AE$2:$AE$10000,0),1),"")</f>
        <v>495</v>
      </c>
      <c r="AC3579" s="1" t="str">
        <f>IF(INDEX('CAMD Facility Data 2023'!$AE$2:$AG$10000,MATCH(Z3579,'CAMD Facility Data 2023'!$AE$2:$AE$10000,0),3)&gt;0,INDEX('CAMD Facility Data 2023'!$AE$2:$AG$10000,MATCH(Z3579,'CAMD Facility Data 2023'!$AE$2:$AE$10000,0),3),"")</f>
        <v>Y</v>
      </c>
      <c r="AD3579" s="20">
        <f t="shared" si="166"/>
        <v>0.10292999190452681</v>
      </c>
      <c r="AE3579" s="25">
        <f t="shared" si="167"/>
        <v>0.3487524336977077</v>
      </c>
    </row>
    <row r="3580" spans="1:31" x14ac:dyDescent="0.2">
      <c r="A3580" s="1" t="s">
        <v>370</v>
      </c>
      <c r="B3580" s="1" t="s">
        <v>7918</v>
      </c>
      <c r="C3580" s="1">
        <v>57978</v>
      </c>
      <c r="D3580" s="1" t="s">
        <v>311</v>
      </c>
      <c r="F3580" s="1">
        <v>2023</v>
      </c>
      <c r="G3580" s="5">
        <v>4325</v>
      </c>
      <c r="H3580" s="5">
        <v>4221.1899999999996</v>
      </c>
      <c r="I3580" s="5">
        <v>746207.24</v>
      </c>
      <c r="K3580" s="5">
        <v>2.37</v>
      </c>
      <c r="L3580" s="5">
        <v>1E-3</v>
      </c>
      <c r="M3580" s="5">
        <v>469564.288</v>
      </c>
      <c r="N3580" s="6">
        <v>5.8999999999999997E-2</v>
      </c>
      <c r="O3580" s="5">
        <v>23.428000000000001</v>
      </c>
      <c r="P3580" s="6">
        <v>7.4999999999999997E-3</v>
      </c>
      <c r="Q3580" s="5">
        <v>7901286.085</v>
      </c>
      <c r="R3580" s="1" t="s">
        <v>44</v>
      </c>
      <c r="T3580" s="1" t="s">
        <v>71</v>
      </c>
      <c r="V3580" s="1" t="s">
        <v>223</v>
      </c>
      <c r="Y3580" s="1" t="s">
        <v>247</v>
      </c>
      <c r="Z3580" s="1" t="str">
        <f t="shared" si="165"/>
        <v>57978 CT1</v>
      </c>
      <c r="AA3580" s="3">
        <f>IF(INDEX('CAMD Facility Data 2023'!$AA$2:$AE$10000,MATCH(Z3580,'CAMD Facility Data 2023'!$AE$2:$AE$10000,0),1)&gt;0,INDEX('CAMD Facility Data 2023'!$AA$2:$AE$10000,MATCH(Z3580,'CAMD Facility Data 2023'!$AE$2:$AE$10000,0),1),"")</f>
        <v>41153</v>
      </c>
      <c r="AB3580" s="5">
        <f>IF(INDEX('CAMD Facility Data 2023'!$AC$2:$AE$10000,MATCH(Z3580,'CAMD Facility Data 2023'!$AE$2:$AE$10000,0),1)&gt;0,INDEX('CAMD Facility Data 2023'!$AC$2:$AE$10000,MATCH(Z3580,'CAMD Facility Data 2023'!$AE$2:$AE$10000,0),1),"")</f>
        <v>2250</v>
      </c>
      <c r="AC3580" s="1" t="str">
        <f>IF(INDEX('CAMD Facility Data 2023'!$AE$2:$AG$10000,MATCH(Z3580,'CAMD Facility Data 2023'!$AE$2:$AE$10000,0),3)&gt;0,INDEX('CAMD Facility Data 2023'!$AE$2:$AG$10000,MATCH(Z3580,'CAMD Facility Data 2023'!$AE$2:$AE$10000,0),3),"")</f>
        <v>Y</v>
      </c>
      <c r="AD3580" s="20">
        <f t="shared" si="166"/>
        <v>6.2792207698226035E-2</v>
      </c>
      <c r="AE3580" s="25">
        <f t="shared" si="167"/>
        <v>0.40087702105530187</v>
      </c>
    </row>
    <row r="3581" spans="1:31" x14ac:dyDescent="0.2">
      <c r="A3581" s="1" t="s">
        <v>383</v>
      </c>
      <c r="B3581" s="1" t="s">
        <v>7920</v>
      </c>
      <c r="C3581" s="1">
        <v>58001</v>
      </c>
      <c r="D3581" s="1" t="s">
        <v>1129</v>
      </c>
      <c r="F3581" s="1">
        <v>2023</v>
      </c>
      <c r="G3581" s="5">
        <v>6540</v>
      </c>
      <c r="H3581" s="5">
        <v>6525.42</v>
      </c>
      <c r="I3581" s="5">
        <v>1955593.26</v>
      </c>
      <c r="K3581" s="5">
        <v>4.4560000000000004</v>
      </c>
      <c r="L3581" s="5">
        <v>1E-3</v>
      </c>
      <c r="M3581" s="5">
        <v>882637.38300000003</v>
      </c>
      <c r="N3581" s="6">
        <v>5.8999999999999997E-2</v>
      </c>
      <c r="O3581" s="5">
        <v>52.71</v>
      </c>
      <c r="P3581" s="6">
        <v>7.3000000000000001E-3</v>
      </c>
      <c r="Q3581" s="5">
        <v>14852110.855</v>
      </c>
      <c r="R3581" s="1" t="s">
        <v>44</v>
      </c>
      <c r="T3581" s="1" t="s">
        <v>71</v>
      </c>
      <c r="V3581" s="1" t="s">
        <v>64</v>
      </c>
      <c r="Y3581" s="1" t="s">
        <v>346</v>
      </c>
      <c r="Z3581" s="1" t="str">
        <f t="shared" si="165"/>
        <v>58001 CTG1</v>
      </c>
      <c r="AA3581" s="3">
        <f>IF(INDEX('CAMD Facility Data 2023'!$AA$2:$AE$10000,MATCH(Z3581,'CAMD Facility Data 2023'!$AE$2:$AE$10000,0),1)&gt;0,INDEX('CAMD Facility Data 2023'!$AA$2:$AE$10000,MATCH(Z3581,'CAMD Facility Data 2023'!$AE$2:$AE$10000,0),1),"")</f>
        <v>41764</v>
      </c>
      <c r="AB3581" s="5">
        <f>IF(INDEX('CAMD Facility Data 2023'!$AC$2:$AE$10000,MATCH(Z3581,'CAMD Facility Data 2023'!$AE$2:$AE$10000,0),1)&gt;0,INDEX('CAMD Facility Data 2023'!$AC$2:$AE$10000,MATCH(Z3581,'CAMD Facility Data 2023'!$AE$2:$AE$10000,0),1),"")</f>
        <v>3090</v>
      </c>
      <c r="AC3581" s="1" t="str">
        <f>IF(INDEX('CAMD Facility Data 2023'!$AE$2:$AG$10000,MATCH(Z3581,'CAMD Facility Data 2023'!$AE$2:$AE$10000,0),3)&gt;0,INDEX('CAMD Facility Data 2023'!$AE$2:$AG$10000,MATCH(Z3581,'CAMD Facility Data 2023'!$AE$2:$AE$10000,0),3),"")</f>
        <v>Y</v>
      </c>
      <c r="AD3581" s="20">
        <f t="shared" si="166"/>
        <v>5.3906915183375093E-2</v>
      </c>
      <c r="AE3581" s="25">
        <f t="shared" si="167"/>
        <v>0.54868816978469359</v>
      </c>
    </row>
    <row r="3582" spans="1:31" x14ac:dyDescent="0.2">
      <c r="A3582" s="1" t="s">
        <v>383</v>
      </c>
      <c r="B3582" s="1" t="s">
        <v>7920</v>
      </c>
      <c r="C3582" s="1">
        <v>58001</v>
      </c>
      <c r="D3582" s="1" t="s">
        <v>1135</v>
      </c>
      <c r="F3582" s="1">
        <v>2023</v>
      </c>
      <c r="G3582" s="5">
        <v>6243</v>
      </c>
      <c r="H3582" s="5">
        <v>6225.55</v>
      </c>
      <c r="I3582" s="5">
        <v>1869838.73</v>
      </c>
      <c r="K3582" s="5">
        <v>4.266</v>
      </c>
      <c r="L3582" s="5">
        <v>1E-3</v>
      </c>
      <c r="M3582" s="5">
        <v>844952.88699999999</v>
      </c>
      <c r="N3582" s="6">
        <v>5.8999999999999997E-2</v>
      </c>
      <c r="O3582" s="5">
        <v>50.408000000000001</v>
      </c>
      <c r="P3582" s="6">
        <v>7.1999999999999998E-3</v>
      </c>
      <c r="Q3582" s="5">
        <v>14217976.039000001</v>
      </c>
      <c r="R3582" s="1" t="s">
        <v>44</v>
      </c>
      <c r="T3582" s="1" t="s">
        <v>71</v>
      </c>
      <c r="V3582" s="1" t="s">
        <v>64</v>
      </c>
      <c r="Y3582" s="1" t="s">
        <v>346</v>
      </c>
      <c r="Z3582" s="1" t="str">
        <f t="shared" si="165"/>
        <v>58001 CTG2</v>
      </c>
      <c r="AA3582" s="3">
        <f>IF(INDEX('CAMD Facility Data 2023'!$AA$2:$AE$10000,MATCH(Z3582,'CAMD Facility Data 2023'!$AE$2:$AE$10000,0),1)&gt;0,INDEX('CAMD Facility Data 2023'!$AA$2:$AE$10000,MATCH(Z3582,'CAMD Facility Data 2023'!$AE$2:$AE$10000,0),1),"")</f>
        <v>41766</v>
      </c>
      <c r="AB3582" s="5">
        <f>IF(INDEX('CAMD Facility Data 2023'!$AC$2:$AE$10000,MATCH(Z3582,'CAMD Facility Data 2023'!$AE$2:$AE$10000,0),1)&gt;0,INDEX('CAMD Facility Data 2023'!$AC$2:$AE$10000,MATCH(Z3582,'CAMD Facility Data 2023'!$AE$2:$AE$10000,0),1),"")</f>
        <v>3090</v>
      </c>
      <c r="AC3582" s="1" t="str">
        <f>IF(INDEX('CAMD Facility Data 2023'!$AE$2:$AG$10000,MATCH(Z3582,'CAMD Facility Data 2023'!$AE$2:$AE$10000,0),3)&gt;0,INDEX('CAMD Facility Data 2023'!$AE$2:$AG$10000,MATCH(Z3582,'CAMD Facility Data 2023'!$AE$2:$AE$10000,0),3),"")</f>
        <v>Y</v>
      </c>
      <c r="AD3582" s="20">
        <f t="shared" si="166"/>
        <v>5.3916949297547173E-2</v>
      </c>
      <c r="AE3582" s="25">
        <f t="shared" si="167"/>
        <v>0.52526104383709415</v>
      </c>
    </row>
    <row r="3583" spans="1:31" x14ac:dyDescent="0.2">
      <c r="A3583" s="1" t="s">
        <v>383</v>
      </c>
      <c r="B3583" s="1" t="s">
        <v>7920</v>
      </c>
      <c r="C3583" s="1">
        <v>58001</v>
      </c>
      <c r="D3583" s="1" t="s">
        <v>6002</v>
      </c>
      <c r="F3583" s="1">
        <v>2023</v>
      </c>
      <c r="G3583" s="5">
        <v>5761</v>
      </c>
      <c r="H3583" s="5">
        <v>5742.4</v>
      </c>
      <c r="I3583" s="5">
        <v>1806120.99</v>
      </c>
      <c r="K3583" s="5">
        <v>4.181</v>
      </c>
      <c r="L3583" s="5">
        <v>1E-3</v>
      </c>
      <c r="M3583" s="5">
        <v>828159.65700000001</v>
      </c>
      <c r="N3583" s="6">
        <v>5.8999999999999997E-2</v>
      </c>
      <c r="O3583" s="5">
        <v>49.335000000000001</v>
      </c>
      <c r="P3583" s="6">
        <v>7.4000000000000003E-3</v>
      </c>
      <c r="Q3583" s="5">
        <v>13935385.499</v>
      </c>
      <c r="R3583" s="1" t="s">
        <v>44</v>
      </c>
      <c r="T3583" s="1" t="s">
        <v>71</v>
      </c>
      <c r="V3583" s="1" t="s">
        <v>64</v>
      </c>
      <c r="Y3583" s="1" t="s">
        <v>346</v>
      </c>
      <c r="Z3583" s="1" t="str">
        <f t="shared" si="165"/>
        <v>58001 CTG3</v>
      </c>
      <c r="AA3583" s="3">
        <f>IF(INDEX('CAMD Facility Data 2023'!$AA$2:$AE$10000,MATCH(Z3583,'CAMD Facility Data 2023'!$AE$2:$AE$10000,0),1)&gt;0,INDEX('CAMD Facility Data 2023'!$AA$2:$AE$10000,MATCH(Z3583,'CAMD Facility Data 2023'!$AE$2:$AE$10000,0),1),"")</f>
        <v>42076</v>
      </c>
      <c r="AB3583" s="5">
        <f>IF(INDEX('CAMD Facility Data 2023'!$AC$2:$AE$10000,MATCH(Z3583,'CAMD Facility Data 2023'!$AE$2:$AE$10000,0),1)&gt;0,INDEX('CAMD Facility Data 2023'!$AC$2:$AE$10000,MATCH(Z3583,'CAMD Facility Data 2023'!$AE$2:$AE$10000,0),1),"")</f>
        <v>3090</v>
      </c>
      <c r="AC3583" s="1" t="str">
        <f>IF(INDEX('CAMD Facility Data 2023'!$AE$2:$AG$10000,MATCH(Z3583,'CAMD Facility Data 2023'!$AE$2:$AE$10000,0),3)&gt;0,INDEX('CAMD Facility Data 2023'!$AE$2:$AG$10000,MATCH(Z3583,'CAMD Facility Data 2023'!$AE$2:$AE$10000,0),3),"")</f>
        <v>Y</v>
      </c>
      <c r="AD3583" s="20">
        <f t="shared" si="166"/>
        <v>5.4630891588276158E-2</v>
      </c>
      <c r="AE3583" s="25">
        <f t="shared" si="167"/>
        <v>0.51482117520799164</v>
      </c>
    </row>
    <row r="3584" spans="1:31" x14ac:dyDescent="0.2">
      <c r="A3584" s="1" t="s">
        <v>383</v>
      </c>
      <c r="B3584" s="1" t="s">
        <v>7920</v>
      </c>
      <c r="C3584" s="1">
        <v>58001</v>
      </c>
      <c r="D3584" s="1" t="s">
        <v>2495</v>
      </c>
      <c r="F3584" s="1">
        <v>2023</v>
      </c>
      <c r="G3584" s="5">
        <v>5708</v>
      </c>
      <c r="H3584" s="5">
        <v>5686.02</v>
      </c>
      <c r="I3584" s="5">
        <v>1798406.15</v>
      </c>
      <c r="K3584" s="5">
        <v>4.0990000000000002</v>
      </c>
      <c r="L3584" s="5">
        <v>1E-3</v>
      </c>
      <c r="M3584" s="5">
        <v>812025.77500000002</v>
      </c>
      <c r="N3584" s="6">
        <v>5.8999999999999997E-2</v>
      </c>
      <c r="O3584" s="5">
        <v>48.381999999999998</v>
      </c>
      <c r="P3584" s="6">
        <v>7.4000000000000003E-3</v>
      </c>
      <c r="Q3584" s="5">
        <v>13663909.356000001</v>
      </c>
      <c r="R3584" s="1" t="s">
        <v>44</v>
      </c>
      <c r="T3584" s="1" t="s">
        <v>71</v>
      </c>
      <c r="V3584" s="1" t="s">
        <v>64</v>
      </c>
      <c r="Y3584" s="1" t="s">
        <v>346</v>
      </c>
      <c r="Z3584" s="1" t="str">
        <f t="shared" si="165"/>
        <v>58001 CTG4</v>
      </c>
      <c r="AA3584" s="3">
        <f>IF(INDEX('CAMD Facility Data 2023'!$AA$2:$AE$10000,MATCH(Z3584,'CAMD Facility Data 2023'!$AE$2:$AE$10000,0),1)&gt;0,INDEX('CAMD Facility Data 2023'!$AA$2:$AE$10000,MATCH(Z3584,'CAMD Facility Data 2023'!$AE$2:$AE$10000,0),1),"")</f>
        <v>42079</v>
      </c>
      <c r="AB3584" s="5">
        <f>IF(INDEX('CAMD Facility Data 2023'!$AC$2:$AE$10000,MATCH(Z3584,'CAMD Facility Data 2023'!$AE$2:$AE$10000,0),1)&gt;0,INDEX('CAMD Facility Data 2023'!$AC$2:$AE$10000,MATCH(Z3584,'CAMD Facility Data 2023'!$AE$2:$AE$10000,0),1),"")</f>
        <v>3000</v>
      </c>
      <c r="AC3584" s="1" t="str">
        <f>IF(INDEX('CAMD Facility Data 2023'!$AE$2:$AG$10000,MATCH(Z3584,'CAMD Facility Data 2023'!$AE$2:$AE$10000,0),3)&gt;0,INDEX('CAMD Facility Data 2023'!$AE$2:$AG$10000,MATCH(Z3584,'CAMD Facility Data 2023'!$AE$2:$AE$10000,0),3),"")</f>
        <v>Y</v>
      </c>
      <c r="AD3584" s="20">
        <f t="shared" si="166"/>
        <v>5.3805420983463609E-2</v>
      </c>
      <c r="AE3584" s="25">
        <f t="shared" si="167"/>
        <v>0.51993566803652969</v>
      </c>
    </row>
    <row r="3585" spans="1:31" x14ac:dyDescent="0.2">
      <c r="A3585" s="1" t="s">
        <v>383</v>
      </c>
      <c r="B3585" s="1" t="s">
        <v>7930</v>
      </c>
      <c r="C3585" s="1">
        <v>58005</v>
      </c>
      <c r="D3585" s="1" t="s">
        <v>1129</v>
      </c>
      <c r="F3585" s="1">
        <v>2023</v>
      </c>
      <c r="G3585" s="5">
        <v>5078</v>
      </c>
      <c r="H3585" s="5">
        <v>5036.68</v>
      </c>
      <c r="I3585" s="5">
        <v>1540388.75</v>
      </c>
      <c r="K3585" s="5">
        <v>3.3010000000000002</v>
      </c>
      <c r="L3585" s="5">
        <v>1E-3</v>
      </c>
      <c r="M3585" s="5">
        <v>653929.36699999997</v>
      </c>
      <c r="N3585" s="6">
        <v>5.8999999999999997E-2</v>
      </c>
      <c r="O3585" s="5">
        <v>39.093000000000004</v>
      </c>
      <c r="P3585" s="6">
        <v>7.7000000000000002E-3</v>
      </c>
      <c r="Q3585" s="5">
        <v>11003666.382999999</v>
      </c>
      <c r="R3585" s="1" t="s">
        <v>44</v>
      </c>
      <c r="T3585" s="1" t="s">
        <v>71</v>
      </c>
      <c r="V3585" s="1" t="s">
        <v>64</v>
      </c>
      <c r="Y3585" s="1" t="s">
        <v>346</v>
      </c>
      <c r="Z3585" s="1" t="str">
        <f t="shared" si="165"/>
        <v>58005 CTG1</v>
      </c>
      <c r="AA3585" s="3">
        <f>IF(INDEX('CAMD Facility Data 2023'!$AA$2:$AE$10000,MATCH(Z3585,'CAMD Facility Data 2023'!$AE$2:$AE$10000,0),1)&gt;0,INDEX('CAMD Facility Data 2023'!$AA$2:$AE$10000,MATCH(Z3585,'CAMD Facility Data 2023'!$AE$2:$AE$10000,0),1),"")</f>
        <v>41784</v>
      </c>
      <c r="AB3585" s="5">
        <f>IF(INDEX('CAMD Facility Data 2023'!$AC$2:$AE$10000,MATCH(Z3585,'CAMD Facility Data 2023'!$AE$2:$AE$10000,0),1)&gt;0,INDEX('CAMD Facility Data 2023'!$AC$2:$AE$10000,MATCH(Z3585,'CAMD Facility Data 2023'!$AE$2:$AE$10000,0),1),"")</f>
        <v>2944</v>
      </c>
      <c r="AC3585" s="1" t="str">
        <f>IF(INDEX('CAMD Facility Data 2023'!$AE$2:$AG$10000,MATCH(Z3585,'CAMD Facility Data 2023'!$AE$2:$AE$10000,0),3)&gt;0,INDEX('CAMD Facility Data 2023'!$AE$2:$AG$10000,MATCH(Z3585,'CAMD Facility Data 2023'!$AE$2:$AE$10000,0),3),"")</f>
        <v>Y</v>
      </c>
      <c r="AD3585" s="20">
        <f t="shared" si="166"/>
        <v>5.0757316943531298E-2</v>
      </c>
      <c r="AE3585" s="25">
        <f t="shared" si="167"/>
        <v>0.42667333540394825</v>
      </c>
    </row>
    <row r="3586" spans="1:31" x14ac:dyDescent="0.2">
      <c r="A3586" s="1" t="s">
        <v>383</v>
      </c>
      <c r="B3586" s="1" t="s">
        <v>7930</v>
      </c>
      <c r="C3586" s="1">
        <v>58005</v>
      </c>
      <c r="D3586" s="1" t="s">
        <v>1135</v>
      </c>
      <c r="F3586" s="1">
        <v>2023</v>
      </c>
      <c r="G3586" s="5">
        <v>5451</v>
      </c>
      <c r="H3586" s="5">
        <v>5413.69</v>
      </c>
      <c r="I3586" s="5">
        <v>1667144.13</v>
      </c>
      <c r="K3586" s="5">
        <v>3.585</v>
      </c>
      <c r="L3586" s="5">
        <v>1E-3</v>
      </c>
      <c r="M3586" s="5">
        <v>710204.20600000001</v>
      </c>
      <c r="N3586" s="6">
        <v>5.8999999999999997E-2</v>
      </c>
      <c r="O3586" s="5">
        <v>42.337000000000003</v>
      </c>
      <c r="P3586" s="6">
        <v>7.4999999999999997E-3</v>
      </c>
      <c r="Q3586" s="5">
        <v>11950591.397</v>
      </c>
      <c r="R3586" s="1" t="s">
        <v>44</v>
      </c>
      <c r="T3586" s="1" t="s">
        <v>71</v>
      </c>
      <c r="V3586" s="1" t="s">
        <v>64</v>
      </c>
      <c r="Y3586" s="1" t="s">
        <v>346</v>
      </c>
      <c r="Z3586" s="1" t="str">
        <f t="shared" si="165"/>
        <v>58005 CTG2</v>
      </c>
      <c r="AA3586" s="3">
        <f>IF(INDEX('CAMD Facility Data 2023'!$AA$2:$AE$10000,MATCH(Z3586,'CAMD Facility Data 2023'!$AE$2:$AE$10000,0),1)&gt;0,INDEX('CAMD Facility Data 2023'!$AA$2:$AE$10000,MATCH(Z3586,'CAMD Facility Data 2023'!$AE$2:$AE$10000,0),1),"")</f>
        <v>41788</v>
      </c>
      <c r="AB3586" s="5">
        <f>IF(INDEX('CAMD Facility Data 2023'!$AC$2:$AE$10000,MATCH(Z3586,'CAMD Facility Data 2023'!$AE$2:$AE$10000,0),1)&gt;0,INDEX('CAMD Facility Data 2023'!$AC$2:$AE$10000,MATCH(Z3586,'CAMD Facility Data 2023'!$AE$2:$AE$10000,0),1),"")</f>
        <v>2944</v>
      </c>
      <c r="AC3586" s="1" t="str">
        <f>IF(INDEX('CAMD Facility Data 2023'!$AE$2:$AG$10000,MATCH(Z3586,'CAMD Facility Data 2023'!$AE$2:$AE$10000,0),3)&gt;0,INDEX('CAMD Facility Data 2023'!$AE$2:$AG$10000,MATCH(Z3586,'CAMD Facility Data 2023'!$AE$2:$AE$10000,0),3),"")</f>
        <v>Y</v>
      </c>
      <c r="AD3586" s="20">
        <f t="shared" si="166"/>
        <v>5.0789849825401724E-2</v>
      </c>
      <c r="AE3586" s="25">
        <f t="shared" si="167"/>
        <v>0.46339088390441979</v>
      </c>
    </row>
    <row r="3587" spans="1:31" x14ac:dyDescent="0.2">
      <c r="A3587" s="1" t="s">
        <v>1961</v>
      </c>
      <c r="B3587" s="1" t="s">
        <v>7936</v>
      </c>
      <c r="C3587" s="1">
        <v>58054</v>
      </c>
      <c r="D3587" s="1" t="s">
        <v>7937</v>
      </c>
      <c r="F3587" s="1">
        <v>2023</v>
      </c>
      <c r="G3587" s="5">
        <v>8180</v>
      </c>
      <c r="H3587" s="5">
        <v>8173.95</v>
      </c>
      <c r="I3587" s="5">
        <v>560952.93000000005</v>
      </c>
      <c r="K3587" s="5">
        <v>17.050999999999998</v>
      </c>
      <c r="L3587" s="5">
        <v>5.0000000000000001E-3</v>
      </c>
      <c r="M3587" s="5">
        <v>844004.31200000003</v>
      </c>
      <c r="N3587" s="6">
        <v>0.1042</v>
      </c>
      <c r="O3587" s="5">
        <v>247.21899999999999</v>
      </c>
      <c r="P3587" s="6">
        <v>6.1199999999999997E-2</v>
      </c>
      <c r="Q3587" s="5">
        <v>8087003.557</v>
      </c>
      <c r="R3587" s="1" t="s">
        <v>657</v>
      </c>
      <c r="S3587" s="1" t="s">
        <v>94</v>
      </c>
      <c r="T3587" s="1" t="s">
        <v>7167</v>
      </c>
      <c r="U3587" s="1" t="s">
        <v>454</v>
      </c>
      <c r="V3587" s="1" t="s">
        <v>223</v>
      </c>
      <c r="W3587" s="1" t="s">
        <v>232</v>
      </c>
      <c r="Y3587" s="1" t="s">
        <v>247</v>
      </c>
      <c r="Z3587" s="1" t="str">
        <f t="shared" ref="Z3587:Z3650" si="168">C3587&amp;" "&amp;D3587</f>
        <v>58054 ST01</v>
      </c>
      <c r="AA3587" s="3">
        <f>IF(INDEX('CAMD Facility Data 2023'!$AA$2:$AE$10000,MATCH(Z3587,'CAMD Facility Data 2023'!$AE$2:$AE$10000,0),1)&gt;0,INDEX('CAMD Facility Data 2023'!$AA$2:$AE$10000,MATCH(Z3587,'CAMD Facility Data 2023'!$AE$2:$AE$10000,0),1),"")</f>
        <v>41572</v>
      </c>
      <c r="AB3587" s="5">
        <f>IF(INDEX('CAMD Facility Data 2023'!$AC$2:$AE$10000,MATCH(Z3587,'CAMD Facility Data 2023'!$AE$2:$AE$10000,0),1)&gt;0,INDEX('CAMD Facility Data 2023'!$AC$2:$AE$10000,MATCH(Z3587,'CAMD Facility Data 2023'!$AE$2:$AE$10000,0),1),"")</f>
        <v>1554.2</v>
      </c>
      <c r="AC3587" s="1" t="str">
        <f>IF(INDEX('CAMD Facility Data 2023'!$AE$2:$AG$10000,MATCH(Z3587,'CAMD Facility Data 2023'!$AE$2:$AE$10000,0),3)&gt;0,INDEX('CAMD Facility Data 2023'!$AE$2:$AG$10000,MATCH(Z3587,'CAMD Facility Data 2023'!$AE$2:$AE$10000,0),3),"")</f>
        <v>Y</v>
      </c>
      <c r="AD3587" s="20">
        <f t="shared" ref="AD3587:AD3650" si="169">IF(ISNUMBER(O3587*2000/I3587),O3587*2000/I3587,"")</f>
        <v>0.88142511351175212</v>
      </c>
      <c r="AE3587" s="25">
        <f t="shared" ref="AE3587:AE3650" si="170">Q3587/(AB3587*8760)</f>
        <v>0.59398656674299544</v>
      </c>
    </row>
    <row r="3588" spans="1:31" x14ac:dyDescent="0.2">
      <c r="A3588" s="1" t="s">
        <v>1980</v>
      </c>
      <c r="B3588" s="1" t="s">
        <v>7942</v>
      </c>
      <c r="C3588" s="1">
        <v>58079</v>
      </c>
      <c r="D3588" s="1" t="s">
        <v>4348</v>
      </c>
      <c r="F3588" s="1">
        <v>2023</v>
      </c>
      <c r="G3588" s="5">
        <v>6724</v>
      </c>
      <c r="H3588" s="5">
        <v>6643.81</v>
      </c>
      <c r="I3588" s="5">
        <v>1852548.48</v>
      </c>
      <c r="K3588" s="5">
        <v>3.617</v>
      </c>
      <c r="L3588" s="5">
        <v>1E-3</v>
      </c>
      <c r="M3588" s="5">
        <v>699574.79599999997</v>
      </c>
      <c r="N3588" s="6">
        <v>5.8000000000000003E-2</v>
      </c>
      <c r="O3588" s="5">
        <v>40.189</v>
      </c>
      <c r="P3588" s="6">
        <v>7.7000000000000002E-3</v>
      </c>
      <c r="Q3588" s="5">
        <v>12057583.983999999</v>
      </c>
      <c r="R3588" s="1" t="s">
        <v>44</v>
      </c>
      <c r="T3588" s="1" t="s">
        <v>71</v>
      </c>
      <c r="V3588" s="1" t="s">
        <v>223</v>
      </c>
      <c r="Y3588" s="1" t="s">
        <v>1515</v>
      </c>
      <c r="Z3588" s="1" t="str">
        <f t="shared" si="168"/>
        <v>58079 U001</v>
      </c>
      <c r="AA3588" s="3">
        <f>IF(INDEX('CAMD Facility Data 2023'!$AA$2:$AE$10000,MATCH(Z3588,'CAMD Facility Data 2023'!$AE$2:$AE$10000,0),1)&gt;0,INDEX('CAMD Facility Data 2023'!$AA$2:$AE$10000,MATCH(Z3588,'CAMD Facility Data 2023'!$AE$2:$AE$10000,0),1),"")</f>
        <v>42072</v>
      </c>
      <c r="AB3588" s="5">
        <f>IF(INDEX('CAMD Facility Data 2023'!$AC$2:$AE$10000,MATCH(Z3588,'CAMD Facility Data 2023'!$AE$2:$AE$10000,0),1)&gt;0,INDEX('CAMD Facility Data 2023'!$AC$2:$AE$10000,MATCH(Z3588,'CAMD Facility Data 2023'!$AE$2:$AE$10000,0),1),"")</f>
        <v>2531</v>
      </c>
      <c r="AC3588" s="1" t="str">
        <f>IF(INDEX('CAMD Facility Data 2023'!$AE$2:$AG$10000,MATCH(Z3588,'CAMD Facility Data 2023'!$AE$2:$AE$10000,0),3)&gt;0,INDEX('CAMD Facility Data 2023'!$AE$2:$AG$10000,MATCH(Z3588,'CAMD Facility Data 2023'!$AE$2:$AE$10000,0),3),"")</f>
        <v>Y</v>
      </c>
      <c r="AD3588" s="20">
        <f t="shared" si="169"/>
        <v>4.3387798412703349E-2</v>
      </c>
      <c r="AE3588" s="25">
        <f t="shared" si="170"/>
        <v>0.54383110543416879</v>
      </c>
    </row>
    <row r="3589" spans="1:31" x14ac:dyDescent="0.2">
      <c r="A3589" s="1" t="s">
        <v>1980</v>
      </c>
      <c r="B3589" s="1" t="s">
        <v>7942</v>
      </c>
      <c r="C3589" s="1">
        <v>58079</v>
      </c>
      <c r="D3589" s="1" t="s">
        <v>7833</v>
      </c>
      <c r="F3589" s="1">
        <v>2023</v>
      </c>
      <c r="G3589" s="5">
        <v>6909</v>
      </c>
      <c r="H3589" s="5">
        <v>6868.84</v>
      </c>
      <c r="I3589" s="5">
        <v>1937497.36</v>
      </c>
      <c r="K3589" s="5">
        <v>3.8239999999999998</v>
      </c>
      <c r="L3589" s="5">
        <v>1E-3</v>
      </c>
      <c r="M3589" s="5">
        <v>739470.66500000004</v>
      </c>
      <c r="N3589" s="6">
        <v>5.8000000000000003E-2</v>
      </c>
      <c r="O3589" s="5">
        <v>39.673000000000002</v>
      </c>
      <c r="P3589" s="6">
        <v>7.0000000000000001E-3</v>
      </c>
      <c r="Q3589" s="5">
        <v>12745588.717</v>
      </c>
      <c r="R3589" s="1" t="s">
        <v>44</v>
      </c>
      <c r="T3589" s="1" t="s">
        <v>71</v>
      </c>
      <c r="V3589" s="1" t="s">
        <v>223</v>
      </c>
      <c r="Y3589" s="1" t="s">
        <v>1515</v>
      </c>
      <c r="Z3589" s="1" t="str">
        <f t="shared" si="168"/>
        <v>58079 U002</v>
      </c>
      <c r="AA3589" s="3">
        <f>IF(INDEX('CAMD Facility Data 2023'!$AA$2:$AE$10000,MATCH(Z3589,'CAMD Facility Data 2023'!$AE$2:$AE$10000,0),1)&gt;0,INDEX('CAMD Facility Data 2023'!$AA$2:$AE$10000,MATCH(Z3589,'CAMD Facility Data 2023'!$AE$2:$AE$10000,0),1),"")</f>
        <v>42085</v>
      </c>
      <c r="AB3589" s="5">
        <f>IF(INDEX('CAMD Facility Data 2023'!$AC$2:$AE$10000,MATCH(Z3589,'CAMD Facility Data 2023'!$AE$2:$AE$10000,0),1)&gt;0,INDEX('CAMD Facility Data 2023'!$AC$2:$AE$10000,MATCH(Z3589,'CAMD Facility Data 2023'!$AE$2:$AE$10000,0),1),"")</f>
        <v>2531</v>
      </c>
      <c r="AC3589" s="1" t="str">
        <f>IF(INDEX('CAMD Facility Data 2023'!$AE$2:$AG$10000,MATCH(Z3589,'CAMD Facility Data 2023'!$AE$2:$AE$10000,0),3)&gt;0,INDEX('CAMD Facility Data 2023'!$AE$2:$AG$10000,MATCH(Z3589,'CAMD Facility Data 2023'!$AE$2:$AE$10000,0),3),"")</f>
        <v>Y</v>
      </c>
      <c r="AD3589" s="20">
        <f t="shared" si="169"/>
        <v>4.0952829995081902E-2</v>
      </c>
      <c r="AE3589" s="25">
        <f t="shared" si="170"/>
        <v>0.5748620627957618</v>
      </c>
    </row>
    <row r="3590" spans="1:31" x14ac:dyDescent="0.2">
      <c r="A3590" s="1" t="s">
        <v>370</v>
      </c>
      <c r="B3590" s="1" t="s">
        <v>7947</v>
      </c>
      <c r="C3590" s="1">
        <v>58122</v>
      </c>
      <c r="D3590" s="1" t="s">
        <v>4801</v>
      </c>
      <c r="F3590" s="1">
        <v>2023</v>
      </c>
      <c r="G3590" s="5">
        <v>123</v>
      </c>
      <c r="H3590" s="5">
        <v>79.94</v>
      </c>
      <c r="I3590" s="5">
        <v>2293.15</v>
      </c>
      <c r="K3590" s="5">
        <v>7.0000000000000001E-3</v>
      </c>
      <c r="L3590" s="5">
        <v>1E-3</v>
      </c>
      <c r="M3590" s="5">
        <v>1448.116</v>
      </c>
      <c r="N3590" s="6">
        <v>5.9299999999999999E-2</v>
      </c>
      <c r="O3590" s="5">
        <v>0.1</v>
      </c>
      <c r="P3590" s="6">
        <v>1.12E-2</v>
      </c>
      <c r="Q3590" s="5">
        <v>24364.659</v>
      </c>
      <c r="R3590" s="1" t="s">
        <v>44</v>
      </c>
      <c r="T3590" s="1" t="s">
        <v>93</v>
      </c>
      <c r="V3590" s="1" t="s">
        <v>176</v>
      </c>
      <c r="Y3590" s="1" t="s">
        <v>247</v>
      </c>
      <c r="Z3590" s="1" t="str">
        <f t="shared" si="168"/>
        <v>58122 GEN1</v>
      </c>
      <c r="AA3590" s="3">
        <f>IF(INDEX('CAMD Facility Data 2023'!$AA$2:$AE$10000,MATCH(Z3590,'CAMD Facility Data 2023'!$AE$2:$AE$10000,0),1)&gt;0,INDEX('CAMD Facility Data 2023'!$AA$2:$AE$10000,MATCH(Z3590,'CAMD Facility Data 2023'!$AE$2:$AE$10000,0),1),"")</f>
        <v>41222</v>
      </c>
      <c r="AB3590" s="5">
        <f>IF(INDEX('CAMD Facility Data 2023'!$AC$2:$AE$10000,MATCH(Z3590,'CAMD Facility Data 2023'!$AE$2:$AE$10000,0),1)&gt;0,INDEX('CAMD Facility Data 2023'!$AC$2:$AE$10000,MATCH(Z3590,'CAMD Facility Data 2023'!$AE$2:$AE$10000,0),1),"")</f>
        <v>500</v>
      </c>
      <c r="AC3590" s="1" t="str">
        <f>IF(INDEX('CAMD Facility Data 2023'!$AE$2:$AG$10000,MATCH(Z3590,'CAMD Facility Data 2023'!$AE$2:$AE$10000,0),3)&gt;0,INDEX('CAMD Facility Data 2023'!$AE$2:$AG$10000,MATCH(Z3590,'CAMD Facility Data 2023'!$AE$2:$AE$10000,0),3),"")</f>
        <v>Y</v>
      </c>
      <c r="AD3590" s="20">
        <f t="shared" si="169"/>
        <v>8.7216274556832299E-2</v>
      </c>
      <c r="AE3590" s="25">
        <f t="shared" si="170"/>
        <v>5.562707534246575E-3</v>
      </c>
    </row>
    <row r="3591" spans="1:31" x14ac:dyDescent="0.2">
      <c r="A3591" s="1" t="s">
        <v>3167</v>
      </c>
      <c r="B3591" s="1" t="s">
        <v>7952</v>
      </c>
      <c r="C3591" s="1">
        <v>58124</v>
      </c>
      <c r="D3591" s="1">
        <v>1</v>
      </c>
      <c r="F3591" s="1">
        <v>2023</v>
      </c>
      <c r="G3591" s="5">
        <v>7848</v>
      </c>
      <c r="H3591" s="5">
        <v>7835.84</v>
      </c>
      <c r="J3591" s="5">
        <v>3000673.59</v>
      </c>
      <c r="K3591" s="5">
        <v>1.45</v>
      </c>
      <c r="L3591" s="5">
        <v>8.9999999999999998E-4</v>
      </c>
      <c r="M3591" s="5">
        <v>477597.571</v>
      </c>
      <c r="N3591" s="6">
        <v>0.1036</v>
      </c>
      <c r="O3591" s="5">
        <v>178.15</v>
      </c>
      <c r="P3591" s="6">
        <v>7.7299999999999994E-2</v>
      </c>
      <c r="Q3591" s="5">
        <v>4581270.4979999997</v>
      </c>
      <c r="R3591" s="1" t="s">
        <v>657</v>
      </c>
      <c r="S3591" s="1" t="s">
        <v>44</v>
      </c>
      <c r="T3591" s="1" t="s">
        <v>885</v>
      </c>
      <c r="V3591" s="1" t="s">
        <v>669</v>
      </c>
      <c r="W3591" s="1" t="s">
        <v>232</v>
      </c>
      <c r="Y3591" s="1" t="s">
        <v>461</v>
      </c>
      <c r="Z3591" s="1" t="str">
        <f t="shared" si="168"/>
        <v>58124 1</v>
      </c>
      <c r="AA3591" s="3">
        <f>IF(INDEX('CAMD Facility Data 2023'!$AA$2:$AE$10000,MATCH(Z3591,'CAMD Facility Data 2023'!$AE$2:$AE$10000,0),1)&gt;0,INDEX('CAMD Facility Data 2023'!$AA$2:$AE$10000,MATCH(Z3591,'CAMD Facility Data 2023'!$AE$2:$AE$10000,0),1),"")</f>
        <v>41541</v>
      </c>
      <c r="AB3591" s="5">
        <f>IF(INDEX('CAMD Facility Data 2023'!$AC$2:$AE$10000,MATCH(Z3591,'CAMD Facility Data 2023'!$AE$2:$AE$10000,0),1)&gt;0,INDEX('CAMD Facility Data 2023'!$AC$2:$AE$10000,MATCH(Z3591,'CAMD Facility Data 2023'!$AE$2:$AE$10000,0),1),"")</f>
        <v>856</v>
      </c>
      <c r="AC3591" s="1" t="str">
        <f>IF(INDEX('CAMD Facility Data 2023'!$AE$2:$AG$10000,MATCH(Z3591,'CAMD Facility Data 2023'!$AE$2:$AE$10000,0),3)&gt;0,INDEX('CAMD Facility Data 2023'!$AE$2:$AG$10000,MATCH(Z3591,'CAMD Facility Data 2023'!$AE$2:$AE$10000,0),3),"")</f>
        <v>Y</v>
      </c>
      <c r="AD3591" s="20" t="str">
        <f t="shared" si="169"/>
        <v/>
      </c>
      <c r="AE3591" s="25">
        <f t="shared" si="170"/>
        <v>0.61095336944693379</v>
      </c>
    </row>
    <row r="3592" spans="1:31" x14ac:dyDescent="0.2">
      <c r="A3592" s="1" t="s">
        <v>1980</v>
      </c>
      <c r="B3592" s="1" t="s">
        <v>7954</v>
      </c>
      <c r="C3592" s="1">
        <v>58235</v>
      </c>
      <c r="D3592" s="1" t="s">
        <v>3858</v>
      </c>
      <c r="F3592" s="1">
        <v>2023</v>
      </c>
      <c r="G3592" s="5">
        <v>1746</v>
      </c>
      <c r="H3592" s="5">
        <v>1562.65</v>
      </c>
      <c r="I3592" s="5">
        <v>91265.49</v>
      </c>
      <c r="K3592" s="5">
        <v>0.255</v>
      </c>
      <c r="L3592" s="5">
        <v>1E-3</v>
      </c>
      <c r="M3592" s="5">
        <v>50601.802000000003</v>
      </c>
      <c r="N3592" s="6">
        <v>5.91E-2</v>
      </c>
      <c r="O3592" s="5">
        <v>5.0549999999999997</v>
      </c>
      <c r="P3592" s="6">
        <v>1.9300000000000001E-2</v>
      </c>
      <c r="Q3592" s="5">
        <v>851505.446</v>
      </c>
      <c r="R3592" s="1" t="s">
        <v>44</v>
      </c>
      <c r="T3592" s="1" t="s">
        <v>93</v>
      </c>
      <c r="V3592" s="1" t="s">
        <v>176</v>
      </c>
      <c r="Y3592" s="1" t="s">
        <v>1515</v>
      </c>
      <c r="Z3592" s="1" t="str">
        <f t="shared" si="168"/>
        <v>58235 U1</v>
      </c>
      <c r="AA3592" s="3">
        <f>IF(INDEX('CAMD Facility Data 2023'!$AA$2:$AE$10000,MATCH(Z3592,'CAMD Facility Data 2023'!$AE$2:$AE$10000,0),1)&gt;0,INDEX('CAMD Facility Data 2023'!$AA$2:$AE$10000,MATCH(Z3592,'CAMD Facility Data 2023'!$AE$2:$AE$10000,0),1),"")</f>
        <v>42309</v>
      </c>
      <c r="AB3592" s="5">
        <f>IF(INDEX('CAMD Facility Data 2023'!$AC$2:$AE$10000,MATCH(Z3592,'CAMD Facility Data 2023'!$AE$2:$AE$10000,0),1)&gt;0,INDEX('CAMD Facility Data 2023'!$AC$2:$AE$10000,MATCH(Z3592,'CAMD Facility Data 2023'!$AE$2:$AE$10000,0),1),"")</f>
        <v>628</v>
      </c>
      <c r="AC3592" s="1" t="str">
        <f>IF(INDEX('CAMD Facility Data 2023'!$AE$2:$AG$10000,MATCH(Z3592,'CAMD Facility Data 2023'!$AE$2:$AE$10000,0),3)&gt;0,INDEX('CAMD Facility Data 2023'!$AE$2:$AG$10000,MATCH(Z3592,'CAMD Facility Data 2023'!$AE$2:$AE$10000,0),3),"")</f>
        <v>Y</v>
      </c>
      <c r="AD3592" s="20">
        <f t="shared" si="169"/>
        <v>0.11077571599078687</v>
      </c>
      <c r="AE3592" s="25">
        <f t="shared" si="170"/>
        <v>0.15478314973969695</v>
      </c>
    </row>
    <row r="3593" spans="1:31" x14ac:dyDescent="0.2">
      <c r="A3593" s="1" t="s">
        <v>1186</v>
      </c>
      <c r="B3593" s="1" t="s">
        <v>7956</v>
      </c>
      <c r="C3593" s="1">
        <v>58236</v>
      </c>
      <c r="D3593" s="1" t="s">
        <v>311</v>
      </c>
      <c r="F3593" s="1">
        <v>2023</v>
      </c>
      <c r="G3593" s="5">
        <v>5477</v>
      </c>
      <c r="H3593" s="5">
        <v>5370.69</v>
      </c>
      <c r="I3593" s="5">
        <v>1708494.23</v>
      </c>
      <c r="K3593" s="5">
        <v>3.714</v>
      </c>
      <c r="L3593" s="5">
        <v>1E-3</v>
      </c>
      <c r="M3593" s="5">
        <v>735646.52599999995</v>
      </c>
      <c r="N3593" s="6">
        <v>5.8999999999999997E-2</v>
      </c>
      <c r="O3593" s="5">
        <v>47.572000000000003</v>
      </c>
      <c r="P3593" s="6">
        <v>1.04E-2</v>
      </c>
      <c r="Q3593" s="5">
        <v>12378566.197000001</v>
      </c>
      <c r="R3593" s="1" t="s">
        <v>44</v>
      </c>
      <c r="T3593" s="1" t="s">
        <v>71</v>
      </c>
      <c r="V3593" s="1" t="s">
        <v>64</v>
      </c>
      <c r="Y3593" s="1" t="s">
        <v>2765</v>
      </c>
      <c r="Z3593" s="1" t="str">
        <f t="shared" si="168"/>
        <v>58236 CT1</v>
      </c>
      <c r="AA3593" s="3">
        <f>IF(INDEX('CAMD Facility Data 2023'!$AA$2:$AE$10000,MATCH(Z3593,'CAMD Facility Data 2023'!$AE$2:$AE$10000,0),1)&gt;0,INDEX('CAMD Facility Data 2023'!$AA$2:$AE$10000,MATCH(Z3593,'CAMD Facility Data 2023'!$AE$2:$AE$10000,0),1),"")</f>
        <v>42705</v>
      </c>
      <c r="AB3593" s="5">
        <f>IF(INDEX('CAMD Facility Data 2023'!$AC$2:$AE$10000,MATCH(Z3593,'CAMD Facility Data 2023'!$AE$2:$AE$10000,0),1)&gt;0,INDEX('CAMD Facility Data 2023'!$AC$2:$AE$10000,MATCH(Z3593,'CAMD Facility Data 2023'!$AE$2:$AE$10000,0),1),"")</f>
        <v>2576</v>
      </c>
      <c r="AC3593" s="1" t="str">
        <f>IF(INDEX('CAMD Facility Data 2023'!$AE$2:$AG$10000,MATCH(Z3593,'CAMD Facility Data 2023'!$AE$2:$AE$10000,0),3)&gt;0,INDEX('CAMD Facility Data 2023'!$AE$2:$AG$10000,MATCH(Z3593,'CAMD Facility Data 2023'!$AE$2:$AE$10000,0),3),"")</f>
        <v>Y</v>
      </c>
      <c r="AD3593" s="20">
        <f t="shared" si="169"/>
        <v>5.5688803818787262E-2</v>
      </c>
      <c r="AE3593" s="25">
        <f t="shared" si="170"/>
        <v>0.5485552534902437</v>
      </c>
    </row>
    <row r="3594" spans="1:31" x14ac:dyDescent="0.2">
      <c r="A3594" s="1" t="s">
        <v>1186</v>
      </c>
      <c r="B3594" s="1" t="s">
        <v>7956</v>
      </c>
      <c r="C3594" s="1">
        <v>58236</v>
      </c>
      <c r="D3594" s="1" t="s">
        <v>98</v>
      </c>
      <c r="F3594" s="1">
        <v>2023</v>
      </c>
      <c r="G3594" s="5">
        <v>6333</v>
      </c>
      <c r="H3594" s="5">
        <v>6185.61</v>
      </c>
      <c r="I3594" s="5">
        <v>1951478.76</v>
      </c>
      <c r="K3594" s="5">
        <v>4.258</v>
      </c>
      <c r="L3594" s="5">
        <v>1E-3</v>
      </c>
      <c r="M3594" s="5">
        <v>843539.35</v>
      </c>
      <c r="N3594" s="6">
        <v>5.8999999999999997E-2</v>
      </c>
      <c r="O3594" s="5">
        <v>53.554000000000002</v>
      </c>
      <c r="P3594" s="6">
        <v>1.0500000000000001E-2</v>
      </c>
      <c r="Q3594" s="5">
        <v>14194123.867000001</v>
      </c>
      <c r="R3594" s="1" t="s">
        <v>44</v>
      </c>
      <c r="T3594" s="1" t="s">
        <v>71</v>
      </c>
      <c r="V3594" s="1" t="s">
        <v>64</v>
      </c>
      <c r="Y3594" s="1" t="s">
        <v>2765</v>
      </c>
      <c r="Z3594" s="1" t="str">
        <f t="shared" si="168"/>
        <v>58236 CT2</v>
      </c>
      <c r="AA3594" s="3">
        <f>IF(INDEX('CAMD Facility Data 2023'!$AA$2:$AE$10000,MATCH(Z3594,'CAMD Facility Data 2023'!$AE$2:$AE$10000,0),1)&gt;0,INDEX('CAMD Facility Data 2023'!$AA$2:$AE$10000,MATCH(Z3594,'CAMD Facility Data 2023'!$AE$2:$AE$10000,0),1),"")</f>
        <v>42707</v>
      </c>
      <c r="AB3594" s="5">
        <f>IF(INDEX('CAMD Facility Data 2023'!$AC$2:$AE$10000,MATCH(Z3594,'CAMD Facility Data 2023'!$AE$2:$AE$10000,0),1)&gt;0,INDEX('CAMD Facility Data 2023'!$AC$2:$AE$10000,MATCH(Z3594,'CAMD Facility Data 2023'!$AE$2:$AE$10000,0),1),"")</f>
        <v>2602</v>
      </c>
      <c r="AC3594" s="1" t="str">
        <f>IF(INDEX('CAMD Facility Data 2023'!$AE$2:$AG$10000,MATCH(Z3594,'CAMD Facility Data 2023'!$AE$2:$AE$10000,0),3)&gt;0,INDEX('CAMD Facility Data 2023'!$AE$2:$AG$10000,MATCH(Z3594,'CAMD Facility Data 2023'!$AE$2:$AE$10000,0),3),"")</f>
        <v>Y</v>
      </c>
      <c r="AD3594" s="20">
        <f t="shared" si="169"/>
        <v>5.4885557657824574E-2</v>
      </c>
      <c r="AE3594" s="25">
        <f t="shared" si="170"/>
        <v>0.62272627777543799</v>
      </c>
    </row>
    <row r="3595" spans="1:31" x14ac:dyDescent="0.2">
      <c r="A3595" s="1" t="s">
        <v>3095</v>
      </c>
      <c r="B3595" s="1" t="s">
        <v>7959</v>
      </c>
      <c r="C3595" s="1">
        <v>58260</v>
      </c>
      <c r="D3595" s="1" t="s">
        <v>372</v>
      </c>
      <c r="F3595" s="1">
        <v>2023</v>
      </c>
      <c r="G3595" s="5">
        <v>5039</v>
      </c>
      <c r="H3595" s="5">
        <v>5019.43</v>
      </c>
      <c r="I3595" s="5">
        <v>2070989.78</v>
      </c>
      <c r="K3595" s="5">
        <v>4.2809999999999997</v>
      </c>
      <c r="L3595" s="5">
        <v>1E-3</v>
      </c>
      <c r="M3595" s="5">
        <v>848041.70400000003</v>
      </c>
      <c r="N3595" s="6">
        <v>5.8999999999999997E-2</v>
      </c>
      <c r="O3595" s="5">
        <v>41.470999999999997</v>
      </c>
      <c r="P3595" s="6">
        <v>7.7000000000000002E-3</v>
      </c>
      <c r="Q3595" s="5">
        <v>14270043.710000001</v>
      </c>
      <c r="R3595" s="1" t="s">
        <v>44</v>
      </c>
      <c r="T3595" s="1" t="s">
        <v>71</v>
      </c>
      <c r="V3595" s="1" t="s">
        <v>64</v>
      </c>
      <c r="Y3595" s="1" t="s">
        <v>1515</v>
      </c>
      <c r="Z3595" s="1" t="str">
        <f t="shared" si="168"/>
        <v>58260 1A</v>
      </c>
      <c r="AA3595" s="3">
        <f>IF(INDEX('CAMD Facility Data 2023'!$AA$2:$AE$10000,MATCH(Z3595,'CAMD Facility Data 2023'!$AE$2:$AE$10000,0),1)&gt;0,INDEX('CAMD Facility Data 2023'!$AA$2:$AE$10000,MATCH(Z3595,'CAMD Facility Data 2023'!$AE$2:$AE$10000,0),1),"")</f>
        <v>42384</v>
      </c>
      <c r="AB3595" s="5">
        <f>IF(INDEX('CAMD Facility Data 2023'!$AC$2:$AE$10000,MATCH(Z3595,'CAMD Facility Data 2023'!$AE$2:$AE$10000,0),1)&gt;0,INDEX('CAMD Facility Data 2023'!$AC$2:$AE$10000,MATCH(Z3595,'CAMD Facility Data 2023'!$AE$2:$AE$10000,0),1),"")</f>
        <v>3650</v>
      </c>
      <c r="AC3595" s="1" t="str">
        <f>IF(INDEX('CAMD Facility Data 2023'!$AE$2:$AG$10000,MATCH(Z3595,'CAMD Facility Data 2023'!$AE$2:$AE$10000,0),3)&gt;0,INDEX('CAMD Facility Data 2023'!$AE$2:$AG$10000,MATCH(Z3595,'CAMD Facility Data 2023'!$AE$2:$AE$10000,0),3),"")</f>
        <v>Y</v>
      </c>
      <c r="AD3595" s="20">
        <f t="shared" si="169"/>
        <v>4.0049449205876816E-2</v>
      </c>
      <c r="AE3595" s="25">
        <f t="shared" si="170"/>
        <v>0.44630148589478952</v>
      </c>
    </row>
    <row r="3596" spans="1:31" x14ac:dyDescent="0.2">
      <c r="A3596" s="1" t="s">
        <v>3095</v>
      </c>
      <c r="B3596" s="1" t="s">
        <v>7959</v>
      </c>
      <c r="C3596" s="1">
        <v>58260</v>
      </c>
      <c r="D3596" s="1" t="s">
        <v>1199</v>
      </c>
      <c r="F3596" s="1">
        <v>2023</v>
      </c>
      <c r="G3596" s="5">
        <v>5285</v>
      </c>
      <c r="H3596" s="5">
        <v>5277.96</v>
      </c>
      <c r="I3596" s="5">
        <v>2176590</v>
      </c>
      <c r="K3596" s="5">
        <v>4.5069999999999997</v>
      </c>
      <c r="L3596" s="5">
        <v>1E-3</v>
      </c>
      <c r="M3596" s="5">
        <v>892725.41299999994</v>
      </c>
      <c r="N3596" s="6">
        <v>5.8999999999999997E-2</v>
      </c>
      <c r="O3596" s="5">
        <v>42.52</v>
      </c>
      <c r="P3596" s="6">
        <v>6.7000000000000002E-3</v>
      </c>
      <c r="Q3596" s="5">
        <v>15021892.612</v>
      </c>
      <c r="R3596" s="1" t="s">
        <v>44</v>
      </c>
      <c r="T3596" s="1" t="s">
        <v>71</v>
      </c>
      <c r="V3596" s="1" t="s">
        <v>64</v>
      </c>
      <c r="Y3596" s="1" t="s">
        <v>1515</v>
      </c>
      <c r="Z3596" s="1" t="str">
        <f t="shared" si="168"/>
        <v>58260 1B</v>
      </c>
      <c r="AA3596" s="3">
        <f>IF(INDEX('CAMD Facility Data 2023'!$AA$2:$AE$10000,MATCH(Z3596,'CAMD Facility Data 2023'!$AE$2:$AE$10000,0),1)&gt;0,INDEX('CAMD Facility Data 2023'!$AA$2:$AE$10000,MATCH(Z3596,'CAMD Facility Data 2023'!$AE$2:$AE$10000,0),1),"")</f>
        <v>42372</v>
      </c>
      <c r="AB3596" s="5">
        <f>IF(INDEX('CAMD Facility Data 2023'!$AC$2:$AE$10000,MATCH(Z3596,'CAMD Facility Data 2023'!$AE$2:$AE$10000,0),1)&gt;0,INDEX('CAMD Facility Data 2023'!$AC$2:$AE$10000,MATCH(Z3596,'CAMD Facility Data 2023'!$AE$2:$AE$10000,0),1),"")</f>
        <v>3650</v>
      </c>
      <c r="AC3596" s="1" t="str">
        <f>IF(INDEX('CAMD Facility Data 2023'!$AE$2:$AG$10000,MATCH(Z3596,'CAMD Facility Data 2023'!$AE$2:$AE$10000,0),3)&gt;0,INDEX('CAMD Facility Data 2023'!$AE$2:$AG$10000,MATCH(Z3596,'CAMD Facility Data 2023'!$AE$2:$AE$10000,0),3),"")</f>
        <v>Y</v>
      </c>
      <c r="AD3596" s="20">
        <f t="shared" si="169"/>
        <v>3.9070288846314645E-2</v>
      </c>
      <c r="AE3596" s="25">
        <f t="shared" si="170"/>
        <v>0.46981586951898419</v>
      </c>
    </row>
    <row r="3597" spans="1:31" x14ac:dyDescent="0.2">
      <c r="A3597" s="1" t="s">
        <v>3095</v>
      </c>
      <c r="B3597" s="1" t="s">
        <v>7959</v>
      </c>
      <c r="C3597" s="1">
        <v>58260</v>
      </c>
      <c r="D3597" s="1" t="s">
        <v>3753</v>
      </c>
      <c r="F3597" s="1">
        <v>2023</v>
      </c>
      <c r="G3597" s="5">
        <v>5219</v>
      </c>
      <c r="H3597" s="5">
        <v>5201.68</v>
      </c>
      <c r="I3597" s="5">
        <v>2214055.52</v>
      </c>
      <c r="K3597" s="5">
        <v>4.57</v>
      </c>
      <c r="L3597" s="5">
        <v>1E-3</v>
      </c>
      <c r="M3597" s="5">
        <v>905209.15599999996</v>
      </c>
      <c r="N3597" s="6">
        <v>5.8999999999999997E-2</v>
      </c>
      <c r="O3597" s="5">
        <v>44.807000000000002</v>
      </c>
      <c r="P3597" s="6">
        <v>7.4999999999999997E-3</v>
      </c>
      <c r="Q3597" s="5">
        <v>15231965.494999999</v>
      </c>
      <c r="R3597" s="1" t="s">
        <v>44</v>
      </c>
      <c r="T3597" s="1" t="s">
        <v>71</v>
      </c>
      <c r="V3597" s="1" t="s">
        <v>64</v>
      </c>
      <c r="Y3597" s="1" t="s">
        <v>1515</v>
      </c>
      <c r="Z3597" s="1" t="str">
        <f t="shared" si="168"/>
        <v>58260 1C</v>
      </c>
      <c r="AA3597" s="3">
        <f>IF(INDEX('CAMD Facility Data 2023'!$AA$2:$AE$10000,MATCH(Z3597,'CAMD Facility Data 2023'!$AE$2:$AE$10000,0),1)&gt;0,INDEX('CAMD Facility Data 2023'!$AA$2:$AE$10000,MATCH(Z3597,'CAMD Facility Data 2023'!$AE$2:$AE$10000,0),1),"")</f>
        <v>42372</v>
      </c>
      <c r="AB3597" s="5">
        <f>IF(INDEX('CAMD Facility Data 2023'!$AC$2:$AE$10000,MATCH(Z3597,'CAMD Facility Data 2023'!$AE$2:$AE$10000,0),1)&gt;0,INDEX('CAMD Facility Data 2023'!$AC$2:$AE$10000,MATCH(Z3597,'CAMD Facility Data 2023'!$AE$2:$AE$10000,0),1),"")</f>
        <v>3650</v>
      </c>
      <c r="AC3597" s="1" t="str">
        <f>IF(INDEX('CAMD Facility Data 2023'!$AE$2:$AG$10000,MATCH(Z3597,'CAMD Facility Data 2023'!$AE$2:$AE$10000,0),3)&gt;0,INDEX('CAMD Facility Data 2023'!$AE$2:$AG$10000,MATCH(Z3597,'CAMD Facility Data 2023'!$AE$2:$AE$10000,0),3),"")</f>
        <v>Y</v>
      </c>
      <c r="AD3597" s="20">
        <f t="shared" si="169"/>
        <v>4.0475046443279795E-2</v>
      </c>
      <c r="AE3597" s="25">
        <f t="shared" si="170"/>
        <v>0.47638598533183207</v>
      </c>
    </row>
    <row r="3598" spans="1:31" x14ac:dyDescent="0.2">
      <c r="A3598" s="1" t="s">
        <v>2054</v>
      </c>
      <c r="B3598" s="1" t="s">
        <v>7965</v>
      </c>
      <c r="C3598" s="1">
        <v>58284</v>
      </c>
      <c r="D3598" s="1">
        <v>1</v>
      </c>
      <c r="F3598" s="1">
        <v>2023</v>
      </c>
      <c r="G3598" s="5">
        <v>2252</v>
      </c>
      <c r="H3598" s="5">
        <v>1991.66</v>
      </c>
      <c r="I3598" s="5">
        <v>70512.649999999994</v>
      </c>
      <c r="K3598" s="5">
        <v>0.20200000000000001</v>
      </c>
      <c r="L3598" s="5">
        <v>1E-3</v>
      </c>
      <c r="M3598" s="5">
        <v>39932.565999999999</v>
      </c>
      <c r="N3598" s="6">
        <v>5.9299999999999999E-2</v>
      </c>
      <c r="O3598" s="5">
        <v>3.444</v>
      </c>
      <c r="P3598" s="6">
        <v>2.0199999999999999E-2</v>
      </c>
      <c r="Q3598" s="5">
        <v>671930.31599999999</v>
      </c>
      <c r="R3598" s="1" t="s">
        <v>44</v>
      </c>
      <c r="T3598" s="1" t="s">
        <v>93</v>
      </c>
      <c r="V3598" s="1" t="s">
        <v>64</v>
      </c>
      <c r="Y3598" s="1" t="s">
        <v>247</v>
      </c>
      <c r="Z3598" s="1" t="str">
        <f t="shared" si="168"/>
        <v>58284 1</v>
      </c>
      <c r="AA3598" s="3">
        <f>IF(INDEX('CAMD Facility Data 2023'!$AA$2:$AE$10000,MATCH(Z3598,'CAMD Facility Data 2023'!$AE$2:$AE$10000,0),1)&gt;0,INDEX('CAMD Facility Data 2023'!$AA$2:$AE$10000,MATCH(Z3598,'CAMD Facility Data 2023'!$AE$2:$AE$10000,0),1),"")</f>
        <v>42356</v>
      </c>
      <c r="AB3598" s="5">
        <f>IF(INDEX('CAMD Facility Data 2023'!$AC$2:$AE$10000,MATCH(Z3598,'CAMD Facility Data 2023'!$AE$2:$AE$10000,0),1)&gt;0,INDEX('CAMD Facility Data 2023'!$AC$2:$AE$10000,MATCH(Z3598,'CAMD Facility Data 2023'!$AE$2:$AE$10000,0),1),"")</f>
        <v>401</v>
      </c>
      <c r="AC3598" s="1" t="str">
        <f>IF(INDEX('CAMD Facility Data 2023'!$AE$2:$AG$10000,MATCH(Z3598,'CAMD Facility Data 2023'!$AE$2:$AE$10000,0),3)&gt;0,INDEX('CAMD Facility Data 2023'!$AE$2:$AG$10000,MATCH(Z3598,'CAMD Facility Data 2023'!$AE$2:$AE$10000,0),3),"")</f>
        <v>Y</v>
      </c>
      <c r="AD3598" s="20">
        <f t="shared" si="169"/>
        <v>9.7684599855486928E-2</v>
      </c>
      <c r="AE3598" s="25">
        <f t="shared" si="170"/>
        <v>0.19128272811122876</v>
      </c>
    </row>
    <row r="3599" spans="1:31" x14ac:dyDescent="0.2">
      <c r="A3599" s="1" t="s">
        <v>335</v>
      </c>
      <c r="B3599" s="1" t="s">
        <v>7967</v>
      </c>
      <c r="C3599" s="1">
        <v>58325</v>
      </c>
      <c r="D3599" s="1">
        <v>1</v>
      </c>
      <c r="F3599" s="1">
        <v>2023</v>
      </c>
      <c r="G3599" s="5">
        <v>2748</v>
      </c>
      <c r="H3599" s="5">
        <v>2513.3000000000002</v>
      </c>
      <c r="I3599" s="5">
        <v>215170.77</v>
      </c>
      <c r="K3599" s="5">
        <v>0.79100000000000004</v>
      </c>
      <c r="L3599" s="5">
        <v>1E-3</v>
      </c>
      <c r="M3599" s="5">
        <v>156763.897</v>
      </c>
      <c r="N3599" s="6">
        <v>5.8999999999999997E-2</v>
      </c>
      <c r="O3599" s="5">
        <v>47.442999999999998</v>
      </c>
      <c r="P3599" s="6">
        <v>4.3499999999999997E-2</v>
      </c>
      <c r="Q3599" s="5">
        <v>2637847.8029999998</v>
      </c>
      <c r="R3599" s="1" t="s">
        <v>44</v>
      </c>
      <c r="T3599" s="1" t="s">
        <v>93</v>
      </c>
      <c r="V3599" s="1" t="s">
        <v>140</v>
      </c>
      <c r="Y3599" s="1" t="s">
        <v>346</v>
      </c>
      <c r="Z3599" s="1" t="str">
        <f t="shared" si="168"/>
        <v>58325 1</v>
      </c>
      <c r="AA3599" s="3">
        <f>IF(INDEX('CAMD Facility Data 2023'!$AA$2:$AE$10000,MATCH(Z3599,'CAMD Facility Data 2023'!$AE$2:$AE$10000,0),1)&gt;0,INDEX('CAMD Facility Data 2023'!$AA$2:$AE$10000,MATCH(Z3599,'CAMD Facility Data 2023'!$AE$2:$AE$10000,0),1),"")</f>
        <v>42114</v>
      </c>
      <c r="AB3599" s="5">
        <f>IF(INDEX('CAMD Facility Data 2023'!$AC$2:$AE$10000,MATCH(Z3599,'CAMD Facility Data 2023'!$AE$2:$AE$10000,0),1)&gt;0,INDEX('CAMD Facility Data 2023'!$AC$2:$AE$10000,MATCH(Z3599,'CAMD Facility Data 2023'!$AE$2:$AE$10000,0),1),"")</f>
        <v>1305.4000000000001</v>
      </c>
      <c r="AC3599" s="1" t="str">
        <f>IF(INDEX('CAMD Facility Data 2023'!$AE$2:$AG$10000,MATCH(Z3599,'CAMD Facility Data 2023'!$AE$2:$AE$10000,0),3)&gt;0,INDEX('CAMD Facility Data 2023'!$AE$2:$AG$10000,MATCH(Z3599,'CAMD Facility Data 2023'!$AE$2:$AE$10000,0),3),"")</f>
        <v/>
      </c>
      <c r="AD3599" s="20">
        <f t="shared" si="169"/>
        <v>0.44097997139667255</v>
      </c>
      <c r="AE3599" s="25">
        <f t="shared" si="170"/>
        <v>0.23067579165363683</v>
      </c>
    </row>
    <row r="3600" spans="1:31" x14ac:dyDescent="0.2">
      <c r="A3600" s="1" t="s">
        <v>383</v>
      </c>
      <c r="B3600" s="1" t="s">
        <v>7969</v>
      </c>
      <c r="C3600" s="1">
        <v>58378</v>
      </c>
      <c r="D3600" s="1" t="s">
        <v>7970</v>
      </c>
      <c r="F3600" s="1">
        <v>2023</v>
      </c>
      <c r="G3600" s="5">
        <v>2277</v>
      </c>
      <c r="H3600" s="5">
        <v>2264.7399999999998</v>
      </c>
      <c r="I3600" s="5">
        <v>182825.67</v>
      </c>
      <c r="K3600" s="5">
        <v>0.67900000000000005</v>
      </c>
      <c r="L3600" s="5">
        <v>1E-3</v>
      </c>
      <c r="M3600" s="5">
        <v>134977.63399999999</v>
      </c>
      <c r="N3600" s="6">
        <v>5.8999999999999997E-2</v>
      </c>
      <c r="O3600" s="5">
        <v>6.31</v>
      </c>
      <c r="P3600" s="6">
        <v>5.7000000000000002E-3</v>
      </c>
      <c r="Q3600" s="5">
        <v>2271220.827</v>
      </c>
      <c r="R3600" s="1" t="s">
        <v>44</v>
      </c>
      <c r="T3600" s="1" t="s">
        <v>93</v>
      </c>
      <c r="V3600" s="1" t="s">
        <v>858</v>
      </c>
      <c r="Y3600" s="1" t="s">
        <v>346</v>
      </c>
      <c r="Z3600" s="1" t="str">
        <f t="shared" si="168"/>
        <v>58378 CTHRSG</v>
      </c>
      <c r="AA3600" s="3">
        <f>IF(INDEX('CAMD Facility Data 2023'!$AA$2:$AE$10000,MATCH(Z3600,'CAMD Facility Data 2023'!$AE$2:$AE$10000,0),1)&gt;0,INDEX('CAMD Facility Data 2023'!$AA$2:$AE$10000,MATCH(Z3600,'CAMD Facility Data 2023'!$AE$2:$AE$10000,0),1),"")</f>
        <v>41442</v>
      </c>
      <c r="AB3600" s="5">
        <f>IF(INDEX('CAMD Facility Data 2023'!$AC$2:$AE$10000,MATCH(Z3600,'CAMD Facility Data 2023'!$AE$2:$AE$10000,0),1)&gt;0,INDEX('CAMD Facility Data 2023'!$AC$2:$AE$10000,MATCH(Z3600,'CAMD Facility Data 2023'!$AE$2:$AE$10000,0),1),"")</f>
        <v>1200</v>
      </c>
      <c r="AC3600" s="1" t="str">
        <f>IF(INDEX('CAMD Facility Data 2023'!$AE$2:$AG$10000,MATCH(Z3600,'CAMD Facility Data 2023'!$AE$2:$AE$10000,0),3)&gt;0,INDEX('CAMD Facility Data 2023'!$AE$2:$AG$10000,MATCH(Z3600,'CAMD Facility Data 2023'!$AE$2:$AE$10000,0),3),"")</f>
        <v>Y</v>
      </c>
      <c r="AD3600" s="20">
        <f t="shared" si="169"/>
        <v>6.90275058201619E-2</v>
      </c>
      <c r="AE3600" s="25">
        <f t="shared" si="170"/>
        <v>0.21605981992009132</v>
      </c>
    </row>
    <row r="3601" spans="1:31" x14ac:dyDescent="0.2">
      <c r="A3601" s="1" t="s">
        <v>2584</v>
      </c>
      <c r="B3601" s="1" t="s">
        <v>7973</v>
      </c>
      <c r="C3601" s="1">
        <v>58420</v>
      </c>
      <c r="D3601" s="1" t="s">
        <v>311</v>
      </c>
      <c r="F3601" s="1">
        <v>2023</v>
      </c>
      <c r="G3601" s="5">
        <v>8194</v>
      </c>
      <c r="H3601" s="5">
        <v>8189.92</v>
      </c>
      <c r="I3601" s="5">
        <v>3161515.15</v>
      </c>
      <c r="K3601" s="5">
        <v>6.3289999999999997</v>
      </c>
      <c r="L3601" s="5">
        <v>1E-3</v>
      </c>
      <c r="M3601" s="5">
        <v>1253794.8459999999</v>
      </c>
      <c r="N3601" s="6">
        <v>5.8999999999999997E-2</v>
      </c>
      <c r="O3601" s="5">
        <v>67.453999999999994</v>
      </c>
      <c r="P3601" s="6">
        <v>6.4000000000000003E-3</v>
      </c>
      <c r="Q3601" s="5">
        <v>21097491.396000002</v>
      </c>
      <c r="R3601" s="1" t="s">
        <v>44</v>
      </c>
      <c r="T3601" s="1" t="s">
        <v>71</v>
      </c>
      <c r="V3601" s="1" t="s">
        <v>64</v>
      </c>
      <c r="Y3601" s="1" t="s">
        <v>1515</v>
      </c>
      <c r="Z3601" s="1" t="str">
        <f t="shared" si="168"/>
        <v>58420 CT1</v>
      </c>
      <c r="AA3601" s="3">
        <f>IF(INDEX('CAMD Facility Data 2023'!$AA$2:$AE$10000,MATCH(Z3601,'CAMD Facility Data 2023'!$AE$2:$AE$10000,0),1)&gt;0,INDEX('CAMD Facility Data 2023'!$AA$2:$AE$10000,MATCH(Z3601,'CAMD Facility Data 2023'!$AE$2:$AE$10000,0),1),"")</f>
        <v>42375</v>
      </c>
      <c r="AB3601" s="5">
        <f>IF(INDEX('CAMD Facility Data 2023'!$AC$2:$AE$10000,MATCH(Z3601,'CAMD Facility Data 2023'!$AE$2:$AE$10000,0),1)&gt;0,INDEX('CAMD Facility Data 2023'!$AC$2:$AE$10000,MATCH(Z3601,'CAMD Facility Data 2023'!$AE$2:$AE$10000,0),1),"")</f>
        <v>3144</v>
      </c>
      <c r="AC3601" s="1" t="str">
        <f>IF(INDEX('CAMD Facility Data 2023'!$AE$2:$AG$10000,MATCH(Z3601,'CAMD Facility Data 2023'!$AE$2:$AE$10000,0),3)&gt;0,INDEX('CAMD Facility Data 2023'!$AE$2:$AG$10000,MATCH(Z3601,'CAMD Facility Data 2023'!$AE$2:$AE$10000,0),3),"")</f>
        <v>Y</v>
      </c>
      <c r="AD3601" s="20">
        <f t="shared" si="169"/>
        <v>4.267194481101886E-2</v>
      </c>
      <c r="AE3601" s="25">
        <f t="shared" si="170"/>
        <v>0.76602717199972126</v>
      </c>
    </row>
    <row r="3602" spans="1:31" x14ac:dyDescent="0.2">
      <c r="A3602" s="1" t="s">
        <v>2584</v>
      </c>
      <c r="B3602" s="1" t="s">
        <v>7973</v>
      </c>
      <c r="C3602" s="1">
        <v>58420</v>
      </c>
      <c r="D3602" s="1" t="s">
        <v>98</v>
      </c>
      <c r="F3602" s="1">
        <v>2023</v>
      </c>
      <c r="G3602" s="5">
        <v>8220</v>
      </c>
      <c r="H3602" s="5">
        <v>8216.4599999999991</v>
      </c>
      <c r="I3602" s="5">
        <v>3136807.32</v>
      </c>
      <c r="K3602" s="5">
        <v>6.2629999999999999</v>
      </c>
      <c r="L3602" s="5">
        <v>1E-3</v>
      </c>
      <c r="M3602" s="5">
        <v>1240675.8119999999</v>
      </c>
      <c r="N3602" s="6">
        <v>5.8999999999999997E-2</v>
      </c>
      <c r="O3602" s="5">
        <v>65.44</v>
      </c>
      <c r="P3602" s="6">
        <v>6.3E-3</v>
      </c>
      <c r="Q3602" s="5">
        <v>20876733.668000001</v>
      </c>
      <c r="R3602" s="1" t="s">
        <v>44</v>
      </c>
      <c r="T3602" s="1" t="s">
        <v>71</v>
      </c>
      <c r="V3602" s="1" t="s">
        <v>64</v>
      </c>
      <c r="Y3602" s="1" t="s">
        <v>1515</v>
      </c>
      <c r="Z3602" s="1" t="str">
        <f t="shared" si="168"/>
        <v>58420 CT2</v>
      </c>
      <c r="AA3602" s="3">
        <f>IF(INDEX('CAMD Facility Data 2023'!$AA$2:$AE$10000,MATCH(Z3602,'CAMD Facility Data 2023'!$AE$2:$AE$10000,0),1)&gt;0,INDEX('CAMD Facility Data 2023'!$AA$2:$AE$10000,MATCH(Z3602,'CAMD Facility Data 2023'!$AE$2:$AE$10000,0),1),"")</f>
        <v>42404</v>
      </c>
      <c r="AB3602" s="5">
        <f>IF(INDEX('CAMD Facility Data 2023'!$AC$2:$AE$10000,MATCH(Z3602,'CAMD Facility Data 2023'!$AE$2:$AE$10000,0),1)&gt;0,INDEX('CAMD Facility Data 2023'!$AC$2:$AE$10000,MATCH(Z3602,'CAMD Facility Data 2023'!$AE$2:$AE$10000,0),1),"")</f>
        <v>3144</v>
      </c>
      <c r="AC3602" s="1" t="str">
        <f>IF(INDEX('CAMD Facility Data 2023'!$AE$2:$AG$10000,MATCH(Z3602,'CAMD Facility Data 2023'!$AE$2:$AE$10000,0),3)&gt;0,INDEX('CAMD Facility Data 2023'!$AE$2:$AG$10000,MATCH(Z3602,'CAMD Facility Data 2023'!$AE$2:$AE$10000,0),3),"")</f>
        <v>Y</v>
      </c>
      <c r="AD3602" s="20">
        <f t="shared" si="169"/>
        <v>4.1723952620717555E-2</v>
      </c>
      <c r="AE3602" s="25">
        <f t="shared" si="170"/>
        <v>0.75801169684664282</v>
      </c>
    </row>
    <row r="3603" spans="1:31" x14ac:dyDescent="0.2">
      <c r="A3603" s="1" t="s">
        <v>2584</v>
      </c>
      <c r="B3603" s="1" t="s">
        <v>7980</v>
      </c>
      <c r="C3603" s="1">
        <v>58426</v>
      </c>
      <c r="D3603" s="1" t="s">
        <v>311</v>
      </c>
      <c r="F3603" s="1">
        <v>2023</v>
      </c>
      <c r="G3603" s="5">
        <v>8053</v>
      </c>
      <c r="H3603" s="5">
        <v>8046.11</v>
      </c>
      <c r="I3603" s="5">
        <v>3261455.31</v>
      </c>
      <c r="K3603" s="5">
        <v>6.3559999999999999</v>
      </c>
      <c r="L3603" s="5">
        <v>1E-3</v>
      </c>
      <c r="M3603" s="5">
        <v>1259127.814</v>
      </c>
      <c r="N3603" s="6">
        <v>5.8999999999999997E-2</v>
      </c>
      <c r="O3603" s="5">
        <v>66.756</v>
      </c>
      <c r="P3603" s="6">
        <v>6.4999999999999997E-3</v>
      </c>
      <c r="Q3603" s="5">
        <v>21187267.342999998</v>
      </c>
      <c r="R3603" s="1" t="s">
        <v>44</v>
      </c>
      <c r="T3603" s="1" t="s">
        <v>71</v>
      </c>
      <c r="V3603" s="1" t="s">
        <v>64</v>
      </c>
      <c r="Y3603" s="1" t="s">
        <v>1515</v>
      </c>
      <c r="Z3603" s="1" t="str">
        <f t="shared" si="168"/>
        <v>58426 CT1</v>
      </c>
      <c r="AA3603" s="3">
        <f>IF(INDEX('CAMD Facility Data 2023'!$AA$2:$AE$10000,MATCH(Z3603,'CAMD Facility Data 2023'!$AE$2:$AE$10000,0),1)&gt;0,INDEX('CAMD Facility Data 2023'!$AA$2:$AE$10000,MATCH(Z3603,'CAMD Facility Data 2023'!$AE$2:$AE$10000,0),1),"")</f>
        <v>42435</v>
      </c>
      <c r="AB3603" s="5">
        <f>IF(INDEX('CAMD Facility Data 2023'!$AC$2:$AE$10000,MATCH(Z3603,'CAMD Facility Data 2023'!$AE$2:$AE$10000,0),1)&gt;0,INDEX('CAMD Facility Data 2023'!$AC$2:$AE$10000,MATCH(Z3603,'CAMD Facility Data 2023'!$AE$2:$AE$10000,0),1),"")</f>
        <v>3250</v>
      </c>
      <c r="AC3603" s="1" t="str">
        <f>IF(INDEX('CAMD Facility Data 2023'!$AE$2:$AG$10000,MATCH(Z3603,'CAMD Facility Data 2023'!$AE$2:$AE$10000,0),3)&gt;0,INDEX('CAMD Facility Data 2023'!$AE$2:$AG$10000,MATCH(Z3603,'CAMD Facility Data 2023'!$AE$2:$AE$10000,0),3),"")</f>
        <v>Y</v>
      </c>
      <c r="AD3603" s="20">
        <f t="shared" si="169"/>
        <v>4.0936326673137825E-2</v>
      </c>
      <c r="AE3603" s="25">
        <f t="shared" si="170"/>
        <v>0.74419625370565501</v>
      </c>
    </row>
    <row r="3604" spans="1:31" x14ac:dyDescent="0.2">
      <c r="A3604" s="1" t="s">
        <v>2584</v>
      </c>
      <c r="B3604" s="1" t="s">
        <v>7980</v>
      </c>
      <c r="C3604" s="1">
        <v>58426</v>
      </c>
      <c r="D3604" s="1" t="s">
        <v>98</v>
      </c>
      <c r="F3604" s="1">
        <v>2023</v>
      </c>
      <c r="G3604" s="5">
        <v>8363</v>
      </c>
      <c r="H3604" s="5">
        <v>8355.42</v>
      </c>
      <c r="I3604" s="5">
        <v>3223677.83</v>
      </c>
      <c r="K3604" s="5">
        <v>6.2779999999999996</v>
      </c>
      <c r="L3604" s="5">
        <v>1E-3</v>
      </c>
      <c r="M3604" s="5">
        <v>1243692.2819999999</v>
      </c>
      <c r="N3604" s="6">
        <v>5.8999999999999997E-2</v>
      </c>
      <c r="O3604" s="5">
        <v>63.865000000000002</v>
      </c>
      <c r="P3604" s="6">
        <v>6.1999999999999998E-3</v>
      </c>
      <c r="Q3604" s="5">
        <v>20927520.186999999</v>
      </c>
      <c r="R3604" s="1" t="s">
        <v>44</v>
      </c>
      <c r="T3604" s="1" t="s">
        <v>71</v>
      </c>
      <c r="V3604" s="1" t="s">
        <v>64</v>
      </c>
      <c r="Y3604" s="1" t="s">
        <v>1515</v>
      </c>
      <c r="Z3604" s="1" t="str">
        <f t="shared" si="168"/>
        <v>58426 CT2</v>
      </c>
      <c r="AA3604" s="3">
        <f>IF(INDEX('CAMD Facility Data 2023'!$AA$2:$AE$10000,MATCH(Z3604,'CAMD Facility Data 2023'!$AE$2:$AE$10000,0),1)&gt;0,INDEX('CAMD Facility Data 2023'!$AA$2:$AE$10000,MATCH(Z3604,'CAMD Facility Data 2023'!$AE$2:$AE$10000,0),1),"")</f>
        <v>42453</v>
      </c>
      <c r="AB3604" s="5">
        <f>IF(INDEX('CAMD Facility Data 2023'!$AC$2:$AE$10000,MATCH(Z3604,'CAMD Facility Data 2023'!$AE$2:$AE$10000,0),1)&gt;0,INDEX('CAMD Facility Data 2023'!$AC$2:$AE$10000,MATCH(Z3604,'CAMD Facility Data 2023'!$AE$2:$AE$10000,0),1),"")</f>
        <v>3250</v>
      </c>
      <c r="AC3604" s="1" t="str">
        <f>IF(INDEX('CAMD Facility Data 2023'!$AE$2:$AG$10000,MATCH(Z3604,'CAMD Facility Data 2023'!$AE$2:$AE$10000,0),3)&gt;0,INDEX('CAMD Facility Data 2023'!$AE$2:$AG$10000,MATCH(Z3604,'CAMD Facility Data 2023'!$AE$2:$AE$10000,0),3),"")</f>
        <v>Y</v>
      </c>
      <c r="AD3604" s="20">
        <f t="shared" si="169"/>
        <v>3.9622445770271034E-2</v>
      </c>
      <c r="AE3604" s="25">
        <f t="shared" si="170"/>
        <v>0.73507271468212154</v>
      </c>
    </row>
    <row r="3605" spans="1:31" x14ac:dyDescent="0.2">
      <c r="A3605" s="1" t="s">
        <v>1621</v>
      </c>
      <c r="B3605" s="1" t="s">
        <v>7984</v>
      </c>
      <c r="C3605" s="1">
        <v>58427</v>
      </c>
      <c r="D3605" s="1">
        <v>100</v>
      </c>
      <c r="F3605" s="1">
        <v>2023</v>
      </c>
      <c r="G3605" s="5">
        <v>5400</v>
      </c>
      <c r="H3605" s="5">
        <v>5380.42</v>
      </c>
      <c r="I3605" s="5">
        <v>205303.03</v>
      </c>
      <c r="K3605" s="5">
        <v>0.54</v>
      </c>
      <c r="L3605" s="5">
        <v>1E-3</v>
      </c>
      <c r="M3605" s="5">
        <v>106919.51700000001</v>
      </c>
      <c r="N3605" s="6">
        <v>5.9299999999999999E-2</v>
      </c>
      <c r="O3605" s="5">
        <v>62.01</v>
      </c>
      <c r="P3605" s="6">
        <v>6.83E-2</v>
      </c>
      <c r="Q3605" s="5">
        <v>1799103.79</v>
      </c>
      <c r="R3605" s="1" t="s">
        <v>44</v>
      </c>
      <c r="T3605" s="1" t="s">
        <v>71</v>
      </c>
      <c r="V3605" s="1" t="s">
        <v>140</v>
      </c>
      <c r="Y3605" s="1" t="s">
        <v>461</v>
      </c>
      <c r="Z3605" s="1" t="str">
        <f t="shared" si="168"/>
        <v>58427 100</v>
      </c>
      <c r="AA3605" s="3">
        <f>IF(INDEX('CAMD Facility Data 2023'!$AA$2:$AE$10000,MATCH(Z3605,'CAMD Facility Data 2023'!$AE$2:$AE$10000,0),1)&gt;0,INDEX('CAMD Facility Data 2023'!$AA$2:$AE$10000,MATCH(Z3605,'CAMD Facility Data 2023'!$AE$2:$AE$10000,0),1),"")</f>
        <v>41375</v>
      </c>
      <c r="AB3605" s="5">
        <f>IF(INDEX('CAMD Facility Data 2023'!$AC$2:$AE$10000,MATCH(Z3605,'CAMD Facility Data 2023'!$AE$2:$AE$10000,0),1)&gt;0,INDEX('CAMD Facility Data 2023'!$AC$2:$AE$10000,MATCH(Z3605,'CAMD Facility Data 2023'!$AE$2:$AE$10000,0),1),"")</f>
        <v>494.9</v>
      </c>
      <c r="AC3605" s="1" t="str">
        <f>IF(INDEX('CAMD Facility Data 2023'!$AE$2:$AG$10000,MATCH(Z3605,'CAMD Facility Data 2023'!$AE$2:$AE$10000,0),3)&gt;0,INDEX('CAMD Facility Data 2023'!$AE$2:$AG$10000,MATCH(Z3605,'CAMD Facility Data 2023'!$AE$2:$AE$10000,0),3),"")</f>
        <v/>
      </c>
      <c r="AD3605" s="20">
        <f t="shared" si="169"/>
        <v>0.60408265771820324</v>
      </c>
      <c r="AE3605" s="25">
        <f t="shared" si="170"/>
        <v>0.414987158975892</v>
      </c>
    </row>
    <row r="3606" spans="1:31" x14ac:dyDescent="0.2">
      <c r="A3606" s="1" t="s">
        <v>1621</v>
      </c>
      <c r="B3606" s="1" t="s">
        <v>7984</v>
      </c>
      <c r="C3606" s="1">
        <v>58427</v>
      </c>
      <c r="D3606" s="1">
        <v>200</v>
      </c>
      <c r="F3606" s="1">
        <v>2023</v>
      </c>
      <c r="G3606" s="5">
        <v>7302</v>
      </c>
      <c r="H3606" s="5">
        <v>7263.73</v>
      </c>
      <c r="I3606" s="5">
        <v>286418.23</v>
      </c>
      <c r="K3606" s="5">
        <v>0.748</v>
      </c>
      <c r="L3606" s="5">
        <v>1E-3</v>
      </c>
      <c r="M3606" s="5">
        <v>148212.64799999999</v>
      </c>
      <c r="N3606" s="6">
        <v>5.9200000000000003E-2</v>
      </c>
      <c r="O3606" s="5">
        <v>73.762</v>
      </c>
      <c r="P3606" s="6">
        <v>5.8900000000000001E-2</v>
      </c>
      <c r="Q3606" s="5">
        <v>2494066.267</v>
      </c>
      <c r="R3606" s="1" t="s">
        <v>44</v>
      </c>
      <c r="T3606" s="1" t="s">
        <v>71</v>
      </c>
      <c r="V3606" s="1" t="s">
        <v>140</v>
      </c>
      <c r="Y3606" s="1" t="s">
        <v>461</v>
      </c>
      <c r="Z3606" s="1" t="str">
        <f t="shared" si="168"/>
        <v>58427 200</v>
      </c>
      <c r="AA3606" s="3">
        <f>IF(INDEX('CAMD Facility Data 2023'!$AA$2:$AE$10000,MATCH(Z3606,'CAMD Facility Data 2023'!$AE$2:$AE$10000,0),1)&gt;0,INDEX('CAMD Facility Data 2023'!$AA$2:$AE$10000,MATCH(Z3606,'CAMD Facility Data 2023'!$AE$2:$AE$10000,0),1),"")</f>
        <v>41379</v>
      </c>
      <c r="AB3606" s="5">
        <f>IF(INDEX('CAMD Facility Data 2023'!$AC$2:$AE$10000,MATCH(Z3606,'CAMD Facility Data 2023'!$AE$2:$AE$10000,0),1)&gt;0,INDEX('CAMD Facility Data 2023'!$AC$2:$AE$10000,MATCH(Z3606,'CAMD Facility Data 2023'!$AE$2:$AE$10000,0),1),"")</f>
        <v>494.9</v>
      </c>
      <c r="AC3606" s="1" t="str">
        <f>IF(INDEX('CAMD Facility Data 2023'!$AE$2:$AG$10000,MATCH(Z3606,'CAMD Facility Data 2023'!$AE$2:$AE$10000,0),3)&gt;0,INDEX('CAMD Facility Data 2023'!$AE$2:$AG$10000,MATCH(Z3606,'CAMD Facility Data 2023'!$AE$2:$AE$10000,0),3),"")</f>
        <v/>
      </c>
      <c r="AD3606" s="20">
        <f t="shared" si="169"/>
        <v>0.51506498032614756</v>
      </c>
      <c r="AE3606" s="25">
        <f t="shared" si="170"/>
        <v>0.57528947478896619</v>
      </c>
    </row>
    <row r="3607" spans="1:31" x14ac:dyDescent="0.2">
      <c r="A3607" s="1" t="s">
        <v>383</v>
      </c>
      <c r="B3607" s="1" t="s">
        <v>7990</v>
      </c>
      <c r="C3607" s="1">
        <v>58471</v>
      </c>
      <c r="D3607" s="1" t="s">
        <v>1296</v>
      </c>
      <c r="F3607" s="1">
        <v>2023</v>
      </c>
      <c r="G3607" s="5">
        <v>1701</v>
      </c>
      <c r="H3607" s="5">
        <v>1519.02</v>
      </c>
      <c r="I3607" s="5">
        <v>201404.68</v>
      </c>
      <c r="K3607" s="5">
        <v>1.607</v>
      </c>
      <c r="L3607" s="5">
        <v>1E-3</v>
      </c>
      <c r="M3607" s="5">
        <v>136455.07399999999</v>
      </c>
      <c r="N3607" s="6">
        <v>5.91E-2</v>
      </c>
      <c r="O3607" s="5">
        <v>37.521000000000001</v>
      </c>
      <c r="P3607" s="6">
        <v>3.8300000000000001E-2</v>
      </c>
      <c r="Q3607" s="5">
        <v>2296138.8829999999</v>
      </c>
      <c r="R3607" s="1" t="s">
        <v>284</v>
      </c>
      <c r="T3607" s="1" t="s">
        <v>93</v>
      </c>
      <c r="V3607" s="1" t="s">
        <v>140</v>
      </c>
      <c r="Y3607" s="1" t="s">
        <v>346</v>
      </c>
      <c r="Z3607" s="1" t="str">
        <f t="shared" si="168"/>
        <v>58471 CT-1</v>
      </c>
      <c r="AA3607" s="3">
        <f>IF(INDEX('CAMD Facility Data 2023'!$AA$2:$AE$10000,MATCH(Z3607,'CAMD Facility Data 2023'!$AE$2:$AE$10000,0),1)&gt;0,INDEX('CAMD Facility Data 2023'!$AA$2:$AE$10000,MATCH(Z3607,'CAMD Facility Data 2023'!$AE$2:$AE$10000,0),1),"")</f>
        <v>42215</v>
      </c>
      <c r="AB3607" s="5">
        <f>IF(INDEX('CAMD Facility Data 2023'!$AC$2:$AE$10000,MATCH(Z3607,'CAMD Facility Data 2023'!$AE$2:$AE$10000,0),1)&gt;0,INDEX('CAMD Facility Data 2023'!$AC$2:$AE$10000,MATCH(Z3607,'CAMD Facility Data 2023'!$AE$2:$AE$10000,0),1),"")</f>
        <v>2291</v>
      </c>
      <c r="AC3607" s="1" t="str">
        <f>IF(INDEX('CAMD Facility Data 2023'!$AE$2:$AG$10000,MATCH(Z3607,'CAMD Facility Data 2023'!$AE$2:$AE$10000,0),3)&gt;0,INDEX('CAMD Facility Data 2023'!$AE$2:$AG$10000,MATCH(Z3607,'CAMD Facility Data 2023'!$AE$2:$AE$10000,0),3),"")</f>
        <v/>
      </c>
      <c r="AD3607" s="20">
        <f t="shared" si="169"/>
        <v>0.37259312941486761</v>
      </c>
      <c r="AE3607" s="25">
        <f t="shared" si="170"/>
        <v>0.1144113098405713</v>
      </c>
    </row>
    <row r="3608" spans="1:31" x14ac:dyDescent="0.2">
      <c r="A3608" s="1" t="s">
        <v>383</v>
      </c>
      <c r="B3608" s="1" t="s">
        <v>7990</v>
      </c>
      <c r="C3608" s="1">
        <v>58471</v>
      </c>
      <c r="D3608" s="1" t="s">
        <v>1300</v>
      </c>
      <c r="F3608" s="1">
        <v>2023</v>
      </c>
      <c r="G3608" s="5">
        <v>1975</v>
      </c>
      <c r="H3608" s="5">
        <v>1765.74</v>
      </c>
      <c r="I3608" s="5">
        <v>232278.5</v>
      </c>
      <c r="K3608" s="5">
        <v>1.869</v>
      </c>
      <c r="L3608" s="5">
        <v>1E-3</v>
      </c>
      <c r="M3608" s="5">
        <v>158676.799</v>
      </c>
      <c r="N3608" s="6">
        <v>5.8999999999999997E-2</v>
      </c>
      <c r="O3608" s="5">
        <v>44.609000000000002</v>
      </c>
      <c r="P3608" s="6">
        <v>3.7400000000000003E-2</v>
      </c>
      <c r="Q3608" s="5">
        <v>2670055.0989999999</v>
      </c>
      <c r="R3608" s="1" t="s">
        <v>284</v>
      </c>
      <c r="T3608" s="1" t="s">
        <v>93</v>
      </c>
      <c r="V3608" s="1" t="s">
        <v>140</v>
      </c>
      <c r="Y3608" s="1" t="s">
        <v>346</v>
      </c>
      <c r="Z3608" s="1" t="str">
        <f t="shared" si="168"/>
        <v>58471 CT-2</v>
      </c>
      <c r="AA3608" s="3">
        <f>IF(INDEX('CAMD Facility Data 2023'!$AA$2:$AE$10000,MATCH(Z3608,'CAMD Facility Data 2023'!$AE$2:$AE$10000,0),1)&gt;0,INDEX('CAMD Facility Data 2023'!$AA$2:$AE$10000,MATCH(Z3608,'CAMD Facility Data 2023'!$AE$2:$AE$10000,0),1),"")</f>
        <v>42230</v>
      </c>
      <c r="AB3608" s="5">
        <f>IF(INDEX('CAMD Facility Data 2023'!$AC$2:$AE$10000,MATCH(Z3608,'CAMD Facility Data 2023'!$AE$2:$AE$10000,0),1)&gt;0,INDEX('CAMD Facility Data 2023'!$AC$2:$AE$10000,MATCH(Z3608,'CAMD Facility Data 2023'!$AE$2:$AE$10000,0),1),"")</f>
        <v>2291</v>
      </c>
      <c r="AC3608" s="1" t="str">
        <f>IF(INDEX('CAMD Facility Data 2023'!$AE$2:$AG$10000,MATCH(Z3608,'CAMD Facility Data 2023'!$AE$2:$AE$10000,0),3)&gt;0,INDEX('CAMD Facility Data 2023'!$AE$2:$AG$10000,MATCH(Z3608,'CAMD Facility Data 2023'!$AE$2:$AE$10000,0),3),"")</f>
        <v/>
      </c>
      <c r="AD3608" s="20">
        <f t="shared" si="169"/>
        <v>0.38409926015537382</v>
      </c>
      <c r="AE3608" s="25">
        <f t="shared" si="170"/>
        <v>0.1330426933165115</v>
      </c>
    </row>
    <row r="3609" spans="1:31" x14ac:dyDescent="0.2">
      <c r="A3609" s="1" t="s">
        <v>1426</v>
      </c>
      <c r="B3609" s="1" t="s">
        <v>7994</v>
      </c>
      <c r="C3609" s="1">
        <v>58478</v>
      </c>
      <c r="D3609" s="1" t="s">
        <v>5117</v>
      </c>
      <c r="F3609" s="1">
        <v>2023</v>
      </c>
      <c r="G3609" s="5">
        <v>3480</v>
      </c>
      <c r="H3609" s="5">
        <v>3463.25</v>
      </c>
      <c r="I3609" s="5">
        <v>189957.75</v>
      </c>
      <c r="K3609" s="5">
        <v>0.45800000000000002</v>
      </c>
      <c r="L3609" s="5">
        <v>1E-3</v>
      </c>
      <c r="M3609" s="5">
        <v>90693.1</v>
      </c>
      <c r="N3609" s="6">
        <v>5.9200000000000003E-2</v>
      </c>
      <c r="O3609" s="5">
        <v>24.242000000000001</v>
      </c>
      <c r="P3609" s="6">
        <v>3.1199999999999999E-2</v>
      </c>
      <c r="Q3609" s="5">
        <v>1526053.7250000001</v>
      </c>
      <c r="R3609" s="1" t="s">
        <v>44</v>
      </c>
      <c r="T3609" s="1" t="s">
        <v>71</v>
      </c>
      <c r="V3609" s="1" t="s">
        <v>223</v>
      </c>
      <c r="Y3609" s="1" t="s">
        <v>1428</v>
      </c>
      <c r="Z3609" s="1" t="str">
        <f t="shared" si="168"/>
        <v>58478 CC01</v>
      </c>
      <c r="AA3609" s="3">
        <f>IF(INDEX('CAMD Facility Data 2023'!$AA$2:$AE$10000,MATCH(Z3609,'CAMD Facility Data 2023'!$AE$2:$AE$10000,0),1)&gt;0,INDEX('CAMD Facility Data 2023'!$AA$2:$AE$10000,MATCH(Z3609,'CAMD Facility Data 2023'!$AE$2:$AE$10000,0),1),"")</f>
        <v>42322</v>
      </c>
      <c r="AB3609" s="5">
        <f>IF(INDEX('CAMD Facility Data 2023'!$AC$2:$AE$10000,MATCH(Z3609,'CAMD Facility Data 2023'!$AE$2:$AE$10000,0),1)&gt;0,INDEX('CAMD Facility Data 2023'!$AC$2:$AE$10000,MATCH(Z3609,'CAMD Facility Data 2023'!$AE$2:$AE$10000,0),1),"")</f>
        <v>600</v>
      </c>
      <c r="AC3609" s="1" t="str">
        <f>IF(INDEX('CAMD Facility Data 2023'!$AE$2:$AG$10000,MATCH(Z3609,'CAMD Facility Data 2023'!$AE$2:$AE$10000,0),3)&gt;0,INDEX('CAMD Facility Data 2023'!$AE$2:$AG$10000,MATCH(Z3609,'CAMD Facility Data 2023'!$AE$2:$AE$10000,0),3),"")</f>
        <v>Y</v>
      </c>
      <c r="AD3609" s="20">
        <f t="shared" si="169"/>
        <v>0.25523570372885551</v>
      </c>
      <c r="AE3609" s="25">
        <f t="shared" si="170"/>
        <v>0.29034507705479456</v>
      </c>
    </row>
    <row r="3610" spans="1:31" x14ac:dyDescent="0.2">
      <c r="A3610" s="1" t="s">
        <v>4093</v>
      </c>
      <c r="B3610" s="1" t="s">
        <v>7997</v>
      </c>
      <c r="C3610" s="1">
        <v>58503</v>
      </c>
      <c r="D3610" s="1" t="s">
        <v>7998</v>
      </c>
      <c r="F3610" s="1">
        <v>2023</v>
      </c>
      <c r="G3610" s="5">
        <v>7284</v>
      </c>
      <c r="H3610" s="5">
        <v>7273.85</v>
      </c>
      <c r="I3610" s="5">
        <v>3171245.42</v>
      </c>
      <c r="K3610" s="5">
        <v>6.98</v>
      </c>
      <c r="L3610" s="5">
        <v>1E-3</v>
      </c>
      <c r="M3610" s="5">
        <v>1382621.5589999999</v>
      </c>
      <c r="N3610" s="6">
        <v>5.8999999999999997E-2</v>
      </c>
      <c r="O3610" s="5">
        <v>69.41</v>
      </c>
      <c r="P3610" s="6">
        <v>6.0000000000000001E-3</v>
      </c>
      <c r="Q3610" s="5">
        <v>23265211.100000001</v>
      </c>
      <c r="R3610" s="1" t="s">
        <v>44</v>
      </c>
      <c r="T3610" s="1" t="s">
        <v>71</v>
      </c>
      <c r="V3610" s="1" t="s">
        <v>64</v>
      </c>
      <c r="Y3610" s="1" t="s">
        <v>247</v>
      </c>
      <c r="Z3610" s="1" t="str">
        <f t="shared" si="168"/>
        <v>58503 CTEU1</v>
      </c>
      <c r="AA3610" s="3">
        <f>IF(INDEX('CAMD Facility Data 2023'!$AA$2:$AE$10000,MATCH(Z3610,'CAMD Facility Data 2023'!$AE$2:$AE$10000,0),1)&gt;0,INDEX('CAMD Facility Data 2023'!$AA$2:$AE$10000,MATCH(Z3610,'CAMD Facility Data 2023'!$AE$2:$AE$10000,0),1),"")</f>
        <v>42552</v>
      </c>
      <c r="AB3610" s="5">
        <f>IF(INDEX('CAMD Facility Data 2023'!$AC$2:$AE$10000,MATCH(Z3610,'CAMD Facility Data 2023'!$AE$2:$AE$10000,0),1)&gt;0,INDEX('CAMD Facility Data 2023'!$AC$2:$AE$10000,MATCH(Z3610,'CAMD Facility Data 2023'!$AE$2:$AE$10000,0),1),"")</f>
        <v>3862.6</v>
      </c>
      <c r="AC3610" s="1" t="str">
        <f>IF(INDEX('CAMD Facility Data 2023'!$AE$2:$AG$10000,MATCH(Z3610,'CAMD Facility Data 2023'!$AE$2:$AE$10000,0),3)&gt;0,INDEX('CAMD Facility Data 2023'!$AE$2:$AG$10000,MATCH(Z3610,'CAMD Facility Data 2023'!$AE$2:$AE$10000,0),3),"")</f>
        <v>Y</v>
      </c>
      <c r="AD3610" s="20">
        <f t="shared" si="169"/>
        <v>4.3774600074944686E-2</v>
      </c>
      <c r="AE3610" s="25">
        <f t="shared" si="170"/>
        <v>0.68757987261992837</v>
      </c>
    </row>
    <row r="3611" spans="1:31" x14ac:dyDescent="0.2">
      <c r="A3611" s="1" t="s">
        <v>383</v>
      </c>
      <c r="B3611" s="1" t="s">
        <v>8000</v>
      </c>
      <c r="C3611" s="1">
        <v>58562</v>
      </c>
      <c r="D3611" s="1" t="s">
        <v>1155</v>
      </c>
      <c r="F3611" s="1">
        <v>2023</v>
      </c>
      <c r="G3611" s="5">
        <v>4373</v>
      </c>
      <c r="H3611" s="5">
        <v>4016.25</v>
      </c>
      <c r="I3611" s="5">
        <v>303615.67</v>
      </c>
      <c r="K3611" s="5">
        <v>0.83</v>
      </c>
      <c r="L3611" s="5">
        <v>1E-3</v>
      </c>
      <c r="M3611" s="5">
        <v>162681.921</v>
      </c>
      <c r="N3611" s="6">
        <v>5.91E-2</v>
      </c>
      <c r="O3611" s="5">
        <v>15.489000000000001</v>
      </c>
      <c r="P3611" s="6">
        <v>1.4500000000000001E-2</v>
      </c>
      <c r="Q3611" s="5">
        <v>2736704.1850000001</v>
      </c>
      <c r="R3611" s="1" t="s">
        <v>44</v>
      </c>
      <c r="S3611" s="1" t="s">
        <v>94</v>
      </c>
      <c r="T3611" s="1" t="s">
        <v>93</v>
      </c>
      <c r="V3611" s="1" t="s">
        <v>223</v>
      </c>
      <c r="Y3611" s="1" t="s">
        <v>346</v>
      </c>
      <c r="Z3611" s="1" t="str">
        <f t="shared" si="168"/>
        <v>58562 GT-1</v>
      </c>
      <c r="AA3611" s="3">
        <f>IF(INDEX('CAMD Facility Data 2023'!$AA$2:$AE$10000,MATCH(Z3611,'CAMD Facility Data 2023'!$AE$2:$AE$10000,0),1)&gt;0,INDEX('CAMD Facility Data 2023'!$AA$2:$AE$10000,MATCH(Z3611,'CAMD Facility Data 2023'!$AE$2:$AE$10000,0),1),"")</f>
        <v>42070</v>
      </c>
      <c r="AB3611" s="5">
        <f>IF(INDEX('CAMD Facility Data 2023'!$AC$2:$AE$10000,MATCH(Z3611,'CAMD Facility Data 2023'!$AE$2:$AE$10000,0),1)&gt;0,INDEX('CAMD Facility Data 2023'!$AC$2:$AE$10000,MATCH(Z3611,'CAMD Facility Data 2023'!$AE$2:$AE$10000,0),1),"")</f>
        <v>858</v>
      </c>
      <c r="AC3611" s="1" t="str">
        <f>IF(INDEX('CAMD Facility Data 2023'!$AE$2:$AG$10000,MATCH(Z3611,'CAMD Facility Data 2023'!$AE$2:$AE$10000,0),3)&gt;0,INDEX('CAMD Facility Data 2023'!$AE$2:$AG$10000,MATCH(Z3611,'CAMD Facility Data 2023'!$AE$2:$AE$10000,0),3),"")</f>
        <v>Y</v>
      </c>
      <c r="AD3611" s="20">
        <f t="shared" si="169"/>
        <v>0.10203030693376268</v>
      </c>
      <c r="AE3611" s="25">
        <f t="shared" si="170"/>
        <v>0.36411323256271888</v>
      </c>
    </row>
    <row r="3612" spans="1:31" x14ac:dyDescent="0.2">
      <c r="A3612" s="1" t="s">
        <v>383</v>
      </c>
      <c r="B3612" s="1" t="s">
        <v>8000</v>
      </c>
      <c r="C3612" s="1">
        <v>58562</v>
      </c>
      <c r="D3612" s="1" t="s">
        <v>1162</v>
      </c>
      <c r="F3612" s="1">
        <v>2023</v>
      </c>
      <c r="G3612" s="5">
        <v>4129</v>
      </c>
      <c r="H3612" s="5">
        <v>3766.85</v>
      </c>
      <c r="I3612" s="5">
        <v>298998.78999999998</v>
      </c>
      <c r="K3612" s="5">
        <v>0.80700000000000005</v>
      </c>
      <c r="L3612" s="5">
        <v>1E-3</v>
      </c>
      <c r="M3612" s="5">
        <v>159223.21599999999</v>
      </c>
      <c r="N3612" s="6">
        <v>5.8999999999999997E-2</v>
      </c>
      <c r="O3612" s="5">
        <v>15.116</v>
      </c>
      <c r="P3612" s="6">
        <v>1.5299999999999999E-2</v>
      </c>
      <c r="Q3612" s="5">
        <v>2679005.949</v>
      </c>
      <c r="R3612" s="1" t="s">
        <v>44</v>
      </c>
      <c r="S3612" s="1" t="s">
        <v>94</v>
      </c>
      <c r="T3612" s="1" t="s">
        <v>93</v>
      </c>
      <c r="V3612" s="1" t="s">
        <v>223</v>
      </c>
      <c r="Y3612" s="1" t="s">
        <v>346</v>
      </c>
      <c r="Z3612" s="1" t="str">
        <f t="shared" si="168"/>
        <v>58562 GT-2</v>
      </c>
      <c r="AA3612" s="3">
        <f>IF(INDEX('CAMD Facility Data 2023'!$AA$2:$AE$10000,MATCH(Z3612,'CAMD Facility Data 2023'!$AE$2:$AE$10000,0),1)&gt;0,INDEX('CAMD Facility Data 2023'!$AA$2:$AE$10000,MATCH(Z3612,'CAMD Facility Data 2023'!$AE$2:$AE$10000,0),1),"")</f>
        <v>42079</v>
      </c>
      <c r="AB3612" s="5">
        <f>IF(INDEX('CAMD Facility Data 2023'!$AC$2:$AE$10000,MATCH(Z3612,'CAMD Facility Data 2023'!$AE$2:$AE$10000,0),1)&gt;0,INDEX('CAMD Facility Data 2023'!$AC$2:$AE$10000,MATCH(Z3612,'CAMD Facility Data 2023'!$AE$2:$AE$10000,0),1),"")</f>
        <v>858</v>
      </c>
      <c r="AC3612" s="1" t="str">
        <f>IF(INDEX('CAMD Facility Data 2023'!$AE$2:$AG$10000,MATCH(Z3612,'CAMD Facility Data 2023'!$AE$2:$AE$10000,0),3)&gt;0,INDEX('CAMD Facility Data 2023'!$AE$2:$AG$10000,MATCH(Z3612,'CAMD Facility Data 2023'!$AE$2:$AE$10000,0),3),"")</f>
        <v>Y</v>
      </c>
      <c r="AD3612" s="20">
        <f t="shared" si="169"/>
        <v>0.10111077707036875</v>
      </c>
      <c r="AE3612" s="25">
        <f t="shared" si="170"/>
        <v>0.35643659314429865</v>
      </c>
    </row>
    <row r="3613" spans="1:31" x14ac:dyDescent="0.2">
      <c r="A3613" s="1" t="s">
        <v>383</v>
      </c>
      <c r="B3613" s="1" t="s">
        <v>8000</v>
      </c>
      <c r="C3613" s="1">
        <v>58562</v>
      </c>
      <c r="D3613" s="1" t="s">
        <v>1164</v>
      </c>
      <c r="F3613" s="1">
        <v>2023</v>
      </c>
      <c r="G3613" s="5">
        <v>5189</v>
      </c>
      <c r="H3613" s="5">
        <v>4747.6400000000003</v>
      </c>
      <c r="I3613" s="5">
        <v>359263.63</v>
      </c>
      <c r="K3613" s="5">
        <v>0.99399999999999999</v>
      </c>
      <c r="L3613" s="5">
        <v>1E-3</v>
      </c>
      <c r="M3613" s="5">
        <v>195976.12</v>
      </c>
      <c r="N3613" s="6">
        <v>5.91E-2</v>
      </c>
      <c r="O3613" s="5">
        <v>19.103999999999999</v>
      </c>
      <c r="P3613" s="6">
        <v>1.52E-2</v>
      </c>
      <c r="Q3613" s="5">
        <v>3297373.2760000001</v>
      </c>
      <c r="R3613" s="1" t="s">
        <v>44</v>
      </c>
      <c r="S3613" s="1" t="s">
        <v>94</v>
      </c>
      <c r="T3613" s="1" t="s">
        <v>93</v>
      </c>
      <c r="V3613" s="1" t="s">
        <v>223</v>
      </c>
      <c r="Y3613" s="1" t="s">
        <v>346</v>
      </c>
      <c r="Z3613" s="1" t="str">
        <f t="shared" si="168"/>
        <v>58562 GT-3</v>
      </c>
      <c r="AA3613" s="3">
        <f>IF(INDEX('CAMD Facility Data 2023'!$AA$2:$AE$10000,MATCH(Z3613,'CAMD Facility Data 2023'!$AE$2:$AE$10000,0),1)&gt;0,INDEX('CAMD Facility Data 2023'!$AA$2:$AE$10000,MATCH(Z3613,'CAMD Facility Data 2023'!$AE$2:$AE$10000,0),1),"")</f>
        <v>42479</v>
      </c>
      <c r="AB3613" s="5">
        <f>IF(INDEX('CAMD Facility Data 2023'!$AC$2:$AE$10000,MATCH(Z3613,'CAMD Facility Data 2023'!$AE$2:$AE$10000,0),1)&gt;0,INDEX('CAMD Facility Data 2023'!$AC$2:$AE$10000,MATCH(Z3613,'CAMD Facility Data 2023'!$AE$2:$AE$10000,0),1),"")</f>
        <v>858</v>
      </c>
      <c r="AC3613" s="1" t="str">
        <f>IF(INDEX('CAMD Facility Data 2023'!$AE$2:$AG$10000,MATCH(Z3613,'CAMD Facility Data 2023'!$AE$2:$AE$10000,0),3)&gt;0,INDEX('CAMD Facility Data 2023'!$AE$2:$AG$10000,MATCH(Z3613,'CAMD Facility Data 2023'!$AE$2:$AE$10000,0),3),"")</f>
        <v>Y</v>
      </c>
      <c r="AD3613" s="20">
        <f t="shared" si="169"/>
        <v>0.10635087108594878</v>
      </c>
      <c r="AE3613" s="25">
        <f t="shared" si="170"/>
        <v>0.43870917765643797</v>
      </c>
    </row>
    <row r="3614" spans="1:31" x14ac:dyDescent="0.2">
      <c r="A3614" s="1" t="s">
        <v>383</v>
      </c>
      <c r="B3614" s="1" t="s">
        <v>8000</v>
      </c>
      <c r="C3614" s="1">
        <v>58562</v>
      </c>
      <c r="D3614" s="1" t="s">
        <v>1166</v>
      </c>
      <c r="F3614" s="1">
        <v>2023</v>
      </c>
      <c r="G3614" s="5">
        <v>4027</v>
      </c>
      <c r="H3614" s="5">
        <v>3668.27</v>
      </c>
      <c r="I3614" s="5">
        <v>286401.71000000002</v>
      </c>
      <c r="K3614" s="5">
        <v>0.77800000000000002</v>
      </c>
      <c r="L3614" s="5">
        <v>1E-3</v>
      </c>
      <c r="M3614" s="5">
        <v>153370.62299999999</v>
      </c>
      <c r="N3614" s="6">
        <v>5.91E-2</v>
      </c>
      <c r="O3614" s="5">
        <v>14.987</v>
      </c>
      <c r="P3614" s="6">
        <v>1.5599999999999999E-2</v>
      </c>
      <c r="Q3614" s="5">
        <v>2580404.5920000002</v>
      </c>
      <c r="R3614" s="1" t="s">
        <v>44</v>
      </c>
      <c r="S3614" s="1" t="s">
        <v>94</v>
      </c>
      <c r="T3614" s="1" t="s">
        <v>93</v>
      </c>
      <c r="V3614" s="1" t="s">
        <v>223</v>
      </c>
      <c r="Y3614" s="1" t="s">
        <v>346</v>
      </c>
      <c r="Z3614" s="1" t="str">
        <f t="shared" si="168"/>
        <v>58562 GT-4</v>
      </c>
      <c r="AA3614" s="3">
        <f>IF(INDEX('CAMD Facility Data 2023'!$AA$2:$AE$10000,MATCH(Z3614,'CAMD Facility Data 2023'!$AE$2:$AE$10000,0),1)&gt;0,INDEX('CAMD Facility Data 2023'!$AA$2:$AE$10000,MATCH(Z3614,'CAMD Facility Data 2023'!$AE$2:$AE$10000,0),1),"")</f>
        <v>42601</v>
      </c>
      <c r="AB3614" s="5">
        <f>IF(INDEX('CAMD Facility Data 2023'!$AC$2:$AE$10000,MATCH(Z3614,'CAMD Facility Data 2023'!$AE$2:$AE$10000,0),1)&gt;0,INDEX('CAMD Facility Data 2023'!$AC$2:$AE$10000,MATCH(Z3614,'CAMD Facility Data 2023'!$AE$2:$AE$10000,0),1),"")</f>
        <v>858</v>
      </c>
      <c r="AC3614" s="1" t="str">
        <f>IF(INDEX('CAMD Facility Data 2023'!$AE$2:$AG$10000,MATCH(Z3614,'CAMD Facility Data 2023'!$AE$2:$AE$10000,0),3)&gt;0,INDEX('CAMD Facility Data 2023'!$AE$2:$AG$10000,MATCH(Z3614,'CAMD Facility Data 2023'!$AE$2:$AE$10000,0),3),"")</f>
        <v>Y</v>
      </c>
      <c r="AD3614" s="20">
        <f t="shared" si="169"/>
        <v>0.10465719635542678</v>
      </c>
      <c r="AE3614" s="25">
        <f t="shared" si="170"/>
        <v>0.34331787208225567</v>
      </c>
    </row>
    <row r="3615" spans="1:31" x14ac:dyDescent="0.2">
      <c r="A3615" s="1" t="s">
        <v>2584</v>
      </c>
      <c r="B3615" s="1" t="s">
        <v>8005</v>
      </c>
      <c r="C3615" s="1">
        <v>58933</v>
      </c>
      <c r="D3615" s="1">
        <v>101</v>
      </c>
      <c r="F3615" s="1">
        <v>2023</v>
      </c>
      <c r="G3615" s="5">
        <v>8456</v>
      </c>
      <c r="H3615" s="5">
        <v>8446.75</v>
      </c>
      <c r="I3615" s="5">
        <v>414050.5</v>
      </c>
      <c r="K3615" s="5">
        <v>1.61</v>
      </c>
      <c r="L3615" s="5">
        <v>1E-3</v>
      </c>
      <c r="M3615" s="5">
        <v>318956.65000000002</v>
      </c>
      <c r="N3615" s="6">
        <v>5.91E-2</v>
      </c>
      <c r="O3615" s="5">
        <v>18.86</v>
      </c>
      <c r="P3615" s="6">
        <v>7.4999999999999997E-3</v>
      </c>
      <c r="Q3615" s="5">
        <v>5367012.2249999996</v>
      </c>
      <c r="R3615" s="1" t="s">
        <v>44</v>
      </c>
      <c r="T3615" s="1" t="s">
        <v>71</v>
      </c>
      <c r="V3615" s="1" t="s">
        <v>64</v>
      </c>
      <c r="Y3615" s="1" t="s">
        <v>1515</v>
      </c>
      <c r="Z3615" s="1" t="str">
        <f t="shared" si="168"/>
        <v>58933 101</v>
      </c>
      <c r="AA3615" s="3">
        <f>IF(INDEX('CAMD Facility Data 2023'!$AA$2:$AE$10000,MATCH(Z3615,'CAMD Facility Data 2023'!$AE$2:$AE$10000,0),1)&gt;0,INDEX('CAMD Facility Data 2023'!$AA$2:$AE$10000,MATCH(Z3615,'CAMD Facility Data 2023'!$AE$2:$AE$10000,0),1),"")</f>
        <v>44374</v>
      </c>
      <c r="AB3615" s="5">
        <f>IF(INDEX('CAMD Facility Data 2023'!$AC$2:$AE$10000,MATCH(Z3615,'CAMD Facility Data 2023'!$AE$2:$AE$10000,0),1)&gt;0,INDEX('CAMD Facility Data 2023'!$AC$2:$AE$10000,MATCH(Z3615,'CAMD Facility Data 2023'!$AE$2:$AE$10000,0),1),"")</f>
        <v>790</v>
      </c>
      <c r="AC3615" s="1" t="str">
        <f>IF(INDEX('CAMD Facility Data 2023'!$AE$2:$AG$10000,MATCH(Z3615,'CAMD Facility Data 2023'!$AE$2:$AE$10000,0),3)&gt;0,INDEX('CAMD Facility Data 2023'!$AE$2:$AG$10000,MATCH(Z3615,'CAMD Facility Data 2023'!$AE$2:$AE$10000,0),3),"")</f>
        <v>Y</v>
      </c>
      <c r="AD3615" s="20">
        <f t="shared" si="169"/>
        <v>9.1099998671659618E-2</v>
      </c>
      <c r="AE3615" s="25">
        <f t="shared" si="170"/>
        <v>0.77553497268943983</v>
      </c>
    </row>
    <row r="3616" spans="1:31" x14ac:dyDescent="0.2">
      <c r="A3616" s="1" t="s">
        <v>2584</v>
      </c>
      <c r="B3616" s="1" t="s">
        <v>8005</v>
      </c>
      <c r="C3616" s="1">
        <v>58933</v>
      </c>
      <c r="D3616" s="1">
        <v>102</v>
      </c>
      <c r="F3616" s="1">
        <v>2023</v>
      </c>
      <c r="G3616" s="5">
        <v>8224</v>
      </c>
      <c r="H3616" s="5">
        <v>8217</v>
      </c>
      <c r="I3616" s="5">
        <v>405862</v>
      </c>
      <c r="K3616" s="5">
        <v>1.573</v>
      </c>
      <c r="L3616" s="5">
        <v>1E-3</v>
      </c>
      <c r="M3616" s="5">
        <v>311496.52500000002</v>
      </c>
      <c r="N3616" s="6">
        <v>5.8999999999999997E-2</v>
      </c>
      <c r="O3616" s="5">
        <v>18.175000000000001</v>
      </c>
      <c r="P3616" s="6">
        <v>7.4000000000000003E-3</v>
      </c>
      <c r="Q3616" s="5">
        <v>5241529.1749999998</v>
      </c>
      <c r="R3616" s="1" t="s">
        <v>44</v>
      </c>
      <c r="T3616" s="1" t="s">
        <v>71</v>
      </c>
      <c r="V3616" s="1" t="s">
        <v>64</v>
      </c>
      <c r="Y3616" s="1" t="s">
        <v>1515</v>
      </c>
      <c r="Z3616" s="1" t="str">
        <f t="shared" si="168"/>
        <v>58933 102</v>
      </c>
      <c r="AA3616" s="3">
        <f>IF(INDEX('CAMD Facility Data 2023'!$AA$2:$AE$10000,MATCH(Z3616,'CAMD Facility Data 2023'!$AE$2:$AE$10000,0),1)&gt;0,INDEX('CAMD Facility Data 2023'!$AA$2:$AE$10000,MATCH(Z3616,'CAMD Facility Data 2023'!$AE$2:$AE$10000,0),1),"")</f>
        <v>44369</v>
      </c>
      <c r="AB3616" s="5">
        <f>IF(INDEX('CAMD Facility Data 2023'!$AC$2:$AE$10000,MATCH(Z3616,'CAMD Facility Data 2023'!$AE$2:$AE$10000,0),1)&gt;0,INDEX('CAMD Facility Data 2023'!$AC$2:$AE$10000,MATCH(Z3616,'CAMD Facility Data 2023'!$AE$2:$AE$10000,0),1),"")</f>
        <v>790</v>
      </c>
      <c r="AC3616" s="1" t="str">
        <f>IF(INDEX('CAMD Facility Data 2023'!$AE$2:$AG$10000,MATCH(Z3616,'CAMD Facility Data 2023'!$AE$2:$AE$10000,0),3)&gt;0,INDEX('CAMD Facility Data 2023'!$AE$2:$AG$10000,MATCH(Z3616,'CAMD Facility Data 2023'!$AE$2:$AE$10000,0),3),"")</f>
        <v>Y</v>
      </c>
      <c r="AD3616" s="20">
        <f t="shared" si="169"/>
        <v>8.9562462117665609E-2</v>
      </c>
      <c r="AE3616" s="25">
        <f t="shared" si="170"/>
        <v>0.7574026320732905</v>
      </c>
    </row>
    <row r="3617" spans="1:31" x14ac:dyDescent="0.2">
      <c r="A3617" s="1" t="s">
        <v>2584</v>
      </c>
      <c r="B3617" s="1" t="s">
        <v>8005</v>
      </c>
      <c r="C3617" s="1">
        <v>58933</v>
      </c>
      <c r="D3617" s="1">
        <v>103</v>
      </c>
      <c r="F3617" s="1">
        <v>2023</v>
      </c>
      <c r="G3617" s="5">
        <v>8177</v>
      </c>
      <c r="H3617" s="5">
        <v>8169.75</v>
      </c>
      <c r="I3617" s="5">
        <v>404184</v>
      </c>
      <c r="K3617" s="5">
        <v>1.577</v>
      </c>
      <c r="L3617" s="5">
        <v>1E-3</v>
      </c>
      <c r="M3617" s="5">
        <v>312361.27500000002</v>
      </c>
      <c r="N3617" s="6">
        <v>5.8999999999999997E-2</v>
      </c>
      <c r="O3617" s="5">
        <v>18.725000000000001</v>
      </c>
      <c r="P3617" s="6">
        <v>7.7000000000000002E-3</v>
      </c>
      <c r="Q3617" s="5">
        <v>5256000.95</v>
      </c>
      <c r="R3617" s="1" t="s">
        <v>44</v>
      </c>
      <c r="T3617" s="1" t="s">
        <v>71</v>
      </c>
      <c r="V3617" s="1" t="s">
        <v>64</v>
      </c>
      <c r="Y3617" s="1" t="s">
        <v>1515</v>
      </c>
      <c r="Z3617" s="1" t="str">
        <f t="shared" si="168"/>
        <v>58933 103</v>
      </c>
      <c r="AA3617" s="3">
        <f>IF(INDEX('CAMD Facility Data 2023'!$AA$2:$AE$10000,MATCH(Z3617,'CAMD Facility Data 2023'!$AE$2:$AE$10000,0),1)&gt;0,INDEX('CAMD Facility Data 2023'!$AA$2:$AE$10000,MATCH(Z3617,'CAMD Facility Data 2023'!$AE$2:$AE$10000,0),1),"")</f>
        <v>44378</v>
      </c>
      <c r="AB3617" s="5">
        <f>IF(INDEX('CAMD Facility Data 2023'!$AC$2:$AE$10000,MATCH(Z3617,'CAMD Facility Data 2023'!$AE$2:$AE$10000,0),1)&gt;0,INDEX('CAMD Facility Data 2023'!$AC$2:$AE$10000,MATCH(Z3617,'CAMD Facility Data 2023'!$AE$2:$AE$10000,0),1),"")</f>
        <v>790</v>
      </c>
      <c r="AC3617" s="1" t="str">
        <f>IF(INDEX('CAMD Facility Data 2023'!$AE$2:$AG$10000,MATCH(Z3617,'CAMD Facility Data 2023'!$AE$2:$AE$10000,0),3)&gt;0,INDEX('CAMD Facility Data 2023'!$AE$2:$AG$10000,MATCH(Z3617,'CAMD Facility Data 2023'!$AE$2:$AE$10000,0),3),"")</f>
        <v>Y</v>
      </c>
      <c r="AD3617" s="20">
        <f t="shared" si="169"/>
        <v>9.2655820121528815E-2</v>
      </c>
      <c r="AE3617" s="25">
        <f t="shared" si="170"/>
        <v>0.75949380816137801</v>
      </c>
    </row>
    <row r="3618" spans="1:31" x14ac:dyDescent="0.2">
      <c r="A3618" s="1" t="s">
        <v>3095</v>
      </c>
      <c r="B3618" s="1" t="s">
        <v>8012</v>
      </c>
      <c r="C3618" s="1">
        <v>59004</v>
      </c>
      <c r="D3618" s="1" t="s">
        <v>311</v>
      </c>
      <c r="F3618" s="1">
        <v>2023</v>
      </c>
      <c r="G3618" s="5">
        <v>7010</v>
      </c>
      <c r="H3618" s="5">
        <v>6996.56</v>
      </c>
      <c r="I3618" s="5">
        <v>2250711.5099999998</v>
      </c>
      <c r="K3618" s="5">
        <v>0.76800000000000002</v>
      </c>
      <c r="L3618" s="5">
        <v>0</v>
      </c>
      <c r="M3618" s="5">
        <v>891727.40700000001</v>
      </c>
      <c r="N3618" s="6">
        <v>5.8000000000000003E-2</v>
      </c>
      <c r="O3618" s="5">
        <v>39.703000000000003</v>
      </c>
      <c r="P3618" s="6">
        <v>5.4000000000000003E-3</v>
      </c>
      <c r="Q3618" s="5">
        <v>15348582.84</v>
      </c>
      <c r="R3618" s="1" t="s">
        <v>284</v>
      </c>
      <c r="T3618" s="1" t="s">
        <v>71</v>
      </c>
      <c r="V3618" s="1" t="s">
        <v>64</v>
      </c>
      <c r="Y3618" s="1" t="s">
        <v>7828</v>
      </c>
      <c r="Z3618" s="1" t="str">
        <f t="shared" si="168"/>
        <v>59004 CT1</v>
      </c>
      <c r="AA3618" s="3">
        <f>IF(INDEX('CAMD Facility Data 2023'!$AA$2:$AE$10000,MATCH(Z3618,'CAMD Facility Data 2023'!$AE$2:$AE$10000,0),1)&gt;0,INDEX('CAMD Facility Data 2023'!$AA$2:$AE$10000,MATCH(Z3618,'CAMD Facility Data 2023'!$AE$2:$AE$10000,0),1),"")</f>
        <v>42747</v>
      </c>
      <c r="AB3618" s="5">
        <f>IF(INDEX('CAMD Facility Data 2023'!$AC$2:$AE$10000,MATCH(Z3618,'CAMD Facility Data 2023'!$AE$2:$AE$10000,0),1)&gt;0,INDEX('CAMD Facility Data 2023'!$AC$2:$AE$10000,MATCH(Z3618,'CAMD Facility Data 2023'!$AE$2:$AE$10000,0),1),"")</f>
        <v>3000</v>
      </c>
      <c r="AC3618" s="1" t="str">
        <f>IF(INDEX('CAMD Facility Data 2023'!$AE$2:$AG$10000,MATCH(Z3618,'CAMD Facility Data 2023'!$AE$2:$AE$10000,0),3)&gt;0,INDEX('CAMD Facility Data 2023'!$AE$2:$AG$10000,MATCH(Z3618,'CAMD Facility Data 2023'!$AE$2:$AE$10000,0),3),"")</f>
        <v>Y</v>
      </c>
      <c r="AD3618" s="20">
        <f t="shared" si="169"/>
        <v>3.5280398952596111E-2</v>
      </c>
      <c r="AE3618" s="25">
        <f t="shared" si="170"/>
        <v>0.58404044292237445</v>
      </c>
    </row>
    <row r="3619" spans="1:31" x14ac:dyDescent="0.2">
      <c r="A3619" s="1" t="s">
        <v>3095</v>
      </c>
      <c r="B3619" s="1" t="s">
        <v>8012</v>
      </c>
      <c r="C3619" s="1">
        <v>59004</v>
      </c>
      <c r="D3619" s="1" t="s">
        <v>98</v>
      </c>
      <c r="F3619" s="1">
        <v>2023</v>
      </c>
      <c r="G3619" s="5">
        <v>7278</v>
      </c>
      <c r="H3619" s="5">
        <v>7261.87</v>
      </c>
      <c r="I3619" s="5">
        <v>2334127.9300000002</v>
      </c>
      <c r="K3619" s="5">
        <v>0.8</v>
      </c>
      <c r="L3619" s="5">
        <v>0</v>
      </c>
      <c r="M3619" s="5">
        <v>929605.05500000005</v>
      </c>
      <c r="N3619" s="6">
        <v>5.8000000000000003E-2</v>
      </c>
      <c r="O3619" s="5">
        <v>40.524000000000001</v>
      </c>
      <c r="P3619" s="6">
        <v>5.3E-3</v>
      </c>
      <c r="Q3619" s="5">
        <v>16000905.148</v>
      </c>
      <c r="R3619" s="1" t="s">
        <v>284</v>
      </c>
      <c r="T3619" s="1" t="s">
        <v>71</v>
      </c>
      <c r="V3619" s="1" t="s">
        <v>64</v>
      </c>
      <c r="Y3619" s="1" t="s">
        <v>7828</v>
      </c>
      <c r="Z3619" s="1" t="str">
        <f t="shared" si="168"/>
        <v>59004 CT2</v>
      </c>
      <c r="AA3619" s="3">
        <f>IF(INDEX('CAMD Facility Data 2023'!$AA$2:$AE$10000,MATCH(Z3619,'CAMD Facility Data 2023'!$AE$2:$AE$10000,0),1)&gt;0,INDEX('CAMD Facility Data 2023'!$AA$2:$AE$10000,MATCH(Z3619,'CAMD Facility Data 2023'!$AE$2:$AE$10000,0),1),"")</f>
        <v>42746</v>
      </c>
      <c r="AB3619" s="5">
        <f>IF(INDEX('CAMD Facility Data 2023'!$AC$2:$AE$10000,MATCH(Z3619,'CAMD Facility Data 2023'!$AE$2:$AE$10000,0),1)&gt;0,INDEX('CAMD Facility Data 2023'!$AC$2:$AE$10000,MATCH(Z3619,'CAMD Facility Data 2023'!$AE$2:$AE$10000,0),1),"")</f>
        <v>3000</v>
      </c>
      <c r="AC3619" s="1" t="str">
        <f>IF(INDEX('CAMD Facility Data 2023'!$AE$2:$AG$10000,MATCH(Z3619,'CAMD Facility Data 2023'!$AE$2:$AE$10000,0),3)&gt;0,INDEX('CAMD Facility Data 2023'!$AE$2:$AG$10000,MATCH(Z3619,'CAMD Facility Data 2023'!$AE$2:$AE$10000,0),3),"")</f>
        <v>Y</v>
      </c>
      <c r="AD3619" s="20">
        <f t="shared" si="169"/>
        <v>3.4723032511761252E-2</v>
      </c>
      <c r="AE3619" s="25">
        <f t="shared" si="170"/>
        <v>0.60886244855403349</v>
      </c>
    </row>
    <row r="3620" spans="1:31" x14ac:dyDescent="0.2">
      <c r="A3620" s="1" t="s">
        <v>680</v>
      </c>
      <c r="B3620" s="1" t="s">
        <v>8018</v>
      </c>
      <c r="C3620" s="1">
        <v>59073</v>
      </c>
      <c r="D3620" s="1" t="s">
        <v>8019</v>
      </c>
      <c r="F3620" s="1">
        <v>2023</v>
      </c>
      <c r="G3620" s="5">
        <v>8393</v>
      </c>
      <c r="H3620" s="5">
        <v>8385.08</v>
      </c>
      <c r="J3620" s="5">
        <v>719235.54</v>
      </c>
      <c r="M3620" s="5">
        <v>60608.904999999999</v>
      </c>
      <c r="N3620" s="6">
        <v>5.9400000000000001E-2</v>
      </c>
      <c r="O3620" s="5">
        <v>3.407</v>
      </c>
      <c r="P3620" s="6">
        <v>7.0000000000000001E-3</v>
      </c>
      <c r="Q3620" s="5">
        <v>1019809.246</v>
      </c>
      <c r="R3620" s="1" t="s">
        <v>284</v>
      </c>
      <c r="T3620" s="1" t="s">
        <v>656</v>
      </c>
      <c r="Y3620" s="1" t="s">
        <v>617</v>
      </c>
      <c r="Z3620" s="1" t="str">
        <f t="shared" si="168"/>
        <v>59073 B921A</v>
      </c>
      <c r="AA3620" s="3">
        <f>IF(INDEX('CAMD Facility Data 2023'!$AA$2:$AE$10000,MATCH(Z3620,'CAMD Facility Data 2023'!$AE$2:$AE$10000,0),1)&gt;0,INDEX('CAMD Facility Data 2023'!$AA$2:$AE$10000,MATCH(Z3620,'CAMD Facility Data 2023'!$AE$2:$AE$10000,0),1),"")</f>
        <v>43199</v>
      </c>
      <c r="AB3620" s="5">
        <f>IF(INDEX('CAMD Facility Data 2023'!$AC$2:$AE$10000,MATCH(Z3620,'CAMD Facility Data 2023'!$AE$2:$AE$10000,0),1)&gt;0,INDEX('CAMD Facility Data 2023'!$AC$2:$AE$10000,MATCH(Z3620,'CAMD Facility Data 2023'!$AE$2:$AE$10000,0),1),"")</f>
        <v>427.4</v>
      </c>
      <c r="AC3620" s="1" t="str">
        <f>IF(INDEX('CAMD Facility Data 2023'!$AE$2:$AG$10000,MATCH(Z3620,'CAMD Facility Data 2023'!$AE$2:$AE$10000,0),3)&gt;0,INDEX('CAMD Facility Data 2023'!$AE$2:$AG$10000,MATCH(Z3620,'CAMD Facility Data 2023'!$AE$2:$AE$10000,0),3),"")</f>
        <v/>
      </c>
      <c r="AD3620" s="20" t="str">
        <f t="shared" si="169"/>
        <v/>
      </c>
      <c r="AE3620" s="25">
        <f t="shared" si="170"/>
        <v>0.27238320213759315</v>
      </c>
    </row>
    <row r="3621" spans="1:31" x14ac:dyDescent="0.2">
      <c r="A3621" s="1" t="s">
        <v>680</v>
      </c>
      <c r="B3621" s="1" t="s">
        <v>8018</v>
      </c>
      <c r="C3621" s="1">
        <v>59073</v>
      </c>
      <c r="D3621" s="1" t="s">
        <v>8024</v>
      </c>
      <c r="F3621" s="1">
        <v>2023</v>
      </c>
      <c r="G3621" s="5">
        <v>8293</v>
      </c>
      <c r="H3621" s="5">
        <v>8279.7000000000007</v>
      </c>
      <c r="J3621" s="5">
        <v>723972.31</v>
      </c>
      <c r="M3621" s="5">
        <v>60021.597000000002</v>
      </c>
      <c r="N3621" s="6">
        <v>5.9299999999999999E-2</v>
      </c>
      <c r="O3621" s="5">
        <v>3.3889999999999998</v>
      </c>
      <c r="P3621" s="6">
        <v>7.1999999999999998E-3</v>
      </c>
      <c r="Q3621" s="5">
        <v>1010003.921</v>
      </c>
      <c r="R3621" s="1" t="s">
        <v>284</v>
      </c>
      <c r="T3621" s="1" t="s">
        <v>656</v>
      </c>
      <c r="Y3621" s="1" t="s">
        <v>617</v>
      </c>
      <c r="Z3621" s="1" t="str">
        <f t="shared" si="168"/>
        <v>59073 B921B</v>
      </c>
      <c r="AA3621" s="3">
        <f>IF(INDEX('CAMD Facility Data 2023'!$AA$2:$AE$10000,MATCH(Z3621,'CAMD Facility Data 2023'!$AE$2:$AE$10000,0),1)&gt;0,INDEX('CAMD Facility Data 2023'!$AA$2:$AE$10000,MATCH(Z3621,'CAMD Facility Data 2023'!$AE$2:$AE$10000,0),1),"")</f>
        <v>43199</v>
      </c>
      <c r="AB3621" s="5">
        <f>IF(INDEX('CAMD Facility Data 2023'!$AC$2:$AE$10000,MATCH(Z3621,'CAMD Facility Data 2023'!$AE$2:$AE$10000,0),1)&gt;0,INDEX('CAMD Facility Data 2023'!$AC$2:$AE$10000,MATCH(Z3621,'CAMD Facility Data 2023'!$AE$2:$AE$10000,0),1),"")</f>
        <v>427.4</v>
      </c>
      <c r="AC3621" s="1" t="str">
        <f>IF(INDEX('CAMD Facility Data 2023'!$AE$2:$AG$10000,MATCH(Z3621,'CAMD Facility Data 2023'!$AE$2:$AE$10000,0),3)&gt;0,INDEX('CAMD Facility Data 2023'!$AE$2:$AG$10000,MATCH(Z3621,'CAMD Facility Data 2023'!$AE$2:$AE$10000,0),3),"")</f>
        <v/>
      </c>
      <c r="AD3621" s="20" t="str">
        <f t="shared" si="169"/>
        <v/>
      </c>
      <c r="AE3621" s="25">
        <f t="shared" si="170"/>
        <v>0.26976427528242342</v>
      </c>
    </row>
    <row r="3622" spans="1:31" x14ac:dyDescent="0.2">
      <c r="A3622" s="1" t="s">
        <v>680</v>
      </c>
      <c r="B3622" s="1" t="s">
        <v>8018</v>
      </c>
      <c r="C3622" s="1">
        <v>59073</v>
      </c>
      <c r="D3622" s="1" t="s">
        <v>8025</v>
      </c>
      <c r="F3622" s="1">
        <v>2023</v>
      </c>
      <c r="G3622" s="5">
        <v>8337</v>
      </c>
      <c r="H3622" s="5">
        <v>8334.32</v>
      </c>
      <c r="I3622" s="5">
        <v>712956.54</v>
      </c>
      <c r="M3622" s="5">
        <v>454186.89399999997</v>
      </c>
      <c r="N3622" s="6">
        <v>5.8999999999999997E-2</v>
      </c>
      <c r="O3622" s="5">
        <v>30.449000000000002</v>
      </c>
      <c r="P3622" s="6">
        <v>8.0000000000000002E-3</v>
      </c>
      <c r="Q3622" s="5">
        <v>7642584.5619999999</v>
      </c>
      <c r="R3622" s="1" t="s">
        <v>284</v>
      </c>
      <c r="T3622" s="1" t="s">
        <v>93</v>
      </c>
      <c r="Y3622" s="1" t="s">
        <v>617</v>
      </c>
      <c r="Z3622" s="1" t="str">
        <f t="shared" si="168"/>
        <v>59073 GT501A</v>
      </c>
      <c r="AA3622" s="3">
        <f>IF(INDEX('CAMD Facility Data 2023'!$AA$2:$AE$10000,MATCH(Z3622,'CAMD Facility Data 2023'!$AE$2:$AE$10000,0),1)&gt;0,INDEX('CAMD Facility Data 2023'!$AA$2:$AE$10000,MATCH(Z3622,'CAMD Facility Data 2023'!$AE$2:$AE$10000,0),1),"")</f>
        <v>43199</v>
      </c>
      <c r="AB3622" s="5">
        <f>IF(INDEX('CAMD Facility Data 2023'!$AC$2:$AE$10000,MATCH(Z3622,'CAMD Facility Data 2023'!$AE$2:$AE$10000,0),1)&gt;0,INDEX('CAMD Facility Data 2023'!$AC$2:$AE$10000,MATCH(Z3622,'CAMD Facility Data 2023'!$AE$2:$AE$10000,0),1),"")</f>
        <v>1062</v>
      </c>
      <c r="AC3622" s="1" t="str">
        <f>IF(INDEX('CAMD Facility Data 2023'!$AE$2:$AG$10000,MATCH(Z3622,'CAMD Facility Data 2023'!$AE$2:$AE$10000,0),3)&gt;0,INDEX('CAMD Facility Data 2023'!$AE$2:$AG$10000,MATCH(Z3622,'CAMD Facility Data 2023'!$AE$2:$AE$10000,0),3),"")</f>
        <v/>
      </c>
      <c r="AD3622" s="20">
        <f t="shared" si="169"/>
        <v>8.5416146123016137E-2</v>
      </c>
      <c r="AE3622" s="25">
        <f t="shared" si="170"/>
        <v>0.82150768365881555</v>
      </c>
    </row>
    <row r="3623" spans="1:31" x14ac:dyDescent="0.2">
      <c r="A3623" s="1" t="s">
        <v>680</v>
      </c>
      <c r="B3623" s="1" t="s">
        <v>8018</v>
      </c>
      <c r="C3623" s="1">
        <v>59073</v>
      </c>
      <c r="D3623" s="1" t="s">
        <v>8027</v>
      </c>
      <c r="F3623" s="1">
        <v>2023</v>
      </c>
      <c r="G3623" s="5">
        <v>8298</v>
      </c>
      <c r="H3623" s="5">
        <v>8294.4599999999991</v>
      </c>
      <c r="I3623" s="5">
        <v>712724.75</v>
      </c>
      <c r="M3623" s="5">
        <v>458182.11700000003</v>
      </c>
      <c r="N3623" s="6">
        <v>5.8999999999999997E-2</v>
      </c>
      <c r="O3623" s="5">
        <v>30.805</v>
      </c>
      <c r="P3623" s="6">
        <v>8.0000000000000002E-3</v>
      </c>
      <c r="Q3623" s="5">
        <v>7709788.1260000002</v>
      </c>
      <c r="R3623" s="1" t="s">
        <v>284</v>
      </c>
      <c r="T3623" s="1" t="s">
        <v>93</v>
      </c>
      <c r="Y3623" s="1" t="s">
        <v>617</v>
      </c>
      <c r="Z3623" s="1" t="str">
        <f t="shared" si="168"/>
        <v>59073 GT501B</v>
      </c>
      <c r="AA3623" s="3">
        <f>IF(INDEX('CAMD Facility Data 2023'!$AA$2:$AE$10000,MATCH(Z3623,'CAMD Facility Data 2023'!$AE$2:$AE$10000,0),1)&gt;0,INDEX('CAMD Facility Data 2023'!$AA$2:$AE$10000,MATCH(Z3623,'CAMD Facility Data 2023'!$AE$2:$AE$10000,0),1),"")</f>
        <v>43199</v>
      </c>
      <c r="AB3623" s="5">
        <f>IF(INDEX('CAMD Facility Data 2023'!$AC$2:$AE$10000,MATCH(Z3623,'CAMD Facility Data 2023'!$AE$2:$AE$10000,0),1)&gt;0,INDEX('CAMD Facility Data 2023'!$AC$2:$AE$10000,MATCH(Z3623,'CAMD Facility Data 2023'!$AE$2:$AE$10000,0),1),"")</f>
        <v>1062</v>
      </c>
      <c r="AC3623" s="1" t="str">
        <f>IF(INDEX('CAMD Facility Data 2023'!$AE$2:$AG$10000,MATCH(Z3623,'CAMD Facility Data 2023'!$AE$2:$AE$10000,0),3)&gt;0,INDEX('CAMD Facility Data 2023'!$AE$2:$AG$10000,MATCH(Z3623,'CAMD Facility Data 2023'!$AE$2:$AE$10000,0),3),"")</f>
        <v/>
      </c>
      <c r="AD3623" s="20">
        <f t="shared" si="169"/>
        <v>8.6442908009017508E-2</v>
      </c>
      <c r="AE3623" s="25">
        <f t="shared" si="170"/>
        <v>0.82873144987918035</v>
      </c>
    </row>
    <row r="3624" spans="1:31" x14ac:dyDescent="0.2">
      <c r="A3624" s="1" t="s">
        <v>1621</v>
      </c>
      <c r="B3624" s="1" t="s">
        <v>8028</v>
      </c>
      <c r="C3624" s="1">
        <v>59093</v>
      </c>
      <c r="D3624" s="1">
        <v>10</v>
      </c>
      <c r="F3624" s="1">
        <v>2023</v>
      </c>
      <c r="G3624" s="5">
        <v>7633</v>
      </c>
      <c r="H3624" s="5">
        <v>7613.68</v>
      </c>
      <c r="I3624" s="5">
        <v>454090.23</v>
      </c>
      <c r="K3624" s="5">
        <v>0.97199999999999998</v>
      </c>
      <c r="L3624" s="5">
        <v>1E-3</v>
      </c>
      <c r="M3624" s="5">
        <v>192425.34400000001</v>
      </c>
      <c r="N3624" s="6">
        <v>5.9200000000000003E-2</v>
      </c>
      <c r="O3624" s="5">
        <v>16.428999999999998</v>
      </c>
      <c r="P3624" s="6">
        <v>1.04E-2</v>
      </c>
      <c r="Q3624" s="5">
        <v>3237954.159</v>
      </c>
      <c r="R3624" s="1" t="s">
        <v>44</v>
      </c>
      <c r="T3624" s="1" t="s">
        <v>71</v>
      </c>
      <c r="V3624" s="1" t="s">
        <v>64</v>
      </c>
      <c r="Y3624" s="1" t="s">
        <v>461</v>
      </c>
      <c r="Z3624" s="1" t="str">
        <f t="shared" si="168"/>
        <v>59093 10</v>
      </c>
      <c r="AA3624" s="3">
        <f>IF(INDEX('CAMD Facility Data 2023'!$AA$2:$AE$10000,MATCH(Z3624,'CAMD Facility Data 2023'!$AE$2:$AE$10000,0),1)&gt;0,INDEX('CAMD Facility Data 2023'!$AA$2:$AE$10000,MATCH(Z3624,'CAMD Facility Data 2023'!$AE$2:$AE$10000,0),1),"")</f>
        <v>42765</v>
      </c>
      <c r="AB3624" s="5">
        <f>IF(INDEX('CAMD Facility Data 2023'!$AC$2:$AE$10000,MATCH(Z3624,'CAMD Facility Data 2023'!$AE$2:$AE$10000,0),1)&gt;0,INDEX('CAMD Facility Data 2023'!$AC$2:$AE$10000,MATCH(Z3624,'CAMD Facility Data 2023'!$AE$2:$AE$10000,0),1),"")</f>
        <v>593</v>
      </c>
      <c r="AC3624" s="1" t="str">
        <f>IF(INDEX('CAMD Facility Data 2023'!$AE$2:$AG$10000,MATCH(Z3624,'CAMD Facility Data 2023'!$AE$2:$AE$10000,0),3)&gt;0,INDEX('CAMD Facility Data 2023'!$AE$2:$AG$10000,MATCH(Z3624,'CAMD Facility Data 2023'!$AE$2:$AE$10000,0),3),"")</f>
        <v>Y</v>
      </c>
      <c r="AD3624" s="20">
        <f t="shared" si="169"/>
        <v>7.2360068174115971E-2</v>
      </c>
      <c r="AE3624" s="25">
        <f t="shared" si="170"/>
        <v>0.62332119764836336</v>
      </c>
    </row>
    <row r="3625" spans="1:31" x14ac:dyDescent="0.2">
      <c r="A3625" s="1" t="s">
        <v>1621</v>
      </c>
      <c r="B3625" s="1" t="s">
        <v>8028</v>
      </c>
      <c r="C3625" s="1">
        <v>59093</v>
      </c>
      <c r="D3625" s="1">
        <v>11</v>
      </c>
      <c r="F3625" s="1">
        <v>2023</v>
      </c>
      <c r="G3625" s="5">
        <v>8648</v>
      </c>
      <c r="H3625" s="5">
        <v>8644.66</v>
      </c>
      <c r="I3625" s="5">
        <v>522367.96</v>
      </c>
      <c r="K3625" s="5">
        <v>1.1220000000000001</v>
      </c>
      <c r="L3625" s="5">
        <v>1E-3</v>
      </c>
      <c r="M3625" s="5">
        <v>222198.959</v>
      </c>
      <c r="N3625" s="6">
        <v>5.9200000000000003E-2</v>
      </c>
      <c r="O3625" s="5">
        <v>19.440000000000001</v>
      </c>
      <c r="P3625" s="6">
        <v>1.04E-2</v>
      </c>
      <c r="Q3625" s="5">
        <v>3738866.0329999998</v>
      </c>
      <c r="R3625" s="1" t="s">
        <v>44</v>
      </c>
      <c r="T3625" s="1" t="s">
        <v>71</v>
      </c>
      <c r="V3625" s="1" t="s">
        <v>64</v>
      </c>
      <c r="Y3625" s="1" t="s">
        <v>461</v>
      </c>
      <c r="Z3625" s="1" t="str">
        <f t="shared" si="168"/>
        <v>59093 11</v>
      </c>
      <c r="AA3625" s="3">
        <f>IF(INDEX('CAMD Facility Data 2023'!$AA$2:$AE$10000,MATCH(Z3625,'CAMD Facility Data 2023'!$AE$2:$AE$10000,0),1)&gt;0,INDEX('CAMD Facility Data 2023'!$AA$2:$AE$10000,MATCH(Z3625,'CAMD Facility Data 2023'!$AE$2:$AE$10000,0),1),"")</f>
        <v>42767</v>
      </c>
      <c r="AB3625" s="5">
        <f>IF(INDEX('CAMD Facility Data 2023'!$AC$2:$AE$10000,MATCH(Z3625,'CAMD Facility Data 2023'!$AE$2:$AE$10000,0),1)&gt;0,INDEX('CAMD Facility Data 2023'!$AC$2:$AE$10000,MATCH(Z3625,'CAMD Facility Data 2023'!$AE$2:$AE$10000,0),1),"")</f>
        <v>593</v>
      </c>
      <c r="AC3625" s="1" t="str">
        <f>IF(INDEX('CAMD Facility Data 2023'!$AE$2:$AG$10000,MATCH(Z3625,'CAMD Facility Data 2023'!$AE$2:$AE$10000,0),3)&gt;0,INDEX('CAMD Facility Data 2023'!$AE$2:$AG$10000,MATCH(Z3625,'CAMD Facility Data 2023'!$AE$2:$AE$10000,0),3),"")</f>
        <v>Y</v>
      </c>
      <c r="AD3625" s="20">
        <f t="shared" si="169"/>
        <v>7.4430292393890318E-2</v>
      </c>
      <c r="AE3625" s="25">
        <f t="shared" si="170"/>
        <v>0.719749057304781</v>
      </c>
    </row>
    <row r="3626" spans="1:31" x14ac:dyDescent="0.2">
      <c r="A3626" s="1" t="s">
        <v>680</v>
      </c>
      <c r="B3626" s="1" t="s">
        <v>8032</v>
      </c>
      <c r="C3626" s="1">
        <v>59220</v>
      </c>
      <c r="D3626" s="1" t="s">
        <v>311</v>
      </c>
      <c r="F3626" s="1">
        <v>2023</v>
      </c>
      <c r="G3626" s="5">
        <v>5934</v>
      </c>
      <c r="H3626" s="5">
        <v>5852.9</v>
      </c>
      <c r="I3626" s="5">
        <v>2278260.94</v>
      </c>
      <c r="K3626" s="5">
        <v>4.5970000000000004</v>
      </c>
      <c r="L3626" s="5">
        <v>1E-3</v>
      </c>
      <c r="M3626" s="5">
        <v>910594.02300000004</v>
      </c>
      <c r="N3626" s="6">
        <v>5.8999999999999997E-2</v>
      </c>
      <c r="O3626" s="5">
        <v>58.063000000000002</v>
      </c>
      <c r="P3626" s="6">
        <v>8.8000000000000005E-3</v>
      </c>
      <c r="Q3626" s="5">
        <v>15322469.338</v>
      </c>
      <c r="R3626" s="1" t="s">
        <v>44</v>
      </c>
      <c r="T3626" s="1" t="s">
        <v>71</v>
      </c>
      <c r="V3626" s="1" t="s">
        <v>64</v>
      </c>
      <c r="Y3626" s="1" t="s">
        <v>1515</v>
      </c>
      <c r="Z3626" s="1" t="str">
        <f t="shared" si="168"/>
        <v>59220 CT1</v>
      </c>
      <c r="AA3626" s="3">
        <f>IF(INDEX('CAMD Facility Data 2023'!$AA$2:$AE$10000,MATCH(Z3626,'CAMD Facility Data 2023'!$AE$2:$AE$10000,0),1)&gt;0,INDEX('CAMD Facility Data 2023'!$AA$2:$AE$10000,MATCH(Z3626,'CAMD Facility Data 2023'!$AE$2:$AE$10000,0),1),"")</f>
        <v>42949</v>
      </c>
      <c r="AB3626" s="5">
        <f>IF(INDEX('CAMD Facility Data 2023'!$AC$2:$AE$10000,MATCH(Z3626,'CAMD Facility Data 2023'!$AE$2:$AE$10000,0),1)&gt;0,INDEX('CAMD Facility Data 2023'!$AC$2:$AE$10000,MATCH(Z3626,'CAMD Facility Data 2023'!$AE$2:$AE$10000,0),1),"")</f>
        <v>4071</v>
      </c>
      <c r="AC3626" s="1" t="str">
        <f>IF(INDEX('CAMD Facility Data 2023'!$AE$2:$AG$10000,MATCH(Z3626,'CAMD Facility Data 2023'!$AE$2:$AE$10000,0),3)&gt;0,INDEX('CAMD Facility Data 2023'!$AE$2:$AG$10000,MATCH(Z3626,'CAMD Facility Data 2023'!$AE$2:$AE$10000,0),3),"")</f>
        <v>Y</v>
      </c>
      <c r="AD3626" s="20">
        <f t="shared" si="169"/>
        <v>5.0971334302031268E-2</v>
      </c>
      <c r="AE3626" s="25">
        <f t="shared" si="170"/>
        <v>0.42965864293493683</v>
      </c>
    </row>
    <row r="3627" spans="1:31" x14ac:dyDescent="0.2">
      <c r="A3627" s="1" t="s">
        <v>680</v>
      </c>
      <c r="B3627" s="1" t="s">
        <v>8032</v>
      </c>
      <c r="C3627" s="1">
        <v>59220</v>
      </c>
      <c r="D3627" s="1" t="s">
        <v>98</v>
      </c>
      <c r="F3627" s="1">
        <v>2023</v>
      </c>
      <c r="G3627" s="5">
        <v>5838</v>
      </c>
      <c r="H3627" s="5">
        <v>5758.78</v>
      </c>
      <c r="I3627" s="5">
        <v>2251584.0099999998</v>
      </c>
      <c r="K3627" s="5">
        <v>4.5869999999999997</v>
      </c>
      <c r="L3627" s="5">
        <v>1E-3</v>
      </c>
      <c r="M3627" s="5">
        <v>908677.18200000003</v>
      </c>
      <c r="N3627" s="6">
        <v>5.8999999999999997E-2</v>
      </c>
      <c r="O3627" s="5">
        <v>56.893000000000001</v>
      </c>
      <c r="P3627" s="6">
        <v>8.6E-3</v>
      </c>
      <c r="Q3627" s="5">
        <v>15290287.780999999</v>
      </c>
      <c r="R3627" s="1" t="s">
        <v>44</v>
      </c>
      <c r="T3627" s="1" t="s">
        <v>71</v>
      </c>
      <c r="V3627" s="1" t="s">
        <v>64</v>
      </c>
      <c r="Y3627" s="1" t="s">
        <v>1515</v>
      </c>
      <c r="Z3627" s="1" t="str">
        <f t="shared" si="168"/>
        <v>59220 CT2</v>
      </c>
      <c r="AA3627" s="3">
        <f>IF(INDEX('CAMD Facility Data 2023'!$AA$2:$AE$10000,MATCH(Z3627,'CAMD Facility Data 2023'!$AE$2:$AE$10000,0),1)&gt;0,INDEX('CAMD Facility Data 2023'!$AA$2:$AE$10000,MATCH(Z3627,'CAMD Facility Data 2023'!$AE$2:$AE$10000,0),1),"")</f>
        <v>42942</v>
      </c>
      <c r="AB3627" s="5">
        <f>IF(INDEX('CAMD Facility Data 2023'!$AC$2:$AE$10000,MATCH(Z3627,'CAMD Facility Data 2023'!$AE$2:$AE$10000,0),1)&gt;0,INDEX('CAMD Facility Data 2023'!$AC$2:$AE$10000,MATCH(Z3627,'CAMD Facility Data 2023'!$AE$2:$AE$10000,0),1),"")</f>
        <v>4071</v>
      </c>
      <c r="AC3627" s="1" t="str">
        <f>IF(INDEX('CAMD Facility Data 2023'!$AE$2:$AG$10000,MATCH(Z3627,'CAMD Facility Data 2023'!$AE$2:$AE$10000,0),3)&gt;0,INDEX('CAMD Facility Data 2023'!$AE$2:$AG$10000,MATCH(Z3627,'CAMD Facility Data 2023'!$AE$2:$AE$10000,0),3),"")</f>
        <v>Y</v>
      </c>
      <c r="AD3627" s="20">
        <f t="shared" si="169"/>
        <v>5.0535978002437497E-2</v>
      </c>
      <c r="AE3627" s="25">
        <f t="shared" si="170"/>
        <v>0.42875623720625561</v>
      </c>
    </row>
    <row r="3628" spans="1:31" x14ac:dyDescent="0.2">
      <c r="A3628" s="1" t="s">
        <v>1153</v>
      </c>
      <c r="B3628" s="1" t="s">
        <v>8035</v>
      </c>
      <c r="C3628" s="1">
        <v>59325</v>
      </c>
      <c r="D3628" s="1" t="s">
        <v>8036</v>
      </c>
      <c r="F3628" s="1">
        <v>2023</v>
      </c>
      <c r="G3628" s="5">
        <v>8394</v>
      </c>
      <c r="H3628" s="5">
        <v>8390.27</v>
      </c>
      <c r="I3628" s="5">
        <v>3378831.5</v>
      </c>
      <c r="K3628" s="5">
        <v>6.88</v>
      </c>
      <c r="L3628" s="5">
        <v>1E-3</v>
      </c>
      <c r="M3628" s="5">
        <v>1362850.2509999999</v>
      </c>
      <c r="N3628" s="6">
        <v>5.8999999999999997E-2</v>
      </c>
      <c r="O3628" s="5">
        <v>74.337000000000003</v>
      </c>
      <c r="P3628" s="6">
        <v>6.7999999999999996E-3</v>
      </c>
      <c r="Q3628" s="5">
        <v>22932565.313999999</v>
      </c>
      <c r="R3628" s="1" t="s">
        <v>44</v>
      </c>
      <c r="T3628" s="1" t="s">
        <v>71</v>
      </c>
      <c r="V3628" s="1" t="s">
        <v>64</v>
      </c>
      <c r="Y3628" s="1" t="s">
        <v>8037</v>
      </c>
      <c r="Z3628" s="1" t="str">
        <f t="shared" si="168"/>
        <v>59325 ES-1</v>
      </c>
      <c r="AA3628" s="3">
        <f>IF(INDEX('CAMD Facility Data 2023'!$AA$2:$AE$10000,MATCH(Z3628,'CAMD Facility Data 2023'!$AE$2:$AE$10000,0),1)&gt;0,INDEX('CAMD Facility Data 2023'!$AA$2:$AE$10000,MATCH(Z3628,'CAMD Facility Data 2023'!$AE$2:$AE$10000,0),1),"")</f>
        <v>43204</v>
      </c>
      <c r="AB3628" s="5">
        <f>IF(INDEX('CAMD Facility Data 2023'!$AC$2:$AE$10000,MATCH(Z3628,'CAMD Facility Data 2023'!$AE$2:$AE$10000,0),1)&gt;0,INDEX('CAMD Facility Data 2023'!$AC$2:$AE$10000,MATCH(Z3628,'CAMD Facility Data 2023'!$AE$2:$AE$10000,0),1),"")</f>
        <v>3603</v>
      </c>
      <c r="AC3628" s="1" t="str">
        <f>IF(INDEX('CAMD Facility Data 2023'!$AE$2:$AG$10000,MATCH(Z3628,'CAMD Facility Data 2023'!$AE$2:$AE$10000,0),3)&gt;0,INDEX('CAMD Facility Data 2023'!$AE$2:$AG$10000,MATCH(Z3628,'CAMD Facility Data 2023'!$AE$2:$AE$10000,0),3),"")</f>
        <v>Y</v>
      </c>
      <c r="AD3628" s="20">
        <f t="shared" si="169"/>
        <v>4.4001602329089215E-2</v>
      </c>
      <c r="AE3628" s="25">
        <f t="shared" si="170"/>
        <v>0.72658139126831134</v>
      </c>
    </row>
    <row r="3629" spans="1:31" x14ac:dyDescent="0.2">
      <c r="A3629" s="1" t="s">
        <v>2430</v>
      </c>
      <c r="B3629" s="1" t="s">
        <v>8040</v>
      </c>
      <c r="C3629" s="1">
        <v>59326</v>
      </c>
      <c r="D3629" s="1">
        <v>1</v>
      </c>
      <c r="F3629" s="1">
        <v>2023</v>
      </c>
      <c r="G3629" s="5">
        <v>7576</v>
      </c>
      <c r="H3629" s="5">
        <v>7564.46</v>
      </c>
      <c r="I3629" s="5">
        <v>3443860.99</v>
      </c>
      <c r="K3629" s="5">
        <v>6.843</v>
      </c>
      <c r="L3629" s="5">
        <v>1E-3</v>
      </c>
      <c r="M3629" s="5">
        <v>1355620.4450000001</v>
      </c>
      <c r="N3629" s="6">
        <v>5.8999999999999997E-2</v>
      </c>
      <c r="O3629" s="5">
        <v>67.650000000000006</v>
      </c>
      <c r="P3629" s="6">
        <v>6.0000000000000001E-3</v>
      </c>
      <c r="Q3629" s="5">
        <v>22810979.100000001</v>
      </c>
      <c r="R3629" s="1" t="s">
        <v>44</v>
      </c>
      <c r="T3629" s="1" t="s">
        <v>71</v>
      </c>
      <c r="V3629" s="1" t="s">
        <v>64</v>
      </c>
      <c r="Y3629" s="1" t="s">
        <v>6843</v>
      </c>
      <c r="Z3629" s="1" t="str">
        <f t="shared" si="168"/>
        <v>59326 1</v>
      </c>
      <c r="AA3629" s="3">
        <f>IF(INDEX('CAMD Facility Data 2023'!$AA$2:$AE$10000,MATCH(Z3629,'CAMD Facility Data 2023'!$AE$2:$AE$10000,0),1)&gt;0,INDEX('CAMD Facility Data 2023'!$AA$2:$AE$10000,MATCH(Z3629,'CAMD Facility Data 2023'!$AE$2:$AE$10000,0),1),"")</f>
        <v>43137</v>
      </c>
      <c r="AB3629" s="5">
        <f>IF(INDEX('CAMD Facility Data 2023'!$AC$2:$AE$10000,MATCH(Z3629,'CAMD Facility Data 2023'!$AE$2:$AE$10000,0),1)&gt;0,INDEX('CAMD Facility Data 2023'!$AC$2:$AE$10000,MATCH(Z3629,'CAMD Facility Data 2023'!$AE$2:$AE$10000,0),1),"")</f>
        <v>3824.6</v>
      </c>
      <c r="AC3629" s="1" t="str">
        <f>IF(INDEX('CAMD Facility Data 2023'!$AE$2:$AG$10000,MATCH(Z3629,'CAMD Facility Data 2023'!$AE$2:$AE$10000,0),3)&gt;0,INDEX('CAMD Facility Data 2023'!$AE$2:$AG$10000,MATCH(Z3629,'CAMD Facility Data 2023'!$AE$2:$AE$10000,0),3),"")</f>
        <v>Y</v>
      </c>
      <c r="AD3629" s="20">
        <f t="shared" si="169"/>
        <v>3.9287300037043595E-2</v>
      </c>
      <c r="AE3629" s="25">
        <f t="shared" si="170"/>
        <v>0.68085369658139561</v>
      </c>
    </row>
    <row r="3630" spans="1:31" x14ac:dyDescent="0.2">
      <c r="A3630" s="1" t="s">
        <v>2430</v>
      </c>
      <c r="B3630" s="1" t="s">
        <v>8043</v>
      </c>
      <c r="C3630" s="1">
        <v>59764</v>
      </c>
      <c r="D3630" s="1">
        <v>1</v>
      </c>
      <c r="F3630" s="1">
        <v>2023</v>
      </c>
      <c r="G3630" s="5">
        <v>8095</v>
      </c>
      <c r="H3630" s="5">
        <v>8084.04</v>
      </c>
      <c r="I3630" s="5">
        <v>3331127.68</v>
      </c>
      <c r="K3630" s="5">
        <v>6.5469999999999997</v>
      </c>
      <c r="L3630" s="5">
        <v>1E-3</v>
      </c>
      <c r="M3630" s="5">
        <v>1296895.68</v>
      </c>
      <c r="N3630" s="6">
        <v>5.8999999999999997E-2</v>
      </c>
      <c r="O3630" s="5">
        <v>60.802999999999997</v>
      </c>
      <c r="P3630" s="6">
        <v>5.5999999999999999E-3</v>
      </c>
      <c r="Q3630" s="5">
        <v>21822771.32</v>
      </c>
      <c r="R3630" s="1" t="s">
        <v>44</v>
      </c>
      <c r="T3630" s="1" t="s">
        <v>71</v>
      </c>
      <c r="V3630" s="1" t="s">
        <v>64</v>
      </c>
      <c r="Y3630" s="1" t="s">
        <v>6843</v>
      </c>
      <c r="Z3630" s="1" t="str">
        <f t="shared" si="168"/>
        <v>59764 1</v>
      </c>
      <c r="AA3630" s="3">
        <f>IF(INDEX('CAMD Facility Data 2023'!$AA$2:$AE$10000,MATCH(Z3630,'CAMD Facility Data 2023'!$AE$2:$AE$10000,0),1)&gt;0,INDEX('CAMD Facility Data 2023'!$AA$2:$AE$10000,MATCH(Z3630,'CAMD Facility Data 2023'!$AE$2:$AE$10000,0),1),"")</f>
        <v>42873</v>
      </c>
      <c r="AB3630" s="5">
        <f>IF(INDEX('CAMD Facility Data 2023'!$AC$2:$AE$10000,MATCH(Z3630,'CAMD Facility Data 2023'!$AE$2:$AE$10000,0),1)&gt;0,INDEX('CAMD Facility Data 2023'!$AC$2:$AE$10000,MATCH(Z3630,'CAMD Facility Data 2023'!$AE$2:$AE$10000,0),1),"")</f>
        <v>3237.4</v>
      </c>
      <c r="AC3630" s="1" t="str">
        <f>IF(INDEX('CAMD Facility Data 2023'!$AE$2:$AG$10000,MATCH(Z3630,'CAMD Facility Data 2023'!$AE$2:$AE$10000,0),3)&gt;0,INDEX('CAMD Facility Data 2023'!$AE$2:$AG$10000,MATCH(Z3630,'CAMD Facility Data 2023'!$AE$2:$AE$10000,0),3),"")</f>
        <v>Y</v>
      </c>
      <c r="AD3630" s="20">
        <f t="shared" si="169"/>
        <v>3.6505955844958783E-2</v>
      </c>
      <c r="AE3630" s="25">
        <f t="shared" si="170"/>
        <v>0.76950143344636723</v>
      </c>
    </row>
    <row r="3631" spans="1:31" x14ac:dyDescent="0.2">
      <c r="A3631" s="1" t="s">
        <v>2430</v>
      </c>
      <c r="B3631" s="1" t="s">
        <v>8043</v>
      </c>
      <c r="C3631" s="1">
        <v>59764</v>
      </c>
      <c r="D3631" s="1">
        <v>2</v>
      </c>
      <c r="F3631" s="1">
        <v>2023</v>
      </c>
      <c r="G3631" s="5">
        <v>8152</v>
      </c>
      <c r="H3631" s="5">
        <v>8141.84</v>
      </c>
      <c r="I3631" s="5">
        <v>3343158.16</v>
      </c>
      <c r="K3631" s="5">
        <v>6.6159999999999997</v>
      </c>
      <c r="L3631" s="5">
        <v>1E-3</v>
      </c>
      <c r="M3631" s="5">
        <v>1310552.173</v>
      </c>
      <c r="N3631" s="6">
        <v>5.8999999999999997E-2</v>
      </c>
      <c r="O3631" s="5">
        <v>61.837000000000003</v>
      </c>
      <c r="P3631" s="6">
        <v>5.7000000000000002E-3</v>
      </c>
      <c r="Q3631" s="5">
        <v>22052533.861000001</v>
      </c>
      <c r="R3631" s="1" t="s">
        <v>44</v>
      </c>
      <c r="T3631" s="1" t="s">
        <v>71</v>
      </c>
      <c r="V3631" s="1" t="s">
        <v>64</v>
      </c>
      <c r="Y3631" s="1" t="s">
        <v>6843</v>
      </c>
      <c r="Z3631" s="1" t="str">
        <f t="shared" si="168"/>
        <v>59764 2</v>
      </c>
      <c r="AA3631" s="3">
        <f>IF(INDEX('CAMD Facility Data 2023'!$AA$2:$AE$10000,MATCH(Z3631,'CAMD Facility Data 2023'!$AE$2:$AE$10000,0),1)&gt;0,INDEX('CAMD Facility Data 2023'!$AA$2:$AE$10000,MATCH(Z3631,'CAMD Facility Data 2023'!$AE$2:$AE$10000,0),1),"")</f>
        <v>42802</v>
      </c>
      <c r="AB3631" s="5">
        <f>IF(INDEX('CAMD Facility Data 2023'!$AC$2:$AE$10000,MATCH(Z3631,'CAMD Facility Data 2023'!$AE$2:$AE$10000,0),1)&gt;0,INDEX('CAMD Facility Data 2023'!$AC$2:$AE$10000,MATCH(Z3631,'CAMD Facility Data 2023'!$AE$2:$AE$10000,0),1),"")</f>
        <v>3237.4</v>
      </c>
      <c r="AC3631" s="1" t="str">
        <f>IF(INDEX('CAMD Facility Data 2023'!$AE$2:$AG$10000,MATCH(Z3631,'CAMD Facility Data 2023'!$AE$2:$AE$10000,0),3)&gt;0,INDEX('CAMD Facility Data 2023'!$AE$2:$AG$10000,MATCH(Z3631,'CAMD Facility Data 2023'!$AE$2:$AE$10000,0),3),"")</f>
        <v>Y</v>
      </c>
      <c r="AD3631" s="20">
        <f t="shared" si="169"/>
        <v>3.6993164571071324E-2</v>
      </c>
      <c r="AE3631" s="25">
        <f t="shared" si="170"/>
        <v>0.77760318193922462</v>
      </c>
    </row>
    <row r="3632" spans="1:31" x14ac:dyDescent="0.2">
      <c r="A3632" s="1" t="s">
        <v>2430</v>
      </c>
      <c r="B3632" s="1" t="s">
        <v>8047</v>
      </c>
      <c r="C3632" s="1">
        <v>59773</v>
      </c>
      <c r="D3632" s="1">
        <v>1</v>
      </c>
      <c r="F3632" s="1">
        <v>2023</v>
      </c>
      <c r="G3632" s="5">
        <v>8220</v>
      </c>
      <c r="H3632" s="5">
        <v>8209.14</v>
      </c>
      <c r="I3632" s="5">
        <v>2835769.02</v>
      </c>
      <c r="K3632" s="5">
        <v>6.1120000000000001</v>
      </c>
      <c r="L3632" s="5">
        <v>1E-3</v>
      </c>
      <c r="M3632" s="5">
        <v>1210641.5349999999</v>
      </c>
      <c r="N3632" s="6">
        <v>5.8999999999999997E-2</v>
      </c>
      <c r="O3632" s="5">
        <v>57.628999999999998</v>
      </c>
      <c r="P3632" s="6">
        <v>5.7999999999999996E-3</v>
      </c>
      <c r="Q3632" s="5">
        <v>20371332.463</v>
      </c>
      <c r="R3632" s="1" t="s">
        <v>44</v>
      </c>
      <c r="T3632" s="1" t="s">
        <v>71</v>
      </c>
      <c r="V3632" s="1" t="s">
        <v>64</v>
      </c>
      <c r="Y3632" s="1" t="s">
        <v>6843</v>
      </c>
      <c r="Z3632" s="1" t="str">
        <f t="shared" si="168"/>
        <v>59773 1</v>
      </c>
      <c r="AA3632" s="3">
        <f>IF(INDEX('CAMD Facility Data 2023'!$AA$2:$AE$10000,MATCH(Z3632,'CAMD Facility Data 2023'!$AE$2:$AE$10000,0),1)&gt;0,INDEX('CAMD Facility Data 2023'!$AA$2:$AE$10000,MATCH(Z3632,'CAMD Facility Data 2023'!$AE$2:$AE$10000,0),1),"")</f>
        <v>42999</v>
      </c>
      <c r="AB3632" s="5">
        <f>IF(INDEX('CAMD Facility Data 2023'!$AC$2:$AE$10000,MATCH(Z3632,'CAMD Facility Data 2023'!$AE$2:$AE$10000,0),1)&gt;0,INDEX('CAMD Facility Data 2023'!$AC$2:$AE$10000,MATCH(Z3632,'CAMD Facility Data 2023'!$AE$2:$AE$10000,0),1),"")</f>
        <v>2700</v>
      </c>
      <c r="AC3632" s="1" t="str">
        <f>IF(INDEX('CAMD Facility Data 2023'!$AE$2:$AG$10000,MATCH(Z3632,'CAMD Facility Data 2023'!$AE$2:$AE$10000,0),3)&gt;0,INDEX('CAMD Facility Data 2023'!$AE$2:$AG$10000,MATCH(Z3632,'CAMD Facility Data 2023'!$AE$2:$AE$10000,0),3),"")</f>
        <v>Y</v>
      </c>
      <c r="AD3632" s="20">
        <f t="shared" si="169"/>
        <v>4.0644354031344906E-2</v>
      </c>
      <c r="AE3632" s="25">
        <f t="shared" si="170"/>
        <v>0.86129428644512085</v>
      </c>
    </row>
    <row r="3633" spans="1:31" x14ac:dyDescent="0.2">
      <c r="A3633" s="1" t="s">
        <v>2430</v>
      </c>
      <c r="B3633" s="1" t="s">
        <v>8047</v>
      </c>
      <c r="C3633" s="1">
        <v>59773</v>
      </c>
      <c r="D3633" s="1">
        <v>2</v>
      </c>
      <c r="F3633" s="1">
        <v>2023</v>
      </c>
      <c r="G3633" s="5">
        <v>8183</v>
      </c>
      <c r="H3633" s="5">
        <v>8174.12</v>
      </c>
      <c r="I3633" s="5">
        <v>2814744.35</v>
      </c>
      <c r="K3633" s="5">
        <v>6.0750000000000002</v>
      </c>
      <c r="L3633" s="5">
        <v>1E-3</v>
      </c>
      <c r="M3633" s="5">
        <v>1203411.1159999999</v>
      </c>
      <c r="N3633" s="6">
        <v>5.8999999999999997E-2</v>
      </c>
      <c r="O3633" s="5">
        <v>58.646999999999998</v>
      </c>
      <c r="P3633" s="6">
        <v>5.8999999999999999E-3</v>
      </c>
      <c r="Q3633" s="5">
        <v>20249653.274999999</v>
      </c>
      <c r="R3633" s="1" t="s">
        <v>44</v>
      </c>
      <c r="T3633" s="1" t="s">
        <v>71</v>
      </c>
      <c r="V3633" s="1" t="s">
        <v>64</v>
      </c>
      <c r="Y3633" s="1" t="s">
        <v>6843</v>
      </c>
      <c r="Z3633" s="1" t="str">
        <f t="shared" si="168"/>
        <v>59773 2</v>
      </c>
      <c r="AA3633" s="3">
        <f>IF(INDEX('CAMD Facility Data 2023'!$AA$2:$AE$10000,MATCH(Z3633,'CAMD Facility Data 2023'!$AE$2:$AE$10000,0),1)&gt;0,INDEX('CAMD Facility Data 2023'!$AA$2:$AE$10000,MATCH(Z3633,'CAMD Facility Data 2023'!$AE$2:$AE$10000,0),1),"")</f>
        <v>43006</v>
      </c>
      <c r="AB3633" s="5">
        <f>IF(INDEX('CAMD Facility Data 2023'!$AC$2:$AE$10000,MATCH(Z3633,'CAMD Facility Data 2023'!$AE$2:$AE$10000,0),1)&gt;0,INDEX('CAMD Facility Data 2023'!$AC$2:$AE$10000,MATCH(Z3633,'CAMD Facility Data 2023'!$AE$2:$AE$10000,0),1),"")</f>
        <v>2700</v>
      </c>
      <c r="AC3633" s="1" t="str">
        <f>IF(INDEX('CAMD Facility Data 2023'!$AE$2:$AG$10000,MATCH(Z3633,'CAMD Facility Data 2023'!$AE$2:$AE$10000,0),3)&gt;0,INDEX('CAMD Facility Data 2023'!$AE$2:$AG$10000,MATCH(Z3633,'CAMD Facility Data 2023'!$AE$2:$AE$10000,0),3),"")</f>
        <v>Y</v>
      </c>
      <c r="AD3633" s="20">
        <f t="shared" si="169"/>
        <v>4.1671280022286927E-2</v>
      </c>
      <c r="AE3633" s="25">
        <f t="shared" si="170"/>
        <v>0.85614972412480972</v>
      </c>
    </row>
    <row r="3634" spans="1:31" x14ac:dyDescent="0.2">
      <c r="A3634" s="1" t="s">
        <v>383</v>
      </c>
      <c r="B3634" s="1" t="s">
        <v>8052</v>
      </c>
      <c r="C3634" s="1">
        <v>59812</v>
      </c>
      <c r="D3634" s="1" t="s">
        <v>3044</v>
      </c>
      <c r="F3634" s="1">
        <v>2023</v>
      </c>
      <c r="G3634" s="5">
        <v>7645</v>
      </c>
      <c r="H3634" s="5">
        <v>7633.92</v>
      </c>
      <c r="I3634" s="5">
        <v>3611248.01</v>
      </c>
      <c r="K3634" s="5">
        <v>7.18</v>
      </c>
      <c r="L3634" s="5">
        <v>1E-3</v>
      </c>
      <c r="M3634" s="5">
        <v>1422249.0619999999</v>
      </c>
      <c r="N3634" s="6">
        <v>5.8999999999999997E-2</v>
      </c>
      <c r="O3634" s="5">
        <v>60.878999999999998</v>
      </c>
      <c r="P3634" s="6">
        <v>5.1999999999999998E-3</v>
      </c>
      <c r="Q3634" s="5">
        <v>23932003.100000001</v>
      </c>
      <c r="R3634" s="1" t="s">
        <v>44</v>
      </c>
      <c r="T3634" s="1" t="s">
        <v>71</v>
      </c>
      <c r="V3634" s="1" t="s">
        <v>2111</v>
      </c>
      <c r="Y3634" s="1" t="s">
        <v>346</v>
      </c>
      <c r="Z3634" s="1" t="str">
        <f t="shared" si="168"/>
        <v>59812 CGT4</v>
      </c>
      <c r="AA3634" s="3">
        <f>IF(INDEX('CAMD Facility Data 2023'!$AA$2:$AE$10000,MATCH(Z3634,'CAMD Facility Data 2023'!$AE$2:$AE$10000,0),1)&gt;0,INDEX('CAMD Facility Data 2023'!$AA$2:$AE$10000,MATCH(Z3634,'CAMD Facility Data 2023'!$AE$2:$AE$10000,0),1),"")</f>
        <v>42740</v>
      </c>
      <c r="AB3634" s="5">
        <f>IF(INDEX('CAMD Facility Data 2023'!$AC$2:$AE$10000,MATCH(Z3634,'CAMD Facility Data 2023'!$AE$2:$AE$10000,0),1)&gt;0,INDEX('CAMD Facility Data 2023'!$AC$2:$AE$10000,MATCH(Z3634,'CAMD Facility Data 2023'!$AE$2:$AE$10000,0),1),"")</f>
        <v>4564</v>
      </c>
      <c r="AC3634" s="1" t="str">
        <f>IF(INDEX('CAMD Facility Data 2023'!$AE$2:$AG$10000,MATCH(Z3634,'CAMD Facility Data 2023'!$AE$2:$AE$10000,0),3)&gt;0,INDEX('CAMD Facility Data 2023'!$AE$2:$AG$10000,MATCH(Z3634,'CAMD Facility Data 2023'!$AE$2:$AE$10000,0),3),"")</f>
        <v>Y</v>
      </c>
      <c r="AD3634" s="20">
        <f t="shared" si="169"/>
        <v>3.3716321798679234E-2</v>
      </c>
      <c r="AE3634" s="25">
        <f t="shared" si="170"/>
        <v>0.59858979496076103</v>
      </c>
    </row>
    <row r="3635" spans="1:31" x14ac:dyDescent="0.2">
      <c r="A3635" s="1" t="s">
        <v>383</v>
      </c>
      <c r="B3635" s="1" t="s">
        <v>8052</v>
      </c>
      <c r="C3635" s="1">
        <v>59812</v>
      </c>
      <c r="D3635" s="1" t="s">
        <v>3053</v>
      </c>
      <c r="F3635" s="1">
        <v>2023</v>
      </c>
      <c r="G3635" s="5">
        <v>7652</v>
      </c>
      <c r="H3635" s="5">
        <v>7639.41</v>
      </c>
      <c r="I3635" s="5">
        <v>3604632.74</v>
      </c>
      <c r="K3635" s="5">
        <v>7.1929999999999996</v>
      </c>
      <c r="L3635" s="5">
        <v>1E-3</v>
      </c>
      <c r="M3635" s="5">
        <v>1424880.4569999999</v>
      </c>
      <c r="N3635" s="6">
        <v>5.8999999999999997E-2</v>
      </c>
      <c r="O3635" s="5">
        <v>59.970999999999997</v>
      </c>
      <c r="P3635" s="6">
        <v>5.1000000000000004E-3</v>
      </c>
      <c r="Q3635" s="5">
        <v>23976387.576000001</v>
      </c>
      <c r="R3635" s="1" t="s">
        <v>44</v>
      </c>
      <c r="T3635" s="1" t="s">
        <v>71</v>
      </c>
      <c r="V3635" s="1" t="s">
        <v>2111</v>
      </c>
      <c r="Y3635" s="1" t="s">
        <v>346</v>
      </c>
      <c r="Z3635" s="1" t="str">
        <f t="shared" si="168"/>
        <v>59812 CGT5</v>
      </c>
      <c r="AA3635" s="3">
        <f>IF(INDEX('CAMD Facility Data 2023'!$AA$2:$AE$10000,MATCH(Z3635,'CAMD Facility Data 2023'!$AE$2:$AE$10000,0),1)&gt;0,INDEX('CAMD Facility Data 2023'!$AA$2:$AE$10000,MATCH(Z3635,'CAMD Facility Data 2023'!$AE$2:$AE$10000,0),1),"")</f>
        <v>42747</v>
      </c>
      <c r="AB3635" s="5">
        <f>IF(INDEX('CAMD Facility Data 2023'!$AC$2:$AE$10000,MATCH(Z3635,'CAMD Facility Data 2023'!$AE$2:$AE$10000,0),1)&gt;0,INDEX('CAMD Facility Data 2023'!$AC$2:$AE$10000,MATCH(Z3635,'CAMD Facility Data 2023'!$AE$2:$AE$10000,0),1),"")</f>
        <v>4564</v>
      </c>
      <c r="AC3635" s="1" t="str">
        <f>IF(INDEX('CAMD Facility Data 2023'!$AE$2:$AG$10000,MATCH(Z3635,'CAMD Facility Data 2023'!$AE$2:$AE$10000,0),3)&gt;0,INDEX('CAMD Facility Data 2023'!$AE$2:$AG$10000,MATCH(Z3635,'CAMD Facility Data 2023'!$AE$2:$AE$10000,0),3),"")</f>
        <v>Y</v>
      </c>
      <c r="AD3635" s="20">
        <f t="shared" si="169"/>
        <v>3.3274402318167924E-2</v>
      </c>
      <c r="AE3635" s="25">
        <f t="shared" si="170"/>
        <v>0.59969994417297978</v>
      </c>
    </row>
    <row r="3636" spans="1:31" x14ac:dyDescent="0.2">
      <c r="A3636" s="1" t="s">
        <v>1568</v>
      </c>
      <c r="B3636" s="1" t="s">
        <v>8056</v>
      </c>
      <c r="C3636" s="1">
        <v>59882</v>
      </c>
      <c r="D3636" s="1" t="s">
        <v>8057</v>
      </c>
      <c r="F3636" s="1">
        <v>2023</v>
      </c>
      <c r="G3636" s="5">
        <v>1673</v>
      </c>
      <c r="H3636" s="5">
        <v>1363.72</v>
      </c>
      <c r="I3636" s="5">
        <v>75758.67</v>
      </c>
      <c r="K3636" s="5">
        <v>0.22900000000000001</v>
      </c>
      <c r="L3636" s="5">
        <v>1E-3</v>
      </c>
      <c r="M3636" s="5">
        <v>44957.892999999996</v>
      </c>
      <c r="N3636" s="6">
        <v>5.9299999999999999E-2</v>
      </c>
      <c r="O3636" s="5">
        <v>3.5590000000000002</v>
      </c>
      <c r="P3636" s="6">
        <v>1.5699999999999999E-2</v>
      </c>
      <c r="Q3636" s="5">
        <v>753598.66500000004</v>
      </c>
      <c r="R3636" s="1" t="s">
        <v>44</v>
      </c>
      <c r="S3636" s="1" t="s">
        <v>94</v>
      </c>
      <c r="T3636" s="1" t="s">
        <v>93</v>
      </c>
      <c r="V3636" s="1" t="s">
        <v>643</v>
      </c>
      <c r="Y3636" s="1" t="s">
        <v>579</v>
      </c>
      <c r="Z3636" s="1" t="str">
        <f t="shared" si="168"/>
        <v>59882 J4</v>
      </c>
      <c r="AA3636" s="3">
        <f>IF(INDEX('CAMD Facility Data 2023'!$AA$2:$AE$10000,MATCH(Z3636,'CAMD Facility Data 2023'!$AE$2:$AE$10000,0),1)&gt;0,INDEX('CAMD Facility Data 2023'!$AA$2:$AE$10000,MATCH(Z3636,'CAMD Facility Data 2023'!$AE$2:$AE$10000,0),1),"")</f>
        <v>43504</v>
      </c>
      <c r="AB3636" s="5">
        <f>IF(INDEX('CAMD Facility Data 2023'!$AC$2:$AE$10000,MATCH(Z3636,'CAMD Facility Data 2023'!$AE$2:$AE$10000,0),1)&gt;0,INDEX('CAMD Facility Data 2023'!$AC$2:$AE$10000,MATCH(Z3636,'CAMD Facility Data 2023'!$AE$2:$AE$10000,0),1),"")</f>
        <v>992</v>
      </c>
      <c r="AC3636" s="1" t="str">
        <f>IF(INDEX('CAMD Facility Data 2023'!$AE$2:$AG$10000,MATCH(Z3636,'CAMD Facility Data 2023'!$AE$2:$AE$10000,0),3)&gt;0,INDEX('CAMD Facility Data 2023'!$AE$2:$AG$10000,MATCH(Z3636,'CAMD Facility Data 2023'!$AE$2:$AE$10000,0),3),"")</f>
        <v>Y</v>
      </c>
      <c r="AD3636" s="20">
        <f t="shared" si="169"/>
        <v>9.3956242896027609E-2</v>
      </c>
      <c r="AE3636" s="25">
        <f t="shared" si="170"/>
        <v>8.6721012966747682E-2</v>
      </c>
    </row>
    <row r="3637" spans="1:31" x14ac:dyDescent="0.2">
      <c r="A3637" s="1" t="s">
        <v>1568</v>
      </c>
      <c r="B3637" s="1" t="s">
        <v>8056</v>
      </c>
      <c r="C3637" s="1">
        <v>59882</v>
      </c>
      <c r="D3637" s="1" t="s">
        <v>8059</v>
      </c>
      <c r="F3637" s="1">
        <v>2023</v>
      </c>
      <c r="G3637" s="5">
        <v>1887</v>
      </c>
      <c r="H3637" s="5">
        <v>1538.2</v>
      </c>
      <c r="I3637" s="5">
        <v>89077.52</v>
      </c>
      <c r="K3637" s="5">
        <v>0.26200000000000001</v>
      </c>
      <c r="L3637" s="5">
        <v>1E-3</v>
      </c>
      <c r="M3637" s="5">
        <v>51697.919999999998</v>
      </c>
      <c r="N3637" s="6">
        <v>5.9299999999999999E-2</v>
      </c>
      <c r="O3637" s="5">
        <v>3.95</v>
      </c>
      <c r="P3637" s="6">
        <v>1.5100000000000001E-2</v>
      </c>
      <c r="Q3637" s="5">
        <v>868306.54799999995</v>
      </c>
      <c r="R3637" s="1" t="s">
        <v>44</v>
      </c>
      <c r="S3637" s="1" t="s">
        <v>94</v>
      </c>
      <c r="T3637" s="1" t="s">
        <v>93</v>
      </c>
      <c r="V3637" s="1" t="s">
        <v>643</v>
      </c>
      <c r="Y3637" s="1" t="s">
        <v>579</v>
      </c>
      <c r="Z3637" s="1" t="str">
        <f t="shared" si="168"/>
        <v>59882 J5</v>
      </c>
      <c r="AA3637" s="3">
        <f>IF(INDEX('CAMD Facility Data 2023'!$AA$2:$AE$10000,MATCH(Z3637,'CAMD Facility Data 2023'!$AE$2:$AE$10000,0),1)&gt;0,INDEX('CAMD Facility Data 2023'!$AA$2:$AE$10000,MATCH(Z3637,'CAMD Facility Data 2023'!$AE$2:$AE$10000,0),1),"")</f>
        <v>43526</v>
      </c>
      <c r="AB3637" s="5">
        <f>IF(INDEX('CAMD Facility Data 2023'!$AC$2:$AE$10000,MATCH(Z3637,'CAMD Facility Data 2023'!$AE$2:$AE$10000,0),1)&gt;0,INDEX('CAMD Facility Data 2023'!$AC$2:$AE$10000,MATCH(Z3637,'CAMD Facility Data 2023'!$AE$2:$AE$10000,0),1),"")</f>
        <v>992</v>
      </c>
      <c r="AC3637" s="1" t="str">
        <f>IF(INDEX('CAMD Facility Data 2023'!$AE$2:$AG$10000,MATCH(Z3637,'CAMD Facility Data 2023'!$AE$2:$AE$10000,0),3)&gt;0,INDEX('CAMD Facility Data 2023'!$AE$2:$AG$10000,MATCH(Z3637,'CAMD Facility Data 2023'!$AE$2:$AE$10000,0),3),"")</f>
        <v>Y</v>
      </c>
      <c r="AD3637" s="20">
        <f t="shared" si="169"/>
        <v>8.868679774650215E-2</v>
      </c>
      <c r="AE3637" s="25">
        <f t="shared" si="170"/>
        <v>9.9921121022978343E-2</v>
      </c>
    </row>
    <row r="3638" spans="1:31" x14ac:dyDescent="0.2">
      <c r="A3638" s="1" t="s">
        <v>2584</v>
      </c>
      <c r="B3638" s="1" t="s">
        <v>8060</v>
      </c>
      <c r="C3638" s="1">
        <v>59906</v>
      </c>
      <c r="D3638" s="1">
        <v>201</v>
      </c>
      <c r="F3638" s="1">
        <v>2023</v>
      </c>
      <c r="G3638" s="5">
        <v>6848</v>
      </c>
      <c r="H3638" s="5">
        <v>6835.76</v>
      </c>
      <c r="I3638" s="5">
        <v>3467875.52</v>
      </c>
      <c r="K3638" s="5">
        <v>6.8289999999999997</v>
      </c>
      <c r="L3638" s="5">
        <v>1E-3</v>
      </c>
      <c r="M3638" s="5">
        <v>1352741.5290000001</v>
      </c>
      <c r="N3638" s="6">
        <v>5.8999999999999997E-2</v>
      </c>
      <c r="O3638" s="5">
        <v>71.132000000000005</v>
      </c>
      <c r="P3638" s="6">
        <v>6.3E-3</v>
      </c>
      <c r="Q3638" s="5">
        <v>22762496.554000001</v>
      </c>
      <c r="R3638" s="1" t="s">
        <v>44</v>
      </c>
      <c r="T3638" s="1" t="s">
        <v>71</v>
      </c>
      <c r="V3638" s="1" t="s">
        <v>64</v>
      </c>
      <c r="Y3638" s="1" t="s">
        <v>1515</v>
      </c>
      <c r="Z3638" s="1" t="str">
        <f t="shared" si="168"/>
        <v>59906 201</v>
      </c>
      <c r="AA3638" s="3">
        <f>IF(INDEX('CAMD Facility Data 2023'!$AA$2:$AE$10000,MATCH(Z3638,'CAMD Facility Data 2023'!$AE$2:$AE$10000,0),1)&gt;0,INDEX('CAMD Facility Data 2023'!$AA$2:$AE$10000,MATCH(Z3638,'CAMD Facility Data 2023'!$AE$2:$AE$10000,0),1),"")</f>
        <v>43138</v>
      </c>
      <c r="AB3638" s="5">
        <f>IF(INDEX('CAMD Facility Data 2023'!$AC$2:$AE$10000,MATCH(Z3638,'CAMD Facility Data 2023'!$AE$2:$AE$10000,0),1)&gt;0,INDEX('CAMD Facility Data 2023'!$AC$2:$AE$10000,MATCH(Z3638,'CAMD Facility Data 2023'!$AE$2:$AE$10000,0),1),"")</f>
        <v>3700</v>
      </c>
      <c r="AC3638" s="1" t="str">
        <f>IF(INDEX('CAMD Facility Data 2023'!$AE$2:$AG$10000,MATCH(Z3638,'CAMD Facility Data 2023'!$AE$2:$AE$10000,0),3)&gt;0,INDEX('CAMD Facility Data 2023'!$AE$2:$AG$10000,MATCH(Z3638,'CAMD Facility Data 2023'!$AE$2:$AE$10000,0),3),"")</f>
        <v>Y</v>
      </c>
      <c r="AD3638" s="20">
        <f t="shared" si="169"/>
        <v>4.1023387137033109E-2</v>
      </c>
      <c r="AE3638" s="25">
        <f t="shared" si="170"/>
        <v>0.70228608398124159</v>
      </c>
    </row>
    <row r="3639" spans="1:31" x14ac:dyDescent="0.2">
      <c r="A3639" s="1" t="s">
        <v>2584</v>
      </c>
      <c r="B3639" s="1" t="s">
        <v>8060</v>
      </c>
      <c r="C3639" s="1">
        <v>59906</v>
      </c>
      <c r="D3639" s="1">
        <v>202</v>
      </c>
      <c r="F3639" s="1">
        <v>2023</v>
      </c>
      <c r="G3639" s="5">
        <v>7289</v>
      </c>
      <c r="H3639" s="5">
        <v>7272.33</v>
      </c>
      <c r="I3639" s="5">
        <v>3657827.63</v>
      </c>
      <c r="K3639" s="5">
        <v>7.22</v>
      </c>
      <c r="L3639" s="5">
        <v>1E-3</v>
      </c>
      <c r="M3639" s="5">
        <v>1430160.5149999999</v>
      </c>
      <c r="N3639" s="6">
        <v>5.8999999999999997E-2</v>
      </c>
      <c r="O3639" s="5">
        <v>72.370999999999995</v>
      </c>
      <c r="P3639" s="6">
        <v>6.1000000000000004E-3</v>
      </c>
      <c r="Q3639" s="5">
        <v>24065167.114</v>
      </c>
      <c r="R3639" s="1" t="s">
        <v>44</v>
      </c>
      <c r="T3639" s="1" t="s">
        <v>71</v>
      </c>
      <c r="V3639" s="1" t="s">
        <v>64</v>
      </c>
      <c r="Y3639" s="1" t="s">
        <v>1515</v>
      </c>
      <c r="Z3639" s="1" t="str">
        <f t="shared" si="168"/>
        <v>59906 202</v>
      </c>
      <c r="AA3639" s="3">
        <f>IF(INDEX('CAMD Facility Data 2023'!$AA$2:$AE$10000,MATCH(Z3639,'CAMD Facility Data 2023'!$AE$2:$AE$10000,0),1)&gt;0,INDEX('CAMD Facility Data 2023'!$AA$2:$AE$10000,MATCH(Z3639,'CAMD Facility Data 2023'!$AE$2:$AE$10000,0),1),"")</f>
        <v>43170</v>
      </c>
      <c r="AB3639" s="5">
        <f>IF(INDEX('CAMD Facility Data 2023'!$AC$2:$AE$10000,MATCH(Z3639,'CAMD Facility Data 2023'!$AE$2:$AE$10000,0),1)&gt;0,INDEX('CAMD Facility Data 2023'!$AC$2:$AE$10000,MATCH(Z3639,'CAMD Facility Data 2023'!$AE$2:$AE$10000,0),1),"")</f>
        <v>3700</v>
      </c>
      <c r="AC3639" s="1" t="str">
        <f>IF(INDEX('CAMD Facility Data 2023'!$AE$2:$AG$10000,MATCH(Z3639,'CAMD Facility Data 2023'!$AE$2:$AE$10000,0),3)&gt;0,INDEX('CAMD Facility Data 2023'!$AE$2:$AG$10000,MATCH(Z3639,'CAMD Facility Data 2023'!$AE$2:$AE$10000,0),3),"")</f>
        <v>Y</v>
      </c>
      <c r="AD3639" s="20">
        <f t="shared" si="169"/>
        <v>3.957048134605512E-2</v>
      </c>
      <c r="AE3639" s="25">
        <f t="shared" si="170"/>
        <v>0.74247707990867584</v>
      </c>
    </row>
    <row r="3640" spans="1:31" x14ac:dyDescent="0.2">
      <c r="A3640" s="1" t="s">
        <v>3095</v>
      </c>
      <c r="B3640" s="1" t="s">
        <v>8064</v>
      </c>
      <c r="C3640" s="1">
        <v>59913</v>
      </c>
      <c r="D3640" s="1" t="s">
        <v>372</v>
      </c>
      <c r="F3640" s="1">
        <v>2023</v>
      </c>
      <c r="G3640" s="5">
        <v>7011</v>
      </c>
      <c r="H3640" s="5">
        <v>7006.25</v>
      </c>
      <c r="I3640" s="5">
        <v>3689004.83</v>
      </c>
      <c r="K3640" s="5">
        <v>6.8</v>
      </c>
      <c r="L3640" s="5">
        <v>1E-3</v>
      </c>
      <c r="M3640" s="5">
        <v>1347085.966</v>
      </c>
      <c r="N3640" s="6">
        <v>5.8999999999999997E-2</v>
      </c>
      <c r="O3640" s="5">
        <v>57.18</v>
      </c>
      <c r="P3640" s="6">
        <v>5.1999999999999998E-3</v>
      </c>
      <c r="Q3640" s="5">
        <v>22667367.647</v>
      </c>
      <c r="R3640" s="1" t="s">
        <v>44</v>
      </c>
      <c r="T3640" s="1" t="s">
        <v>71</v>
      </c>
      <c r="V3640" s="1" t="s">
        <v>64</v>
      </c>
      <c r="Y3640" s="1" t="s">
        <v>1515</v>
      </c>
      <c r="Z3640" s="1" t="str">
        <f t="shared" si="168"/>
        <v>59913 1A</v>
      </c>
      <c r="AA3640" s="3">
        <f>IF(INDEX('CAMD Facility Data 2023'!$AA$2:$AE$10000,MATCH(Z3640,'CAMD Facility Data 2023'!$AE$2:$AE$10000,0),1)&gt;0,INDEX('CAMD Facility Data 2023'!$AA$2:$AE$10000,MATCH(Z3640,'CAMD Facility Data 2023'!$AE$2:$AE$10000,0),1),"")</f>
        <v>43323</v>
      </c>
      <c r="AB3640" s="5">
        <f>IF(INDEX('CAMD Facility Data 2023'!$AC$2:$AE$10000,MATCH(Z3640,'CAMD Facility Data 2023'!$AE$2:$AE$10000,0),1)&gt;0,INDEX('CAMD Facility Data 2023'!$AC$2:$AE$10000,MATCH(Z3640,'CAMD Facility Data 2023'!$AE$2:$AE$10000,0),1),"")</f>
        <v>4500</v>
      </c>
      <c r="AC3640" s="1" t="str">
        <f>IF(INDEX('CAMD Facility Data 2023'!$AE$2:$AG$10000,MATCH(Z3640,'CAMD Facility Data 2023'!$AE$2:$AE$10000,0),3)&gt;0,INDEX('CAMD Facility Data 2023'!$AE$2:$AG$10000,MATCH(Z3640,'CAMD Facility Data 2023'!$AE$2:$AE$10000,0),3),"")</f>
        <v>Y</v>
      </c>
      <c r="AD3640" s="20">
        <f t="shared" si="169"/>
        <v>3.1000230487635332E-2</v>
      </c>
      <c r="AE3640" s="25">
        <f t="shared" si="170"/>
        <v>0.57502201032470823</v>
      </c>
    </row>
    <row r="3641" spans="1:31" x14ac:dyDescent="0.2">
      <c r="A3641" s="1" t="s">
        <v>3095</v>
      </c>
      <c r="B3641" s="1" t="s">
        <v>8064</v>
      </c>
      <c r="C3641" s="1">
        <v>59913</v>
      </c>
      <c r="D3641" s="1" t="s">
        <v>1199</v>
      </c>
      <c r="F3641" s="1">
        <v>2023</v>
      </c>
      <c r="G3641" s="5">
        <v>6876</v>
      </c>
      <c r="H3641" s="5">
        <v>6869.04</v>
      </c>
      <c r="I3641" s="5">
        <v>3401468.78</v>
      </c>
      <c r="K3641" s="5">
        <v>6.5369999999999999</v>
      </c>
      <c r="L3641" s="5">
        <v>1E-3</v>
      </c>
      <c r="M3641" s="5">
        <v>1294879.9450000001</v>
      </c>
      <c r="N3641" s="6">
        <v>5.8999999999999997E-2</v>
      </c>
      <c r="O3641" s="5">
        <v>55.115000000000002</v>
      </c>
      <c r="P3641" s="6">
        <v>5.1999999999999998E-3</v>
      </c>
      <c r="Q3641" s="5">
        <v>21788880.193999998</v>
      </c>
      <c r="R3641" s="1" t="s">
        <v>44</v>
      </c>
      <c r="T3641" s="1" t="s">
        <v>71</v>
      </c>
      <c r="V3641" s="1" t="s">
        <v>64</v>
      </c>
      <c r="Y3641" s="1" t="s">
        <v>1515</v>
      </c>
      <c r="Z3641" s="1" t="str">
        <f t="shared" si="168"/>
        <v>59913 1B</v>
      </c>
      <c r="AA3641" s="3">
        <f>IF(INDEX('CAMD Facility Data 2023'!$AA$2:$AE$10000,MATCH(Z3641,'CAMD Facility Data 2023'!$AE$2:$AE$10000,0),1)&gt;0,INDEX('CAMD Facility Data 2023'!$AA$2:$AE$10000,MATCH(Z3641,'CAMD Facility Data 2023'!$AE$2:$AE$10000,0),1),"")</f>
        <v>43311</v>
      </c>
      <c r="AB3641" s="5">
        <f>IF(INDEX('CAMD Facility Data 2023'!$AC$2:$AE$10000,MATCH(Z3641,'CAMD Facility Data 2023'!$AE$2:$AE$10000,0),1)&gt;0,INDEX('CAMD Facility Data 2023'!$AC$2:$AE$10000,MATCH(Z3641,'CAMD Facility Data 2023'!$AE$2:$AE$10000,0),1),"")</f>
        <v>4500</v>
      </c>
      <c r="AC3641" s="1" t="str">
        <f>IF(INDEX('CAMD Facility Data 2023'!$AE$2:$AG$10000,MATCH(Z3641,'CAMD Facility Data 2023'!$AE$2:$AE$10000,0),3)&gt;0,INDEX('CAMD Facility Data 2023'!$AE$2:$AG$10000,MATCH(Z3641,'CAMD Facility Data 2023'!$AE$2:$AE$10000,0),3),"")</f>
        <v>Y</v>
      </c>
      <c r="AD3641" s="20">
        <f t="shared" si="169"/>
        <v>3.240658877956834E-2</v>
      </c>
      <c r="AE3641" s="25">
        <f t="shared" si="170"/>
        <v>0.55273668680872645</v>
      </c>
    </row>
    <row r="3642" spans="1:31" x14ac:dyDescent="0.2">
      <c r="A3642" s="1" t="s">
        <v>3095</v>
      </c>
      <c r="B3642" s="1" t="s">
        <v>8064</v>
      </c>
      <c r="C3642" s="1">
        <v>59913</v>
      </c>
      <c r="D3642" s="1" t="s">
        <v>3753</v>
      </c>
      <c r="F3642" s="1">
        <v>2023</v>
      </c>
      <c r="G3642" s="5">
        <v>6884</v>
      </c>
      <c r="H3642" s="5">
        <v>6877.19</v>
      </c>
      <c r="I3642" s="5">
        <v>3453227.06</v>
      </c>
      <c r="K3642" s="5">
        <v>6.6769999999999996</v>
      </c>
      <c r="L3642" s="5">
        <v>1E-3</v>
      </c>
      <c r="M3642" s="5">
        <v>1322702.067</v>
      </c>
      <c r="N3642" s="6">
        <v>5.8999999999999997E-2</v>
      </c>
      <c r="O3642" s="5">
        <v>56.48</v>
      </c>
      <c r="P3642" s="6">
        <v>5.3E-3</v>
      </c>
      <c r="Q3642" s="5">
        <v>22257040.217</v>
      </c>
      <c r="R3642" s="1" t="s">
        <v>44</v>
      </c>
      <c r="T3642" s="1" t="s">
        <v>71</v>
      </c>
      <c r="V3642" s="1" t="s">
        <v>64</v>
      </c>
      <c r="Y3642" s="1" t="s">
        <v>1515</v>
      </c>
      <c r="Z3642" s="1" t="str">
        <f t="shared" si="168"/>
        <v>59913 1C</v>
      </c>
      <c r="AA3642" s="3">
        <f>IF(INDEX('CAMD Facility Data 2023'!$AA$2:$AE$10000,MATCH(Z3642,'CAMD Facility Data 2023'!$AE$2:$AE$10000,0),1)&gt;0,INDEX('CAMD Facility Data 2023'!$AA$2:$AE$10000,MATCH(Z3642,'CAMD Facility Data 2023'!$AE$2:$AE$10000,0),1),"")</f>
        <v>43301</v>
      </c>
      <c r="AB3642" s="5">
        <f>IF(INDEX('CAMD Facility Data 2023'!$AC$2:$AE$10000,MATCH(Z3642,'CAMD Facility Data 2023'!$AE$2:$AE$10000,0),1)&gt;0,INDEX('CAMD Facility Data 2023'!$AC$2:$AE$10000,MATCH(Z3642,'CAMD Facility Data 2023'!$AE$2:$AE$10000,0),1),"")</f>
        <v>4500</v>
      </c>
      <c r="AC3642" s="1" t="str">
        <f>IF(INDEX('CAMD Facility Data 2023'!$AE$2:$AG$10000,MATCH(Z3642,'CAMD Facility Data 2023'!$AE$2:$AE$10000,0),3)&gt;0,INDEX('CAMD Facility Data 2023'!$AE$2:$AG$10000,MATCH(Z3642,'CAMD Facility Data 2023'!$AE$2:$AE$10000,0),3),"")</f>
        <v>Y</v>
      </c>
      <c r="AD3642" s="20">
        <f t="shared" si="169"/>
        <v>3.2711431376308046E-2</v>
      </c>
      <c r="AE3642" s="25">
        <f t="shared" si="170"/>
        <v>0.56461289236428214</v>
      </c>
    </row>
    <row r="3643" spans="1:31" x14ac:dyDescent="0.2">
      <c r="A3643" s="1" t="s">
        <v>1621</v>
      </c>
      <c r="B3643" s="1" t="s">
        <v>8070</v>
      </c>
      <c r="C3643" s="1">
        <v>59926</v>
      </c>
      <c r="D3643" s="1" t="s">
        <v>8071</v>
      </c>
      <c r="F3643" s="1">
        <v>2023</v>
      </c>
      <c r="G3643" s="5">
        <v>4158</v>
      </c>
      <c r="H3643" s="5">
        <v>4137.41</v>
      </c>
      <c r="I3643" s="5">
        <v>630737.16</v>
      </c>
      <c r="K3643" s="5">
        <v>2.0150000000000001</v>
      </c>
      <c r="L3643" s="5">
        <v>1E-3</v>
      </c>
      <c r="M3643" s="5">
        <v>399131.38699999999</v>
      </c>
      <c r="N3643" s="6">
        <v>5.8999999999999997E-2</v>
      </c>
      <c r="O3643" s="5">
        <v>86.957999999999998</v>
      </c>
      <c r="P3643" s="6">
        <v>2.6100000000000002E-2</v>
      </c>
      <c r="Q3643" s="5">
        <v>6716222.4819999998</v>
      </c>
      <c r="R3643" s="1" t="s">
        <v>44</v>
      </c>
      <c r="T3643" s="1" t="s">
        <v>93</v>
      </c>
      <c r="V3643" s="1" t="s">
        <v>140</v>
      </c>
      <c r="Y3643" s="1" t="s">
        <v>461</v>
      </c>
      <c r="Z3643" s="1" t="str">
        <f t="shared" si="168"/>
        <v>59926 AL1</v>
      </c>
      <c r="AA3643" s="3">
        <f>IF(INDEX('CAMD Facility Data 2023'!$AA$2:$AE$10000,MATCH(Z3643,'CAMD Facility Data 2023'!$AE$2:$AE$10000,0),1)&gt;0,INDEX('CAMD Facility Data 2023'!$AA$2:$AE$10000,MATCH(Z3643,'CAMD Facility Data 2023'!$AE$2:$AE$10000,0),1),"")</f>
        <v>42534</v>
      </c>
      <c r="AB3643" s="5">
        <f>IF(INDEX('CAMD Facility Data 2023'!$AC$2:$AE$10000,MATCH(Z3643,'CAMD Facility Data 2023'!$AE$2:$AE$10000,0),1)&gt;0,INDEX('CAMD Facility Data 2023'!$AC$2:$AE$10000,MATCH(Z3643,'CAMD Facility Data 2023'!$AE$2:$AE$10000,0),1),"")</f>
        <v>2200</v>
      </c>
      <c r="AC3643" s="1" t="str">
        <f>IF(INDEX('CAMD Facility Data 2023'!$AE$2:$AG$10000,MATCH(Z3643,'CAMD Facility Data 2023'!$AE$2:$AE$10000,0),3)&gt;0,INDEX('CAMD Facility Data 2023'!$AE$2:$AG$10000,MATCH(Z3643,'CAMD Facility Data 2023'!$AE$2:$AE$10000,0),3),"")</f>
        <v/>
      </c>
      <c r="AD3643" s="20">
        <f t="shared" si="169"/>
        <v>0.27573450722326237</v>
      </c>
      <c r="AE3643" s="25">
        <f t="shared" si="170"/>
        <v>0.34849639279784139</v>
      </c>
    </row>
    <row r="3644" spans="1:31" x14ac:dyDescent="0.2">
      <c r="A3644" s="1" t="s">
        <v>1621</v>
      </c>
      <c r="B3644" s="1" t="s">
        <v>8070</v>
      </c>
      <c r="C3644" s="1">
        <v>59926</v>
      </c>
      <c r="D3644" s="1" t="s">
        <v>8073</v>
      </c>
      <c r="F3644" s="1">
        <v>2023</v>
      </c>
      <c r="G3644" s="5">
        <v>1404</v>
      </c>
      <c r="H3644" s="5">
        <v>1350.86</v>
      </c>
      <c r="I3644" s="5">
        <v>208218.08</v>
      </c>
      <c r="K3644" s="5">
        <v>0.66100000000000003</v>
      </c>
      <c r="L3644" s="5">
        <v>1E-3</v>
      </c>
      <c r="M3644" s="5">
        <v>130910.63099999999</v>
      </c>
      <c r="N3644" s="6">
        <v>5.8700000000000002E-2</v>
      </c>
      <c r="O3644" s="5">
        <v>30.384</v>
      </c>
      <c r="P3644" s="6">
        <v>2.93E-2</v>
      </c>
      <c r="Q3644" s="5">
        <v>2202841.625</v>
      </c>
      <c r="R3644" s="1" t="s">
        <v>44</v>
      </c>
      <c r="T3644" s="1" t="s">
        <v>93</v>
      </c>
      <c r="V3644" s="1" t="s">
        <v>140</v>
      </c>
      <c r="Y3644" s="1" t="s">
        <v>461</v>
      </c>
      <c r="Z3644" s="1" t="str">
        <f t="shared" si="168"/>
        <v>59926 AL2</v>
      </c>
      <c r="AA3644" s="3">
        <f>IF(INDEX('CAMD Facility Data 2023'!$AA$2:$AE$10000,MATCH(Z3644,'CAMD Facility Data 2023'!$AE$2:$AE$10000,0),1)&gt;0,INDEX('CAMD Facility Data 2023'!$AA$2:$AE$10000,MATCH(Z3644,'CAMD Facility Data 2023'!$AE$2:$AE$10000,0),1),"")</f>
        <v>42513</v>
      </c>
      <c r="AB3644" s="5">
        <f>IF(INDEX('CAMD Facility Data 2023'!$AC$2:$AE$10000,MATCH(Z3644,'CAMD Facility Data 2023'!$AE$2:$AE$10000,0),1)&gt;0,INDEX('CAMD Facility Data 2023'!$AC$2:$AE$10000,MATCH(Z3644,'CAMD Facility Data 2023'!$AE$2:$AE$10000,0),1),"")</f>
        <v>2200</v>
      </c>
      <c r="AC3644" s="1" t="str">
        <f>IF(INDEX('CAMD Facility Data 2023'!$AE$2:$AG$10000,MATCH(Z3644,'CAMD Facility Data 2023'!$AE$2:$AE$10000,0),3)&gt;0,INDEX('CAMD Facility Data 2023'!$AE$2:$AG$10000,MATCH(Z3644,'CAMD Facility Data 2023'!$AE$2:$AE$10000,0),3),"")</f>
        <v/>
      </c>
      <c r="AD3644" s="20">
        <f t="shared" si="169"/>
        <v>0.291847854902898</v>
      </c>
      <c r="AE3644" s="25">
        <f t="shared" si="170"/>
        <v>0.11430269951224574</v>
      </c>
    </row>
    <row r="3645" spans="1:31" x14ac:dyDescent="0.2">
      <c r="A3645" s="1" t="s">
        <v>383</v>
      </c>
      <c r="B3645" s="1" t="s">
        <v>8075</v>
      </c>
      <c r="C3645" s="1">
        <v>60122</v>
      </c>
      <c r="D3645" s="1" t="s">
        <v>109</v>
      </c>
      <c r="F3645" s="1">
        <v>2023</v>
      </c>
      <c r="G3645" s="5">
        <v>7920</v>
      </c>
      <c r="H3645" s="5">
        <v>7908.71</v>
      </c>
      <c r="I3645" s="5">
        <v>4024966.31</v>
      </c>
      <c r="K3645" s="5">
        <v>7.859</v>
      </c>
      <c r="L3645" s="5">
        <v>1E-3</v>
      </c>
      <c r="M3645" s="5">
        <v>1556848.679</v>
      </c>
      <c r="N3645" s="6">
        <v>5.8999999999999997E-2</v>
      </c>
      <c r="O3645" s="5">
        <v>54.308</v>
      </c>
      <c r="P3645" s="6">
        <v>4.3E-3</v>
      </c>
      <c r="Q3645" s="5">
        <v>26196953.201000001</v>
      </c>
      <c r="R3645" s="1" t="s">
        <v>44</v>
      </c>
      <c r="T3645" s="1" t="s">
        <v>71</v>
      </c>
      <c r="V3645" s="1" t="s">
        <v>2111</v>
      </c>
      <c r="Y3645" s="1" t="s">
        <v>346</v>
      </c>
      <c r="Z3645" s="1" t="str">
        <f t="shared" si="168"/>
        <v>60122 CT7</v>
      </c>
      <c r="AA3645" s="3">
        <f>IF(INDEX('CAMD Facility Data 2023'!$AA$2:$AE$10000,MATCH(Z3645,'CAMD Facility Data 2023'!$AE$2:$AE$10000,0),1)&gt;0,INDEX('CAMD Facility Data 2023'!$AA$2:$AE$10000,MATCH(Z3645,'CAMD Facility Data 2023'!$AE$2:$AE$10000,0),1),"")</f>
        <v>42776</v>
      </c>
      <c r="AB3645" s="5">
        <f>IF(INDEX('CAMD Facility Data 2023'!$AC$2:$AE$10000,MATCH(Z3645,'CAMD Facility Data 2023'!$AE$2:$AE$10000,0),1)&gt;0,INDEX('CAMD Facility Data 2023'!$AC$2:$AE$10000,MATCH(Z3645,'CAMD Facility Data 2023'!$AE$2:$AE$10000,0),1),"")</f>
        <v>4564</v>
      </c>
      <c r="AC3645" s="1" t="str">
        <f>IF(INDEX('CAMD Facility Data 2023'!$AE$2:$AG$10000,MATCH(Z3645,'CAMD Facility Data 2023'!$AE$2:$AE$10000,0),3)&gt;0,INDEX('CAMD Facility Data 2023'!$AE$2:$AG$10000,MATCH(Z3645,'CAMD Facility Data 2023'!$AE$2:$AE$10000,0),3),"")</f>
        <v>Y</v>
      </c>
      <c r="AD3645" s="20">
        <f t="shared" si="169"/>
        <v>2.6985567489135082E-2</v>
      </c>
      <c r="AE3645" s="25">
        <f t="shared" si="170"/>
        <v>0.65524096665286002</v>
      </c>
    </row>
    <row r="3646" spans="1:31" x14ac:dyDescent="0.2">
      <c r="A3646" s="1" t="s">
        <v>383</v>
      </c>
      <c r="B3646" s="1" t="s">
        <v>8075</v>
      </c>
      <c r="C3646" s="1">
        <v>60122</v>
      </c>
      <c r="D3646" s="1" t="s">
        <v>111</v>
      </c>
      <c r="F3646" s="1">
        <v>2023</v>
      </c>
      <c r="G3646" s="5">
        <v>7917</v>
      </c>
      <c r="H3646" s="5">
        <v>7905.18</v>
      </c>
      <c r="I3646" s="5">
        <v>4020112.38</v>
      </c>
      <c r="K3646" s="5">
        <v>7.8810000000000002</v>
      </c>
      <c r="L3646" s="5">
        <v>1E-3</v>
      </c>
      <c r="M3646" s="5">
        <v>1561247.6340000001</v>
      </c>
      <c r="N3646" s="6">
        <v>5.8999999999999997E-2</v>
      </c>
      <c r="O3646" s="5">
        <v>55.213999999999999</v>
      </c>
      <c r="P3646" s="6">
        <v>4.4000000000000003E-3</v>
      </c>
      <c r="Q3646" s="5">
        <v>26270969.011</v>
      </c>
      <c r="R3646" s="1" t="s">
        <v>44</v>
      </c>
      <c r="T3646" s="1" t="s">
        <v>71</v>
      </c>
      <c r="V3646" s="1" t="s">
        <v>2111</v>
      </c>
      <c r="Y3646" s="1" t="s">
        <v>346</v>
      </c>
      <c r="Z3646" s="1" t="str">
        <f t="shared" si="168"/>
        <v>60122 CT8</v>
      </c>
      <c r="AA3646" s="3">
        <f>IF(INDEX('CAMD Facility Data 2023'!$AA$2:$AE$10000,MATCH(Z3646,'CAMD Facility Data 2023'!$AE$2:$AE$10000,0),1)&gt;0,INDEX('CAMD Facility Data 2023'!$AA$2:$AE$10000,MATCH(Z3646,'CAMD Facility Data 2023'!$AE$2:$AE$10000,0),1),"")</f>
        <v>42796</v>
      </c>
      <c r="AB3646" s="5">
        <f>IF(INDEX('CAMD Facility Data 2023'!$AC$2:$AE$10000,MATCH(Z3646,'CAMD Facility Data 2023'!$AE$2:$AE$10000,0),1)&gt;0,INDEX('CAMD Facility Data 2023'!$AC$2:$AE$10000,MATCH(Z3646,'CAMD Facility Data 2023'!$AE$2:$AE$10000,0),1),"")</f>
        <v>4564</v>
      </c>
      <c r="AC3646" s="1" t="str">
        <f>IF(INDEX('CAMD Facility Data 2023'!$AE$2:$AG$10000,MATCH(Z3646,'CAMD Facility Data 2023'!$AE$2:$AE$10000,0),3)&gt;0,INDEX('CAMD Facility Data 2023'!$AE$2:$AG$10000,MATCH(Z3646,'CAMD Facility Data 2023'!$AE$2:$AE$10000,0),3),"")</f>
        <v>Y</v>
      </c>
      <c r="AD3646" s="20">
        <f t="shared" si="169"/>
        <v>2.7468883842495965E-2</v>
      </c>
      <c r="AE3646" s="25">
        <f t="shared" si="170"/>
        <v>0.6570922579278371</v>
      </c>
    </row>
    <row r="3647" spans="1:31" x14ac:dyDescent="0.2">
      <c r="A3647" s="1" t="s">
        <v>383</v>
      </c>
      <c r="B3647" s="1" t="s">
        <v>8079</v>
      </c>
      <c r="C3647" s="1">
        <v>60264</v>
      </c>
      <c r="D3647" s="1" t="s">
        <v>8080</v>
      </c>
      <c r="F3647" s="1">
        <v>2023</v>
      </c>
      <c r="G3647" s="5">
        <v>892</v>
      </c>
      <c r="H3647" s="5">
        <v>773.02</v>
      </c>
      <c r="I3647" s="5">
        <v>40989.800000000003</v>
      </c>
      <c r="K3647" s="5">
        <v>0.161</v>
      </c>
      <c r="L3647" s="5">
        <v>8.9999999999999998E-4</v>
      </c>
      <c r="M3647" s="5">
        <v>32635</v>
      </c>
      <c r="N3647" s="6">
        <v>5.91E-2</v>
      </c>
      <c r="O3647" s="5">
        <v>17.896999999999998</v>
      </c>
      <c r="P3647" s="6">
        <v>0.1298</v>
      </c>
      <c r="Q3647" s="5">
        <v>552882</v>
      </c>
      <c r="R3647" s="1" t="s">
        <v>44</v>
      </c>
      <c r="T3647" s="1" t="s">
        <v>93</v>
      </c>
      <c r="V3647" s="1" t="s">
        <v>140</v>
      </c>
      <c r="Y3647" s="1" t="s">
        <v>346</v>
      </c>
      <c r="Z3647" s="1" t="str">
        <f t="shared" si="168"/>
        <v>60264 BCGT1</v>
      </c>
      <c r="AA3647" s="3">
        <f>IF(INDEX('CAMD Facility Data 2023'!$AA$2:$AE$10000,MATCH(Z3647,'CAMD Facility Data 2023'!$AE$2:$AE$10000,0),1)&gt;0,INDEX('CAMD Facility Data 2023'!$AA$2:$AE$10000,MATCH(Z3647,'CAMD Facility Data 2023'!$AE$2:$AE$10000,0),1),"")</f>
        <v>42701</v>
      </c>
      <c r="AB3647" s="5">
        <f>IF(INDEX('CAMD Facility Data 2023'!$AC$2:$AE$10000,MATCH(Z3647,'CAMD Facility Data 2023'!$AE$2:$AE$10000,0),1)&gt;0,INDEX('CAMD Facility Data 2023'!$AC$2:$AE$10000,MATCH(Z3647,'CAMD Facility Data 2023'!$AE$2:$AE$10000,0),1),"")</f>
        <v>921.7</v>
      </c>
      <c r="AC3647" s="1" t="str">
        <f>IF(INDEX('CAMD Facility Data 2023'!$AE$2:$AG$10000,MATCH(Z3647,'CAMD Facility Data 2023'!$AE$2:$AE$10000,0),3)&gt;0,INDEX('CAMD Facility Data 2023'!$AE$2:$AG$10000,MATCH(Z3647,'CAMD Facility Data 2023'!$AE$2:$AE$10000,0),3),"")</f>
        <v/>
      </c>
      <c r="AD3647" s="20">
        <f t="shared" si="169"/>
        <v>0.87324163572400937</v>
      </c>
      <c r="AE3647" s="25">
        <f t="shared" si="170"/>
        <v>6.8476058979758961E-2</v>
      </c>
    </row>
    <row r="3648" spans="1:31" x14ac:dyDescent="0.2">
      <c r="A3648" s="1" t="s">
        <v>383</v>
      </c>
      <c r="B3648" s="1" t="s">
        <v>8079</v>
      </c>
      <c r="C3648" s="1">
        <v>60264</v>
      </c>
      <c r="D3648" s="1" t="s">
        <v>8084</v>
      </c>
      <c r="F3648" s="1">
        <v>2023</v>
      </c>
      <c r="G3648" s="5">
        <v>818</v>
      </c>
      <c r="H3648" s="5">
        <v>708.41</v>
      </c>
      <c r="I3648" s="5">
        <v>38315.47</v>
      </c>
      <c r="K3648" s="5">
        <v>0.161</v>
      </c>
      <c r="L3648" s="5">
        <v>8.9999999999999998E-4</v>
      </c>
      <c r="M3648" s="5">
        <v>30584.1</v>
      </c>
      <c r="N3648" s="6">
        <v>5.8999999999999997E-2</v>
      </c>
      <c r="O3648" s="5">
        <v>18.579999999999998</v>
      </c>
      <c r="P3648" s="6">
        <v>0.15060000000000001</v>
      </c>
      <c r="Q3648" s="5">
        <v>518577.6</v>
      </c>
      <c r="R3648" s="1" t="s">
        <v>44</v>
      </c>
      <c r="T3648" s="1" t="s">
        <v>93</v>
      </c>
      <c r="V3648" s="1" t="s">
        <v>140</v>
      </c>
      <c r="Y3648" s="1" t="s">
        <v>346</v>
      </c>
      <c r="Z3648" s="1" t="str">
        <f t="shared" si="168"/>
        <v>60264 BCGT2</v>
      </c>
      <c r="AA3648" s="3">
        <f>IF(INDEX('CAMD Facility Data 2023'!$AA$2:$AE$10000,MATCH(Z3648,'CAMD Facility Data 2023'!$AE$2:$AE$10000,0),1)&gt;0,INDEX('CAMD Facility Data 2023'!$AA$2:$AE$10000,MATCH(Z3648,'CAMD Facility Data 2023'!$AE$2:$AE$10000,0),1),"")</f>
        <v>42701</v>
      </c>
      <c r="AB3648" s="5">
        <f>IF(INDEX('CAMD Facility Data 2023'!$AC$2:$AE$10000,MATCH(Z3648,'CAMD Facility Data 2023'!$AE$2:$AE$10000,0),1)&gt;0,INDEX('CAMD Facility Data 2023'!$AC$2:$AE$10000,MATCH(Z3648,'CAMD Facility Data 2023'!$AE$2:$AE$10000,0),1),"")</f>
        <v>921.7</v>
      </c>
      <c r="AC3648" s="1" t="str">
        <f>IF(INDEX('CAMD Facility Data 2023'!$AE$2:$AG$10000,MATCH(Z3648,'CAMD Facility Data 2023'!$AE$2:$AE$10000,0),3)&gt;0,INDEX('CAMD Facility Data 2023'!$AE$2:$AG$10000,MATCH(Z3648,'CAMD Facility Data 2023'!$AE$2:$AE$10000,0),3),"")</f>
        <v/>
      </c>
      <c r="AD3648" s="20">
        <f t="shared" si="169"/>
        <v>0.96984325130293325</v>
      </c>
      <c r="AE3648" s="25">
        <f t="shared" si="170"/>
        <v>6.4227358320910879E-2</v>
      </c>
    </row>
    <row r="3649" spans="1:31" x14ac:dyDescent="0.2">
      <c r="A3649" s="1" t="s">
        <v>383</v>
      </c>
      <c r="B3649" s="1" t="s">
        <v>8079</v>
      </c>
      <c r="C3649" s="1">
        <v>60264</v>
      </c>
      <c r="D3649" s="1" t="s">
        <v>8086</v>
      </c>
      <c r="F3649" s="1">
        <v>2023</v>
      </c>
      <c r="G3649" s="5">
        <v>854</v>
      </c>
      <c r="H3649" s="5">
        <v>753.45</v>
      </c>
      <c r="I3649" s="5">
        <v>39201.4</v>
      </c>
      <c r="K3649" s="5">
        <v>0.155</v>
      </c>
      <c r="L3649" s="5">
        <v>8.9999999999999998E-4</v>
      </c>
      <c r="M3649" s="5">
        <v>31275.4</v>
      </c>
      <c r="N3649" s="6">
        <v>5.8900000000000001E-2</v>
      </c>
      <c r="O3649" s="5">
        <v>19.933</v>
      </c>
      <c r="P3649" s="6">
        <v>0.14460000000000001</v>
      </c>
      <c r="Q3649" s="5">
        <v>529855.1</v>
      </c>
      <c r="R3649" s="1" t="s">
        <v>44</v>
      </c>
      <c r="T3649" s="1" t="s">
        <v>93</v>
      </c>
      <c r="V3649" s="1" t="s">
        <v>140</v>
      </c>
      <c r="Y3649" s="1" t="s">
        <v>346</v>
      </c>
      <c r="Z3649" s="1" t="str">
        <f t="shared" si="168"/>
        <v>60264 BCGT3</v>
      </c>
      <c r="AA3649" s="3">
        <f>IF(INDEX('CAMD Facility Data 2023'!$AA$2:$AE$10000,MATCH(Z3649,'CAMD Facility Data 2023'!$AE$2:$AE$10000,0),1)&gt;0,INDEX('CAMD Facility Data 2023'!$AA$2:$AE$10000,MATCH(Z3649,'CAMD Facility Data 2023'!$AE$2:$AE$10000,0),1),"")</f>
        <v>42739</v>
      </c>
      <c r="AB3649" s="5">
        <f>IF(INDEX('CAMD Facility Data 2023'!$AC$2:$AE$10000,MATCH(Z3649,'CAMD Facility Data 2023'!$AE$2:$AE$10000,0),1)&gt;0,INDEX('CAMD Facility Data 2023'!$AC$2:$AE$10000,MATCH(Z3649,'CAMD Facility Data 2023'!$AE$2:$AE$10000,0),1),"")</f>
        <v>921.7</v>
      </c>
      <c r="AC3649" s="1" t="str">
        <f>IF(INDEX('CAMD Facility Data 2023'!$AE$2:$AG$10000,MATCH(Z3649,'CAMD Facility Data 2023'!$AE$2:$AE$10000,0),3)&gt;0,INDEX('CAMD Facility Data 2023'!$AE$2:$AG$10000,MATCH(Z3649,'CAMD Facility Data 2023'!$AE$2:$AE$10000,0),3),"")</f>
        <v/>
      </c>
      <c r="AD3649" s="20">
        <f t="shared" si="169"/>
        <v>1.0169534761513619</v>
      </c>
      <c r="AE3649" s="25">
        <f t="shared" si="170"/>
        <v>6.5624109807022254E-2</v>
      </c>
    </row>
    <row r="3650" spans="1:31" x14ac:dyDescent="0.2">
      <c r="A3650" s="1" t="s">
        <v>383</v>
      </c>
      <c r="B3650" s="1" t="s">
        <v>8079</v>
      </c>
      <c r="C3650" s="1">
        <v>60264</v>
      </c>
      <c r="D3650" s="1" t="s">
        <v>8088</v>
      </c>
      <c r="F3650" s="1">
        <v>2023</v>
      </c>
      <c r="G3650" s="5">
        <v>824</v>
      </c>
      <c r="H3650" s="5">
        <v>729.88</v>
      </c>
      <c r="I3650" s="5">
        <v>39135.07</v>
      </c>
      <c r="K3650" s="5">
        <v>0.155</v>
      </c>
      <c r="L3650" s="5">
        <v>8.9999999999999998E-4</v>
      </c>
      <c r="M3650" s="5">
        <v>31116.6</v>
      </c>
      <c r="N3650" s="6">
        <v>5.8900000000000001E-2</v>
      </c>
      <c r="O3650" s="5">
        <v>17.452999999999999</v>
      </c>
      <c r="P3650" s="6">
        <v>0.12470000000000001</v>
      </c>
      <c r="Q3650" s="5">
        <v>527761.5</v>
      </c>
      <c r="R3650" s="1" t="s">
        <v>44</v>
      </c>
      <c r="T3650" s="1" t="s">
        <v>93</v>
      </c>
      <c r="V3650" s="1" t="s">
        <v>140</v>
      </c>
      <c r="Y3650" s="1" t="s">
        <v>346</v>
      </c>
      <c r="Z3650" s="1" t="str">
        <f t="shared" si="168"/>
        <v>60264 BCGT4</v>
      </c>
      <c r="AA3650" s="3">
        <f>IF(INDEX('CAMD Facility Data 2023'!$AA$2:$AE$10000,MATCH(Z3650,'CAMD Facility Data 2023'!$AE$2:$AE$10000,0),1)&gt;0,INDEX('CAMD Facility Data 2023'!$AA$2:$AE$10000,MATCH(Z3650,'CAMD Facility Data 2023'!$AE$2:$AE$10000,0),1),"")</f>
        <v>42740</v>
      </c>
      <c r="AB3650" s="5">
        <f>IF(INDEX('CAMD Facility Data 2023'!$AC$2:$AE$10000,MATCH(Z3650,'CAMD Facility Data 2023'!$AE$2:$AE$10000,0),1)&gt;0,INDEX('CAMD Facility Data 2023'!$AC$2:$AE$10000,MATCH(Z3650,'CAMD Facility Data 2023'!$AE$2:$AE$10000,0),1),"")</f>
        <v>921.7</v>
      </c>
      <c r="AC3650" s="1" t="str">
        <f>IF(INDEX('CAMD Facility Data 2023'!$AE$2:$AG$10000,MATCH(Z3650,'CAMD Facility Data 2023'!$AE$2:$AE$10000,0),3)&gt;0,INDEX('CAMD Facility Data 2023'!$AE$2:$AG$10000,MATCH(Z3650,'CAMD Facility Data 2023'!$AE$2:$AE$10000,0),3),"")</f>
        <v/>
      </c>
      <c r="AD3650" s="20">
        <f t="shared" si="169"/>
        <v>0.89193656738061289</v>
      </c>
      <c r="AE3650" s="25">
        <f t="shared" si="170"/>
        <v>6.5364811300143724E-2</v>
      </c>
    </row>
    <row r="3651" spans="1:31" x14ac:dyDescent="0.2">
      <c r="A3651" s="1" t="s">
        <v>383</v>
      </c>
      <c r="B3651" s="1" t="s">
        <v>8079</v>
      </c>
      <c r="C3651" s="1">
        <v>60264</v>
      </c>
      <c r="D3651" s="1" t="s">
        <v>8090</v>
      </c>
      <c r="F3651" s="1">
        <v>2023</v>
      </c>
      <c r="G3651" s="5">
        <v>839</v>
      </c>
      <c r="H3651" s="5">
        <v>745.53</v>
      </c>
      <c r="I3651" s="5">
        <v>39564.33</v>
      </c>
      <c r="K3651" s="5">
        <v>0.16</v>
      </c>
      <c r="L3651" s="5">
        <v>8.9999999999999998E-4</v>
      </c>
      <c r="M3651" s="5">
        <v>31989.4</v>
      </c>
      <c r="N3651" s="6">
        <v>5.8999999999999997E-2</v>
      </c>
      <c r="O3651" s="5">
        <v>18.797999999999998</v>
      </c>
      <c r="P3651" s="6">
        <v>0.13189999999999999</v>
      </c>
      <c r="Q3651" s="5">
        <v>541985.80000000005</v>
      </c>
      <c r="R3651" s="1" t="s">
        <v>44</v>
      </c>
      <c r="T3651" s="1" t="s">
        <v>93</v>
      </c>
      <c r="V3651" s="1" t="s">
        <v>140</v>
      </c>
      <c r="Y3651" s="1" t="s">
        <v>346</v>
      </c>
      <c r="Z3651" s="1" t="str">
        <f t="shared" ref="Z3651:Z3714" si="171">C3651&amp;" "&amp;D3651</f>
        <v>60264 BCGT5</v>
      </c>
      <c r="AA3651" s="3">
        <f>IF(INDEX('CAMD Facility Data 2023'!$AA$2:$AE$10000,MATCH(Z3651,'CAMD Facility Data 2023'!$AE$2:$AE$10000,0),1)&gt;0,INDEX('CAMD Facility Data 2023'!$AA$2:$AE$10000,MATCH(Z3651,'CAMD Facility Data 2023'!$AE$2:$AE$10000,0),1),"")</f>
        <v>42767</v>
      </c>
      <c r="AB3651" s="5">
        <f>IF(INDEX('CAMD Facility Data 2023'!$AC$2:$AE$10000,MATCH(Z3651,'CAMD Facility Data 2023'!$AE$2:$AE$10000,0),1)&gt;0,INDEX('CAMD Facility Data 2023'!$AC$2:$AE$10000,MATCH(Z3651,'CAMD Facility Data 2023'!$AE$2:$AE$10000,0),1),"")</f>
        <v>921.7</v>
      </c>
      <c r="AC3651" s="1" t="str">
        <f>IF(INDEX('CAMD Facility Data 2023'!$AE$2:$AG$10000,MATCH(Z3651,'CAMD Facility Data 2023'!$AE$2:$AE$10000,0),3)&gt;0,INDEX('CAMD Facility Data 2023'!$AE$2:$AG$10000,MATCH(Z3651,'CAMD Facility Data 2023'!$AE$2:$AE$10000,0),3),"")</f>
        <v/>
      </c>
      <c r="AD3651" s="20">
        <f t="shared" ref="AD3651:AD3714" si="172">IF(ISNUMBER(O3651*2000/I3651),O3651*2000/I3651,"")</f>
        <v>0.95024988417597367</v>
      </c>
      <c r="AE3651" s="25">
        <f t="shared" ref="AE3651:AE3714" si="173">Q3651/(AB3651*8760)</f>
        <v>6.7126532618156945E-2</v>
      </c>
    </row>
    <row r="3652" spans="1:31" x14ac:dyDescent="0.2">
      <c r="A3652" s="1" t="s">
        <v>383</v>
      </c>
      <c r="B3652" s="1" t="s">
        <v>8079</v>
      </c>
      <c r="C3652" s="1">
        <v>60264</v>
      </c>
      <c r="D3652" s="1" t="s">
        <v>8092</v>
      </c>
      <c r="F3652" s="1">
        <v>2023</v>
      </c>
      <c r="G3652" s="5">
        <v>1125</v>
      </c>
      <c r="H3652" s="5">
        <v>977.58</v>
      </c>
      <c r="I3652" s="5">
        <v>52020.72</v>
      </c>
      <c r="K3652" s="5">
        <v>0.2</v>
      </c>
      <c r="L3652" s="5">
        <v>8.9999999999999998E-4</v>
      </c>
      <c r="M3652" s="5">
        <v>40629.5</v>
      </c>
      <c r="N3652" s="6">
        <v>5.8999999999999997E-2</v>
      </c>
      <c r="O3652" s="5">
        <v>27.905000000000001</v>
      </c>
      <c r="P3652" s="6">
        <v>0.16</v>
      </c>
      <c r="Q3652" s="5">
        <v>688805.3</v>
      </c>
      <c r="R3652" s="1" t="s">
        <v>44</v>
      </c>
      <c r="T3652" s="1" t="s">
        <v>93</v>
      </c>
      <c r="V3652" s="1" t="s">
        <v>140</v>
      </c>
      <c r="Y3652" s="1" t="s">
        <v>346</v>
      </c>
      <c r="Z3652" s="1" t="str">
        <f t="shared" si="171"/>
        <v>60264 BCGT6</v>
      </c>
      <c r="AA3652" s="3">
        <f>IF(INDEX('CAMD Facility Data 2023'!$AA$2:$AE$10000,MATCH(Z3652,'CAMD Facility Data 2023'!$AE$2:$AE$10000,0),1)&gt;0,INDEX('CAMD Facility Data 2023'!$AA$2:$AE$10000,MATCH(Z3652,'CAMD Facility Data 2023'!$AE$2:$AE$10000,0),1),"")</f>
        <v>42776</v>
      </c>
      <c r="AB3652" s="5">
        <f>IF(INDEX('CAMD Facility Data 2023'!$AC$2:$AE$10000,MATCH(Z3652,'CAMD Facility Data 2023'!$AE$2:$AE$10000,0),1)&gt;0,INDEX('CAMD Facility Data 2023'!$AC$2:$AE$10000,MATCH(Z3652,'CAMD Facility Data 2023'!$AE$2:$AE$10000,0),1),"")</f>
        <v>921.7</v>
      </c>
      <c r="AC3652" s="1" t="str">
        <f>IF(INDEX('CAMD Facility Data 2023'!$AE$2:$AG$10000,MATCH(Z3652,'CAMD Facility Data 2023'!$AE$2:$AE$10000,0),3)&gt;0,INDEX('CAMD Facility Data 2023'!$AE$2:$AG$10000,MATCH(Z3652,'CAMD Facility Data 2023'!$AE$2:$AE$10000,0),3),"")</f>
        <v/>
      </c>
      <c r="AD3652" s="20">
        <f t="shared" si="172"/>
        <v>1.0728417445971528</v>
      </c>
      <c r="AE3652" s="25">
        <f t="shared" si="173"/>
        <v>8.5310558760043856E-2</v>
      </c>
    </row>
    <row r="3653" spans="1:31" x14ac:dyDescent="0.2">
      <c r="A3653" s="1" t="s">
        <v>680</v>
      </c>
      <c r="B3653" s="1" t="s">
        <v>8094</v>
      </c>
      <c r="C3653" s="1">
        <v>60302</v>
      </c>
      <c r="D3653" s="1">
        <v>11</v>
      </c>
      <c r="F3653" s="1">
        <v>2023</v>
      </c>
      <c r="G3653" s="5">
        <v>7426</v>
      </c>
      <c r="H3653" s="5">
        <v>7409.96</v>
      </c>
      <c r="I3653" s="5">
        <v>2294096.2799999998</v>
      </c>
      <c r="K3653" s="5">
        <v>4.968</v>
      </c>
      <c r="L3653" s="5">
        <v>1E-3</v>
      </c>
      <c r="M3653" s="5">
        <v>984076.22900000005</v>
      </c>
      <c r="N3653" s="6">
        <v>5.8999999999999997E-2</v>
      </c>
      <c r="O3653" s="5">
        <v>47.261000000000003</v>
      </c>
      <c r="P3653" s="6">
        <v>5.7999999999999996E-3</v>
      </c>
      <c r="Q3653" s="5">
        <v>16559015.039999999</v>
      </c>
      <c r="R3653" s="1" t="s">
        <v>44</v>
      </c>
      <c r="T3653" s="1" t="s">
        <v>71</v>
      </c>
      <c r="V3653" s="1" t="s">
        <v>223</v>
      </c>
      <c r="Y3653" s="1" t="s">
        <v>1515</v>
      </c>
      <c r="Z3653" s="1" t="str">
        <f t="shared" si="171"/>
        <v>60302 11</v>
      </c>
      <c r="AA3653" s="3">
        <f>IF(INDEX('CAMD Facility Data 2023'!$AA$2:$AE$10000,MATCH(Z3653,'CAMD Facility Data 2023'!$AE$2:$AE$10000,0),1)&gt;0,INDEX('CAMD Facility Data 2023'!$AA$2:$AE$10000,MATCH(Z3653,'CAMD Facility Data 2023'!$AE$2:$AE$10000,0),1),"")</f>
        <v>43238</v>
      </c>
      <c r="AB3653" s="5">
        <f>IF(INDEX('CAMD Facility Data 2023'!$AC$2:$AE$10000,MATCH(Z3653,'CAMD Facility Data 2023'!$AE$2:$AE$10000,0),1)&gt;0,INDEX('CAMD Facility Data 2023'!$AC$2:$AE$10000,MATCH(Z3653,'CAMD Facility Data 2023'!$AE$2:$AE$10000,0),1),"")</f>
        <v>3100</v>
      </c>
      <c r="AC3653" s="1" t="str">
        <f>IF(INDEX('CAMD Facility Data 2023'!$AE$2:$AG$10000,MATCH(Z3653,'CAMD Facility Data 2023'!$AE$2:$AE$10000,0),3)&gt;0,INDEX('CAMD Facility Data 2023'!$AE$2:$AG$10000,MATCH(Z3653,'CAMD Facility Data 2023'!$AE$2:$AE$10000,0),3),"")</f>
        <v>Y</v>
      </c>
      <c r="AD3653" s="20">
        <f t="shared" si="172"/>
        <v>4.1202281187605605E-2</v>
      </c>
      <c r="AE3653" s="25">
        <f t="shared" si="173"/>
        <v>0.60977371630578869</v>
      </c>
    </row>
    <row r="3654" spans="1:31" x14ac:dyDescent="0.2">
      <c r="A3654" s="1" t="s">
        <v>680</v>
      </c>
      <c r="B3654" s="1" t="s">
        <v>8094</v>
      </c>
      <c r="C3654" s="1">
        <v>60302</v>
      </c>
      <c r="D3654" s="1">
        <v>12</v>
      </c>
      <c r="F3654" s="1">
        <v>2023</v>
      </c>
      <c r="G3654" s="5">
        <v>6423</v>
      </c>
      <c r="H3654" s="5">
        <v>6412.09</v>
      </c>
      <c r="I3654" s="5">
        <v>1961528.58</v>
      </c>
      <c r="K3654" s="5">
        <v>4.2309999999999999</v>
      </c>
      <c r="L3654" s="5">
        <v>1E-3</v>
      </c>
      <c r="M3654" s="5">
        <v>838186.82400000002</v>
      </c>
      <c r="N3654" s="6">
        <v>5.8999999999999997E-2</v>
      </c>
      <c r="O3654" s="5">
        <v>40.533999999999999</v>
      </c>
      <c r="P3654" s="6">
        <v>5.7999999999999996E-3</v>
      </c>
      <c r="Q3654" s="5">
        <v>14104125.089</v>
      </c>
      <c r="R3654" s="1" t="s">
        <v>44</v>
      </c>
      <c r="T3654" s="1" t="s">
        <v>71</v>
      </c>
      <c r="V3654" s="1" t="s">
        <v>1606</v>
      </c>
      <c r="Y3654" s="1" t="s">
        <v>1515</v>
      </c>
      <c r="Z3654" s="1" t="str">
        <f t="shared" si="171"/>
        <v>60302 12</v>
      </c>
      <c r="AA3654" s="3">
        <f>IF(INDEX('CAMD Facility Data 2023'!$AA$2:$AE$10000,MATCH(Z3654,'CAMD Facility Data 2023'!$AE$2:$AE$10000,0),1)&gt;0,INDEX('CAMD Facility Data 2023'!$AA$2:$AE$10000,MATCH(Z3654,'CAMD Facility Data 2023'!$AE$2:$AE$10000,0),1),"")</f>
        <v>43253</v>
      </c>
      <c r="AB3654" s="5">
        <f>IF(INDEX('CAMD Facility Data 2023'!$AC$2:$AE$10000,MATCH(Z3654,'CAMD Facility Data 2023'!$AE$2:$AE$10000,0),1)&gt;0,INDEX('CAMD Facility Data 2023'!$AC$2:$AE$10000,MATCH(Z3654,'CAMD Facility Data 2023'!$AE$2:$AE$10000,0),1),"")</f>
        <v>3100</v>
      </c>
      <c r="AC3654" s="1" t="str">
        <f>IF(INDEX('CAMD Facility Data 2023'!$AE$2:$AG$10000,MATCH(Z3654,'CAMD Facility Data 2023'!$AE$2:$AE$10000,0),3)&gt;0,INDEX('CAMD Facility Data 2023'!$AE$2:$AG$10000,MATCH(Z3654,'CAMD Facility Data 2023'!$AE$2:$AE$10000,0),3),"")</f>
        <v/>
      </c>
      <c r="AD3654" s="20">
        <f t="shared" si="172"/>
        <v>4.1328992514603077E-2</v>
      </c>
      <c r="AE3654" s="25">
        <f t="shared" si="173"/>
        <v>0.51937417473118275</v>
      </c>
    </row>
    <row r="3655" spans="1:31" x14ac:dyDescent="0.2">
      <c r="A3655" s="1" t="s">
        <v>921</v>
      </c>
      <c r="B3655" s="1" t="s">
        <v>8099</v>
      </c>
      <c r="C3655" s="1">
        <v>60340</v>
      </c>
      <c r="D3655" s="1" t="s">
        <v>8100</v>
      </c>
      <c r="F3655" s="1">
        <v>2023</v>
      </c>
      <c r="G3655" s="5">
        <v>8103</v>
      </c>
      <c r="H3655" s="5">
        <v>8086.84</v>
      </c>
      <c r="J3655" s="5">
        <v>4291986.49</v>
      </c>
      <c r="K3655" s="5">
        <v>5.6449999999999996</v>
      </c>
      <c r="L3655" s="5">
        <v>2.0999999999999999E-3</v>
      </c>
      <c r="M3655" s="5">
        <v>768218.23</v>
      </c>
      <c r="N3655" s="6">
        <v>0.1087</v>
      </c>
      <c r="O3655" s="5">
        <v>204.364</v>
      </c>
      <c r="P3655" s="6">
        <v>6.1600000000000002E-2</v>
      </c>
      <c r="Q3655" s="5">
        <v>7022664.949</v>
      </c>
      <c r="R3655" s="1" t="s">
        <v>657</v>
      </c>
      <c r="S3655" s="1" t="s">
        <v>4870</v>
      </c>
      <c r="T3655" s="1" t="s">
        <v>885</v>
      </c>
      <c r="U3655" s="1" t="s">
        <v>1009</v>
      </c>
      <c r="V3655" s="1" t="s">
        <v>669</v>
      </c>
      <c r="W3655" s="1" t="s">
        <v>232</v>
      </c>
      <c r="Y3655" s="1" t="s">
        <v>952</v>
      </c>
      <c r="Z3655" s="1" t="str">
        <f t="shared" si="171"/>
        <v>60340 B0004</v>
      </c>
      <c r="AA3655" s="3">
        <f>IF(INDEX('CAMD Facility Data 2023'!$AA$2:$AE$10000,MATCH(Z3655,'CAMD Facility Data 2023'!$AE$2:$AE$10000,0),1)&gt;0,INDEX('CAMD Facility Data 2023'!$AA$2:$AE$10000,MATCH(Z3655,'CAMD Facility Data 2023'!$AE$2:$AE$10000,0),1),"")</f>
        <v>42875</v>
      </c>
      <c r="AB3655" s="5">
        <f>IF(INDEX('CAMD Facility Data 2023'!$AC$2:$AE$10000,MATCH(Z3655,'CAMD Facility Data 2023'!$AE$2:$AE$10000,0),1)&gt;0,INDEX('CAMD Facility Data 2023'!$AC$2:$AE$10000,MATCH(Z3655,'CAMD Facility Data 2023'!$AE$2:$AE$10000,0),1),"")</f>
        <v>1209</v>
      </c>
      <c r="AC3655" s="1" t="str">
        <f>IF(INDEX('CAMD Facility Data 2023'!$AE$2:$AG$10000,MATCH(Z3655,'CAMD Facility Data 2023'!$AE$2:$AE$10000,0),3)&gt;0,INDEX('CAMD Facility Data 2023'!$AE$2:$AG$10000,MATCH(Z3655,'CAMD Facility Data 2023'!$AE$2:$AE$10000,0),3),"")</f>
        <v>Y</v>
      </c>
      <c r="AD3655" s="20" t="str">
        <f t="shared" si="172"/>
        <v/>
      </c>
      <c r="AE3655" s="25">
        <f t="shared" si="173"/>
        <v>0.66308856983959719</v>
      </c>
    </row>
    <row r="3656" spans="1:31" x14ac:dyDescent="0.2">
      <c r="A3656" s="1" t="s">
        <v>304</v>
      </c>
      <c r="B3656" s="1" t="s">
        <v>8104</v>
      </c>
      <c r="C3656" s="1">
        <v>60345</v>
      </c>
      <c r="D3656" s="1" t="s">
        <v>8105</v>
      </c>
      <c r="F3656" s="1">
        <v>2023</v>
      </c>
      <c r="G3656" s="5">
        <v>4944</v>
      </c>
      <c r="H3656" s="5">
        <v>4909.75</v>
      </c>
      <c r="I3656" s="5">
        <v>2534811.77</v>
      </c>
      <c r="K3656" s="5">
        <v>4.5229999999999997</v>
      </c>
      <c r="L3656" s="5">
        <v>1E-3</v>
      </c>
      <c r="M3656" s="5">
        <v>895112.61199999996</v>
      </c>
      <c r="N3656" s="6">
        <v>5.8999999999999997E-2</v>
      </c>
      <c r="O3656" s="5">
        <v>51.505000000000003</v>
      </c>
      <c r="P3656" s="6">
        <v>7.3000000000000001E-3</v>
      </c>
      <c r="Q3656" s="5">
        <v>15056982.713</v>
      </c>
      <c r="R3656" s="1" t="s">
        <v>44</v>
      </c>
      <c r="S3656" s="1" t="s">
        <v>450</v>
      </c>
      <c r="T3656" s="1" t="s">
        <v>71</v>
      </c>
      <c r="V3656" s="1" t="s">
        <v>64</v>
      </c>
      <c r="Y3656" s="1" t="s">
        <v>312</v>
      </c>
      <c r="Z3656" s="1" t="str">
        <f t="shared" si="171"/>
        <v>60345 OCEC1A</v>
      </c>
      <c r="AA3656" s="3">
        <f>IF(INDEX('CAMD Facility Data 2023'!$AA$2:$AE$10000,MATCH(Z3656,'CAMD Facility Data 2023'!$AE$2:$AE$10000,0),1)&gt;0,INDEX('CAMD Facility Data 2023'!$AA$2:$AE$10000,MATCH(Z3656,'CAMD Facility Data 2023'!$AE$2:$AE$10000,0),1),"")</f>
        <v>43366</v>
      </c>
      <c r="AB3656" s="5">
        <f>IF(INDEX('CAMD Facility Data 2023'!$AC$2:$AE$10000,MATCH(Z3656,'CAMD Facility Data 2023'!$AE$2:$AE$10000,0),1)&gt;0,INDEX('CAMD Facility Data 2023'!$AC$2:$AE$10000,MATCH(Z3656,'CAMD Facility Data 2023'!$AE$2:$AE$10000,0),1),"")</f>
        <v>3681</v>
      </c>
      <c r="AC3656" s="1" t="str">
        <f>IF(INDEX('CAMD Facility Data 2023'!$AE$2:$AG$10000,MATCH(Z3656,'CAMD Facility Data 2023'!$AE$2:$AE$10000,0),3)&gt;0,INDEX('CAMD Facility Data 2023'!$AE$2:$AG$10000,MATCH(Z3656,'CAMD Facility Data 2023'!$AE$2:$AE$10000,0),3),"")</f>
        <v>Y</v>
      </c>
      <c r="AD3656" s="20">
        <f t="shared" si="172"/>
        <v>4.0638125962307647E-2</v>
      </c>
      <c r="AE3656" s="25">
        <f t="shared" si="173"/>
        <v>0.46694747162089911</v>
      </c>
    </row>
    <row r="3657" spans="1:31" x14ac:dyDescent="0.2">
      <c r="A3657" s="1" t="s">
        <v>304</v>
      </c>
      <c r="B3657" s="1" t="s">
        <v>8104</v>
      </c>
      <c r="C3657" s="1">
        <v>60345</v>
      </c>
      <c r="D3657" s="1" t="s">
        <v>8109</v>
      </c>
      <c r="F3657" s="1">
        <v>2023</v>
      </c>
      <c r="G3657" s="5">
        <v>7808</v>
      </c>
      <c r="H3657" s="5">
        <v>7771.8</v>
      </c>
      <c r="I3657" s="5">
        <v>3987599.29</v>
      </c>
      <c r="K3657" s="5">
        <v>7.3239999999999998</v>
      </c>
      <c r="L3657" s="5">
        <v>1E-3</v>
      </c>
      <c r="M3657" s="5">
        <v>1449960.507</v>
      </c>
      <c r="N3657" s="6">
        <v>5.8999999999999997E-2</v>
      </c>
      <c r="O3657" s="5">
        <v>83.756</v>
      </c>
      <c r="P3657" s="6">
        <v>7.1999999999999998E-3</v>
      </c>
      <c r="Q3657" s="5">
        <v>24393746.302000001</v>
      </c>
      <c r="R3657" s="1" t="s">
        <v>44</v>
      </c>
      <c r="S3657" s="1" t="s">
        <v>94</v>
      </c>
      <c r="T3657" s="1" t="s">
        <v>71</v>
      </c>
      <c r="V3657" s="1" t="s">
        <v>64</v>
      </c>
      <c r="Y3657" s="1" t="s">
        <v>312</v>
      </c>
      <c r="Z3657" s="1" t="str">
        <f t="shared" si="171"/>
        <v>60345 OCEC1B</v>
      </c>
      <c r="AA3657" s="3">
        <f>IF(INDEX('CAMD Facility Data 2023'!$AA$2:$AE$10000,MATCH(Z3657,'CAMD Facility Data 2023'!$AE$2:$AE$10000,0),1)&gt;0,INDEX('CAMD Facility Data 2023'!$AA$2:$AE$10000,MATCH(Z3657,'CAMD Facility Data 2023'!$AE$2:$AE$10000,0),1),"")</f>
        <v>43383</v>
      </c>
      <c r="AB3657" s="5">
        <f>IF(INDEX('CAMD Facility Data 2023'!$AC$2:$AE$10000,MATCH(Z3657,'CAMD Facility Data 2023'!$AE$2:$AE$10000,0),1)&gt;0,INDEX('CAMD Facility Data 2023'!$AC$2:$AE$10000,MATCH(Z3657,'CAMD Facility Data 2023'!$AE$2:$AE$10000,0),1),"")</f>
        <v>3681</v>
      </c>
      <c r="AC3657" s="1" t="str">
        <f>IF(INDEX('CAMD Facility Data 2023'!$AE$2:$AG$10000,MATCH(Z3657,'CAMD Facility Data 2023'!$AE$2:$AE$10000,0),3)&gt;0,INDEX('CAMD Facility Data 2023'!$AE$2:$AG$10000,MATCH(Z3657,'CAMD Facility Data 2023'!$AE$2:$AE$10000,0),3),"")</f>
        <v>Y</v>
      </c>
      <c r="AD3657" s="20">
        <f t="shared" si="172"/>
        <v>4.2008232978695312E-2</v>
      </c>
      <c r="AE3657" s="25">
        <f t="shared" si="173"/>
        <v>0.75649938478351753</v>
      </c>
    </row>
    <row r="3658" spans="1:31" x14ac:dyDescent="0.2">
      <c r="A3658" s="1" t="s">
        <v>304</v>
      </c>
      <c r="B3658" s="1" t="s">
        <v>8104</v>
      </c>
      <c r="C3658" s="1">
        <v>60345</v>
      </c>
      <c r="D3658" s="1" t="s">
        <v>8111</v>
      </c>
      <c r="F3658" s="1">
        <v>2023</v>
      </c>
      <c r="G3658" s="5">
        <v>8124</v>
      </c>
      <c r="H3658" s="5">
        <v>8106.95</v>
      </c>
      <c r="I3658" s="5">
        <v>4207349.4400000004</v>
      </c>
      <c r="K3658" s="5">
        <v>7.6280000000000001</v>
      </c>
      <c r="L3658" s="5">
        <v>1E-3</v>
      </c>
      <c r="M3658" s="5">
        <v>1511068.652</v>
      </c>
      <c r="N3658" s="6">
        <v>5.8999999999999997E-2</v>
      </c>
      <c r="O3658" s="5">
        <v>87.927000000000007</v>
      </c>
      <c r="P3658" s="6">
        <v>7.1000000000000004E-3</v>
      </c>
      <c r="Q3658" s="5">
        <v>25426662.234999999</v>
      </c>
      <c r="R3658" s="1" t="s">
        <v>44</v>
      </c>
      <c r="S3658" s="1" t="s">
        <v>94</v>
      </c>
      <c r="T3658" s="1" t="s">
        <v>71</v>
      </c>
      <c r="V3658" s="1" t="s">
        <v>64</v>
      </c>
      <c r="Y3658" s="1" t="s">
        <v>312</v>
      </c>
      <c r="Z3658" s="1" t="str">
        <f t="shared" si="171"/>
        <v>60345 OCEC1C</v>
      </c>
      <c r="AA3658" s="3">
        <f>IF(INDEX('CAMD Facility Data 2023'!$AA$2:$AE$10000,MATCH(Z3658,'CAMD Facility Data 2023'!$AE$2:$AE$10000,0),1)&gt;0,INDEX('CAMD Facility Data 2023'!$AA$2:$AE$10000,MATCH(Z3658,'CAMD Facility Data 2023'!$AE$2:$AE$10000,0),1),"")</f>
        <v>43403</v>
      </c>
      <c r="AB3658" s="5">
        <f>IF(INDEX('CAMD Facility Data 2023'!$AC$2:$AE$10000,MATCH(Z3658,'CAMD Facility Data 2023'!$AE$2:$AE$10000,0),1)&gt;0,INDEX('CAMD Facility Data 2023'!$AC$2:$AE$10000,MATCH(Z3658,'CAMD Facility Data 2023'!$AE$2:$AE$10000,0),1),"")</f>
        <v>3681</v>
      </c>
      <c r="AC3658" s="1" t="str">
        <f>IF(INDEX('CAMD Facility Data 2023'!$AE$2:$AG$10000,MATCH(Z3658,'CAMD Facility Data 2023'!$AE$2:$AE$10000,0),3)&gt;0,INDEX('CAMD Facility Data 2023'!$AE$2:$AG$10000,MATCH(Z3658,'CAMD Facility Data 2023'!$AE$2:$AE$10000,0),3),"")</f>
        <v>Y</v>
      </c>
      <c r="AD3658" s="20">
        <f t="shared" si="172"/>
        <v>4.1796861066049219E-2</v>
      </c>
      <c r="AE3658" s="25">
        <f t="shared" si="173"/>
        <v>0.78853219590542079</v>
      </c>
    </row>
    <row r="3659" spans="1:31" x14ac:dyDescent="0.2">
      <c r="A3659" s="1" t="s">
        <v>2430</v>
      </c>
      <c r="B3659" s="1" t="s">
        <v>8113</v>
      </c>
      <c r="C3659" s="1">
        <v>60356</v>
      </c>
      <c r="D3659" s="1">
        <v>1</v>
      </c>
      <c r="F3659" s="1">
        <v>2023</v>
      </c>
      <c r="G3659" s="5">
        <v>7985</v>
      </c>
      <c r="H3659" s="5">
        <v>7978.45</v>
      </c>
      <c r="I3659" s="5">
        <v>4472202.45</v>
      </c>
      <c r="K3659" s="5">
        <v>8.5370000000000008</v>
      </c>
      <c r="L3659" s="5">
        <v>1E-3</v>
      </c>
      <c r="M3659" s="5">
        <v>1691061.5859999999</v>
      </c>
      <c r="N3659" s="6">
        <v>5.8999999999999997E-2</v>
      </c>
      <c r="O3659" s="5">
        <v>85.224000000000004</v>
      </c>
      <c r="P3659" s="6">
        <v>6.0000000000000001E-3</v>
      </c>
      <c r="Q3659" s="5">
        <v>28455404.252999999</v>
      </c>
      <c r="R3659" s="1" t="s">
        <v>44</v>
      </c>
      <c r="T3659" s="1" t="s">
        <v>71</v>
      </c>
      <c r="V3659" s="1" t="s">
        <v>64</v>
      </c>
      <c r="Y3659" s="1" t="s">
        <v>6843</v>
      </c>
      <c r="Z3659" s="1" t="str">
        <f t="shared" si="171"/>
        <v>60356 1</v>
      </c>
      <c r="AA3659" s="3">
        <f>IF(INDEX('CAMD Facility Data 2023'!$AA$2:$AE$10000,MATCH(Z3659,'CAMD Facility Data 2023'!$AE$2:$AE$10000,0),1)&gt;0,INDEX('CAMD Facility Data 2023'!$AA$2:$AE$10000,MATCH(Z3659,'CAMD Facility Data 2023'!$AE$2:$AE$10000,0),1),"")</f>
        <v>44361</v>
      </c>
      <c r="AB3659" s="5">
        <f>IF(INDEX('CAMD Facility Data 2023'!$AC$2:$AE$10000,MATCH(Z3659,'CAMD Facility Data 2023'!$AE$2:$AE$10000,0),1)&gt;0,INDEX('CAMD Facility Data 2023'!$AC$2:$AE$10000,MATCH(Z3659,'CAMD Facility Data 2023'!$AE$2:$AE$10000,0),1),"")</f>
        <v>4250</v>
      </c>
      <c r="AC3659" s="1" t="str">
        <f>IF(INDEX('CAMD Facility Data 2023'!$AE$2:$AG$10000,MATCH(Z3659,'CAMD Facility Data 2023'!$AE$2:$AE$10000,0),3)&gt;0,INDEX('CAMD Facility Data 2023'!$AE$2:$AG$10000,MATCH(Z3659,'CAMD Facility Data 2023'!$AE$2:$AE$10000,0),3),"")</f>
        <v>Y</v>
      </c>
      <c r="AD3659" s="20">
        <f t="shared" si="172"/>
        <v>3.8112764774322773E-2</v>
      </c>
      <c r="AE3659" s="25">
        <f t="shared" si="173"/>
        <v>0.7643138397260274</v>
      </c>
    </row>
    <row r="3660" spans="1:31" x14ac:dyDescent="0.2">
      <c r="A3660" s="1" t="s">
        <v>2430</v>
      </c>
      <c r="B3660" s="1" t="s">
        <v>8113</v>
      </c>
      <c r="C3660" s="1">
        <v>60356</v>
      </c>
      <c r="D3660" s="1">
        <v>2</v>
      </c>
      <c r="F3660" s="1">
        <v>2023</v>
      </c>
      <c r="G3660" s="5">
        <v>7498</v>
      </c>
      <c r="H3660" s="5">
        <v>7489.22</v>
      </c>
      <c r="I3660" s="5">
        <v>4186774.73</v>
      </c>
      <c r="K3660" s="5">
        <v>7.9779999999999998</v>
      </c>
      <c r="L3660" s="5">
        <v>1E-3</v>
      </c>
      <c r="M3660" s="5">
        <v>1580361.4779999999</v>
      </c>
      <c r="N3660" s="6">
        <v>5.8999999999999997E-2</v>
      </c>
      <c r="O3660" s="5">
        <v>79.774000000000001</v>
      </c>
      <c r="P3660" s="6">
        <v>6.0000000000000001E-3</v>
      </c>
      <c r="Q3660" s="5">
        <v>26592662.506999999</v>
      </c>
      <c r="R3660" s="1" t="s">
        <v>44</v>
      </c>
      <c r="T3660" s="1" t="s">
        <v>71</v>
      </c>
      <c r="V3660" s="1" t="s">
        <v>64</v>
      </c>
      <c r="Y3660" s="1" t="s">
        <v>6843</v>
      </c>
      <c r="Z3660" s="1" t="str">
        <f t="shared" si="171"/>
        <v>60356 2</v>
      </c>
      <c r="AA3660" s="3">
        <f>IF(INDEX('CAMD Facility Data 2023'!$AA$2:$AE$10000,MATCH(Z3660,'CAMD Facility Data 2023'!$AE$2:$AE$10000,0),1)&gt;0,INDEX('CAMD Facility Data 2023'!$AA$2:$AE$10000,MATCH(Z3660,'CAMD Facility Data 2023'!$AE$2:$AE$10000,0),1),"")</f>
        <v>44395</v>
      </c>
      <c r="AB3660" s="5">
        <f>IF(INDEX('CAMD Facility Data 2023'!$AC$2:$AE$10000,MATCH(Z3660,'CAMD Facility Data 2023'!$AE$2:$AE$10000,0),1)&gt;0,INDEX('CAMD Facility Data 2023'!$AC$2:$AE$10000,MATCH(Z3660,'CAMD Facility Data 2023'!$AE$2:$AE$10000,0),1),"")</f>
        <v>4250</v>
      </c>
      <c r="AC3660" s="1" t="str">
        <f>IF(INDEX('CAMD Facility Data 2023'!$AE$2:$AG$10000,MATCH(Z3660,'CAMD Facility Data 2023'!$AE$2:$AE$10000,0),3)&gt;0,INDEX('CAMD Facility Data 2023'!$AE$2:$AG$10000,MATCH(Z3660,'CAMD Facility Data 2023'!$AE$2:$AE$10000,0),3),"")</f>
        <v>Y</v>
      </c>
      <c r="AD3660" s="20">
        <f t="shared" si="172"/>
        <v>3.8107615118810084E-2</v>
      </c>
      <c r="AE3660" s="25">
        <f t="shared" si="173"/>
        <v>0.71428048635509001</v>
      </c>
    </row>
    <row r="3661" spans="1:31" x14ac:dyDescent="0.2">
      <c r="A3661" s="1" t="s">
        <v>2584</v>
      </c>
      <c r="B3661" s="1" t="s">
        <v>8119</v>
      </c>
      <c r="C3661" s="1">
        <v>60357</v>
      </c>
      <c r="D3661" s="1">
        <v>1</v>
      </c>
      <c r="F3661" s="1">
        <v>2023</v>
      </c>
      <c r="G3661" s="5">
        <v>7890</v>
      </c>
      <c r="H3661" s="5">
        <v>7883.22</v>
      </c>
      <c r="I3661" s="5">
        <v>3638850.93</v>
      </c>
      <c r="K3661" s="5">
        <v>7.0359999999999996</v>
      </c>
      <c r="L3661" s="5">
        <v>1E-3</v>
      </c>
      <c r="M3661" s="5">
        <v>1393777.79</v>
      </c>
      <c r="N3661" s="6">
        <v>5.8999999999999997E-2</v>
      </c>
      <c r="O3661" s="5">
        <v>56.018999999999998</v>
      </c>
      <c r="P3661" s="6">
        <v>4.7999999999999996E-3</v>
      </c>
      <c r="Q3661" s="5">
        <v>23452974.061999999</v>
      </c>
      <c r="R3661" s="1" t="s">
        <v>44</v>
      </c>
      <c r="T3661" s="1" t="s">
        <v>71</v>
      </c>
      <c r="V3661" s="1" t="s">
        <v>64</v>
      </c>
      <c r="Y3661" s="1" t="s">
        <v>1515</v>
      </c>
      <c r="Z3661" s="1" t="str">
        <f t="shared" si="171"/>
        <v>60357 1</v>
      </c>
      <c r="AA3661" s="3">
        <f>IF(INDEX('CAMD Facility Data 2023'!$AA$2:$AE$10000,MATCH(Z3661,'CAMD Facility Data 2023'!$AE$2:$AE$10000,0),1)&gt;0,INDEX('CAMD Facility Data 2023'!$AA$2:$AE$10000,MATCH(Z3661,'CAMD Facility Data 2023'!$AE$2:$AE$10000,0),1),"")</f>
        <v>43162</v>
      </c>
      <c r="AB3661" s="5">
        <f>IF(INDEX('CAMD Facility Data 2023'!$AC$2:$AE$10000,MATCH(Z3661,'CAMD Facility Data 2023'!$AE$2:$AE$10000,0),1)&gt;0,INDEX('CAMD Facility Data 2023'!$AC$2:$AE$10000,MATCH(Z3661,'CAMD Facility Data 2023'!$AE$2:$AE$10000,0),1),"")</f>
        <v>3304</v>
      </c>
      <c r="AC3661" s="1" t="str">
        <f>IF(INDEX('CAMD Facility Data 2023'!$AE$2:$AG$10000,MATCH(Z3661,'CAMD Facility Data 2023'!$AE$2:$AE$10000,0),3)&gt;0,INDEX('CAMD Facility Data 2023'!$AE$2:$AG$10000,MATCH(Z3661,'CAMD Facility Data 2023'!$AE$2:$AE$10000,0),3),"")</f>
        <v>Y</v>
      </c>
      <c r="AD3661" s="20">
        <f t="shared" si="172"/>
        <v>3.0789389880282892E-2</v>
      </c>
      <c r="AE3661" s="25">
        <f t="shared" si="173"/>
        <v>0.8103148135786703</v>
      </c>
    </row>
    <row r="3662" spans="1:31" x14ac:dyDescent="0.2">
      <c r="A3662" s="1" t="s">
        <v>2584</v>
      </c>
      <c r="B3662" s="1" t="s">
        <v>8119</v>
      </c>
      <c r="C3662" s="1">
        <v>60357</v>
      </c>
      <c r="D3662" s="1">
        <v>2</v>
      </c>
      <c r="F3662" s="1">
        <v>2023</v>
      </c>
      <c r="G3662" s="5">
        <v>7578</v>
      </c>
      <c r="H3662" s="5">
        <v>7560.61</v>
      </c>
      <c r="I3662" s="5">
        <v>3565899.36</v>
      </c>
      <c r="K3662" s="5">
        <v>6.8659999999999997</v>
      </c>
      <c r="L3662" s="5">
        <v>1E-3</v>
      </c>
      <c r="M3662" s="5">
        <v>1360069.2849999999</v>
      </c>
      <c r="N3662" s="6">
        <v>5.8999999999999997E-2</v>
      </c>
      <c r="O3662" s="5">
        <v>60.578000000000003</v>
      </c>
      <c r="P3662" s="6">
        <v>5.3E-3</v>
      </c>
      <c r="Q3662" s="5">
        <v>22885730.776999999</v>
      </c>
      <c r="R3662" s="1" t="s">
        <v>44</v>
      </c>
      <c r="T3662" s="1" t="s">
        <v>71</v>
      </c>
      <c r="V3662" s="1" t="s">
        <v>64</v>
      </c>
      <c r="Y3662" s="1" t="s">
        <v>1515</v>
      </c>
      <c r="Z3662" s="1" t="str">
        <f t="shared" si="171"/>
        <v>60357 2</v>
      </c>
      <c r="AA3662" s="3">
        <f>IF(INDEX('CAMD Facility Data 2023'!$AA$2:$AE$10000,MATCH(Z3662,'CAMD Facility Data 2023'!$AE$2:$AE$10000,0),1)&gt;0,INDEX('CAMD Facility Data 2023'!$AA$2:$AE$10000,MATCH(Z3662,'CAMD Facility Data 2023'!$AE$2:$AE$10000,0),1),"")</f>
        <v>43282</v>
      </c>
      <c r="AB3662" s="5">
        <f>IF(INDEX('CAMD Facility Data 2023'!$AC$2:$AE$10000,MATCH(Z3662,'CAMD Facility Data 2023'!$AE$2:$AE$10000,0),1)&gt;0,INDEX('CAMD Facility Data 2023'!$AC$2:$AE$10000,MATCH(Z3662,'CAMD Facility Data 2023'!$AE$2:$AE$10000,0),1),"")</f>
        <v>3304</v>
      </c>
      <c r="AC3662" s="1" t="str">
        <f>IF(INDEX('CAMD Facility Data 2023'!$AE$2:$AG$10000,MATCH(Z3662,'CAMD Facility Data 2023'!$AE$2:$AE$10000,0),3)&gt;0,INDEX('CAMD Facility Data 2023'!$AE$2:$AG$10000,MATCH(Z3662,'CAMD Facility Data 2023'!$AE$2:$AE$10000,0),3),"")</f>
        <v>Y</v>
      </c>
      <c r="AD3662" s="20">
        <f t="shared" si="172"/>
        <v>3.3976281372113656E-2</v>
      </c>
      <c r="AE3662" s="25">
        <f t="shared" si="173"/>
        <v>0.79071620593413816</v>
      </c>
    </row>
    <row r="3663" spans="1:31" x14ac:dyDescent="0.2">
      <c r="A3663" s="1" t="s">
        <v>2584</v>
      </c>
      <c r="B3663" s="1" t="s">
        <v>8119</v>
      </c>
      <c r="C3663" s="1">
        <v>60357</v>
      </c>
      <c r="D3663" s="1">
        <v>3</v>
      </c>
      <c r="F3663" s="1">
        <v>2023</v>
      </c>
      <c r="G3663" s="5">
        <v>7619</v>
      </c>
      <c r="H3663" s="5">
        <v>7609.89</v>
      </c>
      <c r="I3663" s="5">
        <v>3479750.74</v>
      </c>
      <c r="K3663" s="5">
        <v>6.7149999999999999</v>
      </c>
      <c r="L3663" s="5">
        <v>1E-3</v>
      </c>
      <c r="M3663" s="5">
        <v>1330222.6780000001</v>
      </c>
      <c r="N3663" s="6">
        <v>5.8999999999999997E-2</v>
      </c>
      <c r="O3663" s="5">
        <v>50.271000000000001</v>
      </c>
      <c r="P3663" s="6">
        <v>4.4999999999999997E-3</v>
      </c>
      <c r="Q3663" s="5">
        <v>22383545.181000002</v>
      </c>
      <c r="R3663" s="1" t="s">
        <v>44</v>
      </c>
      <c r="T3663" s="1" t="s">
        <v>71</v>
      </c>
      <c r="V3663" s="1" t="s">
        <v>64</v>
      </c>
      <c r="Y3663" s="1" t="s">
        <v>1515</v>
      </c>
      <c r="Z3663" s="1" t="str">
        <f t="shared" si="171"/>
        <v>60357 3</v>
      </c>
      <c r="AA3663" s="3">
        <f>IF(INDEX('CAMD Facility Data 2023'!$AA$2:$AE$10000,MATCH(Z3663,'CAMD Facility Data 2023'!$AE$2:$AE$10000,0),1)&gt;0,INDEX('CAMD Facility Data 2023'!$AA$2:$AE$10000,MATCH(Z3663,'CAMD Facility Data 2023'!$AE$2:$AE$10000,0),1),"")</f>
        <v>43355</v>
      </c>
      <c r="AB3663" s="5">
        <f>IF(INDEX('CAMD Facility Data 2023'!$AC$2:$AE$10000,MATCH(Z3663,'CAMD Facility Data 2023'!$AE$2:$AE$10000,0),1)&gt;0,INDEX('CAMD Facility Data 2023'!$AC$2:$AE$10000,MATCH(Z3663,'CAMD Facility Data 2023'!$AE$2:$AE$10000,0),1),"")</f>
        <v>3500</v>
      </c>
      <c r="AC3663" s="1" t="str">
        <f>IF(INDEX('CAMD Facility Data 2023'!$AE$2:$AG$10000,MATCH(Z3663,'CAMD Facility Data 2023'!$AE$2:$AE$10000,0),3)&gt;0,INDEX('CAMD Facility Data 2023'!$AE$2:$AG$10000,MATCH(Z3663,'CAMD Facility Data 2023'!$AE$2:$AE$10000,0),3),"")</f>
        <v>Y</v>
      </c>
      <c r="AD3663" s="20">
        <f t="shared" si="172"/>
        <v>2.8893448845131935E-2</v>
      </c>
      <c r="AE3663" s="25">
        <f t="shared" si="173"/>
        <v>0.73005692045009796</v>
      </c>
    </row>
    <row r="3664" spans="1:31" x14ac:dyDescent="0.2">
      <c r="A3664" s="1" t="s">
        <v>2584</v>
      </c>
      <c r="B3664" s="1" t="s">
        <v>8124</v>
      </c>
      <c r="C3664" s="1">
        <v>60368</v>
      </c>
      <c r="D3664" s="1" t="s">
        <v>311</v>
      </c>
      <c r="F3664" s="1">
        <v>2023</v>
      </c>
      <c r="G3664" s="5">
        <v>8086</v>
      </c>
      <c r="H3664" s="5">
        <v>8073.8</v>
      </c>
      <c r="I3664" s="5">
        <v>2702776.9</v>
      </c>
      <c r="K3664" s="5">
        <v>5.55</v>
      </c>
      <c r="L3664" s="5">
        <v>1E-3</v>
      </c>
      <c r="M3664" s="5">
        <v>1099398.405</v>
      </c>
      <c r="N3664" s="6">
        <v>5.8999999999999997E-2</v>
      </c>
      <c r="O3664" s="5">
        <v>55.914000000000001</v>
      </c>
      <c r="P3664" s="6">
        <v>6.1999999999999998E-3</v>
      </c>
      <c r="Q3664" s="5">
        <v>18499473.125</v>
      </c>
      <c r="R3664" s="1" t="s">
        <v>44</v>
      </c>
      <c r="T3664" s="1" t="s">
        <v>71</v>
      </c>
      <c r="V3664" s="1" t="s">
        <v>64</v>
      </c>
      <c r="Y3664" s="1" t="s">
        <v>1515</v>
      </c>
      <c r="Z3664" s="1" t="str">
        <f t="shared" si="171"/>
        <v>60368 CT1</v>
      </c>
      <c r="AA3664" s="3">
        <f>IF(INDEX('CAMD Facility Data 2023'!$AA$2:$AE$10000,MATCH(Z3664,'CAMD Facility Data 2023'!$AE$2:$AE$10000,0),1)&gt;0,INDEX('CAMD Facility Data 2023'!$AA$2:$AE$10000,MATCH(Z3664,'CAMD Facility Data 2023'!$AE$2:$AE$10000,0),1),"")</f>
        <v>43185</v>
      </c>
      <c r="AB3664" s="5">
        <f>IF(INDEX('CAMD Facility Data 2023'!$AC$2:$AE$10000,MATCH(Z3664,'CAMD Facility Data 2023'!$AE$2:$AE$10000,0),1)&gt;0,INDEX('CAMD Facility Data 2023'!$AC$2:$AE$10000,MATCH(Z3664,'CAMD Facility Data 2023'!$AE$2:$AE$10000,0),1),"")</f>
        <v>2623</v>
      </c>
      <c r="AC3664" s="1" t="str">
        <f>IF(INDEX('CAMD Facility Data 2023'!$AE$2:$AG$10000,MATCH(Z3664,'CAMD Facility Data 2023'!$AE$2:$AE$10000,0),3)&gt;0,INDEX('CAMD Facility Data 2023'!$AE$2:$AG$10000,MATCH(Z3664,'CAMD Facility Data 2023'!$AE$2:$AE$10000,0),3),"")</f>
        <v>Y</v>
      </c>
      <c r="AD3664" s="20">
        <f t="shared" si="172"/>
        <v>4.1375224125972068E-2</v>
      </c>
      <c r="AE3664" s="25">
        <f t="shared" si="173"/>
        <v>0.8051132293445582</v>
      </c>
    </row>
    <row r="3665" spans="1:31" x14ac:dyDescent="0.2">
      <c r="A3665" s="1" t="s">
        <v>2584</v>
      </c>
      <c r="B3665" s="1" t="s">
        <v>8124</v>
      </c>
      <c r="C3665" s="1">
        <v>60368</v>
      </c>
      <c r="D3665" s="1" t="s">
        <v>98</v>
      </c>
      <c r="F3665" s="1">
        <v>2023</v>
      </c>
      <c r="G3665" s="5">
        <v>8088</v>
      </c>
      <c r="H3665" s="5">
        <v>8078.38</v>
      </c>
      <c r="I3665" s="5">
        <v>2706229.81</v>
      </c>
      <c r="K3665" s="5">
        <v>5.5880000000000001</v>
      </c>
      <c r="L3665" s="5">
        <v>1E-3</v>
      </c>
      <c r="M3665" s="5">
        <v>1106841.023</v>
      </c>
      <c r="N3665" s="6">
        <v>5.8999999999999997E-2</v>
      </c>
      <c r="O3665" s="5">
        <v>56.161000000000001</v>
      </c>
      <c r="P3665" s="6">
        <v>6.1000000000000004E-3</v>
      </c>
      <c r="Q3665" s="5">
        <v>18624683.420000002</v>
      </c>
      <c r="R3665" s="1" t="s">
        <v>44</v>
      </c>
      <c r="T3665" s="1" t="s">
        <v>71</v>
      </c>
      <c r="V3665" s="1" t="s">
        <v>64</v>
      </c>
      <c r="Y3665" s="1" t="s">
        <v>1515</v>
      </c>
      <c r="Z3665" s="1" t="str">
        <f t="shared" si="171"/>
        <v>60368 CT2</v>
      </c>
      <c r="AA3665" s="3">
        <f>IF(INDEX('CAMD Facility Data 2023'!$AA$2:$AE$10000,MATCH(Z3665,'CAMD Facility Data 2023'!$AE$2:$AE$10000,0),1)&gt;0,INDEX('CAMD Facility Data 2023'!$AA$2:$AE$10000,MATCH(Z3665,'CAMD Facility Data 2023'!$AE$2:$AE$10000,0),1),"")</f>
        <v>43182</v>
      </c>
      <c r="AB3665" s="5">
        <f>IF(INDEX('CAMD Facility Data 2023'!$AC$2:$AE$10000,MATCH(Z3665,'CAMD Facility Data 2023'!$AE$2:$AE$10000,0),1)&gt;0,INDEX('CAMD Facility Data 2023'!$AC$2:$AE$10000,MATCH(Z3665,'CAMD Facility Data 2023'!$AE$2:$AE$10000,0),1),"")</f>
        <v>2625</v>
      </c>
      <c r="AC3665" s="1" t="str">
        <f>IF(INDEX('CAMD Facility Data 2023'!$AE$2:$AG$10000,MATCH(Z3665,'CAMD Facility Data 2023'!$AE$2:$AE$10000,0),3)&gt;0,INDEX('CAMD Facility Data 2023'!$AE$2:$AG$10000,MATCH(Z3665,'CAMD Facility Data 2023'!$AE$2:$AE$10000,0),3),"")</f>
        <v>Y</v>
      </c>
      <c r="AD3665" s="20">
        <f t="shared" si="172"/>
        <v>4.1504974775220582E-2</v>
      </c>
      <c r="AE3665" s="25">
        <f t="shared" si="173"/>
        <v>0.80994491933028923</v>
      </c>
    </row>
    <row r="3666" spans="1:31" x14ac:dyDescent="0.2">
      <c r="A3666" s="1" t="s">
        <v>2584</v>
      </c>
      <c r="B3666" s="1" t="s">
        <v>8124</v>
      </c>
      <c r="C3666" s="1">
        <v>60368</v>
      </c>
      <c r="D3666" s="1" t="s">
        <v>101</v>
      </c>
      <c r="F3666" s="1">
        <v>2023</v>
      </c>
      <c r="G3666" s="5">
        <v>7376</v>
      </c>
      <c r="H3666" s="5">
        <v>7365.35</v>
      </c>
      <c r="I3666" s="5">
        <v>2455699.96</v>
      </c>
      <c r="K3666" s="5">
        <v>5.0149999999999997</v>
      </c>
      <c r="L3666" s="5">
        <v>1E-3</v>
      </c>
      <c r="M3666" s="5">
        <v>993346.77399999998</v>
      </c>
      <c r="N3666" s="6">
        <v>5.8999999999999997E-2</v>
      </c>
      <c r="O3666" s="5">
        <v>50.472000000000001</v>
      </c>
      <c r="P3666" s="6">
        <v>6.1999999999999998E-3</v>
      </c>
      <c r="Q3666" s="5">
        <v>16714955.972999999</v>
      </c>
      <c r="R3666" s="1" t="s">
        <v>44</v>
      </c>
      <c r="T3666" s="1" t="s">
        <v>71</v>
      </c>
      <c r="V3666" s="1" t="s">
        <v>64</v>
      </c>
      <c r="Y3666" s="1" t="s">
        <v>1515</v>
      </c>
      <c r="Z3666" s="1" t="str">
        <f t="shared" si="171"/>
        <v>60368 CT3</v>
      </c>
      <c r="AA3666" s="3">
        <f>IF(INDEX('CAMD Facility Data 2023'!$AA$2:$AE$10000,MATCH(Z3666,'CAMD Facility Data 2023'!$AE$2:$AE$10000,0),1)&gt;0,INDEX('CAMD Facility Data 2023'!$AA$2:$AE$10000,MATCH(Z3666,'CAMD Facility Data 2023'!$AE$2:$AE$10000,0),1),"")</f>
        <v>43184</v>
      </c>
      <c r="AB3666" s="5">
        <f>IF(INDEX('CAMD Facility Data 2023'!$AC$2:$AE$10000,MATCH(Z3666,'CAMD Facility Data 2023'!$AE$2:$AE$10000,0),1)&gt;0,INDEX('CAMD Facility Data 2023'!$AC$2:$AE$10000,MATCH(Z3666,'CAMD Facility Data 2023'!$AE$2:$AE$10000,0),1),"")</f>
        <v>2580</v>
      </c>
      <c r="AC3666" s="1" t="str">
        <f>IF(INDEX('CAMD Facility Data 2023'!$AE$2:$AG$10000,MATCH(Z3666,'CAMD Facility Data 2023'!$AE$2:$AE$10000,0),3)&gt;0,INDEX('CAMD Facility Data 2023'!$AE$2:$AG$10000,MATCH(Z3666,'CAMD Facility Data 2023'!$AE$2:$AE$10000,0),3),"")</f>
        <v>Y</v>
      </c>
      <c r="AD3666" s="20">
        <f t="shared" si="172"/>
        <v>4.1105998959253966E-2</v>
      </c>
      <c r="AE3666" s="25">
        <f t="shared" si="173"/>
        <v>0.7395736422162047</v>
      </c>
    </row>
    <row r="3667" spans="1:31" x14ac:dyDescent="0.2">
      <c r="A3667" s="1" t="s">
        <v>2430</v>
      </c>
      <c r="B3667" s="1" t="s">
        <v>8131</v>
      </c>
      <c r="C3667" s="1">
        <v>60376</v>
      </c>
      <c r="D3667" s="1">
        <v>1</v>
      </c>
      <c r="F3667" s="1">
        <v>2023</v>
      </c>
      <c r="G3667" s="5">
        <v>7699</v>
      </c>
      <c r="H3667" s="5">
        <v>7680.74</v>
      </c>
      <c r="I3667" s="5">
        <v>3184899.51</v>
      </c>
      <c r="K3667" s="5">
        <v>6.33</v>
      </c>
      <c r="L3667" s="5">
        <v>1E-3</v>
      </c>
      <c r="M3667" s="5">
        <v>1253965.5209999999</v>
      </c>
      <c r="N3667" s="6">
        <v>5.8999999999999997E-2</v>
      </c>
      <c r="O3667" s="5">
        <v>64.665999999999997</v>
      </c>
      <c r="P3667" s="6">
        <v>6.4000000000000003E-3</v>
      </c>
      <c r="Q3667" s="5">
        <v>21100364.544</v>
      </c>
      <c r="R3667" s="1" t="s">
        <v>44</v>
      </c>
      <c r="T3667" s="1" t="s">
        <v>71</v>
      </c>
      <c r="V3667" s="1" t="s">
        <v>64</v>
      </c>
      <c r="Y3667" s="1" t="s">
        <v>6843</v>
      </c>
      <c r="Z3667" s="1" t="str">
        <f t="shared" si="171"/>
        <v>60376 1</v>
      </c>
      <c r="AA3667" s="3">
        <f>IF(INDEX('CAMD Facility Data 2023'!$AA$2:$AE$10000,MATCH(Z3667,'CAMD Facility Data 2023'!$AE$2:$AE$10000,0),1)&gt;0,INDEX('CAMD Facility Data 2023'!$AA$2:$AE$10000,MATCH(Z3667,'CAMD Facility Data 2023'!$AE$2:$AE$10000,0),1),"")</f>
        <v>43294</v>
      </c>
      <c r="AB3667" s="5">
        <f>IF(INDEX('CAMD Facility Data 2023'!$AC$2:$AE$10000,MATCH(Z3667,'CAMD Facility Data 2023'!$AE$2:$AE$10000,0),1)&gt;0,INDEX('CAMD Facility Data 2023'!$AC$2:$AE$10000,MATCH(Z3667,'CAMD Facility Data 2023'!$AE$2:$AE$10000,0),1),"")</f>
        <v>3630</v>
      </c>
      <c r="AC3667" s="1" t="str">
        <f>IF(INDEX('CAMD Facility Data 2023'!$AE$2:$AG$10000,MATCH(Z3667,'CAMD Facility Data 2023'!$AE$2:$AE$10000,0),3)&gt;0,INDEX('CAMD Facility Data 2023'!$AE$2:$AG$10000,MATCH(Z3667,'CAMD Facility Data 2023'!$AE$2:$AE$10000,0),3),"")</f>
        <v>Y</v>
      </c>
      <c r="AD3667" s="20">
        <f t="shared" si="172"/>
        <v>4.0607874626474479E-2</v>
      </c>
      <c r="AE3667" s="25">
        <f t="shared" si="173"/>
        <v>0.6635585161704215</v>
      </c>
    </row>
    <row r="3668" spans="1:31" x14ac:dyDescent="0.2">
      <c r="A3668" s="1" t="s">
        <v>2430</v>
      </c>
      <c r="B3668" s="1" t="s">
        <v>8131</v>
      </c>
      <c r="C3668" s="1">
        <v>60376</v>
      </c>
      <c r="D3668" s="1">
        <v>2</v>
      </c>
      <c r="F3668" s="1">
        <v>2023</v>
      </c>
      <c r="G3668" s="5">
        <v>7702</v>
      </c>
      <c r="H3668" s="5">
        <v>7687.28</v>
      </c>
      <c r="I3668" s="5">
        <v>3157728.63</v>
      </c>
      <c r="K3668" s="5">
        <v>6.2779999999999996</v>
      </c>
      <c r="L3668" s="5">
        <v>1E-3</v>
      </c>
      <c r="M3668" s="5">
        <v>1243619.223</v>
      </c>
      <c r="N3668" s="6">
        <v>5.8999999999999997E-2</v>
      </c>
      <c r="O3668" s="5">
        <v>70.554000000000002</v>
      </c>
      <c r="P3668" s="6">
        <v>6.8999999999999999E-3</v>
      </c>
      <c r="Q3668" s="5">
        <v>20926236.881999999</v>
      </c>
      <c r="R3668" s="1" t="s">
        <v>44</v>
      </c>
      <c r="T3668" s="1" t="s">
        <v>71</v>
      </c>
      <c r="V3668" s="1" t="s">
        <v>64</v>
      </c>
      <c r="Y3668" s="1" t="s">
        <v>6843</v>
      </c>
      <c r="Z3668" s="1" t="str">
        <f t="shared" si="171"/>
        <v>60376 2</v>
      </c>
      <c r="AA3668" s="3">
        <f>IF(INDEX('CAMD Facility Data 2023'!$AA$2:$AE$10000,MATCH(Z3668,'CAMD Facility Data 2023'!$AE$2:$AE$10000,0),1)&gt;0,INDEX('CAMD Facility Data 2023'!$AA$2:$AE$10000,MATCH(Z3668,'CAMD Facility Data 2023'!$AE$2:$AE$10000,0),1),"")</f>
        <v>43295</v>
      </c>
      <c r="AB3668" s="5">
        <f>IF(INDEX('CAMD Facility Data 2023'!$AC$2:$AE$10000,MATCH(Z3668,'CAMD Facility Data 2023'!$AE$2:$AE$10000,0),1)&gt;0,INDEX('CAMD Facility Data 2023'!$AC$2:$AE$10000,MATCH(Z3668,'CAMD Facility Data 2023'!$AE$2:$AE$10000,0),1),"")</f>
        <v>3630</v>
      </c>
      <c r="AC3668" s="1" t="str">
        <f>IF(INDEX('CAMD Facility Data 2023'!$AE$2:$AG$10000,MATCH(Z3668,'CAMD Facility Data 2023'!$AE$2:$AE$10000,0),3)&gt;0,INDEX('CAMD Facility Data 2023'!$AE$2:$AG$10000,MATCH(Z3668,'CAMD Facility Data 2023'!$AE$2:$AE$10000,0),3),"")</f>
        <v>Y</v>
      </c>
      <c r="AD3668" s="20">
        <f t="shared" si="172"/>
        <v>4.4686550534901413E-2</v>
      </c>
      <c r="AE3668" s="25">
        <f t="shared" si="173"/>
        <v>0.65808259689044868</v>
      </c>
    </row>
    <row r="3669" spans="1:31" x14ac:dyDescent="0.2">
      <c r="A3669" s="1" t="s">
        <v>458</v>
      </c>
      <c r="B3669" s="1" t="s">
        <v>8135</v>
      </c>
      <c r="C3669" s="1">
        <v>60387</v>
      </c>
      <c r="D3669" s="1">
        <v>3</v>
      </c>
      <c r="F3669" s="1">
        <v>2023</v>
      </c>
      <c r="G3669" s="5">
        <v>1122</v>
      </c>
      <c r="H3669" s="5">
        <v>1025.52</v>
      </c>
      <c r="I3669" s="5">
        <v>137290.95000000001</v>
      </c>
      <c r="K3669" s="5">
        <v>0.45400000000000001</v>
      </c>
      <c r="L3669" s="5">
        <v>1E-3</v>
      </c>
      <c r="M3669" s="5">
        <v>88439.014999999999</v>
      </c>
      <c r="N3669" s="6">
        <v>5.9299999999999999E-2</v>
      </c>
      <c r="O3669" s="5">
        <v>19.922999999999998</v>
      </c>
      <c r="P3669" s="6">
        <v>3.2300000000000002E-2</v>
      </c>
      <c r="Q3669" s="5">
        <v>1480909.344</v>
      </c>
      <c r="R3669" s="1" t="s">
        <v>44</v>
      </c>
      <c r="S3669" s="1" t="s">
        <v>94</v>
      </c>
      <c r="T3669" s="1" t="s">
        <v>8138</v>
      </c>
      <c r="V3669" s="1" t="s">
        <v>8139</v>
      </c>
      <c r="Y3669" s="1" t="s">
        <v>461</v>
      </c>
      <c r="Z3669" s="1" t="str">
        <f t="shared" si="171"/>
        <v>60387 3</v>
      </c>
      <c r="AA3669" s="3">
        <f>IF(INDEX('CAMD Facility Data 2023'!$AA$2:$AE$10000,MATCH(Z3669,'CAMD Facility Data 2023'!$AE$2:$AE$10000,0),1)&gt;0,INDEX('CAMD Facility Data 2023'!$AA$2:$AE$10000,MATCH(Z3669,'CAMD Facility Data 2023'!$AE$2:$AE$10000,0),1),"")</f>
        <v>45035</v>
      </c>
      <c r="AB3669" s="5">
        <f>IF(INDEX('CAMD Facility Data 2023'!$AC$2:$AE$10000,MATCH(Z3669,'CAMD Facility Data 2023'!$AE$2:$AE$10000,0),1)&gt;0,INDEX('CAMD Facility Data 2023'!$AC$2:$AE$10000,MATCH(Z3669,'CAMD Facility Data 2023'!$AE$2:$AE$10000,0),1),"")</f>
        <v>2180</v>
      </c>
      <c r="AC3669" s="1" t="str">
        <f>IF(INDEX('CAMD Facility Data 2023'!$AE$2:$AG$10000,MATCH(Z3669,'CAMD Facility Data 2023'!$AE$2:$AE$10000,0),3)&gt;0,INDEX('CAMD Facility Data 2023'!$AE$2:$AG$10000,MATCH(Z3669,'CAMD Facility Data 2023'!$AE$2:$AE$10000,0),3),"")</f>
        <v/>
      </c>
      <c r="AD3669" s="20">
        <f t="shared" si="172"/>
        <v>0.2902303465741915</v>
      </c>
      <c r="AE3669" s="25">
        <f t="shared" si="173"/>
        <v>7.7547512881739347E-2</v>
      </c>
    </row>
    <row r="3670" spans="1:31" x14ac:dyDescent="0.2">
      <c r="A3670" s="1" t="s">
        <v>458</v>
      </c>
      <c r="B3670" s="1" t="s">
        <v>8135</v>
      </c>
      <c r="C3670" s="1">
        <v>60387</v>
      </c>
      <c r="D3670" s="1">
        <v>4</v>
      </c>
      <c r="F3670" s="1">
        <v>2023</v>
      </c>
      <c r="G3670" s="5">
        <v>1016</v>
      </c>
      <c r="H3670" s="5">
        <v>912.94</v>
      </c>
      <c r="I3670" s="5">
        <v>121697.27</v>
      </c>
      <c r="K3670" s="5">
        <v>0.41599999999999998</v>
      </c>
      <c r="L3670" s="5">
        <v>1E-3</v>
      </c>
      <c r="M3670" s="5">
        <v>79446.713000000003</v>
      </c>
      <c r="N3670" s="6">
        <v>5.96E-2</v>
      </c>
      <c r="O3670" s="5">
        <v>21.431999999999999</v>
      </c>
      <c r="P3670" s="6">
        <v>4.0599999999999997E-2</v>
      </c>
      <c r="Q3670" s="5">
        <v>1321041.96</v>
      </c>
      <c r="R3670" s="1" t="s">
        <v>44</v>
      </c>
      <c r="S3670" s="1" t="s">
        <v>94</v>
      </c>
      <c r="T3670" s="1" t="s">
        <v>8142</v>
      </c>
      <c r="V3670" s="1" t="s">
        <v>8143</v>
      </c>
      <c r="Y3670" s="1" t="s">
        <v>461</v>
      </c>
      <c r="Z3670" s="1" t="str">
        <f t="shared" si="171"/>
        <v>60387 4</v>
      </c>
      <c r="AA3670" s="3">
        <f>IF(INDEX('CAMD Facility Data 2023'!$AA$2:$AE$10000,MATCH(Z3670,'CAMD Facility Data 2023'!$AE$2:$AE$10000,0),1)&gt;0,INDEX('CAMD Facility Data 2023'!$AA$2:$AE$10000,MATCH(Z3670,'CAMD Facility Data 2023'!$AE$2:$AE$10000,0),1),"")</f>
        <v>45043</v>
      </c>
      <c r="AB3670" s="5">
        <f>IF(INDEX('CAMD Facility Data 2023'!$AC$2:$AE$10000,MATCH(Z3670,'CAMD Facility Data 2023'!$AE$2:$AE$10000,0),1)&gt;0,INDEX('CAMD Facility Data 2023'!$AC$2:$AE$10000,MATCH(Z3670,'CAMD Facility Data 2023'!$AE$2:$AE$10000,0),1),"")</f>
        <v>2180</v>
      </c>
      <c r="AC3670" s="1" t="str">
        <f>IF(INDEX('CAMD Facility Data 2023'!$AE$2:$AG$10000,MATCH(Z3670,'CAMD Facility Data 2023'!$AE$2:$AE$10000,0),3)&gt;0,INDEX('CAMD Facility Data 2023'!$AE$2:$AG$10000,MATCH(Z3670,'CAMD Facility Data 2023'!$AE$2:$AE$10000,0),3),"")</f>
        <v/>
      </c>
      <c r="AD3670" s="20">
        <f t="shared" si="172"/>
        <v>0.35221825436182752</v>
      </c>
      <c r="AE3670" s="25">
        <f t="shared" si="173"/>
        <v>6.9176090235013199E-2</v>
      </c>
    </row>
    <row r="3671" spans="1:31" x14ac:dyDescent="0.2">
      <c r="A3671" s="1" t="s">
        <v>383</v>
      </c>
      <c r="B3671" s="1" t="s">
        <v>8146</v>
      </c>
      <c r="C3671" s="1">
        <v>60459</v>
      </c>
      <c r="D3671" s="1" t="s">
        <v>311</v>
      </c>
      <c r="F3671" s="1">
        <v>2023</v>
      </c>
      <c r="G3671" s="5">
        <v>1504</v>
      </c>
      <c r="H3671" s="5">
        <v>1182.6400000000001</v>
      </c>
      <c r="I3671" s="5">
        <v>41112.769999999997</v>
      </c>
      <c r="K3671" s="5">
        <v>0.13200000000000001</v>
      </c>
      <c r="L3671" s="5">
        <v>1E-3</v>
      </c>
      <c r="M3671" s="5">
        <v>26173.155999999999</v>
      </c>
      <c r="N3671" s="6">
        <v>5.9200000000000003E-2</v>
      </c>
      <c r="O3671" s="5">
        <v>2.5259999999999998</v>
      </c>
      <c r="P3671" s="6">
        <v>1.47E-2</v>
      </c>
      <c r="Q3671" s="5">
        <v>440429.522</v>
      </c>
      <c r="R3671" s="1" t="s">
        <v>44</v>
      </c>
      <c r="T3671" s="1" t="s">
        <v>93</v>
      </c>
      <c r="V3671" s="1" t="s">
        <v>176</v>
      </c>
      <c r="Y3671" s="1" t="s">
        <v>346</v>
      </c>
      <c r="Z3671" s="1" t="str">
        <f t="shared" si="171"/>
        <v>60459 CT1</v>
      </c>
      <c r="AA3671" s="3">
        <f>IF(INDEX('CAMD Facility Data 2023'!$AA$2:$AE$10000,MATCH(Z3671,'CAMD Facility Data 2023'!$AE$2:$AE$10000,0),1)&gt;0,INDEX('CAMD Facility Data 2023'!$AA$2:$AE$10000,MATCH(Z3671,'CAMD Facility Data 2023'!$AE$2:$AE$10000,0),1),"")</f>
        <v>42940</v>
      </c>
      <c r="AB3671" s="5">
        <f>IF(INDEX('CAMD Facility Data 2023'!$AC$2:$AE$10000,MATCH(Z3671,'CAMD Facility Data 2023'!$AE$2:$AE$10000,0),1)&gt;0,INDEX('CAMD Facility Data 2023'!$AC$2:$AE$10000,MATCH(Z3671,'CAMD Facility Data 2023'!$AE$2:$AE$10000,0),1),"")</f>
        <v>475</v>
      </c>
      <c r="AC3671" s="1" t="str">
        <f>IF(INDEX('CAMD Facility Data 2023'!$AE$2:$AG$10000,MATCH(Z3671,'CAMD Facility Data 2023'!$AE$2:$AE$10000,0),3)&gt;0,INDEX('CAMD Facility Data 2023'!$AE$2:$AG$10000,MATCH(Z3671,'CAMD Facility Data 2023'!$AE$2:$AE$10000,0),3),"")</f>
        <v>Y</v>
      </c>
      <c r="AD3671" s="20">
        <f t="shared" si="172"/>
        <v>0.12288152805077353</v>
      </c>
      <c r="AE3671" s="25">
        <f t="shared" si="173"/>
        <v>0.1058470372506609</v>
      </c>
    </row>
    <row r="3672" spans="1:31" x14ac:dyDescent="0.2">
      <c r="A3672" s="1" t="s">
        <v>383</v>
      </c>
      <c r="B3672" s="1" t="s">
        <v>8146</v>
      </c>
      <c r="C3672" s="1">
        <v>60459</v>
      </c>
      <c r="D3672" s="1" t="s">
        <v>98</v>
      </c>
      <c r="F3672" s="1">
        <v>2023</v>
      </c>
      <c r="G3672" s="5">
        <v>1122</v>
      </c>
      <c r="H3672" s="5">
        <v>870.66</v>
      </c>
      <c r="I3672" s="5">
        <v>29568.32</v>
      </c>
      <c r="K3672" s="5">
        <v>9.5000000000000001E-2</v>
      </c>
      <c r="L3672" s="5">
        <v>1E-3</v>
      </c>
      <c r="M3672" s="5">
        <v>18861.530999999999</v>
      </c>
      <c r="N3672" s="6">
        <v>5.9299999999999999E-2</v>
      </c>
      <c r="O3672" s="5">
        <v>1.877</v>
      </c>
      <c r="P3672" s="6">
        <v>1.6500000000000001E-2</v>
      </c>
      <c r="Q3672" s="5">
        <v>317413.26799999998</v>
      </c>
      <c r="R3672" s="1" t="s">
        <v>44</v>
      </c>
      <c r="T3672" s="1" t="s">
        <v>93</v>
      </c>
      <c r="V3672" s="1" t="s">
        <v>176</v>
      </c>
      <c r="Y3672" s="1" t="s">
        <v>346</v>
      </c>
      <c r="Z3672" s="1" t="str">
        <f t="shared" si="171"/>
        <v>60459 CT2</v>
      </c>
      <c r="AA3672" s="3">
        <f>IF(INDEX('CAMD Facility Data 2023'!$AA$2:$AE$10000,MATCH(Z3672,'CAMD Facility Data 2023'!$AE$2:$AE$10000,0),1)&gt;0,INDEX('CAMD Facility Data 2023'!$AA$2:$AE$10000,MATCH(Z3672,'CAMD Facility Data 2023'!$AE$2:$AE$10000,0),1),"")</f>
        <v>42945</v>
      </c>
      <c r="AB3672" s="5">
        <f>IF(INDEX('CAMD Facility Data 2023'!$AC$2:$AE$10000,MATCH(Z3672,'CAMD Facility Data 2023'!$AE$2:$AE$10000,0),1)&gt;0,INDEX('CAMD Facility Data 2023'!$AC$2:$AE$10000,MATCH(Z3672,'CAMD Facility Data 2023'!$AE$2:$AE$10000,0),1),"")</f>
        <v>475</v>
      </c>
      <c r="AC3672" s="1" t="str">
        <f>IF(INDEX('CAMD Facility Data 2023'!$AE$2:$AG$10000,MATCH(Z3672,'CAMD Facility Data 2023'!$AE$2:$AE$10000,0),3)&gt;0,INDEX('CAMD Facility Data 2023'!$AE$2:$AG$10000,MATCH(Z3672,'CAMD Facility Data 2023'!$AE$2:$AE$10000,0),3),"")</f>
        <v>Y</v>
      </c>
      <c r="AD3672" s="20">
        <f t="shared" si="172"/>
        <v>0.12696020605837599</v>
      </c>
      <c r="AE3672" s="25">
        <f t="shared" si="173"/>
        <v>7.6282929103580865E-2</v>
      </c>
    </row>
    <row r="3673" spans="1:31" x14ac:dyDescent="0.2">
      <c r="A3673" s="1" t="s">
        <v>383</v>
      </c>
      <c r="B3673" s="1" t="s">
        <v>8152</v>
      </c>
      <c r="C3673" s="1">
        <v>60460</v>
      </c>
      <c r="D3673" s="1" t="s">
        <v>311</v>
      </c>
      <c r="F3673" s="1">
        <v>2023</v>
      </c>
      <c r="G3673" s="5">
        <v>2155</v>
      </c>
      <c r="H3673" s="5">
        <v>1782.7</v>
      </c>
      <c r="I3673" s="5">
        <v>64525.24</v>
      </c>
      <c r="K3673" s="5">
        <v>0.17399999999999999</v>
      </c>
      <c r="L3673" s="5">
        <v>1E-3</v>
      </c>
      <c r="M3673" s="5">
        <v>34471.464</v>
      </c>
      <c r="N3673" s="6">
        <v>5.9299999999999999E-2</v>
      </c>
      <c r="O3673" s="5">
        <v>3.7519999999999998</v>
      </c>
      <c r="P3673" s="6">
        <v>2.0299999999999999E-2</v>
      </c>
      <c r="Q3673" s="5">
        <v>580038.96100000001</v>
      </c>
      <c r="R3673" s="1" t="s">
        <v>44</v>
      </c>
      <c r="T3673" s="1" t="s">
        <v>93</v>
      </c>
      <c r="V3673" s="1" t="s">
        <v>176</v>
      </c>
      <c r="Y3673" s="1" t="s">
        <v>346</v>
      </c>
      <c r="Z3673" s="1" t="str">
        <f t="shared" si="171"/>
        <v>60460 CT1</v>
      </c>
      <c r="AA3673" s="3">
        <f>IF(INDEX('CAMD Facility Data 2023'!$AA$2:$AE$10000,MATCH(Z3673,'CAMD Facility Data 2023'!$AE$2:$AE$10000,0),1)&gt;0,INDEX('CAMD Facility Data 2023'!$AA$2:$AE$10000,MATCH(Z3673,'CAMD Facility Data 2023'!$AE$2:$AE$10000,0),1),"")</f>
        <v>43011</v>
      </c>
      <c r="AB3673" s="5">
        <f>IF(INDEX('CAMD Facility Data 2023'!$AC$2:$AE$10000,MATCH(Z3673,'CAMD Facility Data 2023'!$AE$2:$AE$10000,0),1)&gt;0,INDEX('CAMD Facility Data 2023'!$AC$2:$AE$10000,MATCH(Z3673,'CAMD Facility Data 2023'!$AE$2:$AE$10000,0),1),"")</f>
        <v>520</v>
      </c>
      <c r="AC3673" s="1" t="str">
        <f>IF(INDEX('CAMD Facility Data 2023'!$AE$2:$AG$10000,MATCH(Z3673,'CAMD Facility Data 2023'!$AE$2:$AE$10000,0),3)&gt;0,INDEX('CAMD Facility Data 2023'!$AE$2:$AG$10000,MATCH(Z3673,'CAMD Facility Data 2023'!$AE$2:$AE$10000,0),3),"")</f>
        <v>Y</v>
      </c>
      <c r="AD3673" s="20">
        <f t="shared" si="172"/>
        <v>0.11629557673865297</v>
      </c>
      <c r="AE3673" s="25">
        <f t="shared" si="173"/>
        <v>0.1273355639708465</v>
      </c>
    </row>
    <row r="3674" spans="1:31" x14ac:dyDescent="0.2">
      <c r="A3674" s="1" t="s">
        <v>383</v>
      </c>
      <c r="B3674" s="1" t="s">
        <v>8152</v>
      </c>
      <c r="C3674" s="1">
        <v>60460</v>
      </c>
      <c r="D3674" s="1" t="s">
        <v>98</v>
      </c>
      <c r="F3674" s="1">
        <v>2023</v>
      </c>
      <c r="G3674" s="5">
        <v>1914</v>
      </c>
      <c r="H3674" s="5">
        <v>1574.63</v>
      </c>
      <c r="I3674" s="5">
        <v>57479.43</v>
      </c>
      <c r="K3674" s="5">
        <v>0.187</v>
      </c>
      <c r="L3674" s="5">
        <v>1E-3</v>
      </c>
      <c r="M3674" s="5">
        <v>37108.93</v>
      </c>
      <c r="N3674" s="6">
        <v>5.9200000000000003E-2</v>
      </c>
      <c r="O3674" s="5">
        <v>3.4660000000000002</v>
      </c>
      <c r="P3674" s="6">
        <v>1.7100000000000001E-2</v>
      </c>
      <c r="Q3674" s="5">
        <v>624427.93799999997</v>
      </c>
      <c r="R3674" s="1" t="s">
        <v>44</v>
      </c>
      <c r="T3674" s="1" t="s">
        <v>93</v>
      </c>
      <c r="V3674" s="1" t="s">
        <v>176</v>
      </c>
      <c r="Y3674" s="1" t="s">
        <v>346</v>
      </c>
      <c r="Z3674" s="1" t="str">
        <f t="shared" si="171"/>
        <v>60460 CT2</v>
      </c>
      <c r="AA3674" s="3">
        <f>IF(INDEX('CAMD Facility Data 2023'!$AA$2:$AE$10000,MATCH(Z3674,'CAMD Facility Data 2023'!$AE$2:$AE$10000,0),1)&gt;0,INDEX('CAMD Facility Data 2023'!$AA$2:$AE$10000,MATCH(Z3674,'CAMD Facility Data 2023'!$AE$2:$AE$10000,0),1),"")</f>
        <v>43013</v>
      </c>
      <c r="AB3674" s="5">
        <f>IF(INDEX('CAMD Facility Data 2023'!$AC$2:$AE$10000,MATCH(Z3674,'CAMD Facility Data 2023'!$AE$2:$AE$10000,0),1)&gt;0,INDEX('CAMD Facility Data 2023'!$AC$2:$AE$10000,MATCH(Z3674,'CAMD Facility Data 2023'!$AE$2:$AE$10000,0),1),"")</f>
        <v>520</v>
      </c>
      <c r="AC3674" s="1" t="str">
        <f>IF(INDEX('CAMD Facility Data 2023'!$AE$2:$AG$10000,MATCH(Z3674,'CAMD Facility Data 2023'!$AE$2:$AE$10000,0),3)&gt;0,INDEX('CAMD Facility Data 2023'!$AE$2:$AG$10000,MATCH(Z3674,'CAMD Facility Data 2023'!$AE$2:$AE$10000,0),3),"")</f>
        <v>Y</v>
      </c>
      <c r="AD3674" s="20">
        <f t="shared" si="172"/>
        <v>0.12059966495840338</v>
      </c>
      <c r="AE3674" s="25">
        <f t="shared" si="173"/>
        <v>0.13708024631190727</v>
      </c>
    </row>
    <row r="3675" spans="1:31" x14ac:dyDescent="0.2">
      <c r="A3675" s="1" t="s">
        <v>2584</v>
      </c>
      <c r="B3675" s="1" t="s">
        <v>8156</v>
      </c>
      <c r="C3675" s="1">
        <v>60464</v>
      </c>
      <c r="D3675" s="1">
        <v>101</v>
      </c>
      <c r="F3675" s="1">
        <v>2023</v>
      </c>
      <c r="G3675" s="5">
        <v>7361</v>
      </c>
      <c r="H3675" s="5">
        <v>7355.78</v>
      </c>
      <c r="I3675" s="5">
        <v>3372259.52</v>
      </c>
      <c r="K3675" s="5">
        <v>6.7869999999999999</v>
      </c>
      <c r="L3675" s="5">
        <v>1E-3</v>
      </c>
      <c r="M3675" s="5">
        <v>1314634.304</v>
      </c>
      <c r="N3675" s="6">
        <v>5.8000000000000003E-2</v>
      </c>
      <c r="O3675" s="5">
        <v>54.707000000000001</v>
      </c>
      <c r="P3675" s="6">
        <v>4.8999999999999998E-3</v>
      </c>
      <c r="Q3675" s="5">
        <v>22621473.855</v>
      </c>
      <c r="R3675" s="1" t="s">
        <v>44</v>
      </c>
      <c r="T3675" s="1" t="s">
        <v>71</v>
      </c>
      <c r="V3675" s="1" t="s">
        <v>64</v>
      </c>
      <c r="Y3675" s="1" t="s">
        <v>7828</v>
      </c>
      <c r="Z3675" s="1" t="str">
        <f t="shared" si="171"/>
        <v>60464 101</v>
      </c>
      <c r="AA3675" s="3">
        <f>IF(INDEX('CAMD Facility Data 2023'!$AA$2:$AE$10000,MATCH(Z3675,'CAMD Facility Data 2023'!$AE$2:$AE$10000,0),1)&gt;0,INDEX('CAMD Facility Data 2023'!$AA$2:$AE$10000,MATCH(Z3675,'CAMD Facility Data 2023'!$AE$2:$AE$10000,0),1),"")</f>
        <v>43372</v>
      </c>
      <c r="AB3675" s="5">
        <f>IF(INDEX('CAMD Facility Data 2023'!$AC$2:$AE$10000,MATCH(Z3675,'CAMD Facility Data 2023'!$AE$2:$AE$10000,0),1)&gt;0,INDEX('CAMD Facility Data 2023'!$AC$2:$AE$10000,MATCH(Z3675,'CAMD Facility Data 2023'!$AE$2:$AE$10000,0),1),"")</f>
        <v>3725</v>
      </c>
      <c r="AC3675" s="1" t="str">
        <f>IF(INDEX('CAMD Facility Data 2023'!$AE$2:$AG$10000,MATCH(Z3675,'CAMD Facility Data 2023'!$AE$2:$AE$10000,0),3)&gt;0,INDEX('CAMD Facility Data 2023'!$AE$2:$AG$10000,MATCH(Z3675,'CAMD Facility Data 2023'!$AE$2:$AE$10000,0),3),"")</f>
        <v>Y</v>
      </c>
      <c r="AD3675" s="20">
        <f t="shared" si="172"/>
        <v>3.2445308361083669E-2</v>
      </c>
      <c r="AE3675" s="25">
        <f t="shared" si="173"/>
        <v>0.69325101452606419</v>
      </c>
    </row>
    <row r="3676" spans="1:31" x14ac:dyDescent="0.2">
      <c r="A3676" s="1" t="s">
        <v>2584</v>
      </c>
      <c r="B3676" s="1" t="s">
        <v>8156</v>
      </c>
      <c r="C3676" s="1">
        <v>60464</v>
      </c>
      <c r="D3676" s="1">
        <v>102</v>
      </c>
      <c r="F3676" s="1">
        <v>2023</v>
      </c>
      <c r="G3676" s="5">
        <v>7487</v>
      </c>
      <c r="H3676" s="5">
        <v>7482.05</v>
      </c>
      <c r="I3676" s="5">
        <v>3443481.39</v>
      </c>
      <c r="K3676" s="5">
        <v>6.9480000000000004</v>
      </c>
      <c r="L3676" s="5">
        <v>1E-3</v>
      </c>
      <c r="M3676" s="5">
        <v>1345976.0330000001</v>
      </c>
      <c r="N3676" s="6">
        <v>5.8000000000000003E-2</v>
      </c>
      <c r="O3676" s="5">
        <v>55.514000000000003</v>
      </c>
      <c r="P3676" s="6">
        <v>4.7999999999999996E-3</v>
      </c>
      <c r="Q3676" s="5">
        <v>23160832.318999998</v>
      </c>
      <c r="R3676" s="1" t="s">
        <v>44</v>
      </c>
      <c r="T3676" s="1" t="s">
        <v>71</v>
      </c>
      <c r="V3676" s="1" t="s">
        <v>64</v>
      </c>
      <c r="Y3676" s="1" t="s">
        <v>7828</v>
      </c>
      <c r="Z3676" s="1" t="str">
        <f t="shared" si="171"/>
        <v>60464 102</v>
      </c>
      <c r="AA3676" s="3">
        <f>IF(INDEX('CAMD Facility Data 2023'!$AA$2:$AE$10000,MATCH(Z3676,'CAMD Facility Data 2023'!$AE$2:$AE$10000,0),1)&gt;0,INDEX('CAMD Facility Data 2023'!$AA$2:$AE$10000,MATCH(Z3676,'CAMD Facility Data 2023'!$AE$2:$AE$10000,0),1),"")</f>
        <v>43368</v>
      </c>
      <c r="AB3676" s="5">
        <f>IF(INDEX('CAMD Facility Data 2023'!$AC$2:$AE$10000,MATCH(Z3676,'CAMD Facility Data 2023'!$AE$2:$AE$10000,0),1)&gt;0,INDEX('CAMD Facility Data 2023'!$AC$2:$AE$10000,MATCH(Z3676,'CAMD Facility Data 2023'!$AE$2:$AE$10000,0),1),"")</f>
        <v>3725</v>
      </c>
      <c r="AC3676" s="1" t="str">
        <f>IF(INDEX('CAMD Facility Data 2023'!$AE$2:$AG$10000,MATCH(Z3676,'CAMD Facility Data 2023'!$AE$2:$AE$10000,0),3)&gt;0,INDEX('CAMD Facility Data 2023'!$AE$2:$AG$10000,MATCH(Z3676,'CAMD Facility Data 2023'!$AE$2:$AE$10000,0),3),"")</f>
        <v>Y</v>
      </c>
      <c r="AD3676" s="20">
        <f t="shared" si="172"/>
        <v>3.2242950498419853E-2</v>
      </c>
      <c r="AE3676" s="25">
        <f t="shared" si="173"/>
        <v>0.70978003490545793</v>
      </c>
    </row>
    <row r="3677" spans="1:31" x14ac:dyDescent="0.2">
      <c r="A3677" s="1" t="s">
        <v>383</v>
      </c>
      <c r="B3677" s="1" t="s">
        <v>8162</v>
      </c>
      <c r="C3677" s="1">
        <v>60468</v>
      </c>
      <c r="D3677" s="1" t="s">
        <v>1296</v>
      </c>
      <c r="F3677" s="1">
        <v>2023</v>
      </c>
      <c r="G3677" s="5">
        <v>1133</v>
      </c>
      <c r="H3677" s="5">
        <v>948.82</v>
      </c>
      <c r="I3677" s="5">
        <v>89626.08</v>
      </c>
      <c r="K3677" s="5">
        <v>0.34200000000000003</v>
      </c>
      <c r="L3677" s="5">
        <v>1E-3</v>
      </c>
      <c r="M3677" s="5">
        <v>67708.085999999996</v>
      </c>
      <c r="N3677" s="6">
        <v>5.8999999999999997E-2</v>
      </c>
      <c r="O3677" s="5">
        <v>10.249000000000001</v>
      </c>
      <c r="P3677" s="6">
        <v>2.64E-2</v>
      </c>
      <c r="Q3677" s="5">
        <v>1139318.818</v>
      </c>
      <c r="R3677" s="1" t="s">
        <v>44</v>
      </c>
      <c r="T3677" s="1" t="s">
        <v>93</v>
      </c>
      <c r="V3677" s="1" t="s">
        <v>176</v>
      </c>
      <c r="Y3677" s="1" t="s">
        <v>346</v>
      </c>
      <c r="Z3677" s="1" t="str">
        <f t="shared" si="171"/>
        <v>60468 CT-1</v>
      </c>
      <c r="AA3677" s="3">
        <f>IF(INDEX('CAMD Facility Data 2023'!$AA$2:$AE$10000,MATCH(Z3677,'CAMD Facility Data 2023'!$AE$2:$AE$10000,0),1)&gt;0,INDEX('CAMD Facility Data 2023'!$AA$2:$AE$10000,MATCH(Z3677,'CAMD Facility Data 2023'!$AE$2:$AE$10000,0),1),"")</f>
        <v>43229</v>
      </c>
      <c r="AB3677" s="5">
        <f>IF(INDEX('CAMD Facility Data 2023'!$AC$2:$AE$10000,MATCH(Z3677,'CAMD Facility Data 2023'!$AE$2:$AE$10000,0),1)&gt;0,INDEX('CAMD Facility Data 2023'!$AC$2:$AE$10000,MATCH(Z3677,'CAMD Facility Data 2023'!$AE$2:$AE$10000,0),1),"")</f>
        <v>1500</v>
      </c>
      <c r="AC3677" s="1" t="str">
        <f>IF(INDEX('CAMD Facility Data 2023'!$AE$2:$AG$10000,MATCH(Z3677,'CAMD Facility Data 2023'!$AE$2:$AE$10000,0),3)&gt;0,INDEX('CAMD Facility Data 2023'!$AE$2:$AG$10000,MATCH(Z3677,'CAMD Facility Data 2023'!$AE$2:$AE$10000,0),3),"")</f>
        <v>Y</v>
      </c>
      <c r="AD3677" s="20">
        <f t="shared" si="172"/>
        <v>0.22870575171869617</v>
      </c>
      <c r="AE3677" s="25">
        <f t="shared" si="173"/>
        <v>8.6706150532724499E-2</v>
      </c>
    </row>
    <row r="3678" spans="1:31" x14ac:dyDescent="0.2">
      <c r="A3678" s="1" t="s">
        <v>2584</v>
      </c>
      <c r="B3678" s="1" t="s">
        <v>8165</v>
      </c>
      <c r="C3678" s="1">
        <v>60589</v>
      </c>
      <c r="D3678" s="1" t="s">
        <v>1296</v>
      </c>
      <c r="F3678" s="1">
        <v>2023</v>
      </c>
      <c r="G3678" s="5">
        <v>7777</v>
      </c>
      <c r="H3678" s="5">
        <v>7774.79</v>
      </c>
      <c r="I3678" s="5">
        <v>3860191.81</v>
      </c>
      <c r="K3678" s="5">
        <v>3.4</v>
      </c>
      <c r="L3678" s="5">
        <v>0</v>
      </c>
      <c r="M3678" s="5">
        <v>1429863.797</v>
      </c>
      <c r="N3678" s="6">
        <v>5.8000000000000003E-2</v>
      </c>
      <c r="O3678" s="5">
        <v>73.126999999999995</v>
      </c>
      <c r="P3678" s="6">
        <v>6.1999999999999998E-3</v>
      </c>
      <c r="Q3678" s="5">
        <v>24523049.693999998</v>
      </c>
      <c r="R3678" s="1" t="s">
        <v>284</v>
      </c>
      <c r="S3678" s="1" t="s">
        <v>450</v>
      </c>
      <c r="T3678" s="1" t="s">
        <v>71</v>
      </c>
      <c r="V3678" s="1" t="s">
        <v>64</v>
      </c>
      <c r="Y3678" s="1" t="s">
        <v>7828</v>
      </c>
      <c r="Z3678" s="1" t="str">
        <f t="shared" si="171"/>
        <v>60589 CT-1</v>
      </c>
      <c r="AA3678" s="3">
        <f>IF(INDEX('CAMD Facility Data 2023'!$AA$2:$AE$10000,MATCH(Z3678,'CAMD Facility Data 2023'!$AE$2:$AE$10000,0),1)&gt;0,INDEX('CAMD Facility Data 2023'!$AA$2:$AE$10000,MATCH(Z3678,'CAMD Facility Data 2023'!$AE$2:$AE$10000,0),1),"")</f>
        <v>43730</v>
      </c>
      <c r="AB3678" s="5">
        <f>IF(INDEX('CAMD Facility Data 2023'!$AC$2:$AE$10000,MATCH(Z3678,'CAMD Facility Data 2023'!$AE$2:$AE$10000,0),1)&gt;0,INDEX('CAMD Facility Data 2023'!$AC$2:$AE$10000,MATCH(Z3678,'CAMD Facility Data 2023'!$AE$2:$AE$10000,0),1),"")</f>
        <v>3763</v>
      </c>
      <c r="AC3678" s="1" t="str">
        <f>IF(INDEX('CAMD Facility Data 2023'!$AE$2:$AG$10000,MATCH(Z3678,'CAMD Facility Data 2023'!$AE$2:$AE$10000,0),3)&gt;0,INDEX('CAMD Facility Data 2023'!$AE$2:$AG$10000,MATCH(Z3678,'CAMD Facility Data 2023'!$AE$2:$AE$10000,0),3),"")</f>
        <v>Y</v>
      </c>
      <c r="AD3678" s="20">
        <f t="shared" si="172"/>
        <v>3.7887754598391318E-2</v>
      </c>
      <c r="AE3678" s="25">
        <f t="shared" si="173"/>
        <v>0.74393699085180498</v>
      </c>
    </row>
    <row r="3679" spans="1:31" x14ac:dyDescent="0.2">
      <c r="A3679" s="1" t="s">
        <v>2584</v>
      </c>
      <c r="B3679" s="1" t="s">
        <v>8165</v>
      </c>
      <c r="C3679" s="1">
        <v>60589</v>
      </c>
      <c r="D3679" s="1" t="s">
        <v>1300</v>
      </c>
      <c r="F3679" s="1">
        <v>2023</v>
      </c>
      <c r="G3679" s="5">
        <v>7020</v>
      </c>
      <c r="H3679" s="5">
        <v>7015.3</v>
      </c>
      <c r="I3679" s="5">
        <v>3481993.2</v>
      </c>
      <c r="K3679" s="5">
        <v>3.0590000000000002</v>
      </c>
      <c r="L3679" s="5">
        <v>0</v>
      </c>
      <c r="M3679" s="5">
        <v>1286035.7080000001</v>
      </c>
      <c r="N3679" s="6">
        <v>5.8000000000000003E-2</v>
      </c>
      <c r="O3679" s="5">
        <v>67.372</v>
      </c>
      <c r="P3679" s="6">
        <v>6.8999999999999999E-3</v>
      </c>
      <c r="Q3679" s="5">
        <v>22060496.313000001</v>
      </c>
      <c r="R3679" s="1" t="s">
        <v>284</v>
      </c>
      <c r="S3679" s="1" t="s">
        <v>450</v>
      </c>
      <c r="T3679" s="1" t="s">
        <v>71</v>
      </c>
      <c r="V3679" s="1" t="s">
        <v>64</v>
      </c>
      <c r="Y3679" s="1" t="s">
        <v>7828</v>
      </c>
      <c r="Z3679" s="1" t="str">
        <f t="shared" si="171"/>
        <v>60589 CT-2</v>
      </c>
      <c r="AA3679" s="3">
        <f>IF(INDEX('CAMD Facility Data 2023'!$AA$2:$AE$10000,MATCH(Z3679,'CAMD Facility Data 2023'!$AE$2:$AE$10000,0),1)&gt;0,INDEX('CAMD Facility Data 2023'!$AA$2:$AE$10000,MATCH(Z3679,'CAMD Facility Data 2023'!$AE$2:$AE$10000,0),1),"")</f>
        <v>43735</v>
      </c>
      <c r="AB3679" s="5">
        <f>IF(INDEX('CAMD Facility Data 2023'!$AC$2:$AE$10000,MATCH(Z3679,'CAMD Facility Data 2023'!$AE$2:$AE$10000,0),1)&gt;0,INDEX('CAMD Facility Data 2023'!$AC$2:$AE$10000,MATCH(Z3679,'CAMD Facility Data 2023'!$AE$2:$AE$10000,0),1),"")</f>
        <v>3763</v>
      </c>
      <c r="AC3679" s="1" t="str">
        <f>IF(INDEX('CAMD Facility Data 2023'!$AE$2:$AG$10000,MATCH(Z3679,'CAMD Facility Data 2023'!$AE$2:$AE$10000,0),3)&gt;0,INDEX('CAMD Facility Data 2023'!$AE$2:$AG$10000,MATCH(Z3679,'CAMD Facility Data 2023'!$AE$2:$AE$10000,0),3),"")</f>
        <v>Y</v>
      </c>
      <c r="AD3679" s="20">
        <f t="shared" si="172"/>
        <v>3.8697375974197763E-2</v>
      </c>
      <c r="AE3679" s="25">
        <f t="shared" si="173"/>
        <v>0.66923239354711883</v>
      </c>
    </row>
    <row r="3680" spans="1:31" x14ac:dyDescent="0.2">
      <c r="A3680" s="1" t="s">
        <v>370</v>
      </c>
      <c r="B3680" s="1" t="s">
        <v>8169</v>
      </c>
      <c r="C3680" s="1">
        <v>60698</v>
      </c>
      <c r="D3680" s="1" t="s">
        <v>4807</v>
      </c>
      <c r="F3680" s="1">
        <v>2023</v>
      </c>
      <c r="G3680" s="5">
        <v>80</v>
      </c>
      <c r="H3680" s="5">
        <v>46.65</v>
      </c>
      <c r="I3680" s="5">
        <v>1380.93</v>
      </c>
      <c r="K3680" s="5">
        <v>4.0000000000000001E-3</v>
      </c>
      <c r="L3680" s="5">
        <v>1E-3</v>
      </c>
      <c r="M3680" s="5">
        <v>875.56700000000001</v>
      </c>
      <c r="N3680" s="6">
        <v>5.9299999999999999E-2</v>
      </c>
      <c r="O3680" s="5">
        <v>7.8E-2</v>
      </c>
      <c r="P3680" s="6">
        <v>1.61E-2</v>
      </c>
      <c r="Q3680" s="5">
        <v>14731.477000000001</v>
      </c>
      <c r="R3680" s="1" t="s">
        <v>44</v>
      </c>
      <c r="T3680" s="1" t="s">
        <v>93</v>
      </c>
      <c r="V3680" s="1" t="s">
        <v>176</v>
      </c>
      <c r="Y3680" s="1" t="s">
        <v>247</v>
      </c>
      <c r="Z3680" s="1" t="str">
        <f t="shared" si="171"/>
        <v>60698 D1</v>
      </c>
      <c r="AA3680" s="3">
        <f>IF(INDEX('CAMD Facility Data 2023'!$AA$2:$AE$10000,MATCH(Z3680,'CAMD Facility Data 2023'!$AE$2:$AE$10000,0),1)&gt;0,INDEX('CAMD Facility Data 2023'!$AA$2:$AE$10000,MATCH(Z3680,'CAMD Facility Data 2023'!$AE$2:$AE$10000,0),1),"")</f>
        <v>43941</v>
      </c>
      <c r="AB3680" s="5">
        <f>IF(INDEX('CAMD Facility Data 2023'!$AC$2:$AE$10000,MATCH(Z3680,'CAMD Facility Data 2023'!$AE$2:$AE$10000,0),1)&gt;0,INDEX('CAMD Facility Data 2023'!$AC$2:$AE$10000,MATCH(Z3680,'CAMD Facility Data 2023'!$AE$2:$AE$10000,0),1),"")</f>
        <v>500</v>
      </c>
      <c r="AC3680" s="1" t="str">
        <f>IF(INDEX('CAMD Facility Data 2023'!$AE$2:$AG$10000,MATCH(Z3680,'CAMD Facility Data 2023'!$AE$2:$AE$10000,0),3)&gt;0,INDEX('CAMD Facility Data 2023'!$AE$2:$AG$10000,MATCH(Z3680,'CAMD Facility Data 2023'!$AE$2:$AE$10000,0),3),"")</f>
        <v>Y</v>
      </c>
      <c r="AD3680" s="20">
        <f t="shared" si="172"/>
        <v>0.11296734809150355</v>
      </c>
      <c r="AE3680" s="25">
        <f t="shared" si="173"/>
        <v>3.3633509132420091E-3</v>
      </c>
    </row>
    <row r="3681" spans="1:31" x14ac:dyDescent="0.2">
      <c r="A3681" s="1" t="s">
        <v>370</v>
      </c>
      <c r="B3681" s="1" t="s">
        <v>8169</v>
      </c>
      <c r="C3681" s="1">
        <v>60698</v>
      </c>
      <c r="D3681" s="1" t="s">
        <v>8172</v>
      </c>
      <c r="F3681" s="1">
        <v>2023</v>
      </c>
      <c r="G3681" s="5">
        <v>91</v>
      </c>
      <c r="H3681" s="5">
        <v>52.28</v>
      </c>
      <c r="I3681" s="5">
        <v>1418.26</v>
      </c>
      <c r="K3681" s="5">
        <v>5.0000000000000001E-3</v>
      </c>
      <c r="L3681" s="5">
        <v>1E-3</v>
      </c>
      <c r="M3681" s="5">
        <v>923.51099999999997</v>
      </c>
      <c r="N3681" s="6">
        <v>5.9299999999999999E-2</v>
      </c>
      <c r="O3681" s="5">
        <v>0.08</v>
      </c>
      <c r="P3681" s="6">
        <v>1.4800000000000001E-2</v>
      </c>
      <c r="Q3681" s="5">
        <v>15542.087</v>
      </c>
      <c r="R3681" s="1" t="s">
        <v>44</v>
      </c>
      <c r="T3681" s="1" t="s">
        <v>93</v>
      </c>
      <c r="V3681" s="1" t="s">
        <v>176</v>
      </c>
      <c r="Y3681" s="1" t="s">
        <v>247</v>
      </c>
      <c r="Z3681" s="1" t="str">
        <f t="shared" si="171"/>
        <v>60698 D7</v>
      </c>
      <c r="AA3681" s="3">
        <f>IF(INDEX('CAMD Facility Data 2023'!$AA$2:$AE$10000,MATCH(Z3681,'CAMD Facility Data 2023'!$AE$2:$AE$10000,0),1)&gt;0,INDEX('CAMD Facility Data 2023'!$AA$2:$AE$10000,MATCH(Z3681,'CAMD Facility Data 2023'!$AE$2:$AE$10000,0),1),"")</f>
        <v>43938</v>
      </c>
      <c r="AB3681" s="5">
        <f>IF(INDEX('CAMD Facility Data 2023'!$AC$2:$AE$10000,MATCH(Z3681,'CAMD Facility Data 2023'!$AE$2:$AE$10000,0),1)&gt;0,INDEX('CAMD Facility Data 2023'!$AC$2:$AE$10000,MATCH(Z3681,'CAMD Facility Data 2023'!$AE$2:$AE$10000,0),1),"")</f>
        <v>500</v>
      </c>
      <c r="AC3681" s="1" t="str">
        <f>IF(INDEX('CAMD Facility Data 2023'!$AE$2:$AG$10000,MATCH(Z3681,'CAMD Facility Data 2023'!$AE$2:$AE$10000,0),3)&gt;0,INDEX('CAMD Facility Data 2023'!$AE$2:$AG$10000,MATCH(Z3681,'CAMD Facility Data 2023'!$AE$2:$AE$10000,0),3),"")</f>
        <v>Y</v>
      </c>
      <c r="AD3681" s="20">
        <f t="shared" si="172"/>
        <v>0.11281429357099544</v>
      </c>
      <c r="AE3681" s="25">
        <f t="shared" si="173"/>
        <v>3.5484216894977167E-3</v>
      </c>
    </row>
    <row r="3682" spans="1:31" x14ac:dyDescent="0.2">
      <c r="A3682" s="1" t="s">
        <v>1568</v>
      </c>
      <c r="B3682" s="1" t="s">
        <v>8174</v>
      </c>
      <c r="C3682" s="1">
        <v>60903</v>
      </c>
      <c r="D3682" s="1">
        <v>1</v>
      </c>
      <c r="F3682" s="1">
        <v>2023</v>
      </c>
      <c r="G3682" s="5">
        <v>1768</v>
      </c>
      <c r="H3682" s="5">
        <v>1591.77</v>
      </c>
      <c r="I3682" s="5">
        <v>401677.45</v>
      </c>
      <c r="K3682" s="5">
        <v>0.85699999999999998</v>
      </c>
      <c r="L3682" s="5">
        <v>1E-3</v>
      </c>
      <c r="M3682" s="5">
        <v>169799.74299999999</v>
      </c>
      <c r="N3682" s="6">
        <v>5.8999999999999997E-2</v>
      </c>
      <c r="O3682" s="5">
        <v>10.965</v>
      </c>
      <c r="P3682" s="6">
        <v>1.1900000000000001E-2</v>
      </c>
      <c r="Q3682" s="5">
        <v>2857207.6069999998</v>
      </c>
      <c r="R3682" s="1" t="s">
        <v>44</v>
      </c>
      <c r="T3682" s="1" t="s">
        <v>71</v>
      </c>
      <c r="V3682" s="1" t="s">
        <v>64</v>
      </c>
      <c r="Y3682" s="1" t="s">
        <v>579</v>
      </c>
      <c r="Z3682" s="1" t="str">
        <f t="shared" si="171"/>
        <v>60903 1</v>
      </c>
      <c r="AA3682" s="3">
        <f>IF(INDEX('CAMD Facility Data 2023'!$AA$2:$AE$10000,MATCH(Z3682,'CAMD Facility Data 2023'!$AE$2:$AE$10000,0),1)&gt;0,INDEX('CAMD Facility Data 2023'!$AA$2:$AE$10000,MATCH(Z3682,'CAMD Facility Data 2023'!$AE$2:$AE$10000,0),1),"")</f>
        <v>43091</v>
      </c>
      <c r="AB3682" s="5">
        <f>IF(INDEX('CAMD Facility Data 2023'!$AC$2:$AE$10000,MATCH(Z3682,'CAMD Facility Data 2023'!$AE$2:$AE$10000,0),1)&gt;0,INDEX('CAMD Facility Data 2023'!$AC$2:$AE$10000,MATCH(Z3682,'CAMD Facility Data 2023'!$AE$2:$AE$10000,0),1),"")</f>
        <v>2700</v>
      </c>
      <c r="AC3682" s="1" t="str">
        <f>IF(INDEX('CAMD Facility Data 2023'!$AE$2:$AG$10000,MATCH(Z3682,'CAMD Facility Data 2023'!$AE$2:$AE$10000,0),3)&gt;0,INDEX('CAMD Facility Data 2023'!$AE$2:$AG$10000,MATCH(Z3682,'CAMD Facility Data 2023'!$AE$2:$AE$10000,0),3),"")</f>
        <v>Y</v>
      </c>
      <c r="AD3682" s="20">
        <f t="shared" si="172"/>
        <v>5.4596044662203462E-2</v>
      </c>
      <c r="AE3682" s="25">
        <f t="shared" si="173"/>
        <v>0.12080194516319973</v>
      </c>
    </row>
    <row r="3683" spans="1:31" x14ac:dyDescent="0.2">
      <c r="A3683" s="1" t="s">
        <v>1568</v>
      </c>
      <c r="B3683" s="1" t="s">
        <v>8174</v>
      </c>
      <c r="C3683" s="1">
        <v>60903</v>
      </c>
      <c r="D3683" s="1">
        <v>2</v>
      </c>
      <c r="F3683" s="1">
        <v>2023</v>
      </c>
      <c r="G3683" s="5">
        <v>1458</v>
      </c>
      <c r="H3683" s="5">
        <v>1297.8</v>
      </c>
      <c r="I3683" s="5">
        <v>322967.71999999997</v>
      </c>
      <c r="K3683" s="5">
        <v>0.68700000000000006</v>
      </c>
      <c r="L3683" s="5">
        <v>1E-3</v>
      </c>
      <c r="M3683" s="5">
        <v>135997.024</v>
      </c>
      <c r="N3683" s="6">
        <v>5.8999999999999997E-2</v>
      </c>
      <c r="O3683" s="5">
        <v>8.6929999999999996</v>
      </c>
      <c r="P3683" s="6">
        <v>1.18E-2</v>
      </c>
      <c r="Q3683" s="5">
        <v>2288416.4249999998</v>
      </c>
      <c r="R3683" s="1" t="s">
        <v>44</v>
      </c>
      <c r="T3683" s="1" t="s">
        <v>71</v>
      </c>
      <c r="V3683" s="1" t="s">
        <v>64</v>
      </c>
      <c r="Y3683" s="1" t="s">
        <v>579</v>
      </c>
      <c r="Z3683" s="1" t="str">
        <f t="shared" si="171"/>
        <v>60903 2</v>
      </c>
      <c r="AA3683" s="3">
        <f>IF(INDEX('CAMD Facility Data 2023'!$AA$2:$AE$10000,MATCH(Z3683,'CAMD Facility Data 2023'!$AE$2:$AE$10000,0),1)&gt;0,INDEX('CAMD Facility Data 2023'!$AA$2:$AE$10000,MATCH(Z3683,'CAMD Facility Data 2023'!$AE$2:$AE$10000,0),1),"")</f>
        <v>43141</v>
      </c>
      <c r="AB3683" s="5">
        <f>IF(INDEX('CAMD Facility Data 2023'!$AC$2:$AE$10000,MATCH(Z3683,'CAMD Facility Data 2023'!$AE$2:$AE$10000,0),1)&gt;0,INDEX('CAMD Facility Data 2023'!$AC$2:$AE$10000,MATCH(Z3683,'CAMD Facility Data 2023'!$AE$2:$AE$10000,0),1),"")</f>
        <v>2700</v>
      </c>
      <c r="AC3683" s="1" t="str">
        <f>IF(INDEX('CAMD Facility Data 2023'!$AE$2:$AG$10000,MATCH(Z3683,'CAMD Facility Data 2023'!$AE$2:$AE$10000,0),3)&gt;0,INDEX('CAMD Facility Data 2023'!$AE$2:$AG$10000,MATCH(Z3683,'CAMD Facility Data 2023'!$AE$2:$AE$10000,0),3),"")</f>
        <v>Y</v>
      </c>
      <c r="AD3683" s="20">
        <f t="shared" si="172"/>
        <v>5.3832005254271238E-2</v>
      </c>
      <c r="AE3683" s="25">
        <f t="shared" si="173"/>
        <v>9.6753611745306944E-2</v>
      </c>
    </row>
    <row r="3684" spans="1:31" x14ac:dyDescent="0.2">
      <c r="A3684" s="1" t="s">
        <v>383</v>
      </c>
      <c r="B3684" s="1" t="s">
        <v>8179</v>
      </c>
      <c r="C3684" s="1">
        <v>60910</v>
      </c>
      <c r="D3684" s="1" t="s">
        <v>8180</v>
      </c>
      <c r="F3684" s="1">
        <v>2023</v>
      </c>
      <c r="G3684" s="5">
        <v>0</v>
      </c>
      <c r="H3684" s="5">
        <v>0</v>
      </c>
      <c r="R3684" s="1" t="s">
        <v>44</v>
      </c>
      <c r="T3684" s="1" t="s">
        <v>93</v>
      </c>
      <c r="Y3684" s="1" t="s">
        <v>346</v>
      </c>
      <c r="Z3684" s="1" t="str">
        <f t="shared" si="171"/>
        <v>60910 1GT</v>
      </c>
      <c r="AA3684" s="3">
        <f>IF(INDEX('CAMD Facility Data 2023'!$AA$2:$AE$10000,MATCH(Z3684,'CAMD Facility Data 2023'!$AE$2:$AE$10000,0),1)&gt;0,INDEX('CAMD Facility Data 2023'!$AA$2:$AE$10000,MATCH(Z3684,'CAMD Facility Data 2023'!$AE$2:$AE$10000,0),1),"")</f>
        <v>44515</v>
      </c>
      <c r="AB3684" s="5">
        <f>IF(INDEX('CAMD Facility Data 2023'!$AC$2:$AE$10000,MATCH(Z3684,'CAMD Facility Data 2023'!$AE$2:$AE$10000,0),1)&gt;0,INDEX('CAMD Facility Data 2023'!$AC$2:$AE$10000,MATCH(Z3684,'CAMD Facility Data 2023'!$AE$2:$AE$10000,0),1),"")</f>
        <v>172</v>
      </c>
      <c r="AC3684" s="1" t="str">
        <f>IF(INDEX('CAMD Facility Data 2023'!$AE$2:$AG$10000,MATCH(Z3684,'CAMD Facility Data 2023'!$AE$2:$AE$10000,0),3)&gt;0,INDEX('CAMD Facility Data 2023'!$AE$2:$AG$10000,MATCH(Z3684,'CAMD Facility Data 2023'!$AE$2:$AE$10000,0),3),"")</f>
        <v/>
      </c>
      <c r="AD3684" s="20" t="str">
        <f t="shared" si="172"/>
        <v/>
      </c>
      <c r="AE3684" s="25">
        <f t="shared" si="173"/>
        <v>0</v>
      </c>
    </row>
    <row r="3685" spans="1:31" x14ac:dyDescent="0.2">
      <c r="A3685" s="1" t="s">
        <v>383</v>
      </c>
      <c r="B3685" s="1" t="s">
        <v>8184</v>
      </c>
      <c r="C3685" s="1">
        <v>60925</v>
      </c>
      <c r="D3685" s="1" t="s">
        <v>311</v>
      </c>
      <c r="F3685" s="1">
        <v>2023</v>
      </c>
      <c r="G3685" s="5">
        <v>8133</v>
      </c>
      <c r="H3685" s="5">
        <v>8126.57</v>
      </c>
      <c r="I3685" s="5">
        <v>3226173.81</v>
      </c>
      <c r="K3685" s="5">
        <v>6.6059999999999999</v>
      </c>
      <c r="L3685" s="5">
        <v>1E-3</v>
      </c>
      <c r="M3685" s="5">
        <v>1308511.99</v>
      </c>
      <c r="N3685" s="6">
        <v>5.8999999999999997E-2</v>
      </c>
      <c r="O3685" s="5">
        <v>67.221999999999994</v>
      </c>
      <c r="P3685" s="6">
        <v>6.3E-3</v>
      </c>
      <c r="Q3685" s="5">
        <v>22018081.254999999</v>
      </c>
      <c r="R3685" s="1" t="s">
        <v>44</v>
      </c>
      <c r="T3685" s="1" t="s">
        <v>71</v>
      </c>
      <c r="V3685" s="1" t="s">
        <v>64</v>
      </c>
      <c r="Y3685" s="1" t="s">
        <v>346</v>
      </c>
      <c r="Z3685" s="1" t="str">
        <f t="shared" si="171"/>
        <v>60925 CT1</v>
      </c>
      <c r="AA3685" s="3">
        <f>IF(INDEX('CAMD Facility Data 2023'!$AA$2:$AE$10000,MATCH(Z3685,'CAMD Facility Data 2023'!$AE$2:$AE$10000,0),1)&gt;0,INDEX('CAMD Facility Data 2023'!$AA$2:$AE$10000,MATCH(Z3685,'CAMD Facility Data 2023'!$AE$2:$AE$10000,0),1),"")</f>
        <v>44073</v>
      </c>
      <c r="AB3685" s="5">
        <f>IF(INDEX('CAMD Facility Data 2023'!$AC$2:$AE$10000,MATCH(Z3685,'CAMD Facility Data 2023'!$AE$2:$AE$10000,0),1)&gt;0,INDEX('CAMD Facility Data 2023'!$AC$2:$AE$10000,MATCH(Z3685,'CAMD Facility Data 2023'!$AE$2:$AE$10000,0),1),"")</f>
        <v>3800</v>
      </c>
      <c r="AC3685" s="1" t="str">
        <f>IF(INDEX('CAMD Facility Data 2023'!$AE$2:$AG$10000,MATCH(Z3685,'CAMD Facility Data 2023'!$AE$2:$AE$10000,0),3)&gt;0,INDEX('CAMD Facility Data 2023'!$AE$2:$AG$10000,MATCH(Z3685,'CAMD Facility Data 2023'!$AE$2:$AE$10000,0),3),"")</f>
        <v>Y</v>
      </c>
      <c r="AD3685" s="20">
        <f t="shared" si="172"/>
        <v>4.1672894244963198E-2</v>
      </c>
      <c r="AE3685" s="25">
        <f t="shared" si="173"/>
        <v>0.66144199876832488</v>
      </c>
    </row>
    <row r="3686" spans="1:31" x14ac:dyDescent="0.2">
      <c r="A3686" s="1" t="s">
        <v>383</v>
      </c>
      <c r="B3686" s="1" t="s">
        <v>8184</v>
      </c>
      <c r="C3686" s="1">
        <v>60925</v>
      </c>
      <c r="D3686" s="1" t="s">
        <v>98</v>
      </c>
      <c r="F3686" s="1">
        <v>2023</v>
      </c>
      <c r="G3686" s="5">
        <v>7972</v>
      </c>
      <c r="H3686" s="5">
        <v>7968.06</v>
      </c>
      <c r="I3686" s="5">
        <v>3128407.07</v>
      </c>
      <c r="K3686" s="5">
        <v>6.3659999999999997</v>
      </c>
      <c r="L3686" s="5">
        <v>1E-3</v>
      </c>
      <c r="M3686" s="5">
        <v>1261062.7409999999</v>
      </c>
      <c r="N3686" s="6">
        <v>5.8999999999999997E-2</v>
      </c>
      <c r="O3686" s="5">
        <v>64.893000000000001</v>
      </c>
      <c r="P3686" s="6">
        <v>6.1999999999999998E-3</v>
      </c>
      <c r="Q3686" s="5">
        <v>21219779.509</v>
      </c>
      <c r="R3686" s="1" t="s">
        <v>44</v>
      </c>
      <c r="T3686" s="1" t="s">
        <v>71</v>
      </c>
      <c r="V3686" s="1" t="s">
        <v>64</v>
      </c>
      <c r="Y3686" s="1" t="s">
        <v>346</v>
      </c>
      <c r="Z3686" s="1" t="str">
        <f t="shared" si="171"/>
        <v>60925 CT2</v>
      </c>
      <c r="AA3686" s="3">
        <f>IF(INDEX('CAMD Facility Data 2023'!$AA$2:$AE$10000,MATCH(Z3686,'CAMD Facility Data 2023'!$AE$2:$AE$10000,0),1)&gt;0,INDEX('CAMD Facility Data 2023'!$AA$2:$AE$10000,MATCH(Z3686,'CAMD Facility Data 2023'!$AE$2:$AE$10000,0),1),"")</f>
        <v>44078</v>
      </c>
      <c r="AB3686" s="5">
        <f>IF(INDEX('CAMD Facility Data 2023'!$AC$2:$AE$10000,MATCH(Z3686,'CAMD Facility Data 2023'!$AE$2:$AE$10000,0),1)&gt;0,INDEX('CAMD Facility Data 2023'!$AC$2:$AE$10000,MATCH(Z3686,'CAMD Facility Data 2023'!$AE$2:$AE$10000,0),1),"")</f>
        <v>3800</v>
      </c>
      <c r="AC3686" s="1" t="str">
        <f>IF(INDEX('CAMD Facility Data 2023'!$AE$2:$AG$10000,MATCH(Z3686,'CAMD Facility Data 2023'!$AE$2:$AE$10000,0),3)&gt;0,INDEX('CAMD Facility Data 2023'!$AE$2:$AG$10000,MATCH(Z3686,'CAMD Facility Data 2023'!$AE$2:$AE$10000,0),3),"")</f>
        <v>Y</v>
      </c>
      <c r="AD3686" s="20">
        <f t="shared" si="172"/>
        <v>4.1486289058923528E-2</v>
      </c>
      <c r="AE3686" s="25">
        <f t="shared" si="173"/>
        <v>0.63746033132059599</v>
      </c>
    </row>
    <row r="3687" spans="1:31" x14ac:dyDescent="0.2">
      <c r="A3687" s="1" t="s">
        <v>1426</v>
      </c>
      <c r="B3687" s="1" t="s">
        <v>8187</v>
      </c>
      <c r="C3687" s="1">
        <v>60926</v>
      </c>
      <c r="D3687" s="1" t="s">
        <v>372</v>
      </c>
      <c r="F3687" s="1">
        <v>2023</v>
      </c>
      <c r="G3687" s="5">
        <v>7143</v>
      </c>
      <c r="H3687" s="5">
        <v>7111.14</v>
      </c>
      <c r="I3687" s="5">
        <v>2649709.13</v>
      </c>
      <c r="K3687" s="5">
        <v>5.5220000000000002</v>
      </c>
      <c r="L3687" s="5">
        <v>1E-3</v>
      </c>
      <c r="M3687" s="5">
        <v>1093886.287</v>
      </c>
      <c r="N3687" s="6">
        <v>5.8999999999999997E-2</v>
      </c>
      <c r="O3687" s="5">
        <v>75.173000000000002</v>
      </c>
      <c r="P3687" s="6">
        <v>1.0999999999999999E-2</v>
      </c>
      <c r="Q3687" s="5">
        <v>18406747.833999999</v>
      </c>
      <c r="R3687" s="1" t="s">
        <v>44</v>
      </c>
      <c r="T3687" s="1" t="s">
        <v>71</v>
      </c>
      <c r="V3687" s="1" t="s">
        <v>64</v>
      </c>
      <c r="Y3687" s="1" t="s">
        <v>1428</v>
      </c>
      <c r="Z3687" s="1" t="str">
        <f t="shared" si="171"/>
        <v>60926 1A</v>
      </c>
      <c r="AA3687" s="3">
        <f>IF(INDEX('CAMD Facility Data 2023'!$AA$2:$AE$10000,MATCH(Z3687,'CAMD Facility Data 2023'!$AE$2:$AE$10000,0),1)&gt;0,INDEX('CAMD Facility Data 2023'!$AA$2:$AE$10000,MATCH(Z3687,'CAMD Facility Data 2023'!$AE$2:$AE$10000,0),1),"")</f>
        <v>43524</v>
      </c>
      <c r="AB3687" s="5">
        <f>IF(INDEX('CAMD Facility Data 2023'!$AC$2:$AE$10000,MATCH(Z3687,'CAMD Facility Data 2023'!$AE$2:$AE$10000,0),1)&gt;0,INDEX('CAMD Facility Data 2023'!$AC$2:$AE$10000,MATCH(Z3687,'CAMD Facility Data 2023'!$AE$2:$AE$10000,0),1),"")</f>
        <v>3750</v>
      </c>
      <c r="AC3687" s="1" t="str">
        <f>IF(INDEX('CAMD Facility Data 2023'!$AE$2:$AG$10000,MATCH(Z3687,'CAMD Facility Data 2023'!$AE$2:$AE$10000,0),3)&gt;0,INDEX('CAMD Facility Data 2023'!$AE$2:$AG$10000,MATCH(Z3687,'CAMD Facility Data 2023'!$AE$2:$AE$10000,0),3),"")</f>
        <v>Y</v>
      </c>
      <c r="AD3687" s="20">
        <f t="shared" si="172"/>
        <v>5.6740567595810039E-2</v>
      </c>
      <c r="AE3687" s="25">
        <f t="shared" si="173"/>
        <v>0.56032717911719931</v>
      </c>
    </row>
    <row r="3688" spans="1:31" x14ac:dyDescent="0.2">
      <c r="A3688" s="1" t="s">
        <v>1426</v>
      </c>
      <c r="B3688" s="1" t="s">
        <v>8187</v>
      </c>
      <c r="C3688" s="1">
        <v>60926</v>
      </c>
      <c r="D3688" s="1" t="s">
        <v>1199</v>
      </c>
      <c r="F3688" s="1">
        <v>2023</v>
      </c>
      <c r="G3688" s="5">
        <v>6730</v>
      </c>
      <c r="H3688" s="5">
        <v>6698.11</v>
      </c>
      <c r="I3688" s="5">
        <v>2529765.2999999998</v>
      </c>
      <c r="K3688" s="5">
        <v>5.2679999999999998</v>
      </c>
      <c r="L3688" s="5">
        <v>1E-3</v>
      </c>
      <c r="M3688" s="5">
        <v>1043486.106</v>
      </c>
      <c r="N3688" s="6">
        <v>5.8999999999999997E-2</v>
      </c>
      <c r="O3688" s="5">
        <v>69.12</v>
      </c>
      <c r="P3688" s="6">
        <v>1.11E-2</v>
      </c>
      <c r="Q3688" s="5">
        <v>17558657.866999999</v>
      </c>
      <c r="R3688" s="1" t="s">
        <v>44</v>
      </c>
      <c r="T3688" s="1" t="s">
        <v>71</v>
      </c>
      <c r="V3688" s="1" t="s">
        <v>64</v>
      </c>
      <c r="Y3688" s="1" t="s">
        <v>1428</v>
      </c>
      <c r="Z3688" s="1" t="str">
        <f t="shared" si="171"/>
        <v>60926 1B</v>
      </c>
      <c r="AA3688" s="3">
        <f>IF(INDEX('CAMD Facility Data 2023'!$AA$2:$AE$10000,MATCH(Z3688,'CAMD Facility Data 2023'!$AE$2:$AE$10000,0),1)&gt;0,INDEX('CAMD Facility Data 2023'!$AA$2:$AE$10000,MATCH(Z3688,'CAMD Facility Data 2023'!$AE$2:$AE$10000,0),1),"")</f>
        <v>43520</v>
      </c>
      <c r="AB3688" s="5">
        <f>IF(INDEX('CAMD Facility Data 2023'!$AC$2:$AE$10000,MATCH(Z3688,'CAMD Facility Data 2023'!$AE$2:$AE$10000,0),1)&gt;0,INDEX('CAMD Facility Data 2023'!$AC$2:$AE$10000,MATCH(Z3688,'CAMD Facility Data 2023'!$AE$2:$AE$10000,0),1),"")</f>
        <v>3620</v>
      </c>
      <c r="AC3688" s="1" t="str">
        <f>IF(INDEX('CAMD Facility Data 2023'!$AE$2:$AG$10000,MATCH(Z3688,'CAMD Facility Data 2023'!$AE$2:$AE$10000,0),3)&gt;0,INDEX('CAMD Facility Data 2023'!$AE$2:$AG$10000,MATCH(Z3688,'CAMD Facility Data 2023'!$AE$2:$AE$10000,0),3),"")</f>
        <v>Y</v>
      </c>
      <c r="AD3688" s="20">
        <f t="shared" si="172"/>
        <v>5.4645385482993226E-2</v>
      </c>
      <c r="AE3688" s="25">
        <f t="shared" si="173"/>
        <v>0.55370524820883471</v>
      </c>
    </row>
    <row r="3689" spans="1:31" x14ac:dyDescent="0.2">
      <c r="A3689" s="1" t="s">
        <v>1426</v>
      </c>
      <c r="B3689" s="1" t="s">
        <v>8190</v>
      </c>
      <c r="C3689" s="1">
        <v>60927</v>
      </c>
      <c r="D3689" s="1" t="s">
        <v>372</v>
      </c>
      <c r="F3689" s="1">
        <v>2023</v>
      </c>
      <c r="G3689" s="5">
        <v>7884</v>
      </c>
      <c r="H3689" s="5">
        <v>7875.63</v>
      </c>
      <c r="I3689" s="5">
        <v>3031583.59</v>
      </c>
      <c r="K3689" s="5">
        <v>5.8659999999999997</v>
      </c>
      <c r="L3689" s="5">
        <v>1E-3</v>
      </c>
      <c r="M3689" s="5">
        <v>1161893.0279999999</v>
      </c>
      <c r="N3689" s="6">
        <v>5.8999999999999997E-2</v>
      </c>
      <c r="O3689" s="5">
        <v>75.105999999999995</v>
      </c>
      <c r="P3689" s="6">
        <v>8.3999999999999995E-3</v>
      </c>
      <c r="Q3689" s="5">
        <v>19551087.780999999</v>
      </c>
      <c r="R3689" s="1" t="s">
        <v>44</v>
      </c>
      <c r="T3689" s="1" t="s">
        <v>71</v>
      </c>
      <c r="V3689" s="1" t="s">
        <v>64</v>
      </c>
      <c r="Y3689" s="1" t="s">
        <v>1428</v>
      </c>
      <c r="Z3689" s="1" t="str">
        <f t="shared" si="171"/>
        <v>60927 1A</v>
      </c>
      <c r="AA3689" s="3">
        <f>IF(INDEX('CAMD Facility Data 2023'!$AA$2:$AE$10000,MATCH(Z3689,'CAMD Facility Data 2023'!$AE$2:$AE$10000,0),1)&gt;0,INDEX('CAMD Facility Data 2023'!$AA$2:$AE$10000,MATCH(Z3689,'CAMD Facility Data 2023'!$AE$2:$AE$10000,0),1),"")</f>
        <v>43835</v>
      </c>
      <c r="AB3689" s="5">
        <f>IF(INDEX('CAMD Facility Data 2023'!$AC$2:$AE$10000,MATCH(Z3689,'CAMD Facility Data 2023'!$AE$2:$AE$10000,0),1)&gt;0,INDEX('CAMD Facility Data 2023'!$AC$2:$AE$10000,MATCH(Z3689,'CAMD Facility Data 2023'!$AE$2:$AE$10000,0),1),"")</f>
        <v>3650</v>
      </c>
      <c r="AC3689" s="1" t="str">
        <f>IF(INDEX('CAMD Facility Data 2023'!$AE$2:$AG$10000,MATCH(Z3689,'CAMD Facility Data 2023'!$AE$2:$AE$10000,0),3)&gt;0,INDEX('CAMD Facility Data 2023'!$AE$2:$AG$10000,MATCH(Z3689,'CAMD Facility Data 2023'!$AE$2:$AE$10000,0),3),"")</f>
        <v>Y</v>
      </c>
      <c r="AD3689" s="20">
        <f t="shared" si="172"/>
        <v>4.9549021341681036E-2</v>
      </c>
      <c r="AE3689" s="25">
        <f t="shared" si="173"/>
        <v>0.61146831115906675</v>
      </c>
    </row>
    <row r="3690" spans="1:31" x14ac:dyDescent="0.2">
      <c r="A3690" s="1" t="s">
        <v>1426</v>
      </c>
      <c r="B3690" s="1" t="s">
        <v>8190</v>
      </c>
      <c r="C3690" s="1">
        <v>60927</v>
      </c>
      <c r="D3690" s="1" t="s">
        <v>1199</v>
      </c>
      <c r="F3690" s="1">
        <v>2023</v>
      </c>
      <c r="G3690" s="5">
        <v>7821</v>
      </c>
      <c r="H3690" s="5">
        <v>7808.89</v>
      </c>
      <c r="I3690" s="5">
        <v>3001122.44</v>
      </c>
      <c r="K3690" s="5">
        <v>5.8120000000000003</v>
      </c>
      <c r="L3690" s="5">
        <v>1E-3</v>
      </c>
      <c r="M3690" s="5">
        <v>1151354.132</v>
      </c>
      <c r="N3690" s="6">
        <v>5.8999999999999997E-2</v>
      </c>
      <c r="O3690" s="5">
        <v>70.902000000000001</v>
      </c>
      <c r="P3690" s="6">
        <v>8.0999999999999996E-3</v>
      </c>
      <c r="Q3690" s="5">
        <v>19373752.475000001</v>
      </c>
      <c r="R3690" s="1" t="s">
        <v>44</v>
      </c>
      <c r="T3690" s="1" t="s">
        <v>71</v>
      </c>
      <c r="V3690" s="1" t="s">
        <v>64</v>
      </c>
      <c r="Y3690" s="1" t="s">
        <v>1428</v>
      </c>
      <c r="Z3690" s="1" t="str">
        <f t="shared" si="171"/>
        <v>60927 1B</v>
      </c>
      <c r="AA3690" s="3">
        <f>IF(INDEX('CAMD Facility Data 2023'!$AA$2:$AE$10000,MATCH(Z3690,'CAMD Facility Data 2023'!$AE$2:$AE$10000,0),1)&gt;0,INDEX('CAMD Facility Data 2023'!$AA$2:$AE$10000,MATCH(Z3690,'CAMD Facility Data 2023'!$AE$2:$AE$10000,0),1),"")</f>
        <v>43842</v>
      </c>
      <c r="AB3690" s="5">
        <f>IF(INDEX('CAMD Facility Data 2023'!$AC$2:$AE$10000,MATCH(Z3690,'CAMD Facility Data 2023'!$AE$2:$AE$10000,0),1)&gt;0,INDEX('CAMD Facility Data 2023'!$AC$2:$AE$10000,MATCH(Z3690,'CAMD Facility Data 2023'!$AE$2:$AE$10000,0),1),"")</f>
        <v>3550</v>
      </c>
      <c r="AC3690" s="1" t="str">
        <f>IF(INDEX('CAMD Facility Data 2023'!$AE$2:$AG$10000,MATCH(Z3690,'CAMD Facility Data 2023'!$AE$2:$AE$10000,0),3)&gt;0,INDEX('CAMD Facility Data 2023'!$AE$2:$AG$10000,MATCH(Z3690,'CAMD Facility Data 2023'!$AE$2:$AE$10000,0),3),"")</f>
        <v>Y</v>
      </c>
      <c r="AD3690" s="20">
        <f t="shared" si="172"/>
        <v>4.7250321449730653E-2</v>
      </c>
      <c r="AE3690" s="25">
        <f t="shared" si="173"/>
        <v>0.62299030403884503</v>
      </c>
    </row>
    <row r="3691" spans="1:31" x14ac:dyDescent="0.2">
      <c r="A3691" s="1" t="s">
        <v>2584</v>
      </c>
      <c r="B3691" s="1" t="s">
        <v>8193</v>
      </c>
      <c r="C3691" s="1">
        <v>61028</v>
      </c>
      <c r="D3691" s="1" t="s">
        <v>311</v>
      </c>
      <c r="F3691" s="1">
        <v>2023</v>
      </c>
      <c r="G3691" s="5">
        <v>7442</v>
      </c>
      <c r="H3691" s="5">
        <v>7429.39</v>
      </c>
      <c r="I3691" s="5">
        <v>3366138.96</v>
      </c>
      <c r="K3691" s="5">
        <v>6.7270000000000003</v>
      </c>
      <c r="L3691" s="5">
        <v>1E-3</v>
      </c>
      <c r="M3691" s="5">
        <v>1332547.9850000001</v>
      </c>
      <c r="N3691" s="6">
        <v>5.8999999999999997E-2</v>
      </c>
      <c r="O3691" s="5">
        <v>68.007000000000005</v>
      </c>
      <c r="P3691" s="6">
        <v>6.1999999999999998E-3</v>
      </c>
      <c r="Q3691" s="5">
        <v>22422731.274999999</v>
      </c>
      <c r="R3691" s="1" t="s">
        <v>44</v>
      </c>
      <c r="T3691" s="1" t="s">
        <v>71</v>
      </c>
      <c r="V3691" s="1" t="s">
        <v>64</v>
      </c>
      <c r="Y3691" s="1" t="s">
        <v>7828</v>
      </c>
      <c r="Z3691" s="1" t="str">
        <f t="shared" si="171"/>
        <v>61028 CT1</v>
      </c>
      <c r="AA3691" s="3">
        <f>IF(INDEX('CAMD Facility Data 2023'!$AA$2:$AE$10000,MATCH(Z3691,'CAMD Facility Data 2023'!$AE$2:$AE$10000,0),1)&gt;0,INDEX('CAMD Facility Data 2023'!$AA$2:$AE$10000,MATCH(Z3691,'CAMD Facility Data 2023'!$AE$2:$AE$10000,0),1),"")</f>
        <v>43768</v>
      </c>
      <c r="AB3691" s="5">
        <f>IF(INDEX('CAMD Facility Data 2023'!$AC$2:$AE$10000,MATCH(Z3691,'CAMD Facility Data 2023'!$AE$2:$AE$10000,0),1)&gt;0,INDEX('CAMD Facility Data 2023'!$AC$2:$AE$10000,MATCH(Z3691,'CAMD Facility Data 2023'!$AE$2:$AE$10000,0),1),"")</f>
        <v>3550</v>
      </c>
      <c r="AC3691" s="1" t="str">
        <f>IF(INDEX('CAMD Facility Data 2023'!$AE$2:$AG$10000,MATCH(Z3691,'CAMD Facility Data 2023'!$AE$2:$AE$10000,0),3)&gt;0,INDEX('CAMD Facility Data 2023'!$AE$2:$AG$10000,MATCH(Z3691,'CAMD Facility Data 2023'!$AE$2:$AE$10000,0),3),"")</f>
        <v>Y</v>
      </c>
      <c r="AD3691" s="20">
        <f t="shared" si="172"/>
        <v>4.0406531523582735E-2</v>
      </c>
      <c r="AE3691" s="25">
        <f t="shared" si="173"/>
        <v>0.72103451266962504</v>
      </c>
    </row>
    <row r="3692" spans="1:31" x14ac:dyDescent="0.2">
      <c r="A3692" s="1" t="s">
        <v>2584</v>
      </c>
      <c r="B3692" s="1" t="s">
        <v>8193</v>
      </c>
      <c r="C3692" s="1">
        <v>61028</v>
      </c>
      <c r="D3692" s="1" t="s">
        <v>98</v>
      </c>
      <c r="F3692" s="1">
        <v>2023</v>
      </c>
      <c r="G3692" s="5">
        <v>7470</v>
      </c>
      <c r="H3692" s="5">
        <v>7460.94</v>
      </c>
      <c r="I3692" s="5">
        <v>3323733.45</v>
      </c>
      <c r="K3692" s="5">
        <v>6.7220000000000004</v>
      </c>
      <c r="L3692" s="5">
        <v>1E-3</v>
      </c>
      <c r="M3692" s="5">
        <v>1331642.4269999999</v>
      </c>
      <c r="N3692" s="6">
        <v>5.8999999999999997E-2</v>
      </c>
      <c r="O3692" s="5">
        <v>68.027000000000001</v>
      </c>
      <c r="P3692" s="6">
        <v>6.1999999999999998E-3</v>
      </c>
      <c r="Q3692" s="5">
        <v>22407492.822000001</v>
      </c>
      <c r="R3692" s="1" t="s">
        <v>44</v>
      </c>
      <c r="T3692" s="1" t="s">
        <v>71</v>
      </c>
      <c r="V3692" s="1" t="s">
        <v>64</v>
      </c>
      <c r="Y3692" s="1" t="s">
        <v>7828</v>
      </c>
      <c r="Z3692" s="1" t="str">
        <f t="shared" si="171"/>
        <v>61028 CT2</v>
      </c>
      <c r="AA3692" s="3">
        <f>IF(INDEX('CAMD Facility Data 2023'!$AA$2:$AE$10000,MATCH(Z3692,'CAMD Facility Data 2023'!$AE$2:$AE$10000,0),1)&gt;0,INDEX('CAMD Facility Data 2023'!$AA$2:$AE$10000,MATCH(Z3692,'CAMD Facility Data 2023'!$AE$2:$AE$10000,0),1),"")</f>
        <v>43773</v>
      </c>
      <c r="AB3692" s="5">
        <f>IF(INDEX('CAMD Facility Data 2023'!$AC$2:$AE$10000,MATCH(Z3692,'CAMD Facility Data 2023'!$AE$2:$AE$10000,0),1)&gt;0,INDEX('CAMD Facility Data 2023'!$AC$2:$AE$10000,MATCH(Z3692,'CAMD Facility Data 2023'!$AE$2:$AE$10000,0),1),"")</f>
        <v>3550</v>
      </c>
      <c r="AC3692" s="1" t="str">
        <f>IF(INDEX('CAMD Facility Data 2023'!$AE$2:$AG$10000,MATCH(Z3692,'CAMD Facility Data 2023'!$AE$2:$AE$10000,0),3)&gt;0,INDEX('CAMD Facility Data 2023'!$AE$2:$AG$10000,MATCH(Z3692,'CAMD Facility Data 2023'!$AE$2:$AE$10000,0),3),"")</f>
        <v>Y</v>
      </c>
      <c r="AD3692" s="20">
        <f t="shared" si="172"/>
        <v>4.0934088742886406E-2</v>
      </c>
      <c r="AE3692" s="25">
        <f t="shared" si="173"/>
        <v>0.7205444987459001</v>
      </c>
    </row>
    <row r="3693" spans="1:31" x14ac:dyDescent="0.2">
      <c r="A3693" s="1" t="s">
        <v>2584</v>
      </c>
      <c r="B3693" s="1" t="s">
        <v>8197</v>
      </c>
      <c r="C3693" s="1">
        <v>61035</v>
      </c>
      <c r="D3693" s="1">
        <v>1</v>
      </c>
      <c r="F3693" s="1">
        <v>2023</v>
      </c>
      <c r="G3693" s="5">
        <v>7187</v>
      </c>
      <c r="H3693" s="5">
        <v>7170.99</v>
      </c>
      <c r="I3693" s="5">
        <v>3311168.26</v>
      </c>
      <c r="K3693" s="5">
        <v>6.194</v>
      </c>
      <c r="L3693" s="5">
        <v>1E-3</v>
      </c>
      <c r="M3693" s="5">
        <v>1226872.754</v>
      </c>
      <c r="N3693" s="6">
        <v>5.8999999999999997E-2</v>
      </c>
      <c r="O3693" s="5">
        <v>61.835000000000001</v>
      </c>
      <c r="P3693" s="6">
        <v>6.7000000000000002E-3</v>
      </c>
      <c r="Q3693" s="5">
        <v>20644469.497000001</v>
      </c>
      <c r="R3693" s="1" t="s">
        <v>44</v>
      </c>
      <c r="T3693" s="1" t="s">
        <v>71</v>
      </c>
      <c r="V3693" s="1" t="s">
        <v>64</v>
      </c>
      <c r="Y3693" s="1" t="s">
        <v>7828</v>
      </c>
      <c r="Z3693" s="1" t="str">
        <f t="shared" si="171"/>
        <v>61035 1</v>
      </c>
      <c r="AA3693" s="3">
        <f>IF(INDEX('CAMD Facility Data 2023'!$AA$2:$AE$10000,MATCH(Z3693,'CAMD Facility Data 2023'!$AE$2:$AE$10000,0),1)&gt;0,INDEX('CAMD Facility Data 2023'!$AA$2:$AE$10000,MATCH(Z3693,'CAMD Facility Data 2023'!$AE$2:$AE$10000,0),1),"")</f>
        <v>43503</v>
      </c>
      <c r="AB3693" s="5">
        <f>IF(INDEX('CAMD Facility Data 2023'!$AC$2:$AE$10000,MATCH(Z3693,'CAMD Facility Data 2023'!$AE$2:$AE$10000,0),1)&gt;0,INDEX('CAMD Facility Data 2023'!$AC$2:$AE$10000,MATCH(Z3693,'CAMD Facility Data 2023'!$AE$2:$AE$10000,0),1),"")</f>
        <v>3345</v>
      </c>
      <c r="AC3693" s="1" t="str">
        <f>IF(INDEX('CAMD Facility Data 2023'!$AE$2:$AG$10000,MATCH(Z3693,'CAMD Facility Data 2023'!$AE$2:$AE$10000,0),3)&gt;0,INDEX('CAMD Facility Data 2023'!$AE$2:$AG$10000,MATCH(Z3693,'CAMD Facility Data 2023'!$AE$2:$AE$10000,0),3),"")</f>
        <v>Y</v>
      </c>
      <c r="AD3693" s="20">
        <f t="shared" si="172"/>
        <v>3.7349355360153158E-2</v>
      </c>
      <c r="AE3693" s="25">
        <f t="shared" si="173"/>
        <v>0.70453650227627962</v>
      </c>
    </row>
    <row r="3694" spans="1:31" x14ac:dyDescent="0.2">
      <c r="A3694" s="1" t="s">
        <v>2750</v>
      </c>
      <c r="B3694" s="1" t="s">
        <v>8200</v>
      </c>
      <c r="C3694" s="1">
        <v>61144</v>
      </c>
      <c r="D3694" s="1">
        <v>1</v>
      </c>
      <c r="F3694" s="1">
        <v>2023</v>
      </c>
      <c r="G3694" s="5">
        <v>2108</v>
      </c>
      <c r="H3694" s="5">
        <v>1870.32</v>
      </c>
      <c r="I3694" s="5">
        <v>407920.4</v>
      </c>
      <c r="K3694" s="5">
        <v>1.2669999999999999</v>
      </c>
      <c r="L3694" s="5">
        <v>1E-3</v>
      </c>
      <c r="M3694" s="5">
        <v>250974.584</v>
      </c>
      <c r="N3694" s="6">
        <v>5.8999999999999997E-2</v>
      </c>
      <c r="O3694" s="5">
        <v>50.956000000000003</v>
      </c>
      <c r="P3694" s="6">
        <v>2.5600000000000001E-2</v>
      </c>
      <c r="Q3694" s="5">
        <v>4223136.6670000004</v>
      </c>
      <c r="R3694" s="1" t="s">
        <v>44</v>
      </c>
      <c r="T3694" s="1" t="s">
        <v>93</v>
      </c>
      <c r="V3694" s="1" t="s">
        <v>140</v>
      </c>
      <c r="Y3694" s="1" t="s">
        <v>312</v>
      </c>
      <c r="Z3694" s="1" t="str">
        <f t="shared" si="171"/>
        <v>61144 1</v>
      </c>
      <c r="AA3694" s="3">
        <f>IF(INDEX('CAMD Facility Data 2023'!$AA$2:$AE$10000,MATCH(Z3694,'CAMD Facility Data 2023'!$AE$2:$AE$10000,0),1)&gt;0,INDEX('CAMD Facility Data 2023'!$AA$2:$AE$10000,MATCH(Z3694,'CAMD Facility Data 2023'!$AE$2:$AE$10000,0),1),"")</f>
        <v>44229</v>
      </c>
      <c r="AB3694" s="5">
        <f>IF(INDEX('CAMD Facility Data 2023'!$AC$2:$AE$10000,MATCH(Z3694,'CAMD Facility Data 2023'!$AE$2:$AE$10000,0),1)&gt;0,INDEX('CAMD Facility Data 2023'!$AC$2:$AE$10000,MATCH(Z3694,'CAMD Facility Data 2023'!$AE$2:$AE$10000,0),1),"")</f>
        <v>3000</v>
      </c>
      <c r="AC3694" s="1" t="str">
        <f>IF(INDEX('CAMD Facility Data 2023'!$AE$2:$AG$10000,MATCH(Z3694,'CAMD Facility Data 2023'!$AE$2:$AE$10000,0),3)&gt;0,INDEX('CAMD Facility Data 2023'!$AE$2:$AG$10000,MATCH(Z3694,'CAMD Facility Data 2023'!$AE$2:$AE$10000,0),3),"")</f>
        <v/>
      </c>
      <c r="AD3694" s="20">
        <f t="shared" si="172"/>
        <v>0.24983305566478164</v>
      </c>
      <c r="AE3694" s="25">
        <f t="shared" si="173"/>
        <v>0.16069774227549469</v>
      </c>
    </row>
    <row r="3695" spans="1:31" x14ac:dyDescent="0.2">
      <c r="A3695" s="1" t="s">
        <v>383</v>
      </c>
      <c r="B3695" s="1" t="s">
        <v>8204</v>
      </c>
      <c r="C3695" s="1">
        <v>61241</v>
      </c>
      <c r="D3695" s="1" t="s">
        <v>311</v>
      </c>
      <c r="F3695" s="1">
        <v>2023</v>
      </c>
      <c r="G3695" s="5">
        <v>1010</v>
      </c>
      <c r="H3695" s="5">
        <v>835.01</v>
      </c>
      <c r="I3695" s="5">
        <v>29731.35</v>
      </c>
      <c r="K3695" s="5">
        <v>8.4000000000000005E-2</v>
      </c>
      <c r="L3695" s="5">
        <v>1E-3</v>
      </c>
      <c r="M3695" s="5">
        <v>16559.262999999999</v>
      </c>
      <c r="N3695" s="6">
        <v>5.9299999999999999E-2</v>
      </c>
      <c r="O3695" s="5">
        <v>1.575</v>
      </c>
      <c r="P3695" s="6">
        <v>2.1600000000000001E-2</v>
      </c>
      <c r="Q3695" s="5">
        <v>278648.81199999998</v>
      </c>
      <c r="R3695" s="1" t="s">
        <v>44</v>
      </c>
      <c r="T3695" s="1" t="s">
        <v>93</v>
      </c>
      <c r="V3695" s="1" t="s">
        <v>2111</v>
      </c>
      <c r="Y3695" s="1" t="s">
        <v>346</v>
      </c>
      <c r="Z3695" s="1" t="str">
        <f t="shared" si="171"/>
        <v>61241 CT1</v>
      </c>
      <c r="AA3695" s="3">
        <f>IF(INDEX('CAMD Facility Data 2023'!$AA$2:$AE$10000,MATCH(Z3695,'CAMD Facility Data 2023'!$AE$2:$AE$10000,0),1)&gt;0,INDEX('CAMD Facility Data 2023'!$AA$2:$AE$10000,MATCH(Z3695,'CAMD Facility Data 2023'!$AE$2:$AE$10000,0),1),"")</f>
        <v>43816</v>
      </c>
      <c r="AB3695" s="5">
        <f>IF(INDEX('CAMD Facility Data 2023'!$AC$2:$AE$10000,MATCH(Z3695,'CAMD Facility Data 2023'!$AE$2:$AE$10000,0),1)&gt;0,INDEX('CAMD Facility Data 2023'!$AC$2:$AE$10000,MATCH(Z3695,'CAMD Facility Data 2023'!$AE$2:$AE$10000,0),1),"")</f>
        <v>473</v>
      </c>
      <c r="AC3695" s="1" t="str">
        <f>IF(INDEX('CAMD Facility Data 2023'!$AE$2:$AG$10000,MATCH(Z3695,'CAMD Facility Data 2023'!$AE$2:$AE$10000,0),3)&gt;0,INDEX('CAMD Facility Data 2023'!$AE$2:$AG$10000,MATCH(Z3695,'CAMD Facility Data 2023'!$AE$2:$AE$10000,0),3),"")</f>
        <v>Y</v>
      </c>
      <c r="AD3695" s="20">
        <f t="shared" si="172"/>
        <v>0.10594877124651253</v>
      </c>
      <c r="AE3695" s="25">
        <f t="shared" si="173"/>
        <v>6.7249947387220399E-2</v>
      </c>
    </row>
    <row r="3696" spans="1:31" x14ac:dyDescent="0.2">
      <c r="A3696" s="1" t="s">
        <v>383</v>
      </c>
      <c r="B3696" s="1" t="s">
        <v>8204</v>
      </c>
      <c r="C3696" s="1">
        <v>61241</v>
      </c>
      <c r="D3696" s="1" t="s">
        <v>98</v>
      </c>
      <c r="F3696" s="1">
        <v>2023</v>
      </c>
      <c r="G3696" s="5">
        <v>427</v>
      </c>
      <c r="H3696" s="5">
        <v>341.51</v>
      </c>
      <c r="I3696" s="5">
        <v>13209.12</v>
      </c>
      <c r="K3696" s="5">
        <v>3.6999999999999998E-2</v>
      </c>
      <c r="L3696" s="5">
        <v>1E-3</v>
      </c>
      <c r="M3696" s="5">
        <v>7255.5190000000002</v>
      </c>
      <c r="N3696" s="6">
        <v>5.9200000000000003E-2</v>
      </c>
      <c r="O3696" s="5">
        <v>0.76700000000000002</v>
      </c>
      <c r="P3696" s="6">
        <v>2.2499999999999999E-2</v>
      </c>
      <c r="Q3696" s="5">
        <v>122098.96400000001</v>
      </c>
      <c r="R3696" s="1" t="s">
        <v>44</v>
      </c>
      <c r="T3696" s="1" t="s">
        <v>93</v>
      </c>
      <c r="V3696" s="1" t="s">
        <v>2111</v>
      </c>
      <c r="Y3696" s="1" t="s">
        <v>346</v>
      </c>
      <c r="Z3696" s="1" t="str">
        <f t="shared" si="171"/>
        <v>61241 CT2</v>
      </c>
      <c r="AA3696" s="3">
        <f>IF(INDEX('CAMD Facility Data 2023'!$AA$2:$AE$10000,MATCH(Z3696,'CAMD Facility Data 2023'!$AE$2:$AE$10000,0),1)&gt;0,INDEX('CAMD Facility Data 2023'!$AA$2:$AE$10000,MATCH(Z3696,'CAMD Facility Data 2023'!$AE$2:$AE$10000,0),1),"")</f>
        <v>43816</v>
      </c>
      <c r="AB3696" s="5">
        <f>IF(INDEX('CAMD Facility Data 2023'!$AC$2:$AE$10000,MATCH(Z3696,'CAMD Facility Data 2023'!$AE$2:$AE$10000,0),1)&gt;0,INDEX('CAMD Facility Data 2023'!$AC$2:$AE$10000,MATCH(Z3696,'CAMD Facility Data 2023'!$AE$2:$AE$10000,0),1),"")</f>
        <v>473</v>
      </c>
      <c r="AC3696" s="1" t="str">
        <f>IF(INDEX('CAMD Facility Data 2023'!$AE$2:$AG$10000,MATCH(Z3696,'CAMD Facility Data 2023'!$AE$2:$AE$10000,0),3)&gt;0,INDEX('CAMD Facility Data 2023'!$AE$2:$AG$10000,MATCH(Z3696,'CAMD Facility Data 2023'!$AE$2:$AE$10000,0),3),"")</f>
        <v>Y</v>
      </c>
      <c r="AD3696" s="20">
        <f t="shared" si="172"/>
        <v>0.1161318846372809</v>
      </c>
      <c r="AE3696" s="25">
        <f t="shared" si="173"/>
        <v>2.9467733402840125E-2</v>
      </c>
    </row>
    <row r="3697" spans="1:31" x14ac:dyDescent="0.2">
      <c r="A3697" s="1" t="s">
        <v>383</v>
      </c>
      <c r="B3697" s="1" t="s">
        <v>8208</v>
      </c>
      <c r="C3697" s="1">
        <v>61242</v>
      </c>
      <c r="D3697" s="1" t="s">
        <v>311</v>
      </c>
      <c r="F3697" s="1">
        <v>2023</v>
      </c>
      <c r="G3697" s="5">
        <v>845</v>
      </c>
      <c r="H3697" s="5">
        <v>725.42</v>
      </c>
      <c r="I3697" s="5">
        <v>30394.85</v>
      </c>
      <c r="K3697" s="5">
        <v>8.2000000000000003E-2</v>
      </c>
      <c r="L3697" s="5">
        <v>1E-3</v>
      </c>
      <c r="M3697" s="5">
        <v>16143.058999999999</v>
      </c>
      <c r="N3697" s="6">
        <v>5.9299999999999999E-2</v>
      </c>
      <c r="O3697" s="5">
        <v>1.6639999999999999</v>
      </c>
      <c r="P3697" s="6">
        <v>2.18E-2</v>
      </c>
      <c r="Q3697" s="5">
        <v>271617.18099999998</v>
      </c>
      <c r="R3697" s="1" t="s">
        <v>44</v>
      </c>
      <c r="T3697" s="1" t="s">
        <v>93</v>
      </c>
      <c r="V3697" s="1" t="s">
        <v>2111</v>
      </c>
      <c r="Y3697" s="1" t="s">
        <v>346</v>
      </c>
      <c r="Z3697" s="1" t="str">
        <f t="shared" si="171"/>
        <v>61242 CT1</v>
      </c>
      <c r="AA3697" s="3">
        <f>IF(INDEX('CAMD Facility Data 2023'!$AA$2:$AE$10000,MATCH(Z3697,'CAMD Facility Data 2023'!$AE$2:$AE$10000,0),1)&gt;0,INDEX('CAMD Facility Data 2023'!$AA$2:$AE$10000,MATCH(Z3697,'CAMD Facility Data 2023'!$AE$2:$AE$10000,0),1),"")</f>
        <v>43549</v>
      </c>
      <c r="AB3697" s="5">
        <f>IF(INDEX('CAMD Facility Data 2023'!$AC$2:$AE$10000,MATCH(Z3697,'CAMD Facility Data 2023'!$AE$2:$AE$10000,0),1)&gt;0,INDEX('CAMD Facility Data 2023'!$AC$2:$AE$10000,MATCH(Z3697,'CAMD Facility Data 2023'!$AE$2:$AE$10000,0),1),"")</f>
        <v>473</v>
      </c>
      <c r="AC3697" s="1" t="str">
        <f>IF(INDEX('CAMD Facility Data 2023'!$AE$2:$AG$10000,MATCH(Z3697,'CAMD Facility Data 2023'!$AE$2:$AE$10000,0),3)&gt;0,INDEX('CAMD Facility Data 2023'!$AE$2:$AG$10000,MATCH(Z3697,'CAMD Facility Data 2023'!$AE$2:$AE$10000,0),3),"")</f>
        <v>Y</v>
      </c>
      <c r="AD3697" s="20">
        <f t="shared" si="172"/>
        <v>0.10949223305921892</v>
      </c>
      <c r="AE3697" s="25">
        <f t="shared" si="173"/>
        <v>6.5552912286290746E-2</v>
      </c>
    </row>
    <row r="3698" spans="1:31" x14ac:dyDescent="0.2">
      <c r="A3698" s="1" t="s">
        <v>383</v>
      </c>
      <c r="B3698" s="1" t="s">
        <v>8208</v>
      </c>
      <c r="C3698" s="1">
        <v>61242</v>
      </c>
      <c r="D3698" s="1" t="s">
        <v>98</v>
      </c>
      <c r="F3698" s="1">
        <v>2023</v>
      </c>
      <c r="G3698" s="5">
        <v>816</v>
      </c>
      <c r="H3698" s="5">
        <v>644.58000000000004</v>
      </c>
      <c r="I3698" s="5">
        <v>26518.06</v>
      </c>
      <c r="K3698" s="5">
        <v>7.2999999999999995E-2</v>
      </c>
      <c r="L3698" s="5">
        <v>1E-3</v>
      </c>
      <c r="M3698" s="5">
        <v>14508.186</v>
      </c>
      <c r="N3698" s="6">
        <v>5.9200000000000003E-2</v>
      </c>
      <c r="O3698" s="5">
        <v>1.409</v>
      </c>
      <c r="P3698" s="6">
        <v>2.5700000000000001E-2</v>
      </c>
      <c r="Q3698" s="5">
        <v>244123.99299999999</v>
      </c>
      <c r="R3698" s="1" t="s">
        <v>44</v>
      </c>
      <c r="T3698" s="1" t="s">
        <v>93</v>
      </c>
      <c r="V3698" s="1" t="s">
        <v>2111</v>
      </c>
      <c r="Y3698" s="1" t="s">
        <v>346</v>
      </c>
      <c r="Z3698" s="1" t="str">
        <f t="shared" si="171"/>
        <v>61242 CT2</v>
      </c>
      <c r="AA3698" s="3">
        <f>IF(INDEX('CAMD Facility Data 2023'!$AA$2:$AE$10000,MATCH(Z3698,'CAMD Facility Data 2023'!$AE$2:$AE$10000,0),1)&gt;0,INDEX('CAMD Facility Data 2023'!$AA$2:$AE$10000,MATCH(Z3698,'CAMD Facility Data 2023'!$AE$2:$AE$10000,0),1),"")</f>
        <v>43557</v>
      </c>
      <c r="AB3698" s="5">
        <f>IF(INDEX('CAMD Facility Data 2023'!$AC$2:$AE$10000,MATCH(Z3698,'CAMD Facility Data 2023'!$AE$2:$AE$10000,0),1)&gt;0,INDEX('CAMD Facility Data 2023'!$AC$2:$AE$10000,MATCH(Z3698,'CAMD Facility Data 2023'!$AE$2:$AE$10000,0),1),"")</f>
        <v>473</v>
      </c>
      <c r="AC3698" s="1" t="str">
        <f>IF(INDEX('CAMD Facility Data 2023'!$AE$2:$AG$10000,MATCH(Z3698,'CAMD Facility Data 2023'!$AE$2:$AE$10000,0),3)&gt;0,INDEX('CAMD Facility Data 2023'!$AE$2:$AG$10000,MATCH(Z3698,'CAMD Facility Data 2023'!$AE$2:$AE$10000,0),3),"")</f>
        <v>Y</v>
      </c>
      <c r="AD3698" s="20">
        <f t="shared" si="172"/>
        <v>0.10626720054181941</v>
      </c>
      <c r="AE3698" s="25">
        <f t="shared" si="173"/>
        <v>5.8917623109077388E-2</v>
      </c>
    </row>
    <row r="3699" spans="1:31" x14ac:dyDescent="0.2">
      <c r="A3699" s="1" t="s">
        <v>2430</v>
      </c>
      <c r="B3699" s="1" t="s">
        <v>8211</v>
      </c>
      <c r="C3699" s="1">
        <v>61322</v>
      </c>
      <c r="D3699" s="1" t="s">
        <v>194</v>
      </c>
      <c r="F3699" s="1">
        <v>2023</v>
      </c>
      <c r="G3699" s="5">
        <v>7995</v>
      </c>
      <c r="H3699" s="5">
        <v>7984.57</v>
      </c>
      <c r="I3699" s="5">
        <v>3946910.76</v>
      </c>
      <c r="K3699" s="5">
        <v>7.3479999999999999</v>
      </c>
      <c r="L3699" s="5">
        <v>1E-3</v>
      </c>
      <c r="M3699" s="5">
        <v>1455495.402</v>
      </c>
      <c r="N3699" s="6">
        <v>5.8999999999999997E-2</v>
      </c>
      <c r="O3699" s="5">
        <v>69.665000000000006</v>
      </c>
      <c r="P3699" s="6">
        <v>5.7000000000000002E-3</v>
      </c>
      <c r="Q3699" s="5">
        <v>24491545.963</v>
      </c>
      <c r="R3699" s="1" t="s">
        <v>44</v>
      </c>
      <c r="T3699" s="1" t="s">
        <v>71</v>
      </c>
      <c r="V3699" s="1" t="s">
        <v>64</v>
      </c>
      <c r="Y3699" s="1" t="s">
        <v>6843</v>
      </c>
      <c r="Z3699" s="1" t="str">
        <f t="shared" si="171"/>
        <v>61322 CC1</v>
      </c>
      <c r="AA3699" s="3">
        <f>IF(INDEX('CAMD Facility Data 2023'!$AA$2:$AE$10000,MATCH(Z3699,'CAMD Facility Data 2023'!$AE$2:$AE$10000,0),1)&gt;0,INDEX('CAMD Facility Data 2023'!$AA$2:$AE$10000,MATCH(Z3699,'CAMD Facility Data 2023'!$AE$2:$AE$10000,0),1),"")</f>
        <v>44348</v>
      </c>
      <c r="AB3699" s="5">
        <f>IF(INDEX('CAMD Facility Data 2023'!$AC$2:$AE$10000,MATCH(Z3699,'CAMD Facility Data 2023'!$AE$2:$AE$10000,0),1)&gt;0,INDEX('CAMD Facility Data 2023'!$AC$2:$AE$10000,MATCH(Z3699,'CAMD Facility Data 2023'!$AE$2:$AE$10000,0),1),"")</f>
        <v>3400</v>
      </c>
      <c r="AC3699" s="1" t="str">
        <f>IF(INDEX('CAMD Facility Data 2023'!$AE$2:$AG$10000,MATCH(Z3699,'CAMD Facility Data 2023'!$AE$2:$AE$10000,0),3)&gt;0,INDEX('CAMD Facility Data 2023'!$AE$2:$AG$10000,MATCH(Z3699,'CAMD Facility Data 2023'!$AE$2:$AE$10000,0),3),"")</f>
        <v>Y</v>
      </c>
      <c r="AD3699" s="20">
        <f t="shared" si="172"/>
        <v>3.530102616254744E-2</v>
      </c>
      <c r="AE3699" s="25">
        <f t="shared" si="173"/>
        <v>0.82230546477974753</v>
      </c>
    </row>
    <row r="3700" spans="1:31" x14ac:dyDescent="0.2">
      <c r="A3700" s="1" t="s">
        <v>383</v>
      </c>
      <c r="B3700" s="1" t="s">
        <v>8215</v>
      </c>
      <c r="C3700" s="1">
        <v>61966</v>
      </c>
      <c r="D3700" s="1" t="s">
        <v>311</v>
      </c>
      <c r="F3700" s="1">
        <v>2023</v>
      </c>
      <c r="G3700" s="5">
        <v>1827</v>
      </c>
      <c r="H3700" s="5">
        <v>1441.65</v>
      </c>
      <c r="I3700" s="5">
        <v>56406.63</v>
      </c>
      <c r="K3700" s="5">
        <v>0.186</v>
      </c>
      <c r="L3700" s="5">
        <v>1E-3</v>
      </c>
      <c r="M3700" s="5">
        <v>36905.381999999998</v>
      </c>
      <c r="N3700" s="6">
        <v>5.9200000000000003E-2</v>
      </c>
      <c r="O3700" s="5">
        <v>2.0680000000000001</v>
      </c>
      <c r="P3700" s="6">
        <v>8.6E-3</v>
      </c>
      <c r="Q3700" s="5">
        <v>621005.90700000001</v>
      </c>
      <c r="R3700" s="1" t="s">
        <v>44</v>
      </c>
      <c r="T3700" s="1" t="s">
        <v>93</v>
      </c>
      <c r="V3700" s="1" t="s">
        <v>223</v>
      </c>
      <c r="Y3700" s="1" t="s">
        <v>346</v>
      </c>
      <c r="Z3700" s="1" t="str">
        <f t="shared" si="171"/>
        <v>61966 CT1</v>
      </c>
      <c r="AA3700" s="3">
        <f>IF(INDEX('CAMD Facility Data 2023'!$AA$2:$AE$10000,MATCH(Z3700,'CAMD Facility Data 2023'!$AE$2:$AE$10000,0),1)&gt;0,INDEX('CAMD Facility Data 2023'!$AA$2:$AE$10000,MATCH(Z3700,'CAMD Facility Data 2023'!$AE$2:$AE$10000,0),1),"")</f>
        <v>44511</v>
      </c>
      <c r="AB3700" s="5">
        <f>IF(INDEX('CAMD Facility Data 2023'!$AC$2:$AE$10000,MATCH(Z3700,'CAMD Facility Data 2023'!$AE$2:$AE$10000,0),1)&gt;0,INDEX('CAMD Facility Data 2023'!$AC$2:$AE$10000,MATCH(Z3700,'CAMD Facility Data 2023'!$AE$2:$AE$10000,0),1),"")</f>
        <v>515</v>
      </c>
      <c r="AC3700" s="1" t="str">
        <f>IF(INDEX('CAMD Facility Data 2023'!$AE$2:$AG$10000,MATCH(Z3700,'CAMD Facility Data 2023'!$AE$2:$AE$10000,0),3)&gt;0,INDEX('CAMD Facility Data 2023'!$AE$2:$AG$10000,MATCH(Z3700,'CAMD Facility Data 2023'!$AE$2:$AE$10000,0),3),"")</f>
        <v>Y</v>
      </c>
      <c r="AD3700" s="20">
        <f t="shared" si="172"/>
        <v>7.3324713779213541E-2</v>
      </c>
      <c r="AE3700" s="25">
        <f t="shared" si="173"/>
        <v>0.13765259276499534</v>
      </c>
    </row>
    <row r="3701" spans="1:31" x14ac:dyDescent="0.2">
      <c r="A3701" s="1" t="s">
        <v>383</v>
      </c>
      <c r="B3701" s="1" t="s">
        <v>8215</v>
      </c>
      <c r="C3701" s="1">
        <v>61966</v>
      </c>
      <c r="D3701" s="1" t="s">
        <v>98</v>
      </c>
      <c r="F3701" s="1">
        <v>2023</v>
      </c>
      <c r="G3701" s="5">
        <v>1956</v>
      </c>
      <c r="H3701" s="5">
        <v>1566.71</v>
      </c>
      <c r="I3701" s="5">
        <v>61155.519999999997</v>
      </c>
      <c r="K3701" s="5">
        <v>0.20399999999999999</v>
      </c>
      <c r="L3701" s="5">
        <v>1E-3</v>
      </c>
      <c r="M3701" s="5">
        <v>40337.082999999999</v>
      </c>
      <c r="N3701" s="6">
        <v>5.9200000000000003E-2</v>
      </c>
      <c r="O3701" s="5">
        <v>3.597</v>
      </c>
      <c r="P3701" s="6">
        <v>1.6400000000000001E-2</v>
      </c>
      <c r="Q3701" s="5">
        <v>678747.30799999996</v>
      </c>
      <c r="R3701" s="1" t="s">
        <v>44</v>
      </c>
      <c r="T3701" s="1" t="s">
        <v>93</v>
      </c>
      <c r="V3701" s="1" t="s">
        <v>223</v>
      </c>
      <c r="Y3701" s="1" t="s">
        <v>346</v>
      </c>
      <c r="Z3701" s="1" t="str">
        <f t="shared" si="171"/>
        <v>61966 CT2</v>
      </c>
      <c r="AA3701" s="3">
        <f>IF(INDEX('CAMD Facility Data 2023'!$AA$2:$AE$10000,MATCH(Z3701,'CAMD Facility Data 2023'!$AE$2:$AE$10000,0),1)&gt;0,INDEX('CAMD Facility Data 2023'!$AA$2:$AE$10000,MATCH(Z3701,'CAMD Facility Data 2023'!$AE$2:$AE$10000,0),1),"")</f>
        <v>44460</v>
      </c>
      <c r="AB3701" s="5">
        <f>IF(INDEX('CAMD Facility Data 2023'!$AC$2:$AE$10000,MATCH(Z3701,'CAMD Facility Data 2023'!$AE$2:$AE$10000,0),1)&gt;0,INDEX('CAMD Facility Data 2023'!$AC$2:$AE$10000,MATCH(Z3701,'CAMD Facility Data 2023'!$AE$2:$AE$10000,0),1),"")</f>
        <v>515</v>
      </c>
      <c r="AC3701" s="1" t="str">
        <f>IF(INDEX('CAMD Facility Data 2023'!$AE$2:$AG$10000,MATCH(Z3701,'CAMD Facility Data 2023'!$AE$2:$AE$10000,0),3)&gt;0,INDEX('CAMD Facility Data 2023'!$AE$2:$AG$10000,MATCH(Z3701,'CAMD Facility Data 2023'!$AE$2:$AE$10000,0),3),"")</f>
        <v>Y</v>
      </c>
      <c r="AD3701" s="20">
        <f t="shared" si="172"/>
        <v>0.11763451606657911</v>
      </c>
      <c r="AE3701" s="25">
        <f t="shared" si="173"/>
        <v>0.15045159108037415</v>
      </c>
    </row>
    <row r="3702" spans="1:31" x14ac:dyDescent="0.2">
      <c r="A3702" s="1" t="s">
        <v>1621</v>
      </c>
      <c r="B3702" s="1" t="s">
        <v>8219</v>
      </c>
      <c r="C3702" s="1">
        <v>62192</v>
      </c>
      <c r="D3702" s="1">
        <v>11</v>
      </c>
      <c r="F3702" s="1">
        <v>2023</v>
      </c>
      <c r="G3702" s="5">
        <v>7646</v>
      </c>
      <c r="H3702" s="5">
        <v>7637.79</v>
      </c>
      <c r="I3702" s="5">
        <v>4165389.42</v>
      </c>
      <c r="K3702" s="5">
        <v>7.6870000000000003</v>
      </c>
      <c r="L3702" s="5">
        <v>1E-3</v>
      </c>
      <c r="M3702" s="5">
        <v>1522809.645</v>
      </c>
      <c r="N3702" s="6">
        <v>5.8999999999999997E-2</v>
      </c>
      <c r="O3702" s="5">
        <v>85.204999999999998</v>
      </c>
      <c r="P3702" s="6">
        <v>6.7000000000000002E-3</v>
      </c>
      <c r="Q3702" s="5">
        <v>25624238.067000002</v>
      </c>
      <c r="R3702" s="1" t="s">
        <v>44</v>
      </c>
      <c r="T3702" s="1" t="s">
        <v>71</v>
      </c>
      <c r="V3702" s="1" t="s">
        <v>64</v>
      </c>
      <c r="Y3702" s="1" t="s">
        <v>6843</v>
      </c>
      <c r="Z3702" s="1" t="str">
        <f t="shared" si="171"/>
        <v>62192 11</v>
      </c>
      <c r="AA3702" s="3">
        <f>IF(INDEX('CAMD Facility Data 2023'!$AA$2:$AE$10000,MATCH(Z3702,'CAMD Facility Data 2023'!$AE$2:$AE$10000,0),1)&gt;0,INDEX('CAMD Facility Data 2023'!$AA$2:$AE$10000,MATCH(Z3702,'CAMD Facility Data 2023'!$AE$2:$AE$10000,0),1),"")</f>
        <v>44503</v>
      </c>
      <c r="AB3702" s="5">
        <f>IF(INDEX('CAMD Facility Data 2023'!$AC$2:$AE$10000,MATCH(Z3702,'CAMD Facility Data 2023'!$AE$2:$AE$10000,0),1)&gt;0,INDEX('CAMD Facility Data 2023'!$AC$2:$AE$10000,MATCH(Z3702,'CAMD Facility Data 2023'!$AE$2:$AE$10000,0),1),"")</f>
        <v>4458</v>
      </c>
      <c r="AC3702" s="1" t="str">
        <f>IF(INDEX('CAMD Facility Data 2023'!$AE$2:$AG$10000,MATCH(Z3702,'CAMD Facility Data 2023'!$AE$2:$AE$10000,0),3)&gt;0,INDEX('CAMD Facility Data 2023'!$AE$2:$AG$10000,MATCH(Z3702,'CAMD Facility Data 2023'!$AE$2:$AE$10000,0),3),"")</f>
        <v>Y</v>
      </c>
      <c r="AD3702" s="20">
        <f t="shared" si="172"/>
        <v>4.0910940807066247E-2</v>
      </c>
      <c r="AE3702" s="25">
        <f t="shared" si="173"/>
        <v>0.65615552531388854</v>
      </c>
    </row>
    <row r="3703" spans="1:31" x14ac:dyDescent="0.2">
      <c r="A3703" s="1" t="s">
        <v>1621</v>
      </c>
      <c r="B3703" s="1" t="s">
        <v>8219</v>
      </c>
      <c r="C3703" s="1">
        <v>62192</v>
      </c>
      <c r="D3703" s="1">
        <v>12</v>
      </c>
      <c r="F3703" s="1">
        <v>2023</v>
      </c>
      <c r="G3703" s="5">
        <v>7666</v>
      </c>
      <c r="H3703" s="5">
        <v>7662.3</v>
      </c>
      <c r="I3703" s="5">
        <v>4191967.61</v>
      </c>
      <c r="K3703" s="5">
        <v>7.7240000000000002</v>
      </c>
      <c r="L3703" s="5">
        <v>1E-3</v>
      </c>
      <c r="M3703" s="5">
        <v>1530011.6129999999</v>
      </c>
      <c r="N3703" s="6">
        <v>5.8999999999999997E-2</v>
      </c>
      <c r="O3703" s="5">
        <v>84.82</v>
      </c>
      <c r="P3703" s="6">
        <v>6.6E-3</v>
      </c>
      <c r="Q3703" s="5">
        <v>25745425.877999999</v>
      </c>
      <c r="R3703" s="1" t="s">
        <v>44</v>
      </c>
      <c r="T3703" s="1" t="s">
        <v>71</v>
      </c>
      <c r="V3703" s="1" t="s">
        <v>64</v>
      </c>
      <c r="Y3703" s="1" t="s">
        <v>6843</v>
      </c>
      <c r="Z3703" s="1" t="str">
        <f t="shared" si="171"/>
        <v>62192 12</v>
      </c>
      <c r="AA3703" s="3">
        <f>IF(INDEX('CAMD Facility Data 2023'!$AA$2:$AE$10000,MATCH(Z3703,'CAMD Facility Data 2023'!$AE$2:$AE$10000,0),1)&gt;0,INDEX('CAMD Facility Data 2023'!$AA$2:$AE$10000,MATCH(Z3703,'CAMD Facility Data 2023'!$AE$2:$AE$10000,0),1),"")</f>
        <v>44514</v>
      </c>
      <c r="AB3703" s="5">
        <f>IF(INDEX('CAMD Facility Data 2023'!$AC$2:$AE$10000,MATCH(Z3703,'CAMD Facility Data 2023'!$AE$2:$AE$10000,0),1)&gt;0,INDEX('CAMD Facility Data 2023'!$AC$2:$AE$10000,MATCH(Z3703,'CAMD Facility Data 2023'!$AE$2:$AE$10000,0),1),"")</f>
        <v>4458</v>
      </c>
      <c r="AC3703" s="1" t="str">
        <f>IF(INDEX('CAMD Facility Data 2023'!$AE$2:$AG$10000,MATCH(Z3703,'CAMD Facility Data 2023'!$AE$2:$AE$10000,0),3)&gt;0,INDEX('CAMD Facility Data 2023'!$AE$2:$AG$10000,MATCH(Z3703,'CAMD Facility Data 2023'!$AE$2:$AE$10000,0),3),"")</f>
        <v>Y</v>
      </c>
      <c r="AD3703" s="20">
        <f t="shared" si="172"/>
        <v>4.0467869931848068E-2</v>
      </c>
      <c r="AE3703" s="25">
        <f t="shared" si="173"/>
        <v>0.65925876106983283</v>
      </c>
    </row>
    <row r="3704" spans="1:31" x14ac:dyDescent="0.2">
      <c r="A3704" s="1" t="s">
        <v>383</v>
      </c>
      <c r="B3704" s="1" t="s">
        <v>8223</v>
      </c>
      <c r="C3704" s="1">
        <v>62548</v>
      </c>
      <c r="D3704" s="1" t="s">
        <v>311</v>
      </c>
      <c r="E3704" s="1" t="s">
        <v>1156</v>
      </c>
      <c r="F3704" s="1">
        <v>2023</v>
      </c>
      <c r="G3704" s="5">
        <v>2535</v>
      </c>
      <c r="H3704" s="5">
        <v>2132.3000000000002</v>
      </c>
      <c r="I3704" s="5">
        <v>80331.649999999994</v>
      </c>
      <c r="K3704" s="5">
        <v>0.26200000000000001</v>
      </c>
      <c r="L3704" s="5">
        <v>1E-3</v>
      </c>
      <c r="M3704" s="5">
        <v>51826.285000000003</v>
      </c>
      <c r="N3704" s="6">
        <v>5.8999999999999997E-2</v>
      </c>
      <c r="O3704" s="5">
        <v>5.319</v>
      </c>
      <c r="P3704" s="6">
        <v>1.32E-2</v>
      </c>
      <c r="Q3704" s="5">
        <v>872099.76</v>
      </c>
      <c r="R3704" s="1" t="s">
        <v>44</v>
      </c>
      <c r="T3704" s="1" t="s">
        <v>93</v>
      </c>
      <c r="V3704" s="1" t="s">
        <v>223</v>
      </c>
      <c r="Y3704" s="1" t="s">
        <v>346</v>
      </c>
      <c r="Z3704" s="1" t="str">
        <f t="shared" si="171"/>
        <v>62548 CT1</v>
      </c>
      <c r="AA3704" s="3">
        <f>IF(INDEX('CAMD Facility Data 2023'!$AA$2:$AE$10000,MATCH(Z3704,'CAMD Facility Data 2023'!$AE$2:$AE$10000,0),1)&gt;0,INDEX('CAMD Facility Data 2023'!$AA$2:$AE$10000,MATCH(Z3704,'CAMD Facility Data 2023'!$AE$2:$AE$10000,0),1),"")</f>
        <v>44707</v>
      </c>
      <c r="AB3704" s="5">
        <f>IF(INDEX('CAMD Facility Data 2023'!$AC$2:$AE$10000,MATCH(Z3704,'CAMD Facility Data 2023'!$AE$2:$AE$10000,0),1)&gt;0,INDEX('CAMD Facility Data 2023'!$AC$2:$AE$10000,MATCH(Z3704,'CAMD Facility Data 2023'!$AE$2:$AE$10000,0),1),"")</f>
        <v>550</v>
      </c>
      <c r="AC3704" s="1" t="str">
        <f>IF(INDEX('CAMD Facility Data 2023'!$AE$2:$AG$10000,MATCH(Z3704,'CAMD Facility Data 2023'!$AE$2:$AE$10000,0),3)&gt;0,INDEX('CAMD Facility Data 2023'!$AE$2:$AG$10000,MATCH(Z3704,'CAMD Facility Data 2023'!$AE$2:$AE$10000,0),3),"")</f>
        <v>Y</v>
      </c>
      <c r="AD3704" s="20">
        <f t="shared" si="172"/>
        <v>0.1324260114164218</v>
      </c>
      <c r="AE3704" s="25">
        <f t="shared" si="173"/>
        <v>0.18100866749688668</v>
      </c>
    </row>
    <row r="3705" spans="1:31" x14ac:dyDescent="0.2">
      <c r="A3705" s="1" t="s">
        <v>383</v>
      </c>
      <c r="B3705" s="1" t="s">
        <v>8223</v>
      </c>
      <c r="C3705" s="1">
        <v>62548</v>
      </c>
      <c r="D3705" s="1" t="s">
        <v>98</v>
      </c>
      <c r="E3705" s="1" t="s">
        <v>1156</v>
      </c>
      <c r="F3705" s="1">
        <v>2023</v>
      </c>
      <c r="G3705" s="5">
        <v>2300</v>
      </c>
      <c r="H3705" s="5">
        <v>1931.49</v>
      </c>
      <c r="I3705" s="5">
        <v>71971.92</v>
      </c>
      <c r="K3705" s="5">
        <v>0.23499999999999999</v>
      </c>
      <c r="L3705" s="5">
        <v>1E-3</v>
      </c>
      <c r="M3705" s="5">
        <v>46443.879000000001</v>
      </c>
      <c r="N3705" s="6">
        <v>5.8999999999999997E-2</v>
      </c>
      <c r="O3705" s="5">
        <v>5.2409999999999997</v>
      </c>
      <c r="P3705" s="6">
        <v>1.52E-2</v>
      </c>
      <c r="Q3705" s="5">
        <v>781527.18200000003</v>
      </c>
      <c r="R3705" s="1" t="s">
        <v>44</v>
      </c>
      <c r="T3705" s="1" t="s">
        <v>93</v>
      </c>
      <c r="V3705" s="1" t="s">
        <v>223</v>
      </c>
      <c r="Y3705" s="1" t="s">
        <v>346</v>
      </c>
      <c r="Z3705" s="1" t="str">
        <f t="shared" si="171"/>
        <v>62548 CT2</v>
      </c>
      <c r="AA3705" s="3">
        <f>IF(INDEX('CAMD Facility Data 2023'!$AA$2:$AE$10000,MATCH(Z3705,'CAMD Facility Data 2023'!$AE$2:$AE$10000,0),1)&gt;0,INDEX('CAMD Facility Data 2023'!$AA$2:$AE$10000,MATCH(Z3705,'CAMD Facility Data 2023'!$AE$2:$AE$10000,0),1),"")</f>
        <v>44706</v>
      </c>
      <c r="AB3705" s="5">
        <f>IF(INDEX('CAMD Facility Data 2023'!$AC$2:$AE$10000,MATCH(Z3705,'CAMD Facility Data 2023'!$AE$2:$AE$10000,0),1)&gt;0,INDEX('CAMD Facility Data 2023'!$AC$2:$AE$10000,MATCH(Z3705,'CAMD Facility Data 2023'!$AE$2:$AE$10000,0),1),"")</f>
        <v>510</v>
      </c>
      <c r="AC3705" s="1" t="str">
        <f>IF(INDEX('CAMD Facility Data 2023'!$AE$2:$AG$10000,MATCH(Z3705,'CAMD Facility Data 2023'!$AE$2:$AE$10000,0),3)&gt;0,INDEX('CAMD Facility Data 2023'!$AE$2:$AG$10000,MATCH(Z3705,'CAMD Facility Data 2023'!$AE$2:$AE$10000,0),3),"")</f>
        <v>Y</v>
      </c>
      <c r="AD3705" s="20">
        <f t="shared" si="172"/>
        <v>0.14564013298519757</v>
      </c>
      <c r="AE3705" s="25">
        <f t="shared" si="173"/>
        <v>0.17493221908854867</v>
      </c>
    </row>
    <row r="3706" spans="1:31" x14ac:dyDescent="0.2">
      <c r="A3706" s="1" t="s">
        <v>2584</v>
      </c>
      <c r="B3706" s="1" t="s">
        <v>8227</v>
      </c>
      <c r="C3706" s="1">
        <v>62565</v>
      </c>
      <c r="D3706" s="1">
        <v>1</v>
      </c>
      <c r="F3706" s="1">
        <v>2023</v>
      </c>
      <c r="G3706" s="5">
        <v>6513</v>
      </c>
      <c r="H3706" s="5">
        <v>6492.36</v>
      </c>
      <c r="I3706" s="5">
        <v>4035893.91</v>
      </c>
      <c r="K3706" s="5">
        <v>8</v>
      </c>
      <c r="L3706" s="5">
        <v>1E-3</v>
      </c>
      <c r="M3706" s="5">
        <v>1584743.003</v>
      </c>
      <c r="N3706" s="6">
        <v>5.8999999999999997E-2</v>
      </c>
      <c r="O3706" s="5">
        <v>63.23</v>
      </c>
      <c r="P3706" s="6">
        <v>4.8999999999999998E-3</v>
      </c>
      <c r="Q3706" s="5">
        <v>26666341.302000001</v>
      </c>
      <c r="R3706" s="1" t="s">
        <v>44</v>
      </c>
      <c r="T3706" s="1" t="s">
        <v>71</v>
      </c>
      <c r="V3706" s="1" t="s">
        <v>64</v>
      </c>
      <c r="Y3706" s="1" t="s">
        <v>7828</v>
      </c>
      <c r="Z3706" s="1" t="str">
        <f t="shared" si="171"/>
        <v>62565 1</v>
      </c>
      <c r="AA3706" s="3">
        <f>IF(INDEX('CAMD Facility Data 2023'!$AA$2:$AE$10000,MATCH(Z3706,'CAMD Facility Data 2023'!$AE$2:$AE$10000,0),1)&gt;0,INDEX('CAMD Facility Data 2023'!$AA$2:$AE$10000,MATCH(Z3706,'CAMD Facility Data 2023'!$AE$2:$AE$10000,0),1),"")</f>
        <v>44287</v>
      </c>
      <c r="AB3706" s="5">
        <f>IF(INDEX('CAMD Facility Data 2023'!$AC$2:$AE$10000,MATCH(Z3706,'CAMD Facility Data 2023'!$AE$2:$AE$10000,0),1)&gt;0,INDEX('CAMD Facility Data 2023'!$AC$2:$AE$10000,MATCH(Z3706,'CAMD Facility Data 2023'!$AE$2:$AE$10000,0),1),"")</f>
        <v>4550</v>
      </c>
      <c r="AC3706" s="1" t="str">
        <f>IF(INDEX('CAMD Facility Data 2023'!$AE$2:$AG$10000,MATCH(Z3706,'CAMD Facility Data 2023'!$AE$2:$AE$10000,0),3)&gt;0,INDEX('CAMD Facility Data 2023'!$AE$2:$AG$10000,MATCH(Z3706,'CAMD Facility Data 2023'!$AE$2:$AE$10000,0),3),"")</f>
        <v>Y</v>
      </c>
      <c r="AD3706" s="20">
        <f t="shared" si="172"/>
        <v>3.133382661190913E-2</v>
      </c>
      <c r="AE3706" s="25">
        <f t="shared" si="173"/>
        <v>0.66903360183651972</v>
      </c>
    </row>
    <row r="3707" spans="1:31" x14ac:dyDescent="0.2">
      <c r="A3707" s="1" t="s">
        <v>458</v>
      </c>
      <c r="B3707" s="1" t="s">
        <v>8231</v>
      </c>
      <c r="C3707" s="1">
        <v>62926</v>
      </c>
      <c r="D3707" s="1" t="s">
        <v>8232</v>
      </c>
      <c r="F3707" s="1">
        <v>2023</v>
      </c>
      <c r="G3707" s="5">
        <v>6754</v>
      </c>
      <c r="H3707" s="5">
        <v>6668.18</v>
      </c>
      <c r="I3707" s="5">
        <v>3718323.94</v>
      </c>
      <c r="K3707" s="5">
        <v>7.282</v>
      </c>
      <c r="L3707" s="5">
        <v>1E-3</v>
      </c>
      <c r="M3707" s="5">
        <v>1442491.9509999999</v>
      </c>
      <c r="N3707" s="6">
        <v>5.8999999999999997E-2</v>
      </c>
      <c r="O3707" s="5">
        <v>69.790999999999997</v>
      </c>
      <c r="P3707" s="6">
        <v>6.0000000000000001E-3</v>
      </c>
      <c r="Q3707" s="5">
        <v>24272773.208000001</v>
      </c>
      <c r="R3707" s="1" t="s">
        <v>44</v>
      </c>
      <c r="T3707" s="1" t="s">
        <v>71</v>
      </c>
      <c r="V3707" s="1" t="s">
        <v>64</v>
      </c>
      <c r="Y3707" s="1" t="s">
        <v>6843</v>
      </c>
      <c r="Z3707" s="1" t="str">
        <f t="shared" si="171"/>
        <v>62926 CTG-01</v>
      </c>
      <c r="AA3707" s="3">
        <f>IF(INDEX('CAMD Facility Data 2023'!$AA$2:$AE$10000,MATCH(Z3707,'CAMD Facility Data 2023'!$AE$2:$AE$10000,0),1)&gt;0,INDEX('CAMD Facility Data 2023'!$AA$2:$AE$10000,MATCH(Z3707,'CAMD Facility Data 2023'!$AE$2:$AE$10000,0),1),"")</f>
        <v>44528</v>
      </c>
      <c r="AB3707" s="5">
        <f>IF(INDEX('CAMD Facility Data 2023'!$AC$2:$AE$10000,MATCH(Z3707,'CAMD Facility Data 2023'!$AE$2:$AE$10000,0),1)&gt;0,INDEX('CAMD Facility Data 2023'!$AC$2:$AE$10000,MATCH(Z3707,'CAMD Facility Data 2023'!$AE$2:$AE$10000,0),1),"")</f>
        <v>4281</v>
      </c>
      <c r="AC3707" s="1" t="str">
        <f>IF(INDEX('CAMD Facility Data 2023'!$AE$2:$AG$10000,MATCH(Z3707,'CAMD Facility Data 2023'!$AE$2:$AE$10000,0),3)&gt;0,INDEX('CAMD Facility Data 2023'!$AE$2:$AG$10000,MATCH(Z3707,'CAMD Facility Data 2023'!$AE$2:$AE$10000,0),3),"")</f>
        <v>Y</v>
      </c>
      <c r="AD3707" s="20">
        <f t="shared" si="172"/>
        <v>3.7538956328802275E-2</v>
      </c>
      <c r="AE3707" s="25">
        <f t="shared" si="173"/>
        <v>0.64724702673702106</v>
      </c>
    </row>
    <row r="3708" spans="1:31" x14ac:dyDescent="0.2">
      <c r="A3708" s="1" t="s">
        <v>458</v>
      </c>
      <c r="B3708" s="1" t="s">
        <v>8231</v>
      </c>
      <c r="C3708" s="1">
        <v>62926</v>
      </c>
      <c r="D3708" s="1" t="s">
        <v>8236</v>
      </c>
      <c r="F3708" s="1">
        <v>2023</v>
      </c>
      <c r="G3708" s="5">
        <v>6538</v>
      </c>
      <c r="H3708" s="5">
        <v>6410.67</v>
      </c>
      <c r="I3708" s="5">
        <v>3520383.57</v>
      </c>
      <c r="K3708" s="5">
        <v>6.8550000000000004</v>
      </c>
      <c r="L3708" s="5">
        <v>1E-3</v>
      </c>
      <c r="M3708" s="5">
        <v>1357822.9280000001</v>
      </c>
      <c r="N3708" s="6">
        <v>5.8999999999999997E-2</v>
      </c>
      <c r="O3708" s="5">
        <v>72.314999999999998</v>
      </c>
      <c r="P3708" s="6">
        <v>6.8999999999999999E-3</v>
      </c>
      <c r="Q3708" s="5">
        <v>22847976.431000002</v>
      </c>
      <c r="R3708" s="1" t="s">
        <v>44</v>
      </c>
      <c r="T3708" s="1" t="s">
        <v>71</v>
      </c>
      <c r="V3708" s="1" t="s">
        <v>64</v>
      </c>
      <c r="Y3708" s="1" t="s">
        <v>6843</v>
      </c>
      <c r="Z3708" s="1" t="str">
        <f t="shared" si="171"/>
        <v>62926 CTG-02</v>
      </c>
      <c r="AA3708" s="3">
        <f>IF(INDEX('CAMD Facility Data 2023'!$AA$2:$AE$10000,MATCH(Z3708,'CAMD Facility Data 2023'!$AE$2:$AE$10000,0),1)&gt;0,INDEX('CAMD Facility Data 2023'!$AA$2:$AE$10000,MATCH(Z3708,'CAMD Facility Data 2023'!$AE$2:$AE$10000,0),1),"")</f>
        <v>44557</v>
      </c>
      <c r="AB3708" s="5">
        <f>IF(INDEX('CAMD Facility Data 2023'!$AC$2:$AE$10000,MATCH(Z3708,'CAMD Facility Data 2023'!$AE$2:$AE$10000,0),1)&gt;0,INDEX('CAMD Facility Data 2023'!$AC$2:$AE$10000,MATCH(Z3708,'CAMD Facility Data 2023'!$AE$2:$AE$10000,0),1),"")</f>
        <v>4281</v>
      </c>
      <c r="AC3708" s="1" t="str">
        <f>IF(INDEX('CAMD Facility Data 2023'!$AE$2:$AG$10000,MATCH(Z3708,'CAMD Facility Data 2023'!$AE$2:$AE$10000,0),3)&gt;0,INDEX('CAMD Facility Data 2023'!$AE$2:$AG$10000,MATCH(Z3708,'CAMD Facility Data 2023'!$AE$2:$AE$10000,0),3),"")</f>
        <v>Y</v>
      </c>
      <c r="AD3708" s="20">
        <f t="shared" si="172"/>
        <v>4.1083591354222807E-2</v>
      </c>
      <c r="AE3708" s="25">
        <f t="shared" si="173"/>
        <v>0.60925402652582994</v>
      </c>
    </row>
    <row r="3709" spans="1:31" x14ac:dyDescent="0.2">
      <c r="A3709" s="1" t="s">
        <v>2430</v>
      </c>
      <c r="B3709" s="1" t="s">
        <v>8238</v>
      </c>
      <c r="C3709" s="1">
        <v>62949</v>
      </c>
      <c r="D3709" s="1" t="s">
        <v>4239</v>
      </c>
      <c r="F3709" s="1">
        <v>2023</v>
      </c>
      <c r="G3709" s="5">
        <v>5831</v>
      </c>
      <c r="H3709" s="5">
        <v>5809.17</v>
      </c>
      <c r="I3709" s="5">
        <v>3177868.41</v>
      </c>
      <c r="K3709" s="5">
        <v>5.9359999999999999</v>
      </c>
      <c r="L3709" s="5">
        <v>1E-3</v>
      </c>
      <c r="M3709" s="5">
        <v>1175878.6159999999</v>
      </c>
      <c r="N3709" s="6">
        <v>5.8999999999999997E-2</v>
      </c>
      <c r="O3709" s="5">
        <v>61.530999999999999</v>
      </c>
      <c r="P3709" s="6">
        <v>6.3E-3</v>
      </c>
      <c r="Q3709" s="5">
        <v>19786390.511999998</v>
      </c>
      <c r="R3709" s="1" t="s">
        <v>44</v>
      </c>
      <c r="T3709" s="1" t="s">
        <v>71</v>
      </c>
      <c r="V3709" s="1" t="s">
        <v>64</v>
      </c>
      <c r="Y3709" s="1" t="s">
        <v>6843</v>
      </c>
      <c r="Z3709" s="1" t="str">
        <f t="shared" si="171"/>
        <v>62949 P001</v>
      </c>
      <c r="AA3709" s="3">
        <f>IF(INDEX('CAMD Facility Data 2023'!$AA$2:$AE$10000,MATCH(Z3709,'CAMD Facility Data 2023'!$AE$2:$AE$10000,0),1)&gt;0,INDEX('CAMD Facility Data 2023'!$AA$2:$AE$10000,MATCH(Z3709,'CAMD Facility Data 2023'!$AE$2:$AE$10000,0),1),"")</f>
        <v>44827</v>
      </c>
      <c r="AB3709" s="5">
        <f>IF(INDEX('CAMD Facility Data 2023'!$AC$2:$AE$10000,MATCH(Z3709,'CAMD Facility Data 2023'!$AE$2:$AE$10000,0),1)&gt;0,INDEX('CAMD Facility Data 2023'!$AC$2:$AE$10000,MATCH(Z3709,'CAMD Facility Data 2023'!$AE$2:$AE$10000,0),1),"")</f>
        <v>4500</v>
      </c>
      <c r="AC3709" s="1" t="str">
        <f>IF(INDEX('CAMD Facility Data 2023'!$AE$2:$AG$10000,MATCH(Z3709,'CAMD Facility Data 2023'!$AE$2:$AE$10000,0),3)&gt;0,INDEX('CAMD Facility Data 2023'!$AE$2:$AG$10000,MATCH(Z3709,'CAMD Facility Data 2023'!$AE$2:$AE$10000,0),3),"")</f>
        <v>Y</v>
      </c>
      <c r="AD3709" s="20">
        <f t="shared" si="172"/>
        <v>3.8724699742995333E-2</v>
      </c>
      <c r="AE3709" s="25">
        <f t="shared" si="173"/>
        <v>0.50193786179604261</v>
      </c>
    </row>
    <row r="3710" spans="1:31" x14ac:dyDescent="0.2">
      <c r="A3710" s="1" t="s">
        <v>2430</v>
      </c>
      <c r="B3710" s="1" t="s">
        <v>8238</v>
      </c>
      <c r="C3710" s="1">
        <v>62949</v>
      </c>
      <c r="D3710" s="1" t="s">
        <v>8243</v>
      </c>
      <c r="F3710" s="1">
        <v>2023</v>
      </c>
      <c r="G3710" s="5">
        <v>5103</v>
      </c>
      <c r="H3710" s="5">
        <v>5086.24</v>
      </c>
      <c r="I3710" s="5">
        <v>2730535.27</v>
      </c>
      <c r="K3710" s="5">
        <v>5.2750000000000004</v>
      </c>
      <c r="L3710" s="5">
        <v>1E-3</v>
      </c>
      <c r="M3710" s="5">
        <v>1044920.758</v>
      </c>
      <c r="N3710" s="6">
        <v>5.8999999999999997E-2</v>
      </c>
      <c r="O3710" s="5">
        <v>61.447000000000003</v>
      </c>
      <c r="P3710" s="6">
        <v>7.0000000000000001E-3</v>
      </c>
      <c r="Q3710" s="5">
        <v>17582771.438000001</v>
      </c>
      <c r="R3710" s="1" t="s">
        <v>44</v>
      </c>
      <c r="T3710" s="1" t="s">
        <v>71</v>
      </c>
      <c r="V3710" s="1" t="s">
        <v>64</v>
      </c>
      <c r="Y3710" s="1" t="s">
        <v>6843</v>
      </c>
      <c r="Z3710" s="1" t="str">
        <f t="shared" si="171"/>
        <v>62949 P002</v>
      </c>
      <c r="AA3710" s="3">
        <f>IF(INDEX('CAMD Facility Data 2023'!$AA$2:$AE$10000,MATCH(Z3710,'CAMD Facility Data 2023'!$AE$2:$AE$10000,0),1)&gt;0,INDEX('CAMD Facility Data 2023'!$AA$2:$AE$10000,MATCH(Z3710,'CAMD Facility Data 2023'!$AE$2:$AE$10000,0),1),"")</f>
        <v>44821</v>
      </c>
      <c r="AB3710" s="5">
        <f>IF(INDEX('CAMD Facility Data 2023'!$AC$2:$AE$10000,MATCH(Z3710,'CAMD Facility Data 2023'!$AE$2:$AE$10000,0),1)&gt;0,INDEX('CAMD Facility Data 2023'!$AC$2:$AE$10000,MATCH(Z3710,'CAMD Facility Data 2023'!$AE$2:$AE$10000,0),1),"")</f>
        <v>4500</v>
      </c>
      <c r="AC3710" s="1" t="str">
        <f>IF(INDEX('CAMD Facility Data 2023'!$AE$2:$AG$10000,MATCH(Z3710,'CAMD Facility Data 2023'!$AE$2:$AE$10000,0),3)&gt;0,INDEX('CAMD Facility Data 2023'!$AE$2:$AG$10000,MATCH(Z3710,'CAMD Facility Data 2023'!$AE$2:$AE$10000,0),3),"")</f>
        <v>Y</v>
      </c>
      <c r="AD3710" s="20">
        <f t="shared" si="172"/>
        <v>4.5007292654381276E-2</v>
      </c>
      <c r="AE3710" s="25">
        <f t="shared" si="173"/>
        <v>0.44603681983764587</v>
      </c>
    </row>
    <row r="3711" spans="1:31" x14ac:dyDescent="0.2">
      <c r="A3711" s="1" t="s">
        <v>2430</v>
      </c>
      <c r="B3711" s="1" t="s">
        <v>8238</v>
      </c>
      <c r="C3711" s="1">
        <v>62949</v>
      </c>
      <c r="D3711" s="1" t="s">
        <v>8245</v>
      </c>
      <c r="F3711" s="1">
        <v>2023</v>
      </c>
      <c r="G3711" s="5">
        <v>4909</v>
      </c>
      <c r="H3711" s="5">
        <v>4895.2</v>
      </c>
      <c r="I3711" s="5">
        <v>2698316.91</v>
      </c>
      <c r="K3711" s="5">
        <v>5.069</v>
      </c>
      <c r="L3711" s="5">
        <v>1E-3</v>
      </c>
      <c r="M3711" s="5">
        <v>1004117.608</v>
      </c>
      <c r="N3711" s="6">
        <v>5.8999999999999997E-2</v>
      </c>
      <c r="O3711" s="5">
        <v>98.503</v>
      </c>
      <c r="P3711" s="6">
        <v>1.15E-2</v>
      </c>
      <c r="Q3711" s="5">
        <v>16896238.342</v>
      </c>
      <c r="R3711" s="1" t="s">
        <v>44</v>
      </c>
      <c r="T3711" s="1" t="s">
        <v>71</v>
      </c>
      <c r="V3711" s="1" t="s">
        <v>64</v>
      </c>
      <c r="Y3711" s="1" t="s">
        <v>6843</v>
      </c>
      <c r="Z3711" s="1" t="str">
        <f t="shared" si="171"/>
        <v>62949 P003</v>
      </c>
      <c r="AA3711" s="3">
        <f>IF(INDEX('CAMD Facility Data 2023'!$AA$2:$AE$10000,MATCH(Z3711,'CAMD Facility Data 2023'!$AE$2:$AE$10000,0),1)&gt;0,INDEX('CAMD Facility Data 2023'!$AA$2:$AE$10000,MATCH(Z3711,'CAMD Facility Data 2023'!$AE$2:$AE$10000,0),1),"")</f>
        <v>44867</v>
      </c>
      <c r="AB3711" s="5">
        <f>IF(INDEX('CAMD Facility Data 2023'!$AC$2:$AE$10000,MATCH(Z3711,'CAMD Facility Data 2023'!$AE$2:$AE$10000,0),1)&gt;0,INDEX('CAMD Facility Data 2023'!$AC$2:$AE$10000,MATCH(Z3711,'CAMD Facility Data 2023'!$AE$2:$AE$10000,0),1),"")</f>
        <v>4500</v>
      </c>
      <c r="AC3711" s="1" t="str">
        <f>IF(INDEX('CAMD Facility Data 2023'!$AE$2:$AG$10000,MATCH(Z3711,'CAMD Facility Data 2023'!$AE$2:$AE$10000,0),3)&gt;0,INDEX('CAMD Facility Data 2023'!$AE$2:$AG$10000,MATCH(Z3711,'CAMD Facility Data 2023'!$AE$2:$AE$10000,0),3),"")</f>
        <v>Y</v>
      </c>
      <c r="AD3711" s="20">
        <f t="shared" si="172"/>
        <v>7.3010697620391807E-2</v>
      </c>
      <c r="AE3711" s="25">
        <f t="shared" si="173"/>
        <v>0.42862096250634196</v>
      </c>
    </row>
    <row r="3712" spans="1:31" x14ac:dyDescent="0.2">
      <c r="A3712" s="1" t="s">
        <v>1621</v>
      </c>
      <c r="B3712" s="1" t="s">
        <v>8247</v>
      </c>
      <c r="C3712" s="1">
        <v>63259</v>
      </c>
      <c r="D3712" s="1" t="s">
        <v>8248</v>
      </c>
      <c r="F3712" s="1">
        <v>2023</v>
      </c>
      <c r="G3712" s="5">
        <v>6481</v>
      </c>
      <c r="H3712" s="5">
        <v>6450.38</v>
      </c>
      <c r="I3712" s="5">
        <v>482363.43</v>
      </c>
      <c r="K3712" s="5">
        <v>1.0580000000000001</v>
      </c>
      <c r="L3712" s="5">
        <v>1E-3</v>
      </c>
      <c r="M3712" s="5">
        <v>209484.20499999999</v>
      </c>
      <c r="N3712" s="6">
        <v>5.91E-2</v>
      </c>
      <c r="O3712" s="5">
        <v>29.533999999999999</v>
      </c>
      <c r="P3712" s="6">
        <v>1.8100000000000002E-2</v>
      </c>
      <c r="Q3712" s="5">
        <v>3524983.9739999999</v>
      </c>
      <c r="R3712" s="1" t="s">
        <v>44</v>
      </c>
      <c r="T3712" s="1" t="s">
        <v>71</v>
      </c>
      <c r="V3712" s="1" t="s">
        <v>64</v>
      </c>
      <c r="Y3712" s="1" t="s">
        <v>6843</v>
      </c>
      <c r="Z3712" s="1" t="str">
        <f t="shared" si="171"/>
        <v>63259 DEPC2</v>
      </c>
      <c r="AA3712" s="3">
        <f>IF(INDEX('CAMD Facility Data 2023'!$AA$2:$AE$10000,MATCH(Z3712,'CAMD Facility Data 2023'!$AE$2:$AE$10000,0),1)&gt;0,INDEX('CAMD Facility Data 2023'!$AA$2:$AE$10000,MATCH(Z3712,'CAMD Facility Data 2023'!$AE$2:$AE$10000,0),1),"")</f>
        <v>44343</v>
      </c>
      <c r="AB3712" s="5">
        <f>IF(INDEX('CAMD Facility Data 2023'!$AC$2:$AE$10000,MATCH(Z3712,'CAMD Facility Data 2023'!$AE$2:$AE$10000,0),1)&gt;0,INDEX('CAMD Facility Data 2023'!$AC$2:$AE$10000,MATCH(Z3712,'CAMD Facility Data 2023'!$AE$2:$AE$10000,0),1),"")</f>
        <v>871</v>
      </c>
      <c r="AC3712" s="1" t="str">
        <f>IF(INDEX('CAMD Facility Data 2023'!$AE$2:$AG$10000,MATCH(Z3712,'CAMD Facility Data 2023'!$AE$2:$AE$10000,0),3)&gt;0,INDEX('CAMD Facility Data 2023'!$AE$2:$AG$10000,MATCH(Z3712,'CAMD Facility Data 2023'!$AE$2:$AE$10000,0),3),"")</f>
        <v>Y</v>
      </c>
      <c r="AD3712" s="20">
        <f t="shared" si="172"/>
        <v>0.12245538597318624</v>
      </c>
      <c r="AE3712" s="25">
        <f t="shared" si="173"/>
        <v>0.46199245788968751</v>
      </c>
    </row>
    <row r="3713" spans="1:31" x14ac:dyDescent="0.2">
      <c r="A3713" s="1" t="s">
        <v>1621</v>
      </c>
      <c r="B3713" s="1" t="s">
        <v>8247</v>
      </c>
      <c r="C3713" s="1">
        <v>63259</v>
      </c>
      <c r="D3713" s="1" t="s">
        <v>8252</v>
      </c>
      <c r="F3713" s="1">
        <v>2023</v>
      </c>
      <c r="G3713" s="5">
        <v>5972</v>
      </c>
      <c r="H3713" s="5">
        <v>5931.15</v>
      </c>
      <c r="I3713" s="5">
        <v>438524.46</v>
      </c>
      <c r="K3713" s="5">
        <v>0.96799999999999997</v>
      </c>
      <c r="L3713" s="5">
        <v>1E-3</v>
      </c>
      <c r="M3713" s="5">
        <v>191682.269</v>
      </c>
      <c r="N3713" s="6">
        <v>5.91E-2</v>
      </c>
      <c r="O3713" s="5">
        <v>28.585000000000001</v>
      </c>
      <c r="P3713" s="6">
        <v>1.9599999999999999E-2</v>
      </c>
      <c r="Q3713" s="5">
        <v>3225487.9049999998</v>
      </c>
      <c r="R3713" s="1" t="s">
        <v>44</v>
      </c>
      <c r="T3713" s="1" t="s">
        <v>71</v>
      </c>
      <c r="V3713" s="1" t="s">
        <v>64</v>
      </c>
      <c r="Y3713" s="1" t="s">
        <v>6843</v>
      </c>
      <c r="Z3713" s="1" t="str">
        <f t="shared" si="171"/>
        <v>63259 DEPC3</v>
      </c>
      <c r="AA3713" s="3">
        <f>IF(INDEX('CAMD Facility Data 2023'!$AA$2:$AE$10000,MATCH(Z3713,'CAMD Facility Data 2023'!$AE$2:$AE$10000,0),1)&gt;0,INDEX('CAMD Facility Data 2023'!$AA$2:$AE$10000,MATCH(Z3713,'CAMD Facility Data 2023'!$AE$2:$AE$10000,0),1),"")</f>
        <v>44344</v>
      </c>
      <c r="AB3713" s="5">
        <f>IF(INDEX('CAMD Facility Data 2023'!$AC$2:$AE$10000,MATCH(Z3713,'CAMD Facility Data 2023'!$AE$2:$AE$10000,0),1)&gt;0,INDEX('CAMD Facility Data 2023'!$AC$2:$AE$10000,MATCH(Z3713,'CAMD Facility Data 2023'!$AE$2:$AE$10000,0),1),"")</f>
        <v>871</v>
      </c>
      <c r="AC3713" s="1" t="str">
        <f>IF(INDEX('CAMD Facility Data 2023'!$AE$2:$AG$10000,MATCH(Z3713,'CAMD Facility Data 2023'!$AE$2:$AE$10000,0),3)&gt;0,INDEX('CAMD Facility Data 2023'!$AE$2:$AG$10000,MATCH(Z3713,'CAMD Facility Data 2023'!$AE$2:$AE$10000,0),3),"")</f>
        <v>Y</v>
      </c>
      <c r="AD3713" s="20">
        <f t="shared" si="172"/>
        <v>0.13036901065906334</v>
      </c>
      <c r="AE3713" s="25">
        <f t="shared" si="173"/>
        <v>0.42273981842630887</v>
      </c>
    </row>
    <row r="3714" spans="1:31" x14ac:dyDescent="0.2">
      <c r="A3714" s="1" t="s">
        <v>1621</v>
      </c>
      <c r="B3714" s="1" t="s">
        <v>8247</v>
      </c>
      <c r="C3714" s="1">
        <v>63259</v>
      </c>
      <c r="D3714" s="1" t="s">
        <v>8254</v>
      </c>
      <c r="F3714" s="1">
        <v>2023</v>
      </c>
      <c r="G3714" s="5">
        <v>1254</v>
      </c>
      <c r="H3714" s="5">
        <v>1145.3399999999999</v>
      </c>
      <c r="I3714" s="5">
        <v>57305</v>
      </c>
      <c r="K3714" s="5">
        <v>0.16400000000000001</v>
      </c>
      <c r="L3714" s="5">
        <v>8.9999999999999998E-4</v>
      </c>
      <c r="M3714" s="5">
        <v>32669.7</v>
      </c>
      <c r="N3714" s="6">
        <v>5.8900000000000001E-2</v>
      </c>
      <c r="O3714" s="5">
        <v>23.263999999999999</v>
      </c>
      <c r="P3714" s="6">
        <v>8.3799999999999999E-2</v>
      </c>
      <c r="Q3714" s="5">
        <v>553576.69999999995</v>
      </c>
      <c r="R3714" s="1" t="s">
        <v>44</v>
      </c>
      <c r="T3714" s="1" t="s">
        <v>93</v>
      </c>
      <c r="V3714" s="1" t="s">
        <v>140</v>
      </c>
      <c r="Y3714" s="1" t="s">
        <v>461</v>
      </c>
      <c r="Z3714" s="1" t="str">
        <f t="shared" si="171"/>
        <v>63259 DEPS1</v>
      </c>
      <c r="AA3714" s="3">
        <f>IF(INDEX('CAMD Facility Data 2023'!$AA$2:$AE$10000,MATCH(Z3714,'CAMD Facility Data 2023'!$AE$2:$AE$10000,0),1)&gt;0,INDEX('CAMD Facility Data 2023'!$AA$2:$AE$10000,MATCH(Z3714,'CAMD Facility Data 2023'!$AE$2:$AE$10000,0),1),"")</f>
        <v>44343</v>
      </c>
      <c r="AB3714" s="5">
        <f>IF(INDEX('CAMD Facility Data 2023'!$AC$2:$AE$10000,MATCH(Z3714,'CAMD Facility Data 2023'!$AE$2:$AE$10000,0),1)&gt;0,INDEX('CAMD Facility Data 2023'!$AC$2:$AE$10000,MATCH(Z3714,'CAMD Facility Data 2023'!$AE$2:$AE$10000,0),1),"")</f>
        <v>667</v>
      </c>
      <c r="AC3714" s="1" t="str">
        <f>IF(INDEX('CAMD Facility Data 2023'!$AE$2:$AG$10000,MATCH(Z3714,'CAMD Facility Data 2023'!$AE$2:$AE$10000,0),3)&gt;0,INDEX('CAMD Facility Data 2023'!$AE$2:$AG$10000,MATCH(Z3714,'CAMD Facility Data 2023'!$AE$2:$AE$10000,0),3),"")</f>
        <v/>
      </c>
      <c r="AD3714" s="20">
        <f t="shared" si="172"/>
        <v>0.81193613122764152</v>
      </c>
      <c r="AE3714" s="25">
        <f t="shared" si="173"/>
        <v>9.4743159242296648E-2</v>
      </c>
    </row>
    <row r="3715" spans="1:31" x14ac:dyDescent="0.2">
      <c r="A3715" s="1" t="s">
        <v>383</v>
      </c>
      <c r="B3715" s="1" t="s">
        <v>8256</v>
      </c>
      <c r="C3715" s="1">
        <v>63335</v>
      </c>
      <c r="D3715" s="1" t="s">
        <v>1296</v>
      </c>
      <c r="F3715" s="1">
        <v>2023</v>
      </c>
      <c r="G3715" s="5">
        <v>1283</v>
      </c>
      <c r="H3715" s="5">
        <v>1069.98</v>
      </c>
      <c r="I3715" s="5">
        <v>45352.98</v>
      </c>
      <c r="K3715" s="5">
        <v>0.13800000000000001</v>
      </c>
      <c r="L3715" s="5">
        <v>1E-3</v>
      </c>
      <c r="M3715" s="5">
        <v>27358.915000000001</v>
      </c>
      <c r="N3715" s="6">
        <v>5.9200000000000003E-2</v>
      </c>
      <c r="O3715" s="5">
        <v>3.0419999999999998</v>
      </c>
      <c r="P3715" s="6">
        <v>2.9399999999999999E-2</v>
      </c>
      <c r="Q3715" s="5">
        <v>460362.04</v>
      </c>
      <c r="R3715" s="1" t="s">
        <v>44</v>
      </c>
      <c r="T3715" s="1" t="s">
        <v>93</v>
      </c>
      <c r="V3715" s="1" t="s">
        <v>176</v>
      </c>
      <c r="Y3715" s="1" t="s">
        <v>346</v>
      </c>
      <c r="Z3715" s="1" t="str">
        <f t="shared" ref="Z3715:Z3758" si="174">C3715&amp;" "&amp;D3715</f>
        <v>63335 CT-1</v>
      </c>
      <c r="AA3715" s="3">
        <f>IF(INDEX('CAMD Facility Data 2023'!$AA$2:$AE$10000,MATCH(Z3715,'CAMD Facility Data 2023'!$AE$2:$AE$10000,0),1)&gt;0,INDEX('CAMD Facility Data 2023'!$AA$2:$AE$10000,MATCH(Z3715,'CAMD Facility Data 2023'!$AE$2:$AE$10000,0),1),"")</f>
        <v>44187</v>
      </c>
      <c r="AB3715" s="5">
        <f>IF(INDEX('CAMD Facility Data 2023'!$AC$2:$AE$10000,MATCH(Z3715,'CAMD Facility Data 2023'!$AE$2:$AE$10000,0),1)&gt;0,INDEX('CAMD Facility Data 2023'!$AC$2:$AE$10000,MATCH(Z3715,'CAMD Facility Data 2023'!$AE$2:$AE$10000,0),1),"")</f>
        <v>475</v>
      </c>
      <c r="AC3715" s="1" t="str">
        <f>IF(INDEX('CAMD Facility Data 2023'!$AE$2:$AG$10000,MATCH(Z3715,'CAMD Facility Data 2023'!$AE$2:$AE$10000,0),3)&gt;0,INDEX('CAMD Facility Data 2023'!$AE$2:$AG$10000,MATCH(Z3715,'CAMD Facility Data 2023'!$AE$2:$AE$10000,0),3),"")</f>
        <v>Y</v>
      </c>
      <c r="AD3715" s="20">
        <f t="shared" ref="AD3715:AD3758" si="175">IF(ISNUMBER(O3715*2000/I3715),O3715*2000/I3715,"")</f>
        <v>0.13414774508753338</v>
      </c>
      <c r="AE3715" s="25">
        <f t="shared" ref="AE3715:AE3758" si="176">Q3715/(AB3715*8760)</f>
        <v>0.1106373564047104</v>
      </c>
    </row>
    <row r="3716" spans="1:31" x14ac:dyDescent="0.2">
      <c r="A3716" s="1" t="s">
        <v>383</v>
      </c>
      <c r="B3716" s="1" t="s">
        <v>8256</v>
      </c>
      <c r="C3716" s="1">
        <v>63335</v>
      </c>
      <c r="D3716" s="1" t="s">
        <v>1300</v>
      </c>
      <c r="F3716" s="1">
        <v>2023</v>
      </c>
      <c r="G3716" s="5">
        <v>1514</v>
      </c>
      <c r="H3716" s="5">
        <v>1298.95</v>
      </c>
      <c r="I3716" s="5">
        <v>55158.239999999998</v>
      </c>
      <c r="K3716" s="5">
        <v>0.16700000000000001</v>
      </c>
      <c r="L3716" s="5">
        <v>1E-3</v>
      </c>
      <c r="M3716" s="5">
        <v>33021.648999999998</v>
      </c>
      <c r="N3716" s="6">
        <v>5.9200000000000003E-2</v>
      </c>
      <c r="O3716" s="5">
        <v>3.532</v>
      </c>
      <c r="P3716" s="6">
        <v>2.4899999999999999E-2</v>
      </c>
      <c r="Q3716" s="5">
        <v>555644.64199999999</v>
      </c>
      <c r="R3716" s="1" t="s">
        <v>44</v>
      </c>
      <c r="T3716" s="1" t="s">
        <v>93</v>
      </c>
      <c r="V3716" s="1" t="s">
        <v>176</v>
      </c>
      <c r="Y3716" s="1" t="s">
        <v>346</v>
      </c>
      <c r="Z3716" s="1" t="str">
        <f t="shared" si="174"/>
        <v>63335 CT-2</v>
      </c>
      <c r="AA3716" s="3">
        <f>IF(INDEX('CAMD Facility Data 2023'!$AA$2:$AE$10000,MATCH(Z3716,'CAMD Facility Data 2023'!$AE$2:$AE$10000,0),1)&gt;0,INDEX('CAMD Facility Data 2023'!$AA$2:$AE$10000,MATCH(Z3716,'CAMD Facility Data 2023'!$AE$2:$AE$10000,0),1),"")</f>
        <v>44187</v>
      </c>
      <c r="AB3716" s="5">
        <f>IF(INDEX('CAMD Facility Data 2023'!$AC$2:$AE$10000,MATCH(Z3716,'CAMD Facility Data 2023'!$AE$2:$AE$10000,0),1)&gt;0,INDEX('CAMD Facility Data 2023'!$AC$2:$AE$10000,MATCH(Z3716,'CAMD Facility Data 2023'!$AE$2:$AE$10000,0),1),"")</f>
        <v>475</v>
      </c>
      <c r="AC3716" s="1" t="str">
        <f>IF(INDEX('CAMD Facility Data 2023'!$AE$2:$AG$10000,MATCH(Z3716,'CAMD Facility Data 2023'!$AE$2:$AE$10000,0),3)&gt;0,INDEX('CAMD Facility Data 2023'!$AE$2:$AG$10000,MATCH(Z3716,'CAMD Facility Data 2023'!$AE$2:$AE$10000,0),3),"")</f>
        <v>Y</v>
      </c>
      <c r="AD3716" s="20">
        <f t="shared" si="175"/>
        <v>0.12806790064367538</v>
      </c>
      <c r="AE3716" s="25">
        <f t="shared" si="176"/>
        <v>0.13353632347993272</v>
      </c>
    </row>
    <row r="3717" spans="1:31" x14ac:dyDescent="0.2">
      <c r="A3717" s="1" t="s">
        <v>383</v>
      </c>
      <c r="B3717" s="1" t="s">
        <v>8256</v>
      </c>
      <c r="C3717" s="1">
        <v>63335</v>
      </c>
      <c r="D3717" s="1" t="s">
        <v>1302</v>
      </c>
      <c r="F3717" s="1">
        <v>2023</v>
      </c>
      <c r="G3717" s="5">
        <v>1130</v>
      </c>
      <c r="H3717" s="5">
        <v>960.97</v>
      </c>
      <c r="I3717" s="5">
        <v>39758.19</v>
      </c>
      <c r="K3717" s="5">
        <v>0.123</v>
      </c>
      <c r="L3717" s="5">
        <v>1E-3</v>
      </c>
      <c r="M3717" s="5">
        <v>24324.433000000001</v>
      </c>
      <c r="N3717" s="6">
        <v>5.9200000000000003E-2</v>
      </c>
      <c r="O3717" s="5">
        <v>2.6819999999999999</v>
      </c>
      <c r="P3717" s="6">
        <v>2.76E-2</v>
      </c>
      <c r="Q3717" s="5">
        <v>409329.745</v>
      </c>
      <c r="R3717" s="1" t="s">
        <v>44</v>
      </c>
      <c r="T3717" s="1" t="s">
        <v>93</v>
      </c>
      <c r="V3717" s="1" t="s">
        <v>176</v>
      </c>
      <c r="Y3717" s="1" t="s">
        <v>346</v>
      </c>
      <c r="Z3717" s="1" t="str">
        <f t="shared" si="174"/>
        <v>63335 CT-3</v>
      </c>
      <c r="AA3717" s="3">
        <f>IF(INDEX('CAMD Facility Data 2023'!$AA$2:$AE$10000,MATCH(Z3717,'CAMD Facility Data 2023'!$AE$2:$AE$10000,0),1)&gt;0,INDEX('CAMD Facility Data 2023'!$AA$2:$AE$10000,MATCH(Z3717,'CAMD Facility Data 2023'!$AE$2:$AE$10000,0),1),"")</f>
        <v>44184</v>
      </c>
      <c r="AB3717" s="5">
        <f>IF(INDEX('CAMD Facility Data 2023'!$AC$2:$AE$10000,MATCH(Z3717,'CAMD Facility Data 2023'!$AE$2:$AE$10000,0),1)&gt;0,INDEX('CAMD Facility Data 2023'!$AC$2:$AE$10000,MATCH(Z3717,'CAMD Facility Data 2023'!$AE$2:$AE$10000,0),1),"")</f>
        <v>475</v>
      </c>
      <c r="AC3717" s="1" t="str">
        <f>IF(INDEX('CAMD Facility Data 2023'!$AE$2:$AG$10000,MATCH(Z3717,'CAMD Facility Data 2023'!$AE$2:$AE$10000,0),3)&gt;0,INDEX('CAMD Facility Data 2023'!$AE$2:$AG$10000,MATCH(Z3717,'CAMD Facility Data 2023'!$AE$2:$AE$10000,0),3),"")</f>
        <v>Y</v>
      </c>
      <c r="AD3717" s="20">
        <f t="shared" si="175"/>
        <v>0.13491559852196491</v>
      </c>
      <c r="AE3717" s="25">
        <f t="shared" si="176"/>
        <v>9.8372925979331893E-2</v>
      </c>
    </row>
    <row r="3718" spans="1:31" x14ac:dyDescent="0.2">
      <c r="A3718" s="1" t="s">
        <v>383</v>
      </c>
      <c r="B3718" s="1" t="s">
        <v>8256</v>
      </c>
      <c r="C3718" s="1">
        <v>63335</v>
      </c>
      <c r="D3718" s="1" t="s">
        <v>1304</v>
      </c>
      <c r="F3718" s="1">
        <v>2023</v>
      </c>
      <c r="G3718" s="5">
        <v>1558</v>
      </c>
      <c r="H3718" s="5">
        <v>1334.8</v>
      </c>
      <c r="I3718" s="5">
        <v>58347.22</v>
      </c>
      <c r="K3718" s="5">
        <v>0.17799999999999999</v>
      </c>
      <c r="L3718" s="5">
        <v>1E-3</v>
      </c>
      <c r="M3718" s="5">
        <v>35287.760000000002</v>
      </c>
      <c r="N3718" s="6">
        <v>5.9200000000000003E-2</v>
      </c>
      <c r="O3718" s="5">
        <v>4.048</v>
      </c>
      <c r="P3718" s="6">
        <v>2.81E-2</v>
      </c>
      <c r="Q3718" s="5">
        <v>593767.02500000002</v>
      </c>
      <c r="R3718" s="1" t="s">
        <v>44</v>
      </c>
      <c r="T3718" s="1" t="s">
        <v>93</v>
      </c>
      <c r="V3718" s="1" t="s">
        <v>176</v>
      </c>
      <c r="Y3718" s="1" t="s">
        <v>346</v>
      </c>
      <c r="Z3718" s="1" t="str">
        <f t="shared" si="174"/>
        <v>63335 CT-4</v>
      </c>
      <c r="AA3718" s="3">
        <f>IF(INDEX('CAMD Facility Data 2023'!$AA$2:$AE$10000,MATCH(Z3718,'CAMD Facility Data 2023'!$AE$2:$AE$10000,0),1)&gt;0,INDEX('CAMD Facility Data 2023'!$AA$2:$AE$10000,MATCH(Z3718,'CAMD Facility Data 2023'!$AE$2:$AE$10000,0),1),"")</f>
        <v>44184</v>
      </c>
      <c r="AB3718" s="5">
        <f>IF(INDEX('CAMD Facility Data 2023'!$AC$2:$AE$10000,MATCH(Z3718,'CAMD Facility Data 2023'!$AE$2:$AE$10000,0),1)&gt;0,INDEX('CAMD Facility Data 2023'!$AC$2:$AE$10000,MATCH(Z3718,'CAMD Facility Data 2023'!$AE$2:$AE$10000,0),1),"")</f>
        <v>475</v>
      </c>
      <c r="AC3718" s="1" t="str">
        <f>IF(INDEX('CAMD Facility Data 2023'!$AE$2:$AG$10000,MATCH(Z3718,'CAMD Facility Data 2023'!$AE$2:$AE$10000,0),3)&gt;0,INDEX('CAMD Facility Data 2023'!$AE$2:$AG$10000,MATCH(Z3718,'CAMD Facility Data 2023'!$AE$2:$AE$10000,0),3),"")</f>
        <v>Y</v>
      </c>
      <c r="AD3718" s="20">
        <f t="shared" si="175"/>
        <v>0.1387555396812393</v>
      </c>
      <c r="AE3718" s="25">
        <f t="shared" si="176"/>
        <v>0.14269815549146841</v>
      </c>
    </row>
    <row r="3719" spans="1:31" x14ac:dyDescent="0.2">
      <c r="A3719" s="1" t="s">
        <v>383</v>
      </c>
      <c r="B3719" s="1" t="s">
        <v>8256</v>
      </c>
      <c r="C3719" s="1">
        <v>63335</v>
      </c>
      <c r="D3719" s="1" t="s">
        <v>5830</v>
      </c>
      <c r="F3719" s="1">
        <v>2023</v>
      </c>
      <c r="G3719" s="5">
        <v>1399</v>
      </c>
      <c r="H3719" s="5">
        <v>1185.3800000000001</v>
      </c>
      <c r="I3719" s="5">
        <v>52399.03</v>
      </c>
      <c r="K3719" s="5">
        <v>0.159</v>
      </c>
      <c r="L3719" s="5">
        <v>1E-3</v>
      </c>
      <c r="M3719" s="5">
        <v>31490.67</v>
      </c>
      <c r="N3719" s="6">
        <v>5.9200000000000003E-2</v>
      </c>
      <c r="O3719" s="5">
        <v>3.6709999999999998</v>
      </c>
      <c r="P3719" s="6">
        <v>2.9000000000000001E-2</v>
      </c>
      <c r="Q3719" s="5">
        <v>529881.20600000001</v>
      </c>
      <c r="R3719" s="1" t="s">
        <v>44</v>
      </c>
      <c r="T3719" s="1" t="s">
        <v>93</v>
      </c>
      <c r="V3719" s="1" t="s">
        <v>176</v>
      </c>
      <c r="Y3719" s="1" t="s">
        <v>346</v>
      </c>
      <c r="Z3719" s="1" t="str">
        <f t="shared" si="174"/>
        <v>63335 CT-5</v>
      </c>
      <c r="AA3719" s="3">
        <f>IF(INDEX('CAMD Facility Data 2023'!$AA$2:$AE$10000,MATCH(Z3719,'CAMD Facility Data 2023'!$AE$2:$AE$10000,0),1)&gt;0,INDEX('CAMD Facility Data 2023'!$AA$2:$AE$10000,MATCH(Z3719,'CAMD Facility Data 2023'!$AE$2:$AE$10000,0),1),"")</f>
        <v>44182</v>
      </c>
      <c r="AB3719" s="5">
        <f>IF(INDEX('CAMD Facility Data 2023'!$AC$2:$AE$10000,MATCH(Z3719,'CAMD Facility Data 2023'!$AE$2:$AE$10000,0),1)&gt;0,INDEX('CAMD Facility Data 2023'!$AC$2:$AE$10000,MATCH(Z3719,'CAMD Facility Data 2023'!$AE$2:$AE$10000,0),1),"")</f>
        <v>475</v>
      </c>
      <c r="AC3719" s="1" t="str">
        <f>IF(INDEX('CAMD Facility Data 2023'!$AE$2:$AG$10000,MATCH(Z3719,'CAMD Facility Data 2023'!$AE$2:$AE$10000,0),3)&gt;0,INDEX('CAMD Facility Data 2023'!$AE$2:$AG$10000,MATCH(Z3719,'CAMD Facility Data 2023'!$AE$2:$AE$10000,0),3),"")</f>
        <v>Y</v>
      </c>
      <c r="AD3719" s="20">
        <f t="shared" si="175"/>
        <v>0.14011709758749352</v>
      </c>
      <c r="AE3719" s="25">
        <f t="shared" si="176"/>
        <v>0.1273446782023552</v>
      </c>
    </row>
    <row r="3720" spans="1:31" x14ac:dyDescent="0.2">
      <c r="A3720" s="1" t="s">
        <v>383</v>
      </c>
      <c r="B3720" s="1" t="s">
        <v>8256</v>
      </c>
      <c r="C3720" s="1">
        <v>63335</v>
      </c>
      <c r="D3720" s="1" t="s">
        <v>8263</v>
      </c>
      <c r="F3720" s="1">
        <v>2023</v>
      </c>
      <c r="G3720" s="5">
        <v>1362</v>
      </c>
      <c r="H3720" s="5">
        <v>1157.71</v>
      </c>
      <c r="I3720" s="5">
        <v>49552.959999999999</v>
      </c>
      <c r="K3720" s="5">
        <v>0.151</v>
      </c>
      <c r="L3720" s="5">
        <v>1E-3</v>
      </c>
      <c r="M3720" s="5">
        <v>29911.58</v>
      </c>
      <c r="N3720" s="6">
        <v>5.9200000000000003E-2</v>
      </c>
      <c r="O3720" s="5">
        <v>3.4849999999999999</v>
      </c>
      <c r="P3720" s="6">
        <v>2.76E-2</v>
      </c>
      <c r="Q3720" s="5">
        <v>503322.22700000001</v>
      </c>
      <c r="R3720" s="1" t="s">
        <v>44</v>
      </c>
      <c r="T3720" s="1" t="s">
        <v>93</v>
      </c>
      <c r="V3720" s="1" t="s">
        <v>176</v>
      </c>
      <c r="Y3720" s="1" t="s">
        <v>346</v>
      </c>
      <c r="Z3720" s="1" t="str">
        <f t="shared" si="174"/>
        <v>63335 CT-6</v>
      </c>
      <c r="AA3720" s="3">
        <f>IF(INDEX('CAMD Facility Data 2023'!$AA$2:$AE$10000,MATCH(Z3720,'CAMD Facility Data 2023'!$AE$2:$AE$10000,0),1)&gt;0,INDEX('CAMD Facility Data 2023'!$AA$2:$AE$10000,MATCH(Z3720,'CAMD Facility Data 2023'!$AE$2:$AE$10000,0),1),"")</f>
        <v>44182</v>
      </c>
      <c r="AB3720" s="5">
        <f>IF(INDEX('CAMD Facility Data 2023'!$AC$2:$AE$10000,MATCH(Z3720,'CAMD Facility Data 2023'!$AE$2:$AE$10000,0),1)&gt;0,INDEX('CAMD Facility Data 2023'!$AC$2:$AE$10000,MATCH(Z3720,'CAMD Facility Data 2023'!$AE$2:$AE$10000,0),1),"")</f>
        <v>475</v>
      </c>
      <c r="AC3720" s="1" t="str">
        <f>IF(INDEX('CAMD Facility Data 2023'!$AE$2:$AG$10000,MATCH(Z3720,'CAMD Facility Data 2023'!$AE$2:$AE$10000,0),3)&gt;0,INDEX('CAMD Facility Data 2023'!$AE$2:$AG$10000,MATCH(Z3720,'CAMD Facility Data 2023'!$AE$2:$AE$10000,0),3),"")</f>
        <v>Y</v>
      </c>
      <c r="AD3720" s="20">
        <f t="shared" si="175"/>
        <v>0.14065759139312767</v>
      </c>
      <c r="AE3720" s="25">
        <f t="shared" si="176"/>
        <v>0.12096184258591686</v>
      </c>
    </row>
    <row r="3721" spans="1:31" x14ac:dyDescent="0.2">
      <c r="A3721" s="1" t="s">
        <v>383</v>
      </c>
      <c r="B3721" s="1" t="s">
        <v>8256</v>
      </c>
      <c r="C3721" s="1">
        <v>63335</v>
      </c>
      <c r="D3721" s="1" t="s">
        <v>8265</v>
      </c>
      <c r="F3721" s="1">
        <v>2023</v>
      </c>
      <c r="G3721" s="5">
        <v>1532</v>
      </c>
      <c r="H3721" s="5">
        <v>1313</v>
      </c>
      <c r="I3721" s="5">
        <v>55648.41</v>
      </c>
      <c r="K3721" s="5">
        <v>0.17100000000000001</v>
      </c>
      <c r="L3721" s="5">
        <v>1E-3</v>
      </c>
      <c r="M3721" s="5">
        <v>33957.927000000003</v>
      </c>
      <c r="N3721" s="6">
        <v>5.9200000000000003E-2</v>
      </c>
      <c r="O3721" s="5">
        <v>3.5510000000000002</v>
      </c>
      <c r="P3721" s="6">
        <v>2.47E-2</v>
      </c>
      <c r="Q3721" s="5">
        <v>571403.30700000003</v>
      </c>
      <c r="R3721" s="1" t="s">
        <v>44</v>
      </c>
      <c r="T3721" s="1" t="s">
        <v>93</v>
      </c>
      <c r="V3721" s="1" t="s">
        <v>176</v>
      </c>
      <c r="Y3721" s="1" t="s">
        <v>346</v>
      </c>
      <c r="Z3721" s="1" t="str">
        <f t="shared" si="174"/>
        <v>63335 CT-7</v>
      </c>
      <c r="AA3721" s="3">
        <f>IF(INDEX('CAMD Facility Data 2023'!$AA$2:$AE$10000,MATCH(Z3721,'CAMD Facility Data 2023'!$AE$2:$AE$10000,0),1)&gt;0,INDEX('CAMD Facility Data 2023'!$AA$2:$AE$10000,MATCH(Z3721,'CAMD Facility Data 2023'!$AE$2:$AE$10000,0),1),"")</f>
        <v>44440</v>
      </c>
      <c r="AB3721" s="5">
        <f>IF(INDEX('CAMD Facility Data 2023'!$AC$2:$AE$10000,MATCH(Z3721,'CAMD Facility Data 2023'!$AE$2:$AE$10000,0),1)&gt;0,INDEX('CAMD Facility Data 2023'!$AC$2:$AE$10000,MATCH(Z3721,'CAMD Facility Data 2023'!$AE$2:$AE$10000,0),1),"")</f>
        <v>475</v>
      </c>
      <c r="AC3721" s="1" t="str">
        <f>IF(INDEX('CAMD Facility Data 2023'!$AE$2:$AG$10000,MATCH(Z3721,'CAMD Facility Data 2023'!$AE$2:$AE$10000,0),3)&gt;0,INDEX('CAMD Facility Data 2023'!$AE$2:$AG$10000,MATCH(Z3721,'CAMD Facility Data 2023'!$AE$2:$AE$10000,0),3),"")</f>
        <v>Y</v>
      </c>
      <c r="AD3721" s="20">
        <f t="shared" si="175"/>
        <v>0.12762269398173282</v>
      </c>
      <c r="AE3721" s="25">
        <f t="shared" si="176"/>
        <v>0.13732355371304975</v>
      </c>
    </row>
    <row r="3722" spans="1:31" x14ac:dyDescent="0.2">
      <c r="A3722" s="1" t="s">
        <v>383</v>
      </c>
      <c r="B3722" s="1" t="s">
        <v>8256</v>
      </c>
      <c r="C3722" s="1">
        <v>63335</v>
      </c>
      <c r="D3722" s="1" t="s">
        <v>8268</v>
      </c>
      <c r="F3722" s="1">
        <v>2023</v>
      </c>
      <c r="G3722" s="5">
        <v>1660</v>
      </c>
      <c r="H3722" s="5">
        <v>1404.15</v>
      </c>
      <c r="I3722" s="5">
        <v>61268.42</v>
      </c>
      <c r="K3722" s="5">
        <v>0.19800000000000001</v>
      </c>
      <c r="L3722" s="5">
        <v>1E-3</v>
      </c>
      <c r="M3722" s="5">
        <v>39240.750999999997</v>
      </c>
      <c r="N3722" s="6">
        <v>5.9200000000000003E-2</v>
      </c>
      <c r="O3722" s="5">
        <v>3.6850000000000001</v>
      </c>
      <c r="P3722" s="6">
        <v>2.63E-2</v>
      </c>
      <c r="Q3722" s="5">
        <v>660292.27899999998</v>
      </c>
      <c r="R3722" s="1" t="s">
        <v>44</v>
      </c>
      <c r="T3722" s="1" t="s">
        <v>93</v>
      </c>
      <c r="V3722" s="1" t="s">
        <v>176</v>
      </c>
      <c r="Y3722" s="1" t="s">
        <v>346</v>
      </c>
      <c r="Z3722" s="1" t="str">
        <f t="shared" si="174"/>
        <v>63335 CT-8</v>
      </c>
      <c r="AA3722" s="3">
        <f>IF(INDEX('CAMD Facility Data 2023'!$AA$2:$AE$10000,MATCH(Z3722,'CAMD Facility Data 2023'!$AE$2:$AE$10000,0),1)&gt;0,INDEX('CAMD Facility Data 2023'!$AA$2:$AE$10000,MATCH(Z3722,'CAMD Facility Data 2023'!$AE$2:$AE$10000,0),1),"")</f>
        <v>44440</v>
      </c>
      <c r="AB3722" s="5">
        <f>IF(INDEX('CAMD Facility Data 2023'!$AC$2:$AE$10000,MATCH(Z3722,'CAMD Facility Data 2023'!$AE$2:$AE$10000,0),1)&gt;0,INDEX('CAMD Facility Data 2023'!$AC$2:$AE$10000,MATCH(Z3722,'CAMD Facility Data 2023'!$AE$2:$AE$10000,0),1),"")</f>
        <v>475</v>
      </c>
      <c r="AC3722" s="1" t="str">
        <f>IF(INDEX('CAMD Facility Data 2023'!$AE$2:$AG$10000,MATCH(Z3722,'CAMD Facility Data 2023'!$AE$2:$AE$10000,0),3)&gt;0,INDEX('CAMD Facility Data 2023'!$AE$2:$AG$10000,MATCH(Z3722,'CAMD Facility Data 2023'!$AE$2:$AE$10000,0),3),"")</f>
        <v>Y</v>
      </c>
      <c r="AD3722" s="20">
        <f t="shared" si="175"/>
        <v>0.12029035512911872</v>
      </c>
      <c r="AE3722" s="25">
        <f t="shared" si="176"/>
        <v>0.15868595986541698</v>
      </c>
    </row>
    <row r="3723" spans="1:31" x14ac:dyDescent="0.2">
      <c r="A3723" s="1" t="s">
        <v>383</v>
      </c>
      <c r="B3723" s="1" t="s">
        <v>8270</v>
      </c>
      <c r="C3723" s="1">
        <v>63688</v>
      </c>
      <c r="D3723" s="1" t="s">
        <v>1296</v>
      </c>
      <c r="F3723" s="1">
        <v>2023</v>
      </c>
      <c r="G3723" s="5">
        <v>1825</v>
      </c>
      <c r="H3723" s="5">
        <v>1612.08</v>
      </c>
      <c r="I3723" s="5">
        <v>67826.95</v>
      </c>
      <c r="K3723" s="5">
        <v>0.20699999999999999</v>
      </c>
      <c r="L3723" s="5">
        <v>1E-3</v>
      </c>
      <c r="M3723" s="5">
        <v>40971.357000000004</v>
      </c>
      <c r="N3723" s="6">
        <v>5.9200000000000003E-2</v>
      </c>
      <c r="O3723" s="5">
        <v>4.5979999999999999</v>
      </c>
      <c r="P3723" s="6">
        <v>2.2800000000000001E-2</v>
      </c>
      <c r="Q3723" s="5">
        <v>689385.929</v>
      </c>
      <c r="R3723" s="1" t="s">
        <v>44</v>
      </c>
      <c r="T3723" s="1" t="s">
        <v>93</v>
      </c>
      <c r="V3723" s="1" t="s">
        <v>176</v>
      </c>
      <c r="Y3723" s="1" t="s">
        <v>346</v>
      </c>
      <c r="Z3723" s="1" t="str">
        <f t="shared" si="174"/>
        <v>63688 CT-1</v>
      </c>
      <c r="AA3723" s="3">
        <f>IF(INDEX('CAMD Facility Data 2023'!$AA$2:$AE$10000,MATCH(Z3723,'CAMD Facility Data 2023'!$AE$2:$AE$10000,0),1)&gt;0,INDEX('CAMD Facility Data 2023'!$AA$2:$AE$10000,MATCH(Z3723,'CAMD Facility Data 2023'!$AE$2:$AE$10000,0),1),"")</f>
        <v>44382</v>
      </c>
      <c r="AB3723" s="5">
        <f>IF(INDEX('CAMD Facility Data 2023'!$AC$2:$AE$10000,MATCH(Z3723,'CAMD Facility Data 2023'!$AE$2:$AE$10000,0),1)&gt;0,INDEX('CAMD Facility Data 2023'!$AC$2:$AE$10000,MATCH(Z3723,'CAMD Facility Data 2023'!$AE$2:$AE$10000,0),1),"")</f>
        <v>475</v>
      </c>
      <c r="AC3723" s="1" t="str">
        <f>IF(INDEX('CAMD Facility Data 2023'!$AE$2:$AG$10000,MATCH(Z3723,'CAMD Facility Data 2023'!$AE$2:$AE$10000,0),3)&gt;0,INDEX('CAMD Facility Data 2023'!$AE$2:$AG$10000,MATCH(Z3723,'CAMD Facility Data 2023'!$AE$2:$AE$10000,0),3),"")</f>
        <v>Y</v>
      </c>
      <c r="AD3723" s="20">
        <f t="shared" si="175"/>
        <v>0.135580326109312</v>
      </c>
      <c r="AE3723" s="25">
        <f t="shared" si="176"/>
        <v>0.16567794496515262</v>
      </c>
    </row>
    <row r="3724" spans="1:31" x14ac:dyDescent="0.2">
      <c r="A3724" s="1" t="s">
        <v>383</v>
      </c>
      <c r="B3724" s="1" t="s">
        <v>8270</v>
      </c>
      <c r="C3724" s="1">
        <v>63688</v>
      </c>
      <c r="D3724" s="1" t="s">
        <v>8272</v>
      </c>
      <c r="F3724" s="1">
        <v>2023</v>
      </c>
      <c r="G3724" s="5">
        <v>1760</v>
      </c>
      <c r="H3724" s="5">
        <v>1506.89</v>
      </c>
      <c r="I3724" s="5">
        <v>62948.62</v>
      </c>
      <c r="K3724" s="5">
        <v>0.19400000000000001</v>
      </c>
      <c r="L3724" s="5">
        <v>1E-3</v>
      </c>
      <c r="M3724" s="5">
        <v>38343.870000000003</v>
      </c>
      <c r="N3724" s="6">
        <v>5.9200000000000003E-2</v>
      </c>
      <c r="O3724" s="5">
        <v>3.774</v>
      </c>
      <c r="P3724" s="6">
        <v>2.2800000000000001E-2</v>
      </c>
      <c r="Q3724" s="5">
        <v>645188.07299999997</v>
      </c>
      <c r="R3724" s="1" t="s">
        <v>44</v>
      </c>
      <c r="T3724" s="1" t="s">
        <v>93</v>
      </c>
      <c r="V3724" s="1" t="s">
        <v>176</v>
      </c>
      <c r="Y3724" s="1" t="s">
        <v>346</v>
      </c>
      <c r="Z3724" s="1" t="str">
        <f t="shared" si="174"/>
        <v>63688 CT-10</v>
      </c>
      <c r="AA3724" s="3">
        <f>IF(INDEX('CAMD Facility Data 2023'!$AA$2:$AE$10000,MATCH(Z3724,'CAMD Facility Data 2023'!$AE$2:$AE$10000,0),1)&gt;0,INDEX('CAMD Facility Data 2023'!$AA$2:$AE$10000,MATCH(Z3724,'CAMD Facility Data 2023'!$AE$2:$AE$10000,0),1),"")</f>
        <v>44412</v>
      </c>
      <c r="AB3724" s="5">
        <f>IF(INDEX('CAMD Facility Data 2023'!$AC$2:$AE$10000,MATCH(Z3724,'CAMD Facility Data 2023'!$AE$2:$AE$10000,0),1)&gt;0,INDEX('CAMD Facility Data 2023'!$AC$2:$AE$10000,MATCH(Z3724,'CAMD Facility Data 2023'!$AE$2:$AE$10000,0),1),"")</f>
        <v>475</v>
      </c>
      <c r="AC3724" s="1" t="str">
        <f>IF(INDEX('CAMD Facility Data 2023'!$AE$2:$AG$10000,MATCH(Z3724,'CAMD Facility Data 2023'!$AE$2:$AE$10000,0),3)&gt;0,INDEX('CAMD Facility Data 2023'!$AE$2:$AG$10000,MATCH(Z3724,'CAMD Facility Data 2023'!$AE$2:$AE$10000,0),3),"")</f>
        <v>Y</v>
      </c>
      <c r="AD3724" s="20">
        <f t="shared" si="175"/>
        <v>0.11990731488633111</v>
      </c>
      <c r="AE3724" s="25">
        <f t="shared" si="176"/>
        <v>0.15505601369863012</v>
      </c>
    </row>
    <row r="3725" spans="1:31" x14ac:dyDescent="0.2">
      <c r="A3725" s="1" t="s">
        <v>383</v>
      </c>
      <c r="B3725" s="1" t="s">
        <v>8270</v>
      </c>
      <c r="C3725" s="1">
        <v>63688</v>
      </c>
      <c r="D3725" s="1" t="s">
        <v>1300</v>
      </c>
      <c r="F3725" s="1">
        <v>2023</v>
      </c>
      <c r="G3725" s="5">
        <v>2067</v>
      </c>
      <c r="H3725" s="5">
        <v>1814.91</v>
      </c>
      <c r="I3725" s="5">
        <v>77957.19</v>
      </c>
      <c r="K3725" s="5">
        <v>0.24199999999999999</v>
      </c>
      <c r="L3725" s="5">
        <v>1E-3</v>
      </c>
      <c r="M3725" s="5">
        <v>47836.430999999997</v>
      </c>
      <c r="N3725" s="6">
        <v>5.9200000000000003E-2</v>
      </c>
      <c r="O3725" s="5">
        <v>5.2169999999999996</v>
      </c>
      <c r="P3725" s="6">
        <v>2.1600000000000001E-2</v>
      </c>
      <c r="Q3725" s="5">
        <v>804925.77</v>
      </c>
      <c r="R3725" s="1" t="s">
        <v>44</v>
      </c>
      <c r="T3725" s="1" t="s">
        <v>93</v>
      </c>
      <c r="V3725" s="1" t="s">
        <v>176</v>
      </c>
      <c r="Y3725" s="1" t="s">
        <v>346</v>
      </c>
      <c r="Z3725" s="1" t="str">
        <f t="shared" si="174"/>
        <v>63688 CT-2</v>
      </c>
      <c r="AA3725" s="3">
        <f>IF(INDEX('CAMD Facility Data 2023'!$AA$2:$AE$10000,MATCH(Z3725,'CAMD Facility Data 2023'!$AE$2:$AE$10000,0),1)&gt;0,INDEX('CAMD Facility Data 2023'!$AA$2:$AE$10000,MATCH(Z3725,'CAMD Facility Data 2023'!$AE$2:$AE$10000,0),1),"")</f>
        <v>44382</v>
      </c>
      <c r="AB3725" s="5">
        <f>IF(INDEX('CAMD Facility Data 2023'!$AC$2:$AE$10000,MATCH(Z3725,'CAMD Facility Data 2023'!$AE$2:$AE$10000,0),1)&gt;0,INDEX('CAMD Facility Data 2023'!$AC$2:$AE$10000,MATCH(Z3725,'CAMD Facility Data 2023'!$AE$2:$AE$10000,0),1),"")</f>
        <v>475</v>
      </c>
      <c r="AC3725" s="1" t="str">
        <f>IF(INDEX('CAMD Facility Data 2023'!$AE$2:$AG$10000,MATCH(Z3725,'CAMD Facility Data 2023'!$AE$2:$AE$10000,0),3)&gt;0,INDEX('CAMD Facility Data 2023'!$AE$2:$AG$10000,MATCH(Z3725,'CAMD Facility Data 2023'!$AE$2:$AE$10000,0),3),"")</f>
        <v>Y</v>
      </c>
      <c r="AD3725" s="20">
        <f t="shared" si="175"/>
        <v>0.13384268981475603</v>
      </c>
      <c r="AE3725" s="25">
        <f t="shared" si="176"/>
        <v>0.19344527036770007</v>
      </c>
    </row>
    <row r="3726" spans="1:31" x14ac:dyDescent="0.2">
      <c r="A3726" s="1" t="s">
        <v>383</v>
      </c>
      <c r="B3726" s="1" t="s">
        <v>8270</v>
      </c>
      <c r="C3726" s="1">
        <v>63688</v>
      </c>
      <c r="D3726" s="1" t="s">
        <v>1302</v>
      </c>
      <c r="F3726" s="1">
        <v>2023</v>
      </c>
      <c r="G3726" s="5">
        <v>1992</v>
      </c>
      <c r="H3726" s="5">
        <v>1751.61</v>
      </c>
      <c r="I3726" s="5">
        <v>76328.509999999995</v>
      </c>
      <c r="K3726" s="5">
        <v>0.23599999999999999</v>
      </c>
      <c r="L3726" s="5">
        <v>1E-3</v>
      </c>
      <c r="M3726" s="5">
        <v>46840.864000000001</v>
      </c>
      <c r="N3726" s="6">
        <v>5.9200000000000003E-2</v>
      </c>
      <c r="O3726" s="5">
        <v>5.4420000000000002</v>
      </c>
      <c r="P3726" s="6">
        <v>2.2700000000000001E-2</v>
      </c>
      <c r="Q3726" s="5">
        <v>788138.34499999997</v>
      </c>
      <c r="R3726" s="1" t="s">
        <v>44</v>
      </c>
      <c r="T3726" s="1" t="s">
        <v>93</v>
      </c>
      <c r="V3726" s="1" t="s">
        <v>176</v>
      </c>
      <c r="Y3726" s="1" t="s">
        <v>346</v>
      </c>
      <c r="Z3726" s="1" t="str">
        <f t="shared" si="174"/>
        <v>63688 CT-3</v>
      </c>
      <c r="AA3726" s="3">
        <f>IF(INDEX('CAMD Facility Data 2023'!$AA$2:$AE$10000,MATCH(Z3726,'CAMD Facility Data 2023'!$AE$2:$AE$10000,0),1)&gt;0,INDEX('CAMD Facility Data 2023'!$AA$2:$AE$10000,MATCH(Z3726,'CAMD Facility Data 2023'!$AE$2:$AE$10000,0),1),"")</f>
        <v>44385</v>
      </c>
      <c r="AB3726" s="5">
        <f>IF(INDEX('CAMD Facility Data 2023'!$AC$2:$AE$10000,MATCH(Z3726,'CAMD Facility Data 2023'!$AE$2:$AE$10000,0),1)&gt;0,INDEX('CAMD Facility Data 2023'!$AC$2:$AE$10000,MATCH(Z3726,'CAMD Facility Data 2023'!$AE$2:$AE$10000,0),1),"")</f>
        <v>475</v>
      </c>
      <c r="AC3726" s="1" t="str">
        <f>IF(INDEX('CAMD Facility Data 2023'!$AE$2:$AG$10000,MATCH(Z3726,'CAMD Facility Data 2023'!$AE$2:$AE$10000,0),3)&gt;0,INDEX('CAMD Facility Data 2023'!$AE$2:$AG$10000,MATCH(Z3726,'CAMD Facility Data 2023'!$AE$2:$AE$10000,0),3),"")</f>
        <v>Y</v>
      </c>
      <c r="AD3726" s="20">
        <f t="shared" si="175"/>
        <v>0.14259416304602304</v>
      </c>
      <c r="AE3726" s="25">
        <f t="shared" si="176"/>
        <v>0.18941080149002643</v>
      </c>
    </row>
    <row r="3727" spans="1:31" x14ac:dyDescent="0.2">
      <c r="A3727" s="1" t="s">
        <v>383</v>
      </c>
      <c r="B3727" s="1" t="s">
        <v>8270</v>
      </c>
      <c r="C3727" s="1">
        <v>63688</v>
      </c>
      <c r="D3727" s="1" t="s">
        <v>1304</v>
      </c>
      <c r="F3727" s="1">
        <v>2023</v>
      </c>
      <c r="G3727" s="5">
        <v>2001</v>
      </c>
      <c r="H3727" s="5">
        <v>1749.01</v>
      </c>
      <c r="I3727" s="5">
        <v>76958.649999999994</v>
      </c>
      <c r="K3727" s="5">
        <v>0.23200000000000001</v>
      </c>
      <c r="L3727" s="5">
        <v>1E-3</v>
      </c>
      <c r="M3727" s="5">
        <v>45889.008000000002</v>
      </c>
      <c r="N3727" s="6">
        <v>5.9200000000000003E-2</v>
      </c>
      <c r="O3727" s="5">
        <v>5.2210000000000001</v>
      </c>
      <c r="P3727" s="6">
        <v>2.3599999999999999E-2</v>
      </c>
      <c r="Q3727" s="5">
        <v>772148.21699999995</v>
      </c>
      <c r="R3727" s="1" t="s">
        <v>44</v>
      </c>
      <c r="T3727" s="1" t="s">
        <v>93</v>
      </c>
      <c r="V3727" s="1" t="s">
        <v>176</v>
      </c>
      <c r="Y3727" s="1" t="s">
        <v>346</v>
      </c>
      <c r="Z3727" s="1" t="str">
        <f t="shared" si="174"/>
        <v>63688 CT-4</v>
      </c>
      <c r="AA3727" s="3">
        <f>IF(INDEX('CAMD Facility Data 2023'!$AA$2:$AE$10000,MATCH(Z3727,'CAMD Facility Data 2023'!$AE$2:$AE$10000,0),1)&gt;0,INDEX('CAMD Facility Data 2023'!$AA$2:$AE$10000,MATCH(Z3727,'CAMD Facility Data 2023'!$AE$2:$AE$10000,0),1),"")</f>
        <v>44385</v>
      </c>
      <c r="AB3727" s="5">
        <f>IF(INDEX('CAMD Facility Data 2023'!$AC$2:$AE$10000,MATCH(Z3727,'CAMD Facility Data 2023'!$AE$2:$AE$10000,0),1)&gt;0,INDEX('CAMD Facility Data 2023'!$AC$2:$AE$10000,MATCH(Z3727,'CAMD Facility Data 2023'!$AE$2:$AE$10000,0),1),"")</f>
        <v>475</v>
      </c>
      <c r="AC3727" s="1" t="str">
        <f>IF(INDEX('CAMD Facility Data 2023'!$AE$2:$AG$10000,MATCH(Z3727,'CAMD Facility Data 2023'!$AE$2:$AE$10000,0),3)&gt;0,INDEX('CAMD Facility Data 2023'!$AE$2:$AG$10000,MATCH(Z3727,'CAMD Facility Data 2023'!$AE$2:$AE$10000,0),3),"")</f>
        <v>Y</v>
      </c>
      <c r="AD3727" s="20">
        <f t="shared" si="175"/>
        <v>0.13568325327952088</v>
      </c>
      <c r="AE3727" s="25">
        <f t="shared" si="176"/>
        <v>0.1855679444844989</v>
      </c>
    </row>
    <row r="3728" spans="1:31" x14ac:dyDescent="0.2">
      <c r="A3728" s="1" t="s">
        <v>383</v>
      </c>
      <c r="B3728" s="1" t="s">
        <v>8270</v>
      </c>
      <c r="C3728" s="1">
        <v>63688</v>
      </c>
      <c r="D3728" s="1" t="s">
        <v>5830</v>
      </c>
      <c r="F3728" s="1">
        <v>2023</v>
      </c>
      <c r="G3728" s="5">
        <v>2022</v>
      </c>
      <c r="H3728" s="5">
        <v>1765.48</v>
      </c>
      <c r="I3728" s="5">
        <v>78562.990000000005</v>
      </c>
      <c r="K3728" s="5">
        <v>0.23200000000000001</v>
      </c>
      <c r="L3728" s="5">
        <v>1E-3</v>
      </c>
      <c r="M3728" s="5">
        <v>45909.353000000003</v>
      </c>
      <c r="N3728" s="6">
        <v>5.9200000000000003E-2</v>
      </c>
      <c r="O3728" s="5">
        <v>6.242</v>
      </c>
      <c r="P3728" s="6">
        <v>2.7400000000000001E-2</v>
      </c>
      <c r="Q3728" s="5">
        <v>772532.80599999998</v>
      </c>
      <c r="R3728" s="1" t="s">
        <v>44</v>
      </c>
      <c r="T3728" s="1" t="s">
        <v>93</v>
      </c>
      <c r="V3728" s="1" t="s">
        <v>176</v>
      </c>
      <c r="Y3728" s="1" t="s">
        <v>346</v>
      </c>
      <c r="Z3728" s="1" t="str">
        <f t="shared" si="174"/>
        <v>63688 CT-5</v>
      </c>
      <c r="AA3728" s="3">
        <f>IF(INDEX('CAMD Facility Data 2023'!$AA$2:$AE$10000,MATCH(Z3728,'CAMD Facility Data 2023'!$AE$2:$AE$10000,0),1)&gt;0,INDEX('CAMD Facility Data 2023'!$AA$2:$AE$10000,MATCH(Z3728,'CAMD Facility Data 2023'!$AE$2:$AE$10000,0),1),"")</f>
        <v>44389</v>
      </c>
      <c r="AB3728" s="5">
        <f>IF(INDEX('CAMD Facility Data 2023'!$AC$2:$AE$10000,MATCH(Z3728,'CAMD Facility Data 2023'!$AE$2:$AE$10000,0),1)&gt;0,INDEX('CAMD Facility Data 2023'!$AC$2:$AE$10000,MATCH(Z3728,'CAMD Facility Data 2023'!$AE$2:$AE$10000,0),1),"")</f>
        <v>475</v>
      </c>
      <c r="AC3728" s="1" t="str">
        <f>IF(INDEX('CAMD Facility Data 2023'!$AE$2:$AG$10000,MATCH(Z3728,'CAMD Facility Data 2023'!$AE$2:$AE$10000,0),3)&gt;0,INDEX('CAMD Facility Data 2023'!$AE$2:$AG$10000,MATCH(Z3728,'CAMD Facility Data 2023'!$AE$2:$AE$10000,0),3),"")</f>
        <v>Y</v>
      </c>
      <c r="AD3728" s="20">
        <f t="shared" si="175"/>
        <v>0.15890433905328705</v>
      </c>
      <c r="AE3728" s="25">
        <f t="shared" si="176"/>
        <v>0.1856603715453016</v>
      </c>
    </row>
    <row r="3729" spans="1:31" x14ac:dyDescent="0.2">
      <c r="A3729" s="1" t="s">
        <v>383</v>
      </c>
      <c r="B3729" s="1" t="s">
        <v>8270</v>
      </c>
      <c r="C3729" s="1">
        <v>63688</v>
      </c>
      <c r="D3729" s="1" t="s">
        <v>8263</v>
      </c>
      <c r="F3729" s="1">
        <v>2023</v>
      </c>
      <c r="G3729" s="5">
        <v>2060</v>
      </c>
      <c r="H3729" s="5">
        <v>1802.9</v>
      </c>
      <c r="I3729" s="5">
        <v>80660.92</v>
      </c>
      <c r="K3729" s="5">
        <v>0.24099999999999999</v>
      </c>
      <c r="L3729" s="5">
        <v>1E-3</v>
      </c>
      <c r="M3729" s="5">
        <v>47671.974999999999</v>
      </c>
      <c r="N3729" s="6">
        <v>5.9200000000000003E-2</v>
      </c>
      <c r="O3729" s="5">
        <v>5.4649999999999999</v>
      </c>
      <c r="P3729" s="6">
        <v>2.3900000000000001E-2</v>
      </c>
      <c r="Q3729" s="5">
        <v>802137.72199999995</v>
      </c>
      <c r="R3729" s="1" t="s">
        <v>44</v>
      </c>
      <c r="T3729" s="1" t="s">
        <v>93</v>
      </c>
      <c r="V3729" s="1" t="s">
        <v>176</v>
      </c>
      <c r="Y3729" s="1" t="s">
        <v>346</v>
      </c>
      <c r="Z3729" s="1" t="str">
        <f t="shared" si="174"/>
        <v>63688 CT-6</v>
      </c>
      <c r="AA3729" s="3">
        <f>IF(INDEX('CAMD Facility Data 2023'!$AA$2:$AE$10000,MATCH(Z3729,'CAMD Facility Data 2023'!$AE$2:$AE$10000,0),1)&gt;0,INDEX('CAMD Facility Data 2023'!$AA$2:$AE$10000,MATCH(Z3729,'CAMD Facility Data 2023'!$AE$2:$AE$10000,0),1),"")</f>
        <v>44389</v>
      </c>
      <c r="AB3729" s="5">
        <f>IF(INDEX('CAMD Facility Data 2023'!$AC$2:$AE$10000,MATCH(Z3729,'CAMD Facility Data 2023'!$AE$2:$AE$10000,0),1)&gt;0,INDEX('CAMD Facility Data 2023'!$AC$2:$AE$10000,MATCH(Z3729,'CAMD Facility Data 2023'!$AE$2:$AE$10000,0),1),"")</f>
        <v>475</v>
      </c>
      <c r="AC3729" s="1" t="str">
        <f>IF(INDEX('CAMD Facility Data 2023'!$AE$2:$AG$10000,MATCH(Z3729,'CAMD Facility Data 2023'!$AE$2:$AE$10000,0),3)&gt;0,INDEX('CAMD Facility Data 2023'!$AE$2:$AG$10000,MATCH(Z3729,'CAMD Facility Data 2023'!$AE$2:$AE$10000,0),3),"")</f>
        <v>Y</v>
      </c>
      <c r="AD3729" s="20">
        <f t="shared" si="175"/>
        <v>0.13550552113712563</v>
      </c>
      <c r="AE3729" s="25">
        <f t="shared" si="176"/>
        <v>0.19277522758952173</v>
      </c>
    </row>
    <row r="3730" spans="1:31" x14ac:dyDescent="0.2">
      <c r="A3730" s="1" t="s">
        <v>383</v>
      </c>
      <c r="B3730" s="1" t="s">
        <v>8270</v>
      </c>
      <c r="C3730" s="1">
        <v>63688</v>
      </c>
      <c r="D3730" s="1" t="s">
        <v>8265</v>
      </c>
      <c r="F3730" s="1">
        <v>2023</v>
      </c>
      <c r="G3730" s="5">
        <v>1895</v>
      </c>
      <c r="H3730" s="5">
        <v>1658.74</v>
      </c>
      <c r="I3730" s="5">
        <v>69931.22</v>
      </c>
      <c r="K3730" s="5">
        <v>0.21199999999999999</v>
      </c>
      <c r="L3730" s="5">
        <v>1E-3</v>
      </c>
      <c r="M3730" s="5">
        <v>42060.93</v>
      </c>
      <c r="N3730" s="6">
        <v>5.9200000000000003E-2</v>
      </c>
      <c r="O3730" s="5">
        <v>5.399</v>
      </c>
      <c r="P3730" s="6">
        <v>2.4299999999999999E-2</v>
      </c>
      <c r="Q3730" s="5">
        <v>707738.78300000005</v>
      </c>
      <c r="R3730" s="1" t="s">
        <v>44</v>
      </c>
      <c r="T3730" s="1" t="s">
        <v>93</v>
      </c>
      <c r="V3730" s="1" t="s">
        <v>176</v>
      </c>
      <c r="Y3730" s="1" t="s">
        <v>346</v>
      </c>
      <c r="Z3730" s="1" t="str">
        <f t="shared" si="174"/>
        <v>63688 CT-7</v>
      </c>
      <c r="AA3730" s="3">
        <f>IF(INDEX('CAMD Facility Data 2023'!$AA$2:$AE$10000,MATCH(Z3730,'CAMD Facility Data 2023'!$AE$2:$AE$10000,0),1)&gt;0,INDEX('CAMD Facility Data 2023'!$AA$2:$AE$10000,MATCH(Z3730,'CAMD Facility Data 2023'!$AE$2:$AE$10000,0),1),"")</f>
        <v>44389</v>
      </c>
      <c r="AB3730" s="5">
        <f>IF(INDEX('CAMD Facility Data 2023'!$AC$2:$AE$10000,MATCH(Z3730,'CAMD Facility Data 2023'!$AE$2:$AE$10000,0),1)&gt;0,INDEX('CAMD Facility Data 2023'!$AC$2:$AE$10000,MATCH(Z3730,'CAMD Facility Data 2023'!$AE$2:$AE$10000,0),1),"")</f>
        <v>475</v>
      </c>
      <c r="AC3730" s="1" t="str">
        <f>IF(INDEX('CAMD Facility Data 2023'!$AE$2:$AG$10000,MATCH(Z3730,'CAMD Facility Data 2023'!$AE$2:$AE$10000,0),3)&gt;0,INDEX('CAMD Facility Data 2023'!$AE$2:$AG$10000,MATCH(Z3730,'CAMD Facility Data 2023'!$AE$2:$AE$10000,0),3),"")</f>
        <v>Y</v>
      </c>
      <c r="AD3730" s="20">
        <f t="shared" si="175"/>
        <v>0.15440886059187869</v>
      </c>
      <c r="AE3730" s="25">
        <f t="shared" si="176"/>
        <v>0.17008862845469841</v>
      </c>
    </row>
    <row r="3731" spans="1:31" x14ac:dyDescent="0.2">
      <c r="A3731" s="1" t="s">
        <v>383</v>
      </c>
      <c r="B3731" s="1" t="s">
        <v>8270</v>
      </c>
      <c r="C3731" s="1">
        <v>63688</v>
      </c>
      <c r="D3731" s="1" t="s">
        <v>8268</v>
      </c>
      <c r="F3731" s="1">
        <v>2023</v>
      </c>
      <c r="G3731" s="5">
        <v>1864</v>
      </c>
      <c r="H3731" s="5">
        <v>1613.86</v>
      </c>
      <c r="I3731" s="5">
        <v>66370.25</v>
      </c>
      <c r="K3731" s="5">
        <v>0.20699999999999999</v>
      </c>
      <c r="L3731" s="5">
        <v>1E-3</v>
      </c>
      <c r="M3731" s="5">
        <v>40956.633000000002</v>
      </c>
      <c r="N3731" s="6">
        <v>5.9200000000000003E-2</v>
      </c>
      <c r="O3731" s="5">
        <v>4.4340000000000002</v>
      </c>
      <c r="P3731" s="6">
        <v>2.3300000000000001E-2</v>
      </c>
      <c r="Q3731" s="5">
        <v>689181.66899999999</v>
      </c>
      <c r="R3731" s="1" t="s">
        <v>44</v>
      </c>
      <c r="T3731" s="1" t="s">
        <v>93</v>
      </c>
      <c r="V3731" s="1" t="s">
        <v>176</v>
      </c>
      <c r="Y3731" s="1" t="s">
        <v>346</v>
      </c>
      <c r="Z3731" s="1" t="str">
        <f t="shared" si="174"/>
        <v>63688 CT-8</v>
      </c>
      <c r="AA3731" s="3">
        <f>IF(INDEX('CAMD Facility Data 2023'!$AA$2:$AE$10000,MATCH(Z3731,'CAMD Facility Data 2023'!$AE$2:$AE$10000,0),1)&gt;0,INDEX('CAMD Facility Data 2023'!$AA$2:$AE$10000,MATCH(Z3731,'CAMD Facility Data 2023'!$AE$2:$AE$10000,0),1),"")</f>
        <v>44412</v>
      </c>
      <c r="AB3731" s="5">
        <f>IF(INDEX('CAMD Facility Data 2023'!$AC$2:$AE$10000,MATCH(Z3731,'CAMD Facility Data 2023'!$AE$2:$AE$10000,0),1)&gt;0,INDEX('CAMD Facility Data 2023'!$AC$2:$AE$10000,MATCH(Z3731,'CAMD Facility Data 2023'!$AE$2:$AE$10000,0),1),"")</f>
        <v>475</v>
      </c>
      <c r="AC3731" s="1" t="str">
        <f>IF(INDEX('CAMD Facility Data 2023'!$AE$2:$AG$10000,MATCH(Z3731,'CAMD Facility Data 2023'!$AE$2:$AE$10000,0),3)&gt;0,INDEX('CAMD Facility Data 2023'!$AE$2:$AG$10000,MATCH(Z3731,'CAMD Facility Data 2023'!$AE$2:$AE$10000,0),3),"")</f>
        <v>Y</v>
      </c>
      <c r="AD3731" s="20">
        <f t="shared" si="175"/>
        <v>0.13361408161036006</v>
      </c>
      <c r="AE3731" s="25">
        <f t="shared" si="176"/>
        <v>0.1656288558038933</v>
      </c>
    </row>
    <row r="3732" spans="1:31" x14ac:dyDescent="0.2">
      <c r="A3732" s="1" t="s">
        <v>383</v>
      </c>
      <c r="B3732" s="1" t="s">
        <v>8270</v>
      </c>
      <c r="C3732" s="1">
        <v>63688</v>
      </c>
      <c r="D3732" s="1" t="s">
        <v>8275</v>
      </c>
      <c r="F3732" s="1">
        <v>2023</v>
      </c>
      <c r="G3732" s="5">
        <v>1864</v>
      </c>
      <c r="H3732" s="5">
        <v>1607.83</v>
      </c>
      <c r="I3732" s="5">
        <v>69650.3</v>
      </c>
      <c r="K3732" s="5">
        <v>0.21299999999999999</v>
      </c>
      <c r="L3732" s="5">
        <v>1E-3</v>
      </c>
      <c r="M3732" s="5">
        <v>42121.339</v>
      </c>
      <c r="N3732" s="6">
        <v>5.9200000000000003E-2</v>
      </c>
      <c r="O3732" s="5">
        <v>4.9059999999999997</v>
      </c>
      <c r="P3732" s="6">
        <v>2.58E-2</v>
      </c>
      <c r="Q3732" s="5">
        <v>708822.326</v>
      </c>
      <c r="R3732" s="1" t="s">
        <v>44</v>
      </c>
      <c r="T3732" s="1" t="s">
        <v>93</v>
      </c>
      <c r="V3732" s="1" t="s">
        <v>176</v>
      </c>
      <c r="Y3732" s="1" t="s">
        <v>346</v>
      </c>
      <c r="Z3732" s="1" t="str">
        <f t="shared" si="174"/>
        <v>63688 CT-9</v>
      </c>
      <c r="AA3732" s="3">
        <f>IF(INDEX('CAMD Facility Data 2023'!$AA$2:$AE$10000,MATCH(Z3732,'CAMD Facility Data 2023'!$AE$2:$AE$10000,0),1)&gt;0,INDEX('CAMD Facility Data 2023'!$AA$2:$AE$10000,MATCH(Z3732,'CAMD Facility Data 2023'!$AE$2:$AE$10000,0),1),"")</f>
        <v>44448</v>
      </c>
      <c r="AB3732" s="5">
        <f>IF(INDEX('CAMD Facility Data 2023'!$AC$2:$AE$10000,MATCH(Z3732,'CAMD Facility Data 2023'!$AE$2:$AE$10000,0),1)&gt;0,INDEX('CAMD Facility Data 2023'!$AC$2:$AE$10000,MATCH(Z3732,'CAMD Facility Data 2023'!$AE$2:$AE$10000,0),1),"")</f>
        <v>475</v>
      </c>
      <c r="AC3732" s="1" t="str">
        <f>IF(INDEX('CAMD Facility Data 2023'!$AE$2:$AG$10000,MATCH(Z3732,'CAMD Facility Data 2023'!$AE$2:$AE$10000,0),3)&gt;0,INDEX('CAMD Facility Data 2023'!$AE$2:$AG$10000,MATCH(Z3732,'CAMD Facility Data 2023'!$AE$2:$AE$10000,0),3),"")</f>
        <v>Y</v>
      </c>
      <c r="AD3732" s="20">
        <f t="shared" si="175"/>
        <v>0.14087520082469135</v>
      </c>
      <c r="AE3732" s="25">
        <f t="shared" si="176"/>
        <v>0.17034903292477771</v>
      </c>
    </row>
    <row r="3733" spans="1:31" x14ac:dyDescent="0.2">
      <c r="A3733" s="1" t="s">
        <v>458</v>
      </c>
      <c r="B3733" s="1" t="s">
        <v>8277</v>
      </c>
      <c r="C3733" s="1">
        <v>63931</v>
      </c>
      <c r="D3733" s="1">
        <v>1</v>
      </c>
      <c r="F3733" s="1">
        <v>2023</v>
      </c>
      <c r="G3733" s="5">
        <v>3452</v>
      </c>
      <c r="H3733" s="5">
        <v>3430.8</v>
      </c>
      <c r="I3733" s="5">
        <v>1696534.41</v>
      </c>
      <c r="K3733" s="5">
        <v>3.6360000000000001</v>
      </c>
      <c r="L3733" s="5">
        <v>1E-3</v>
      </c>
      <c r="M3733" s="5">
        <v>720343.31599999999</v>
      </c>
      <c r="N3733" s="6">
        <v>5.8999999999999997E-2</v>
      </c>
      <c r="O3733" s="5">
        <v>33.985999999999997</v>
      </c>
      <c r="P3733" s="6">
        <v>5.7000000000000002E-3</v>
      </c>
      <c r="Q3733" s="5">
        <v>12121207.35</v>
      </c>
      <c r="R3733" s="1" t="s">
        <v>44</v>
      </c>
      <c r="T3733" s="1" t="s">
        <v>8279</v>
      </c>
      <c r="V3733" s="1" t="s">
        <v>223</v>
      </c>
      <c r="Y3733" s="1" t="s">
        <v>461</v>
      </c>
      <c r="Z3733" s="1" t="str">
        <f t="shared" si="174"/>
        <v>63931 1</v>
      </c>
      <c r="AA3733" s="3">
        <f>IF(INDEX('CAMD Facility Data 2023'!$AA$2:$AE$10000,MATCH(Z3733,'CAMD Facility Data 2023'!$AE$2:$AE$10000,0),1)&gt;0,INDEX('CAMD Facility Data 2023'!$AA$2:$AE$10000,MATCH(Z3733,'CAMD Facility Data 2023'!$AE$2:$AE$10000,0),1),"")</f>
        <v>44930</v>
      </c>
      <c r="AB3733" s="5">
        <f>IF(INDEX('CAMD Facility Data 2023'!$AC$2:$AE$10000,MATCH(Z3733,'CAMD Facility Data 2023'!$AE$2:$AE$10000,0),1)&gt;0,INDEX('CAMD Facility Data 2023'!$AC$2:$AE$10000,MATCH(Z3733,'CAMD Facility Data 2023'!$AE$2:$AE$10000,0),1),"")</f>
        <v>4650</v>
      </c>
      <c r="AC3733" s="1" t="str">
        <f>IF(INDEX('CAMD Facility Data 2023'!$AE$2:$AG$10000,MATCH(Z3733,'CAMD Facility Data 2023'!$AE$2:$AE$10000,0),3)&gt;0,INDEX('CAMD Facility Data 2023'!$AE$2:$AG$10000,MATCH(Z3733,'CAMD Facility Data 2023'!$AE$2:$AE$10000,0),3),"")</f>
        <v>Y</v>
      </c>
      <c r="AD3733" s="20">
        <f t="shared" si="175"/>
        <v>4.0065205632934968E-2</v>
      </c>
      <c r="AE3733" s="25">
        <f t="shared" si="176"/>
        <v>0.29756977831786713</v>
      </c>
    </row>
    <row r="3734" spans="1:31" x14ac:dyDescent="0.2">
      <c r="A3734" s="1" t="s">
        <v>458</v>
      </c>
      <c r="B3734" s="1" t="s">
        <v>8277</v>
      </c>
      <c r="C3734" s="1">
        <v>63931</v>
      </c>
      <c r="D3734" s="1">
        <v>2</v>
      </c>
      <c r="F3734" s="1">
        <v>2023</v>
      </c>
      <c r="G3734" s="5">
        <v>3733</v>
      </c>
      <c r="H3734" s="5">
        <v>3715.18</v>
      </c>
      <c r="I3734" s="5">
        <v>1789952.12</v>
      </c>
      <c r="K3734" s="5">
        <v>3.8479999999999999</v>
      </c>
      <c r="L3734" s="5">
        <v>1E-3</v>
      </c>
      <c r="M3734" s="5">
        <v>762213.73300000001</v>
      </c>
      <c r="N3734" s="6">
        <v>5.8999999999999997E-2</v>
      </c>
      <c r="O3734" s="5">
        <v>35.258000000000003</v>
      </c>
      <c r="P3734" s="6">
        <v>5.5999999999999999E-3</v>
      </c>
      <c r="Q3734" s="5">
        <v>12825677.943</v>
      </c>
      <c r="R3734" s="1" t="s">
        <v>44</v>
      </c>
      <c r="T3734" s="1" t="s">
        <v>8282</v>
      </c>
      <c r="V3734" s="1" t="s">
        <v>223</v>
      </c>
      <c r="Y3734" s="1" t="s">
        <v>461</v>
      </c>
      <c r="Z3734" s="1" t="str">
        <f t="shared" si="174"/>
        <v>63931 2</v>
      </c>
      <c r="AA3734" s="3">
        <f>IF(INDEX('CAMD Facility Data 2023'!$AA$2:$AE$10000,MATCH(Z3734,'CAMD Facility Data 2023'!$AE$2:$AE$10000,0),1)&gt;0,INDEX('CAMD Facility Data 2023'!$AA$2:$AE$10000,MATCH(Z3734,'CAMD Facility Data 2023'!$AE$2:$AE$10000,0),1),"")</f>
        <v>45045</v>
      </c>
      <c r="AB3734" s="5">
        <f>IF(INDEX('CAMD Facility Data 2023'!$AC$2:$AE$10000,MATCH(Z3734,'CAMD Facility Data 2023'!$AE$2:$AE$10000,0),1)&gt;0,INDEX('CAMD Facility Data 2023'!$AC$2:$AE$10000,MATCH(Z3734,'CAMD Facility Data 2023'!$AE$2:$AE$10000,0),1),"")</f>
        <v>4650</v>
      </c>
      <c r="AC3734" s="1" t="str">
        <f>IF(INDEX('CAMD Facility Data 2023'!$AE$2:$AG$10000,MATCH(Z3734,'CAMD Facility Data 2023'!$AE$2:$AE$10000,0),3)&gt;0,INDEX('CAMD Facility Data 2023'!$AE$2:$AG$10000,MATCH(Z3734,'CAMD Facility Data 2023'!$AE$2:$AE$10000,0),3),"")</f>
        <v>Y</v>
      </c>
      <c r="AD3734" s="20">
        <f t="shared" si="175"/>
        <v>3.9395467181546732E-2</v>
      </c>
      <c r="AE3734" s="25">
        <f t="shared" si="176"/>
        <v>0.31486419067609367</v>
      </c>
    </row>
    <row r="3735" spans="1:31" x14ac:dyDescent="0.2">
      <c r="A3735" s="1" t="s">
        <v>383</v>
      </c>
      <c r="B3735" s="1" t="s">
        <v>8285</v>
      </c>
      <c r="C3735" s="1">
        <v>64383</v>
      </c>
      <c r="D3735" s="1" t="s">
        <v>1296</v>
      </c>
      <c r="F3735" s="1">
        <v>2023</v>
      </c>
      <c r="G3735" s="5">
        <v>1348</v>
      </c>
      <c r="H3735" s="5">
        <v>1192.19</v>
      </c>
      <c r="I3735" s="5">
        <v>46828.42</v>
      </c>
      <c r="K3735" s="5">
        <v>0.14099999999999999</v>
      </c>
      <c r="L3735" s="5">
        <v>1E-3</v>
      </c>
      <c r="M3735" s="5">
        <v>27927.449000000001</v>
      </c>
      <c r="N3735" s="6">
        <v>5.9200000000000003E-2</v>
      </c>
      <c r="O3735" s="5">
        <v>2.496</v>
      </c>
      <c r="P3735" s="6">
        <v>1.7600000000000001E-2</v>
      </c>
      <c r="Q3735" s="5">
        <v>469955.15899999999</v>
      </c>
      <c r="R3735" s="1" t="s">
        <v>44</v>
      </c>
      <c r="T3735" s="1" t="s">
        <v>93</v>
      </c>
      <c r="V3735" s="1" t="s">
        <v>176</v>
      </c>
      <c r="Y3735" s="1" t="s">
        <v>346</v>
      </c>
      <c r="Z3735" s="1" t="str">
        <f t="shared" si="174"/>
        <v>64383 CT-1</v>
      </c>
      <c r="AA3735" s="3">
        <f>IF(INDEX('CAMD Facility Data 2023'!$AA$2:$AE$10000,MATCH(Z3735,'CAMD Facility Data 2023'!$AE$2:$AE$10000,0),1)&gt;0,INDEX('CAMD Facility Data 2023'!$AA$2:$AE$10000,MATCH(Z3735,'CAMD Facility Data 2023'!$AE$2:$AE$10000,0),1),"")</f>
        <v>44795</v>
      </c>
      <c r="AB3735" s="5">
        <f>IF(INDEX('CAMD Facility Data 2023'!$AC$2:$AE$10000,MATCH(Z3735,'CAMD Facility Data 2023'!$AE$2:$AE$10000,0),1)&gt;0,INDEX('CAMD Facility Data 2023'!$AC$2:$AE$10000,MATCH(Z3735,'CAMD Facility Data 2023'!$AE$2:$AE$10000,0),1),"")</f>
        <v>475</v>
      </c>
      <c r="AC3735" s="1" t="str">
        <f>IF(INDEX('CAMD Facility Data 2023'!$AE$2:$AG$10000,MATCH(Z3735,'CAMD Facility Data 2023'!$AE$2:$AE$10000,0),3)&gt;0,INDEX('CAMD Facility Data 2023'!$AE$2:$AG$10000,MATCH(Z3735,'CAMD Facility Data 2023'!$AE$2:$AE$10000,0),3),"")</f>
        <v>Y</v>
      </c>
      <c r="AD3735" s="20">
        <f t="shared" si="175"/>
        <v>0.10660193104956349</v>
      </c>
      <c r="AE3735" s="25">
        <f t="shared" si="176"/>
        <v>0.11294284042297524</v>
      </c>
    </row>
    <row r="3736" spans="1:31" x14ac:dyDescent="0.2">
      <c r="A3736" s="1" t="s">
        <v>383</v>
      </c>
      <c r="B3736" s="1" t="s">
        <v>8285</v>
      </c>
      <c r="C3736" s="1">
        <v>64383</v>
      </c>
      <c r="D3736" s="1" t="s">
        <v>1300</v>
      </c>
      <c r="F3736" s="1">
        <v>2023</v>
      </c>
      <c r="G3736" s="5">
        <v>1430</v>
      </c>
      <c r="H3736" s="5">
        <v>1258.67</v>
      </c>
      <c r="I3736" s="5">
        <v>49159.519999999997</v>
      </c>
      <c r="K3736" s="5">
        <v>0.14699999999999999</v>
      </c>
      <c r="L3736" s="5">
        <v>1E-3</v>
      </c>
      <c r="M3736" s="5">
        <v>29156.274000000001</v>
      </c>
      <c r="N3736" s="6">
        <v>5.9200000000000003E-2</v>
      </c>
      <c r="O3736" s="5">
        <v>2.8279999999999998</v>
      </c>
      <c r="P3736" s="6">
        <v>1.9900000000000001E-2</v>
      </c>
      <c r="Q3736" s="5">
        <v>490602.93099999998</v>
      </c>
      <c r="R3736" s="1" t="s">
        <v>44</v>
      </c>
      <c r="T3736" s="1" t="s">
        <v>93</v>
      </c>
      <c r="V3736" s="1" t="s">
        <v>176</v>
      </c>
      <c r="Y3736" s="1" t="s">
        <v>346</v>
      </c>
      <c r="Z3736" s="1" t="str">
        <f t="shared" si="174"/>
        <v>64383 CT-2</v>
      </c>
      <c r="AA3736" s="3">
        <f>IF(INDEX('CAMD Facility Data 2023'!$AA$2:$AE$10000,MATCH(Z3736,'CAMD Facility Data 2023'!$AE$2:$AE$10000,0),1)&gt;0,INDEX('CAMD Facility Data 2023'!$AA$2:$AE$10000,MATCH(Z3736,'CAMD Facility Data 2023'!$AE$2:$AE$10000,0),1),"")</f>
        <v>44738</v>
      </c>
      <c r="AB3736" s="5">
        <f>IF(INDEX('CAMD Facility Data 2023'!$AC$2:$AE$10000,MATCH(Z3736,'CAMD Facility Data 2023'!$AE$2:$AE$10000,0),1)&gt;0,INDEX('CAMD Facility Data 2023'!$AC$2:$AE$10000,MATCH(Z3736,'CAMD Facility Data 2023'!$AE$2:$AE$10000,0),1),"")</f>
        <v>475</v>
      </c>
      <c r="AC3736" s="1" t="str">
        <f>IF(INDEX('CAMD Facility Data 2023'!$AE$2:$AG$10000,MATCH(Z3736,'CAMD Facility Data 2023'!$AE$2:$AE$10000,0),3)&gt;0,INDEX('CAMD Facility Data 2023'!$AE$2:$AG$10000,MATCH(Z3736,'CAMD Facility Data 2023'!$AE$2:$AE$10000,0),3),"")</f>
        <v>Y</v>
      </c>
      <c r="AD3736" s="20">
        <f t="shared" si="175"/>
        <v>0.11505401191874942</v>
      </c>
      <c r="AE3736" s="25">
        <f t="shared" si="176"/>
        <v>0.11790505431386686</v>
      </c>
    </row>
    <row r="3737" spans="1:31" x14ac:dyDescent="0.2">
      <c r="A3737" s="1" t="s">
        <v>383</v>
      </c>
      <c r="B3737" s="1" t="s">
        <v>8285</v>
      </c>
      <c r="C3737" s="1">
        <v>64383</v>
      </c>
      <c r="D3737" s="1" t="s">
        <v>1302</v>
      </c>
      <c r="F3737" s="1">
        <v>2023</v>
      </c>
      <c r="G3737" s="5">
        <v>1038</v>
      </c>
      <c r="H3737" s="5">
        <v>908.27</v>
      </c>
      <c r="I3737" s="5">
        <v>34167.599999999999</v>
      </c>
      <c r="K3737" s="5">
        <v>0.107</v>
      </c>
      <c r="L3737" s="5">
        <v>1E-3</v>
      </c>
      <c r="M3737" s="5">
        <v>21185.858</v>
      </c>
      <c r="N3737" s="6">
        <v>5.9299999999999999E-2</v>
      </c>
      <c r="O3737" s="5">
        <v>2.5019999999999998</v>
      </c>
      <c r="P3737" s="6">
        <v>2.3400000000000001E-2</v>
      </c>
      <c r="Q3737" s="5">
        <v>356458.864</v>
      </c>
      <c r="R3737" s="1" t="s">
        <v>44</v>
      </c>
      <c r="T3737" s="1" t="s">
        <v>93</v>
      </c>
      <c r="V3737" s="1" t="s">
        <v>176</v>
      </c>
      <c r="Y3737" s="1" t="s">
        <v>346</v>
      </c>
      <c r="Z3737" s="1" t="str">
        <f t="shared" si="174"/>
        <v>64383 CT-3</v>
      </c>
      <c r="AA3737" s="3">
        <f>IF(INDEX('CAMD Facility Data 2023'!$AA$2:$AE$10000,MATCH(Z3737,'CAMD Facility Data 2023'!$AE$2:$AE$10000,0),1)&gt;0,INDEX('CAMD Facility Data 2023'!$AA$2:$AE$10000,MATCH(Z3737,'CAMD Facility Data 2023'!$AE$2:$AE$10000,0),1),"")</f>
        <v>44650</v>
      </c>
      <c r="AB3737" s="5">
        <f>IF(INDEX('CAMD Facility Data 2023'!$AC$2:$AE$10000,MATCH(Z3737,'CAMD Facility Data 2023'!$AE$2:$AE$10000,0),1)&gt;0,INDEX('CAMD Facility Data 2023'!$AC$2:$AE$10000,MATCH(Z3737,'CAMD Facility Data 2023'!$AE$2:$AE$10000,0),1),"")</f>
        <v>475</v>
      </c>
      <c r="AC3737" s="1" t="str">
        <f>IF(INDEX('CAMD Facility Data 2023'!$AE$2:$AG$10000,MATCH(Z3737,'CAMD Facility Data 2023'!$AE$2:$AE$10000,0),3)&gt;0,INDEX('CAMD Facility Data 2023'!$AE$2:$AG$10000,MATCH(Z3737,'CAMD Facility Data 2023'!$AE$2:$AE$10000,0),3),"")</f>
        <v>Y</v>
      </c>
      <c r="AD3737" s="20">
        <f t="shared" si="175"/>
        <v>0.14645453587609314</v>
      </c>
      <c r="AE3737" s="25">
        <f t="shared" si="176"/>
        <v>8.5666633982215815E-2</v>
      </c>
    </row>
    <row r="3738" spans="1:31" x14ac:dyDescent="0.2">
      <c r="A3738" s="1" t="s">
        <v>383</v>
      </c>
      <c r="B3738" s="1" t="s">
        <v>8285</v>
      </c>
      <c r="C3738" s="1">
        <v>64383</v>
      </c>
      <c r="D3738" s="1" t="s">
        <v>1304</v>
      </c>
      <c r="F3738" s="1">
        <v>2023</v>
      </c>
      <c r="G3738" s="5">
        <v>1011</v>
      </c>
      <c r="H3738" s="5">
        <v>898.18</v>
      </c>
      <c r="I3738" s="5">
        <v>34096.730000000003</v>
      </c>
      <c r="K3738" s="5">
        <v>0.105</v>
      </c>
      <c r="L3738" s="5">
        <v>1E-3</v>
      </c>
      <c r="M3738" s="5">
        <v>20784.364000000001</v>
      </c>
      <c r="N3738" s="6">
        <v>5.9299999999999999E-2</v>
      </c>
      <c r="O3738" s="5">
        <v>2.2469999999999999</v>
      </c>
      <c r="P3738" s="6">
        <v>1.9699999999999999E-2</v>
      </c>
      <c r="Q3738" s="5">
        <v>349739.44799999997</v>
      </c>
      <c r="R3738" s="1" t="s">
        <v>44</v>
      </c>
      <c r="T3738" s="1" t="s">
        <v>93</v>
      </c>
      <c r="V3738" s="1" t="s">
        <v>176</v>
      </c>
      <c r="Y3738" s="1" t="s">
        <v>346</v>
      </c>
      <c r="Z3738" s="1" t="str">
        <f t="shared" si="174"/>
        <v>64383 CT-4</v>
      </c>
      <c r="AA3738" s="3">
        <f>IF(INDEX('CAMD Facility Data 2023'!$AA$2:$AE$10000,MATCH(Z3738,'CAMD Facility Data 2023'!$AE$2:$AE$10000,0),1)&gt;0,INDEX('CAMD Facility Data 2023'!$AA$2:$AE$10000,MATCH(Z3738,'CAMD Facility Data 2023'!$AE$2:$AE$10000,0),1),"")</f>
        <v>44649</v>
      </c>
      <c r="AB3738" s="5">
        <f>IF(INDEX('CAMD Facility Data 2023'!$AC$2:$AE$10000,MATCH(Z3738,'CAMD Facility Data 2023'!$AE$2:$AE$10000,0),1)&gt;0,INDEX('CAMD Facility Data 2023'!$AC$2:$AE$10000,MATCH(Z3738,'CAMD Facility Data 2023'!$AE$2:$AE$10000,0),1),"")</f>
        <v>475</v>
      </c>
      <c r="AC3738" s="1" t="str">
        <f>IF(INDEX('CAMD Facility Data 2023'!$AE$2:$AG$10000,MATCH(Z3738,'CAMD Facility Data 2023'!$AE$2:$AE$10000,0),3)&gt;0,INDEX('CAMD Facility Data 2023'!$AE$2:$AG$10000,MATCH(Z3738,'CAMD Facility Data 2023'!$AE$2:$AE$10000,0),3),"")</f>
        <v>Y</v>
      </c>
      <c r="AD3738" s="20">
        <f t="shared" si="175"/>
        <v>0.13180149533401003</v>
      </c>
      <c r="AE3738" s="25">
        <f t="shared" si="176"/>
        <v>8.4051777937995661E-2</v>
      </c>
    </row>
    <row r="3739" spans="1:31" x14ac:dyDescent="0.2">
      <c r="A3739" s="1" t="s">
        <v>383</v>
      </c>
      <c r="B3739" s="1" t="s">
        <v>8285</v>
      </c>
      <c r="C3739" s="1">
        <v>64383</v>
      </c>
      <c r="D3739" s="1" t="s">
        <v>5830</v>
      </c>
      <c r="F3739" s="1">
        <v>2023</v>
      </c>
      <c r="G3739" s="5">
        <v>871</v>
      </c>
      <c r="H3739" s="5">
        <v>761.41</v>
      </c>
      <c r="I3739" s="5">
        <v>27109.25</v>
      </c>
      <c r="K3739" s="5">
        <v>8.6999999999999994E-2</v>
      </c>
      <c r="L3739" s="5">
        <v>1E-3</v>
      </c>
      <c r="M3739" s="5">
        <v>17260.405999999999</v>
      </c>
      <c r="N3739" s="6">
        <v>5.9200000000000003E-2</v>
      </c>
      <c r="O3739" s="5">
        <v>2.0409999999999999</v>
      </c>
      <c r="P3739" s="6">
        <v>2.53E-2</v>
      </c>
      <c r="Q3739" s="5">
        <v>290443.614</v>
      </c>
      <c r="R3739" s="1" t="s">
        <v>44</v>
      </c>
      <c r="T3739" s="1" t="s">
        <v>93</v>
      </c>
      <c r="V3739" s="1" t="s">
        <v>176</v>
      </c>
      <c r="Y3739" s="1" t="s">
        <v>346</v>
      </c>
      <c r="Z3739" s="1" t="str">
        <f t="shared" si="174"/>
        <v>64383 CT-5</v>
      </c>
      <c r="AA3739" s="3">
        <f>IF(INDEX('CAMD Facility Data 2023'!$AA$2:$AE$10000,MATCH(Z3739,'CAMD Facility Data 2023'!$AE$2:$AE$10000,0),1)&gt;0,INDEX('CAMD Facility Data 2023'!$AA$2:$AE$10000,MATCH(Z3739,'CAMD Facility Data 2023'!$AE$2:$AE$10000,0),1),"")</f>
        <v>44642</v>
      </c>
      <c r="AB3739" s="5">
        <f>IF(INDEX('CAMD Facility Data 2023'!$AC$2:$AE$10000,MATCH(Z3739,'CAMD Facility Data 2023'!$AE$2:$AE$10000,0),1)&gt;0,INDEX('CAMD Facility Data 2023'!$AC$2:$AE$10000,MATCH(Z3739,'CAMD Facility Data 2023'!$AE$2:$AE$10000,0),1),"")</f>
        <v>475</v>
      </c>
      <c r="AC3739" s="1" t="str">
        <f>IF(INDEX('CAMD Facility Data 2023'!$AE$2:$AG$10000,MATCH(Z3739,'CAMD Facility Data 2023'!$AE$2:$AE$10000,0),3)&gt;0,INDEX('CAMD Facility Data 2023'!$AE$2:$AG$10000,MATCH(Z3739,'CAMD Facility Data 2023'!$AE$2:$AE$10000,0),3),"")</f>
        <v>Y</v>
      </c>
      <c r="AD3739" s="20">
        <f t="shared" si="175"/>
        <v>0.15057591043647464</v>
      </c>
      <c r="AE3739" s="25">
        <f t="shared" si="176"/>
        <v>6.980139726027397E-2</v>
      </c>
    </row>
    <row r="3740" spans="1:31" x14ac:dyDescent="0.2">
      <c r="A3740" s="1" t="s">
        <v>383</v>
      </c>
      <c r="B3740" s="1" t="s">
        <v>8285</v>
      </c>
      <c r="C3740" s="1">
        <v>64383</v>
      </c>
      <c r="D3740" s="1" t="s">
        <v>8263</v>
      </c>
      <c r="F3740" s="1">
        <v>2023</v>
      </c>
      <c r="G3740" s="5">
        <v>892</v>
      </c>
      <c r="H3740" s="5">
        <v>782.9</v>
      </c>
      <c r="I3740" s="5">
        <v>29059</v>
      </c>
      <c r="K3740" s="5">
        <v>9.0999999999999998E-2</v>
      </c>
      <c r="L3740" s="5">
        <v>1E-3</v>
      </c>
      <c r="M3740" s="5">
        <v>18083.244999999999</v>
      </c>
      <c r="N3740" s="6">
        <v>5.9200000000000003E-2</v>
      </c>
      <c r="O3740" s="5">
        <v>1.919</v>
      </c>
      <c r="P3740" s="6">
        <v>2.0299999999999999E-2</v>
      </c>
      <c r="Q3740" s="5">
        <v>304304.38699999999</v>
      </c>
      <c r="R3740" s="1" t="s">
        <v>44</v>
      </c>
      <c r="T3740" s="1" t="s">
        <v>93</v>
      </c>
      <c r="V3740" s="1" t="s">
        <v>176</v>
      </c>
      <c r="Y3740" s="1" t="s">
        <v>346</v>
      </c>
      <c r="Z3740" s="1" t="str">
        <f t="shared" si="174"/>
        <v>64383 CT-6</v>
      </c>
      <c r="AA3740" s="3">
        <f>IF(INDEX('CAMD Facility Data 2023'!$AA$2:$AE$10000,MATCH(Z3740,'CAMD Facility Data 2023'!$AE$2:$AE$10000,0),1)&gt;0,INDEX('CAMD Facility Data 2023'!$AA$2:$AE$10000,MATCH(Z3740,'CAMD Facility Data 2023'!$AE$2:$AE$10000,0),1),"")</f>
        <v>44634</v>
      </c>
      <c r="AB3740" s="5">
        <f>IF(INDEX('CAMD Facility Data 2023'!$AC$2:$AE$10000,MATCH(Z3740,'CAMD Facility Data 2023'!$AE$2:$AE$10000,0),1)&gt;0,INDEX('CAMD Facility Data 2023'!$AC$2:$AE$10000,MATCH(Z3740,'CAMD Facility Data 2023'!$AE$2:$AE$10000,0),1),"")</f>
        <v>475</v>
      </c>
      <c r="AC3740" s="1" t="str">
        <f>IF(INDEX('CAMD Facility Data 2023'!$AE$2:$AG$10000,MATCH(Z3740,'CAMD Facility Data 2023'!$AE$2:$AE$10000,0),3)&gt;0,INDEX('CAMD Facility Data 2023'!$AE$2:$AG$10000,MATCH(Z3740,'CAMD Facility Data 2023'!$AE$2:$AE$10000,0),3),"")</f>
        <v>Y</v>
      </c>
      <c r="AD3740" s="20">
        <f t="shared" si="175"/>
        <v>0.13207612099521662</v>
      </c>
      <c r="AE3740" s="25">
        <f t="shared" si="176"/>
        <v>7.3132513097813018E-2</v>
      </c>
    </row>
    <row r="3741" spans="1:31" x14ac:dyDescent="0.2">
      <c r="A3741" s="1" t="s">
        <v>383</v>
      </c>
      <c r="B3741" s="1" t="s">
        <v>8285</v>
      </c>
      <c r="C3741" s="1">
        <v>64383</v>
      </c>
      <c r="D3741" s="1" t="s">
        <v>8265</v>
      </c>
      <c r="F3741" s="1">
        <v>2023</v>
      </c>
      <c r="G3741" s="5">
        <v>1145</v>
      </c>
      <c r="H3741" s="5">
        <v>1018.94</v>
      </c>
      <c r="I3741" s="5">
        <v>35482.31</v>
      </c>
      <c r="K3741" s="5">
        <v>0.114</v>
      </c>
      <c r="L3741" s="5">
        <v>1E-3</v>
      </c>
      <c r="M3741" s="5">
        <v>22509.178</v>
      </c>
      <c r="N3741" s="6">
        <v>5.9200000000000003E-2</v>
      </c>
      <c r="O3741" s="5">
        <v>2.323</v>
      </c>
      <c r="P3741" s="6">
        <v>2.1299999999999999E-2</v>
      </c>
      <c r="Q3741" s="5">
        <v>378781.245</v>
      </c>
      <c r="R3741" s="1" t="s">
        <v>44</v>
      </c>
      <c r="T3741" s="1" t="s">
        <v>93</v>
      </c>
      <c r="V3741" s="1" t="s">
        <v>176</v>
      </c>
      <c r="Y3741" s="1" t="s">
        <v>346</v>
      </c>
      <c r="Z3741" s="1" t="str">
        <f t="shared" si="174"/>
        <v>64383 CT-7</v>
      </c>
      <c r="AA3741" s="3">
        <f>IF(INDEX('CAMD Facility Data 2023'!$AA$2:$AE$10000,MATCH(Z3741,'CAMD Facility Data 2023'!$AE$2:$AE$10000,0),1)&gt;0,INDEX('CAMD Facility Data 2023'!$AA$2:$AE$10000,MATCH(Z3741,'CAMD Facility Data 2023'!$AE$2:$AE$10000,0),1),"")</f>
        <v>44631</v>
      </c>
      <c r="AB3741" s="5">
        <f>IF(INDEX('CAMD Facility Data 2023'!$AC$2:$AE$10000,MATCH(Z3741,'CAMD Facility Data 2023'!$AE$2:$AE$10000,0),1)&gt;0,INDEX('CAMD Facility Data 2023'!$AC$2:$AE$10000,MATCH(Z3741,'CAMD Facility Data 2023'!$AE$2:$AE$10000,0),1),"")</f>
        <v>475</v>
      </c>
      <c r="AC3741" s="1" t="str">
        <f>IF(INDEX('CAMD Facility Data 2023'!$AE$2:$AG$10000,MATCH(Z3741,'CAMD Facility Data 2023'!$AE$2:$AE$10000,0),3)&gt;0,INDEX('CAMD Facility Data 2023'!$AE$2:$AG$10000,MATCH(Z3741,'CAMD Facility Data 2023'!$AE$2:$AE$10000,0),3),"")</f>
        <v>Y</v>
      </c>
      <c r="AD3741" s="20">
        <f t="shared" si="175"/>
        <v>0.13093848737582192</v>
      </c>
      <c r="AE3741" s="25">
        <f t="shared" si="176"/>
        <v>9.103130136986301E-2</v>
      </c>
    </row>
    <row r="3742" spans="1:31" x14ac:dyDescent="0.2">
      <c r="A3742" s="1" t="s">
        <v>383</v>
      </c>
      <c r="B3742" s="1" t="s">
        <v>8285</v>
      </c>
      <c r="C3742" s="1">
        <v>64383</v>
      </c>
      <c r="D3742" s="1" t="s">
        <v>8268</v>
      </c>
      <c r="F3742" s="1">
        <v>2023</v>
      </c>
      <c r="G3742" s="5">
        <v>1191</v>
      </c>
      <c r="H3742" s="5">
        <v>1049.6199999999999</v>
      </c>
      <c r="I3742" s="5">
        <v>37339.230000000003</v>
      </c>
      <c r="K3742" s="5">
        <v>0.12</v>
      </c>
      <c r="L3742" s="5">
        <v>1E-3</v>
      </c>
      <c r="M3742" s="5">
        <v>23754.431</v>
      </c>
      <c r="N3742" s="6">
        <v>5.9200000000000003E-2</v>
      </c>
      <c r="O3742" s="5">
        <v>2.532</v>
      </c>
      <c r="P3742" s="6">
        <v>2.3400000000000001E-2</v>
      </c>
      <c r="Q3742" s="5">
        <v>399743.30900000001</v>
      </c>
      <c r="R3742" s="1" t="s">
        <v>44</v>
      </c>
      <c r="T3742" s="1" t="s">
        <v>93</v>
      </c>
      <c r="V3742" s="1" t="s">
        <v>176</v>
      </c>
      <c r="Y3742" s="1" t="s">
        <v>346</v>
      </c>
      <c r="Z3742" s="1" t="str">
        <f t="shared" si="174"/>
        <v>64383 CT-8</v>
      </c>
      <c r="AA3742" s="3">
        <f>IF(INDEX('CAMD Facility Data 2023'!$AA$2:$AE$10000,MATCH(Z3742,'CAMD Facility Data 2023'!$AE$2:$AE$10000,0),1)&gt;0,INDEX('CAMD Facility Data 2023'!$AA$2:$AE$10000,MATCH(Z3742,'CAMD Facility Data 2023'!$AE$2:$AE$10000,0),1),"")</f>
        <v>44630</v>
      </c>
      <c r="AB3742" s="5">
        <f>IF(INDEX('CAMD Facility Data 2023'!$AC$2:$AE$10000,MATCH(Z3742,'CAMD Facility Data 2023'!$AE$2:$AE$10000,0),1)&gt;0,INDEX('CAMD Facility Data 2023'!$AC$2:$AE$10000,MATCH(Z3742,'CAMD Facility Data 2023'!$AE$2:$AE$10000,0),1),"")</f>
        <v>475</v>
      </c>
      <c r="AC3742" s="1" t="str">
        <f>IF(INDEX('CAMD Facility Data 2023'!$AE$2:$AG$10000,MATCH(Z3742,'CAMD Facility Data 2023'!$AE$2:$AE$10000,0),3)&gt;0,INDEX('CAMD Facility Data 2023'!$AE$2:$AG$10000,MATCH(Z3742,'CAMD Facility Data 2023'!$AE$2:$AE$10000,0),3),"")</f>
        <v>Y</v>
      </c>
      <c r="AD3742" s="20">
        <f t="shared" si="175"/>
        <v>0.13562143622136824</v>
      </c>
      <c r="AE3742" s="25">
        <f t="shared" si="176"/>
        <v>9.6069048065368909E-2</v>
      </c>
    </row>
    <row r="3743" spans="1:31" x14ac:dyDescent="0.2">
      <c r="A3743" s="1" t="s">
        <v>383</v>
      </c>
      <c r="B3743" s="1" t="s">
        <v>8288</v>
      </c>
      <c r="C3743" s="1">
        <v>65372</v>
      </c>
      <c r="D3743" s="1" t="s">
        <v>1296</v>
      </c>
      <c r="F3743" s="1">
        <v>2023</v>
      </c>
      <c r="G3743" s="5">
        <v>557</v>
      </c>
      <c r="H3743" s="5">
        <v>441.08</v>
      </c>
      <c r="I3743" s="5">
        <v>18541.5</v>
      </c>
      <c r="K3743" s="5">
        <v>5.7000000000000002E-2</v>
      </c>
      <c r="L3743" s="5">
        <v>1E-3</v>
      </c>
      <c r="M3743" s="5">
        <v>11221.928</v>
      </c>
      <c r="N3743" s="6">
        <v>5.9200000000000003E-2</v>
      </c>
      <c r="O3743" s="5">
        <v>1.389</v>
      </c>
      <c r="P3743" s="6">
        <v>3.2899999999999999E-2</v>
      </c>
      <c r="Q3743" s="5">
        <v>188838.71400000001</v>
      </c>
      <c r="R3743" s="1" t="s">
        <v>44</v>
      </c>
      <c r="T3743" s="1" t="s">
        <v>93</v>
      </c>
      <c r="V3743" s="1" t="s">
        <v>176</v>
      </c>
      <c r="Y3743" s="1" t="s">
        <v>346</v>
      </c>
      <c r="Z3743" s="1" t="str">
        <f t="shared" si="174"/>
        <v>65372 CT-1</v>
      </c>
      <c r="AA3743" s="3">
        <f>IF(INDEX('CAMD Facility Data 2023'!$AA$2:$AE$10000,MATCH(Z3743,'CAMD Facility Data 2023'!$AE$2:$AE$10000,0),1)&gt;0,INDEX('CAMD Facility Data 2023'!$AA$2:$AE$10000,MATCH(Z3743,'CAMD Facility Data 2023'!$AE$2:$AE$10000,0),1),"")</f>
        <v>44830</v>
      </c>
      <c r="AB3743" s="5">
        <f>IF(INDEX('CAMD Facility Data 2023'!$AC$2:$AE$10000,MATCH(Z3743,'CAMD Facility Data 2023'!$AE$2:$AE$10000,0),1)&gt;0,INDEX('CAMD Facility Data 2023'!$AC$2:$AE$10000,MATCH(Z3743,'CAMD Facility Data 2023'!$AE$2:$AE$10000,0),1),"")</f>
        <v>475</v>
      </c>
      <c r="AC3743" s="1" t="str">
        <f>IF(INDEX('CAMD Facility Data 2023'!$AE$2:$AG$10000,MATCH(Z3743,'CAMD Facility Data 2023'!$AE$2:$AE$10000,0),3)&gt;0,INDEX('CAMD Facility Data 2023'!$AE$2:$AG$10000,MATCH(Z3743,'CAMD Facility Data 2023'!$AE$2:$AE$10000,0),3),"")</f>
        <v>Y</v>
      </c>
      <c r="AD3743" s="20">
        <f t="shared" si="175"/>
        <v>0.14982606585227731</v>
      </c>
      <c r="AE3743" s="25">
        <f t="shared" si="176"/>
        <v>4.5383012256669068E-2</v>
      </c>
    </row>
    <row r="3744" spans="1:31" x14ac:dyDescent="0.2">
      <c r="A3744" s="1" t="s">
        <v>383</v>
      </c>
      <c r="B3744" s="1" t="s">
        <v>8288</v>
      </c>
      <c r="C3744" s="1">
        <v>65372</v>
      </c>
      <c r="D3744" s="1" t="s">
        <v>1300</v>
      </c>
      <c r="F3744" s="1">
        <v>2023</v>
      </c>
      <c r="G3744" s="5">
        <v>620</v>
      </c>
      <c r="H3744" s="5">
        <v>509.07</v>
      </c>
      <c r="I3744" s="5">
        <v>22674.23</v>
      </c>
      <c r="K3744" s="5">
        <v>6.8000000000000005E-2</v>
      </c>
      <c r="L3744" s="5">
        <v>1E-3</v>
      </c>
      <c r="M3744" s="5">
        <v>13403.821</v>
      </c>
      <c r="N3744" s="6">
        <v>5.9200000000000003E-2</v>
      </c>
      <c r="O3744" s="5">
        <v>1.2290000000000001</v>
      </c>
      <c r="P3744" s="6">
        <v>2.6200000000000001E-2</v>
      </c>
      <c r="Q3744" s="5">
        <v>225545.40900000001</v>
      </c>
      <c r="R3744" s="1" t="s">
        <v>44</v>
      </c>
      <c r="T3744" s="1" t="s">
        <v>93</v>
      </c>
      <c r="V3744" s="1" t="s">
        <v>176</v>
      </c>
      <c r="Y3744" s="1" t="s">
        <v>346</v>
      </c>
      <c r="Z3744" s="1" t="str">
        <f t="shared" si="174"/>
        <v>65372 CT-2</v>
      </c>
      <c r="AA3744" s="3">
        <f>IF(INDEX('CAMD Facility Data 2023'!$AA$2:$AE$10000,MATCH(Z3744,'CAMD Facility Data 2023'!$AE$2:$AE$10000,0),1)&gt;0,INDEX('CAMD Facility Data 2023'!$AA$2:$AE$10000,MATCH(Z3744,'CAMD Facility Data 2023'!$AE$2:$AE$10000,0),1),"")</f>
        <v>44831</v>
      </c>
      <c r="AB3744" s="5">
        <f>IF(INDEX('CAMD Facility Data 2023'!$AC$2:$AE$10000,MATCH(Z3744,'CAMD Facility Data 2023'!$AE$2:$AE$10000,0),1)&gt;0,INDEX('CAMD Facility Data 2023'!$AC$2:$AE$10000,MATCH(Z3744,'CAMD Facility Data 2023'!$AE$2:$AE$10000,0),1),"")</f>
        <v>475</v>
      </c>
      <c r="AC3744" s="1" t="str">
        <f>IF(INDEX('CAMD Facility Data 2023'!$AE$2:$AG$10000,MATCH(Z3744,'CAMD Facility Data 2023'!$AE$2:$AE$10000,0),3)&gt;0,INDEX('CAMD Facility Data 2023'!$AE$2:$AG$10000,MATCH(Z3744,'CAMD Facility Data 2023'!$AE$2:$AE$10000,0),3),"")</f>
        <v>Y</v>
      </c>
      <c r="AD3744" s="20">
        <f t="shared" si="175"/>
        <v>0.10840500427136887</v>
      </c>
      <c r="AE3744" s="25">
        <f t="shared" si="176"/>
        <v>5.4204616438356168E-2</v>
      </c>
    </row>
    <row r="3745" spans="1:31" x14ac:dyDescent="0.2">
      <c r="A3745" s="1" t="s">
        <v>383</v>
      </c>
      <c r="B3745" s="1" t="s">
        <v>8288</v>
      </c>
      <c r="C3745" s="1">
        <v>65372</v>
      </c>
      <c r="D3745" s="1" t="s">
        <v>1302</v>
      </c>
      <c r="F3745" s="1">
        <v>2023</v>
      </c>
      <c r="G3745" s="5">
        <v>573</v>
      </c>
      <c r="H3745" s="5">
        <v>463.31</v>
      </c>
      <c r="I3745" s="5">
        <v>19909.62</v>
      </c>
      <c r="K3745" s="5">
        <v>6.0999999999999999E-2</v>
      </c>
      <c r="L3745" s="5">
        <v>1E-3</v>
      </c>
      <c r="M3745" s="5">
        <v>12151.862999999999</v>
      </c>
      <c r="N3745" s="6">
        <v>5.9200000000000003E-2</v>
      </c>
      <c r="O3745" s="5">
        <v>1.6240000000000001</v>
      </c>
      <c r="P3745" s="6">
        <v>3.1300000000000001E-2</v>
      </c>
      <c r="Q3745" s="5">
        <v>204488.15700000001</v>
      </c>
      <c r="R3745" s="1" t="s">
        <v>44</v>
      </c>
      <c r="T3745" s="1" t="s">
        <v>93</v>
      </c>
      <c r="V3745" s="1" t="s">
        <v>176</v>
      </c>
      <c r="Y3745" s="1" t="s">
        <v>346</v>
      </c>
      <c r="Z3745" s="1" t="str">
        <f t="shared" si="174"/>
        <v>65372 CT-3</v>
      </c>
      <c r="AA3745" s="3">
        <f>IF(INDEX('CAMD Facility Data 2023'!$AA$2:$AE$10000,MATCH(Z3745,'CAMD Facility Data 2023'!$AE$2:$AE$10000,0),1)&gt;0,INDEX('CAMD Facility Data 2023'!$AA$2:$AE$10000,MATCH(Z3745,'CAMD Facility Data 2023'!$AE$2:$AE$10000,0),1),"")</f>
        <v>44834</v>
      </c>
      <c r="AB3745" s="5">
        <f>IF(INDEX('CAMD Facility Data 2023'!$AC$2:$AE$10000,MATCH(Z3745,'CAMD Facility Data 2023'!$AE$2:$AE$10000,0),1)&gt;0,INDEX('CAMD Facility Data 2023'!$AC$2:$AE$10000,MATCH(Z3745,'CAMD Facility Data 2023'!$AE$2:$AE$10000,0),1),"")</f>
        <v>475</v>
      </c>
      <c r="AC3745" s="1" t="str">
        <f>IF(INDEX('CAMD Facility Data 2023'!$AE$2:$AG$10000,MATCH(Z3745,'CAMD Facility Data 2023'!$AE$2:$AE$10000,0),3)&gt;0,INDEX('CAMD Facility Data 2023'!$AE$2:$AG$10000,MATCH(Z3745,'CAMD Facility Data 2023'!$AE$2:$AE$10000,0),3),"")</f>
        <v>Y</v>
      </c>
      <c r="AD3745" s="20">
        <f t="shared" si="175"/>
        <v>0.16313721708400261</v>
      </c>
      <c r="AE3745" s="25">
        <f t="shared" si="176"/>
        <v>4.9143993511175203E-2</v>
      </c>
    </row>
    <row r="3746" spans="1:31" x14ac:dyDescent="0.2">
      <c r="A3746" s="1" t="s">
        <v>383</v>
      </c>
      <c r="B3746" s="1" t="s">
        <v>8288</v>
      </c>
      <c r="C3746" s="1">
        <v>65372</v>
      </c>
      <c r="D3746" s="1" t="s">
        <v>1304</v>
      </c>
      <c r="F3746" s="1">
        <v>2023</v>
      </c>
      <c r="G3746" s="5">
        <v>501</v>
      </c>
      <c r="H3746" s="5">
        <v>419.24</v>
      </c>
      <c r="I3746" s="5">
        <v>18136.91</v>
      </c>
      <c r="K3746" s="5">
        <v>5.5E-2</v>
      </c>
      <c r="L3746" s="5">
        <v>1E-3</v>
      </c>
      <c r="M3746" s="5">
        <v>10852.249</v>
      </c>
      <c r="N3746" s="6">
        <v>5.9200000000000003E-2</v>
      </c>
      <c r="O3746" s="5">
        <v>1.0760000000000001</v>
      </c>
      <c r="P3746" s="6">
        <v>2.2100000000000002E-2</v>
      </c>
      <c r="Q3746" s="5">
        <v>182596.935</v>
      </c>
      <c r="R3746" s="1" t="s">
        <v>44</v>
      </c>
      <c r="T3746" s="1" t="s">
        <v>93</v>
      </c>
      <c r="V3746" s="1" t="s">
        <v>176</v>
      </c>
      <c r="Y3746" s="1" t="s">
        <v>346</v>
      </c>
      <c r="Z3746" s="1" t="str">
        <f t="shared" si="174"/>
        <v>65372 CT-4</v>
      </c>
      <c r="AA3746" s="3">
        <f>IF(INDEX('CAMD Facility Data 2023'!$AA$2:$AE$10000,MATCH(Z3746,'CAMD Facility Data 2023'!$AE$2:$AE$10000,0),1)&gt;0,INDEX('CAMD Facility Data 2023'!$AA$2:$AE$10000,MATCH(Z3746,'CAMD Facility Data 2023'!$AE$2:$AE$10000,0),1),"")</f>
        <v>44896</v>
      </c>
      <c r="AB3746" s="5">
        <f>IF(INDEX('CAMD Facility Data 2023'!$AC$2:$AE$10000,MATCH(Z3746,'CAMD Facility Data 2023'!$AE$2:$AE$10000,0),1)&gt;0,INDEX('CAMD Facility Data 2023'!$AC$2:$AE$10000,MATCH(Z3746,'CAMD Facility Data 2023'!$AE$2:$AE$10000,0),1),"")</f>
        <v>475</v>
      </c>
      <c r="AC3746" s="1" t="str">
        <f>IF(INDEX('CAMD Facility Data 2023'!$AE$2:$AG$10000,MATCH(Z3746,'CAMD Facility Data 2023'!$AE$2:$AE$10000,0),3)&gt;0,INDEX('CAMD Facility Data 2023'!$AE$2:$AG$10000,MATCH(Z3746,'CAMD Facility Data 2023'!$AE$2:$AE$10000,0),3),"")</f>
        <v>Y</v>
      </c>
      <c r="AD3746" s="20">
        <f t="shared" si="175"/>
        <v>0.11865306714319032</v>
      </c>
      <c r="AE3746" s="25">
        <f t="shared" si="176"/>
        <v>4.3882945205479452E-2</v>
      </c>
    </row>
    <row r="3747" spans="1:31" x14ac:dyDescent="0.2">
      <c r="A3747" s="1" t="s">
        <v>383</v>
      </c>
      <c r="B3747" s="1" t="s">
        <v>8288</v>
      </c>
      <c r="C3747" s="1">
        <v>65372</v>
      </c>
      <c r="D3747" s="1" t="s">
        <v>5830</v>
      </c>
      <c r="F3747" s="1">
        <v>2023</v>
      </c>
      <c r="G3747" s="5">
        <v>427</v>
      </c>
      <c r="H3747" s="5">
        <v>351.34</v>
      </c>
      <c r="I3747" s="5">
        <v>14768.03</v>
      </c>
      <c r="K3747" s="5">
        <v>4.4999999999999998E-2</v>
      </c>
      <c r="L3747" s="5">
        <v>1E-3</v>
      </c>
      <c r="M3747" s="5">
        <v>8932.2369999999992</v>
      </c>
      <c r="N3747" s="6">
        <v>5.9200000000000003E-2</v>
      </c>
      <c r="O3747" s="5">
        <v>1.01</v>
      </c>
      <c r="P3747" s="6">
        <v>2.81E-2</v>
      </c>
      <c r="Q3747" s="5">
        <v>150304.84899999999</v>
      </c>
      <c r="R3747" s="1" t="s">
        <v>44</v>
      </c>
      <c r="T3747" s="1" t="s">
        <v>93</v>
      </c>
      <c r="V3747" s="1" t="s">
        <v>176</v>
      </c>
      <c r="Y3747" s="1" t="s">
        <v>346</v>
      </c>
      <c r="Z3747" s="1" t="str">
        <f t="shared" si="174"/>
        <v>65372 CT-5</v>
      </c>
      <c r="AA3747" s="3">
        <f>IF(INDEX('CAMD Facility Data 2023'!$AA$2:$AE$10000,MATCH(Z3747,'CAMD Facility Data 2023'!$AE$2:$AE$10000,0),1)&gt;0,INDEX('CAMD Facility Data 2023'!$AA$2:$AE$10000,MATCH(Z3747,'CAMD Facility Data 2023'!$AE$2:$AE$10000,0),1),"")</f>
        <v>44897</v>
      </c>
      <c r="AB3747" s="5">
        <f>IF(INDEX('CAMD Facility Data 2023'!$AC$2:$AE$10000,MATCH(Z3747,'CAMD Facility Data 2023'!$AE$2:$AE$10000,0),1)&gt;0,INDEX('CAMD Facility Data 2023'!$AC$2:$AE$10000,MATCH(Z3747,'CAMD Facility Data 2023'!$AE$2:$AE$10000,0),1),"")</f>
        <v>475</v>
      </c>
      <c r="AC3747" s="1" t="str">
        <f>IF(INDEX('CAMD Facility Data 2023'!$AE$2:$AG$10000,MATCH(Z3747,'CAMD Facility Data 2023'!$AE$2:$AE$10000,0),3)&gt;0,INDEX('CAMD Facility Data 2023'!$AE$2:$AG$10000,MATCH(Z3747,'CAMD Facility Data 2023'!$AE$2:$AE$10000,0),3),"")</f>
        <v>Y</v>
      </c>
      <c r="AD3747" s="20">
        <f t="shared" si="175"/>
        <v>0.13678195399115523</v>
      </c>
      <c r="AE3747" s="25">
        <f t="shared" si="176"/>
        <v>3.6122290074501316E-2</v>
      </c>
    </row>
    <row r="3748" spans="1:31" x14ac:dyDescent="0.2">
      <c r="A3748" s="1" t="s">
        <v>383</v>
      </c>
      <c r="B3748" s="1" t="s">
        <v>8288</v>
      </c>
      <c r="C3748" s="1">
        <v>65372</v>
      </c>
      <c r="D3748" s="1" t="s">
        <v>8263</v>
      </c>
      <c r="F3748" s="1">
        <v>2023</v>
      </c>
      <c r="G3748" s="5">
        <v>474</v>
      </c>
      <c r="H3748" s="5">
        <v>392.47</v>
      </c>
      <c r="I3748" s="5">
        <v>16068.31</v>
      </c>
      <c r="K3748" s="5">
        <v>0.05</v>
      </c>
      <c r="L3748" s="5">
        <v>1E-3</v>
      </c>
      <c r="M3748" s="5">
        <v>9996.634</v>
      </c>
      <c r="N3748" s="6">
        <v>5.9299999999999999E-2</v>
      </c>
      <c r="O3748" s="5">
        <v>1.1930000000000001</v>
      </c>
      <c r="P3748" s="6">
        <v>3.04E-2</v>
      </c>
      <c r="Q3748" s="5">
        <v>168196.78599999999</v>
      </c>
      <c r="R3748" s="1" t="s">
        <v>44</v>
      </c>
      <c r="T3748" s="1" t="s">
        <v>93</v>
      </c>
      <c r="V3748" s="1" t="s">
        <v>176</v>
      </c>
      <c r="Y3748" s="1" t="s">
        <v>346</v>
      </c>
      <c r="Z3748" s="1" t="str">
        <f t="shared" si="174"/>
        <v>65372 CT-6</v>
      </c>
      <c r="AA3748" s="3">
        <f>IF(INDEX('CAMD Facility Data 2023'!$AA$2:$AE$10000,MATCH(Z3748,'CAMD Facility Data 2023'!$AE$2:$AE$10000,0),1)&gt;0,INDEX('CAMD Facility Data 2023'!$AA$2:$AE$10000,MATCH(Z3748,'CAMD Facility Data 2023'!$AE$2:$AE$10000,0),1),"")</f>
        <v>44902</v>
      </c>
      <c r="AB3748" s="5">
        <f>IF(INDEX('CAMD Facility Data 2023'!$AC$2:$AE$10000,MATCH(Z3748,'CAMD Facility Data 2023'!$AE$2:$AE$10000,0),1)&gt;0,INDEX('CAMD Facility Data 2023'!$AC$2:$AE$10000,MATCH(Z3748,'CAMD Facility Data 2023'!$AE$2:$AE$10000,0),1),"")</f>
        <v>475</v>
      </c>
      <c r="AC3748" s="1" t="str">
        <f>IF(INDEX('CAMD Facility Data 2023'!$AE$2:$AG$10000,MATCH(Z3748,'CAMD Facility Data 2023'!$AE$2:$AE$10000,0),3)&gt;0,INDEX('CAMD Facility Data 2023'!$AE$2:$AG$10000,MATCH(Z3748,'CAMD Facility Data 2023'!$AE$2:$AE$10000,0),3),"")</f>
        <v>Y</v>
      </c>
      <c r="AD3748" s="20">
        <f t="shared" si="175"/>
        <v>0.14849103608282391</v>
      </c>
      <c r="AE3748" s="25">
        <f t="shared" si="176"/>
        <v>4.0422202835856763E-2</v>
      </c>
    </row>
    <row r="3749" spans="1:31" x14ac:dyDescent="0.2">
      <c r="A3749" s="1" t="s">
        <v>383</v>
      </c>
      <c r="B3749" s="1" t="s">
        <v>8290</v>
      </c>
      <c r="C3749" s="1">
        <v>65373</v>
      </c>
      <c r="D3749" s="1" t="s">
        <v>1296</v>
      </c>
      <c r="F3749" s="1">
        <v>2023</v>
      </c>
      <c r="G3749" s="5">
        <v>1078</v>
      </c>
      <c r="H3749" s="5">
        <v>941.74</v>
      </c>
      <c r="I3749" s="5">
        <v>41863.47</v>
      </c>
      <c r="K3749" s="5">
        <v>0.124</v>
      </c>
      <c r="L3749" s="5">
        <v>1E-3</v>
      </c>
      <c r="M3749" s="5">
        <v>24599.166000000001</v>
      </c>
      <c r="N3749" s="6">
        <v>5.9200000000000003E-2</v>
      </c>
      <c r="O3749" s="5">
        <v>2.5819999999999999</v>
      </c>
      <c r="P3749" s="6">
        <v>2.1899999999999999E-2</v>
      </c>
      <c r="Q3749" s="5">
        <v>413919.55</v>
      </c>
      <c r="R3749" s="1" t="s">
        <v>44</v>
      </c>
      <c r="T3749" s="1" t="s">
        <v>8292</v>
      </c>
      <c r="V3749" s="1" t="s">
        <v>176</v>
      </c>
      <c r="Y3749" s="1" t="s">
        <v>346</v>
      </c>
      <c r="Z3749" s="1" t="str">
        <f t="shared" si="174"/>
        <v>65373 CT-1</v>
      </c>
      <c r="AA3749" s="3">
        <f>IF(INDEX('CAMD Facility Data 2023'!$AA$2:$AE$10000,MATCH(Z3749,'CAMD Facility Data 2023'!$AE$2:$AE$10000,0),1)&gt;0,INDEX('CAMD Facility Data 2023'!$AA$2:$AE$10000,MATCH(Z3749,'CAMD Facility Data 2023'!$AE$2:$AE$10000,0),1),"")</f>
        <v>45051</v>
      </c>
      <c r="AB3749" s="5">
        <f>IF(INDEX('CAMD Facility Data 2023'!$AC$2:$AE$10000,MATCH(Z3749,'CAMD Facility Data 2023'!$AE$2:$AE$10000,0),1)&gt;0,INDEX('CAMD Facility Data 2023'!$AC$2:$AE$10000,MATCH(Z3749,'CAMD Facility Data 2023'!$AE$2:$AE$10000,0),1),"")</f>
        <v>475</v>
      </c>
      <c r="AC3749" s="1" t="str">
        <f>IF(INDEX('CAMD Facility Data 2023'!$AE$2:$AG$10000,MATCH(Z3749,'CAMD Facility Data 2023'!$AE$2:$AE$10000,0),3)&gt;0,INDEX('CAMD Facility Data 2023'!$AE$2:$AG$10000,MATCH(Z3749,'CAMD Facility Data 2023'!$AE$2:$AE$10000,0),3),"")</f>
        <v>Y</v>
      </c>
      <c r="AD3749" s="20">
        <f t="shared" si="175"/>
        <v>0.12335336750632472</v>
      </c>
      <c r="AE3749" s="25">
        <f t="shared" si="176"/>
        <v>9.9475979331891368E-2</v>
      </c>
    </row>
    <row r="3750" spans="1:31" x14ac:dyDescent="0.2">
      <c r="A3750" s="1" t="s">
        <v>383</v>
      </c>
      <c r="B3750" s="1" t="s">
        <v>8290</v>
      </c>
      <c r="C3750" s="1">
        <v>65373</v>
      </c>
      <c r="D3750" s="1" t="s">
        <v>1300</v>
      </c>
      <c r="F3750" s="1">
        <v>2023</v>
      </c>
      <c r="G3750" s="5">
        <v>1075</v>
      </c>
      <c r="H3750" s="5">
        <v>929.38</v>
      </c>
      <c r="I3750" s="5">
        <v>39181.1</v>
      </c>
      <c r="K3750" s="5">
        <v>0.12</v>
      </c>
      <c r="L3750" s="5">
        <v>1E-3</v>
      </c>
      <c r="M3750" s="5">
        <v>23774.923999999999</v>
      </c>
      <c r="N3750" s="6">
        <v>5.9200000000000003E-2</v>
      </c>
      <c r="O3750" s="5">
        <v>2.387</v>
      </c>
      <c r="P3750" s="6">
        <v>2.12E-2</v>
      </c>
      <c r="Q3750" s="5">
        <v>400040.54200000002</v>
      </c>
      <c r="R3750" s="1" t="s">
        <v>44</v>
      </c>
      <c r="T3750" s="1" t="s">
        <v>554</v>
      </c>
      <c r="V3750" s="1" t="s">
        <v>176</v>
      </c>
      <c r="Y3750" s="1" t="s">
        <v>346</v>
      </c>
      <c r="Z3750" s="1" t="str">
        <f t="shared" si="174"/>
        <v>65373 CT-2</v>
      </c>
      <c r="AA3750" s="3">
        <f>IF(INDEX('CAMD Facility Data 2023'!$AA$2:$AE$10000,MATCH(Z3750,'CAMD Facility Data 2023'!$AE$2:$AE$10000,0),1)&gt;0,INDEX('CAMD Facility Data 2023'!$AA$2:$AE$10000,MATCH(Z3750,'CAMD Facility Data 2023'!$AE$2:$AE$10000,0),1),"")</f>
        <v>45029</v>
      </c>
      <c r="AB3750" s="5">
        <f>IF(INDEX('CAMD Facility Data 2023'!$AC$2:$AE$10000,MATCH(Z3750,'CAMD Facility Data 2023'!$AE$2:$AE$10000,0),1)&gt;0,INDEX('CAMD Facility Data 2023'!$AC$2:$AE$10000,MATCH(Z3750,'CAMD Facility Data 2023'!$AE$2:$AE$10000,0),1),"")</f>
        <v>475</v>
      </c>
      <c r="AC3750" s="1" t="str">
        <f>IF(INDEX('CAMD Facility Data 2023'!$AE$2:$AG$10000,MATCH(Z3750,'CAMD Facility Data 2023'!$AE$2:$AE$10000,0),3)&gt;0,INDEX('CAMD Facility Data 2023'!$AE$2:$AG$10000,MATCH(Z3750,'CAMD Facility Data 2023'!$AE$2:$AE$10000,0),3),"")</f>
        <v>Y</v>
      </c>
      <c r="AD3750" s="20">
        <f t="shared" si="175"/>
        <v>0.1218444607221339</v>
      </c>
      <c r="AE3750" s="25">
        <f t="shared" si="176"/>
        <v>9.6140481134342703E-2</v>
      </c>
    </row>
    <row r="3751" spans="1:31" x14ac:dyDescent="0.2">
      <c r="A3751" s="1" t="s">
        <v>383</v>
      </c>
      <c r="B3751" s="1" t="s">
        <v>8290</v>
      </c>
      <c r="C3751" s="1">
        <v>65373</v>
      </c>
      <c r="D3751" s="1" t="s">
        <v>1302</v>
      </c>
      <c r="F3751" s="1">
        <v>2023</v>
      </c>
      <c r="G3751" s="5">
        <v>672</v>
      </c>
      <c r="H3751" s="5">
        <v>571.69000000000005</v>
      </c>
      <c r="I3751" s="5">
        <v>25325.51</v>
      </c>
      <c r="K3751" s="5">
        <v>7.6999999999999999E-2</v>
      </c>
      <c r="L3751" s="5">
        <v>1E-3</v>
      </c>
      <c r="M3751" s="5">
        <v>15194.777</v>
      </c>
      <c r="N3751" s="6">
        <v>5.9200000000000003E-2</v>
      </c>
      <c r="O3751" s="5">
        <v>1.6850000000000001</v>
      </c>
      <c r="P3751" s="6">
        <v>2.87E-2</v>
      </c>
      <c r="Q3751" s="5">
        <v>255679.07199999999</v>
      </c>
      <c r="R3751" s="1" t="s">
        <v>44</v>
      </c>
      <c r="T3751" s="1" t="s">
        <v>8294</v>
      </c>
      <c r="V3751" s="1" t="s">
        <v>176</v>
      </c>
      <c r="Y3751" s="1" t="s">
        <v>346</v>
      </c>
      <c r="Z3751" s="1" t="str">
        <f t="shared" si="174"/>
        <v>65373 CT-3</v>
      </c>
      <c r="AA3751" s="3">
        <f>IF(INDEX('CAMD Facility Data 2023'!$AA$2:$AE$10000,MATCH(Z3751,'CAMD Facility Data 2023'!$AE$2:$AE$10000,0),1)&gt;0,INDEX('CAMD Facility Data 2023'!$AA$2:$AE$10000,MATCH(Z3751,'CAMD Facility Data 2023'!$AE$2:$AE$10000,0),1),"")</f>
        <v>45028</v>
      </c>
      <c r="AB3751" s="5">
        <f>IF(INDEX('CAMD Facility Data 2023'!$AC$2:$AE$10000,MATCH(Z3751,'CAMD Facility Data 2023'!$AE$2:$AE$10000,0),1)&gt;0,INDEX('CAMD Facility Data 2023'!$AC$2:$AE$10000,MATCH(Z3751,'CAMD Facility Data 2023'!$AE$2:$AE$10000,0),1),"")</f>
        <v>475</v>
      </c>
      <c r="AC3751" s="1" t="str">
        <f>IF(INDEX('CAMD Facility Data 2023'!$AE$2:$AG$10000,MATCH(Z3751,'CAMD Facility Data 2023'!$AE$2:$AE$10000,0),3)&gt;0,INDEX('CAMD Facility Data 2023'!$AE$2:$AG$10000,MATCH(Z3751,'CAMD Facility Data 2023'!$AE$2:$AE$10000,0),3),"")</f>
        <v>Y</v>
      </c>
      <c r="AD3751" s="20">
        <f t="shared" si="175"/>
        <v>0.13306740910647014</v>
      </c>
      <c r="AE3751" s="25">
        <f t="shared" si="176"/>
        <v>6.1446544580629654E-2</v>
      </c>
    </row>
    <row r="3752" spans="1:31" x14ac:dyDescent="0.2">
      <c r="A3752" s="1" t="s">
        <v>383</v>
      </c>
      <c r="B3752" s="1" t="s">
        <v>8290</v>
      </c>
      <c r="C3752" s="1">
        <v>65373</v>
      </c>
      <c r="D3752" s="1" t="s">
        <v>1304</v>
      </c>
      <c r="F3752" s="1">
        <v>2023</v>
      </c>
      <c r="G3752" s="5">
        <v>970</v>
      </c>
      <c r="H3752" s="5">
        <v>835.37</v>
      </c>
      <c r="I3752" s="5">
        <v>36217.800000000003</v>
      </c>
      <c r="K3752" s="5">
        <v>0.109</v>
      </c>
      <c r="L3752" s="5">
        <v>1E-3</v>
      </c>
      <c r="M3752" s="5">
        <v>21542.081999999999</v>
      </c>
      <c r="N3752" s="6">
        <v>5.9200000000000003E-2</v>
      </c>
      <c r="O3752" s="5">
        <v>2.4420000000000002</v>
      </c>
      <c r="P3752" s="6">
        <v>2.53E-2</v>
      </c>
      <c r="Q3752" s="5">
        <v>362490.08199999999</v>
      </c>
      <c r="R3752" s="1" t="s">
        <v>44</v>
      </c>
      <c r="T3752" s="1" t="s">
        <v>8296</v>
      </c>
      <c r="V3752" s="1" t="s">
        <v>176</v>
      </c>
      <c r="Y3752" s="1" t="s">
        <v>346</v>
      </c>
      <c r="Z3752" s="1" t="str">
        <f t="shared" si="174"/>
        <v>65373 CT-4</v>
      </c>
      <c r="AA3752" s="3">
        <f>IF(INDEX('CAMD Facility Data 2023'!$AA$2:$AE$10000,MATCH(Z3752,'CAMD Facility Data 2023'!$AE$2:$AE$10000,0),1)&gt;0,INDEX('CAMD Facility Data 2023'!$AA$2:$AE$10000,MATCH(Z3752,'CAMD Facility Data 2023'!$AE$2:$AE$10000,0),1),"")</f>
        <v>45019</v>
      </c>
      <c r="AB3752" s="5">
        <f>IF(INDEX('CAMD Facility Data 2023'!$AC$2:$AE$10000,MATCH(Z3752,'CAMD Facility Data 2023'!$AE$2:$AE$10000,0),1)&gt;0,INDEX('CAMD Facility Data 2023'!$AC$2:$AE$10000,MATCH(Z3752,'CAMD Facility Data 2023'!$AE$2:$AE$10000,0),1),"")</f>
        <v>475</v>
      </c>
      <c r="AC3752" s="1" t="str">
        <f>IF(INDEX('CAMD Facility Data 2023'!$AE$2:$AG$10000,MATCH(Z3752,'CAMD Facility Data 2023'!$AE$2:$AE$10000,0),3)&gt;0,INDEX('CAMD Facility Data 2023'!$AE$2:$AG$10000,MATCH(Z3752,'CAMD Facility Data 2023'!$AE$2:$AE$10000,0),3),"")</f>
        <v>Y</v>
      </c>
      <c r="AD3752" s="20">
        <f t="shared" si="175"/>
        <v>0.13485081921044348</v>
      </c>
      <c r="AE3752" s="25">
        <f t="shared" si="176"/>
        <v>8.7116097572698864E-2</v>
      </c>
    </row>
    <row r="3753" spans="1:31" x14ac:dyDescent="0.2">
      <c r="A3753" s="1" t="s">
        <v>383</v>
      </c>
      <c r="B3753" s="1" t="s">
        <v>8290</v>
      </c>
      <c r="C3753" s="1">
        <v>65373</v>
      </c>
      <c r="D3753" s="1" t="s">
        <v>5830</v>
      </c>
      <c r="F3753" s="1">
        <v>2023</v>
      </c>
      <c r="G3753" s="5">
        <v>864</v>
      </c>
      <c r="H3753" s="5">
        <v>745.55</v>
      </c>
      <c r="I3753" s="5">
        <v>31706.62</v>
      </c>
      <c r="K3753" s="5">
        <v>9.8000000000000004E-2</v>
      </c>
      <c r="L3753" s="5">
        <v>1E-3</v>
      </c>
      <c r="M3753" s="5">
        <v>19360.797999999999</v>
      </c>
      <c r="N3753" s="6">
        <v>5.9200000000000003E-2</v>
      </c>
      <c r="O3753" s="5">
        <v>1.9019999999999999</v>
      </c>
      <c r="P3753" s="6">
        <v>2.4500000000000001E-2</v>
      </c>
      <c r="Q3753" s="5">
        <v>325789.86900000001</v>
      </c>
      <c r="R3753" s="1" t="s">
        <v>44</v>
      </c>
      <c r="T3753" s="1" t="s">
        <v>8298</v>
      </c>
      <c r="V3753" s="1" t="s">
        <v>176</v>
      </c>
      <c r="Y3753" s="1" t="s">
        <v>346</v>
      </c>
      <c r="Z3753" s="1" t="str">
        <f t="shared" si="174"/>
        <v>65373 CT-5</v>
      </c>
      <c r="AA3753" s="3">
        <f>IF(INDEX('CAMD Facility Data 2023'!$AA$2:$AE$10000,MATCH(Z3753,'CAMD Facility Data 2023'!$AE$2:$AE$10000,0),1)&gt;0,INDEX('CAMD Facility Data 2023'!$AA$2:$AE$10000,MATCH(Z3753,'CAMD Facility Data 2023'!$AE$2:$AE$10000,0),1),"")</f>
        <v>45002</v>
      </c>
      <c r="AB3753" s="5">
        <f>IF(INDEX('CAMD Facility Data 2023'!$AC$2:$AE$10000,MATCH(Z3753,'CAMD Facility Data 2023'!$AE$2:$AE$10000,0),1)&gt;0,INDEX('CAMD Facility Data 2023'!$AC$2:$AE$10000,MATCH(Z3753,'CAMD Facility Data 2023'!$AE$2:$AE$10000,0),1),"")</f>
        <v>475</v>
      </c>
      <c r="AC3753" s="1" t="str">
        <f>IF(INDEX('CAMD Facility Data 2023'!$AE$2:$AG$10000,MATCH(Z3753,'CAMD Facility Data 2023'!$AE$2:$AE$10000,0),3)&gt;0,INDEX('CAMD Facility Data 2023'!$AE$2:$AG$10000,MATCH(Z3753,'CAMD Facility Data 2023'!$AE$2:$AE$10000,0),3),"")</f>
        <v>Y</v>
      </c>
      <c r="AD3753" s="20">
        <f t="shared" si="175"/>
        <v>0.11997494529533581</v>
      </c>
      <c r="AE3753" s="25">
        <f t="shared" si="176"/>
        <v>7.8296051189617882E-2</v>
      </c>
    </row>
    <row r="3754" spans="1:31" x14ac:dyDescent="0.2">
      <c r="A3754" s="1" t="s">
        <v>383</v>
      </c>
      <c r="B3754" s="1" t="s">
        <v>8290</v>
      </c>
      <c r="C3754" s="1">
        <v>65373</v>
      </c>
      <c r="D3754" s="1" t="s">
        <v>8263</v>
      </c>
      <c r="F3754" s="1">
        <v>2023</v>
      </c>
      <c r="G3754" s="5">
        <v>892</v>
      </c>
      <c r="H3754" s="5">
        <v>756.4</v>
      </c>
      <c r="I3754" s="5">
        <v>31820.54</v>
      </c>
      <c r="K3754" s="5">
        <v>9.6000000000000002E-2</v>
      </c>
      <c r="L3754" s="5">
        <v>1E-3</v>
      </c>
      <c r="M3754" s="5">
        <v>19000.776999999998</v>
      </c>
      <c r="N3754" s="6">
        <v>5.9200000000000003E-2</v>
      </c>
      <c r="O3754" s="5">
        <v>2.0329999999999999</v>
      </c>
      <c r="P3754" s="6">
        <v>2.7799999999999998E-2</v>
      </c>
      <c r="Q3754" s="5">
        <v>319734.34499999997</v>
      </c>
      <c r="R3754" s="1" t="s">
        <v>44</v>
      </c>
      <c r="T3754" s="1" t="s">
        <v>8300</v>
      </c>
      <c r="V3754" s="1" t="s">
        <v>176</v>
      </c>
      <c r="Y3754" s="1" t="s">
        <v>346</v>
      </c>
      <c r="Z3754" s="1" t="str">
        <f t="shared" si="174"/>
        <v>65373 CT-6</v>
      </c>
      <c r="AA3754" s="3">
        <f>IF(INDEX('CAMD Facility Data 2023'!$AA$2:$AE$10000,MATCH(Z3754,'CAMD Facility Data 2023'!$AE$2:$AE$10000,0),1)&gt;0,INDEX('CAMD Facility Data 2023'!$AA$2:$AE$10000,MATCH(Z3754,'CAMD Facility Data 2023'!$AE$2:$AE$10000,0),1),"")</f>
        <v>45001</v>
      </c>
      <c r="AB3754" s="5">
        <f>IF(INDEX('CAMD Facility Data 2023'!$AC$2:$AE$10000,MATCH(Z3754,'CAMD Facility Data 2023'!$AE$2:$AE$10000,0),1)&gt;0,INDEX('CAMD Facility Data 2023'!$AC$2:$AE$10000,MATCH(Z3754,'CAMD Facility Data 2023'!$AE$2:$AE$10000,0),1),"")</f>
        <v>475</v>
      </c>
      <c r="AC3754" s="1" t="str">
        <f>IF(INDEX('CAMD Facility Data 2023'!$AE$2:$AG$10000,MATCH(Z3754,'CAMD Facility Data 2023'!$AE$2:$AE$10000,0),3)&gt;0,INDEX('CAMD Facility Data 2023'!$AE$2:$AG$10000,MATCH(Z3754,'CAMD Facility Data 2023'!$AE$2:$AE$10000,0),3),"")</f>
        <v>Y</v>
      </c>
      <c r="AD3754" s="20">
        <f t="shared" si="175"/>
        <v>0.12777910117175886</v>
      </c>
      <c r="AE3754" s="25">
        <f t="shared" si="176"/>
        <v>7.6840746214852193E-2</v>
      </c>
    </row>
    <row r="3755" spans="1:31" x14ac:dyDescent="0.2">
      <c r="A3755" s="1" t="s">
        <v>383</v>
      </c>
      <c r="B3755" s="1" t="s">
        <v>8290</v>
      </c>
      <c r="C3755" s="1">
        <v>65373</v>
      </c>
      <c r="D3755" s="1" t="s">
        <v>8265</v>
      </c>
      <c r="F3755" s="1">
        <v>2023</v>
      </c>
      <c r="G3755" s="5">
        <v>574</v>
      </c>
      <c r="H3755" s="5">
        <v>478.46</v>
      </c>
      <c r="I3755" s="5">
        <v>19319.96</v>
      </c>
      <c r="K3755" s="5">
        <v>0.06</v>
      </c>
      <c r="L3755" s="5">
        <v>1E-3</v>
      </c>
      <c r="M3755" s="5">
        <v>11963.289000000001</v>
      </c>
      <c r="N3755" s="6">
        <v>5.9200000000000003E-2</v>
      </c>
      <c r="O3755" s="5">
        <v>1.294</v>
      </c>
      <c r="P3755" s="6">
        <v>2.9700000000000001E-2</v>
      </c>
      <c r="Q3755" s="5">
        <v>201304.201</v>
      </c>
      <c r="R3755" s="1" t="s">
        <v>44</v>
      </c>
      <c r="T3755" s="1" t="s">
        <v>8303</v>
      </c>
      <c r="V3755" s="1" t="s">
        <v>176</v>
      </c>
      <c r="Y3755" s="1" t="s">
        <v>346</v>
      </c>
      <c r="Z3755" s="1" t="str">
        <f t="shared" si="174"/>
        <v>65373 CT-7</v>
      </c>
      <c r="AA3755" s="3">
        <f>IF(INDEX('CAMD Facility Data 2023'!$AA$2:$AE$10000,MATCH(Z3755,'CAMD Facility Data 2023'!$AE$2:$AE$10000,0),1)&gt;0,INDEX('CAMD Facility Data 2023'!$AA$2:$AE$10000,MATCH(Z3755,'CAMD Facility Data 2023'!$AE$2:$AE$10000,0),1),"")</f>
        <v>45124</v>
      </c>
      <c r="AB3755" s="5">
        <f>IF(INDEX('CAMD Facility Data 2023'!$AC$2:$AE$10000,MATCH(Z3755,'CAMD Facility Data 2023'!$AE$2:$AE$10000,0),1)&gt;0,INDEX('CAMD Facility Data 2023'!$AC$2:$AE$10000,MATCH(Z3755,'CAMD Facility Data 2023'!$AE$2:$AE$10000,0),1),"")</f>
        <v>475</v>
      </c>
      <c r="AC3755" s="1" t="str">
        <f>IF(INDEX('CAMD Facility Data 2023'!$AE$2:$AG$10000,MATCH(Z3755,'CAMD Facility Data 2023'!$AE$2:$AE$10000,0),3)&gt;0,INDEX('CAMD Facility Data 2023'!$AE$2:$AG$10000,MATCH(Z3755,'CAMD Facility Data 2023'!$AE$2:$AE$10000,0),3),"")</f>
        <v>Y</v>
      </c>
      <c r="AD3755" s="20">
        <f t="shared" si="175"/>
        <v>0.13395472868473848</v>
      </c>
      <c r="AE3755" s="25">
        <f t="shared" si="176"/>
        <v>4.837880341264119E-2</v>
      </c>
    </row>
    <row r="3756" spans="1:31" x14ac:dyDescent="0.2">
      <c r="A3756" s="1" t="s">
        <v>383</v>
      </c>
      <c r="B3756" s="1" t="s">
        <v>8290</v>
      </c>
      <c r="C3756" s="1">
        <v>65373</v>
      </c>
      <c r="D3756" s="1" t="s">
        <v>8268</v>
      </c>
      <c r="F3756" s="1">
        <v>2023</v>
      </c>
      <c r="G3756" s="5">
        <v>538</v>
      </c>
      <c r="H3756" s="5">
        <v>450.23</v>
      </c>
      <c r="I3756" s="5">
        <v>19424.88</v>
      </c>
      <c r="K3756" s="5">
        <v>5.8999999999999997E-2</v>
      </c>
      <c r="L3756" s="5">
        <v>1E-3</v>
      </c>
      <c r="M3756" s="5">
        <v>11694.870999999999</v>
      </c>
      <c r="N3756" s="6">
        <v>5.9200000000000003E-2</v>
      </c>
      <c r="O3756" s="5">
        <v>1.1200000000000001</v>
      </c>
      <c r="P3756" s="6">
        <v>2.63E-2</v>
      </c>
      <c r="Q3756" s="5">
        <v>196793.413</v>
      </c>
      <c r="R3756" s="1" t="s">
        <v>44</v>
      </c>
      <c r="T3756" s="1" t="s">
        <v>8304</v>
      </c>
      <c r="V3756" s="1" t="s">
        <v>176</v>
      </c>
      <c r="Y3756" s="1" t="s">
        <v>346</v>
      </c>
      <c r="Z3756" s="1" t="str">
        <f t="shared" si="174"/>
        <v>65373 CT-8</v>
      </c>
      <c r="AA3756" s="3">
        <f>IF(INDEX('CAMD Facility Data 2023'!$AA$2:$AE$10000,MATCH(Z3756,'CAMD Facility Data 2023'!$AE$2:$AE$10000,0),1)&gt;0,INDEX('CAMD Facility Data 2023'!$AA$2:$AE$10000,MATCH(Z3756,'CAMD Facility Data 2023'!$AE$2:$AE$10000,0),1),"")</f>
        <v>45140</v>
      </c>
      <c r="AB3756" s="5">
        <f>IF(INDEX('CAMD Facility Data 2023'!$AC$2:$AE$10000,MATCH(Z3756,'CAMD Facility Data 2023'!$AE$2:$AE$10000,0),1)&gt;0,INDEX('CAMD Facility Data 2023'!$AC$2:$AE$10000,MATCH(Z3756,'CAMD Facility Data 2023'!$AE$2:$AE$10000,0),1),"")</f>
        <v>475</v>
      </c>
      <c r="AC3756" s="1" t="str">
        <f>IF(INDEX('CAMD Facility Data 2023'!$AE$2:$AG$10000,MATCH(Z3756,'CAMD Facility Data 2023'!$AE$2:$AE$10000,0),3)&gt;0,INDEX('CAMD Facility Data 2023'!$AE$2:$AG$10000,MATCH(Z3756,'CAMD Facility Data 2023'!$AE$2:$AE$10000,0),3),"")</f>
        <v>Y</v>
      </c>
      <c r="AD3756" s="20">
        <f t="shared" si="175"/>
        <v>0.11531602769232036</v>
      </c>
      <c r="AE3756" s="25">
        <f t="shared" si="176"/>
        <v>4.7294739966354242E-2</v>
      </c>
    </row>
    <row r="3757" spans="1:31" x14ac:dyDescent="0.2">
      <c r="A3757" s="1" t="s">
        <v>921</v>
      </c>
      <c r="B3757" s="1" t="s">
        <v>8306</v>
      </c>
      <c r="C3757" s="1">
        <v>70454</v>
      </c>
      <c r="D3757" s="1" t="s">
        <v>8307</v>
      </c>
      <c r="F3757" s="1">
        <v>2023</v>
      </c>
      <c r="G3757" s="5">
        <v>1331</v>
      </c>
      <c r="H3757" s="5">
        <v>1160.93</v>
      </c>
      <c r="I3757" s="5">
        <v>126871.1</v>
      </c>
      <c r="K3757" s="5">
        <v>0.46899999999999997</v>
      </c>
      <c r="L3757" s="5">
        <v>1E-3</v>
      </c>
      <c r="M3757" s="5">
        <v>93456.178</v>
      </c>
      <c r="N3757" s="6">
        <v>5.8999999999999997E-2</v>
      </c>
      <c r="O3757" s="5">
        <v>47.738</v>
      </c>
      <c r="P3757" s="6">
        <v>6.6699999999999995E-2</v>
      </c>
      <c r="Q3757" s="5">
        <v>1572575.9169999999</v>
      </c>
      <c r="R3757" s="1" t="s">
        <v>44</v>
      </c>
      <c r="S3757" s="1" t="s">
        <v>94</v>
      </c>
      <c r="T3757" s="1" t="s">
        <v>93</v>
      </c>
      <c r="V3757" s="1" t="s">
        <v>95</v>
      </c>
      <c r="Y3757" s="1" t="s">
        <v>952</v>
      </c>
      <c r="Z3757" s="1" t="str">
        <f t="shared" si="174"/>
        <v>70454 MAG1</v>
      </c>
      <c r="AA3757" s="3">
        <f>IF(INDEX('CAMD Facility Data 2023'!$AA$2:$AE$10000,MATCH(Z3757,'CAMD Facility Data 2023'!$AE$2:$AE$10000,0),1)&gt;0,INDEX('CAMD Facility Data 2023'!$AA$2:$AE$10000,MATCH(Z3757,'CAMD Facility Data 2023'!$AE$2:$AE$10000,0),1),"")</f>
        <v>34432</v>
      </c>
      <c r="AB3757" s="5">
        <f>IF(INDEX('CAMD Facility Data 2023'!$AC$2:$AE$10000,MATCH(Z3757,'CAMD Facility Data 2023'!$AE$2:$AE$10000,0),1)&gt;0,INDEX('CAMD Facility Data 2023'!$AC$2:$AE$10000,MATCH(Z3757,'CAMD Facility Data 2023'!$AE$2:$AE$10000,0),1),"")</f>
        <v>2241</v>
      </c>
      <c r="AC3757" s="1" t="str">
        <f>IF(INDEX('CAMD Facility Data 2023'!$AE$2:$AG$10000,MATCH(Z3757,'CAMD Facility Data 2023'!$AE$2:$AE$10000,0),3)&gt;0,INDEX('CAMD Facility Data 2023'!$AE$2:$AG$10000,MATCH(Z3757,'CAMD Facility Data 2023'!$AE$2:$AE$10000,0),3),"")</f>
        <v/>
      </c>
      <c r="AD3757" s="20">
        <f t="shared" si="175"/>
        <v>0.75254332941071678</v>
      </c>
      <c r="AE3757" s="25">
        <f t="shared" si="176"/>
        <v>8.0106112781924241E-2</v>
      </c>
    </row>
    <row r="3758" spans="1:31" x14ac:dyDescent="0.2">
      <c r="A3758" s="1" t="s">
        <v>921</v>
      </c>
      <c r="B3758" s="1" t="s">
        <v>8306</v>
      </c>
      <c r="C3758" s="1">
        <v>70454</v>
      </c>
      <c r="D3758" s="1" t="s">
        <v>8311</v>
      </c>
      <c r="F3758" s="1">
        <v>2023</v>
      </c>
      <c r="G3758" s="5">
        <v>795</v>
      </c>
      <c r="H3758" s="5">
        <v>698.45</v>
      </c>
      <c r="I3758" s="5">
        <v>78422.22</v>
      </c>
      <c r="K3758" s="5">
        <v>0.28499999999999998</v>
      </c>
      <c r="L3758" s="5">
        <v>1E-3</v>
      </c>
      <c r="M3758" s="5">
        <v>56947.199999999997</v>
      </c>
      <c r="N3758" s="6">
        <v>5.8999999999999997E-2</v>
      </c>
      <c r="O3758" s="5">
        <v>27.623999999999999</v>
      </c>
      <c r="P3758" s="6">
        <v>6.3700000000000007E-2</v>
      </c>
      <c r="Q3758" s="5">
        <v>958237.30200000003</v>
      </c>
      <c r="R3758" s="1" t="s">
        <v>44</v>
      </c>
      <c r="S3758" s="1" t="s">
        <v>94</v>
      </c>
      <c r="T3758" s="1" t="s">
        <v>93</v>
      </c>
      <c r="V3758" s="1" t="s">
        <v>95</v>
      </c>
      <c r="Y3758" s="1" t="s">
        <v>952</v>
      </c>
      <c r="Z3758" s="1" t="str">
        <f t="shared" si="174"/>
        <v>70454 MAG2</v>
      </c>
      <c r="AA3758" s="3">
        <f>IF(INDEX('CAMD Facility Data 2023'!$AA$2:$AE$10000,MATCH(Z3758,'CAMD Facility Data 2023'!$AE$2:$AE$10000,0),1)&gt;0,INDEX('CAMD Facility Data 2023'!$AA$2:$AE$10000,MATCH(Z3758,'CAMD Facility Data 2023'!$AE$2:$AE$10000,0),1),"")</f>
        <v>34432</v>
      </c>
      <c r="AB3758" s="5">
        <f>IF(INDEX('CAMD Facility Data 2023'!$AC$2:$AE$10000,MATCH(Z3758,'CAMD Facility Data 2023'!$AE$2:$AE$10000,0),1)&gt;0,INDEX('CAMD Facility Data 2023'!$AC$2:$AE$10000,MATCH(Z3758,'CAMD Facility Data 2023'!$AE$2:$AE$10000,0),1),"")</f>
        <v>2241</v>
      </c>
      <c r="AC3758" s="1" t="str">
        <f>IF(INDEX('CAMD Facility Data 2023'!$AE$2:$AG$10000,MATCH(Z3758,'CAMD Facility Data 2023'!$AE$2:$AE$10000,0),3)&gt;0,INDEX('CAMD Facility Data 2023'!$AE$2:$AG$10000,MATCH(Z3758,'CAMD Facility Data 2023'!$AE$2:$AE$10000,0),3),"")</f>
        <v/>
      </c>
      <c r="AD3758" s="20">
        <f t="shared" si="175"/>
        <v>0.70449421095194698</v>
      </c>
      <c r="AE3758" s="25">
        <f t="shared" si="176"/>
        <v>4.8812057056231012E-2</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9FFB0983274D46BB1D66AD4A4611A4" ma:contentTypeVersion="8" ma:contentTypeDescription="Create a new document." ma:contentTypeScope="" ma:versionID="d24f36500cc419469b3ed8de495c161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1193759-d647-43d3-8b9c-6272965c11af" xmlns:ns6="511ed33c-b897-4960-822e-12ecdc7dd2d0" targetNamespace="http://schemas.microsoft.com/office/2006/metadata/properties" ma:root="true" ma:fieldsID="ec9ecd7e72b5060a1164e91a6e1c76b2" ns1:_="" ns2:_="" ns3:_="" ns4:_="" ns5:_="" ns6:_="">
    <xsd:import namespace="http://schemas.microsoft.com/sharepoint/v3"/>
    <xsd:import namespace="4ffa91fb-a0ff-4ac5-b2db-65c790d184a4"/>
    <xsd:import namespace="http://schemas.microsoft.com/sharepoint.v3"/>
    <xsd:import namespace="http://schemas.microsoft.com/sharepoint/v3/fields"/>
    <xsd:import namespace="a1193759-d647-43d3-8b9c-6272965c11af"/>
    <xsd:import namespace="511ed33c-b897-4960-822e-12ecdc7dd2d0"/>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ObjectDetectorVersions" minOccurs="0"/>
                <xsd:element ref="ns6:SharedWithUsers" minOccurs="0"/>
                <xsd:element ref="ns6:SharedWithDetail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fb23e7f0-ed6d-4147-9cdf-0c0795dad0a6}" ma:internalName="TaxCatchAllLabel" ma:readOnly="true" ma:showField="CatchAllDataLabel" ma:web="511ed33c-b897-4960-822e-12ecdc7dd2d0">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fb23e7f0-ed6d-4147-9cdf-0c0795dad0a6}" ma:internalName="TaxCatchAll" ma:showField="CatchAllData" ma:web="511ed33c-b897-4960-822e-12ecdc7dd2d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193759-d647-43d3-8b9c-6272965c11af"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ObjectDetectorVersions" ma:index="30" nillable="true" ma:displayName="MediaServiceObjectDetectorVersions" ma:hidden="true" ma:indexed="true" ma:internalName="MediaServiceObjectDetectorVersions" ma:readOnly="true">
      <xsd:simpleType>
        <xsd:restriction base="dms:Text"/>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11ed33c-b897-4960-822e-12ecdc7dd2d0" elementFormDefault="qualified">
    <xsd:import namespace="http://schemas.microsoft.com/office/2006/documentManagement/types"/>
    <xsd:import namespace="http://schemas.microsoft.com/office/infopath/2007/PartnerControls"/>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2024-08-28T17:29:36+00:00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documentManagement>
</p:properties>
</file>

<file path=customXml/itemProps1.xml><?xml version="1.0" encoding="utf-8"?>
<ds:datastoreItem xmlns:ds="http://schemas.openxmlformats.org/officeDocument/2006/customXml" ds:itemID="{C94DB6B3-A728-4B7F-9D57-6C0E408340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1193759-d647-43d3-8b9c-6272965c11af"/>
    <ds:schemaRef ds:uri="511ed33c-b897-4960-822e-12ecdc7dd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F8F8AE6-675C-4A21-B17C-44A6A4A64E2F}">
  <ds:schemaRefs>
    <ds:schemaRef ds:uri="Microsoft.SharePoint.Taxonomy.ContentTypeSync"/>
  </ds:schemaRefs>
</ds:datastoreItem>
</file>

<file path=customXml/itemProps3.xml><?xml version="1.0" encoding="utf-8"?>
<ds:datastoreItem xmlns:ds="http://schemas.openxmlformats.org/officeDocument/2006/customXml" ds:itemID="{1AE53FA5-9465-4DFD-94B1-1CFE0C14B275}">
  <ds:schemaRefs>
    <ds:schemaRef ds:uri="http://schemas.microsoft.com/sharepoint/v3/contenttype/forms"/>
  </ds:schemaRefs>
</ds:datastoreItem>
</file>

<file path=customXml/itemProps4.xml><?xml version="1.0" encoding="utf-8"?>
<ds:datastoreItem xmlns:ds="http://schemas.openxmlformats.org/officeDocument/2006/customXml" ds:itemID="{2234C72C-3685-4E50-8B80-2E9BB099032E}">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CAMD Facility Data 2023</vt:lpstr>
      <vt:lpstr>CAMD Data 2023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Kaelin, Jeremy</dc:creator>
  <cp:keywords/>
  <dc:description/>
  <cp:lastModifiedBy>Sayre-Smith, Nickolas (he/him/his)</cp:lastModifiedBy>
  <cp:revision/>
  <dcterms:created xsi:type="dcterms:W3CDTF">2024-04-16T11:51:51Z</dcterms:created>
  <dcterms:modified xsi:type="dcterms:W3CDTF">2024-10-25T16:27:04Z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0x010100F09FFB0983274D46BB1D66AD4A4611A4</vt:lpwstr>
  </property>
  <property fmtid="{D5CDD505-2E9C-101B-9397-08002B2CF9AE}" pid="3" name="TaxKeyword">
    <vt:lpwstr/>
  </property>
  <property fmtid="{D5CDD505-2E9C-101B-9397-08002B2CF9AE}" pid="4" name="e3f09c3df709400db2417a7161762d62">
    <vt:lpwstr/>
  </property>
  <property fmtid="{D5CDD505-2E9C-101B-9397-08002B2CF9AE}" pid="5" name="EPA_x0020_Subject">
    <vt:lpwstr/>
  </property>
  <property fmtid="{D5CDD505-2E9C-101B-9397-08002B2CF9AE}" pid="6" name="Document Type">
    <vt:lpwstr/>
  </property>
  <property fmtid="{D5CDD505-2E9C-101B-9397-08002B2CF9AE}" pid="7" name="EPA Subject">
    <vt:lpwstr/>
  </property>
</Properties>
</file>